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theme/themeOverride2.xml" ContentType="application/vnd.openxmlformats-officedocument.themeOverride+xml"/>
  <Override PartName="/xl/charts/chart9.xml" ContentType="application/vnd.openxmlformats-officedocument.drawingml.chart+xml"/>
  <Override PartName="/xl/charts/chart10.xml" ContentType="application/vnd.openxmlformats-officedocument.drawingml.chart+xml"/>
  <Override PartName="/xl/drawings/drawing8.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9.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theme/themeOverride3.xml" ContentType="application/vnd.openxmlformats-officedocument.themeOverride+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10.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theme/themeOverride4.xml" ContentType="application/vnd.openxmlformats-officedocument.themeOverride+xml"/>
  <Override PartName="/xl/charts/chart34.xml" ContentType="application/vnd.openxmlformats-officedocument.drawingml.chart+xml"/>
  <Override PartName="/xl/charts/chart35.xml" ContentType="application/vnd.openxmlformats-officedocument.drawingml.chart+xml"/>
  <Override PartName="/xl/drawings/drawing11.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drawings/drawing12.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13.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theme/themeOverride5.xml" ContentType="application/vnd.openxmlformats-officedocument.themeOverride+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theme/themeOverride6.xml" ContentType="application/vnd.openxmlformats-officedocument.themeOverride+xml"/>
  <Override PartName="/xl/charts/chart53.xml" ContentType="application/vnd.openxmlformats-officedocument.drawingml.chart+xml"/>
  <Override PartName="/xl/charts/chart54.xml" ContentType="application/vnd.openxmlformats-officedocument.drawingml.chart+xml"/>
  <Override PartName="/xl/drawings/drawing14.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theme/themeOverride7.xml" ContentType="application/vnd.openxmlformats-officedocument.themeOverride+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61.xml" ContentType="application/vnd.openxmlformats-officedocument.drawingml.chart+xml"/>
  <Override PartName="/xl/theme/themeOverride8.xml" ContentType="application/vnd.openxmlformats-officedocument.themeOverride+xml"/>
  <Override PartName="/xl/charts/chart62.xml" ContentType="application/vnd.openxmlformats-officedocument.drawingml.chart+xml"/>
  <Override PartName="/xl/charts/chart63.xml" ContentType="application/vnd.openxmlformats-officedocument.drawingml.chart+xml"/>
  <Override PartName="/xl/theme/themeOverride9.xml" ContentType="application/vnd.openxmlformats-officedocument.themeOverride+xml"/>
  <Override PartName="/xl/charts/chart64.xml" ContentType="application/vnd.openxmlformats-officedocument.drawingml.chart+xml"/>
  <Override PartName="/xl/charts/chart65.xml" ContentType="application/vnd.openxmlformats-officedocument.drawingml.chart+xml"/>
  <Override PartName="/xl/theme/themeOverride10.xml" ContentType="application/vnd.openxmlformats-officedocument.themeOverride+xml"/>
  <Override PartName="/xl/charts/chart66.xml" ContentType="application/vnd.openxmlformats-officedocument.drawingml.chart+xml"/>
  <Override PartName="/xl/charts/chart67.xml" ContentType="application/vnd.openxmlformats-officedocument.drawingml.chart+xml"/>
  <Override PartName="/xl/theme/themeOverride11.xml" ContentType="application/vnd.openxmlformats-officedocument.themeOverride+xml"/>
  <Override PartName="/xl/charts/chart68.xml" ContentType="application/vnd.openxmlformats-officedocument.drawingml.chart+xml"/>
  <Override PartName="/xl/charts/chart69.xml" ContentType="application/vnd.openxmlformats-officedocument.drawingml.chart+xml"/>
  <Override PartName="/xl/drawings/drawing15.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harts/chart79.xml" ContentType="application/vnd.openxmlformats-officedocument.drawingml.chart+xml"/>
  <Override PartName="/xl/drawings/drawing16.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harts/chart80.xml" ContentType="application/vnd.openxmlformats-officedocument.drawingml.chart+xml"/>
  <Override PartName="/xl/charts/chart81.xml" ContentType="application/vnd.openxmlformats-officedocument.drawingml.chart+xml"/>
  <Override PartName="/xl/charts/chart82.xml" ContentType="application/vnd.openxmlformats-officedocument.drawingml.chart+xml"/>
  <Override PartName="/xl/theme/themeOverride12.xml" ContentType="application/vnd.openxmlformats-officedocument.themeOverride+xml"/>
  <Override PartName="/xl/charts/chart83.xml" ContentType="application/vnd.openxmlformats-officedocument.drawingml.chart+xml"/>
  <Override PartName="/xl/charts/chart84.xml" ContentType="application/vnd.openxmlformats-officedocument.drawingml.chart+xml"/>
  <Override PartName="/xl/charts/chart85.xml" ContentType="application/vnd.openxmlformats-officedocument.drawingml.chart+xml"/>
  <Override PartName="/xl/charts/chart86.xml" ContentType="application/vnd.openxmlformats-officedocument.drawingml.chart+xml"/>
  <Override PartName="/xl/theme/themeOverride13.xml" ContentType="application/vnd.openxmlformats-officedocument.themeOverride+xml"/>
  <Override PartName="/xl/charts/chart87.xml" ContentType="application/vnd.openxmlformats-officedocument.drawingml.chart+xml"/>
  <Override PartName="/xl/charts/chart88.xml" ContentType="application/vnd.openxmlformats-officedocument.drawingml.chart+xml"/>
  <Override PartName="/xl/theme/themeOverride14.xml" ContentType="application/vnd.openxmlformats-officedocument.themeOverride+xml"/>
  <Override PartName="/xl/charts/chart89.xml" ContentType="application/vnd.openxmlformats-officedocument.drawingml.chart+xml"/>
  <Override PartName="/xl/charts/chart90.xml" ContentType="application/vnd.openxmlformats-officedocument.drawingml.chart+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theme/themeOverride15.xml" ContentType="application/vnd.openxmlformats-officedocument.themeOverride+xml"/>
  <Override PartName="/xl/charts/chart97.xml" ContentType="application/vnd.openxmlformats-officedocument.drawingml.chart+xml"/>
  <Override PartName="/xl/charts/chart98.xml" ContentType="application/vnd.openxmlformats-officedocument.drawingml.chart+xml"/>
  <Override PartName="/xl/theme/themeOverride16.xml" ContentType="application/vnd.openxmlformats-officedocument.themeOverride+xml"/>
  <Override PartName="/xl/charts/chart99.xml" ContentType="application/vnd.openxmlformats-officedocument.drawingml.chart+xml"/>
  <Override PartName="/xl/charts/chart100.xml" ContentType="application/vnd.openxmlformats-officedocument.drawingml.chart+xml"/>
  <Override PartName="/xl/drawings/drawing17.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harts/chart101.xml" ContentType="application/vnd.openxmlformats-officedocument.drawingml.chart+xml"/>
  <Override PartName="/xl/charts/chart102.xml" ContentType="application/vnd.openxmlformats-officedocument.drawingml.chart+xml"/>
  <Override PartName="/xl/charts/chart103.xml" ContentType="application/vnd.openxmlformats-officedocument.drawingml.chart+xml"/>
  <Override PartName="/xl/theme/themeOverride17.xml" ContentType="application/vnd.openxmlformats-officedocument.themeOverride+xml"/>
  <Override PartName="/xl/charts/chart104.xml" ContentType="application/vnd.openxmlformats-officedocument.drawingml.chart+xml"/>
  <Override PartName="/xl/charts/chart105.xml" ContentType="application/vnd.openxmlformats-officedocument.drawingml.chart+xml"/>
  <Override PartName="/xl/charts/chart106.xml" ContentType="application/vnd.openxmlformats-officedocument.drawingml.chart+xml"/>
  <Override PartName="/xl/charts/chart107.xml" ContentType="application/vnd.openxmlformats-officedocument.drawingml.chart+xml"/>
  <Override PartName="/xl/theme/themeOverride18.xml" ContentType="application/vnd.openxmlformats-officedocument.themeOverride+xml"/>
  <Override PartName="/xl/charts/chart108.xml" ContentType="application/vnd.openxmlformats-officedocument.drawingml.chart+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theme/themeOverride19.xml" ContentType="application/vnd.openxmlformats-officedocument.themeOverride+xml"/>
  <Override PartName="/xl/charts/chart115.xml" ContentType="application/vnd.openxmlformats-officedocument.drawingml.chart+xml"/>
  <Override PartName="/xl/charts/chart116.xml" ContentType="application/vnd.openxmlformats-officedocument.drawingml.chart+xml"/>
  <Override PartName="/xl/theme/themeOverride20.xml" ContentType="application/vnd.openxmlformats-officedocument.themeOverride+xml"/>
  <Override PartName="/xl/charts/chart117.xml" ContentType="application/vnd.openxmlformats-officedocument.drawingml.chart+xml"/>
  <Override PartName="/xl/drawings/drawing18.xml" ContentType="application/vnd.openxmlformats-officedocument.drawing+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theme/themeOverride21.xml" ContentType="application/vnd.openxmlformats-officedocument.themeOverride+xml"/>
  <Override PartName="/xl/charts/chart121.xml" ContentType="application/vnd.openxmlformats-officedocument.drawingml.chart+xml"/>
  <Override PartName="/xl/charts/chart122.xml" ContentType="application/vnd.openxmlformats-officedocument.drawingml.chart+xml"/>
  <Override PartName="/xl/theme/themeOverride22.xml" ContentType="application/vnd.openxmlformats-officedocument.themeOverride+xml"/>
  <Override PartName="/xl/charts/chart123.xml" ContentType="application/vnd.openxmlformats-officedocument.drawingml.chart+xml"/>
  <Override PartName="/xl/charts/chart124.xml" ContentType="application/vnd.openxmlformats-officedocument.drawingml.chart+xml"/>
  <Override PartName="/xl/theme/themeOverride23.xml" ContentType="application/vnd.openxmlformats-officedocument.themeOverride+xml"/>
  <Override PartName="/xl/charts/chart125.xml" ContentType="application/vnd.openxmlformats-officedocument.drawingml.chart+xml"/>
  <Override PartName="/xl/charts/chart126.xml" ContentType="application/vnd.openxmlformats-officedocument.drawingml.chart+xml"/>
  <Override PartName="/xl/drawings/drawing19.xml" ContentType="application/vnd.openxmlformats-officedocument.drawing+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harts/chart127.xml" ContentType="application/vnd.openxmlformats-officedocument.drawingml.chart+xml"/>
  <Override PartName="/xl/charts/chart128.xml" ContentType="application/vnd.openxmlformats-officedocument.drawingml.chart+xml"/>
  <Override PartName="/xl/charts/chart129.xml" ContentType="application/vnd.openxmlformats-officedocument.drawingml.chart+xml"/>
  <Override PartName="/xl/theme/themeOverride24.xml" ContentType="application/vnd.openxmlformats-officedocument.themeOverride+xml"/>
  <Override PartName="/xl/charts/chart130.xml" ContentType="application/vnd.openxmlformats-officedocument.drawingml.chart+xml"/>
  <Override PartName="/xl/charts/chart131.xml" ContentType="application/vnd.openxmlformats-officedocument.drawingml.chart+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codeName="{74837BA0-65D6-932C-5D65-3B800EBDC722}"/>
  <workbookPr showInkAnnotation="0" updateLinks="never" codeName="ThisWorkbook"/>
  <mc:AlternateContent xmlns:mc="http://schemas.openxmlformats.org/markup-compatibility/2006">
    <mc:Choice Requires="x15">
      <x15ac:absPath xmlns:x15ac="http://schemas.microsoft.com/office/spreadsheetml/2010/11/ac" url="P:\Children's Social Care\2. LA Benchmarking\2. Children's Social Care\1. CSC Benchmarking Reports\Annual Reports\2018-19\"/>
    </mc:Choice>
  </mc:AlternateContent>
  <xr:revisionPtr revIDLastSave="0" documentId="13_ncr:1_{A91D75D2-9D88-42E4-9DE3-0C0D773716EA}" xr6:coauthVersionLast="41" xr6:coauthVersionMax="41" xr10:uidLastSave="{00000000-0000-0000-0000-000000000000}"/>
  <bookViews>
    <workbookView showSheetTabs="0" xWindow="-120" yWindow="-120" windowWidth="29040" windowHeight="15840" firstSheet="7" activeTab="7" xr2:uid="{66860B6C-1512-4C03-836E-C1360EAA7060}"/>
  </bookViews>
  <sheets>
    <sheet name="Sheet1" sheetId="75" state="hidden" r:id="rId1"/>
    <sheet name="Year 1" sheetId="77" state="hidden" r:id="rId2"/>
    <sheet name="Year 2" sheetId="78" state="hidden" r:id="rId3"/>
    <sheet name="Year 3" sheetId="79" state="hidden" r:id="rId4"/>
    <sheet name="Year 4" sheetId="80" state="hidden" r:id="rId5"/>
    <sheet name="Year 5" sheetId="81" state="hidden" r:id="rId6"/>
    <sheet name="ChartLabels" sheetId="92" state="hidden" r:id="rId7"/>
    <sheet name="Frontpage" sheetId="29" r:id="rId8"/>
    <sheet name="Home" sheetId="76" r:id="rId9"/>
    <sheet name="Indicators" sheetId="88" r:id="rId10"/>
    <sheet name="Coverage" sheetId="27" r:id="rId11"/>
    <sheet name="IDACI" sheetId="44" r:id="rId12"/>
    <sheet name="Population" sheetId="22" r:id="rId13"/>
    <sheet name="Referrals" sheetId="49" r:id="rId14"/>
    <sheet name="Referral_Source" sheetId="50" r:id="rId15"/>
    <sheet name="Re-referrals" sheetId="62" r:id="rId16"/>
    <sheet name="Assessments" sheetId="63" r:id="rId17"/>
    <sheet name="Children in Need" sheetId="64" r:id="rId18"/>
    <sheet name="Section 47 Enquiries" sheetId="65" r:id="rId19"/>
    <sheet name="Initial CP Conferences" sheetId="66" r:id="rId20"/>
    <sheet name="Child Protection Plans" sheetId="67" r:id="rId21"/>
    <sheet name="Court Applications" sheetId="68" r:id="rId22"/>
    <sheet name="Looked After Children" sheetId="69" r:id="rId23"/>
    <sheet name="New_Ceased_LAC" sheetId="83" r:id="rId24"/>
    <sheet name="Care_Leavers" sheetId="84" r:id="rId25"/>
    <sheet name="Adoption" sheetId="70" r:id="rId26"/>
  </sheets>
  <externalReferences>
    <externalReference r:id="rId27"/>
    <externalReference r:id="rId28"/>
    <externalReference r:id="rId29"/>
  </externalReferences>
  <definedNames>
    <definedName name="_xlnm._FilterDatabase" localSheetId="4" hidden="1">'Year 4'!$A$1:$Z$105</definedName>
    <definedName name="Age_Breakdown_of_LAC" localSheetId="2">'Year 2'!$C$62:$Z$62</definedName>
    <definedName name="Age_Breakdown_of_LAC" localSheetId="3">'Year 3'!$C$62:$Z$62</definedName>
    <definedName name="Age_Breakdown_of_LAC" localSheetId="4">'Year 4'!$C$62:$Z$62</definedName>
    <definedName name="Age_Breakdown_of_LAC" localSheetId="5">'Year 5'!$C$62:$Z$62</definedName>
    <definedName name="Age_Breakdown_of_LAC">'Year 1'!$C$62:$Z$62</definedName>
    <definedName name="BMLIST" localSheetId="0">[1]Home!$J$15:$J$37</definedName>
    <definedName name="Bracknell_Forest" localSheetId="2">'Year 2'!$C$2:$C$105</definedName>
    <definedName name="Bracknell_Forest" localSheetId="3">'Year 3'!$C$2:$C$105</definedName>
    <definedName name="Bracknell_Forest" localSheetId="4">'Year 4'!$C$2:$C$105</definedName>
    <definedName name="Bracknell_Forest" localSheetId="5">'Year 5'!$C$2:$C$105</definedName>
    <definedName name="Bracknell_Forest">'Year 1'!$C$2:$C$105</definedName>
    <definedName name="Brighton___Hove" localSheetId="2">'Year 2'!$D$2:$D$105</definedName>
    <definedName name="Brighton___Hove" localSheetId="3">'Year 3'!$D$2:$D$105</definedName>
    <definedName name="Brighton___Hove" localSheetId="4">'Year 4'!$D$2:$D$105</definedName>
    <definedName name="Brighton___Hove" localSheetId="5">'Year 5'!$D$2:$D$105</definedName>
    <definedName name="Brighton___Hove">'Year 1'!$D$2:$D$105</definedName>
    <definedName name="Buckinghamshire" localSheetId="2">'Year 2'!$E$2:$E$105</definedName>
    <definedName name="Buckinghamshire" localSheetId="3">'Year 3'!$E$2:$E$105</definedName>
    <definedName name="Buckinghamshire" localSheetId="4">'Year 4'!$E$2:$E$105</definedName>
    <definedName name="Buckinghamshire" localSheetId="5">'Year 5'!$E$2:$E$105</definedName>
    <definedName name="Buckinghamshire">'Year 1'!$E$2:$E$105</definedName>
    <definedName name="East_Sussex" localSheetId="2">'Year 2'!$F$2:$F$105</definedName>
    <definedName name="East_Sussex" localSheetId="3">'Year 3'!$F$2:$F$105</definedName>
    <definedName name="East_Sussex" localSheetId="4">'Year 4'!$F$2:$F$105</definedName>
    <definedName name="East_Sussex" localSheetId="5">'Year 5'!$F$2:$F$105</definedName>
    <definedName name="East_Sussex">'Year 1'!$F$2:$F$105</definedName>
    <definedName name="England" localSheetId="2">'Year 2'!$Z$2:$Z$105</definedName>
    <definedName name="England" localSheetId="3">'Year 3'!$Z$2:$Z$105</definedName>
    <definedName name="England" localSheetId="4">'Year 4'!$Z$2:$Z$105</definedName>
    <definedName name="England" localSheetId="5">'Year 5'!$Z$2:$Z$105</definedName>
    <definedName name="England">'Year 1'!$Z$2:$Z$105</definedName>
    <definedName name="Hampshire" localSheetId="2">'Year 2'!$G$2:$G$105</definedName>
    <definedName name="Hampshire" localSheetId="3">'Year 3'!$G$2:$G$105</definedName>
    <definedName name="Hampshire" localSheetId="4">'Year 4'!$G$2:$G$105</definedName>
    <definedName name="Hampshire" localSheetId="5">'Year 5'!$G$2:$G$105</definedName>
    <definedName name="Hampshire">'Year 1'!$G$2:$G$105</definedName>
    <definedName name="Isle_of_Wight" localSheetId="2">'Year 2'!$H$2:$H$105</definedName>
    <definedName name="Isle_of_Wight" localSheetId="3">'Year 3'!$H$2:$H$105</definedName>
    <definedName name="Isle_of_Wight" localSheetId="4">'Year 4'!$H$2:$H$105</definedName>
    <definedName name="Isle_of_Wight" localSheetId="5">'Year 5'!$H$2:$H$105</definedName>
    <definedName name="Isle_of_Wight">'Year 1'!$H$2:$H$105</definedName>
    <definedName name="Kent" localSheetId="2">'Year 2'!$I$2:$I$105</definedName>
    <definedName name="Kent" localSheetId="3">'Year 3'!$I$2:$I$105</definedName>
    <definedName name="Kent" localSheetId="4">'Year 4'!$I$2:$I$105</definedName>
    <definedName name="Kent" localSheetId="5">'Year 5'!$I$2:$I$105</definedName>
    <definedName name="Kent">'Year 1'!$I$2:$I$105</definedName>
    <definedName name="Medway" localSheetId="2">'Year 2'!$J$2:$J$105</definedName>
    <definedName name="Medway" localSheetId="3">'Year 3'!$J$2:$J$105</definedName>
    <definedName name="Medway" localSheetId="4">'Year 4'!$J$2:$J$105</definedName>
    <definedName name="Medway" localSheetId="5">'Year 5'!$J$2:$J$105</definedName>
    <definedName name="Medway">'Year 1'!$J$2:$J$105</definedName>
    <definedName name="Milton_Keynes" localSheetId="2">'Year 2'!$K$2:$K$105</definedName>
    <definedName name="Milton_Keynes" localSheetId="3">'Year 3'!$K$2:$K$105</definedName>
    <definedName name="Milton_Keynes" localSheetId="4">'Year 4'!$K$2:$K$105</definedName>
    <definedName name="Milton_Keynes" localSheetId="5">'Year 5'!$K$2:$K$105</definedName>
    <definedName name="Milton_Keynes">'Year 1'!$K$2:$K$105</definedName>
    <definedName name="Number_of_completed_Early_Help_Assessments_leading_to" localSheetId="2">'Year 2'!$C$8:$Z$8</definedName>
    <definedName name="Number_of_completed_Early_Help_Assessments_leading_to" localSheetId="3">'Year 3'!$C$8:$Z$8</definedName>
    <definedName name="Number_of_completed_Early_Help_Assessments_leading_to" localSheetId="4">'Year 4'!$C$8:$Z$8</definedName>
    <definedName name="Number_of_completed_Early_Help_Assessments_leading_to" localSheetId="5">'Year 5'!$C$8:$Z$8</definedName>
    <definedName name="Number_of_completed_Early_Help_Assessments_leading_to">'Year 1'!$C$8:$Z$8</definedName>
    <definedName name="Number_of_CSC_Single_Assessments_Authorised_within" localSheetId="2">'Year 2'!$C$39:$Z$39</definedName>
    <definedName name="Number_of_CSC_Single_Assessments_Authorised_within" localSheetId="3">'Year 3'!$C$39:$Z$39</definedName>
    <definedName name="Number_of_CSC_Single_Assessments_Authorised_within" localSheetId="4">'Year 4'!$C$39:$Z$39</definedName>
    <definedName name="Number_of_CSC_Single_Assessments_Authorised_within" localSheetId="5">'Year 5'!$C$39:$Z$39</definedName>
    <definedName name="Number_of_CSC_Single_Assessments_Authorised_within">'Year 1'!$C$39:$Z$39</definedName>
    <definedName name="Number_of_Referrals_to_CSC_received_from" localSheetId="2">'Year 2'!$C$15:$Z$15</definedName>
    <definedName name="Number_of_Referrals_to_CSC_received_from" localSheetId="3">'Year 3'!$C$15:$Z$15</definedName>
    <definedName name="Number_of_Referrals_to_CSC_received_from" localSheetId="4">'Year 4'!$C$15:$Z$15</definedName>
    <definedName name="Number_of_Referrals_to_CSC_received_from" localSheetId="5">'Year 5'!$C$15:$Z$15</definedName>
    <definedName name="Number_of_Referrals_to_CSC_received_from">'Year 1'!$C$15:$Z$15</definedName>
    <definedName name="Oxfordshire" localSheetId="2">'Year 2'!$L$2:$L$105</definedName>
    <definedName name="Oxfordshire" localSheetId="3">'Year 3'!$L$2:$L$105</definedName>
    <definedName name="Oxfordshire" localSheetId="4">'Year 4'!$L$2:$L$105</definedName>
    <definedName name="Oxfordshire" localSheetId="5">'Year 5'!$L$2:$L$105</definedName>
    <definedName name="Oxfordshire">'Year 1'!$L$2:$L$105</definedName>
    <definedName name="Portsmouth" localSheetId="2">'Year 2'!$M$2:$M$105</definedName>
    <definedName name="Portsmouth" localSheetId="3">'Year 3'!$M$2:$M$105</definedName>
    <definedName name="Portsmouth" localSheetId="4">'Year 4'!$M$2:$M$105</definedName>
    <definedName name="Portsmouth" localSheetId="5">'Year 5'!$M$2:$M$105</definedName>
    <definedName name="Portsmouth">'Year 1'!$M$2:$M$105</definedName>
    <definedName name="_xlnm.Print_Area" localSheetId="25">Adoption!$A$1:$U$108</definedName>
    <definedName name="_xlnm.Print_Area" localSheetId="16">Assessments!$A$1:$V$177</definedName>
    <definedName name="_xlnm.Print_Area" localSheetId="24">Care_Leavers!$A$1:$U$179</definedName>
    <definedName name="_xlnm.Print_Area" localSheetId="20">'Child Protection Plans'!$A$1:$V$286</definedName>
    <definedName name="_xlnm.Print_Area" localSheetId="17">'Children in Need'!$A$1:$V$106</definedName>
    <definedName name="_xlnm.Print_Area" localSheetId="21">'Court Applications'!$A$1:$V$212</definedName>
    <definedName name="_xlnm.Print_Area" localSheetId="10">Coverage!$A$1:$AB$34</definedName>
    <definedName name="_xlnm.Print_Area" localSheetId="7">Frontpage!$A$1:$K$36</definedName>
    <definedName name="_xlnm.Print_Area" localSheetId="8">Home!$A$1:$AC$79</definedName>
    <definedName name="_xlnm.Print_Area" localSheetId="11">IDACI!$A$1:$Q$36</definedName>
    <definedName name="_xlnm.Print_Area" localSheetId="9">Indicators!$A$1:$E$83</definedName>
    <definedName name="_xlnm.Print_Area" localSheetId="19">'Initial CP Conferences'!$A$1:$V$178</definedName>
    <definedName name="_xlnm.Print_Area" localSheetId="22">'Looked After Children'!$A$1:$V$286</definedName>
    <definedName name="_xlnm.Print_Area" localSheetId="23">New_Ceased_LAC!$A$1:$V$357</definedName>
    <definedName name="_xlnm.Print_Area" localSheetId="12">Population!$A$1:$U$72</definedName>
    <definedName name="_xlnm.Print_Area" localSheetId="14">Referral_Source!$A$1:$Y$140</definedName>
    <definedName name="_xlnm.Print_Area" localSheetId="13">Referrals!$A$1:$V$178</definedName>
    <definedName name="_xlnm.Print_Area" localSheetId="15">'Re-referrals'!$A$1:$V$142</definedName>
    <definedName name="_xlnm.Print_Area" localSheetId="18">'Section 47 Enquiries'!$A$1:$V$106</definedName>
    <definedName name="_xlnm.Print_Area" localSheetId="0">Sheet1!$A$1</definedName>
    <definedName name="_xlnm.Print_Titles" localSheetId="8">Home!$1:$3</definedName>
    <definedName name="_xlnm.Print_Titles" localSheetId="9">Indicators!$1:$3</definedName>
    <definedName name="Reading" localSheetId="2">'Year 2'!$N$2:$N$105</definedName>
    <definedName name="Reading" localSheetId="3">'Year 3'!$N$2:$N$105</definedName>
    <definedName name="Reading" localSheetId="4">'Year 4'!$N$2:$N$105</definedName>
    <definedName name="Reading" localSheetId="5">'Year 5'!$N$2:$N$105</definedName>
    <definedName name="Reading">'Year 1'!$N$2:$N$105</definedName>
    <definedName name="SENDLALIST">[2]MaintainedPlans!$AB$9:$AB$30</definedName>
    <definedName name="Slough" localSheetId="2">'Year 2'!$O$2:$O$105</definedName>
    <definedName name="Slough" localSheetId="3">'Year 3'!$O$2:$O$105</definedName>
    <definedName name="Slough" localSheetId="4">'Year 4'!$O$2:$O$105</definedName>
    <definedName name="Slough" localSheetId="5">'Year 5'!$O$2:$O$105</definedName>
    <definedName name="Slough">'Year 1'!$O$2:$O$105</definedName>
    <definedName name="Somerset" localSheetId="2">'Year 2'!$P$2:$P$105</definedName>
    <definedName name="Somerset" localSheetId="3">'Year 3'!$P$2:$P$105</definedName>
    <definedName name="Somerset" localSheetId="4">'Year 4'!$P$2:$P$105</definedName>
    <definedName name="Somerset" localSheetId="5">'Year 5'!$P$2:$P$105</definedName>
    <definedName name="Somerset">'Year 1'!$P$2:$P$105</definedName>
    <definedName name="South_East" localSheetId="2">'Year 2'!$Y$2:$Y$105</definedName>
    <definedName name="South_East" localSheetId="3">'Year 3'!$Y$2:$Y$105</definedName>
    <definedName name="South_East" localSheetId="4">'Year 4'!$Y$2:$Y$105</definedName>
    <definedName name="South_East" localSheetId="5">'Year 5'!$Y$2:$Y$105</definedName>
    <definedName name="South_East">'Year 1'!$Y$2:$Y$105</definedName>
    <definedName name="Southampton" localSheetId="2">'Year 2'!$Q$2:$Q$105</definedName>
    <definedName name="Southampton" localSheetId="3">'Year 3'!$Q$2:$Q$105</definedName>
    <definedName name="Southampton" localSheetId="4">'Year 4'!$Q$2:$Q$105</definedName>
    <definedName name="Southampton" localSheetId="5">'Year 5'!$Q$2:$Q$105</definedName>
    <definedName name="Southampton">'Year 1'!$Q$2:$Q$105</definedName>
    <definedName name="Surrey" localSheetId="2">'Year 2'!$R$2:$R$105</definedName>
    <definedName name="Surrey" localSheetId="3">'Year 3'!$R$2:$R$105</definedName>
    <definedName name="Surrey" localSheetId="4">'Year 4'!$R$2:$R$105</definedName>
    <definedName name="Surrey" localSheetId="5">'Year 5'!$R$2:$R$105</definedName>
    <definedName name="Surrey">'Year 1'!$R$2:$R$105</definedName>
    <definedName name="Swindon" localSheetId="2">'Year 2'!$S$2:$S$105</definedName>
    <definedName name="Swindon" localSheetId="3">'Year 3'!$S$2:$S$105</definedName>
    <definedName name="Swindon" localSheetId="4">'Year 4'!$S$2:$S$105</definedName>
    <definedName name="Swindon" localSheetId="5">'Year 5'!$S$2:$S$105</definedName>
    <definedName name="Swindon">'Year 1'!$S$2:$S$105</definedName>
    <definedName name="Torbay" localSheetId="2">'Year 2'!$T$2:$T$105</definedName>
    <definedName name="Torbay" localSheetId="3">'Year 3'!$T$2:$T$105</definedName>
    <definedName name="Torbay" localSheetId="4">'Year 4'!$T$2:$T$105</definedName>
    <definedName name="Torbay" localSheetId="5">'Year 5'!$T$2:$T$105</definedName>
    <definedName name="Torbay">'Year 1'!$T$2:$T$105</definedName>
    <definedName name="West_Berkshire" localSheetId="2">'Year 2'!$U$2:$U$105</definedName>
    <definedName name="West_Berkshire" localSheetId="3">'Year 3'!$U$2:$U$105</definedName>
    <definedName name="West_Berkshire" localSheetId="4">'Year 4'!$U$2:$U$105</definedName>
    <definedName name="West_Berkshire" localSheetId="5">'Year 5'!$U$2:$U$105</definedName>
    <definedName name="West_Berkshire">'Year 1'!$U$2:$U$105</definedName>
    <definedName name="West_Sussex" localSheetId="2">'Year 2'!$V$2:$V$105</definedName>
    <definedName name="West_Sussex" localSheetId="3">'Year 3'!$V$2:$V$105</definedName>
    <definedName name="West_Sussex" localSheetId="4">'Year 4'!$V$2:$V$105</definedName>
    <definedName name="West_Sussex" localSheetId="5">'Year 5'!$V$2:$V$105</definedName>
    <definedName name="West_Sussex">'Year 1'!$V$2:$V$105</definedName>
    <definedName name="Windsor___Maidenhead" localSheetId="2">'Year 2'!$W$2:$W$105</definedName>
    <definedName name="Windsor___Maidenhead" localSheetId="3">'Year 3'!$W$2:$W$105</definedName>
    <definedName name="Windsor___Maidenhead" localSheetId="4">'Year 4'!$W$2:$W$105</definedName>
    <definedName name="Windsor___Maidenhead" localSheetId="5">'Year 5'!$W$2:$W$105</definedName>
    <definedName name="Windsor___Maidenhead">'Year 1'!$W$2:$W$105</definedName>
    <definedName name="Wokingham" localSheetId="2">'Year 2'!$X$2:$X$105</definedName>
    <definedName name="Wokingham" localSheetId="3">'Year 3'!$X$2:$X$105</definedName>
    <definedName name="Wokingham" localSheetId="4">'Year 4'!$X$2:$X$105</definedName>
    <definedName name="Wokingham" localSheetId="5">'Year 5'!$X$2:$X$105</definedName>
    <definedName name="Wokingham">'Year 1'!$X$2:$X$105</definedName>
    <definedName name="Year1__electively_home_educated">'Year 1'!$C$96:$Z$96</definedName>
    <definedName name="Year1_16_17_NEET">'Year 1'!$A$99:$Z$99</definedName>
    <definedName name="Year1_16_17_not_known">'Year 1'!$A$101:$Z$101</definedName>
    <definedName name="Year1_16_17_participating_in_EET">'Year 1'!$A$100:$Z$100</definedName>
    <definedName name="Year1_1617_NEET">'Year 1'!$C$99:$Z$99</definedName>
    <definedName name="Year1_1617_not_known">'Year 1'!$C$101:$Z$101</definedName>
    <definedName name="Year1_1617_participating_in_EET">'Year 1'!$C$100:$Z$100</definedName>
    <definedName name="Year1_Adoption_ceased_LAC">'Year 1'!$C$79:$Z$79</definedName>
    <definedName name="Year1_Adoption_LAC_Adopted">'Year 1'!$C$80:$Z$80</definedName>
    <definedName name="Year1_Adoption_LAC_Adopted_days">'Year 1'!$C$81:$Z$81</definedName>
    <definedName name="Year1_Adoption_LAC_Adopted_placed_with_12months">'Year 1'!$C$82:$Z$82</definedName>
    <definedName name="Year1_Adoption_PFA">'Year 1'!$C$78:$Z$78</definedName>
    <definedName name="Year1_Assessments">'Year 1'!$C$38:$Z$38</definedName>
    <definedName name="Year1_Assessments_10days">'Year 1'!$C$40:$Z$40</definedName>
    <definedName name="Year1_Assessments_11_20days">'Year 1'!$C$41:$Z$41</definedName>
    <definedName name="Year1_Assessments_11_25days">'Year 1'!$C$41:$Z$41</definedName>
    <definedName name="Year1_Assessments_21_30days">'Year 1'!$C$42:$Z$42</definedName>
    <definedName name="Year1_Assessments_26_35days">'Year 1'!$C$42:$Z$42</definedName>
    <definedName name="Year1_Assessments_31_45days">'Year 1'!$C$43:$Z$43</definedName>
    <definedName name="Year1_Assessments_36_45days">'Year 1'!$C$43:$Z$43</definedName>
    <definedName name="Year1_Assessments_No_further_action">'Year 1'!$C$46:$Z$46</definedName>
    <definedName name="Year1_Assessments_over_45days">'Year 1'!$C$44:$Z$44</definedName>
    <definedName name="Year1_Assessments_step_down">'Year 1'!$C$45:$Z$45</definedName>
    <definedName name="Year1_Assessments_within45days">'Year 1'!$C$104:$Z$104</definedName>
    <definedName name="Year1_Bracknell_Forest" localSheetId="5">'Year 5'!$C$2:$C$105</definedName>
    <definedName name="Year1_Bracknell_Forest">'Year 1'!$C$2:$C$105</definedName>
    <definedName name="Year1_Brighton___Hove" localSheetId="5">'Year 5'!$D$2:$D$105</definedName>
    <definedName name="Year1_Brighton___Hove">'Year 1'!$D$2:$D$105</definedName>
    <definedName name="Year1_Brighton_Hove">'Year 1'!$D$1:$D$105</definedName>
    <definedName name="Year1_Buckinghamshire" localSheetId="5">'Year 5'!$E$2:$E$105</definedName>
    <definedName name="Year1_Buckinghamshire">'Year 1'!$E$2:$E$105</definedName>
    <definedName name="Year1_CAO_RO_FundedLA">'Year 1'!$C$106:$Z$106</definedName>
    <definedName name="Year1_CAO_RO_Total">'Year 1'!$C$90:$Z$90</definedName>
    <definedName name="Year1_Care_Applications">'Year 1'!$C$97:$Z$97</definedName>
    <definedName name="Year1_Care_Applications_Children">'Year 1'!$C$98:$Z$98</definedName>
    <definedName name="Year1_Care_Leavers_16_18th_birthday">'Year 1'!$C$83:$Z$83</definedName>
    <definedName name="Year1_Care_Leavers_at_end_of_period">'Year 1'!$C$84:$Z$84</definedName>
    <definedName name="Year1_Care_Leavers_in_EET">'Year 1'!$C$87:$Z$87</definedName>
    <definedName name="Year1_Care_Leavers_in_suitable_accommodation">'Year 1'!$C$86:$Z$86</definedName>
    <definedName name="Year1_Care_Leavers_in_touch">'Year 1'!$C$85:$Z$85</definedName>
    <definedName name="Year1_Ceased_LAC_16plus">'[3]Year 1'!$C$80:$Z$80</definedName>
    <definedName name="Year1_Ceased_LAC_16plus_18th">'[3]Year 1'!$C$81:$Z$81</definedName>
    <definedName name="Year1_Children_missing_Education">'Year 1'!$C$95:$Z$95</definedName>
    <definedName name="Year1_CIN">'Year 1'!$C$47:$Z$47</definedName>
    <definedName name="Year1_CIN_Section47">'Year 1'!$C$48:$Z$48</definedName>
    <definedName name="Year1_Contacts">'Year 1'!$C$2:$Z$2</definedName>
    <definedName name="Year1_Continuous_assessments">'Year 1'!$C$105:$Z$105</definedName>
    <definedName name="Year1_CP_Conference">'Year 1'!$C$49:$Z$49</definedName>
    <definedName name="Year1_CP_Conference_within15days">'Year 1'!$C$50:$Z$50</definedName>
    <definedName name="Year1_CP_Plans">'Year 1'!$C$51:$Z$51</definedName>
    <definedName name="Year1_CP_Plans_2years">'Year 1'!$C$55:$Z$55</definedName>
    <definedName name="Year1_CP_Plans_3months">'Year 1'!$C$52:$Z$52</definedName>
    <definedName name="Year1_CP_Plans_3months_timescales">'Year 1'!$C$53:$Z$53</definedName>
    <definedName name="Year1_CP_Plans_became_subject">'Year 1'!$C$58:$Z$58</definedName>
    <definedName name="Year1_CP_Plans_became_subject_second">'Year 1'!$C$59:$Z$59</definedName>
    <definedName name="Year1_CP_Plans_became_subject_second_2years">'Year 1'!$C$60:$Z$60</definedName>
    <definedName name="Year1_CP_Plans_ceased">'Year 1'!$C$56:$Z$56</definedName>
    <definedName name="Year1_CP_Plans_ceased_2years">'Year 1'!$C$57:$Z$57</definedName>
    <definedName name="Year1_CP_Plans_Seen_in_Timescales">'Year 1'!$C$54:$Z$54</definedName>
    <definedName name="Year1_EarlyHelpAssessments">'Year 1'!$C$7:$Z$7</definedName>
    <definedName name="Year1_EarlyHelpAssessmentsOngoing">'Year 1'!$C$9:$Z$9</definedName>
    <definedName name="Year1_EarlyHelpAssessmentsStepUp">'Year 1'!$C$10:$Z$10</definedName>
    <definedName name="Year1_EarlyHelpedChildren">'Year 1'!$C$11:$Z$11</definedName>
    <definedName name="Year1_EarlyHelpReferrals">'Year 1'!$C$3:$Z$3</definedName>
    <definedName name="Year1_EarlyHelpReferralsOntoASSESSMENT">'Year 1'!$C$5:$Z$5</definedName>
    <definedName name="Year1_EarlyHelpReferralsSTEPDOWN">'Year 1'!$C$4:$Z$4</definedName>
    <definedName name="Year1_EarlyHelpReReferrals">'Year 1'!$C$6:$Z$6</definedName>
    <definedName name="Year1_East_Sussex" localSheetId="5">'Year 5'!$F$2:$F$105</definedName>
    <definedName name="Year1_East_Sussex">'Year 1'!$F$2:$F$105</definedName>
    <definedName name="Year1_England" localSheetId="5">'Year 5'!$Z$2:$Z$105</definedName>
    <definedName name="Year1_England">'Year 1'!$Z$2:$Z$105</definedName>
    <definedName name="Year1_First_Time_Entrants_to_Youth_Justice_system">'Year 1'!$C$94:$Z$94</definedName>
    <definedName name="Year1_Hampshire" localSheetId="5">'Year 5'!$G$2:$G$105</definedName>
    <definedName name="Year1_Hampshire">'Year 1'!$G$2:$G$105</definedName>
    <definedName name="Year1_Isle_of_Wight" localSheetId="5">'Year 5'!$H$2:$H$105</definedName>
    <definedName name="Year1_Isle_of_Wight">'Year 1'!$H$2:$H$105</definedName>
    <definedName name="Year1_Juvenile_Offenders__Age_10_17">'Year 1'!$A$102:$Z$102</definedName>
    <definedName name="Year1_Juvenile_Offenders__Age_1017">'Year 1'!$C$102:$Z$102</definedName>
    <definedName name="Year1_Juvenile_Re_offenders__Age_10_17">'Year 1'!$A$103:$Z$103</definedName>
    <definedName name="Year1_Juvenile_Reoffenders__Age_1017">'Year 1'!$C$103:$Z$103</definedName>
    <definedName name="Year1_Kent" localSheetId="5">'Year 5'!$I$2:$I$105</definedName>
    <definedName name="Year1_Kent">'Year 1'!$I$2:$I$105</definedName>
    <definedName name="Year1_LAC">'Year 1'!$C$61:$Z$61</definedName>
    <definedName name="Year1_LAC_10to15">'Year 1'!$C$66:$Z$66</definedName>
    <definedName name="Year1_LAC_16plus">'Year 1'!$C$67:$Z$67</definedName>
    <definedName name="Year1_LAC_1to4">'Year 1'!$C$64:$Z$64</definedName>
    <definedName name="Year1_LAC_3_or_more_Placements">'Year 1'!$C$72:$Z$72</definedName>
    <definedName name="Year1_LAC_4weeks">'Year 1'!$C$73:$Z$73</definedName>
    <definedName name="Year1_LAC_4weeks_reviews_in_timescales">'Year 1'!$C$74:$Z$74</definedName>
    <definedName name="Year1_LAC_5to9">'Year 1'!$C$65:$Z$65</definedName>
    <definedName name="Year1_LAC_Remanded">'Year 1'!$C$77:$Z$77</definedName>
    <definedName name="Year1_LAC_Start">'Year 1'!$C$75:$Z$75</definedName>
    <definedName name="Year1_LAC_Start_2nd_time">'Year 1'!$C$76:$Z$76</definedName>
    <definedName name="Year1_LAC_UASC">'Year 1'!$C$71:$Z$71</definedName>
    <definedName name="Year1_LAC_Under1">'Year 1'!$C$63:$Z$63</definedName>
    <definedName name="Year1_LAC_under16">'Year 1'!$C$68:$Z$68</definedName>
    <definedName name="Year1_LAC_under16_2.5years">'Year 1'!$C$69:$Z$69</definedName>
    <definedName name="Year1_LAC_under16_2.5years_sameplacement2years">'Year 1'!$C$70:$Z$70</definedName>
    <definedName name="Year1_Medway" localSheetId="5">'Year 5'!$J$2:$J$105</definedName>
    <definedName name="Year1_Medway">'Year 1'!$J$2:$J$105</definedName>
    <definedName name="Year1_Milton_Keynes" localSheetId="5">'Year 5'!$K$2:$K$105</definedName>
    <definedName name="Year1_Milton_Keynes">'Year 1'!$K$2:$K$105</definedName>
    <definedName name="Year1_New_EHC__within_20_weeks">'Year 1'!$C$93:$Z$93</definedName>
    <definedName name="Year1_Number_EHC_Plans">'Year 1'!$C$92:$Z$92</definedName>
    <definedName name="Year1_Oxfordshire" localSheetId="5">'Year 5'!$L$2:$L$105</definedName>
    <definedName name="Year1_Oxfordshire">'Year 1'!$L$2:$L$105</definedName>
    <definedName name="Year1_Portsmouth" localSheetId="5">'Year 5'!$M$2:$M$105</definedName>
    <definedName name="Year1_Portsmouth">'Year 1'!$M$2:$M$105</definedName>
    <definedName name="Year1_Reading" localSheetId="5">'Year 5'!$N$2:$N$105</definedName>
    <definedName name="Year1_Reading">'Year 1'!$N$2:$N$105</definedName>
    <definedName name="Year1_Referrals">'Year 1'!$C$12:$Z$12</definedName>
    <definedName name="Year1_ReferralsAssessment">'Year 1'!$C$14:$Z$14</definedName>
    <definedName name="Year1_ReferralSource_Anonymous">'Year 1'!$C$35:$Z$35</definedName>
    <definedName name="Year1_ReferralSource_EducationServices">'Year 1'!$C$21:$Z$21</definedName>
    <definedName name="Year1_ReferralSource_Health_services_AE">'Year 1'!$C$26:$Z$26</definedName>
    <definedName name="Year1_ReferralSource_Health_services_GP">'Year 1'!$C$22:$Z$22</definedName>
    <definedName name="Year1_ReferralSource_Health_services_HealthVisitor">'Year 1'!$C$23:$Z$23</definedName>
    <definedName name="Year1_ReferralSource_Health_services_Other">'Year 1'!$C$27:$Z$27</definedName>
    <definedName name="Year1_ReferralSource_Health_services_OthPrimary">'Year 1'!$C$25:$Z$25</definedName>
    <definedName name="Year1_ReferralSource_Health_services_SchoolNurse">'Year 1'!$C$24:$Z$24</definedName>
    <definedName name="Year1_ReferralSource_Housing">'Year 1'!$C$28:$Z$28</definedName>
    <definedName name="Year1_ReferralSource_Individual_Acquaintance">'Year 1'!$C$17:$Z$17</definedName>
    <definedName name="Year1_ReferralSource_Individual_Family">'Year 1'!$C$16:$Z$16</definedName>
    <definedName name="Year1_ReferralSource_Individual_Other">'Year 1'!$C$19:$Z$19</definedName>
    <definedName name="Year1_ReferralSource_Individual_Self">'Year 1'!$C$18:$Z$18</definedName>
    <definedName name="Year1_ReferralSource_LA_External">'Year 1'!$C$31:$Z$31</definedName>
    <definedName name="Year1_ReferralSource_LA_Other">'Year 1'!$C$30:$Z$30</definedName>
    <definedName name="Year1_ReferralSource_LA_SC">'Year 1'!$C$29:$Z$29</definedName>
    <definedName name="Year1_ReferralSource_Other">'Year 1'!$C$34:$Z$34</definedName>
    <definedName name="Year1_ReferralSource_Other_Legal">'Year 1'!$C$33:$Z$33</definedName>
    <definedName name="Year1_ReferralSource_Police">'Year 1'!$C$32:$Z$32</definedName>
    <definedName name="Year1_ReferralSource_School">'Year 1'!$C$20:$Z$20</definedName>
    <definedName name="Year1_ReferralSource_Unknown">'Year 1'!$C$36:$Z$36</definedName>
    <definedName name="Year1_ReferralsPriorEH">'Year 1'!$C$13:$Z$13</definedName>
    <definedName name="Year1_ReReferrals">'Year 1'!$C$37:$Z$37</definedName>
    <definedName name="Year1_ROSGO_ceased_LAC_CAO">'Year 1'!$C$88:$Z$88</definedName>
    <definedName name="Year1_ROSGO_ceased_LAC_SGO">'Year 1'!$C$89:$Z$89</definedName>
    <definedName name="Year1_SGO_fundedLA">'Year 1'!$C$107:$Z$107</definedName>
    <definedName name="Year1_SGO_total">'Year 1'!$C$91:$Z$91</definedName>
    <definedName name="Year1_Slough" localSheetId="5">'Year 5'!$O$2:$O$105</definedName>
    <definedName name="Year1_Slough">'Year 1'!$O$2:$O$105</definedName>
    <definedName name="Year1_Somerset" localSheetId="5">'Year 5'!$P$2:$P$105</definedName>
    <definedName name="Year1_Somerset">'Year 1'!$P$2:$P$105</definedName>
    <definedName name="Year1_South_East" localSheetId="5">'Year 5'!$Y$2:$Y$105</definedName>
    <definedName name="Year1_South_East">'Year 1'!$Y$2:$Y$105</definedName>
    <definedName name="Year1_Southampton" localSheetId="5">'Year 5'!$Q$2:$Q$105</definedName>
    <definedName name="Year1_Southampton">'Year 1'!$Q$2:$Q$105</definedName>
    <definedName name="Year1_SouthEast">'Year 1'!$Y$1:$Y$105</definedName>
    <definedName name="Year1_Surrey" localSheetId="5">'Year 5'!$R$2:$R$105</definedName>
    <definedName name="Year1_Surrey">'Year 1'!$R$2:$R$105</definedName>
    <definedName name="Year1_Swindon" localSheetId="5">'Year 5'!$S$2:$S$105</definedName>
    <definedName name="Year1_Swindon">'Year 1'!$S$2:$S$105</definedName>
    <definedName name="Year1_Torbay" localSheetId="5">'Year 5'!$T$2:$T$105</definedName>
    <definedName name="Year1_Torbay">'Year 1'!$T$2:$T$105</definedName>
    <definedName name="Year1_West_Berkshire" localSheetId="5">'Year 5'!$U$2:$U$105</definedName>
    <definedName name="Year1_West_Berkshire">'Year 1'!$U$2:$U$105</definedName>
    <definedName name="Year1_West_Sussex" localSheetId="5">'Year 5'!$V$2:$V$105</definedName>
    <definedName name="Year1_West_Sussex">'Year 1'!$V$2:$V$105</definedName>
    <definedName name="Year1_Windsor___Maidenhead" localSheetId="5">'Year 5'!$W$2:$W$105</definedName>
    <definedName name="Year1_Windsor___Maidenhead">'Year 1'!$W$2:$W$105</definedName>
    <definedName name="Year1_Windsor_Maidenhead">'Year 1'!$W$1:$W$105</definedName>
    <definedName name="Year1_Wokingham" localSheetId="5">'Year 5'!$X$2:$X$105</definedName>
    <definedName name="Year1_Wokingham">'Year 1'!$X$2:$X$105</definedName>
    <definedName name="Year2__electively_home_educated">'Year 2'!$C$96:$Z$96</definedName>
    <definedName name="Year2_16_17_NEET">'Year 2'!$A$99:$Z$99</definedName>
    <definedName name="Year2_16_17_not_known">'Year 2'!$A$101:$Z$101</definedName>
    <definedName name="Year2_16_17_participating_in_EET">'Year 2'!$A$100:$Z$100</definedName>
    <definedName name="Year2_1617_NEET">'Year 2'!$C$99:$Z$99</definedName>
    <definedName name="Year2_1617_not_known">'Year 2'!$C$101:$Z$101</definedName>
    <definedName name="Year2_1617_participating_in_EET">'Year 2'!$C$100:$Z$100</definedName>
    <definedName name="Year2_Adoption_ceased_LAC">'Year 2'!$C$79:$Z$79</definedName>
    <definedName name="Year2_Adoption_LAC_Adopted">'Year 2'!$C$80:$Z$80</definedName>
    <definedName name="Year2_Adoption_LAC_Adopted_days">'Year 2'!$C$81:$Z$81</definedName>
    <definedName name="Year2_Adoption_LAC_Adopted_placed_with_12months">'Year 2'!$C$82:$Z$82</definedName>
    <definedName name="Year2_Adoption_PFA">'Year 2'!$C$78:$Z$78</definedName>
    <definedName name="Year2_Assessments">'Year 2'!$C$38:$Z$38</definedName>
    <definedName name="Year2_Assessments_10days">'Year 2'!$C$40:$Z$40</definedName>
    <definedName name="Year2_Assessments_11_20days">'Year 2'!$C$41:$Z$41</definedName>
    <definedName name="Year2_Assessments_11_25days">'Year 2'!$C$41:$Y$41</definedName>
    <definedName name="Year2_Assessments_21_30days">'Year 2'!$C$42:$Z$42</definedName>
    <definedName name="Year2_Assessments_26_35days">'Year 2'!$C$42:$Y$42</definedName>
    <definedName name="Year2_Assessments_31_45days">'Year 2'!$C$43:$Z$43</definedName>
    <definedName name="Year2_Assessments_36_45days">'Year 2'!$C$43:$Y$43</definedName>
    <definedName name="Year2_Assessments_No_further_action">'Year 2'!$C$46:$Z$46</definedName>
    <definedName name="Year2_Assessments_over_45days">'Year 2'!$C$44:$Z$44</definedName>
    <definedName name="Year2_Assessments_step_down">'Year 2'!$C$45:$Z$45</definedName>
    <definedName name="Year2_Assessments_within45days">'Year 2'!$C$104:$Z$104</definedName>
    <definedName name="Year2_Bracknell_Forest">'Year 2'!$C$2:$C$105</definedName>
    <definedName name="Year2_Brighton___Hove">'Year 2'!$D$2:$D$105</definedName>
    <definedName name="Year2_Brighton_Hove">'Year 2'!$D$1:$D$105</definedName>
    <definedName name="Year2_Buckinghamshire">'Year 2'!$E$2:$E$105</definedName>
    <definedName name="Year2_CAO_RO_FundedLA">'Year 2'!$C$106:$Z$106</definedName>
    <definedName name="Year2_CAO_RO_Total">'Year 2'!$C$90:$Z$90</definedName>
    <definedName name="Year2_Care_Applications">'Year 2'!$C$97:$Z$97</definedName>
    <definedName name="Year2_Care_Applications_Children">'Year 2'!$C$98:$Z$98</definedName>
    <definedName name="Year2_Care_Leavers_16_18th_birthday">'Year 2'!$C$83:$Z$83</definedName>
    <definedName name="Year2_Care_Leavers_at_end_of_period">'Year 2'!$C$84:$Z$84</definedName>
    <definedName name="Year2_Care_Leavers_in_EET">'Year 2'!$C$87:$Z$87</definedName>
    <definedName name="Year2_Care_Leavers_in_suitable_accommodation">'Year 2'!$C$86:$Z$86</definedName>
    <definedName name="Year2_Care_Leavers_in_touch">'Year 2'!$C$85:$Z$85</definedName>
    <definedName name="Year2_Ceased_LAC_16plus">'[3]Year 2'!$C$80:$Z$80</definedName>
    <definedName name="Year2_Ceased_LAC_16plus_18th">'[3]Year 2'!$C$81:$Z$81</definedName>
    <definedName name="Year2_Children_missing_Education">'Year 2'!$C$95:$Z$95</definedName>
    <definedName name="Year2_CIN">'Year 2'!$C$47:$Z$47</definedName>
    <definedName name="Year2_CIN_Section47">'Year 2'!$C$48:$Z$48</definedName>
    <definedName name="Year2_Contacts">'Year 2'!$C$2:$Z$2</definedName>
    <definedName name="Year2_Continuous_assessments">'Year 2'!$C$105:$Z$105</definedName>
    <definedName name="Year2_CP_Conference">'Year 2'!$C$49:$Z$49</definedName>
    <definedName name="Year2_CP_Conference_within15days">'Year 2'!$C$50:$Z$50</definedName>
    <definedName name="Year2_CP_Plans">'Year 2'!$C$51:$Z$51</definedName>
    <definedName name="Year2_CP_Plans_2years">'Year 2'!$C$55:$Z$55</definedName>
    <definedName name="Year2_CP_Plans_3months">'Year 2'!$C$52:$Z$52</definedName>
    <definedName name="Year2_CP_Plans_3months_timescales">'Year 2'!$C$53:$Z$53</definedName>
    <definedName name="Year2_CP_Plans_became_subject">'Year 2'!$C$58:$Z$58</definedName>
    <definedName name="Year2_CP_Plans_became_subject_second">'Year 2'!$C$59:$Z$59</definedName>
    <definedName name="Year2_CP_Plans_became_subject_second_2years">'Year 2'!$C$60:$Z$60</definedName>
    <definedName name="Year2_CP_Plans_ceased">'Year 2'!$C$56:$Z$56</definedName>
    <definedName name="Year2_CP_Plans_ceased_2years">'Year 2'!$C$57:$Z$57</definedName>
    <definedName name="Year2_CP_Plans_Seen_in_Timescales">'Year 2'!$C$54:$Z$54</definedName>
    <definedName name="Year2_EarlyHelpAssessments">'Year 2'!$C$7:$Z$7</definedName>
    <definedName name="Year2_EarlyHelpAssessmentsOngoing">'Year 2'!$C$9:$Z$9</definedName>
    <definedName name="Year2_EarlyHelpAssessmentsStepUp">'Year 2'!$C$10:$Z$10</definedName>
    <definedName name="Year2_EarlyHelpedChildren">'Year 2'!$C$11:$Z$11</definedName>
    <definedName name="Year2_EarlyHelpReferrals">'Year 2'!$C$3:$Z$3</definedName>
    <definedName name="Year2_EarlyHelpReferralsOntoASSESSMENT">'Year 2'!$C$5:$Z$5</definedName>
    <definedName name="Year2_EarlyHelpReferralsSTEPDOWN">'Year 2'!$C$4:$Z$4</definedName>
    <definedName name="Year2_EarlyHelpReReferrals">'Year 2'!$C$6:$Z$6</definedName>
    <definedName name="Year2_East_Sussex">'Year 2'!$F$2:$F$105</definedName>
    <definedName name="Year2_England">'Year 2'!$Z$2:$Z$105</definedName>
    <definedName name="Year2_First_Time_Entrants_to_Youth_Justice_system">'Year 2'!$C$94:$Z$94</definedName>
    <definedName name="Year2_Hampshire">'Year 2'!$G$2:$G$105</definedName>
    <definedName name="Year2_Isle_of_Wight">'Year 2'!$H$2:$H$105</definedName>
    <definedName name="Year2_Juvenile_Offenders__Age_10_17">'Year 2'!$A$102:$Z$102</definedName>
    <definedName name="Year2_Juvenile_Offenders__Age_1017">'Year 2'!$C$102:$Z$102</definedName>
    <definedName name="Year2_Juvenile_Re_offenders__Age_10_17">'Year 2'!$A$103:$Z$103</definedName>
    <definedName name="Year2_Juvenile_Reoffenders__Age_1017">'Year 2'!$C$103:$Z$103</definedName>
    <definedName name="Year2_Kent">'Year 2'!$I$2:$I$105</definedName>
    <definedName name="Year2_LAC">'Year 2'!$C$61:$Z$61</definedName>
    <definedName name="Year2_LAC_10to15">'Year 2'!$C$66:$Z$66</definedName>
    <definedName name="Year2_LAC_16plus">'Year 2'!$C$67:$Z$67</definedName>
    <definedName name="Year2_LAC_1to4">'Year 2'!$C$64:$Z$64</definedName>
    <definedName name="Year2_LAC_3_or_more_Placements">'Year 2'!$C$72:$Z$72</definedName>
    <definedName name="Year2_LAC_4weeks">'Year 2'!$C$73:$Z$73</definedName>
    <definedName name="Year2_LAC_4weeks_reviews_in_timescales">'Year 2'!$C$74:$Z$74</definedName>
    <definedName name="Year2_LAC_5to9">'Year 2'!$C$65:$Z$65</definedName>
    <definedName name="Year2_LAC_Remanded">'Year 2'!$C$77:$Z$77</definedName>
    <definedName name="Year2_LAC_Start">'Year 2'!$C$75:$Z$75</definedName>
    <definedName name="Year2_LAC_Start_2nd_time">'Year 2'!$C$76:$Z$76</definedName>
    <definedName name="Year2_LAC_UASC">'Year 2'!$C$71:$Z$71</definedName>
    <definedName name="Year2_LAC_Under1">'Year 2'!$C$63:$Z$63</definedName>
    <definedName name="Year2_LAC_under16">'Year 2'!$C$68:$Z$68</definedName>
    <definedName name="Year2_LAC_under16_2.5years">'Year 2'!$C$69:$Z$69</definedName>
    <definedName name="Year2_LAC_under16_2.5years_sameplacement2years">'Year 2'!$C$70:$Z$70</definedName>
    <definedName name="Year2_Medway">'Year 2'!$J$2:$J$105</definedName>
    <definedName name="Year2_Milton_Keynes">'Year 2'!$K$2:$K$105</definedName>
    <definedName name="Year2_New_EHC__within_20_weeks">'Year 2'!$C$93:$Z$93</definedName>
    <definedName name="Year2_Number_EHC_Plans">'Year 2'!$C$92:$Z$92</definedName>
    <definedName name="Year2_Oxfordshire">'Year 2'!$L$2:$L$105</definedName>
    <definedName name="Year2_Portsmouth">'Year 2'!$M$2:$M$105</definedName>
    <definedName name="Year2_Reading">'Year 2'!$N$2:$N$105</definedName>
    <definedName name="Year2_Referrals">'Year 2'!$C$12:$Z$12</definedName>
    <definedName name="Year2_ReferralsAssessment">'Year 2'!$C$14:$Z$14</definedName>
    <definedName name="Year2_ReferralSource_Anonymous">'Year 2'!$C$35:$Z$35</definedName>
    <definedName name="Year2_ReferralSource_EducationServices">'Year 2'!$C$21:$Z$21</definedName>
    <definedName name="Year2_ReferralSource_Health_services_AE">'Year 2'!$C$26:$Z$26</definedName>
    <definedName name="Year2_ReferralSource_Health_services_GP">'Year 2'!$C$22:$Z$22</definedName>
    <definedName name="Year2_ReferralSource_Health_services_HealthVisitor">'Year 2'!$C$23:$Z$23</definedName>
    <definedName name="Year2_ReferralSource_Health_services_Other">'Year 2'!$C$27:$Z$27</definedName>
    <definedName name="Year2_ReferralSource_Health_services_OthPrimary">'Year 2'!$C$25:$Z$25</definedName>
    <definedName name="Year2_ReferralSource_Health_services_SchoolNurse">'Year 2'!$C$24:$Z$24</definedName>
    <definedName name="Year2_ReferralSource_Housing">'Year 2'!$C$28:$Z$28</definedName>
    <definedName name="Year2_ReferralSource_Individual_Acquaintance">'Year 2'!$C$17:$Z$17</definedName>
    <definedName name="Year2_ReferralSource_Individual_Family">'Year 2'!$C$16:$Z$16</definedName>
    <definedName name="Year2_ReferralSource_Individual_Other">'Year 2'!$C$19:$Z$19</definedName>
    <definedName name="Year2_ReferralSource_Individual_Self">'Year 2'!$C$18:$Z$18</definedName>
    <definedName name="Year2_ReferralSource_LA_External">'Year 2'!$C$31:$Z$31</definedName>
    <definedName name="Year2_ReferralSource_LA_Other">'Year 2'!$C$30:$Z$30</definedName>
    <definedName name="Year2_ReferralSource_LA_SC">'Year 2'!$C$29:$Z$29</definedName>
    <definedName name="Year2_ReferralSource_Other">'Year 2'!$C$34:$Z$34</definedName>
    <definedName name="Year2_ReferralSource_Other_Legal">'Year 2'!$C$33:$Z$33</definedName>
    <definedName name="Year2_ReferralSource_Police">'Year 2'!$C$32:$Z$32</definedName>
    <definedName name="Year2_ReferralSource_School">'Year 2'!$C$20:$Z$20</definedName>
    <definedName name="Year2_ReferralSource_Unknown">'Year 2'!$C$36:$Z$36</definedName>
    <definedName name="Year2_ReferralsPriorEH">'Year 2'!$C$13:$Z$13</definedName>
    <definedName name="Year2_ReReferrals">'Year 2'!$C$37:$Z$37</definedName>
    <definedName name="Year2_ROSGO_ceased_LAC_CAO">'Year 2'!$C$88:$Z$88</definedName>
    <definedName name="Year2_ROSGO_ceased_LAC_SGO">'Year 2'!$C$89:$Z$89</definedName>
    <definedName name="Year2_SGO_fundedLA">'Year 2'!$C$107:$Z$107</definedName>
    <definedName name="Year2_SGO_total">'Year 2'!$C$91:$Z$91</definedName>
    <definedName name="Year2_Slough">'Year 2'!$O$2:$O$105</definedName>
    <definedName name="Year2_Somerset">'Year 2'!$P$2:$P$105</definedName>
    <definedName name="Year2_South_East">'Year 2'!$Y$2:$Y$105</definedName>
    <definedName name="Year2_Southampton">'Year 2'!$Q$2:$Q$105</definedName>
    <definedName name="Year2_SouthEast">'Year 2'!$Y$1:$Y$105</definedName>
    <definedName name="Year2_Surrey">'Year 2'!$R$2:$R$105</definedName>
    <definedName name="Year2_Swindon">'Year 2'!$S$2:$S$105</definedName>
    <definedName name="Year2_Torbay">'Year 2'!$T$2:$T$105</definedName>
    <definedName name="Year2_West_Berkshire">'Year 2'!$U$2:$U$105</definedName>
    <definedName name="Year2_West_Sussex">'Year 2'!$V$2:$V$105</definedName>
    <definedName name="Year2_Windsor___Maidenhead">'Year 2'!$W$2:$W$105</definedName>
    <definedName name="Year2_Windsor_Maidenhead">'Year 2'!$W$1:$W$105</definedName>
    <definedName name="Year2_Wokingham">'Year 2'!$X$2:$X$105</definedName>
    <definedName name="Year3__electively_home_educated">'Year 3'!$C$96:$Z$96</definedName>
    <definedName name="Year3_16_17_NEET">'Year 3'!$A$99:$Z$99</definedName>
    <definedName name="Year3_16_17_not_known">'Year 3'!$A$101:$Z$101</definedName>
    <definedName name="Year3_16_17_participating_in_EET">'Year 3'!$A$100:$Z$100</definedName>
    <definedName name="Year3_1617_NEET">'Year 3'!$C$99:$Z$99</definedName>
    <definedName name="Year3_1617_not_known">'Year 3'!$C$101:$Z$101</definedName>
    <definedName name="Year3_1617_participating_in_EET">'Year 3'!$C$100:$Z$100</definedName>
    <definedName name="Year3_Adoption_ceased_LAC">'Year 3'!$C$79:$Z$79</definedName>
    <definedName name="Year3_Adoption_LAC_Adopted">'Year 3'!$C$80:$Z$80</definedName>
    <definedName name="Year3_Adoption_LAC_Adopted_days">'Year 3'!$C$81:$Z$81</definedName>
    <definedName name="Year3_Adoption_LAC_Adopted_placed_with_12months">'Year 3'!$C$82:$Z$82</definedName>
    <definedName name="Year3_Adoption_PFA">'Year 3'!$C$78:$Z$78</definedName>
    <definedName name="Year3_Assessments">'Year 3'!$C$38:$Z$38</definedName>
    <definedName name="Year3_Assessments_10days">'Year 3'!$C$40:$Z$40</definedName>
    <definedName name="Year3_Assessments_11_20days">'Year 3'!$C$41:$Z$41</definedName>
    <definedName name="Year3_Assessments_11_25days">'Year 3'!$C$41:$Y$41</definedName>
    <definedName name="Year3_Assessments_21_30days">'Year 3'!$C$42:$Z$42</definedName>
    <definedName name="Year3_Assessments_26_35days">'Year 3'!$C$42:$Y$42</definedName>
    <definedName name="Year3_Assessments_31_45days">'Year 3'!$C$43:$Z$43</definedName>
    <definedName name="Year3_Assessments_36_45days">'Year 3'!$C$43:$Y$43</definedName>
    <definedName name="Year3_Assessments_No_further_action">'Year 3'!$C$46:$Z$46</definedName>
    <definedName name="Year3_Assessments_over_45days">'Year 3'!$C$44:$Z$44</definedName>
    <definedName name="Year3_Assessments_step_down">'Year 3'!$C$45:$Z$45</definedName>
    <definedName name="Year3_Assessments_within45days">'Year 3'!$C$104:$Z$104</definedName>
    <definedName name="Year3_Bracknell_Forest">'Year 3'!$C$2:$C$105</definedName>
    <definedName name="Year3_Brighton___Hove">'Year 3'!$D$2:$D$105</definedName>
    <definedName name="Year3_Brighton_Hove">'Year 3'!$D$1:$D$105</definedName>
    <definedName name="Year3_Buckinghamshire">'Year 3'!$E$2:$E$105</definedName>
    <definedName name="Year3_CAO_RO_FundedLA">'Year 3'!$C$106:$Z$106</definedName>
    <definedName name="Year3_CAO_RO_Total">'Year 3'!$C$90:$Z$90</definedName>
    <definedName name="Year3_Care_Applications">'Year 3'!$C$97:$Z$97</definedName>
    <definedName name="Year3_Care_Applications_Children">'Year 3'!$C$98:$Z$98</definedName>
    <definedName name="Year3_Care_Leavers_16_18th_birthday">'Year 3'!$C$83:$Z$83</definedName>
    <definedName name="Year3_Care_Leavers_at_end_of_period">'Year 3'!$C$84:$Z$84</definedName>
    <definedName name="Year3_Care_Leavers_in_EET">'Year 3'!$C$87:$Z$87</definedName>
    <definedName name="Year3_Care_Leavers_in_suitable_accommodation">'Year 3'!$C$86:$Z$86</definedName>
    <definedName name="Year3_Care_Leavers_in_touch">'Year 3'!$C$85:$Z$85</definedName>
    <definedName name="Year3_Ceased_LAC_16plus">'[3]Year 3'!$C$80:$Z$80</definedName>
    <definedName name="Year3_Ceased_LAC_16plus_18th">'[3]Year 3'!$C$81:$Z$81</definedName>
    <definedName name="Year3_Children_missing_Education">'Year 3'!$C$95:$Z$95</definedName>
    <definedName name="Year3_CIN">'Year 3'!$C$47:$Z$47</definedName>
    <definedName name="Year3_CIN_Section47">'Year 3'!$C$48:$Z$48</definedName>
    <definedName name="Year3_Contacts">'Year 3'!$C$2:$Z$2</definedName>
    <definedName name="Year3_Continuous_assessments">'Year 3'!$C$105:$Z$105</definedName>
    <definedName name="Year3_CP_Conference">'Year 3'!$C$49:$Z$49</definedName>
    <definedName name="Year3_CP_Conference_within15days">'Year 3'!$C$50:$Z$50</definedName>
    <definedName name="Year3_CP_Plans">'Year 3'!$C$51:$Z$51</definedName>
    <definedName name="Year3_CP_Plans_2years">'Year 3'!$C$55:$Z$55</definedName>
    <definedName name="Year3_CP_Plans_3months">'Year 3'!$C$52:$Z$52</definedName>
    <definedName name="Year3_CP_Plans_3months_timescales">'Year 3'!$C$53:$Z$53</definedName>
    <definedName name="Year3_CP_Plans_became_subject">'Year 3'!$C$58:$Z$58</definedName>
    <definedName name="Year3_CP_Plans_became_subject_second">'Year 3'!$C$59:$Z$59</definedName>
    <definedName name="Year3_CP_Plans_became_subject_second_2years">'Year 3'!$C$60:$Z$60</definedName>
    <definedName name="Year3_CP_Plans_ceased">'Year 3'!$C$56:$Z$56</definedName>
    <definedName name="Year3_CP_Plans_ceased_2years">'Year 3'!$C$57:$Z$57</definedName>
    <definedName name="Year3_CP_Plans_Seen_in_Timescales">'Year 3'!$C$54:$Z$54</definedName>
    <definedName name="Year3_EarlyHelpAssessments">'Year 3'!$C$7:$Z$7</definedName>
    <definedName name="Year3_EarlyHelpAssessmentsOngoing">'Year 3'!$C$9:$Z$9</definedName>
    <definedName name="Year3_EarlyHelpAssessmentsStepUp">'Year 3'!$C$10:$Z$10</definedName>
    <definedName name="Year3_EarlyHelpedChildren">'Year 3'!$C$11:$Z$11</definedName>
    <definedName name="Year3_EarlyHelpReferrals">'Year 3'!$C$3:$Z$3</definedName>
    <definedName name="Year3_EarlyHelpReferralsOntoASSESSMENT">'Year 3'!$C$5:$Z$5</definedName>
    <definedName name="Year3_EarlyHelpReferralsSTEPDOWN">'Year 3'!$C$4:$Z$4</definedName>
    <definedName name="Year3_EarlyHelpReReferrals">'Year 3'!$C$6:$Z$6</definedName>
    <definedName name="Year3_East_Sussex">'Year 3'!$F$2:$F$105</definedName>
    <definedName name="Year3_England">'Year 3'!$Z$2:$Z$105</definedName>
    <definedName name="Year3_First_Time_Entrants_to_Youth_Justice_system">'Year 3'!$C$94:$Z$94</definedName>
    <definedName name="Year3_Hampshire">'Year 3'!$G$2:$G$105</definedName>
    <definedName name="Year3_Isle_of_Wight">'Year 3'!$H$2:$H$105</definedName>
    <definedName name="Year3_Juvenile_Offenders__Age_10_17">'Year 3'!$A$102:$Z$102</definedName>
    <definedName name="Year3_Juvenile_Offenders__Age_1017">'Year 3'!$C$102:$Z$102</definedName>
    <definedName name="Year3_Juvenile_Re_offenders__Age_10_17">'Year 3'!$A$103:$Z$103</definedName>
    <definedName name="Year3_Juvenile_Reoffenders__Age_1017">'Year 3'!$C$103:$Z$103</definedName>
    <definedName name="Year3_Kent">'Year 3'!$I$2:$I$105</definedName>
    <definedName name="Year3_LAC">'Year 3'!$C$61:$Z$61</definedName>
    <definedName name="Year3_LAC_10to15">'Year 3'!$C$66:$Z$66</definedName>
    <definedName name="Year3_LAC_16plus">'Year 3'!$C$67:$Z$67</definedName>
    <definedName name="Year3_LAC_1to4">'Year 3'!$C$64:$Z$64</definedName>
    <definedName name="Year3_LAC_3_or_more_Placements">'Year 3'!$C$72:$Z$72</definedName>
    <definedName name="Year3_LAC_4weeks">'Year 3'!$C$73:$Z$73</definedName>
    <definedName name="Year3_LAC_4weeks_reviews_in_timescales">'Year 3'!$C$74:$Z$74</definedName>
    <definedName name="Year3_LAC_5to9">'Year 3'!$C$65:$Z$65</definedName>
    <definedName name="Year3_LAC_Remanded">'Year 3'!$C$77:$Z$77</definedName>
    <definedName name="Year3_LAC_Start">'Year 3'!$C$75:$Z$75</definedName>
    <definedName name="Year3_LAC_Start_2nd_time">'Year 3'!$C$76:$Z$76</definedName>
    <definedName name="Year3_LAC_UASC">'Year 3'!$C$71:$Z$71</definedName>
    <definedName name="Year3_LAC_Under1">'Year 3'!$C$63:$Z$63</definedName>
    <definedName name="Year3_LAC_under16">'Year 3'!$C$68:$Z$68</definedName>
    <definedName name="Year3_LAC_under16_2.5years">'Year 3'!$C$69:$Z$69</definedName>
    <definedName name="Year3_LAC_under16_2.5years_sameplacement2years">'Year 3'!$C$70:$Z$70</definedName>
    <definedName name="Year3_Medway">'Year 3'!$J$2:$J$105</definedName>
    <definedName name="Year3_Milton_Keynes">'Year 3'!$K$2:$K$105</definedName>
    <definedName name="Year3_New_EHC__within_20_weeks">'Year 3'!$C$93:$Z$93</definedName>
    <definedName name="Year3_Number_EHC_Plans">'Year 3'!$C$92:$Z$92</definedName>
    <definedName name="Year3_Oxfordshire">'Year 3'!$L$2:$L$105</definedName>
    <definedName name="Year3_Portsmouth">'Year 3'!$M$2:$M$105</definedName>
    <definedName name="Year3_Reading">'Year 3'!$N$2:$N$105</definedName>
    <definedName name="Year3_Referrals">'Year 3'!$C$12:$Z$12</definedName>
    <definedName name="Year3_ReferralsAssessment">'Year 3'!$C$14:$Z$14</definedName>
    <definedName name="Year3_ReferralSource_Anonymous">'Year 3'!$C$35:$Z$35</definedName>
    <definedName name="Year3_ReferralSource_EducationServices">'Year 3'!$C$21:$Z$21</definedName>
    <definedName name="Year3_ReferralSource_Health_services_AE">'Year 3'!$C$26:$Z$26</definedName>
    <definedName name="Year3_ReferralSource_Health_services_GP">'Year 3'!$C$22:$Z$22</definedName>
    <definedName name="Year3_ReferralSource_Health_services_HealthVisitor">'Year 3'!$C$23:$Z$23</definedName>
    <definedName name="Year3_ReferralSource_Health_services_Other">'Year 3'!$C$27:$Z$27</definedName>
    <definedName name="Year3_ReferralSource_Health_services_OthPrimary">'Year 3'!$C$25:$Z$25</definedName>
    <definedName name="Year3_ReferralSource_Health_services_SchoolNurse">'Year 3'!$C$24:$Z$24</definedName>
    <definedName name="Year3_ReferralSource_Housing">'Year 3'!$C$28:$Z$28</definedName>
    <definedName name="Year3_ReferralSource_Individual_Acquaintance">'Year 3'!$C$17:$Z$17</definedName>
    <definedName name="Year3_ReferralSource_Individual_Family">'Year 3'!$C$16:$Z$16</definedName>
    <definedName name="Year3_ReferralSource_Individual_Other">'Year 3'!$C$19:$Z$19</definedName>
    <definedName name="Year3_ReferralSource_Individual_Self">'Year 3'!$C$18:$Z$18</definedName>
    <definedName name="Year3_ReferralSource_LA_External">'Year 3'!$C$31:$Z$31</definedName>
    <definedName name="Year3_ReferralSource_LA_Other">'Year 3'!$C$30:$Z$30</definedName>
    <definedName name="Year3_ReferralSource_LA_SC">'Year 3'!$C$29:$Z$29</definedName>
    <definedName name="Year3_ReferralSource_Other">'Year 3'!$C$34:$Z$34</definedName>
    <definedName name="Year3_ReferralSource_Other_Legal">'Year 3'!$C$33:$Z$33</definedName>
    <definedName name="Year3_ReferralSource_Police">'Year 3'!$C$32:$Z$32</definedName>
    <definedName name="Year3_ReferralSource_School">'Year 3'!$C$20:$Z$20</definedName>
    <definedName name="Year3_ReferralSource_Unknown">'Year 3'!$C$36:$Z$36</definedName>
    <definedName name="Year3_ReferralsPriorEH">'Year 3'!$C$13:$Z$13</definedName>
    <definedName name="Year3_ReReferrals">'Year 3'!$C$37:$Z$37</definedName>
    <definedName name="Year3_ROSGO_ceased_LAC_CAO">'Year 3'!$C$88:$Z$88</definedName>
    <definedName name="Year3_ROSGO_ceased_LAC_SGO">'Year 3'!$C$89:$Z$89</definedName>
    <definedName name="Year3_SGO_fundedLA">'Year 3'!$C$107:$Z$107</definedName>
    <definedName name="Year3_SGO_total">'Year 3'!$C$91:$Z$91</definedName>
    <definedName name="Year3_Slough">'Year 3'!$O$2:$O$105</definedName>
    <definedName name="Year3_Somerset">'Year 3'!$P$2:$P$105</definedName>
    <definedName name="Year3_South_East">'Year 3'!$Y$2:$Y$105</definedName>
    <definedName name="Year3_Southampton">'Year 3'!$Q$2:$Q$105</definedName>
    <definedName name="Year3_SouthEast">'Year 3'!$Y$1:$Y$105</definedName>
    <definedName name="Year3_Surrey">'Year 3'!$R$2:$R$105</definedName>
    <definedName name="Year3_Swindon">'Year 3'!$S$2:$S$105</definedName>
    <definedName name="Year3_Torbay">'Year 3'!$T$2:$T$105</definedName>
    <definedName name="Year3_West_Berkshire">'Year 3'!$U$2:$U$105</definedName>
    <definedName name="Year3_West_Sussex">'Year 3'!$V$2:$V$105</definedName>
    <definedName name="Year3_Windsor___Maidenhead">'Year 3'!$W$2:$W$105</definedName>
    <definedName name="Year3_Windsor_Maidenhead">'Year 3'!$W$1:$W$105</definedName>
    <definedName name="Year3_Wokingham">'Year 3'!$X$2:$X$105</definedName>
    <definedName name="Year4__1617__participating_in_EET">'Year 4'!$C$100:$Z$100</definedName>
    <definedName name="Year4__electively_home_educated">'Year 4'!$C$96:$Z$96</definedName>
    <definedName name="Year4_017_Population">'Year 4'!#REF!</definedName>
    <definedName name="Year4_16_17_NEET">'Year 4'!$A$99:$Z$99</definedName>
    <definedName name="Year4_16_17_not_known">'Year 4'!$A$101:$Z$101</definedName>
    <definedName name="Year4_16_17_participating_in_EET">'Year 4'!$A$100:$Z$100</definedName>
    <definedName name="Year4_1617_NEET">'Year 4'!$C$99:$Z$99</definedName>
    <definedName name="Year4_1617_not_known">'Year 4'!$C$101:$Z$101</definedName>
    <definedName name="Year4_Adoption_ceased_LAC">'Year 4'!$C$79:$Z$79</definedName>
    <definedName name="Year4_Adoption_LAC_Adopted">'Year 4'!$C$80:$Z$80</definedName>
    <definedName name="Year4_Adoption_LAC_Adopted_days">'Year 4'!$C$81:$Z$81</definedName>
    <definedName name="Year4_Adoption_LAC_Adopted_placed_with_12months">'Year 4'!$C$82:$Z$82</definedName>
    <definedName name="Year4_Adoption_PFA">'Year 4'!$C$78:$Z$78</definedName>
    <definedName name="Year4_Assessments">'Year 4'!$C$38:$Z$38</definedName>
    <definedName name="Year4_Assessments_10days">'Year 4'!$C$40:$Z$40</definedName>
    <definedName name="Year4_Assessments_11_20days">'Year 4'!$C$41:$Z$41</definedName>
    <definedName name="Year4_Assessments_11_25days">'Year 4'!$C$41:$Z$41</definedName>
    <definedName name="Year4_Assessments_21_30days">'Year 4'!$C$42:$Z$42</definedName>
    <definedName name="Year4_Assessments_26_35days">'Year 4'!$C$42:$Z$42</definedName>
    <definedName name="Year4_Assessments_31_45days">'Year 4'!$C$43:$Z$43</definedName>
    <definedName name="Year4_Assessments_36_45days">'Year 4'!$C$43:$Z$43</definedName>
    <definedName name="Year4_Assessments_No_further_action">'Year 4'!$C$46:$Z$46</definedName>
    <definedName name="Year4_Assessments_over_45days">'Year 4'!$C$44:$Z$44</definedName>
    <definedName name="Year4_Assessments_step_down">'Year 4'!$C$45:$Z$45</definedName>
    <definedName name="Year4_Assessments_within45days" localSheetId="5">'Year 4'!$A$104:$Z$104</definedName>
    <definedName name="Year4_Assessments_within45days">'Year 4'!$C$104:$Z$104</definedName>
    <definedName name="Year4_Bracknell_Forest">'Year 4'!$C$2:$C$107</definedName>
    <definedName name="Year4_Brighton___Hove">'Year 4'!$D$2:$D$107</definedName>
    <definedName name="Year4_Brighton_Hove">'Year 4'!$D$1:$D$105</definedName>
    <definedName name="Year4_Buckinghamshire">'Year 4'!$E$2:$E$107</definedName>
    <definedName name="Year4_CAO_RO_FundedLA">'Year 4'!$C$106:$Z$106</definedName>
    <definedName name="Year4_CAO_RO_Total">'Year 4'!$C$90:$Z$90</definedName>
    <definedName name="Year4_Care_Applications">'Year 4'!$C$97:$Z$97</definedName>
    <definedName name="Year4_Care_Applications_Children">'Year 4'!$C$98:$Z$98</definedName>
    <definedName name="Year4_Care_Leavers_16_18th_birthday">'Year 4'!$C$83:$Z$83</definedName>
    <definedName name="Year4_Care_Leavers_at_end_of_period">'Year 4'!$C$84:$Z$84</definedName>
    <definedName name="Year4_Care_Leavers_in_EET">'Year 4'!$C$87:$Z$87</definedName>
    <definedName name="Year4_Care_Leavers_in_suitable_accommodation">'Year 4'!$C$86:$Z$86</definedName>
    <definedName name="Year4_Care_Leavers_in_touch">'Year 4'!$C$85:$Z$85</definedName>
    <definedName name="Year4_Ceased_LAC_16plus">'[3]Year 4'!$C$80:$Z$80</definedName>
    <definedName name="Year4_Ceased_LAC_16plus_18th">'[3]Year 4'!$C$81:$Z$81</definedName>
    <definedName name="Year4_Children_missing_Education">'Year 4'!$C$95:$Z$95</definedName>
    <definedName name="Year4_CIN">'Year 4'!$C$47:$Z$47</definedName>
    <definedName name="Year4_CIN_Section47">'Year 4'!$C$48:$Z$48</definedName>
    <definedName name="Year4_Contacts">'Year 4'!$C$2:$Z$2</definedName>
    <definedName name="Year4_Continuous_assessments">'Year 4'!$C$105:$Z$105</definedName>
    <definedName name="Year4_CP_Conference">'Year 4'!$C$49:$Z$49</definedName>
    <definedName name="Year4_CP_Conference_within15days">'Year 4'!$C$50:$Z$50</definedName>
    <definedName name="Year4_CP_Plans">'Year 4'!$C$51:$Z$51</definedName>
    <definedName name="Year4_CP_Plans_2years">'Year 4'!$C$55:$Z$55</definedName>
    <definedName name="Year4_CP_Plans_3months">'Year 4'!$C$52:$Z$52</definedName>
    <definedName name="Year4_CP_Plans_3months_timescales">'Year 4'!$C$53:$Z$53</definedName>
    <definedName name="Year4_CP_Plans_became_subject">'Year 4'!$C$58:$Z$58</definedName>
    <definedName name="Year4_CP_Plans_became_subject_second">'Year 4'!$C$59:$Z$59</definedName>
    <definedName name="Year4_CP_Plans_became_subject_second_2years">'Year 4'!$C$60:$Z$60</definedName>
    <definedName name="Year4_CP_Plans_ceased">'Year 4'!$C$56:$Z$56</definedName>
    <definedName name="Year4_CP_Plans_ceased_2years">'Year 4'!$C$57:$Z$57</definedName>
    <definedName name="Year4_CP_Plans_Seen_in_Timescales">'Year 4'!$C$54:$Z$54</definedName>
    <definedName name="Year4_EarlyHelpAssessments">'Year 4'!$C$7:$Z$7</definedName>
    <definedName name="Year4_EarlyHelpAssessmentsOngoing">'Year 4'!$C$9:$Z$9</definedName>
    <definedName name="Year4_EarlyHelpAssessmentsStepUp">'Year 4'!$C$10:$Z$10</definedName>
    <definedName name="Year4_EarlyHelpedChildren">'Year 4'!$C$11:$Z$11</definedName>
    <definedName name="Year4_EarlyHelpReferrals">'Year 4'!$C$3:$Z$3</definedName>
    <definedName name="Year4_EarlyHelpReferralsOntoASSESSMENT">'Year 4'!$C$5:$Z$5</definedName>
    <definedName name="Year4_EarlyHelpReferralsSTEPDOWN">'Year 4'!$C$4:$Z$4</definedName>
    <definedName name="Year4_EarlyHelpReReferrals">'Year 4'!$C$6:$Z$6</definedName>
    <definedName name="Year4_East_Sussex">'Year 4'!$F$2:$F$107</definedName>
    <definedName name="Year4_England">'Year 4'!$Z$2:$Z$107</definedName>
    <definedName name="Year4_First_Time_Entrants_to_Youth_Justice_system">'Year 4'!$C$94:$Z$94</definedName>
    <definedName name="Year4_Hampshire">'Year 4'!$G$2:$G$107</definedName>
    <definedName name="Year4_Isle_of_Wight">'Year 4'!$H$2:$H$107</definedName>
    <definedName name="Year4_Juvenile_Offenders__Age_10_17">'Year 4'!$A$102:$Z$102</definedName>
    <definedName name="Year4_Juvenile_Offenders__Age_1017">'Year 4'!$C$102:$Z$102</definedName>
    <definedName name="Year4_Juvenile_Re_offenders__Age_10_17">'Year 4'!$A$103:$Z$103</definedName>
    <definedName name="Year4_Juvenile_Reoffenders__Age_1017">'Year 4'!$C$103:$Z$103</definedName>
    <definedName name="Year4_Kent">'Year 4'!$I$2:$I$107</definedName>
    <definedName name="Year4_LAC">'Year 4'!$C$61:$Z$61</definedName>
    <definedName name="Year4_LAC_10to15">'Year 4'!$C$66:$Z$66</definedName>
    <definedName name="Year4_LAC_16plus">'Year 4'!$C$67:$Z$67</definedName>
    <definedName name="Year4_LAC_1to4">'Year 4'!$C$64:$Z$64</definedName>
    <definedName name="Year4_LAC_3_or_more_Placements">'Year 4'!$C$72:$Z$72</definedName>
    <definedName name="Year4_LAC_4weeks">'Year 4'!$C$73:$Z$73</definedName>
    <definedName name="Year4_LAC_4weeks_reviews_in_timescales">'Year 4'!$C$74:$Z$74</definedName>
    <definedName name="Year4_LAC_5to9">'Year 4'!$C$65:$Z$65</definedName>
    <definedName name="Year4_LAC_Remanded">'Year 4'!$C$77:$Z$77</definedName>
    <definedName name="Year4_LAC_Start">'Year 4'!$C$75:$Z$75</definedName>
    <definedName name="Year4_LAC_Start_2nd_time">'Year 4'!$C$76:$Z$76</definedName>
    <definedName name="Year4_LAC_UASC">'Year 4'!$C$71:$Z$71</definedName>
    <definedName name="Year4_LAC_Under1">'Year 4'!$C$63:$Z$63</definedName>
    <definedName name="Year4_LAC_under16">'Year 4'!$C$68:$Z$68</definedName>
    <definedName name="Year4_LAC_under16_2.5years">'Year 4'!$C$69:$Z$69</definedName>
    <definedName name="Year4_LAC_under16_2.5years_sameplacement2years">'Year 4'!$C$70:$Z$70</definedName>
    <definedName name="Year4_Medway">'Year 4'!$J$2:$J$107</definedName>
    <definedName name="Year4_Milton_Keynes">'Year 4'!$K$2:$K$107</definedName>
    <definedName name="Year4_New_EHC__within_20_weeks">'Year 4'!$C$93:$Z$93</definedName>
    <definedName name="Year4_Number_EHC_Plans">'Year 4'!$C$92:$Z$92</definedName>
    <definedName name="Year4_Oxfordshire">'Year 4'!$L$2:$L$107</definedName>
    <definedName name="Year4_Portsmouth">'Year 4'!$M$2:$M$107</definedName>
    <definedName name="Year4_Reading">'Year 4'!$N$2:$N$107</definedName>
    <definedName name="Year4_Referrals">'Year 4'!$C$12:$Z$12</definedName>
    <definedName name="Year4_ReferralsAssessment">'Year 4'!$C$14:$Z$14</definedName>
    <definedName name="Year4_ReferralSource_Anonymous">'Year 4'!$C$35:$Z$35</definedName>
    <definedName name="Year4_ReferralSource_EducationServices">'Year 4'!$C$21:$Z$21</definedName>
    <definedName name="Year4_ReferralSource_Health_services_AE">'Year 4'!$C$26:$Z$26</definedName>
    <definedName name="Year4_ReferralSource_Health_services_GP">'Year 4'!$C$22:$Z$22</definedName>
    <definedName name="Year4_ReferralSource_Health_services_HealthVisitor">'Year 4'!$C$23:$Z$23</definedName>
    <definedName name="Year4_ReferralSource_Health_services_Other">'Year 4'!$C$27:$Z$27</definedName>
    <definedName name="Year4_ReferralSource_Health_services_OthPrimary">'Year 4'!$C$25:$Z$25</definedName>
    <definedName name="Year4_ReferralSource_Health_services_SchoolNurse">'Year 4'!$C$24:$Z$24</definedName>
    <definedName name="Year4_ReferralSource_Housing">'Year 4'!$C$28:$Z$28</definedName>
    <definedName name="Year4_ReferralSource_Individual_Acquaintance">'Year 4'!$C$17:$Z$17</definedName>
    <definedName name="Year4_ReferralSource_Individual_Family">'Year 4'!$C$16:$Z$16</definedName>
    <definedName name="Year4_ReferralSource_Individual_Other">'Year 4'!$C$19:$Z$19</definedName>
    <definedName name="Year4_ReferralSource_Individual_Self">'Year 4'!$C$18:$Z$18</definedName>
    <definedName name="Year4_ReferralSource_LA_External">'Year 4'!$C$31:$Z$31</definedName>
    <definedName name="Year4_ReferralSource_LA_Other">'Year 4'!$C$30:$Z$30</definedName>
    <definedName name="Year4_ReferralSource_LA_SC">'Year 4'!$C$29:$Z$29</definedName>
    <definedName name="Year4_ReferralSource_Other">'Year 4'!$C$34:$Z$34</definedName>
    <definedName name="Year4_ReferralSource_Other_Legal">'Year 4'!$C$33:$Z$33</definedName>
    <definedName name="Year4_ReferralSource_Police">'Year 4'!$C$32:$Z$32</definedName>
    <definedName name="Year4_ReferralSource_School">'Year 4'!$C$20:$Z$20</definedName>
    <definedName name="Year4_ReferralSource_Unknown">'Year 4'!$C$36:$Z$36</definedName>
    <definedName name="Year4_ReferralsPriorEH">'Year 4'!$C$13:$Z$13</definedName>
    <definedName name="Year4_ReReferrals">'Year 4'!$C$37:$Z$37</definedName>
    <definedName name="Year4_ROSGO_ceased_LAC_CAO">'Year 4'!$C$88:$Z$88</definedName>
    <definedName name="Year4_ROSGO_ceased_LAC_SGO">'Year 4'!$C$89:$Z$89</definedName>
    <definedName name="Year4_SGO_fundedLA">'Year 4'!$C$107:$Z$107</definedName>
    <definedName name="Year4_SGO_total">'Year 4'!$C$91:$Z$91</definedName>
    <definedName name="Year4_Slough">'Year 4'!$O$2:$O$107</definedName>
    <definedName name="Year4_Somerset">'Year 4'!$P$2:$P$107</definedName>
    <definedName name="Year4_South_East">'Year 4'!$Y$2:$Y$107</definedName>
    <definedName name="Year4_Southampton">'Year 4'!$Q$2:$Q$107</definedName>
    <definedName name="Year4_SouthEast">'Year 4'!$Y$1:$Y$105</definedName>
    <definedName name="Year4_Surrey">'Year 4'!$R$2:$R$107</definedName>
    <definedName name="Year4_Swindon">'Year 4'!$S$2:$S$107</definedName>
    <definedName name="Year4_Torbay">'Year 4'!$T$2:$T$107</definedName>
    <definedName name="Year4_West_Berkshire">'Year 4'!$U$2:$U$107</definedName>
    <definedName name="Year4_West_Sussex">'Year 4'!$V$2:$V$107</definedName>
    <definedName name="Year4_Windsor___Maidenhead">'Year 4'!$W$2:$W$107</definedName>
    <definedName name="Year4_Windsor_Maidenhead">'Year 4'!$W$1:$W$105</definedName>
    <definedName name="Year4_Wokingham">'Year 4'!$X$2:$X$107</definedName>
    <definedName name="Year5__1617__participating_in_EET">'Year 5'!$C$100:$Z$100</definedName>
    <definedName name="Year5__electively_home_educated">'Year 5'!$C$96:$Z$96</definedName>
    <definedName name="Year5_0_17_Population">'Year 5'!#REF!</definedName>
    <definedName name="Year5_16_17_NEET">'Year 5'!$A$99:$Z$99</definedName>
    <definedName name="Year5_16_17_not_known">'Year 5'!$A$101:$Z$101</definedName>
    <definedName name="Year5_16_17_participating_in_EET">'Year 5'!$C$100:$Z$100</definedName>
    <definedName name="Year5_1617_NEET">'Year 5'!$C$99:$Z$99</definedName>
    <definedName name="Year5_1617_not_known">'Year 5'!$C$101:$Z$101</definedName>
    <definedName name="Year5_Adoption_ceased_LAC">'Year 5'!$C$79:$Z$79</definedName>
    <definedName name="Year5_Adoption_LAC_Adopted">'Year 5'!$C$80:$Z$80</definedName>
    <definedName name="Year5_Adoption_LAC_Adopted_days">'Year 5'!$C$81:$Z$81</definedName>
    <definedName name="Year5_Adoption_LAC_Adopted_placed_with_12months">'Year 5'!$C$82:$Z$82</definedName>
    <definedName name="Year5_Adoption_PFA">'Year 5'!$C$78:$Z$78</definedName>
    <definedName name="Year5_Assessments">'Year 5'!$C$38:$Z$38</definedName>
    <definedName name="Year5_Assessments_10days">'Year 5'!$C$40:$Z$40</definedName>
    <definedName name="Year5_Assessments_11_20days">'Year 5'!$C$41:$Z$41</definedName>
    <definedName name="Year5_Assessments_11_25days">'Year 5'!$A$41:$Z$41</definedName>
    <definedName name="Year5_Assessments_21_30days">'Year 5'!$C$42:$Z$42</definedName>
    <definedName name="Year5_Assessments_26_35days">'Year 5'!$A$42:$Z$42</definedName>
    <definedName name="Year5_Assessments_31_45days">'Year 5'!$C$43:$Z$43</definedName>
    <definedName name="Year5_Assessments_36_45days">'Year 5'!$A$43:$Z$43</definedName>
    <definedName name="Year5_Assessments_No_further_action">'Year 5'!$C$46:$Z$46</definedName>
    <definedName name="Year5_Assessments_over_45days">'Year 5'!$C$44:$Z$44</definedName>
    <definedName name="Year5_Assessments_step_down">'Year 5'!$C$45:$Z$45</definedName>
    <definedName name="Year5_Assessments_within45days">'Year 5'!$C$104:$Z$104</definedName>
    <definedName name="Year5_Bracknell_Forest">'Year 5'!$C$2:$C$105</definedName>
    <definedName name="Year5_Brighton___Hove">'Year 5'!$D$2:$D$105</definedName>
    <definedName name="Year5_Brighton_Hove">'Year 5'!$D$1:$D$133</definedName>
    <definedName name="Year5_Buckinghamshire">'Year 5'!$E$2:$E$105</definedName>
    <definedName name="Year5_CAO_RO_FundedLA">'Year 5'!$C$106:$Z$106</definedName>
    <definedName name="Year5_CAO_RO_Total">'Year 5'!$C$90:$Z$90</definedName>
    <definedName name="Year5_Care_Applications">'Year 5'!$C$97:$Z$97</definedName>
    <definedName name="Year5_Care_Applications_Children">'Year 5'!$C$98:$Z$98</definedName>
    <definedName name="Year5_Care_Leavers_16_18th_birthday">'Year 5'!$C$83:$Z$83</definedName>
    <definedName name="Year5_Care_Leavers_at_end_of_period">'Year 5'!$C$84:$Z$84</definedName>
    <definedName name="Year5_Care_Leavers_in_EET">'Year 5'!$C$87:$Z$87</definedName>
    <definedName name="Year5_Care_Leavers_in_suitable_accommodation">'Year 5'!$C$86:$Z$86</definedName>
    <definedName name="Year5_Care_Leavers_in_touch">'Year 5'!$C$85:$Z$85</definedName>
    <definedName name="Year5_Ceased_LAC_16plus">'[3]Year 5'!$C$80:$Z$80</definedName>
    <definedName name="Year5_Ceased_LAC_16plus_18th">'[3]Year 5'!$C$81:$Z$81</definedName>
    <definedName name="Year5_Children_missing_Education">'Year 5'!$C$95:$Z$95</definedName>
    <definedName name="Year5_CIN">'Year 5'!$C$47:$Z$47</definedName>
    <definedName name="Year5_CIN_Section47">'Year 5'!$C$48:$Z$48</definedName>
    <definedName name="Year5_Contacts">'Year 5'!$C$2:$Z$2</definedName>
    <definedName name="Year5_Continuous_assessments">'Year 5'!$C$105:$Z$105</definedName>
    <definedName name="Year5_CP_Conference">'Year 5'!$C$49:$Z$49</definedName>
    <definedName name="Year5_CP_Conference_within15days">'Year 5'!$C$50:$Z$50</definedName>
    <definedName name="Year5_CP_Plans">'Year 5'!$C$51:$Z$51</definedName>
    <definedName name="Year5_CP_Plans_2years">'Year 5'!$C$55:$Z$55</definedName>
    <definedName name="Year5_CP_Plans_3months">'Year 5'!$C$52:$Z$52</definedName>
    <definedName name="Year5_CP_Plans_3months_timescales">'Year 5'!$C$53:$Z$53</definedName>
    <definedName name="Year5_CP_Plans_became_subject">'Year 5'!$C$58:$Z$58</definedName>
    <definedName name="Year5_CP_Plans_became_subject_second">'Year 5'!$C$59:$Z$59</definedName>
    <definedName name="Year5_CP_Plans_became_subject_second_2years">'Year 5'!$C$60:$Z$60</definedName>
    <definedName name="Year5_CP_Plans_ceased">'Year 5'!$C$56:$Z$56</definedName>
    <definedName name="Year5_CP_Plans_ceased_2years">'Year 5'!$C$57:$Z$57</definedName>
    <definedName name="Year5_CP_Plans_Seen_in_Timescales">'Year 5'!$C$54:$Z$54</definedName>
    <definedName name="Year5_EarlyHelpAssessments">'Year 5'!$C$7:$Z$7</definedName>
    <definedName name="Year5_EarlyHelpAssessmentsOngoing">'Year 5'!$C$9:$Z$9</definedName>
    <definedName name="Year5_EarlyHelpAssessmentsStepUp">'Year 5'!$C$10:$Z$10</definedName>
    <definedName name="Year5_EarlyHelpedChildren">'Year 5'!$C$11:$Z$11</definedName>
    <definedName name="Year5_EarlyHelpReferrals">'Year 5'!$C$3:$Z$3</definedName>
    <definedName name="Year5_EarlyHelpReferralsOntoASSESSMENT">'Year 5'!$C$5:$Z$5</definedName>
    <definedName name="Year5_EarlyHelpReferralsSTEPDOWN">'Year 5'!$C$4:$Z$4</definedName>
    <definedName name="Year5_EarlyHelpReReferrals">'Year 5'!$C$6:$Z$6</definedName>
    <definedName name="Year5_East_Sussex">'Year 5'!$F$2:$F$105</definedName>
    <definedName name="Year5_England">'Year 5'!$Z$2:$Z$105</definedName>
    <definedName name="Year5_First_Time_Entrants_to_Youth_Justice_system">'Year 5'!$C$94:$Z$94</definedName>
    <definedName name="Year5_Hampshire">'Year 5'!$G$2:$G$105</definedName>
    <definedName name="Year5_Isle_of_Wight">'Year 5'!$H$2:$H$105</definedName>
    <definedName name="Year5_Juvenile_Offenders__Age_10_17">'Year 5'!$A$102:$Z$102</definedName>
    <definedName name="Year5_Juvenile_Offenders__Age_1017">'Year 5'!$C$102:$Z$102</definedName>
    <definedName name="Year5_Juvenile_Re_offenders__Age_10_17">'Year 5'!$A$103:$Z$103</definedName>
    <definedName name="Year5_Juvenile_Reoffenders__Age_1017">'Year 5'!$C$103:$Z$103</definedName>
    <definedName name="Year5_Kent">'Year 5'!$I$2:$I$105</definedName>
    <definedName name="Year5_LAC">'Year 5'!$C$61:$Z$61</definedName>
    <definedName name="Year5_LAC_10to15">'Year 5'!$C$66:$Z$66</definedName>
    <definedName name="Year5_LAC_16plus">'Year 5'!$C$67:$Z$67</definedName>
    <definedName name="Year5_LAC_1to4">'Year 5'!$C$64:$Z$64</definedName>
    <definedName name="Year5_LAC_3_or_more_Placements">'Year 5'!$C$72:$Z$72</definedName>
    <definedName name="Year5_LAC_4weeks">'Year 5'!$C$73:$Z$73</definedName>
    <definedName name="Year5_LAC_4weeks_reviews_in_timescales">'Year 5'!$C$74:$Z$74</definedName>
    <definedName name="Year5_LAC_5to9">'Year 5'!$C$65:$Z$65</definedName>
    <definedName name="Year5_LAC_Remanded">'Year 5'!$C$77:$Z$77</definedName>
    <definedName name="Year5_LAC_Start">'Year 5'!$C$75:$Z$75</definedName>
    <definedName name="Year5_LAC_Start_2nd_time">'Year 5'!$C$76:$Z$76</definedName>
    <definedName name="Year5_LAC_UASC">'Year 5'!$C$71:$Z$71</definedName>
    <definedName name="Year5_LAC_Under1">'Year 5'!$C$63:$Z$63</definedName>
    <definedName name="Year5_LAC_under16">'Year 5'!$C$68:$Z$68</definedName>
    <definedName name="Year5_LAC_under16_2.5years">'Year 5'!$C$69:$Z$69</definedName>
    <definedName name="Year5_LAC_under16_2.5years_sameplacement2years">'Year 5'!$C$70:$Z$70</definedName>
    <definedName name="Year5_Medway">'Year 5'!$J$2:$J$105</definedName>
    <definedName name="Year5_Milton_Keynes">'Year 5'!$K$2:$K$105</definedName>
    <definedName name="Year5_New_EHC__within_20_weeks">'Year 5'!$C$93:$Z$93</definedName>
    <definedName name="Year5_Number_EHC_Plans">'Year 5'!$C$92:$Z$92</definedName>
    <definedName name="Year5_Oxfordshire">'Year 5'!$L$2:$L$105</definedName>
    <definedName name="Year5_Portsmouth">'Year 5'!$M$2:$M$105</definedName>
    <definedName name="Year5_Reading">'Year 5'!$N$2:$N$105</definedName>
    <definedName name="Year5_Referrals">'Year 5'!$C$12:$Z$12</definedName>
    <definedName name="Year5_ReferralsAssessment">'Year 5'!$C$14:$Z$14</definedName>
    <definedName name="Year5_ReferralSource_Anonymous">'Year 5'!$C$35:$Z$35</definedName>
    <definedName name="Year5_ReferralSource_EducationServices">'Year 5'!$C$21:$Z$21</definedName>
    <definedName name="Year5_ReferralSource_Health_services_AE">'Year 5'!$C$26:$Z$26</definedName>
    <definedName name="Year5_ReferralSource_Health_services_GP">'Year 5'!$C$22:$Z$22</definedName>
    <definedName name="Year5_ReferralSource_Health_services_HealthVisitor">'Year 5'!$C$23:$Z$23</definedName>
    <definedName name="Year5_ReferralSource_Health_services_Other">'Year 5'!$C$27:$Z$27</definedName>
    <definedName name="Year5_ReferralSource_Health_services_OthPrimary">'Year 5'!$C$25:$Z$25</definedName>
    <definedName name="Year5_ReferralSource_Health_services_SchoolNurse">'Year 5'!$C$24:$Z$24</definedName>
    <definedName name="Year5_ReferralSource_Housing">'Year 5'!$C$28:$Z$28</definedName>
    <definedName name="Year5_ReferralSource_Individual_Acquaintance">'Year 5'!$C$17:$Z$17</definedName>
    <definedName name="Year5_ReferralSource_Individual_Family">'Year 5'!$C$16:$Z$16</definedName>
    <definedName name="Year5_ReferralSource_Individual_Other">'Year 5'!$C$19:$Z$19</definedName>
    <definedName name="Year5_ReferralSource_Individual_Self">'Year 5'!$C$18:$Z$18</definedName>
    <definedName name="Year5_ReferralSource_LA_External">'Year 5'!$C$31:$Z$31</definedName>
    <definedName name="Year5_ReferralSource_LA_Other">'Year 5'!$C$30:$Z$30</definedName>
    <definedName name="Year5_ReferralSource_LA_SC">'Year 5'!$C$29:$Z$29</definedName>
    <definedName name="Year5_ReferralSource_Other">'Year 5'!$C$34:$Z$34</definedName>
    <definedName name="Year5_ReferralSource_Other_Legal">'Year 5'!$C$33:$Z$33</definedName>
    <definedName name="Year5_ReferralSource_Police">'Year 5'!$C$32:$Z$32</definedName>
    <definedName name="Year5_ReferralSource_School">'Year 5'!$C$20:$Z$20</definedName>
    <definedName name="Year5_ReferralSource_Unknown">'Year 5'!$C$36:$Z$36</definedName>
    <definedName name="Year5_ReferralsPriorEH">'Year 5'!$C$13:$Z$13</definedName>
    <definedName name="Year5_ReReferrals">'Year 5'!$C$37:$Z$37</definedName>
    <definedName name="Year5_ROSGO_ceased_LAC_CAO">'Year 5'!$C$88:$Z$88</definedName>
    <definedName name="Year5_ROSGO_ceased_LAC_SGO">'Year 5'!$C$89:$Z$89</definedName>
    <definedName name="Year5_SGO_fundedLA">'Year 5'!$C$107:$Z$107</definedName>
    <definedName name="Year5_SGO_total">'Year 5'!$C$91:$Z$91</definedName>
    <definedName name="Year5_Slough">'Year 5'!$O$2:$O$105</definedName>
    <definedName name="Year5_Somerset">'Year 5'!$P$2:$P$105</definedName>
    <definedName name="Year5_South_East">'Year 5'!$Y$2:$Y$105</definedName>
    <definedName name="Year5_Southampton">'Year 5'!$Q$2:$Q$105</definedName>
    <definedName name="Year5_SouthEast">'Year 5'!$Y$1:$Y$133</definedName>
    <definedName name="Year5_Surrey">'Year 5'!$R$2:$R$105</definedName>
    <definedName name="Year5_Swindon">'Year 5'!$S$2:$S$105</definedName>
    <definedName name="Year5_Torbay">'Year 5'!$T$2:$T$105</definedName>
    <definedName name="Year5_West_Berkshire">'Year 5'!$U$2:$U$105</definedName>
    <definedName name="Year5_West_Sussex">'Year 5'!$V$2:$V$105</definedName>
    <definedName name="Year5_Windsor___Maidenhead">'Year 5'!$W$2:$W$105</definedName>
    <definedName name="Year5_Windsor_Maidenhead">'Year 5'!$W$1:$W$133</definedName>
    <definedName name="Year5_Wokingham">'Year 5'!$X$2:$X$105</definedName>
    <definedName name="yr4_Bracknell_Forest">[2]Year4!$F$2:$F$386</definedName>
    <definedName name="yr4_Brighton___Hove">[2]Year4!$G$2:$G$386</definedName>
    <definedName name="yr4_Buckinghamshire">[2]Year4!$H$2:$H$386</definedName>
    <definedName name="yr4_East_Sussex">[2]Year4!$I$2:$I$386</definedName>
    <definedName name="yr4_England">[2]Year4!$Z$2:$Z$386</definedName>
    <definedName name="yr4_Female">[2]Year4!$F$20:$Z$20</definedName>
    <definedName name="yr4_Hampshire">[2]Year4!$J$2:$J$386</definedName>
    <definedName name="yr4_Isle_of_Wight">[2]Year4!$K$2:$K$386</definedName>
    <definedName name="yr4_Kent">[2]Year4!$L$2:$L$386</definedName>
    <definedName name="yr4_Maintained_EHCP">[2]Year4!$F$2:$Z$2</definedName>
    <definedName name="yr4_Medway">[2]Year4!$M$2:$M$386</definedName>
    <definedName name="yr4_Milton_Keynes">[2]Year4!$N$2:$N$386</definedName>
    <definedName name="yr4_Oxfordshire">[2]Year4!$O$2:$O$386</definedName>
    <definedName name="yr4_Portsmouth">[2]Year4!$P$2:$P$386</definedName>
    <definedName name="yr4_Reading">[2]Year4!$Q$2:$Q$386</definedName>
    <definedName name="yr4_Slough">[2]Year4!$R$2:$R$386</definedName>
    <definedName name="yr4_South_East">[2]Year4!$Y$2:$Y$386</definedName>
    <definedName name="yr4_Southampton">[2]Year4!$S$2:$S$386</definedName>
    <definedName name="yr4_Surrey">[2]Year4!$T$2:$T$386</definedName>
    <definedName name="yr4_West_Berkshire">[2]Year4!$U$2:$U$386</definedName>
    <definedName name="yr4_West_Sussex">[2]Year4!$V$2:$V$386</definedName>
    <definedName name="yr4_Windsor___Maidenhead">[2]Year4!$W$2:$W$386</definedName>
    <definedName name="yr4_Wokingham">[2]Year4!$X$2:$X$386</definedName>
    <definedName name="Yr5_Age_0_To_4">[2]Year5!$F$133:$Y$133</definedName>
    <definedName name="Yr5_Age_0_To_4_Prim_Autistic">[2]Year5!$F$139:$Z$139</definedName>
    <definedName name="Yr5_Age_0_To_4_Prim_Hearing_Impairment">[2]Year5!$F$146:$Z$146</definedName>
    <definedName name="Yr5_Age_0_To_4_Prim_MLD">[2]Year5!$F$142:$Z$142</definedName>
    <definedName name="Yr5_Age_0_To_4_Prim_Multi_Sensory_Impairment">[2]Year5!$F$148:$Z$148</definedName>
    <definedName name="Yr5_Age_0_To_4_Prim_Physical_Disability">[2]Year5!$F$145:$Z$145</definedName>
    <definedName name="Yr5_Age_0_To_4_Prim_Profound_Multi_Learning_Diff">[2]Year5!$F$144:$Z$144</definedName>
    <definedName name="Yr5_Age_0_To_4_Prim_SEMH">[2]Year5!$F$138:$Z$138</definedName>
    <definedName name="Yr5_Age_0_To_4_Prim_Severe_LearningDiff">[2]Year5!$F$143:$Z$143</definedName>
    <definedName name="Yr5_Age_0_To_4_Prim_SLCN">[2]Year5!$F$140:$Z$140</definedName>
    <definedName name="Yr5_Age_0_To_4_Prim_Special_Learning_Diff">[2]Year5!$F$141:$Z$141</definedName>
    <definedName name="Yr5_Age_0_To_4_Prim_Visual_Impairment">[2]Year5!$F$147:$Z$147</definedName>
    <definedName name="Yr5_Age_11_to_15">[2]Year5!$F$135:$Z$135</definedName>
    <definedName name="Yr5_Age_11_To_15_Prim_Autistic">[2]Year5!$F$161:$Z$161</definedName>
    <definedName name="Yr5_Age_11_To_15_Prim_Hearing_Impairment">[2]Year5!$F$168:$Z$168</definedName>
    <definedName name="Yr5_Age_11_To_15_Prim_MLD">[2]Year5!$F$164:$Z$164</definedName>
    <definedName name="Yr5_Age_11_To_15_Prim_Multi_Sensory_Impairment">[2]Year5!$F$170:$Z$170</definedName>
    <definedName name="Yr5_Age_11_To_15_Prim_Physical_Disability">[2]Year5!$F$167:$Z$167</definedName>
    <definedName name="Yr5_Age_11_To_15_Prim_Profound_Multi_Learning_Diff">[2]Year5!$F$166:$Z$166</definedName>
    <definedName name="Yr5_Age_11_To_15_Prim_SEMH">[2]Year5!$F$160:$Z$160</definedName>
    <definedName name="Yr5_Age_11_To_15_Prim_Severe_LearningDiff">[2]Year5!$F$165:$Z$165</definedName>
    <definedName name="Yr5_Age_11_To_15_Prim_SLCN">[2]Year5!$F$162:$Z$162</definedName>
    <definedName name="Yr5_Age_11_To_15_Prim_Special_Learning_Diff">[2]Year5!$F$163:$Z$163</definedName>
    <definedName name="Yr5_Age_11_To_15_Prim_Visual_Impairment">[2]Year5!$F$169:$Z$169</definedName>
    <definedName name="Yr5_Age_16_to_19">[2]Year5!$F$136:$Z$136</definedName>
    <definedName name="Yr5_Age_16_To_19_Prim_Autistic">[2]Year5!$F$172:$Z$172</definedName>
    <definedName name="Yr5_Age_16_To_19_Prim_Hearing_Impairment">[2]Year5!$F$179:$Z$179</definedName>
    <definedName name="Yr5_Age_16_To_19_Prim_MLD">[2]Year5!$F$175:$Z$175</definedName>
    <definedName name="Yr5_Age_16_To_19_Prim_Multi_Sensory_Impairment">[2]Year5!$F$181:$Z$181</definedName>
    <definedName name="Yr5_Age_16_To_19_Prim_Physical_Disability">[2]Year5!$F$178:$Z$178</definedName>
    <definedName name="Yr5_Age_16_To_19_Prim_Profound_Multi_Learning_Diff">[2]Year5!$F$177:$Z$177</definedName>
    <definedName name="Yr5_Age_16_To_19_Prim_SEMH">[2]Year5!$F$171:$Z$171</definedName>
    <definedName name="Yr5_Age_16_To_19_Prim_Severe_LearningDiff">[2]Year5!$F$176:$Z$176</definedName>
    <definedName name="Yr5_Age_16_To_19_Prim_SLCN">[2]Year5!$F$173:$Z$173</definedName>
    <definedName name="Yr5_Age_16_To_19_Prim_Special_Learning_Diff">[2]Year5!$F$174:$Z$174</definedName>
    <definedName name="Yr5_Age_16_To_19_Prim_Visual_Impairment">[2]Year5!$F$180:$Z$180</definedName>
    <definedName name="Yr5_Age_20_to_25">[2]Year5!$F$137:$Z$137</definedName>
    <definedName name="Yr5_Age_20_To_25_Prim_Autistic">[2]Year5!$F$183:$Z$183</definedName>
    <definedName name="Yr5_Age_20_To_25_Prim_Hearing_Impairment">[2]Year5!$F$190:$Z$190</definedName>
    <definedName name="Yr5_Age_20_To_25_Prim_MLD">[2]Year5!$F$186:$Z$186</definedName>
    <definedName name="Yr5_Age_20_To_25_Prim_Multi_Sensory_Impairment">[2]Year5!$F$192:$Z$192</definedName>
    <definedName name="Yr5_Age_20_To_25_Prim_Physical_Disability">[2]Year5!$F$189:$Z$189</definedName>
    <definedName name="Yr5_Age_20_To_25_Prim_Profound_Multi_Learning_Diff">[2]Year5!$F$188:$Z$188</definedName>
    <definedName name="Yr5_Age_20_To_25_Prim_SEMH">[2]Year5!$F$182:$Z$182</definedName>
    <definedName name="Yr5_Age_20_To_25_Prim_Severe_LearningDiff">[2]Year5!$F$187:$Z$187</definedName>
    <definedName name="Yr5_Age_20_To_25_Prim_SLCN">[2]Year5!$F$184:$Z$184</definedName>
    <definedName name="Yr5_Age_20_To_25_Prim_Special_Learning_Diff">[2]Year5!$F$185:$Z$185</definedName>
    <definedName name="Yr5_Age_20_To_25_Prim_Visual_Impairment">[2]Year5!$F$191:$Z$191</definedName>
    <definedName name="Yr5_Age_5_to_10">[2]Year5!$F$134:$Z$134</definedName>
    <definedName name="Yr5_Age_5_To_10_Prim_Autistic">[2]Year5!$F$150:$Z$150</definedName>
    <definedName name="Yr5_Age_5_To_10_Prim_Hearing_Impairment">[2]Year5!$F$157:$Z$157</definedName>
    <definedName name="Yr5_Age_5_To_10_Prim_MLD">[2]Year5!$F$153:$Z$153</definedName>
    <definedName name="Yr5_Age_5_To_10_Prim_Multi_Sensory_Impairment">[2]Year5!$F$159:$Z$159</definedName>
    <definedName name="Yr5_Age_5_To_10_Prim_Physical_Disability">[2]Year5!$F$156:$Z$156</definedName>
    <definedName name="Yr5_Age_5_To_10_Prim_Profound_Multi_Learning_Diff">[2]Year5!$F$155:$Z$155</definedName>
    <definedName name="Yr5_Age_5_To_10_Prim_SEMH">[2]Year5!$F$149:$Z$149</definedName>
    <definedName name="Yr5_Age_5_To_10_Prim_Severe_LearningDiff">[2]Year5!$F$154:$Z$154</definedName>
    <definedName name="Yr5_Age_5_To_10_Prim_SLCN">[2]Year5!$F$151:$Z$151</definedName>
    <definedName name="Yr5_Age_5_To_10_Prim_Special_Learning_Diff">[2]Year5!$F$152:$Z$152</definedName>
    <definedName name="Yr5_Age_5_To_10_Prim_Visual_Impairment">[2]Year5!$F$158:$Z$158</definedName>
    <definedName name="Yr5_Age_Care_Leavers_Prim_Autistic">[2]Year5!$F$255:$Z$255</definedName>
    <definedName name="Yr5_Age_Care_Leavers_Prim_Hearing_Impairment">[2]Year5!$F$262:$Z$262</definedName>
    <definedName name="Yr5_Age_Care_Leavers_Prim_MLD">[2]Year5!$F$258:$Z$258</definedName>
    <definedName name="Yr5_Age_Care_Leavers_Prim_Multi_Sensory_Impairment">[2]Year5!$F$264:$Z$264</definedName>
    <definedName name="Yr5_Age_Care_Leavers_Prim_Physical_Disability">[2]Year5!$F$261:$Z$261</definedName>
    <definedName name="Yr5_Age_Care_Leavers_Prim_Profound_Multi_Learning_Diff">[2]Year5!$F$260:$Z$260</definedName>
    <definedName name="Yr5_Age_Care_Leavers_Prim_SEMH">[2]Year5!$F$254:$Z$254</definedName>
    <definedName name="Yr5_Age_Care_Leavers_Prim_Severe_LearningDiff">[2]Year5!$F$259:$Z$259</definedName>
    <definedName name="Yr5_Age_Care_Leavers_Prim_SLCN">[2]Year5!$F$256:$Z$256</definedName>
    <definedName name="Yr5_Age_Care_Leavers_Prim_Special_Learning_Diff">[2]Year5!$F$257:$Z$257</definedName>
    <definedName name="Yr5_Age_Care_Leavers_Prim_Visual_Impairment">[2]Year5!$F$263:$Z$263</definedName>
    <definedName name="Yr5_Age_CIN_Prim_Autistic">[2]Year5!$F$211:$Z$211</definedName>
    <definedName name="Yr5_Age_CIN_Prim_Hearing_Impairment">[2]Year5!$F$218:$Z$218</definedName>
    <definedName name="Yr5_Age_CIN_Prim_MLD">[2]Year5!$F$214:$Z$214</definedName>
    <definedName name="Yr5_Age_CIN_Prim_Multi_Sensory_Impairment">[2]Year5!$F$220:$Z$220</definedName>
    <definedName name="Yr5_Age_CIN_Prim_Physical_Disability">[2]Year5!$F$217:$Z$217</definedName>
    <definedName name="Yr5_Age_CIN_Prim_Profound_Multi_Learning_Diff">[2]Year5!$F$216:$Z$216</definedName>
    <definedName name="Yr5_Age_CIN_Prim_SEMH">[2]Year5!$F$210:$Z$210</definedName>
    <definedName name="Yr5_Age_CIN_Prim_Severe_LearningDiff">[2]Year5!$F$215:$Z$215</definedName>
    <definedName name="Yr5_Age_CIN_Prim_SLCN">[2]Year5!$F$212:$Z$212</definedName>
    <definedName name="Yr5_Age_CIN_Prim_Special_Learning_Diff">[2]Year5!$F$213:$Z$213</definedName>
    <definedName name="Yr5_Age_CIN_Prim_Visual_Impairment">[2]Year5!$F$219:$Z$219</definedName>
    <definedName name="Yr5_Age_CP_Prim_Autistic">[2]Year5!$F$222:$Z$222</definedName>
    <definedName name="Yr5_Age_CP_Prim_Hearing_Impairment">[2]Year5!$F$229:$Z$229</definedName>
    <definedName name="Yr5_Age_CP_Prim_MLD">[2]Year5!$F$225:$Z$225</definedName>
    <definedName name="Yr5_Age_CP_Prim_Multi_Sensory_Impairment">[2]Year5!$F$231:$Z$231</definedName>
    <definedName name="Yr5_Age_CP_Prim_Physical_Disability">[2]Year5!$F$228:$Z$228</definedName>
    <definedName name="Yr5_Age_CP_Prim_Profound_Multi_Learning_Diff">[2]Year5!$F$227:$Z$227</definedName>
    <definedName name="Yr5_Age_CP_Prim_SEMH">[2]Year5!$F$221:$Z$221</definedName>
    <definedName name="Yr5_Age_CP_Prim_Severe_LearningDiff">[2]Year5!$F$226:$Z$226</definedName>
    <definedName name="Yr5_Age_CP_Prim_SLCN">[2]Year5!$F$223:$Z$223</definedName>
    <definedName name="Yr5_Age_CP_Prim_Special_Learning_Diff">[2]Year5!$F$224:$Z$224</definedName>
    <definedName name="Yr5_Age_CP_Prim_Visual_Impairment">[2]Year5!$F$230:$Z$230</definedName>
    <definedName name="Yr5_Age_Early_Help_Prim_Autistic">[2]Year5!$F$200:$Z$200</definedName>
    <definedName name="Yr5_Age_Early_Help_Prim_Hearing_Impairment">[2]Year5!$F$207:$Z$207</definedName>
    <definedName name="Yr5_Age_Early_Help_Prim_MLD">[2]Year5!$F$203:$Z$203</definedName>
    <definedName name="Yr5_Age_Early_Help_Prim_Multi_Sensory_Impairment">[2]Year5!$F$209:$Z$209</definedName>
    <definedName name="Yr5_Age_Early_Help_Prim_Physical_Disability">[2]Year5!$F$206:$Z$206</definedName>
    <definedName name="Yr5_Age_Early_Help_Prim_Profound_Multi_Learning_Diff">[2]Year5!$F$205:$Z$205</definedName>
    <definedName name="Yr5_Age_Early_Help_Prim_SEMH">[2]Year5!$F$199:$Z$199</definedName>
    <definedName name="Yr5_Age_Early_Help_Prim_Severe_LearningDiff">[2]Year5!$F$204:$Z$204</definedName>
    <definedName name="Yr5_Age_Early_Help_Prim_SLCN">[2]Year5!$F$201:$Z$201</definedName>
    <definedName name="Yr5_Age_Early_Help_Prim_Special_Learning_Diff">[2]Year5!$F$202:$Z$202</definedName>
    <definedName name="Yr5_Age_Early_Help_Prim_Visual_Impairment">[2]Year5!$F$208:$Z$208</definedName>
    <definedName name="Yr5_Age_LAC_Prim_Autistic">[2]Year5!$F$233:$Z$233</definedName>
    <definedName name="Yr5_Age_LAC_Prim_Hearing_Impairment">[2]Year5!$F$240:$Z$240</definedName>
    <definedName name="Yr5_Age_LAC_Prim_MLD">[2]Year5!$F$236:$Z$236</definedName>
    <definedName name="Yr5_Age_LAC_Prim_Multi_Sensory_Impairment">[2]Year5!$F$242:$Z$242</definedName>
    <definedName name="Yr5_Age_LAC_Prim_Physical_Disability">[2]Year5!$F$239:$Z$239</definedName>
    <definedName name="Yr5_Age_LAC_Prim_Profound_Multi_Learning_Diff">[2]Year5!$F$238:$Z$238</definedName>
    <definedName name="Yr5_Age_LAC_Prim_SEMH">[2]Year5!$F$232:$Z$232</definedName>
    <definedName name="Yr5_Age_LAC_Prim_Severe_LearningDiff">[2]Year5!$F$237:$Z$237</definedName>
    <definedName name="Yr5_Age_LAC_Prim_SLCN">[2]Year5!$F$234:$Z$234</definedName>
    <definedName name="Yr5_Age_LAC_Prim_Special_Learning_Diff">[2]Year5!$F$235:$Z$235</definedName>
    <definedName name="Yr5_Age_LAC_Prim_Visual_Impairment">[2]Year5!$F$241:$Z$241</definedName>
    <definedName name="Yr5_Age_S20_Prim_Autistic">[2]Year5!$F$244:$Z$244</definedName>
    <definedName name="Yr5_Age_S20_Prim_Hearing_Impairment">[2]Year5!$F$251:$Z$251</definedName>
    <definedName name="Yr5_Age_S20_Prim_MLD">[2]Year5!$F$247:$Z$247</definedName>
    <definedName name="Yr5_Age_S20_Prim_Multi_Sensory_Impairment">[2]Year5!$F$253:$Z$253</definedName>
    <definedName name="Yr5_Age_S20_Prim_Physical_Disability">[2]Year5!$F$250:$Z$250</definedName>
    <definedName name="Yr5_Age_S20_Prim_Profound_Multi_Learning_Diff">[2]Year5!$F$249:$Z$249</definedName>
    <definedName name="Yr5_Age_S20_Prim_SEMH">[2]Year5!$F$243:$Z$243</definedName>
    <definedName name="Yr5_Age_S20_Prim_Severe_LearningDiff">[2]Year5!$F$248:$Z$248</definedName>
    <definedName name="Yr5_Age_S20_Prim_SLCN">[2]Year5!$F$245:$Z$245</definedName>
    <definedName name="Yr5_Age_S20_Prim_Special_Learning_Diff">[2]Year5!$F$246:$Z$246</definedName>
    <definedName name="Yr5_Age_S20_Prim_Visual_Impairment">[2]Year5!$F$252:$Z$252</definedName>
    <definedName name="Yr5_Care_Leavers">[2]Year5!$F$198:$Z$198</definedName>
    <definedName name="Yr5_CIN">[2]Year5!$F$194:$Z$194</definedName>
    <definedName name="Yr5_CP">[2]Year5!$F$195:$Z$195</definedName>
    <definedName name="Yr5_Early_Help">[2]Year5!$F$193:$Z$193</definedName>
    <definedName name="Yr5_Educated_Ahead">[2]Year5!$F$325:$Z$325</definedName>
    <definedName name="Yr5_Educated_Behind">[2]Year5!$F$326:$Z$326</definedName>
    <definedName name="Yr5_EHC_Plans_20Weeks_Plans_Issued_ExcEx">[2]Year5!$F$340:$Z$340</definedName>
    <definedName name="Yr5_EHC_Plans_20Weeks_Plans_Issued_IncEx">[2]Year5!$F$338:$Z$338</definedName>
    <definedName name="Yr5_EHC_Plans_20Weeks_Plans_Issued_Within_20_Weeks_ExcEx">[2]Year5!$F$341:$Z$341</definedName>
    <definedName name="Yr5_EHC_Plans_20Weeks_Plans_Issued_Within_20_Weeks_IncEx">[2]Year5!$F$339:$Z$339</definedName>
    <definedName name="Yr5_Eth_AnyOtherAsian">[2]Year5!$F$59:$Z$59</definedName>
    <definedName name="Yr5_Eth_Asian_Autisic">[2]Year5!$F$101:$Z$101</definedName>
    <definedName name="Yr5_Eth_Asian_Hearing_Impairment">[2]Year5!$F$108:$Z$108</definedName>
    <definedName name="Yr5_Eth_Asian_MLD">[2]Year5!$F$104:$Z$104</definedName>
    <definedName name="Yr5_Eth_Asian_Multi_Sensory_Impairment">[2]Year5!$F$110:$Z$110</definedName>
    <definedName name="Yr5_Eth_Asian_Physical_Disability">[2]Year5!$F$107:$Z$107</definedName>
    <definedName name="Yr5_Eth_Asian_Profound_Multi_Learning_Diff">[2]Year5!$F$106:$Z$106</definedName>
    <definedName name="Yr5_Eth_Asian_SEMH">[2]Year5!$F$100:$Z$100</definedName>
    <definedName name="Yr5_Eth_Asian_Severe_LearningDiff">[2]Year5!$F$105:$Z$105</definedName>
    <definedName name="Yr5_Eth_Asian_SLCN">[2]Year5!$F$102:$Z$102</definedName>
    <definedName name="Yr5_Eth_Asian_Special_Learning_Diff">[2]Year5!$F$103:$Z$103</definedName>
    <definedName name="Yr5_Eth_Asian_Visual_Impairment">[2]Year5!$F$109:$Z$109</definedName>
    <definedName name="Yr5_Eth_Bangladeshi">[2]Year5!$F$58:$Z$58</definedName>
    <definedName name="Yr5_Eth_Black_African">[2]Year5!$F$61:$Z$61</definedName>
    <definedName name="Yr5_Eth_Black_Autisic">[2]Year5!$F$112:$Z$112</definedName>
    <definedName name="Yr5_Eth_Black_Car">[2]Year5!$F$60:$Z$60</definedName>
    <definedName name="Yr5_Eth_Black_Hearing_Impairment">[2]Year5!$F$119:$Z$119</definedName>
    <definedName name="Yr5_Eth_Black_MLD">[2]Year5!$F$115:$Z$115</definedName>
    <definedName name="Yr5_Eth_Black_Multi_Sensory_Impairment">[2]Year5!$F$121:$Z$121</definedName>
    <definedName name="Yr5_Eth_Black_Physical_Disability">[2]Year5!$F$118:$Z$118</definedName>
    <definedName name="Yr5_Eth_Black_Profound_Multi_Learning_Diff">[2]Year5!$F$117:$Z$117</definedName>
    <definedName name="Yr5_Eth_Black_SEMH">[2]Year5!$F$111:$Z$111</definedName>
    <definedName name="Yr5_Eth_Black_Severe_LearningDiff">[2]Year5!$F$116:$Z$116</definedName>
    <definedName name="Yr5_Eth_Black_SLCN">[2]Year5!$F$113:$Z$113</definedName>
    <definedName name="Yr5_Eth_Black_Special_Learning_Diff">[2]Year5!$F$114:$Z$114</definedName>
    <definedName name="Yr5_Eth_Black_Visual_Impairment">[2]Year5!$F$120:$Z$120</definedName>
    <definedName name="Yr5_Eth_Chinese">[2]Year5!$F$63:$Z$63</definedName>
    <definedName name="Yr5_Eth_Indian">[2]Year5!$F$56:$Z$56</definedName>
    <definedName name="Yr5_Eth_Mix_OtherMixed">[2]Year5!$F$55:$Z$55</definedName>
    <definedName name="Yr5_Eth_Mix_WhiteAsian">[2]Year5!$F$54:$Z$54</definedName>
    <definedName name="Yr5_Eth_Mix_WhiteBlack_Afr">[2]Year5!$F$53:$Z$53</definedName>
    <definedName name="Yr5_Eth_Mix_WhiteBlack_Car">[2]Year5!$F$52:$Z$52</definedName>
    <definedName name="Yr5_Eth_Mixed_Autisic">[2]Year5!$F$90:$Z$90</definedName>
    <definedName name="Yr5_Eth_Mixed_Hearing_Impairment">[2]Year5!$F$97:$Z$97</definedName>
    <definedName name="Yr5_Eth_Mixed_MLD">[2]Year5!$F$93:$Z$93</definedName>
    <definedName name="Yr5_Eth_Mixed_Multi_Sensory_Impairment">[2]Year5!$F$99:$Z$99</definedName>
    <definedName name="Yr5_Eth_Mixed_Physical_Disability">[2]Year5!$F$96:$Z$96</definedName>
    <definedName name="Yr5_Eth_Mixed_Profound_Multi_Learning_Diff">[2]Year5!$F$95:$Z$95</definedName>
    <definedName name="Yr5_Eth_Mixed_SEMH">[2]Year5!$F$89:$Z$89</definedName>
    <definedName name="Yr5_Eth_Mixed_Severe_LearningDiff">[2]Year5!$F$94:$Z$94</definedName>
    <definedName name="Yr5_Eth_Mixed_SLCN">[2]Year5!$F$91:$Z$91</definedName>
    <definedName name="Yr5_Eth_Mixed_Special_Learning_Diff">[2]Year5!$F$92:$Z$92</definedName>
    <definedName name="Yr5_Eth_Mixed_Visual_Impairment">[2]Year5!$F$98:$Z$98</definedName>
    <definedName name="Yr5_Eth_NotKnown">[2]Year5!$F$66:$Z$66</definedName>
    <definedName name="Yr5_Eth_Other_Autisic">[2]Year5!$F$123:$Z$123</definedName>
    <definedName name="Yr5_Eth_Other_Black">[2]Year5!$F$62:$Z$62</definedName>
    <definedName name="Yr5_Eth_Other_Group">[2]Year5!$F$64:$Z$64</definedName>
    <definedName name="Yr5_Eth_Other_Hearing_Impairment">[2]Year5!$F$130:$Z$130</definedName>
    <definedName name="Yr5_Eth_Other_MLD">[2]Year5!$F$126:$Z$126</definedName>
    <definedName name="Yr5_Eth_Other_Multi_Sensory_Impairment">[2]Year5!$F$132:$Z$132</definedName>
    <definedName name="Yr5_Eth_Other_Physical_Disability">[2]Year5!$F$129:$Z$129</definedName>
    <definedName name="Yr5_Eth_Other_Profound_Multi_Learning_Diff">[2]Year5!$F$128:$Z$128</definedName>
    <definedName name="Yr5_Eth_Other_SEMH">[2]Year5!$F$122:$Z$122</definedName>
    <definedName name="Yr5_Eth_Other_Severe_LearningDiff">[2]Year5!$F$127:$Z$127</definedName>
    <definedName name="Yr5_Eth_Other_SLCN">[2]Year5!$F$124:$Z$124</definedName>
    <definedName name="Yr5_Eth_Other_Special_Learning_Diff">[2]Year5!$F$125:$Z$125</definedName>
    <definedName name="Yr5_Eth_Other_Visual_Impairment">[2]Year5!$F$131:$Z$131</definedName>
    <definedName name="Yr5_Eth_Pakistani">[2]Year5!$F$57:$Z$57</definedName>
    <definedName name="Yr5_Eth_White_Gypsy">[2]Year5!$F$50:$Z$50</definedName>
    <definedName name="Yr5_Eth_White_Other_Autisic">[2]Year5!$F$79:$Z$79</definedName>
    <definedName name="Yr5_Eth_White_Other_Hearing_Impairment">[2]Year5!$F$86:$Z$86</definedName>
    <definedName name="Yr5_Eth_White_Other_MLD">[2]Year5!$F$82:$Z$82</definedName>
    <definedName name="Yr5_Eth_White_Other_Multi_Sensory_Impairment">[2]Year5!$F$88:$Z$88</definedName>
    <definedName name="Yr5_Eth_White_Other_Physical_Disability">[2]Year5!$F$85:$Z$85</definedName>
    <definedName name="Yr5_Eth_White_Other_Profound_Multi_Learning_Diff">[2]Year5!$F$84:$Z$84</definedName>
    <definedName name="Yr5_Eth_White_Other_SEMH">[2]Year5!$F$78:$Z$78</definedName>
    <definedName name="Yr5_Eth_White_Other_Severe_LearningDiff">[2]Year5!$F$83:$Z$83</definedName>
    <definedName name="Yr5_Eth_White_Other_SLCN">[2]Year5!$F$80:$Z$80</definedName>
    <definedName name="Yr5_Eth_White_Other_Special_Learning_Diff">[2]Year5!$F$81:$Z$81</definedName>
    <definedName name="Yr5_Eth_White_Other_Visual_Impairment">[2]Year5!$F$87:$Z$87</definedName>
    <definedName name="Yr5_Eth_White_OtherWhite">[2]Year5!$F$51:$Z$51</definedName>
    <definedName name="Yr5_Eth_White_Traveller">[2]Year5!$F$49:$Z$49</definedName>
    <definedName name="Yr5_Eth_White_WhiteBritish">[2]Year5!$F$47:$Z$47</definedName>
    <definedName name="Yr5_Eth_White_WhiteIrish">[2]Year5!$F$48:$Z$48</definedName>
    <definedName name="Yr5_Eth_WhiteBritish_Autisic">[2]Year5!$F$68:$Z$68</definedName>
    <definedName name="Yr5_Eth_WhiteBritish_Hearing_Impairment">[2]Year5!$F$75:$Z$75</definedName>
    <definedName name="Yr5_Eth_WhiteBritish_MLD">[2]Year5!$F$71:$Z$71</definedName>
    <definedName name="Yr5_Eth_WhiteBritish_Multi_Sensory_Impairment">[2]Year5!$F$77:$Z$77</definedName>
    <definedName name="Yr5_Eth_WhiteBritish_Physical_Disability">[2]Year5!$F$74:$Z$74</definedName>
    <definedName name="Yr5_Eth_WhiteBritish_Profound_Multi_Learning_Diff">[2]Year5!$F$73:$Z$73</definedName>
    <definedName name="Yr5_Eth_WhiteBritish_SEMH">[2]Year5!$F$67:$Z$67</definedName>
    <definedName name="Yr5_Eth_WhiteBritish_Severe_LearningDiff">[2]Year5!$F$72:$Z$72</definedName>
    <definedName name="Yr5_Eth_WhiteBritish_SLCN">[2]Year5!$F$69:$Z$69</definedName>
    <definedName name="Yr5_Eth_WhiteBritish_Special_Learning_Diff">[2]Year5!$F$70:$Z$70</definedName>
    <definedName name="Yr5_Eth_WhiteBritish_Visual_Impairment">[2]Year5!$F$76:$Z$76</definedName>
    <definedName name="Yr5_Female">[2]Year5!$F$20:$Z$20</definedName>
    <definedName name="Yr5_LAC_All">[2]Year5!$F$196:$Z$196</definedName>
    <definedName name="Yr5_Maintained_EHCP">[2]Year5!$F$2:$Z$2</definedName>
    <definedName name="Yr5_Male">[2]Year5!$F$21:$Z$21</definedName>
    <definedName name="Yr5_NotSpecified">[2]Year5!$F$22:$Z$22</definedName>
    <definedName name="Yr5_Placement_Apprenticeship">[2]Year5!$F$291:$Z$291</definedName>
    <definedName name="Yr5_Placement_Awaiting_Placement">[2]Year5!$F$288:$Z$288</definedName>
    <definedName name="Yr5_Placement_Excluded_On_Census">[2]Year5!$F$287:$Z$287</definedName>
    <definedName name="Yr5_Placement_GEO_Neighbouring_LA">[2]Year5!$F$295:$Z$295</definedName>
    <definedName name="Yr5_Placement_GEO_Other_LA">[2]Year5!$F$296:$Z$296</definedName>
    <definedName name="Yr5_Placement_GEO_Supported_Own_LA">[2]Year5!$F$294:$Z$294</definedName>
    <definedName name="Yr5_Placement_Hospital">[2]Year5!$F$280:$Z$280</definedName>
    <definedName name="Yr5_Placement_LA_Home_and_Funding_LA">[2]Year5!$F$342:$Z$342</definedName>
    <definedName name="Yr5_Placement_Mainstream_Sch_Acadeny_Free_Sch_ool">[2]Year5!$F$272:$Y$272</definedName>
    <definedName name="Yr5_Placement_Mainstream_Sch_Acadeny_Independent_Sch_ool">[2]Year5!$F$273:$Y$273</definedName>
    <definedName name="Yr5_Placement_Mainstream_Sch_Acadeny_RP">[2]Year5!$F$271:$Z$271</definedName>
    <definedName name="Yr5_Placement_Mainstream_Sch_Acadeny_Sch_ool">[2]Year5!$F$269:$Z$269</definedName>
    <definedName name="Yr5_Placement_Mainstream_Sch_Acadeny_SEN_Unit">[2]Year5!$F$270:$Z$270</definedName>
    <definedName name="Yr5_Placement_Mainstream_Sch_LAM_RP">[2]Year5!$F$268:$Z$268</definedName>
    <definedName name="Yr5_Placement_Mainstream_Sch_LAM_Sch_ool">[2]Year5!$F$266:$Z$266</definedName>
    <definedName name="Yr5_Placement_Mainstream_Sch_LAM_SEN_Unit">[2]Year5!$F$267:$Z$267</definedName>
    <definedName name="Yr5_Placement_NEET">[2]Year5!$F$289:$Z$289</definedName>
    <definedName name="Yr5_Placement_Non_Main_EY">[2]Year5!$F$265:$Z$265</definedName>
    <definedName name="Yr5_Placement_Other">[2]Year5!$F$290:$Z$290</definedName>
    <definedName name="Yr5_Placement_Other_Arrangement_LA">[2]Year5!$F$285:$Z$285</definedName>
    <definedName name="Yr5_Placement_Other_Arrangement_Parent">[2]Year5!$F$286:$Z$286</definedName>
    <definedName name="Yr5_Placement_Post16_General_FE_Colleges_HE">[2]Year5!$F$281:$Z$281</definedName>
    <definedName name="Yr5_Placement_Post16_Other_FE">[2]Year5!$F$282:$Z$282</definedName>
    <definedName name="Yr5_Placement_Post16_Sixth_Form_College">[2]Year5!$F$283:$Z$283</definedName>
    <definedName name="Yr5_Placement_Post16_Specialist_Institutions">[2]Year5!$F$284:$Z$284</definedName>
    <definedName name="Yr5_Placement_PruAlt_Sch_Academy_Free">[2]Year5!$F$279:$Z$279</definedName>
    <definedName name="Yr5_Placement_PruAlt_Sch_LAM_Foundation">[2]Year5!$F$278:$Z$278</definedName>
    <definedName name="Yr5_Placement_Special_Sch_Academy_Free">[2]Year5!$F$275:$Z$275</definedName>
    <definedName name="Yr5_Placement_Special_Sch_Independent">[2]Year5!$F$277:$Z$277</definedName>
    <definedName name="Yr5_Placement_Special_Sch_LAM_Foundation">[2]Year5!$F$274:$Z$274</definedName>
    <definedName name="Yr5_Placement_Special_Sch_Non_Maintained">[2]Year5!$F$276:$Z$276</definedName>
    <definedName name="Yr5_Placement_Supported_Internships">[2]Year5!$F$293:$Z$293</definedName>
    <definedName name="Yr5_Placement_Traineeeships">[2]Year5!$F$292:$Z$292</definedName>
    <definedName name="Yr5_PlacementmGEO_Outside_LA_Awaiting_Placementment">[2]Year5!$F$320:$Z$320</definedName>
    <definedName name="Yr5_PlacementmGEO_Outside_LA_Excluded_On_Census">[2]Year5!$F$319:$Z$319</definedName>
    <definedName name="Yr5_PlacementmGEO_Outside_LA_Hospital">[2]Year5!$F$312:$Z$312</definedName>
    <definedName name="Yr5_PlacementmGEO_Outside_LA_Mainstream_Sch_Acadeny_Free_Sch_ool">[2]Year5!$F$304:$Z$304</definedName>
    <definedName name="Yr5_PlacementmGEO_Outside_LA_Mainstream_Sch_Acadeny_IndependGEO_Outside_LA_Sch_ool">[2]Year5!$F$305:$Z$305</definedName>
    <definedName name="Yr5_PlacementmGEO_Outside_LA_Mainstream_Sch_Acadeny_RP">[2]Year5!$F$303:$Z$303</definedName>
    <definedName name="Yr5_PlacementmGEO_Outside_LA_Mainstream_Sch_Acadeny_Sch_ool">[2]Year5!$F$301:$Z$301</definedName>
    <definedName name="Yr5_PlacementmGEO_Outside_LA_Mainstream_Sch_Acadeny_SEN_Unit">[2]Year5!$F$302:$Z$302</definedName>
    <definedName name="Yr5_PlacementmGEO_Outside_LA_Mainstream_Sch_LAM_RP">[2]Year5!$F$300:$Z$300</definedName>
    <definedName name="Yr5_PlacementmGEO_Outside_LA_Mainstream_Sch_LAM_Sch_ool">[2]Year5!$F$298:$Z$298</definedName>
    <definedName name="Yr5_PlacementmGEO_Outside_LA_Mainstream_Sch_LAM_SEN_Unit">[2]Year5!$F$299:$Z$299</definedName>
    <definedName name="Yr5_PlacementmGEO_Outside_LA_NEET">[2]Year5!$F$321:$Z$321</definedName>
    <definedName name="Yr5_PlacementmGEO_Outside_LA_Non_Main_EY">[2]Year5!$F$297:$Z$297</definedName>
    <definedName name="Yr5_PlacementmGEO_Outside_LA_Other">[2]Year5!$F$322:$Z$322</definedName>
    <definedName name="Yr5_PlacementmGEO_Outside_LA_Other_ArrangemGEO_Outside_LA_LA">[2]Year5!$F$317:$Z$317</definedName>
    <definedName name="Yr5_PlacementmGEO_Outside_LA_Other_ArrangemGEO_Outside_LA_Parent">[2]Year5!$F$318:$Z$318</definedName>
    <definedName name="Yr5_PlacementmGEO_Outside_LA_Post16_General_FE_Colleges_HE">[2]Year5!$F$313:$Z$313</definedName>
    <definedName name="Yr5_PlacementmGEO_Outside_LA_Post16_Other_FE">[2]Year5!$F$314:$Z$314</definedName>
    <definedName name="Yr5_PlacementmGEO_Outside_LA_Post16_Sixth_Form_College">[2]Year5!$F$315:$Z$315</definedName>
    <definedName name="Yr5_PlacementmGEO_Outside_LA_Post16_Specialist_Institutions">[2]Year5!$F$316:$Z$316</definedName>
    <definedName name="Yr5_PlacementmGEO_Outside_LA_PruAlt_Sch_Academy_Free">[2]Year5!$F$311:$Z$311</definedName>
    <definedName name="Yr5_PlacementmGEO_Outside_LA_PruAlt_Sch_LAM_Foundation">[2]Year5!$F$310:$Z$310</definedName>
    <definedName name="Yr5_PlacementmGEO_Outside_LA_Special_Sch_Academy_Free">[2]Year5!$F$307:$Z$307</definedName>
    <definedName name="Yr5_PlacementmGEO_Outside_LA_Special_Sch_Independent">[2]Year5!$F$309:$Z$309</definedName>
    <definedName name="Yr5_PlacementmGEO_Outside_LA_Special_Sch_LAM_Foundation">[2]Year5!$F$306:$Z$306</definedName>
    <definedName name="Yr5_PlacementmGEO_Outside_LA_Special_Sch_Non_Maintained">[2]Year5!$F$308:$Z$308</definedName>
    <definedName name="Yr5_Plans_LA_Home_Funding">[2]Year5!$F$386:$Z$386</definedName>
    <definedName name="Yr5_Prim_Female_Autisic">[2]Year5!$F$24:$Z$24</definedName>
    <definedName name="Yr5_Prim_Female_Hearing_Impairment">[2]Year5!$F$31:$Z$31</definedName>
    <definedName name="Yr5_Prim_Female_MLD">[2]Year5!$F$27:$Z$27</definedName>
    <definedName name="Yr5_Prim_Female_Multi_Sensory_Impairment">[2]Year5!$F$33:$Z$33</definedName>
    <definedName name="Yr5_Prim_Female_Other">[2]Year5!$F$34:$Z$34</definedName>
    <definedName name="Yr5_Prim_Female_Physical_Disability">[2]Year5!$F$30:$Z$30</definedName>
    <definedName name="Yr5_Prim_Female_Profound_Multi_Learning_Diff">[2]Year5!$F$29:$Z$29</definedName>
    <definedName name="Yr5_Prim_Female_SEMH">[2]Year5!$F$23:$Z$23</definedName>
    <definedName name="Yr5_Prim_Female_Severe_LearningDiff">[2]Year5!$F$28:$Z$28</definedName>
    <definedName name="Yr5_Prim_Female_SLCN">[2]Year5!$F$25:$Z$25</definedName>
    <definedName name="Yr5_Prim_Female_Special_Learning_Diff">[2]Year5!$F$26:$Z$26</definedName>
    <definedName name="Yr5_Prim_Female_Visual_Impairment">[2]Year5!$F$32:$Z$32</definedName>
    <definedName name="Yr5_Prim_Male_Autisic">[2]Year5!$F$36:$Z$36</definedName>
    <definedName name="Yr5_Prim_Male_Hearing_Impairment">[2]Year5!$F$43:$Z$43</definedName>
    <definedName name="Yr5_Prim_Male_MLD">[2]Year5!$F$39:$Z$39</definedName>
    <definedName name="Yr5_Prim_Male_Multi_Sensory_Impairment">[2]Year5!$F$45:$Z$45</definedName>
    <definedName name="Yr5_Prim_Male_Other">[2]Year5!$F$46:$Z$46</definedName>
    <definedName name="Yr5_Prim_Male_Physical_Disability">[2]Year5!$F$42:$Z$42</definedName>
    <definedName name="Yr5_Prim_Male_Profound_Multi_Learning_Diff">[2]Year5!$F$41:$Z$41</definedName>
    <definedName name="Yr5_Prim_Male_SEMH">[2]Year5!$F$35:$Z$35</definedName>
    <definedName name="Yr5_Prim_Male_Severe_LearningDiff">[2]Year5!$F$40:$Z$40</definedName>
    <definedName name="Yr5_Prim_Male_SLCN">[2]Year5!$F$37:$Z$37</definedName>
    <definedName name="Yr5_Prim_Male_Special_Learning_Diff">[2]Year5!$F$38:$Z$38</definedName>
    <definedName name="Yr5_Prim_Male_Visual_Impairment">[2]Year5!$F$44:$Z$44</definedName>
    <definedName name="Yr5_Primary_Autistic">[2]Year5!$F$9:$Z$9</definedName>
    <definedName name="Yr5_Primary_Hearing_Impairment">[2]Year5!$F$16:$Z$16</definedName>
    <definedName name="Yr5_Primary_MLD">[2]Year5!$F$12:$Z$12</definedName>
    <definedName name="Yr5_Primary_Multi_Sensory_Impairment">[2]Year5!$F$18:$Z$18</definedName>
    <definedName name="Yr5_Primary_Other">[2]Year5!$F$19:$Z$19</definedName>
    <definedName name="Yr5_Primary_Physical_Disability">[2]Year5!$F$15:$Z$15</definedName>
    <definedName name="Yr5_Primary_Profound_Multi_Learning_Diff">[2]Year5!$F$14:$Z$14</definedName>
    <definedName name="Yr5_Primary_SEMH">[2]Year5!$F$8:$Z$8</definedName>
    <definedName name="Yr5_Primary_Severe_LearningDiff">[2]Year5!$F$13:$Z$13</definedName>
    <definedName name="Yr5_Primary_SLCN">[2]Year5!$F$10:$Z$10</definedName>
    <definedName name="Yr5_Primary_Special_Learning_Diff">[2]Year5!$F$11:$Z$11</definedName>
    <definedName name="Yr5_Primary_Visual_Impairment">[2]Year5!$F$17:$Z$17</definedName>
    <definedName name="Yr5_Requests_Referrals">[2]Year5!$F$327:$Z$327</definedName>
    <definedName name="Yr5_Requests_Referrals_By_EdEstab">[2]Year5!$F$334:$Z$334</definedName>
    <definedName name="Yr5_Requests_Referrals_By_Other_Professional">[2]Year5!$F$337:$Z$337</definedName>
    <definedName name="Yr5_Requests_Referrals_By_Parents_Carer">[2]Year5!$F$335:$Z$335</definedName>
    <definedName name="Yr5_Requests_Referrals_By_Self_Referral">[2]Year5!$F$336:$Z$336</definedName>
    <definedName name="Yr5_Requests_Referrals_Repeats_Within_6_Months">[2]Year5!$F$333:$Z$333</definedName>
    <definedName name="Yr5_Requests_Stage1_Agreed">[2]Year5!$F$328:$Z$328</definedName>
    <definedName name="Yr5_Requests_Stage1_Not_Agreed">[2]Year5!$F$329:$Z$329</definedName>
    <definedName name="Yr5_Requests_Stage2_EHC_Not_Required">[2]Year5!$F$331:$Z$331</definedName>
    <definedName name="Yr5_Requests_Stage2_EHC_Required">[2]Year5!$F$330:$Z$330</definedName>
    <definedName name="Yr5_Residential_38_To_51_Weeks">[2]Year5!$F$323:$Z$323</definedName>
    <definedName name="Yr5_Residential_52_Weeks">[2]Year5!$F$324:$Z$324</definedName>
    <definedName name="Yr5_S20">[2]Year5!$F$197:$Z$197</definedName>
    <definedName name="Yr5_Statement_EHCP_HNB">[2]Year5!$F$7:$Z$7</definedName>
    <definedName name="Yr5_Statement_EHCP_PB">[2]Year5!$F$6:$Z$6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C44" i="84" l="1"/>
  <c r="AC43" i="84" s="1"/>
  <c r="Z44" i="84"/>
  <c r="Y44" i="84"/>
  <c r="AC100" i="84"/>
  <c r="AB100" i="84"/>
  <c r="AA100" i="84"/>
  <c r="Z100" i="84"/>
  <c r="Y100" i="84"/>
  <c r="AC136" i="84"/>
  <c r="AB136" i="84"/>
  <c r="AA136" i="84"/>
  <c r="Z136" i="84"/>
  <c r="Y136" i="84"/>
  <c r="X136" i="84"/>
  <c r="AC172" i="84"/>
  <c r="AB172" i="84"/>
  <c r="AA172" i="84"/>
  <c r="Z172" i="84"/>
  <c r="Y172" i="84"/>
  <c r="B100" i="84"/>
  <c r="X100" i="84" s="1"/>
  <c r="B136" i="84"/>
  <c r="X172" i="84"/>
  <c r="T33" i="84"/>
  <c r="H33" i="84"/>
  <c r="AE33" i="84" s="1"/>
  <c r="P33" i="84" s="1"/>
  <c r="AA74" i="76" s="1"/>
  <c r="G33" i="84"/>
  <c r="AD33" i="84" s="1"/>
  <c r="F33" i="84"/>
  <c r="AC33" i="84" s="1"/>
  <c r="E33" i="84"/>
  <c r="AB33" i="84" s="1"/>
  <c r="D33" i="84"/>
  <c r="AA33" i="84" s="1"/>
  <c r="X33" i="84"/>
  <c r="E100" i="84" l="1"/>
  <c r="H136" i="84"/>
  <c r="AA76" i="76" s="1"/>
  <c r="D136" i="84"/>
  <c r="F100" i="84"/>
  <c r="E136" i="84"/>
  <c r="G100" i="84"/>
  <c r="E172" i="84"/>
  <c r="F136" i="84"/>
  <c r="H100" i="84"/>
  <c r="AA75" i="76" s="1"/>
  <c r="F172" i="84"/>
  <c r="G136" i="84"/>
  <c r="G172" i="84"/>
  <c r="D172" i="84"/>
  <c r="H172" i="84"/>
  <c r="AA77" i="76" s="1"/>
  <c r="D100" i="84"/>
  <c r="AD43" i="69"/>
  <c r="AD44" i="69"/>
  <c r="AA44" i="69"/>
  <c r="Z44" i="69"/>
  <c r="AD149" i="68"/>
  <c r="AD150" i="68"/>
  <c r="AA150" i="68"/>
  <c r="Z150" i="68"/>
  <c r="AA44" i="68"/>
  <c r="Z44" i="68"/>
  <c r="AD44" i="68"/>
  <c r="AD43" i="68" s="1"/>
  <c r="AD44" i="67"/>
  <c r="AD43" i="67" s="1"/>
  <c r="AA44" i="67"/>
  <c r="Z44" i="67"/>
  <c r="AD43" i="66"/>
  <c r="AD44" i="66"/>
  <c r="AA44" i="66"/>
  <c r="Z44" i="66"/>
  <c r="AD43" i="65"/>
  <c r="AD44" i="65"/>
  <c r="AA44" i="65"/>
  <c r="Z44" i="65"/>
  <c r="AD43" i="64"/>
  <c r="AA44" i="64"/>
  <c r="Z44" i="64"/>
  <c r="AD44" i="64"/>
  <c r="AD43" i="63"/>
  <c r="AD44" i="63"/>
  <c r="AA44" i="63"/>
  <c r="Z44" i="63"/>
  <c r="AD43" i="62"/>
  <c r="AD44" i="62"/>
  <c r="AA44" i="62"/>
  <c r="Z44" i="62"/>
  <c r="AD43" i="49"/>
  <c r="AD44" i="49"/>
  <c r="AA44" i="49"/>
  <c r="Z44" i="49"/>
  <c r="AD330" i="83" l="1"/>
  <c r="AD329" i="83" s="1"/>
  <c r="AA330" i="83"/>
  <c r="Z330" i="83"/>
  <c r="AD175" i="83"/>
  <c r="AD176" i="83" s="1"/>
  <c r="AA176" i="83"/>
  <c r="Z176" i="83"/>
  <c r="AD44" i="83"/>
  <c r="AD43" i="83" s="1"/>
  <c r="AA44" i="83"/>
  <c r="Z44" i="83"/>
  <c r="H12" i="70"/>
  <c r="H10" i="70"/>
  <c r="AB44" i="70"/>
  <c r="BC145" i="83" l="1"/>
  <c r="BG146" i="83"/>
  <c r="BF146" i="83"/>
  <c r="BE146" i="83"/>
  <c r="BD146" i="83"/>
  <c r="BC146" i="83"/>
  <c r="Z254" i="83"/>
  <c r="AA254" i="83"/>
  <c r="AB254" i="83"/>
  <c r="AC254" i="83"/>
  <c r="AD254" i="83"/>
  <c r="Z256" i="83"/>
  <c r="AA256" i="83"/>
  <c r="AB256" i="83"/>
  <c r="AC256" i="83"/>
  <c r="AD256" i="83"/>
  <c r="Z257" i="83"/>
  <c r="AA257" i="83"/>
  <c r="AB257" i="83"/>
  <c r="AC257" i="83"/>
  <c r="AD257" i="83"/>
  <c r="Z258" i="83"/>
  <c r="AA258" i="83"/>
  <c r="AB258" i="83"/>
  <c r="AC258" i="83"/>
  <c r="AD258" i="83"/>
  <c r="Z259" i="83"/>
  <c r="AA259" i="83"/>
  <c r="AB259" i="83"/>
  <c r="AC259" i="83"/>
  <c r="AD259" i="83"/>
  <c r="Z260" i="83"/>
  <c r="AA260" i="83"/>
  <c r="AB260" i="83"/>
  <c r="AC260" i="83"/>
  <c r="AD260" i="83"/>
  <c r="Z261" i="83"/>
  <c r="AA261" i="83"/>
  <c r="AB261" i="83"/>
  <c r="AC261" i="83"/>
  <c r="AD261" i="83"/>
  <c r="Z262" i="83"/>
  <c r="AA262" i="83"/>
  <c r="AB262" i="83"/>
  <c r="AC262" i="83"/>
  <c r="AD262" i="83"/>
  <c r="Z263" i="83"/>
  <c r="AA263" i="83"/>
  <c r="AB263" i="83"/>
  <c r="AC263" i="83"/>
  <c r="AD263" i="83"/>
  <c r="Z264" i="83"/>
  <c r="AA264" i="83"/>
  <c r="AB264" i="83"/>
  <c r="AC264" i="83"/>
  <c r="AD264" i="83"/>
  <c r="Z265" i="83"/>
  <c r="AA265" i="83"/>
  <c r="AB265" i="83"/>
  <c r="AC265" i="83"/>
  <c r="AD265" i="83"/>
  <c r="Z266" i="83"/>
  <c r="AA266" i="83"/>
  <c r="AB266" i="83"/>
  <c r="AC266" i="83"/>
  <c r="AD266" i="83"/>
  <c r="Z267" i="83"/>
  <c r="AA267" i="83"/>
  <c r="AB267" i="83"/>
  <c r="AC267" i="83"/>
  <c r="AD267" i="83"/>
  <c r="Z268" i="83"/>
  <c r="AA268" i="83"/>
  <c r="AB268" i="83"/>
  <c r="AC268" i="83"/>
  <c r="AD268" i="83"/>
  <c r="Z269" i="83"/>
  <c r="AA269" i="83"/>
  <c r="AB269" i="83"/>
  <c r="AC269" i="83"/>
  <c r="AD269" i="83"/>
  <c r="Z270" i="83"/>
  <c r="AA270" i="83"/>
  <c r="AB270" i="83"/>
  <c r="AC270" i="83"/>
  <c r="AD270" i="83"/>
  <c r="Z271" i="83"/>
  <c r="AA271" i="83"/>
  <c r="AB271" i="83"/>
  <c r="AC271" i="83"/>
  <c r="AD271" i="83"/>
  <c r="Z272" i="83"/>
  <c r="AA272" i="83"/>
  <c r="AB272" i="83"/>
  <c r="AC272" i="83"/>
  <c r="AD272" i="83"/>
  <c r="Z273" i="83"/>
  <c r="AA273" i="83"/>
  <c r="AB273" i="83"/>
  <c r="AC273" i="83"/>
  <c r="AD273" i="83"/>
  <c r="Z274" i="83"/>
  <c r="AA274" i="83"/>
  <c r="AB274" i="83"/>
  <c r="AC274" i="83"/>
  <c r="AD274" i="83"/>
  <c r="Z275" i="83"/>
  <c r="AA275" i="83"/>
  <c r="AB275" i="83"/>
  <c r="AC275" i="83"/>
  <c r="AD275" i="83"/>
  <c r="Z276" i="83"/>
  <c r="AA276" i="83"/>
  <c r="AB276" i="83"/>
  <c r="AC276" i="83"/>
  <c r="AD276" i="83"/>
  <c r="Z277" i="83"/>
  <c r="AA277" i="83"/>
  <c r="AB277" i="83"/>
  <c r="AC277" i="83"/>
  <c r="AD277" i="83"/>
  <c r="Z278" i="83"/>
  <c r="AA278" i="83"/>
  <c r="AB278" i="83"/>
  <c r="AC278" i="83"/>
  <c r="AD278" i="83"/>
  <c r="Z279" i="83"/>
  <c r="AA279" i="83"/>
  <c r="AB279" i="83"/>
  <c r="AC279" i="83"/>
  <c r="AD279" i="83"/>
  <c r="A286" i="83"/>
  <c r="AX145" i="83"/>
  <c r="BB146" i="83"/>
  <c r="BA146" i="83"/>
  <c r="AZ146" i="83"/>
  <c r="AY146" i="83"/>
  <c r="AX146" i="83"/>
  <c r="Z218" i="83"/>
  <c r="AA218" i="83"/>
  <c r="AB218" i="83"/>
  <c r="AC218" i="83"/>
  <c r="AD218" i="83"/>
  <c r="Z220" i="83"/>
  <c r="AA220" i="83"/>
  <c r="AB220" i="83"/>
  <c r="AC220" i="83"/>
  <c r="AD220" i="83"/>
  <c r="Z221" i="83"/>
  <c r="AA221" i="83"/>
  <c r="AB221" i="83"/>
  <c r="AC221" i="83"/>
  <c r="AD221" i="83"/>
  <c r="Z222" i="83"/>
  <c r="AA222" i="83"/>
  <c r="AB222" i="83"/>
  <c r="AC222" i="83"/>
  <c r="AD222" i="83"/>
  <c r="Z223" i="83"/>
  <c r="AA223" i="83"/>
  <c r="AB223" i="83"/>
  <c r="AC223" i="83"/>
  <c r="AD223" i="83"/>
  <c r="Z224" i="83"/>
  <c r="AA224" i="83"/>
  <c r="AB224" i="83"/>
  <c r="AC224" i="83"/>
  <c r="AD224" i="83"/>
  <c r="Z225" i="83"/>
  <c r="AA225" i="83"/>
  <c r="AB225" i="83"/>
  <c r="AC225" i="83"/>
  <c r="AD225" i="83"/>
  <c r="Z226" i="83"/>
  <c r="AA226" i="83"/>
  <c r="AB226" i="83"/>
  <c r="AC226" i="83"/>
  <c r="AD226" i="83"/>
  <c r="Z227" i="83"/>
  <c r="AA227" i="83"/>
  <c r="AB227" i="83"/>
  <c r="AC227" i="83"/>
  <c r="AD227" i="83"/>
  <c r="Z228" i="83"/>
  <c r="AA228" i="83"/>
  <c r="AB228" i="83"/>
  <c r="AC228" i="83"/>
  <c r="AD228" i="83"/>
  <c r="Z229" i="83"/>
  <c r="AA229" i="83"/>
  <c r="AB229" i="83"/>
  <c r="AC229" i="83"/>
  <c r="AD229" i="83"/>
  <c r="Z230" i="83"/>
  <c r="AA230" i="83"/>
  <c r="AB230" i="83"/>
  <c r="AC230" i="83"/>
  <c r="AD230" i="83"/>
  <c r="Z231" i="83"/>
  <c r="AA231" i="83"/>
  <c r="AB231" i="83"/>
  <c r="AC231" i="83"/>
  <c r="AD231" i="83"/>
  <c r="Z232" i="83"/>
  <c r="AA232" i="83"/>
  <c r="AB232" i="83"/>
  <c r="AC232" i="83"/>
  <c r="AD232" i="83"/>
  <c r="Z233" i="83"/>
  <c r="AA233" i="83"/>
  <c r="AB233" i="83"/>
  <c r="AC233" i="83"/>
  <c r="AD233" i="83"/>
  <c r="Z234" i="83"/>
  <c r="AA234" i="83"/>
  <c r="AB234" i="83"/>
  <c r="AC234" i="83"/>
  <c r="AD234" i="83"/>
  <c r="Z235" i="83"/>
  <c r="AA235" i="83"/>
  <c r="AB235" i="83"/>
  <c r="AC235" i="83"/>
  <c r="AD235" i="83"/>
  <c r="Z236" i="83"/>
  <c r="AA236" i="83"/>
  <c r="AB236" i="83"/>
  <c r="AC236" i="83"/>
  <c r="AD236" i="83"/>
  <c r="Z237" i="83"/>
  <c r="AA237" i="83"/>
  <c r="AB237" i="83"/>
  <c r="AC237" i="83"/>
  <c r="AD237" i="83"/>
  <c r="Z238" i="83"/>
  <c r="AA238" i="83"/>
  <c r="AB238" i="83"/>
  <c r="AC238" i="83"/>
  <c r="AD238" i="83"/>
  <c r="Z239" i="83"/>
  <c r="AA239" i="83"/>
  <c r="AB239" i="83"/>
  <c r="AC239" i="83"/>
  <c r="AD239" i="83"/>
  <c r="Z240" i="83"/>
  <c r="AA240" i="83"/>
  <c r="AB240" i="83"/>
  <c r="AC240" i="83"/>
  <c r="AD240" i="83"/>
  <c r="Z241" i="83"/>
  <c r="AA241" i="83"/>
  <c r="AB241" i="83"/>
  <c r="AC241" i="83"/>
  <c r="AD241" i="83"/>
  <c r="Z242" i="83"/>
  <c r="AA242" i="83"/>
  <c r="AB242" i="83"/>
  <c r="AC242" i="83"/>
  <c r="AD242" i="83"/>
  <c r="Z243" i="83"/>
  <c r="AA243" i="83"/>
  <c r="AB243" i="83"/>
  <c r="AC243" i="83"/>
  <c r="AD243" i="83"/>
  <c r="A250" i="83"/>
  <c r="B66" i="75" l="1"/>
  <c r="C32" i="44"/>
  <c r="D31" i="44"/>
  <c r="E30" i="44"/>
  <c r="E29" i="44"/>
  <c r="E28" i="44"/>
  <c r="E27" i="44"/>
  <c r="E26" i="44"/>
  <c r="E25" i="44"/>
  <c r="E24" i="44"/>
  <c r="E23" i="44"/>
  <c r="E22" i="44"/>
  <c r="E21" i="44"/>
  <c r="E20" i="44"/>
  <c r="E19" i="44"/>
  <c r="E18" i="44"/>
  <c r="E17" i="44"/>
  <c r="E16" i="44"/>
  <c r="E15" i="44"/>
  <c r="E14" i="44"/>
  <c r="E13" i="44"/>
  <c r="E12" i="44"/>
  <c r="E11" i="44"/>
  <c r="E10" i="44"/>
  <c r="E9" i="44"/>
  <c r="E31" i="44" s="1"/>
  <c r="C31" i="44" s="1"/>
  <c r="Y98" i="81"/>
  <c r="Y97" i="81"/>
  <c r="Y98" i="80"/>
  <c r="Y56" i="80"/>
  <c r="Y98" i="79"/>
  <c r="Y12" i="79"/>
  <c r="Y98" i="78"/>
  <c r="Y89" i="78"/>
  <c r="Y78" i="78"/>
  <c r="Y72" i="78"/>
  <c r="Y67" i="78"/>
  <c r="Y66" i="78"/>
  <c r="Y65" i="78"/>
  <c r="Y64" i="78"/>
  <c r="Y63" i="78"/>
  <c r="Y40" i="78"/>
  <c r="Y14" i="78"/>
  <c r="Y98" i="77"/>
  <c r="Y62" i="77"/>
  <c r="Y62" i="80"/>
  <c r="Y62" i="81"/>
  <c r="E104" i="78"/>
  <c r="E105" i="78"/>
  <c r="Y62" i="79"/>
  <c r="E105" i="77"/>
  <c r="E104" i="77"/>
  <c r="Y62" i="78"/>
  <c r="C104" i="77" l="1"/>
  <c r="C105" i="77"/>
  <c r="G28" i="75" l="1"/>
  <c r="F28" i="75" l="1"/>
  <c r="E28" i="75" s="1"/>
  <c r="Z104" i="77"/>
  <c r="Z105" i="77"/>
  <c r="D28" i="75" l="1"/>
  <c r="C104" i="80"/>
  <c r="C105" i="80"/>
  <c r="C104" i="79" l="1"/>
  <c r="C105" i="79"/>
  <c r="A1" i="81" l="1"/>
  <c r="H139" i="68" l="1"/>
  <c r="G139" i="68"/>
  <c r="F139" i="68"/>
  <c r="E139" i="68"/>
  <c r="D139" i="68"/>
  <c r="H137" i="68"/>
  <c r="G137" i="68"/>
  <c r="F137" i="68"/>
  <c r="E137" i="68"/>
  <c r="D137" i="68"/>
  <c r="H136" i="68"/>
  <c r="G136" i="68"/>
  <c r="F136" i="68"/>
  <c r="E136" i="68"/>
  <c r="D136" i="68"/>
  <c r="H135" i="68"/>
  <c r="G135" i="68"/>
  <c r="F135" i="68"/>
  <c r="E135" i="68"/>
  <c r="D135" i="68"/>
  <c r="H134" i="68"/>
  <c r="G134" i="68"/>
  <c r="F134" i="68"/>
  <c r="E134" i="68"/>
  <c r="D134" i="68"/>
  <c r="H133" i="68"/>
  <c r="G133" i="68"/>
  <c r="F133" i="68"/>
  <c r="E133" i="68"/>
  <c r="D133" i="68"/>
  <c r="H132" i="68"/>
  <c r="G132" i="68"/>
  <c r="F132" i="68"/>
  <c r="E132" i="68"/>
  <c r="D132" i="68"/>
  <c r="H131" i="68"/>
  <c r="G131" i="68"/>
  <c r="F131" i="68"/>
  <c r="E131" i="68"/>
  <c r="D131" i="68"/>
  <c r="H130" i="68"/>
  <c r="G130" i="68"/>
  <c r="F130" i="68"/>
  <c r="E130" i="68"/>
  <c r="D130" i="68"/>
  <c r="H129" i="68"/>
  <c r="G129" i="68"/>
  <c r="F129" i="68"/>
  <c r="E129" i="68"/>
  <c r="D129" i="68"/>
  <c r="H128" i="68"/>
  <c r="G128" i="68"/>
  <c r="F128" i="68"/>
  <c r="E128" i="68"/>
  <c r="D128" i="68"/>
  <c r="H127" i="68"/>
  <c r="G127" i="68"/>
  <c r="F127" i="68"/>
  <c r="E127" i="68"/>
  <c r="D127" i="68"/>
  <c r="H126" i="68"/>
  <c r="G126" i="68"/>
  <c r="F126" i="68"/>
  <c r="E126" i="68"/>
  <c r="D126" i="68"/>
  <c r="H125" i="68"/>
  <c r="G125" i="68"/>
  <c r="F125" i="68"/>
  <c r="E125" i="68"/>
  <c r="D125" i="68"/>
  <c r="H124" i="68"/>
  <c r="G124" i="68"/>
  <c r="F124" i="68"/>
  <c r="E124" i="68"/>
  <c r="D124" i="68"/>
  <c r="H123" i="68"/>
  <c r="G123" i="68"/>
  <c r="F123" i="68"/>
  <c r="E123" i="68"/>
  <c r="D123" i="68"/>
  <c r="H122" i="68"/>
  <c r="G122" i="68"/>
  <c r="F122" i="68"/>
  <c r="E122" i="68"/>
  <c r="D122" i="68"/>
  <c r="H121" i="68"/>
  <c r="G121" i="68"/>
  <c r="F121" i="68"/>
  <c r="E121" i="68"/>
  <c r="D121" i="68"/>
  <c r="H120" i="68"/>
  <c r="G120" i="68"/>
  <c r="F120" i="68"/>
  <c r="E120" i="68"/>
  <c r="D120" i="68"/>
  <c r="H119" i="68"/>
  <c r="G119" i="68"/>
  <c r="F119" i="68"/>
  <c r="E119" i="68"/>
  <c r="D119" i="68"/>
  <c r="H118" i="68"/>
  <c r="G118" i="68"/>
  <c r="F118" i="68"/>
  <c r="E118" i="68"/>
  <c r="D118" i="68"/>
  <c r="H117" i="68"/>
  <c r="G117" i="68"/>
  <c r="F117" i="68"/>
  <c r="E117" i="68"/>
  <c r="D117" i="68"/>
  <c r="H116" i="68"/>
  <c r="G116" i="68"/>
  <c r="F116" i="68"/>
  <c r="E116" i="68"/>
  <c r="D116" i="68"/>
  <c r="H33" i="68"/>
  <c r="G33" i="68"/>
  <c r="F33" i="68"/>
  <c r="E33" i="68"/>
  <c r="D33" i="68"/>
  <c r="D32" i="68"/>
  <c r="H31" i="68"/>
  <c r="G31" i="68"/>
  <c r="F31" i="68"/>
  <c r="E31" i="68"/>
  <c r="D31" i="68"/>
  <c r="H30" i="68"/>
  <c r="G30" i="68"/>
  <c r="F30" i="68"/>
  <c r="E30" i="68"/>
  <c r="D30" i="68"/>
  <c r="H29" i="68"/>
  <c r="G29" i="68"/>
  <c r="F29" i="68"/>
  <c r="E29" i="68"/>
  <c r="D29" i="68"/>
  <c r="H28" i="68"/>
  <c r="G28" i="68"/>
  <c r="F28" i="68"/>
  <c r="E28" i="68"/>
  <c r="D28" i="68"/>
  <c r="H27" i="68"/>
  <c r="G27" i="68"/>
  <c r="F27" i="68"/>
  <c r="E27" i="68"/>
  <c r="D27" i="68"/>
  <c r="H26" i="68"/>
  <c r="G26" i="68"/>
  <c r="F26" i="68"/>
  <c r="E26" i="68"/>
  <c r="D26" i="68"/>
  <c r="H25" i="68"/>
  <c r="G25" i="68"/>
  <c r="F25" i="68"/>
  <c r="E25" i="68"/>
  <c r="D25" i="68"/>
  <c r="H24" i="68"/>
  <c r="G24" i="68"/>
  <c r="F24" i="68"/>
  <c r="E24" i="68"/>
  <c r="D24" i="68"/>
  <c r="H23" i="68"/>
  <c r="G23" i="68"/>
  <c r="F23" i="68"/>
  <c r="E23" i="68"/>
  <c r="D23" i="68"/>
  <c r="H22" i="68"/>
  <c r="G22" i="68"/>
  <c r="F22" i="68"/>
  <c r="E22" i="68"/>
  <c r="D22" i="68"/>
  <c r="H21" i="68"/>
  <c r="G21" i="68"/>
  <c r="F21" i="68"/>
  <c r="E21" i="68"/>
  <c r="D21" i="68"/>
  <c r="H20" i="68"/>
  <c r="G20" i="68"/>
  <c r="F20" i="68"/>
  <c r="E20" i="68"/>
  <c r="D20" i="68"/>
  <c r="H19" i="68"/>
  <c r="G19" i="68"/>
  <c r="F19" i="68"/>
  <c r="E19" i="68"/>
  <c r="D19" i="68"/>
  <c r="H18" i="68"/>
  <c r="G18" i="68"/>
  <c r="F18" i="68"/>
  <c r="E18" i="68"/>
  <c r="D18" i="68"/>
  <c r="H17" i="68"/>
  <c r="G17" i="68"/>
  <c r="F17" i="68"/>
  <c r="E17" i="68"/>
  <c r="D17" i="68"/>
  <c r="H16" i="68"/>
  <c r="G16" i="68"/>
  <c r="F16" i="68"/>
  <c r="E16" i="68"/>
  <c r="D16" i="68"/>
  <c r="H15" i="68"/>
  <c r="G15" i="68"/>
  <c r="F15" i="68"/>
  <c r="E15" i="68"/>
  <c r="D15" i="68"/>
  <c r="H14" i="68"/>
  <c r="G14" i="68"/>
  <c r="F14" i="68"/>
  <c r="E14" i="68"/>
  <c r="D14" i="68"/>
  <c r="H13" i="68"/>
  <c r="G13" i="68"/>
  <c r="F13" i="68"/>
  <c r="E13" i="68"/>
  <c r="D13" i="68"/>
  <c r="H12" i="68"/>
  <c r="G12" i="68"/>
  <c r="F12" i="68"/>
  <c r="E12" i="68"/>
  <c r="D12" i="68"/>
  <c r="H11" i="68"/>
  <c r="G11" i="68"/>
  <c r="F11" i="68"/>
  <c r="E11" i="68"/>
  <c r="D11" i="68"/>
  <c r="H10" i="68"/>
  <c r="G10" i="68"/>
  <c r="F10" i="68"/>
  <c r="E10" i="68"/>
  <c r="D10" i="68"/>
  <c r="D138" i="68"/>
  <c r="E32" i="68"/>
  <c r="E138" i="68"/>
  <c r="F32" i="68"/>
  <c r="F138" i="68"/>
  <c r="G32" i="68"/>
  <c r="G138" i="68"/>
  <c r="H32" i="68"/>
  <c r="H138" i="68"/>
  <c r="BB79" i="76" l="1"/>
  <c r="BB78" i="76"/>
  <c r="AJ231" i="67" l="1"/>
  <c r="E198" i="75" l="1"/>
  <c r="F198" i="75"/>
  <c r="G198" i="75"/>
  <c r="H198" i="75"/>
  <c r="D198" i="75"/>
  <c r="D86" i="75" l="1"/>
  <c r="E86" i="75"/>
  <c r="F86" i="75"/>
  <c r="H86" i="75"/>
  <c r="G104" i="80" l="1"/>
  <c r="G105" i="80"/>
  <c r="H254" i="75" l="1"/>
  <c r="A1" i="80" l="1"/>
  <c r="A1" i="79"/>
  <c r="A1" i="78"/>
  <c r="A1" i="77"/>
  <c r="E3" i="75"/>
  <c r="Z105" i="80"/>
  <c r="X105" i="80"/>
  <c r="W105" i="80"/>
  <c r="V105" i="80"/>
  <c r="U105" i="80"/>
  <c r="T105" i="80"/>
  <c r="S105" i="80"/>
  <c r="R105" i="80"/>
  <c r="Q105" i="80"/>
  <c r="P105" i="80"/>
  <c r="O105" i="80"/>
  <c r="N105" i="80"/>
  <c r="M105" i="80"/>
  <c r="L105" i="80"/>
  <c r="K105" i="80"/>
  <c r="J105" i="80"/>
  <c r="I105" i="80"/>
  <c r="H105" i="80"/>
  <c r="F105" i="80"/>
  <c r="E105" i="80"/>
  <c r="D105" i="80"/>
  <c r="Z104" i="80"/>
  <c r="AC135" i="63" s="1"/>
  <c r="X104" i="80"/>
  <c r="W104" i="80"/>
  <c r="V104" i="80"/>
  <c r="U104" i="80"/>
  <c r="T104" i="80"/>
  <c r="S104" i="80"/>
  <c r="R104" i="80"/>
  <c r="Q104" i="80"/>
  <c r="P104" i="80"/>
  <c r="O104" i="80"/>
  <c r="N104" i="80"/>
  <c r="M104" i="80"/>
  <c r="L104" i="80"/>
  <c r="K104" i="80"/>
  <c r="J104" i="80"/>
  <c r="I104" i="80"/>
  <c r="H104" i="80"/>
  <c r="F104" i="80"/>
  <c r="E104" i="80"/>
  <c r="D104" i="80"/>
  <c r="Z105" i="79"/>
  <c r="X105" i="79"/>
  <c r="W105" i="79"/>
  <c r="V105" i="79"/>
  <c r="U105" i="79"/>
  <c r="T105" i="79"/>
  <c r="S105" i="79"/>
  <c r="R105" i="79"/>
  <c r="Q105" i="79"/>
  <c r="P105" i="79"/>
  <c r="O105" i="79"/>
  <c r="N105" i="79"/>
  <c r="M105" i="79"/>
  <c r="L105" i="79"/>
  <c r="K105" i="79"/>
  <c r="J105" i="79"/>
  <c r="I105" i="79"/>
  <c r="H105" i="79"/>
  <c r="G105" i="79"/>
  <c r="F105" i="79"/>
  <c r="E105" i="79"/>
  <c r="D105" i="79"/>
  <c r="Z104" i="79"/>
  <c r="AB135" i="63" s="1"/>
  <c r="X104" i="79"/>
  <c r="W104" i="79"/>
  <c r="V104" i="79"/>
  <c r="U104" i="79"/>
  <c r="T104" i="79"/>
  <c r="S104" i="79"/>
  <c r="R104" i="79"/>
  <c r="Q104" i="79"/>
  <c r="P104" i="79"/>
  <c r="O104" i="79"/>
  <c r="N104" i="79"/>
  <c r="M104" i="79"/>
  <c r="L104" i="79"/>
  <c r="K104" i="79"/>
  <c r="J104" i="79"/>
  <c r="I104" i="79"/>
  <c r="H104" i="79"/>
  <c r="G104" i="79"/>
  <c r="F104" i="79"/>
  <c r="E104" i="79"/>
  <c r="D104" i="79"/>
  <c r="Z105" i="78"/>
  <c r="X105" i="78"/>
  <c r="W105" i="78"/>
  <c r="V105" i="78"/>
  <c r="U105" i="78"/>
  <c r="T105" i="78"/>
  <c r="S105" i="78"/>
  <c r="R105" i="78"/>
  <c r="Q105" i="78"/>
  <c r="P105" i="78"/>
  <c r="O105" i="78"/>
  <c r="N105" i="78"/>
  <c r="M105" i="78"/>
  <c r="L105" i="78"/>
  <c r="K105" i="78"/>
  <c r="J105" i="78"/>
  <c r="I105" i="78"/>
  <c r="H105" i="78"/>
  <c r="G105" i="78"/>
  <c r="F105" i="78"/>
  <c r="D105" i="78"/>
  <c r="C105" i="78"/>
  <c r="Z104" i="78"/>
  <c r="X104" i="78"/>
  <c r="W104" i="78"/>
  <c r="V104" i="78"/>
  <c r="U104" i="78"/>
  <c r="T104" i="78"/>
  <c r="S104" i="78"/>
  <c r="R104" i="78"/>
  <c r="Q104" i="78"/>
  <c r="P104" i="78"/>
  <c r="O104" i="78"/>
  <c r="N104" i="78"/>
  <c r="M104" i="78"/>
  <c r="L104" i="78"/>
  <c r="K104" i="78"/>
  <c r="J104" i="78"/>
  <c r="I104" i="78"/>
  <c r="H104" i="78"/>
  <c r="G104" i="78"/>
  <c r="F104" i="78"/>
  <c r="D104" i="78"/>
  <c r="C104" i="78"/>
  <c r="X105" i="77"/>
  <c r="W105" i="77"/>
  <c r="V105" i="77"/>
  <c r="U105" i="77"/>
  <c r="T105" i="77"/>
  <c r="S105" i="77"/>
  <c r="R105" i="77"/>
  <c r="Q105" i="77"/>
  <c r="P105" i="77"/>
  <c r="O105" i="77"/>
  <c r="N105" i="77"/>
  <c r="M105" i="77"/>
  <c r="L105" i="77"/>
  <c r="K105" i="77"/>
  <c r="J105" i="77"/>
  <c r="I105" i="77"/>
  <c r="H105" i="77"/>
  <c r="G105" i="77"/>
  <c r="F105" i="77"/>
  <c r="D105" i="77"/>
  <c r="X104" i="77"/>
  <c r="W104" i="77"/>
  <c r="V104" i="77"/>
  <c r="U104" i="77"/>
  <c r="T104" i="77"/>
  <c r="S104" i="77"/>
  <c r="R104" i="77"/>
  <c r="Q104" i="77"/>
  <c r="P104" i="77"/>
  <c r="O104" i="77"/>
  <c r="N104" i="77"/>
  <c r="M104" i="77"/>
  <c r="L104" i="77"/>
  <c r="K104" i="77"/>
  <c r="J104" i="77"/>
  <c r="I104" i="77"/>
  <c r="H104" i="77"/>
  <c r="G104" i="77"/>
  <c r="F104" i="77"/>
  <c r="D104" i="77"/>
  <c r="Y104" i="78" l="1"/>
  <c r="Y105" i="77"/>
  <c r="Y105" i="79"/>
  <c r="Y105" i="80"/>
  <c r="Y104" i="80"/>
  <c r="Y104" i="79"/>
  <c r="Y105" i="78"/>
  <c r="Y104" i="77"/>
  <c r="AJ148" i="83" l="1"/>
  <c r="AJ149" i="83"/>
  <c r="AJ150" i="83"/>
  <c r="AJ151" i="83"/>
  <c r="AJ152" i="83"/>
  <c r="AJ153" i="83"/>
  <c r="AJ154" i="83"/>
  <c r="AJ155" i="83"/>
  <c r="AJ156" i="83"/>
  <c r="AJ157" i="83"/>
  <c r="AJ158" i="83"/>
  <c r="AJ159" i="83"/>
  <c r="AJ160" i="83"/>
  <c r="AJ161" i="83"/>
  <c r="AJ162" i="83"/>
  <c r="AJ163" i="83"/>
  <c r="AJ164" i="83"/>
  <c r="AJ165" i="83"/>
  <c r="AJ166" i="83"/>
  <c r="AJ167" i="83"/>
  <c r="AJ168" i="83"/>
  <c r="AJ169" i="83"/>
  <c r="AJ170" i="83"/>
  <c r="AJ171" i="83"/>
  <c r="BB15" i="76" l="1"/>
  <c r="BB16" i="76"/>
  <c r="BB17" i="76"/>
  <c r="BB18" i="76"/>
  <c r="BB19" i="76"/>
  <c r="BB20" i="76"/>
  <c r="BB21" i="76"/>
  <c r="BB22" i="76"/>
  <c r="BB23" i="76"/>
  <c r="BB24" i="76"/>
  <c r="BB25" i="76"/>
  <c r="BB26" i="76"/>
  <c r="BB27" i="76"/>
  <c r="BB28" i="76"/>
  <c r="BB40" i="76"/>
  <c r="BB41" i="76"/>
  <c r="BB42" i="76"/>
  <c r="BB43" i="76"/>
  <c r="BB29" i="76"/>
  <c r="BB30" i="76"/>
  <c r="BB31" i="76"/>
  <c r="BB32" i="76"/>
  <c r="BB33" i="76"/>
  <c r="BB34" i="76"/>
  <c r="BB35" i="76"/>
  <c r="BB36" i="76"/>
  <c r="BB37" i="76"/>
  <c r="BB38" i="76"/>
  <c r="BB39" i="76"/>
  <c r="BB44" i="76"/>
  <c r="BB45" i="76"/>
  <c r="BB46" i="76"/>
  <c r="BB47" i="76"/>
  <c r="BB48" i="76"/>
  <c r="BB49" i="76"/>
  <c r="BB50" i="76"/>
  <c r="BB51" i="76"/>
  <c r="BB52" i="76"/>
  <c r="BB53" i="76"/>
  <c r="BB54" i="76"/>
  <c r="BB55" i="76"/>
  <c r="BB56" i="76"/>
  <c r="BB57" i="76"/>
  <c r="BB58" i="76"/>
  <c r="BB59" i="76"/>
  <c r="BB60" i="76"/>
  <c r="BB69" i="76"/>
  <c r="BB70" i="76"/>
  <c r="BB71" i="76"/>
  <c r="BB72" i="76"/>
  <c r="BB73" i="76"/>
  <c r="BB61" i="76"/>
  <c r="BB62" i="76"/>
  <c r="BB63" i="76"/>
  <c r="BB66" i="76"/>
  <c r="BB74" i="76"/>
  <c r="BB75" i="76"/>
  <c r="BB76" i="76"/>
  <c r="BB77" i="76"/>
  <c r="BB67" i="76"/>
  <c r="BB68" i="76"/>
  <c r="BB64" i="76"/>
  <c r="BB65" i="76"/>
  <c r="BB14" i="76"/>
  <c r="O3" i="92"/>
  <c r="R3" i="92"/>
  <c r="S3" i="92"/>
  <c r="O4" i="92"/>
  <c r="R4" i="92"/>
  <c r="S4" i="92"/>
  <c r="O5" i="92"/>
  <c r="R5" i="92"/>
  <c r="S5" i="92"/>
  <c r="O6" i="92"/>
  <c r="R6" i="92"/>
  <c r="S6" i="92"/>
  <c r="O7" i="92"/>
  <c r="R7" i="92"/>
  <c r="S7" i="92"/>
  <c r="O8" i="92"/>
  <c r="R8" i="92"/>
  <c r="S8" i="92"/>
  <c r="O9" i="92"/>
  <c r="R9" i="92"/>
  <c r="S9" i="92"/>
  <c r="O10" i="92"/>
  <c r="R10" i="92"/>
  <c r="S10" i="92"/>
  <c r="O11" i="92"/>
  <c r="R11" i="92"/>
  <c r="S11" i="92"/>
  <c r="O12" i="92"/>
  <c r="R12" i="92"/>
  <c r="S12" i="92"/>
  <c r="O13" i="92"/>
  <c r="R13" i="92"/>
  <c r="S13" i="92"/>
  <c r="O14" i="92"/>
  <c r="R14" i="92"/>
  <c r="S14" i="92"/>
  <c r="O15" i="92"/>
  <c r="R15" i="92"/>
  <c r="S15" i="92"/>
  <c r="O16" i="92"/>
  <c r="R16" i="92"/>
  <c r="S16" i="92"/>
  <c r="O17" i="92"/>
  <c r="R17" i="92"/>
  <c r="S17" i="92"/>
  <c r="O18" i="92"/>
  <c r="R18" i="92"/>
  <c r="S18" i="92"/>
  <c r="O19" i="92"/>
  <c r="R19" i="92"/>
  <c r="S19" i="92"/>
  <c r="O20" i="92"/>
  <c r="R20" i="92"/>
  <c r="S20" i="92"/>
  <c r="O21" i="92"/>
  <c r="R21" i="92"/>
  <c r="S21" i="92"/>
  <c r="O22" i="92"/>
  <c r="R22" i="92"/>
  <c r="S22" i="92"/>
  <c r="O23" i="92"/>
  <c r="R23" i="92"/>
  <c r="S23" i="92"/>
  <c r="O24" i="92"/>
  <c r="R24" i="92"/>
  <c r="S24" i="92"/>
  <c r="O25" i="92"/>
  <c r="R25" i="92"/>
  <c r="S25" i="92"/>
  <c r="O26" i="92"/>
  <c r="R26" i="92"/>
  <c r="S26" i="92"/>
  <c r="O27" i="92"/>
  <c r="R27" i="92"/>
  <c r="S27" i="92"/>
  <c r="O28" i="92"/>
  <c r="R28" i="92"/>
  <c r="S28" i="92"/>
  <c r="O29" i="92"/>
  <c r="R29" i="92"/>
  <c r="S29" i="92"/>
  <c r="O2" i="92"/>
  <c r="R2" i="92"/>
  <c r="S2" i="92"/>
  <c r="X105" i="81" l="1"/>
  <c r="W105" i="81"/>
  <c r="V105" i="81"/>
  <c r="U105" i="81"/>
  <c r="T105" i="81"/>
  <c r="S105" i="81"/>
  <c r="R105" i="81"/>
  <c r="Q105" i="81"/>
  <c r="P105" i="81"/>
  <c r="O105" i="81"/>
  <c r="N105" i="81"/>
  <c r="M105" i="81"/>
  <c r="L105" i="81"/>
  <c r="K105" i="81"/>
  <c r="J105" i="81"/>
  <c r="I105" i="81"/>
  <c r="H105" i="81"/>
  <c r="G105" i="81"/>
  <c r="F105" i="81"/>
  <c r="E105" i="81"/>
  <c r="D105" i="81"/>
  <c r="C105" i="81"/>
  <c r="X104" i="81"/>
  <c r="W104" i="81"/>
  <c r="V104" i="81"/>
  <c r="U104" i="81"/>
  <c r="T104" i="81"/>
  <c r="S104" i="81"/>
  <c r="R104" i="81"/>
  <c r="Q104" i="81"/>
  <c r="P104" i="81"/>
  <c r="O104" i="81"/>
  <c r="N104" i="81"/>
  <c r="M104" i="81"/>
  <c r="L104" i="81"/>
  <c r="K104" i="81"/>
  <c r="J104" i="81"/>
  <c r="I104" i="81"/>
  <c r="H104" i="81"/>
  <c r="G104" i="81"/>
  <c r="F104" i="81"/>
  <c r="E104" i="81"/>
  <c r="D104" i="81"/>
  <c r="C104" i="81"/>
  <c r="AD189" i="50" l="1"/>
  <c r="AE189" i="50"/>
  <c r="AF189" i="50"/>
  <c r="AH189" i="50"/>
  <c r="AI189" i="50"/>
  <c r="AJ189" i="50"/>
  <c r="AK189" i="50"/>
  <c r="AM189" i="50"/>
  <c r="AN189" i="50"/>
  <c r="AO189" i="50"/>
  <c r="AP189" i="50"/>
  <c r="AQ189" i="50"/>
  <c r="AR189" i="50"/>
  <c r="AS189" i="50"/>
  <c r="AT189" i="50"/>
  <c r="AU189" i="50"/>
  <c r="AV189" i="50"/>
  <c r="AW189" i="50"/>
  <c r="AX189" i="50"/>
  <c r="AY189" i="50"/>
  <c r="AZ189" i="50"/>
  <c r="BA189" i="50"/>
  <c r="BB189" i="50"/>
  <c r="BC189" i="50"/>
  <c r="BD189" i="50"/>
  <c r="BE189" i="50"/>
  <c r="BF189" i="50"/>
  <c r="BG189" i="50"/>
  <c r="BH189" i="50"/>
  <c r="BI189" i="50"/>
  <c r="BJ189" i="50"/>
  <c r="BK189" i="50"/>
  <c r="BL189" i="50"/>
  <c r="BM189" i="50"/>
  <c r="BN189" i="50"/>
  <c r="BO189" i="50"/>
  <c r="BP189" i="50"/>
  <c r="BQ189" i="50"/>
  <c r="BR189" i="50"/>
  <c r="BS189" i="50"/>
  <c r="BT189" i="50"/>
  <c r="BU189" i="50"/>
  <c r="BV189" i="50"/>
  <c r="BW189" i="50"/>
  <c r="BX189" i="50"/>
  <c r="BY189" i="50"/>
  <c r="CA189" i="50"/>
  <c r="CB189" i="50"/>
  <c r="CC189" i="50"/>
  <c r="CD189" i="50"/>
  <c r="AQ190" i="50"/>
  <c r="AR190" i="50"/>
  <c r="AS190" i="50"/>
  <c r="AT190" i="50"/>
  <c r="AU190" i="50"/>
  <c r="AV190" i="50"/>
  <c r="AW190" i="50"/>
  <c r="AX190" i="50"/>
  <c r="AY190" i="50"/>
  <c r="AZ190" i="50"/>
  <c r="BA190" i="50"/>
  <c r="BB190" i="50"/>
  <c r="BC190" i="50"/>
  <c r="BD190" i="50"/>
  <c r="BE190" i="50"/>
  <c r="BF190" i="50"/>
  <c r="BG190" i="50"/>
  <c r="BH190" i="50"/>
  <c r="BI190" i="50"/>
  <c r="BJ190" i="50"/>
  <c r="BK190" i="50"/>
  <c r="BL190" i="50"/>
  <c r="BM190" i="50"/>
  <c r="BN190" i="50"/>
  <c r="BO190" i="50"/>
  <c r="BP190" i="50"/>
  <c r="BQ190" i="50"/>
  <c r="BR190" i="50"/>
  <c r="BS190" i="50"/>
  <c r="BT190" i="50"/>
  <c r="BU190" i="50"/>
  <c r="BV190" i="50"/>
  <c r="BW190" i="50"/>
  <c r="BX190" i="50"/>
  <c r="BY190" i="50"/>
  <c r="AQ191" i="50"/>
  <c r="AR191" i="50"/>
  <c r="AS191" i="50"/>
  <c r="AT191" i="50"/>
  <c r="AU191" i="50"/>
  <c r="AV191" i="50"/>
  <c r="AW191" i="50"/>
  <c r="AX191" i="50"/>
  <c r="AY191" i="50"/>
  <c r="AZ191" i="50"/>
  <c r="BA191" i="50"/>
  <c r="BB191" i="50"/>
  <c r="BC191" i="50"/>
  <c r="BD191" i="50"/>
  <c r="BE191" i="50"/>
  <c r="BF191" i="50"/>
  <c r="BG191" i="50"/>
  <c r="BH191" i="50"/>
  <c r="BI191" i="50"/>
  <c r="BJ191" i="50"/>
  <c r="BK191" i="50"/>
  <c r="BL191" i="50"/>
  <c r="BM191" i="50"/>
  <c r="BN191" i="50"/>
  <c r="BO191" i="50"/>
  <c r="BP191" i="50"/>
  <c r="BQ191" i="50"/>
  <c r="BR191" i="50"/>
  <c r="BS191" i="50"/>
  <c r="BT191" i="50"/>
  <c r="BU191" i="50"/>
  <c r="BV191" i="50"/>
  <c r="BW191" i="50"/>
  <c r="BX191" i="50"/>
  <c r="BY191" i="50"/>
  <c r="AQ192" i="50"/>
  <c r="AR192" i="50"/>
  <c r="AS192" i="50"/>
  <c r="AT192" i="50"/>
  <c r="AU192" i="50"/>
  <c r="AV192" i="50"/>
  <c r="AW192" i="50"/>
  <c r="AX192" i="50"/>
  <c r="AY192" i="50"/>
  <c r="AZ192" i="50"/>
  <c r="BA192" i="50"/>
  <c r="BB192" i="50"/>
  <c r="BC192" i="50"/>
  <c r="BD192" i="50"/>
  <c r="BE192" i="50"/>
  <c r="BF192" i="50"/>
  <c r="BG192" i="50"/>
  <c r="BH192" i="50"/>
  <c r="BI192" i="50"/>
  <c r="BJ192" i="50"/>
  <c r="BK192" i="50"/>
  <c r="BL192" i="50"/>
  <c r="BM192" i="50"/>
  <c r="BN192" i="50"/>
  <c r="BO192" i="50"/>
  <c r="BP192" i="50"/>
  <c r="BQ192" i="50"/>
  <c r="BR192" i="50"/>
  <c r="BS192" i="50"/>
  <c r="BT192" i="50"/>
  <c r="BU192" i="50"/>
  <c r="BV192" i="50"/>
  <c r="BW192" i="50"/>
  <c r="BX192" i="50"/>
  <c r="BY192" i="50"/>
  <c r="AQ193" i="50"/>
  <c r="AR193" i="50"/>
  <c r="AS193" i="50"/>
  <c r="AT193" i="50"/>
  <c r="AU193" i="50"/>
  <c r="AV193" i="50"/>
  <c r="AW193" i="50"/>
  <c r="AX193" i="50"/>
  <c r="AY193" i="50"/>
  <c r="AZ193" i="50"/>
  <c r="BA193" i="50"/>
  <c r="BB193" i="50"/>
  <c r="BC193" i="50"/>
  <c r="BD193" i="50"/>
  <c r="BE193" i="50"/>
  <c r="BF193" i="50"/>
  <c r="BG193" i="50"/>
  <c r="BH193" i="50"/>
  <c r="BI193" i="50"/>
  <c r="BJ193" i="50"/>
  <c r="BK193" i="50"/>
  <c r="BL193" i="50"/>
  <c r="BM193" i="50"/>
  <c r="BN193" i="50"/>
  <c r="BO193" i="50"/>
  <c r="BP193" i="50"/>
  <c r="BQ193" i="50"/>
  <c r="BR193" i="50"/>
  <c r="BS193" i="50"/>
  <c r="BT193" i="50"/>
  <c r="BU193" i="50"/>
  <c r="BV193" i="50"/>
  <c r="BW193" i="50"/>
  <c r="BX193" i="50"/>
  <c r="BY193" i="50"/>
  <c r="AQ194" i="50"/>
  <c r="AR194" i="50"/>
  <c r="AS194" i="50"/>
  <c r="AT194" i="50"/>
  <c r="AU194" i="50"/>
  <c r="AV194" i="50"/>
  <c r="AW194" i="50"/>
  <c r="AX194" i="50"/>
  <c r="AY194" i="50"/>
  <c r="AZ194" i="50"/>
  <c r="BA194" i="50"/>
  <c r="BB194" i="50"/>
  <c r="BC194" i="50"/>
  <c r="BD194" i="50"/>
  <c r="BE194" i="50"/>
  <c r="BF194" i="50"/>
  <c r="BG194" i="50"/>
  <c r="BH194" i="50"/>
  <c r="BI194" i="50"/>
  <c r="BJ194" i="50"/>
  <c r="BK194" i="50"/>
  <c r="BL194" i="50"/>
  <c r="BM194" i="50"/>
  <c r="BN194" i="50"/>
  <c r="BO194" i="50"/>
  <c r="BP194" i="50"/>
  <c r="BQ194" i="50"/>
  <c r="BR194" i="50"/>
  <c r="BS194" i="50"/>
  <c r="BT194" i="50"/>
  <c r="BU194" i="50"/>
  <c r="BV194" i="50"/>
  <c r="BW194" i="50"/>
  <c r="BX194" i="50"/>
  <c r="BY194" i="50"/>
  <c r="AQ195" i="50"/>
  <c r="AR195" i="50"/>
  <c r="AS195" i="50"/>
  <c r="AT195" i="50"/>
  <c r="AU195" i="50"/>
  <c r="AV195" i="50"/>
  <c r="AW195" i="50"/>
  <c r="AX195" i="50"/>
  <c r="AY195" i="50"/>
  <c r="AZ195" i="50"/>
  <c r="BA195" i="50"/>
  <c r="BB195" i="50"/>
  <c r="BC195" i="50"/>
  <c r="BD195" i="50"/>
  <c r="BE195" i="50"/>
  <c r="BF195" i="50"/>
  <c r="BG195" i="50"/>
  <c r="BH195" i="50"/>
  <c r="BI195" i="50"/>
  <c r="BJ195" i="50"/>
  <c r="BK195" i="50"/>
  <c r="BL195" i="50"/>
  <c r="BM195" i="50"/>
  <c r="BN195" i="50"/>
  <c r="BO195" i="50"/>
  <c r="BP195" i="50"/>
  <c r="BQ195" i="50"/>
  <c r="BR195" i="50"/>
  <c r="BS195" i="50"/>
  <c r="BT195" i="50"/>
  <c r="BU195" i="50"/>
  <c r="BV195" i="50"/>
  <c r="BW195" i="50"/>
  <c r="BX195" i="50"/>
  <c r="BY195" i="50"/>
  <c r="AQ196" i="50"/>
  <c r="AR196" i="50"/>
  <c r="AS196" i="50"/>
  <c r="AT196" i="50"/>
  <c r="AU196" i="50"/>
  <c r="AV196" i="50"/>
  <c r="AW196" i="50"/>
  <c r="AX196" i="50"/>
  <c r="AY196" i="50"/>
  <c r="AZ196" i="50"/>
  <c r="BA196" i="50"/>
  <c r="BB196" i="50"/>
  <c r="BC196" i="50"/>
  <c r="BD196" i="50"/>
  <c r="BE196" i="50"/>
  <c r="BF196" i="50"/>
  <c r="BG196" i="50"/>
  <c r="BH196" i="50"/>
  <c r="BI196" i="50"/>
  <c r="BJ196" i="50"/>
  <c r="BK196" i="50"/>
  <c r="BL196" i="50"/>
  <c r="BM196" i="50"/>
  <c r="BN196" i="50"/>
  <c r="BO196" i="50"/>
  <c r="BP196" i="50"/>
  <c r="BQ196" i="50"/>
  <c r="BR196" i="50"/>
  <c r="BS196" i="50"/>
  <c r="BT196" i="50"/>
  <c r="BU196" i="50"/>
  <c r="BV196" i="50"/>
  <c r="BW196" i="50"/>
  <c r="BX196" i="50"/>
  <c r="BY196" i="50"/>
  <c r="AQ197" i="50"/>
  <c r="AR197" i="50"/>
  <c r="AS197" i="50"/>
  <c r="AT197" i="50"/>
  <c r="AU197" i="50"/>
  <c r="AV197" i="50"/>
  <c r="AW197" i="50"/>
  <c r="AX197" i="50"/>
  <c r="AY197" i="50"/>
  <c r="AZ197" i="50"/>
  <c r="BA197" i="50"/>
  <c r="BB197" i="50"/>
  <c r="BC197" i="50"/>
  <c r="BD197" i="50"/>
  <c r="BE197" i="50"/>
  <c r="BF197" i="50"/>
  <c r="BG197" i="50"/>
  <c r="BH197" i="50"/>
  <c r="BI197" i="50"/>
  <c r="BJ197" i="50"/>
  <c r="BK197" i="50"/>
  <c r="BL197" i="50"/>
  <c r="BM197" i="50"/>
  <c r="BN197" i="50"/>
  <c r="BO197" i="50"/>
  <c r="BP197" i="50"/>
  <c r="BQ197" i="50"/>
  <c r="BR197" i="50"/>
  <c r="BS197" i="50"/>
  <c r="BT197" i="50"/>
  <c r="BU197" i="50"/>
  <c r="BV197" i="50"/>
  <c r="BW197" i="50"/>
  <c r="BX197" i="50"/>
  <c r="BY197" i="50"/>
  <c r="AJ147" i="68"/>
  <c r="AJ148" i="68"/>
  <c r="Y149" i="68"/>
  <c r="AJ149" i="68"/>
  <c r="Y150" i="68"/>
  <c r="AJ150" i="68"/>
  <c r="AJ151" i="68"/>
  <c r="AJ152" i="68"/>
  <c r="AJ153" i="68"/>
  <c r="AJ154" i="68"/>
  <c r="AJ155" i="68"/>
  <c r="AJ156" i="68"/>
  <c r="AJ157" i="68"/>
  <c r="AJ158" i="68"/>
  <c r="AJ159" i="68"/>
  <c r="AJ160" i="68"/>
  <c r="AJ161" i="68"/>
  <c r="AJ162" i="68"/>
  <c r="AJ163" i="68"/>
  <c r="AJ164" i="68"/>
  <c r="AJ165" i="68"/>
  <c r="AJ166" i="68"/>
  <c r="AJ167" i="68"/>
  <c r="AJ168" i="68"/>
  <c r="AJ169" i="68"/>
  <c r="AJ170" i="68"/>
  <c r="F3" i="75" l="1"/>
  <c r="B107" i="50" s="1"/>
  <c r="H3" i="75"/>
  <c r="G3" i="75"/>
  <c r="A3" i="92" l="1"/>
  <c r="A18" i="92"/>
  <c r="A27" i="92"/>
  <c r="A17" i="92"/>
  <c r="A9" i="92"/>
  <c r="A12" i="92"/>
  <c r="A8" i="92"/>
  <c r="A4" i="92"/>
  <c r="A19" i="92"/>
  <c r="A15" i="92"/>
  <c r="A11" i="92"/>
  <c r="A7" i="92"/>
  <c r="A22" i="92"/>
  <c r="A14" i="92"/>
  <c r="A26" i="92"/>
  <c r="A5" i="92"/>
  <c r="A29" i="92"/>
  <c r="A10" i="92"/>
  <c r="A25" i="92"/>
  <c r="A24" i="92"/>
  <c r="A20" i="92"/>
  <c r="A16" i="92"/>
  <c r="A23" i="92"/>
  <c r="A28" i="92"/>
  <c r="A6" i="92"/>
  <c r="A21" i="92"/>
  <c r="A13" i="92"/>
  <c r="C65" i="76"/>
  <c r="C64" i="76"/>
  <c r="C74" i="76"/>
  <c r="C52" i="76"/>
  <c r="C54" i="76"/>
  <c r="C66" i="76"/>
  <c r="C55" i="76"/>
  <c r="C61" i="76"/>
  <c r="C63" i="76"/>
  <c r="C67" i="76"/>
  <c r="C49" i="76"/>
  <c r="C62" i="76"/>
  <c r="C51" i="76"/>
  <c r="C48" i="76"/>
  <c r="C37" i="76"/>
  <c r="C50" i="76"/>
  <c r="C38" i="76"/>
  <c r="C44" i="76"/>
  <c r="C35" i="76"/>
  <c r="C36" i="76"/>
  <c r="C15" i="76"/>
  <c r="C27" i="76"/>
  <c r="C29" i="76"/>
  <c r="E14" i="76" l="1"/>
  <c r="F14" i="76"/>
  <c r="G14" i="76"/>
  <c r="H14" i="76"/>
  <c r="I14" i="76"/>
  <c r="J14" i="76"/>
  <c r="K14" i="76"/>
  <c r="L14" i="76"/>
  <c r="M14" i="76"/>
  <c r="N14" i="76"/>
  <c r="O14" i="76"/>
  <c r="P14" i="76"/>
  <c r="Q14" i="76"/>
  <c r="R14" i="76"/>
  <c r="S14" i="76"/>
  <c r="T14" i="76"/>
  <c r="U14" i="76"/>
  <c r="V14" i="76"/>
  <c r="W14" i="76"/>
  <c r="X14" i="76"/>
  <c r="Y14" i="76"/>
  <c r="D14" i="76"/>
  <c r="S10" i="65" l="1"/>
  <c r="Z116" i="68"/>
  <c r="Z117" i="68"/>
  <c r="Z118" i="68"/>
  <c r="Z119" i="68"/>
  <c r="Z120" i="68"/>
  <c r="Z121" i="68"/>
  <c r="Z122" i="68"/>
  <c r="Z123" i="68"/>
  <c r="Z124" i="68"/>
  <c r="Z125" i="68"/>
  <c r="Z126" i="68"/>
  <c r="Z127" i="68"/>
  <c r="Z128" i="68"/>
  <c r="Z129" i="68"/>
  <c r="Z130" i="68"/>
  <c r="Z131" i="68"/>
  <c r="Z132" i="68"/>
  <c r="Z133" i="68"/>
  <c r="Z134" i="68"/>
  <c r="Z135" i="68"/>
  <c r="Z136" i="68"/>
  <c r="Z137" i="68"/>
  <c r="Z10" i="68"/>
  <c r="AI279" i="69" l="1"/>
  <c r="AH279" i="69"/>
  <c r="AG279" i="69"/>
  <c r="AF279" i="69"/>
  <c r="AE279" i="69"/>
  <c r="AI207" i="69"/>
  <c r="AH207" i="69"/>
  <c r="AG207" i="69"/>
  <c r="AF207" i="69"/>
  <c r="AE207" i="69"/>
  <c r="Y44" i="83"/>
  <c r="AK78" i="70"/>
  <c r="AK79" i="70"/>
  <c r="AK80" i="70"/>
  <c r="AK81" i="70"/>
  <c r="AK82" i="70"/>
  <c r="AK83" i="70"/>
  <c r="AK84" i="70"/>
  <c r="AK85" i="70"/>
  <c r="AK86" i="70"/>
  <c r="AK87" i="70"/>
  <c r="AK88" i="70"/>
  <c r="AK89" i="70"/>
  <c r="AK90" i="70"/>
  <c r="AK91" i="70"/>
  <c r="AK92" i="70"/>
  <c r="AK93" i="70"/>
  <c r="AK94" i="70"/>
  <c r="AK95" i="70"/>
  <c r="AK96" i="70"/>
  <c r="AK97" i="70"/>
  <c r="AK98" i="70"/>
  <c r="AK99" i="70"/>
  <c r="AK101" i="70"/>
  <c r="AB45" i="70" l="1"/>
  <c r="X45" i="70"/>
  <c r="X44" i="70"/>
  <c r="B340" i="75" l="1"/>
  <c r="B341" i="75"/>
  <c r="B342" i="75"/>
  <c r="B343" i="75"/>
  <c r="B344" i="75"/>
  <c r="B345" i="75"/>
  <c r="B346" i="75"/>
  <c r="B347" i="75"/>
  <c r="B348" i="75"/>
  <c r="B349" i="75"/>
  <c r="B350" i="75"/>
  <c r="B351" i="75"/>
  <c r="B352" i="75"/>
  <c r="B353" i="75"/>
  <c r="B354" i="75"/>
  <c r="B355" i="75"/>
  <c r="B356" i="75"/>
  <c r="B357" i="75"/>
  <c r="B358" i="75"/>
  <c r="B359" i="75"/>
  <c r="B360" i="75"/>
  <c r="B361" i="75"/>
  <c r="B362" i="75"/>
  <c r="B363" i="75"/>
  <c r="B368" i="75"/>
  <c r="B369" i="75"/>
  <c r="B370" i="75"/>
  <c r="B371" i="75"/>
  <c r="B372" i="75"/>
  <c r="B373" i="75"/>
  <c r="B374" i="75"/>
  <c r="B375" i="75"/>
  <c r="B376" i="75"/>
  <c r="B377" i="75"/>
  <c r="B378" i="75"/>
  <c r="B379" i="75"/>
  <c r="B380" i="75"/>
  <c r="B381" i="75"/>
  <c r="B382" i="75"/>
  <c r="B383" i="75"/>
  <c r="B384" i="75"/>
  <c r="B385" i="75"/>
  <c r="B386" i="75"/>
  <c r="B387" i="75"/>
  <c r="B388" i="75"/>
  <c r="B389" i="75"/>
  <c r="B390" i="75"/>
  <c r="B391" i="75"/>
  <c r="B367" i="75"/>
  <c r="B339" i="75"/>
  <c r="H366" i="75"/>
  <c r="G366" i="75"/>
  <c r="F366" i="75"/>
  <c r="E366" i="75"/>
  <c r="D366" i="75"/>
  <c r="H365" i="75"/>
  <c r="G365" i="75"/>
  <c r="F365" i="75"/>
  <c r="E365" i="75"/>
  <c r="D365" i="75"/>
  <c r="H338" i="75"/>
  <c r="G338" i="75"/>
  <c r="F338" i="75"/>
  <c r="E338" i="75"/>
  <c r="D338" i="75"/>
  <c r="B33" i="70" l="1"/>
  <c r="B32" i="70"/>
  <c r="B31" i="70"/>
  <c r="B30" i="70"/>
  <c r="B29" i="70"/>
  <c r="B28" i="70"/>
  <c r="B27" i="70"/>
  <c r="B26" i="70"/>
  <c r="B25" i="70"/>
  <c r="B24" i="70"/>
  <c r="B23" i="70"/>
  <c r="B22" i="70"/>
  <c r="B21" i="70"/>
  <c r="B20" i="70"/>
  <c r="B19" i="70"/>
  <c r="B18" i="70"/>
  <c r="B17" i="70"/>
  <c r="B16" i="70"/>
  <c r="B15" i="70"/>
  <c r="B14" i="70"/>
  <c r="B13" i="70"/>
  <c r="B12" i="70"/>
  <c r="B11" i="70"/>
  <c r="B10" i="70"/>
  <c r="B32" i="84"/>
  <c r="B31" i="84"/>
  <c r="B30" i="84"/>
  <c r="B29" i="84"/>
  <c r="B28" i="84"/>
  <c r="B27" i="84"/>
  <c r="B26" i="84"/>
  <c r="B25" i="84"/>
  <c r="B24" i="84"/>
  <c r="B23" i="84"/>
  <c r="B22" i="84"/>
  <c r="B21" i="84"/>
  <c r="B20" i="84"/>
  <c r="B19" i="84"/>
  <c r="B18" i="84"/>
  <c r="B17" i="84"/>
  <c r="B16" i="84"/>
  <c r="B15" i="84"/>
  <c r="B14" i="84"/>
  <c r="B13" i="84"/>
  <c r="B12" i="84"/>
  <c r="B11" i="84"/>
  <c r="B10" i="84"/>
  <c r="B319" i="83"/>
  <c r="B318" i="83"/>
  <c r="B317" i="83"/>
  <c r="B316" i="83"/>
  <c r="B315" i="83"/>
  <c r="B314" i="83"/>
  <c r="B313" i="83"/>
  <c r="B312" i="83"/>
  <c r="B311" i="83"/>
  <c r="B310" i="83"/>
  <c r="B309" i="83"/>
  <c r="B308" i="83"/>
  <c r="B307" i="83"/>
  <c r="B306" i="83"/>
  <c r="B305" i="83"/>
  <c r="B304" i="83"/>
  <c r="B303" i="83"/>
  <c r="B302" i="83"/>
  <c r="B301" i="83"/>
  <c r="B300" i="83"/>
  <c r="B299" i="83"/>
  <c r="B298" i="83"/>
  <c r="B297" i="83"/>
  <c r="B296" i="83"/>
  <c r="B140" i="83"/>
  <c r="B139" i="83"/>
  <c r="B138" i="83"/>
  <c r="B137" i="83"/>
  <c r="B136" i="83"/>
  <c r="B135" i="83"/>
  <c r="B134" i="83"/>
  <c r="B133" i="83"/>
  <c r="B132" i="83"/>
  <c r="B131" i="83"/>
  <c r="B130" i="83"/>
  <c r="B129" i="83"/>
  <c r="B128" i="83"/>
  <c r="B127" i="83"/>
  <c r="B126" i="83"/>
  <c r="B125" i="83"/>
  <c r="B124" i="83"/>
  <c r="B123" i="83"/>
  <c r="B122" i="83"/>
  <c r="B121" i="83"/>
  <c r="B120" i="83"/>
  <c r="B119" i="83"/>
  <c r="B118" i="83"/>
  <c r="B117" i="83"/>
  <c r="B33" i="83"/>
  <c r="B32" i="83"/>
  <c r="B31" i="83"/>
  <c r="B30" i="83"/>
  <c r="B29" i="83"/>
  <c r="B28" i="83"/>
  <c r="B27" i="83"/>
  <c r="B26" i="83"/>
  <c r="B25" i="83"/>
  <c r="B24" i="83"/>
  <c r="B23" i="83"/>
  <c r="B22" i="83"/>
  <c r="B21" i="83"/>
  <c r="B20" i="83"/>
  <c r="B19" i="83"/>
  <c r="B18" i="83"/>
  <c r="B17" i="83"/>
  <c r="B16" i="83"/>
  <c r="B15" i="83"/>
  <c r="B14" i="83"/>
  <c r="B13" i="83"/>
  <c r="B12" i="83"/>
  <c r="B11" i="83"/>
  <c r="B10" i="83"/>
  <c r="B33" i="69"/>
  <c r="B32" i="69"/>
  <c r="B31" i="69"/>
  <c r="B30" i="69"/>
  <c r="B29" i="69"/>
  <c r="B28" i="69"/>
  <c r="B27" i="69"/>
  <c r="B26" i="69"/>
  <c r="B25" i="69"/>
  <c r="B24" i="69"/>
  <c r="B23" i="69"/>
  <c r="B22" i="69"/>
  <c r="B21" i="69"/>
  <c r="B20" i="69"/>
  <c r="B19" i="69"/>
  <c r="B18" i="69"/>
  <c r="B17" i="69"/>
  <c r="B16" i="69"/>
  <c r="B15" i="69"/>
  <c r="B14" i="69"/>
  <c r="B13" i="69"/>
  <c r="B12" i="69"/>
  <c r="B11" i="69"/>
  <c r="B10" i="69"/>
  <c r="B139" i="68"/>
  <c r="B138" i="68"/>
  <c r="B137" i="68"/>
  <c r="B136" i="68"/>
  <c r="B135" i="68"/>
  <c r="B134" i="68"/>
  <c r="B133" i="68"/>
  <c r="B132" i="68"/>
  <c r="B131" i="68"/>
  <c r="B130" i="68"/>
  <c r="B129" i="68"/>
  <c r="B128" i="68"/>
  <c r="B127" i="68"/>
  <c r="B126" i="68"/>
  <c r="B125" i="68"/>
  <c r="B124" i="68"/>
  <c r="B123" i="68"/>
  <c r="B122" i="68"/>
  <c r="B121" i="68"/>
  <c r="B120" i="68"/>
  <c r="B119" i="68"/>
  <c r="B118" i="68"/>
  <c r="B117" i="68"/>
  <c r="B116" i="68"/>
  <c r="B33" i="68"/>
  <c r="B32" i="68"/>
  <c r="B31" i="68"/>
  <c r="B30" i="68"/>
  <c r="B29" i="68"/>
  <c r="B28" i="68"/>
  <c r="B27" i="68"/>
  <c r="B26" i="68"/>
  <c r="B25" i="68"/>
  <c r="B24" i="68"/>
  <c r="B23" i="68"/>
  <c r="B22" i="68"/>
  <c r="B21" i="68"/>
  <c r="B20" i="68"/>
  <c r="B19" i="68"/>
  <c r="B18" i="68"/>
  <c r="B17" i="68"/>
  <c r="B16" i="68"/>
  <c r="B15" i="68"/>
  <c r="B14" i="68"/>
  <c r="B13" i="68"/>
  <c r="B12" i="68"/>
  <c r="B11" i="68"/>
  <c r="B10" i="68"/>
  <c r="B33" i="67"/>
  <c r="B32" i="67"/>
  <c r="B31" i="67"/>
  <c r="B30" i="67"/>
  <c r="B29" i="67"/>
  <c r="B28" i="67"/>
  <c r="B27" i="67"/>
  <c r="B26" i="67"/>
  <c r="B25" i="67"/>
  <c r="B24" i="67"/>
  <c r="B23" i="67"/>
  <c r="B22" i="67"/>
  <c r="B21" i="67"/>
  <c r="B20" i="67"/>
  <c r="B19" i="67"/>
  <c r="B18" i="67"/>
  <c r="B17" i="67"/>
  <c r="B16" i="67"/>
  <c r="B15" i="67"/>
  <c r="B14" i="67"/>
  <c r="B13" i="67"/>
  <c r="B12" i="67"/>
  <c r="B11" i="67"/>
  <c r="B10" i="67"/>
  <c r="B33" i="66"/>
  <c r="B32" i="66"/>
  <c r="B31" i="66"/>
  <c r="B30" i="66"/>
  <c r="B29" i="66"/>
  <c r="B28" i="66"/>
  <c r="B27" i="66"/>
  <c r="B26" i="66"/>
  <c r="B25" i="66"/>
  <c r="B24" i="66"/>
  <c r="B23" i="66"/>
  <c r="B22" i="66"/>
  <c r="B21" i="66"/>
  <c r="B20" i="66"/>
  <c r="B19" i="66"/>
  <c r="B18" i="66"/>
  <c r="B17" i="66"/>
  <c r="B16" i="66"/>
  <c r="B15" i="66"/>
  <c r="B14" i="66"/>
  <c r="B13" i="66"/>
  <c r="B12" i="66"/>
  <c r="B11" i="66"/>
  <c r="B10" i="66"/>
  <c r="B33" i="65"/>
  <c r="B32" i="65"/>
  <c r="B31" i="65"/>
  <c r="B30" i="65"/>
  <c r="B29" i="65"/>
  <c r="B28" i="65"/>
  <c r="B27" i="65"/>
  <c r="B26" i="65"/>
  <c r="B25" i="65"/>
  <c r="B24" i="65"/>
  <c r="B23" i="65"/>
  <c r="B22" i="65"/>
  <c r="B21" i="65"/>
  <c r="B20" i="65"/>
  <c r="B19" i="65"/>
  <c r="B18" i="65"/>
  <c r="B17" i="65"/>
  <c r="B16" i="65"/>
  <c r="B15" i="65"/>
  <c r="B14" i="65"/>
  <c r="B13" i="65"/>
  <c r="B12" i="65"/>
  <c r="B11" i="65"/>
  <c r="B10" i="65"/>
  <c r="B33" i="64"/>
  <c r="B32" i="64"/>
  <c r="B31" i="64"/>
  <c r="B30" i="64"/>
  <c r="B29" i="64"/>
  <c r="B28" i="64"/>
  <c r="B27" i="64"/>
  <c r="B26" i="64"/>
  <c r="B25" i="64"/>
  <c r="B24" i="64"/>
  <c r="B23" i="64"/>
  <c r="B22" i="64"/>
  <c r="B21" i="64"/>
  <c r="B20" i="64"/>
  <c r="B19" i="64"/>
  <c r="B18" i="64"/>
  <c r="B17" i="64"/>
  <c r="B16" i="64"/>
  <c r="B15" i="64"/>
  <c r="B14" i="64"/>
  <c r="B13" i="64"/>
  <c r="B12" i="64"/>
  <c r="B11" i="64"/>
  <c r="B10" i="64"/>
  <c r="B33" i="63"/>
  <c r="B32" i="63"/>
  <c r="B31" i="63"/>
  <c r="B30" i="63"/>
  <c r="B29" i="63"/>
  <c r="B28" i="63"/>
  <c r="B27" i="63"/>
  <c r="B26" i="63"/>
  <c r="B25" i="63"/>
  <c r="B24" i="63"/>
  <c r="B23" i="63"/>
  <c r="B22" i="63"/>
  <c r="B21" i="63"/>
  <c r="B20" i="63"/>
  <c r="B19" i="63"/>
  <c r="B18" i="63"/>
  <c r="B17" i="63"/>
  <c r="B16" i="63"/>
  <c r="B15" i="63"/>
  <c r="B14" i="63"/>
  <c r="B13" i="63"/>
  <c r="B12" i="63"/>
  <c r="B11" i="63"/>
  <c r="B10" i="63"/>
  <c r="B33" i="62"/>
  <c r="B32" i="62"/>
  <c r="B31" i="62"/>
  <c r="B30" i="62"/>
  <c r="B29" i="62"/>
  <c r="B28" i="62"/>
  <c r="B27" i="62"/>
  <c r="B26" i="62"/>
  <c r="B25" i="62"/>
  <c r="B24" i="62"/>
  <c r="B23" i="62"/>
  <c r="B22" i="62"/>
  <c r="B21" i="62"/>
  <c r="B20" i="62"/>
  <c r="B19" i="62"/>
  <c r="B18" i="62"/>
  <c r="B17" i="62"/>
  <c r="B16" i="62"/>
  <c r="B15" i="62"/>
  <c r="B14" i="62"/>
  <c r="B13" i="62"/>
  <c r="B12" i="62"/>
  <c r="B11" i="62"/>
  <c r="B10" i="62"/>
  <c r="Y2" i="70" l="1"/>
  <c r="Z1" i="70"/>
  <c r="I7" i="70"/>
  <c r="AO5" i="70"/>
  <c r="AC170" i="84"/>
  <c r="AB170" i="84"/>
  <c r="AA170" i="84"/>
  <c r="Z170" i="84"/>
  <c r="Y170" i="84"/>
  <c r="AC169" i="84"/>
  <c r="AB169" i="84"/>
  <c r="AA169" i="84"/>
  <c r="Z169" i="84"/>
  <c r="Y169" i="84"/>
  <c r="AC168" i="84"/>
  <c r="AB168" i="84"/>
  <c r="AA168" i="84"/>
  <c r="Z168" i="84"/>
  <c r="Y168" i="84"/>
  <c r="AC167" i="84"/>
  <c r="AB167" i="84"/>
  <c r="AA167" i="84"/>
  <c r="Z167" i="84"/>
  <c r="Y167" i="84"/>
  <c r="AC166" i="84"/>
  <c r="AB166" i="84"/>
  <c r="AA166" i="84"/>
  <c r="Z166" i="84"/>
  <c r="Y166" i="84"/>
  <c r="AC165" i="84"/>
  <c r="AB165" i="84"/>
  <c r="AA165" i="84"/>
  <c r="Z165" i="84"/>
  <c r="Y165" i="84"/>
  <c r="AC164" i="84"/>
  <c r="AB164" i="84"/>
  <c r="AA164" i="84"/>
  <c r="Z164" i="84"/>
  <c r="Y164" i="84"/>
  <c r="AC163" i="84"/>
  <c r="AB163" i="84"/>
  <c r="Z163" i="84"/>
  <c r="Y163" i="84"/>
  <c r="AC162" i="84"/>
  <c r="AB162" i="84"/>
  <c r="AA162" i="84"/>
  <c r="Z162" i="84"/>
  <c r="Y162" i="84"/>
  <c r="AC161" i="84"/>
  <c r="AB161" i="84"/>
  <c r="AA161" i="84"/>
  <c r="Z161" i="84"/>
  <c r="Y161" i="84"/>
  <c r="AC160" i="84"/>
  <c r="AB160" i="84"/>
  <c r="AA160" i="84"/>
  <c r="Z160" i="84"/>
  <c r="Y160" i="84"/>
  <c r="AC159" i="84"/>
  <c r="AB159" i="84"/>
  <c r="AA159" i="84"/>
  <c r="Z159" i="84"/>
  <c r="Y159" i="84"/>
  <c r="AC158" i="84"/>
  <c r="AB158" i="84"/>
  <c r="AA158" i="84"/>
  <c r="Z158" i="84"/>
  <c r="Y158" i="84"/>
  <c r="AC157" i="84"/>
  <c r="AB157" i="84"/>
  <c r="AA157" i="84"/>
  <c r="Z157" i="84"/>
  <c r="Y157" i="84"/>
  <c r="AC156" i="84"/>
  <c r="AB156" i="84"/>
  <c r="AA156" i="84"/>
  <c r="Z156" i="84"/>
  <c r="Y156" i="84"/>
  <c r="AC155" i="84"/>
  <c r="AB155" i="84"/>
  <c r="AA155" i="84"/>
  <c r="Z155" i="84"/>
  <c r="Y155" i="84"/>
  <c r="AC154" i="84"/>
  <c r="AB154" i="84"/>
  <c r="AA154" i="84"/>
  <c r="Z154" i="84"/>
  <c r="Y154" i="84"/>
  <c r="AC153" i="84"/>
  <c r="AB153" i="84"/>
  <c r="AA153" i="84"/>
  <c r="Z153" i="84"/>
  <c r="Y153" i="84"/>
  <c r="AC152" i="84"/>
  <c r="AB152" i="84"/>
  <c r="AA152" i="84"/>
  <c r="Z152" i="84"/>
  <c r="Y152" i="84"/>
  <c r="AC151" i="84"/>
  <c r="AB151" i="84"/>
  <c r="AA151" i="84"/>
  <c r="Z151" i="84"/>
  <c r="Y151" i="84"/>
  <c r="AC150" i="84"/>
  <c r="AB150" i="84"/>
  <c r="AA150" i="84"/>
  <c r="Z150" i="84"/>
  <c r="Y150" i="84"/>
  <c r="AC149" i="84"/>
  <c r="AB149" i="84"/>
  <c r="AA149" i="84"/>
  <c r="Z149" i="84"/>
  <c r="Y149" i="84"/>
  <c r="AC134" i="84"/>
  <c r="AB134" i="84"/>
  <c r="AA134" i="84"/>
  <c r="Z134" i="84"/>
  <c r="Y134" i="84"/>
  <c r="AC133" i="84"/>
  <c r="AB133" i="84"/>
  <c r="AA133" i="84"/>
  <c r="Z133" i="84"/>
  <c r="Y133" i="84"/>
  <c r="AC132" i="84"/>
  <c r="AB132" i="84"/>
  <c r="AA132" i="84"/>
  <c r="Z132" i="84"/>
  <c r="Y132" i="84"/>
  <c r="AC131" i="84"/>
  <c r="AB131" i="84"/>
  <c r="AA131" i="84"/>
  <c r="Z131" i="84"/>
  <c r="Y131" i="84"/>
  <c r="AC130" i="84"/>
  <c r="AB130" i="84"/>
  <c r="AA130" i="84"/>
  <c r="Z130" i="84"/>
  <c r="Y130" i="84"/>
  <c r="AC129" i="84"/>
  <c r="AB129" i="84"/>
  <c r="AA129" i="84"/>
  <c r="Z129" i="84"/>
  <c r="Y129" i="84"/>
  <c r="AC128" i="84"/>
  <c r="AB128" i="84"/>
  <c r="AA128" i="84"/>
  <c r="Z128" i="84"/>
  <c r="Y128" i="84"/>
  <c r="AC127" i="84"/>
  <c r="AB127" i="84"/>
  <c r="Z127" i="84"/>
  <c r="Y127" i="84"/>
  <c r="AC126" i="84"/>
  <c r="AB126" i="84"/>
  <c r="AA126" i="84"/>
  <c r="Z126" i="84"/>
  <c r="Y126" i="84"/>
  <c r="AC125" i="84"/>
  <c r="AB125" i="84"/>
  <c r="AA125" i="84"/>
  <c r="Z125" i="84"/>
  <c r="Y125" i="84"/>
  <c r="AC124" i="84"/>
  <c r="AB124" i="84"/>
  <c r="AA124" i="84"/>
  <c r="Z124" i="84"/>
  <c r="Y124" i="84"/>
  <c r="AC123" i="84"/>
  <c r="AB123" i="84"/>
  <c r="AA123" i="84"/>
  <c r="Z123" i="84"/>
  <c r="Y123" i="84"/>
  <c r="AC122" i="84"/>
  <c r="AB122" i="84"/>
  <c r="AA122" i="84"/>
  <c r="Z122" i="84"/>
  <c r="Y122" i="84"/>
  <c r="AC121" i="84"/>
  <c r="AB121" i="84"/>
  <c r="AA121" i="84"/>
  <c r="Z121" i="84"/>
  <c r="Y121" i="84"/>
  <c r="AC120" i="84"/>
  <c r="AB120" i="84"/>
  <c r="AA120" i="84"/>
  <c r="Z120" i="84"/>
  <c r="Y120" i="84"/>
  <c r="AC119" i="84"/>
  <c r="AB119" i="84"/>
  <c r="AA119" i="84"/>
  <c r="Z119" i="84"/>
  <c r="Y119" i="84"/>
  <c r="AC118" i="84"/>
  <c r="AB118" i="84"/>
  <c r="AA118" i="84"/>
  <c r="Z118" i="84"/>
  <c r="Y118" i="84"/>
  <c r="AC117" i="84"/>
  <c r="AB117" i="84"/>
  <c r="AA117" i="84"/>
  <c r="Z117" i="84"/>
  <c r="Y117" i="84"/>
  <c r="AC116" i="84"/>
  <c r="AB116" i="84"/>
  <c r="AA116" i="84"/>
  <c r="Z116" i="84"/>
  <c r="Y116" i="84"/>
  <c r="AC115" i="84"/>
  <c r="AB115" i="84"/>
  <c r="AA115" i="84"/>
  <c r="Z115" i="84"/>
  <c r="Y115" i="84"/>
  <c r="AC114" i="84"/>
  <c r="AB114" i="84"/>
  <c r="AA114" i="84"/>
  <c r="Z114" i="84"/>
  <c r="Y114" i="84"/>
  <c r="AC113" i="84"/>
  <c r="AB113" i="84"/>
  <c r="AA113" i="84"/>
  <c r="Z113" i="84"/>
  <c r="Y113" i="84"/>
  <c r="AC98" i="84"/>
  <c r="AB98" i="84"/>
  <c r="AA98" i="84"/>
  <c r="Z98" i="84"/>
  <c r="Y98" i="84"/>
  <c r="AC97" i="84"/>
  <c r="AB97" i="84"/>
  <c r="AA97" i="84"/>
  <c r="Z97" i="84"/>
  <c r="Y97" i="84"/>
  <c r="AC96" i="84"/>
  <c r="AB96" i="84"/>
  <c r="AA96" i="84"/>
  <c r="Z96" i="84"/>
  <c r="Y96" i="84"/>
  <c r="AC95" i="84"/>
  <c r="AB95" i="84"/>
  <c r="AA95" i="84"/>
  <c r="Z95" i="84"/>
  <c r="Y95" i="84"/>
  <c r="AC94" i="84"/>
  <c r="AB94" i="84"/>
  <c r="AA94" i="84"/>
  <c r="Z94" i="84"/>
  <c r="Y94" i="84"/>
  <c r="AC93" i="84"/>
  <c r="AB93" i="84"/>
  <c r="AA93" i="84"/>
  <c r="Z93" i="84"/>
  <c r="Y93" i="84"/>
  <c r="AC92" i="84"/>
  <c r="AB92" i="84"/>
  <c r="AA92" i="84"/>
  <c r="Z92" i="84"/>
  <c r="Y92" i="84"/>
  <c r="AC91" i="84"/>
  <c r="AB91" i="84"/>
  <c r="Z91" i="84"/>
  <c r="Y91" i="84"/>
  <c r="AC90" i="84"/>
  <c r="AB90" i="84"/>
  <c r="AA90" i="84"/>
  <c r="Z90" i="84"/>
  <c r="Y90" i="84"/>
  <c r="AC89" i="84"/>
  <c r="AB89" i="84"/>
  <c r="AA89" i="84"/>
  <c r="Z89" i="84"/>
  <c r="Y89" i="84"/>
  <c r="AC88" i="84"/>
  <c r="AB88" i="84"/>
  <c r="AA88" i="84"/>
  <c r="Z88" i="84"/>
  <c r="Y88" i="84"/>
  <c r="AC87" i="84"/>
  <c r="AB87" i="84"/>
  <c r="AA87" i="84"/>
  <c r="Z87" i="84"/>
  <c r="Y87" i="84"/>
  <c r="AC86" i="84"/>
  <c r="AB86" i="84"/>
  <c r="AA86" i="84"/>
  <c r="Z86" i="84"/>
  <c r="Y86" i="84"/>
  <c r="AC85" i="84"/>
  <c r="AB85" i="84"/>
  <c r="AA85" i="84"/>
  <c r="Z85" i="84"/>
  <c r="Y85" i="84"/>
  <c r="AC84" i="84"/>
  <c r="AB84" i="84"/>
  <c r="AA84" i="84"/>
  <c r="Z84" i="84"/>
  <c r="Y84" i="84"/>
  <c r="AC83" i="84"/>
  <c r="AB83" i="84"/>
  <c r="AA83" i="84"/>
  <c r="Z83" i="84"/>
  <c r="Y83" i="84"/>
  <c r="AC82" i="84"/>
  <c r="AB82" i="84"/>
  <c r="AA82" i="84"/>
  <c r="Z82" i="84"/>
  <c r="Y82" i="84"/>
  <c r="AC81" i="84"/>
  <c r="AB81" i="84"/>
  <c r="AA81" i="84"/>
  <c r="Z81" i="84"/>
  <c r="Y81" i="84"/>
  <c r="AC80" i="84"/>
  <c r="AB80" i="84"/>
  <c r="AA80" i="84"/>
  <c r="Z80" i="84"/>
  <c r="Y80" i="84"/>
  <c r="AC79" i="84"/>
  <c r="AB79" i="84"/>
  <c r="AA79" i="84"/>
  <c r="Z79" i="84"/>
  <c r="Y79" i="84"/>
  <c r="AC78" i="84"/>
  <c r="AB78" i="84"/>
  <c r="AA78" i="84"/>
  <c r="Z78" i="84"/>
  <c r="Y78" i="84"/>
  <c r="AC77" i="84"/>
  <c r="AB77" i="84"/>
  <c r="AA77" i="84"/>
  <c r="Z77" i="84"/>
  <c r="Y77" i="84"/>
  <c r="I7" i="84"/>
  <c r="AB43" i="84"/>
  <c r="AB44" i="84"/>
  <c r="X43" i="84" l="1"/>
  <c r="Y329" i="83" l="1"/>
  <c r="Y175" i="83"/>
  <c r="AC44" i="69"/>
  <c r="AC43" i="69"/>
  <c r="Y43" i="83"/>
  <c r="Y43" i="69"/>
  <c r="AJ328" i="83"/>
  <c r="AJ329" i="83"/>
  <c r="AJ331" i="83"/>
  <c r="AJ332" i="83"/>
  <c r="AJ333" i="83"/>
  <c r="AJ334" i="83"/>
  <c r="AJ335" i="83"/>
  <c r="AJ336" i="83"/>
  <c r="AJ337" i="83"/>
  <c r="AJ338" i="83"/>
  <c r="AJ339" i="83"/>
  <c r="AJ344" i="83"/>
  <c r="AJ345" i="83"/>
  <c r="AJ346" i="83"/>
  <c r="AJ347" i="83"/>
  <c r="AJ348" i="83"/>
  <c r="AJ350" i="83"/>
  <c r="AJ330" i="83"/>
  <c r="AJ340" i="83"/>
  <c r="AJ341" i="83"/>
  <c r="AJ342" i="83"/>
  <c r="AJ343" i="83"/>
  <c r="AJ349" i="83"/>
  <c r="AJ327" i="83"/>
  <c r="Y43" i="68"/>
  <c r="Y43" i="67"/>
  <c r="AC44" i="67" l="1"/>
  <c r="AC43" i="67"/>
  <c r="I113" i="68"/>
  <c r="A212" i="68"/>
  <c r="Y206" i="68"/>
  <c r="Y205" i="68"/>
  <c r="Y204" i="68"/>
  <c r="Y203" i="68"/>
  <c r="Y202" i="68"/>
  <c r="Y201" i="68"/>
  <c r="Y200" i="68"/>
  <c r="Y199" i="68"/>
  <c r="Y198" i="68"/>
  <c r="Y197" i="68"/>
  <c r="Y196" i="68"/>
  <c r="Y195" i="68"/>
  <c r="Y194" i="68"/>
  <c r="Y193" i="68"/>
  <c r="Y192" i="68"/>
  <c r="Y191" i="68"/>
  <c r="Y190" i="68"/>
  <c r="Y189" i="68"/>
  <c r="Y188" i="68"/>
  <c r="Y187" i="68"/>
  <c r="Y186" i="68"/>
  <c r="Y185" i="68"/>
  <c r="Y184" i="68"/>
  <c r="Y183" i="68"/>
  <c r="A177" i="68"/>
  <c r="AA139" i="68"/>
  <c r="Z139" i="68"/>
  <c r="AL170" i="68"/>
  <c r="AL169" i="68"/>
  <c r="AL168" i="68"/>
  <c r="AL167" i="68"/>
  <c r="AL166" i="68"/>
  <c r="AL165" i="68"/>
  <c r="AL164" i="68"/>
  <c r="AL163" i="68"/>
  <c r="AL162" i="68"/>
  <c r="AL161" i="68"/>
  <c r="AL160" i="68"/>
  <c r="AL159" i="68"/>
  <c r="AL158" i="68"/>
  <c r="AL157" i="68"/>
  <c r="AL156" i="68"/>
  <c r="AL155" i="68"/>
  <c r="AL154" i="68"/>
  <c r="AL153" i="68"/>
  <c r="AL152" i="68"/>
  <c r="AL151" i="68"/>
  <c r="AL150" i="68"/>
  <c r="AL149" i="68"/>
  <c r="AL148" i="68"/>
  <c r="AL147" i="68"/>
  <c r="A144" i="68"/>
  <c r="AR143" i="68"/>
  <c r="AQ143" i="68"/>
  <c r="AP143" i="68"/>
  <c r="AO143" i="68"/>
  <c r="AN143" i="68"/>
  <c r="AM143" i="68"/>
  <c r="AO139" i="68"/>
  <c r="AN139" i="68"/>
  <c r="AM139" i="68"/>
  <c r="AL139" i="68"/>
  <c r="AF139" i="68"/>
  <c r="AE139" i="68"/>
  <c r="AD139" i="68"/>
  <c r="AC139" i="68"/>
  <c r="AB139" i="68"/>
  <c r="Y139" i="68"/>
  <c r="Y138" i="68"/>
  <c r="AO137" i="68"/>
  <c r="AN137" i="68"/>
  <c r="AM137" i="68"/>
  <c r="AL137" i="68"/>
  <c r="Y137" i="68"/>
  <c r="AO136" i="68"/>
  <c r="AN136" i="68"/>
  <c r="AM136" i="68"/>
  <c r="AL136" i="68"/>
  <c r="Y136" i="68"/>
  <c r="AO135" i="68"/>
  <c r="AN135" i="68"/>
  <c r="AM135" i="68"/>
  <c r="AL135" i="68"/>
  <c r="Y135" i="68"/>
  <c r="AO134" i="68"/>
  <c r="AN134" i="68"/>
  <c r="AM134" i="68"/>
  <c r="AL134" i="68"/>
  <c r="Y134" i="68"/>
  <c r="AO133" i="68"/>
  <c r="AN133" i="68"/>
  <c r="AM133" i="68"/>
  <c r="AL133" i="68"/>
  <c r="Y133" i="68"/>
  <c r="AO132" i="68"/>
  <c r="AN132" i="68"/>
  <c r="AM132" i="68"/>
  <c r="AL132" i="68"/>
  <c r="Y132" i="68"/>
  <c r="AO131" i="68"/>
  <c r="AN131" i="68"/>
  <c r="AM131" i="68"/>
  <c r="AL131" i="68"/>
  <c r="Y131" i="68"/>
  <c r="AO130" i="68"/>
  <c r="AN130" i="68"/>
  <c r="AM130" i="68"/>
  <c r="AL130" i="68"/>
  <c r="Y130" i="68"/>
  <c r="AO129" i="68"/>
  <c r="AN129" i="68"/>
  <c r="AM129" i="68"/>
  <c r="AL129" i="68"/>
  <c r="Y129" i="68"/>
  <c r="AO128" i="68"/>
  <c r="AN128" i="68"/>
  <c r="AM128" i="68"/>
  <c r="AL128" i="68"/>
  <c r="Y128" i="68"/>
  <c r="AO127" i="68"/>
  <c r="AN127" i="68"/>
  <c r="AM127" i="68"/>
  <c r="AL127" i="68"/>
  <c r="Y127" i="68"/>
  <c r="AO126" i="68"/>
  <c r="AN126" i="68"/>
  <c r="AM126" i="68"/>
  <c r="AL126" i="68"/>
  <c r="Y126" i="68"/>
  <c r="AO125" i="68"/>
  <c r="AN125" i="68"/>
  <c r="AM125" i="68"/>
  <c r="AL125" i="68"/>
  <c r="Y125" i="68"/>
  <c r="AO124" i="68"/>
  <c r="AN124" i="68"/>
  <c r="AM124" i="68"/>
  <c r="AL124" i="68"/>
  <c r="Y124" i="68"/>
  <c r="AO123" i="68"/>
  <c r="AN123" i="68"/>
  <c r="AM123" i="68"/>
  <c r="AL123" i="68"/>
  <c r="Y123" i="68"/>
  <c r="AO122" i="68"/>
  <c r="AN122" i="68"/>
  <c r="AM122" i="68"/>
  <c r="AL122" i="68"/>
  <c r="Y122" i="68"/>
  <c r="AO121" i="68"/>
  <c r="AN121" i="68"/>
  <c r="AM121" i="68"/>
  <c r="AL121" i="68"/>
  <c r="Y121" i="68"/>
  <c r="AO120" i="68"/>
  <c r="AN120" i="68"/>
  <c r="AM120" i="68"/>
  <c r="AL120" i="68"/>
  <c r="Y120" i="68"/>
  <c r="AO119" i="68"/>
  <c r="AN119" i="68"/>
  <c r="AM119" i="68"/>
  <c r="AL119" i="68"/>
  <c r="Y119" i="68"/>
  <c r="AO118" i="68"/>
  <c r="AN118" i="68"/>
  <c r="AM118" i="68"/>
  <c r="AL118" i="68"/>
  <c r="Y118" i="68"/>
  <c r="AO117" i="68"/>
  <c r="AN117" i="68"/>
  <c r="AM117" i="68"/>
  <c r="AL117" i="68"/>
  <c r="Y117" i="68"/>
  <c r="AO116" i="68"/>
  <c r="AN116" i="68"/>
  <c r="AM116" i="68"/>
  <c r="AL116" i="68"/>
  <c r="AG116" i="68"/>
  <c r="Y116" i="68"/>
  <c r="AH115" i="68"/>
  <c r="S113" i="68"/>
  <c r="Z134" i="67"/>
  <c r="AA134" i="67"/>
  <c r="AB134" i="67"/>
  <c r="AP139" i="68" l="1"/>
  <c r="I139" i="68" s="1"/>
  <c r="AP118" i="68"/>
  <c r="I118" i="68" s="1"/>
  <c r="AP117" i="68"/>
  <c r="I117" i="68" s="1"/>
  <c r="AP136" i="68"/>
  <c r="I136" i="68" s="1"/>
  <c r="AP119" i="68"/>
  <c r="I119" i="68" s="1"/>
  <c r="AP120" i="68"/>
  <c r="I120" i="68" s="1"/>
  <c r="AP124" i="68"/>
  <c r="I124" i="68" s="1"/>
  <c r="AP126" i="68"/>
  <c r="I126" i="68" s="1"/>
  <c r="AP135" i="68"/>
  <c r="I135" i="68" s="1"/>
  <c r="AP134" i="68"/>
  <c r="I134" i="68" s="1"/>
  <c r="AP133" i="68"/>
  <c r="I133" i="68" s="1"/>
  <c r="AP122" i="68"/>
  <c r="I122" i="68" s="1"/>
  <c r="AP131" i="68"/>
  <c r="I131" i="68" s="1"/>
  <c r="AP132" i="68"/>
  <c r="I132" i="68" s="1"/>
  <c r="AP137" i="68"/>
  <c r="I137" i="68" s="1"/>
  <c r="AP128" i="68"/>
  <c r="I128" i="68" s="1"/>
  <c r="AP129" i="68"/>
  <c r="I129" i="68" s="1"/>
  <c r="AP116" i="68"/>
  <c r="I116" i="68" s="1"/>
  <c r="AP123" i="68"/>
  <c r="I123" i="68" s="1"/>
  <c r="AP127" i="68"/>
  <c r="I127" i="68" s="1"/>
  <c r="AP130" i="68"/>
  <c r="I130" i="68" s="1"/>
  <c r="AP121" i="68"/>
  <c r="I121" i="68" s="1"/>
  <c r="AP125" i="68"/>
  <c r="I125" i="68" s="1"/>
  <c r="Z138" i="68"/>
  <c r="Y35" i="66"/>
  <c r="AC44" i="64"/>
  <c r="AC43" i="64"/>
  <c r="AC167" i="63"/>
  <c r="Z104" i="81"/>
  <c r="AD135" i="63" s="1"/>
  <c r="Z133" i="63"/>
  <c r="AJ134" i="49" l="1"/>
  <c r="H135" i="49" s="1"/>
  <c r="AI134" i="49"/>
  <c r="G135" i="49" s="1"/>
  <c r="AH134" i="49"/>
  <c r="F135" i="49" s="1"/>
  <c r="AG134" i="49"/>
  <c r="E135" i="49" s="1"/>
  <c r="AF134" i="49"/>
  <c r="D135" i="49" s="1"/>
  <c r="B63" i="75"/>
  <c r="B64" i="75"/>
  <c r="B65" i="75"/>
  <c r="B67" i="75"/>
  <c r="B68" i="75"/>
  <c r="B69" i="75"/>
  <c r="B70" i="75"/>
  <c r="B71" i="75"/>
  <c r="B72" i="75"/>
  <c r="B73" i="75"/>
  <c r="B74" i="75"/>
  <c r="B75" i="75"/>
  <c r="B76" i="75"/>
  <c r="B77" i="75"/>
  <c r="B78" i="75"/>
  <c r="B79" i="75"/>
  <c r="B80" i="75"/>
  <c r="B81" i="75"/>
  <c r="B82" i="75"/>
  <c r="B83" i="75"/>
  <c r="B60" i="75"/>
  <c r="B61" i="75"/>
  <c r="B62" i="75"/>
  <c r="B312" i="75" l="1"/>
  <c r="B313" i="75"/>
  <c r="B314" i="75"/>
  <c r="B315" i="75"/>
  <c r="B316" i="75"/>
  <c r="B317" i="75"/>
  <c r="B318" i="75"/>
  <c r="B319" i="75"/>
  <c r="B320" i="75"/>
  <c r="B321" i="75"/>
  <c r="B322" i="75"/>
  <c r="B323" i="75"/>
  <c r="B324" i="75"/>
  <c r="B325" i="75"/>
  <c r="B326" i="75"/>
  <c r="B327" i="75"/>
  <c r="B328" i="75"/>
  <c r="B329" i="75"/>
  <c r="B330" i="75"/>
  <c r="B331" i="75"/>
  <c r="B332" i="75"/>
  <c r="B333" i="75"/>
  <c r="B334" i="75"/>
  <c r="B335" i="75"/>
  <c r="B311" i="75"/>
  <c r="B284" i="75" l="1"/>
  <c r="B285" i="75"/>
  <c r="B286" i="75"/>
  <c r="B287" i="75"/>
  <c r="B288" i="75"/>
  <c r="B289" i="75"/>
  <c r="B290" i="75"/>
  <c r="B291" i="75"/>
  <c r="B292" i="75"/>
  <c r="B293" i="75"/>
  <c r="B294" i="75"/>
  <c r="B295" i="75"/>
  <c r="B296" i="75"/>
  <c r="B297" i="75"/>
  <c r="B298" i="75"/>
  <c r="B299" i="75"/>
  <c r="B300" i="75"/>
  <c r="B301" i="75"/>
  <c r="B302" i="75"/>
  <c r="B303" i="75"/>
  <c r="B304" i="75"/>
  <c r="B305" i="75"/>
  <c r="B306" i="75"/>
  <c r="B307" i="75"/>
  <c r="B283" i="75"/>
  <c r="B256" i="75"/>
  <c r="B257" i="75"/>
  <c r="B258" i="75"/>
  <c r="B259" i="75"/>
  <c r="B260" i="75"/>
  <c r="B261" i="75"/>
  <c r="B262" i="75"/>
  <c r="B263" i="75"/>
  <c r="B264" i="75"/>
  <c r="B265" i="75"/>
  <c r="B266" i="75"/>
  <c r="B267" i="75"/>
  <c r="B268" i="75"/>
  <c r="B269" i="75"/>
  <c r="B270" i="75"/>
  <c r="B271" i="75"/>
  <c r="B272" i="75"/>
  <c r="B273" i="75"/>
  <c r="B274" i="75"/>
  <c r="B275" i="75"/>
  <c r="B276" i="75"/>
  <c r="B277" i="75"/>
  <c r="B278" i="75"/>
  <c r="B279" i="75"/>
  <c r="B255" i="75"/>
  <c r="H282" i="75"/>
  <c r="G282" i="75"/>
  <c r="F282" i="75"/>
  <c r="E282" i="75"/>
  <c r="D282" i="75"/>
  <c r="H281" i="75"/>
  <c r="G281" i="75"/>
  <c r="F281" i="75"/>
  <c r="E281" i="75"/>
  <c r="D281" i="75"/>
  <c r="G254" i="75"/>
  <c r="F254" i="75"/>
  <c r="E254" i="75"/>
  <c r="D254" i="75"/>
  <c r="H226" i="75"/>
  <c r="G226" i="75"/>
  <c r="F226" i="75"/>
  <c r="E226" i="75"/>
  <c r="D226" i="75"/>
  <c r="H225" i="75"/>
  <c r="G225" i="75"/>
  <c r="F225" i="75"/>
  <c r="E225" i="75"/>
  <c r="D225" i="75"/>
  <c r="H170" i="75"/>
  <c r="G170" i="75"/>
  <c r="F170" i="75"/>
  <c r="E170" i="75"/>
  <c r="D170" i="75"/>
  <c r="H169" i="75"/>
  <c r="G169" i="75"/>
  <c r="F169" i="75"/>
  <c r="E169" i="75"/>
  <c r="D169" i="75"/>
  <c r="H114" i="75"/>
  <c r="G114" i="75"/>
  <c r="F114" i="75"/>
  <c r="E114" i="75"/>
  <c r="D114" i="75"/>
  <c r="H113" i="75"/>
  <c r="G113" i="75"/>
  <c r="F113" i="75"/>
  <c r="E113" i="75"/>
  <c r="D113" i="75"/>
  <c r="H142" i="75"/>
  <c r="G142" i="75"/>
  <c r="F142" i="75"/>
  <c r="E142" i="75"/>
  <c r="D142" i="75"/>
  <c r="G86" i="75"/>
  <c r="E30" i="75"/>
  <c r="F30" i="75"/>
  <c r="G30" i="75"/>
  <c r="H30" i="75"/>
  <c r="D30" i="75"/>
  <c r="E58" i="75"/>
  <c r="F58" i="75"/>
  <c r="G58" i="75"/>
  <c r="H58" i="75"/>
  <c r="D58" i="75"/>
  <c r="E57" i="75"/>
  <c r="F57" i="75"/>
  <c r="G57" i="75"/>
  <c r="H57" i="75"/>
  <c r="D57" i="75"/>
  <c r="B228" i="75"/>
  <c r="B229" i="75"/>
  <c r="B230" i="75"/>
  <c r="B231" i="75"/>
  <c r="B232" i="75"/>
  <c r="B233" i="75"/>
  <c r="B234" i="75"/>
  <c r="B235" i="75"/>
  <c r="B236" i="75"/>
  <c r="B237" i="75"/>
  <c r="B238" i="75"/>
  <c r="B239" i="75"/>
  <c r="B240" i="75"/>
  <c r="B241" i="75"/>
  <c r="B242" i="75"/>
  <c r="B243" i="75"/>
  <c r="B244" i="75"/>
  <c r="B245" i="75"/>
  <c r="B246" i="75"/>
  <c r="B247" i="75"/>
  <c r="B248" i="75"/>
  <c r="B249" i="75"/>
  <c r="B250" i="75"/>
  <c r="B251" i="75"/>
  <c r="B227" i="75"/>
  <c r="B200" i="75"/>
  <c r="B201" i="75"/>
  <c r="B202" i="75"/>
  <c r="B203" i="75"/>
  <c r="B204" i="75"/>
  <c r="B205" i="75"/>
  <c r="B206" i="75"/>
  <c r="B207" i="75"/>
  <c r="B208" i="75"/>
  <c r="B209" i="75"/>
  <c r="B210" i="75"/>
  <c r="B211" i="75"/>
  <c r="B212" i="75"/>
  <c r="B213" i="75"/>
  <c r="B214" i="75"/>
  <c r="B215" i="75"/>
  <c r="B216" i="75"/>
  <c r="B217" i="75"/>
  <c r="B218" i="75"/>
  <c r="B219" i="75"/>
  <c r="B220" i="75"/>
  <c r="B221" i="75"/>
  <c r="B222" i="75"/>
  <c r="B223" i="75"/>
  <c r="B199" i="75"/>
  <c r="B172" i="75"/>
  <c r="B173" i="75"/>
  <c r="B174" i="75"/>
  <c r="B175" i="75"/>
  <c r="B176" i="75"/>
  <c r="B177" i="75"/>
  <c r="B178" i="75"/>
  <c r="B179" i="75"/>
  <c r="B180" i="75"/>
  <c r="B181" i="75"/>
  <c r="B182" i="75"/>
  <c r="B183" i="75"/>
  <c r="B184" i="75"/>
  <c r="B185" i="75"/>
  <c r="B186" i="75"/>
  <c r="B187" i="75"/>
  <c r="B188" i="75"/>
  <c r="B189" i="75"/>
  <c r="B190" i="75"/>
  <c r="B191" i="75"/>
  <c r="B192" i="75"/>
  <c r="B193" i="75"/>
  <c r="B194" i="75"/>
  <c r="B195" i="75"/>
  <c r="B171" i="75"/>
  <c r="B144" i="75"/>
  <c r="B145" i="75"/>
  <c r="B146" i="75"/>
  <c r="B147" i="75"/>
  <c r="B148" i="75"/>
  <c r="B149" i="75"/>
  <c r="B150" i="75"/>
  <c r="B151" i="75"/>
  <c r="B152" i="75"/>
  <c r="B153" i="75"/>
  <c r="B154" i="75"/>
  <c r="B155" i="75"/>
  <c r="B156" i="75"/>
  <c r="B157" i="75"/>
  <c r="B158" i="75"/>
  <c r="B159" i="75"/>
  <c r="B160" i="75"/>
  <c r="B161" i="75"/>
  <c r="B162" i="75"/>
  <c r="B163" i="75"/>
  <c r="B164" i="75"/>
  <c r="B165" i="75"/>
  <c r="B166" i="75"/>
  <c r="B167" i="75"/>
  <c r="B143" i="75"/>
  <c r="B116" i="75"/>
  <c r="B117" i="75"/>
  <c r="B118" i="75"/>
  <c r="B119" i="75"/>
  <c r="B120" i="75"/>
  <c r="B121" i="75"/>
  <c r="B122" i="75"/>
  <c r="B123" i="75"/>
  <c r="B124" i="75"/>
  <c r="B125" i="75"/>
  <c r="B126" i="75"/>
  <c r="B127" i="75"/>
  <c r="B128" i="75"/>
  <c r="B129" i="75"/>
  <c r="B130" i="75"/>
  <c r="B131" i="75"/>
  <c r="B132" i="75"/>
  <c r="B133" i="75"/>
  <c r="B134" i="75"/>
  <c r="B135" i="75"/>
  <c r="B136" i="75"/>
  <c r="B137" i="75"/>
  <c r="B138" i="75"/>
  <c r="B139" i="75"/>
  <c r="B115" i="75"/>
  <c r="B88" i="75"/>
  <c r="B89" i="75"/>
  <c r="B90" i="75"/>
  <c r="B91" i="75"/>
  <c r="B92" i="75"/>
  <c r="B93" i="75"/>
  <c r="B94" i="75"/>
  <c r="B95" i="75"/>
  <c r="B96" i="75"/>
  <c r="B97" i="75"/>
  <c r="B98" i="75"/>
  <c r="B99" i="75"/>
  <c r="B100" i="75"/>
  <c r="B101" i="75"/>
  <c r="B102" i="75"/>
  <c r="B103" i="75"/>
  <c r="B104" i="75"/>
  <c r="B105" i="75"/>
  <c r="B106" i="75"/>
  <c r="B107" i="75"/>
  <c r="B108" i="75"/>
  <c r="B109" i="75"/>
  <c r="B110" i="75"/>
  <c r="B111" i="75"/>
  <c r="B87" i="75"/>
  <c r="B59" i="75"/>
  <c r="B32" i="75"/>
  <c r="B33" i="75"/>
  <c r="B34" i="75"/>
  <c r="B35" i="75"/>
  <c r="B36" i="75"/>
  <c r="B37" i="75"/>
  <c r="B38" i="75"/>
  <c r="B39" i="75"/>
  <c r="B40" i="75"/>
  <c r="B41" i="75"/>
  <c r="B42" i="75"/>
  <c r="B43" i="75"/>
  <c r="B44" i="75"/>
  <c r="B45" i="75"/>
  <c r="B46" i="75"/>
  <c r="B47" i="75"/>
  <c r="B48" i="75"/>
  <c r="B49" i="75"/>
  <c r="B50" i="75"/>
  <c r="B51" i="75"/>
  <c r="B52" i="75"/>
  <c r="B53" i="75"/>
  <c r="B54" i="75"/>
  <c r="B55" i="75"/>
  <c r="B31" i="75"/>
  <c r="R45" i="22" l="1"/>
  <c r="R53" i="22"/>
  <c r="R61" i="22"/>
  <c r="R54" i="22"/>
  <c r="R47" i="22"/>
  <c r="R55" i="22"/>
  <c r="R63" i="22"/>
  <c r="R48" i="22"/>
  <c r="R56" i="22"/>
  <c r="R64" i="22"/>
  <c r="R46" i="22"/>
  <c r="R49" i="22"/>
  <c r="R57" i="22"/>
  <c r="R65" i="22"/>
  <c r="R50" i="22"/>
  <c r="R58" i="22"/>
  <c r="R66" i="22"/>
  <c r="R51" i="22"/>
  <c r="R59" i="22"/>
  <c r="R67" i="22"/>
  <c r="R52" i="22"/>
  <c r="R60" i="22"/>
  <c r="R68" i="22"/>
  <c r="R62" i="22"/>
  <c r="P46" i="22"/>
  <c r="P50" i="22"/>
  <c r="P54" i="22"/>
  <c r="P58" i="22"/>
  <c r="P62" i="22"/>
  <c r="P66" i="22"/>
  <c r="Q46" i="22"/>
  <c r="Q50" i="22"/>
  <c r="Q54" i="22"/>
  <c r="Q58" i="22"/>
  <c r="Q62" i="22"/>
  <c r="P47" i="22"/>
  <c r="P51" i="22"/>
  <c r="P55" i="22"/>
  <c r="P59" i="22"/>
  <c r="P63" i="22"/>
  <c r="P67" i="22"/>
  <c r="P65" i="22"/>
  <c r="Q47" i="22"/>
  <c r="Q51" i="22"/>
  <c r="Q55" i="22"/>
  <c r="Q59" i="22"/>
  <c r="Q63" i="22"/>
  <c r="Q67" i="22"/>
  <c r="P49" i="22"/>
  <c r="Q45" i="22"/>
  <c r="P48" i="22"/>
  <c r="P52" i="22"/>
  <c r="P56" i="22"/>
  <c r="P60" i="22"/>
  <c r="P64" i="22"/>
  <c r="P68" i="22"/>
  <c r="P57" i="22"/>
  <c r="Q48" i="22"/>
  <c r="Q52" i="22"/>
  <c r="Q56" i="22"/>
  <c r="Q60" i="22"/>
  <c r="Q64" i="22"/>
  <c r="Q68" i="22"/>
  <c r="P61" i="22"/>
  <c r="Q49" i="22"/>
  <c r="Q53" i="22"/>
  <c r="Q57" i="22"/>
  <c r="Q61" i="22"/>
  <c r="Q65" i="22"/>
  <c r="P45" i="22"/>
  <c r="Q66" i="22"/>
  <c r="P53" i="22"/>
  <c r="P43" i="22"/>
  <c r="D11" i="22"/>
  <c r="AB117" i="68" s="1"/>
  <c r="F17" i="22"/>
  <c r="AD123" i="68" s="1"/>
  <c r="H23" i="22"/>
  <c r="AF129" i="68" s="1"/>
  <c r="G30" i="22"/>
  <c r="D13" i="22"/>
  <c r="AB119" i="68" s="1"/>
  <c r="G16" i="22"/>
  <c r="F19" i="22"/>
  <c r="AD125" i="68" s="1"/>
  <c r="H25" i="22"/>
  <c r="AF131" i="68" s="1"/>
  <c r="D12" i="22"/>
  <c r="AB118" i="68" s="1"/>
  <c r="F26" i="22"/>
  <c r="AD132" i="68" s="1"/>
  <c r="E13" i="22"/>
  <c r="AC119" i="68" s="1"/>
  <c r="G27" i="22"/>
  <c r="F31" i="22"/>
  <c r="AD137" i="68" s="1"/>
  <c r="F22" i="22"/>
  <c r="AD128" i="68" s="1"/>
  <c r="H14" i="22"/>
  <c r="AF120" i="68" s="1"/>
  <c r="E25" i="22"/>
  <c r="AC131" i="68" s="1"/>
  <c r="S56" i="22"/>
  <c r="T43" i="22"/>
  <c r="T61" i="22"/>
  <c r="R43" i="22"/>
  <c r="T45" i="22"/>
  <c r="T56" i="22"/>
  <c r="D15" i="22"/>
  <c r="AB121" i="68" s="1"/>
  <c r="F21" i="22"/>
  <c r="AD127" i="68" s="1"/>
  <c r="H27" i="22"/>
  <c r="AF133" i="68" s="1"/>
  <c r="H13" i="22"/>
  <c r="AF119" i="68" s="1"/>
  <c r="G20" i="22"/>
  <c r="E26" i="22"/>
  <c r="AC132" i="68" s="1"/>
  <c r="H16" i="22"/>
  <c r="AF122" i="68" s="1"/>
  <c r="E27" i="22"/>
  <c r="AC133" i="68" s="1"/>
  <c r="D14" i="22"/>
  <c r="AB120" i="68" s="1"/>
  <c r="F28" i="22"/>
  <c r="AD134" i="68" s="1"/>
  <c r="H12" i="22"/>
  <c r="AF118" i="68" s="1"/>
  <c r="E23" i="22"/>
  <c r="AC129" i="68" s="1"/>
  <c r="G15" i="22"/>
  <c r="D26" i="22"/>
  <c r="AB132" i="68" s="1"/>
  <c r="T51" i="22"/>
  <c r="S68" i="22"/>
  <c r="T67" i="22"/>
  <c r="S45" i="22"/>
  <c r="T57" i="22"/>
  <c r="S55" i="22"/>
  <c r="T68" i="22"/>
  <c r="S49" i="22"/>
  <c r="E12" i="22"/>
  <c r="AC118" i="68" s="1"/>
  <c r="H15" i="22"/>
  <c r="AF121" i="68" s="1"/>
  <c r="D19" i="22"/>
  <c r="AB125" i="68" s="1"/>
  <c r="G22" i="22"/>
  <c r="F25" i="22"/>
  <c r="AD131" i="68" s="1"/>
  <c r="E28" i="22"/>
  <c r="AC134" i="68" s="1"/>
  <c r="H31" i="22"/>
  <c r="AF137" i="68" s="1"/>
  <c r="F11" i="22"/>
  <c r="AD117" i="68" s="1"/>
  <c r="E14" i="22"/>
  <c r="AC120" i="68" s="1"/>
  <c r="H17" i="22"/>
  <c r="AF123" i="68" s="1"/>
  <c r="D21" i="22"/>
  <c r="AB127" i="68" s="1"/>
  <c r="G24" i="22"/>
  <c r="F27" i="22"/>
  <c r="AD133" i="68" s="1"/>
  <c r="E30" i="22"/>
  <c r="AC136" i="68" s="1"/>
  <c r="G17" i="22"/>
  <c r="H24" i="22"/>
  <c r="AF130" i="68" s="1"/>
  <c r="D28" i="22"/>
  <c r="AB134" i="68" s="1"/>
  <c r="G11" i="22"/>
  <c r="H18" i="22"/>
  <c r="AF124" i="68" s="1"/>
  <c r="D22" i="22"/>
  <c r="AB128" i="68" s="1"/>
  <c r="E29" i="22"/>
  <c r="AC135" i="68" s="1"/>
  <c r="D33" i="22"/>
  <c r="AB33" i="68" s="1"/>
  <c r="G13" i="22"/>
  <c r="H20" i="22"/>
  <c r="AF126" i="68" s="1"/>
  <c r="D24" i="22"/>
  <c r="AB130" i="68" s="1"/>
  <c r="E31" i="22"/>
  <c r="AC137" i="68" s="1"/>
  <c r="F16" i="22"/>
  <c r="AD122" i="68" s="1"/>
  <c r="G23" i="22"/>
  <c r="H30" i="22"/>
  <c r="AF136" i="68" s="1"/>
  <c r="E10" i="22"/>
  <c r="AC116" i="68" s="1"/>
  <c r="S52" i="22"/>
  <c r="S64" i="22"/>
  <c r="T59" i="22"/>
  <c r="T62" i="22"/>
  <c r="S66" i="22"/>
  <c r="T53" i="22"/>
  <c r="S50" i="22"/>
  <c r="T66" i="22"/>
  <c r="S47" i="22"/>
  <c r="T64" i="22"/>
  <c r="S61" i="22"/>
  <c r="T48" i="22"/>
  <c r="G14" i="22"/>
  <c r="E20" i="22"/>
  <c r="AC126" i="68" s="1"/>
  <c r="D27" i="22"/>
  <c r="AB133" i="68" s="1"/>
  <c r="F33" i="22"/>
  <c r="M139" i="68" s="1"/>
  <c r="E22" i="22"/>
  <c r="AC128" i="68" s="1"/>
  <c r="D29" i="22"/>
  <c r="AB135" i="68" s="1"/>
  <c r="E19" i="22"/>
  <c r="AC125" i="68" s="1"/>
  <c r="G33" i="22"/>
  <c r="F20" i="22"/>
  <c r="AD126" i="68" s="1"/>
  <c r="F10" i="22"/>
  <c r="AD116" i="68" s="1"/>
  <c r="E15" i="22"/>
  <c r="AC121" i="68" s="1"/>
  <c r="G29" i="22"/>
  <c r="D18" i="22"/>
  <c r="AB124" i="68" s="1"/>
  <c r="F32" i="22"/>
  <c r="M138" i="68" s="1"/>
  <c r="S48" i="22"/>
  <c r="S59" i="22"/>
  <c r="T46" i="22"/>
  <c r="S58" i="22"/>
  <c r="S63" i="22"/>
  <c r="T50" i="22"/>
  <c r="S53" i="22"/>
  <c r="H11" i="22"/>
  <c r="AF117" i="68" s="1"/>
  <c r="G18" i="22"/>
  <c r="E24" i="22"/>
  <c r="AC130" i="68" s="1"/>
  <c r="D31" i="22"/>
  <c r="AB137" i="68" s="1"/>
  <c r="H10" i="22"/>
  <c r="AF116" i="68" s="1"/>
  <c r="D17" i="22"/>
  <c r="AB123" i="68" s="1"/>
  <c r="F23" i="22"/>
  <c r="AD129" i="68" s="1"/>
  <c r="H29" i="22"/>
  <c r="AF135" i="68" s="1"/>
  <c r="D20" i="22"/>
  <c r="AB126" i="68" s="1"/>
  <c r="G10" i="22"/>
  <c r="E21" i="22"/>
  <c r="AC127" i="68" s="1"/>
  <c r="H33" i="22"/>
  <c r="O139" i="68" s="1"/>
  <c r="D16" i="22"/>
  <c r="AB122" i="68" s="1"/>
  <c r="F30" i="22"/>
  <c r="AD136" i="68" s="1"/>
  <c r="H22" i="22"/>
  <c r="AF128" i="68" s="1"/>
  <c r="E33" i="22"/>
  <c r="L139" i="68" s="1"/>
  <c r="T47" i="22"/>
  <c r="T55" i="22"/>
  <c r="T63" i="22"/>
  <c r="S51" i="22"/>
  <c r="S54" i="22"/>
  <c r="S65" i="22"/>
  <c r="T52" i="22"/>
  <c r="J43" i="22"/>
  <c r="P9" i="22"/>
  <c r="D10" i="22"/>
  <c r="F46" i="22"/>
  <c r="E47" i="22"/>
  <c r="D48" i="22"/>
  <c r="H48" i="22"/>
  <c r="G49" i="22"/>
  <c r="F50" i="22"/>
  <c r="E51" i="22"/>
  <c r="D52" i="22"/>
  <c r="H52" i="22"/>
  <c r="G53" i="22"/>
  <c r="F54" i="22"/>
  <c r="E55" i="22"/>
  <c r="D56" i="22"/>
  <c r="H56" i="22"/>
  <c r="G57" i="22"/>
  <c r="F58" i="22"/>
  <c r="E59" i="22"/>
  <c r="D60" i="22"/>
  <c r="H60" i="22"/>
  <c r="G61" i="22"/>
  <c r="F62" i="22"/>
  <c r="E63" i="22"/>
  <c r="D64" i="22"/>
  <c r="H64" i="22"/>
  <c r="G65" i="22"/>
  <c r="F66" i="22"/>
  <c r="E67" i="22"/>
  <c r="D68" i="22"/>
  <c r="H68" i="22"/>
  <c r="H45" i="22"/>
  <c r="L11" i="22"/>
  <c r="Q11" i="22"/>
  <c r="J12" i="22"/>
  <c r="N12" i="22"/>
  <c r="S12" i="22"/>
  <c r="L13" i="22"/>
  <c r="Q13" i="22"/>
  <c r="J14" i="22"/>
  <c r="N14" i="22"/>
  <c r="S14" i="22"/>
  <c r="L15" i="22"/>
  <c r="Q15" i="22"/>
  <c r="J16" i="22"/>
  <c r="N16" i="22"/>
  <c r="S16" i="22"/>
  <c r="L17" i="22"/>
  <c r="Q17" i="22"/>
  <c r="J18" i="22"/>
  <c r="N18" i="22"/>
  <c r="S18" i="22"/>
  <c r="L19" i="22"/>
  <c r="Q19" i="22"/>
  <c r="J20" i="22"/>
  <c r="N20" i="22"/>
  <c r="S20" i="22"/>
  <c r="L21" i="22"/>
  <c r="Q21" i="22"/>
  <c r="J22" i="22"/>
  <c r="N22" i="22"/>
  <c r="S22" i="22"/>
  <c r="L23" i="22"/>
  <c r="Q23" i="22"/>
  <c r="J24" i="22"/>
  <c r="N24" i="22"/>
  <c r="S24" i="22"/>
  <c r="L25" i="22"/>
  <c r="Q25" i="22"/>
  <c r="J26" i="22"/>
  <c r="N26" i="22"/>
  <c r="S26" i="22"/>
  <c r="L27" i="22"/>
  <c r="Q27" i="22"/>
  <c r="J28" i="22"/>
  <c r="N28" i="22"/>
  <c r="S28" i="22"/>
  <c r="L29" i="22"/>
  <c r="Q29" i="22"/>
  <c r="J30" i="22"/>
  <c r="N30" i="22"/>
  <c r="S30" i="22"/>
  <c r="L31" i="22"/>
  <c r="Q31" i="22"/>
  <c r="J32" i="22"/>
  <c r="N32" i="22"/>
  <c r="G46" i="22"/>
  <c r="F47" i="22"/>
  <c r="E48" i="22"/>
  <c r="D49" i="22"/>
  <c r="H49" i="22"/>
  <c r="G50" i="22"/>
  <c r="F51" i="22"/>
  <c r="E52" i="22"/>
  <c r="D53" i="22"/>
  <c r="H53" i="22"/>
  <c r="G54" i="22"/>
  <c r="F55" i="22"/>
  <c r="E56" i="22"/>
  <c r="D57" i="22"/>
  <c r="H57" i="22"/>
  <c r="G58" i="22"/>
  <c r="F59" i="22"/>
  <c r="E60" i="22"/>
  <c r="D61" i="22"/>
  <c r="H61" i="22"/>
  <c r="G62" i="22"/>
  <c r="F63" i="22"/>
  <c r="E64" i="22"/>
  <c r="D65" i="22"/>
  <c r="H65" i="22"/>
  <c r="G66" i="22"/>
  <c r="F67" i="22"/>
  <c r="E68" i="22"/>
  <c r="E45" i="22"/>
  <c r="D45" i="22"/>
  <c r="M11" i="22"/>
  <c r="R11" i="22"/>
  <c r="K12" i="22"/>
  <c r="P12" i="22"/>
  <c r="T12" i="22"/>
  <c r="M13" i="22"/>
  <c r="R13" i="22"/>
  <c r="K14" i="22"/>
  <c r="P14" i="22"/>
  <c r="T14" i="22"/>
  <c r="M15" i="22"/>
  <c r="R15" i="22"/>
  <c r="K16" i="22"/>
  <c r="P16" i="22"/>
  <c r="T16" i="22"/>
  <c r="M17" i="22"/>
  <c r="R17" i="22"/>
  <c r="K18" i="22"/>
  <c r="P18" i="22"/>
  <c r="T18" i="22"/>
  <c r="M19" i="22"/>
  <c r="R19" i="22"/>
  <c r="K20" i="22"/>
  <c r="P20" i="22"/>
  <c r="T20" i="22"/>
  <c r="M21" i="22"/>
  <c r="R21" i="22"/>
  <c r="K22" i="22"/>
  <c r="P22" i="22"/>
  <c r="T22" i="22"/>
  <c r="M23" i="22"/>
  <c r="R23" i="22"/>
  <c r="K24" i="22"/>
  <c r="P24" i="22"/>
  <c r="T24" i="22"/>
  <c r="M25" i="22"/>
  <c r="R25" i="22"/>
  <c r="K26" i="22"/>
  <c r="P26" i="22"/>
  <c r="T26" i="22"/>
  <c r="M27" i="22"/>
  <c r="R27" i="22"/>
  <c r="K28" i="22"/>
  <c r="P28" i="22"/>
  <c r="T28" i="22"/>
  <c r="M29" i="22"/>
  <c r="R29" i="22"/>
  <c r="K30" i="22"/>
  <c r="P30" i="22"/>
  <c r="T30" i="22"/>
  <c r="M31" i="22"/>
  <c r="R31" i="22"/>
  <c r="K32" i="22"/>
  <c r="P32" i="22"/>
  <c r="D46" i="22"/>
  <c r="G47" i="22"/>
  <c r="E49" i="22"/>
  <c r="H50" i="22"/>
  <c r="F52" i="22"/>
  <c r="D54" i="22"/>
  <c r="G55" i="22"/>
  <c r="E57" i="22"/>
  <c r="H58" i="22"/>
  <c r="F60" i="22"/>
  <c r="D62" i="22"/>
  <c r="G63" i="22"/>
  <c r="E65" i="22"/>
  <c r="H66" i="22"/>
  <c r="F68" i="22"/>
  <c r="J11" i="22"/>
  <c r="S11" i="22"/>
  <c r="Q12" i="22"/>
  <c r="N13" i="22"/>
  <c r="L14" i="22"/>
  <c r="J15" i="22"/>
  <c r="S15" i="22"/>
  <c r="Q16" i="22"/>
  <c r="N17" i="22"/>
  <c r="L18" i="22"/>
  <c r="J19" i="22"/>
  <c r="S19" i="22"/>
  <c r="Q20" i="22"/>
  <c r="N21" i="22"/>
  <c r="L22" i="22"/>
  <c r="J23" i="22"/>
  <c r="S23" i="22"/>
  <c r="Q24" i="22"/>
  <c r="N25" i="22"/>
  <c r="L26" i="22"/>
  <c r="J27" i="22"/>
  <c r="S27" i="22"/>
  <c r="Q28" i="22"/>
  <c r="N29" i="22"/>
  <c r="L30" i="22"/>
  <c r="J31" i="22"/>
  <c r="S31" i="22"/>
  <c r="Q32" i="22"/>
  <c r="J33" i="22"/>
  <c r="N33" i="22"/>
  <c r="S33" i="22"/>
  <c r="L10" i="22"/>
  <c r="Q10" i="22"/>
  <c r="E9" i="22"/>
  <c r="J9" i="22"/>
  <c r="N9" i="22"/>
  <c r="T9" i="22"/>
  <c r="F43" i="22"/>
  <c r="E46" i="22"/>
  <c r="F49" i="22"/>
  <c r="D51" i="22"/>
  <c r="E54" i="22"/>
  <c r="F57" i="22"/>
  <c r="G60" i="22"/>
  <c r="E62" i="22"/>
  <c r="F65" i="22"/>
  <c r="G68" i="22"/>
  <c r="T11" i="22"/>
  <c r="P13" i="22"/>
  <c r="K15" i="22"/>
  <c r="R16" i="22"/>
  <c r="M18" i="22"/>
  <c r="K19" i="22"/>
  <c r="R20" i="22"/>
  <c r="M22" i="22"/>
  <c r="T23" i="22"/>
  <c r="P25" i="22"/>
  <c r="K27" i="22"/>
  <c r="R28" i="22"/>
  <c r="M30" i="22"/>
  <c r="T31" i="22"/>
  <c r="K33" i="22"/>
  <c r="T33" i="22"/>
  <c r="R10" i="22"/>
  <c r="K9" i="22"/>
  <c r="D9" i="22"/>
  <c r="F48" i="22"/>
  <c r="D50" i="22"/>
  <c r="E53" i="22"/>
  <c r="F56" i="22"/>
  <c r="G59" i="22"/>
  <c r="H62" i="22"/>
  <c r="F64" i="22"/>
  <c r="G67" i="22"/>
  <c r="N11" i="22"/>
  <c r="D47" i="22"/>
  <c r="G48" i="22"/>
  <c r="E50" i="22"/>
  <c r="H51" i="22"/>
  <c r="F53" i="22"/>
  <c r="D55" i="22"/>
  <c r="G56" i="22"/>
  <c r="E58" i="22"/>
  <c r="H59" i="22"/>
  <c r="F61" i="22"/>
  <c r="D63" i="22"/>
  <c r="G64" i="22"/>
  <c r="E66" i="22"/>
  <c r="H67" i="22"/>
  <c r="G45" i="22"/>
  <c r="P11" i="22"/>
  <c r="M12" i="22"/>
  <c r="K13" i="22"/>
  <c r="T13" i="22"/>
  <c r="R14" i="22"/>
  <c r="P15" i="22"/>
  <c r="M16" i="22"/>
  <c r="K17" i="22"/>
  <c r="T17" i="22"/>
  <c r="R18" i="22"/>
  <c r="P19" i="22"/>
  <c r="M20" i="22"/>
  <c r="K21" i="22"/>
  <c r="T21" i="22"/>
  <c r="R22" i="22"/>
  <c r="P23" i="22"/>
  <c r="M24" i="22"/>
  <c r="K25" i="22"/>
  <c r="T25" i="22"/>
  <c r="R26" i="22"/>
  <c r="P27" i="22"/>
  <c r="M28" i="22"/>
  <c r="K29" i="22"/>
  <c r="T29" i="22"/>
  <c r="R30" i="22"/>
  <c r="P31" i="22"/>
  <c r="M32" i="22"/>
  <c r="T32" i="22"/>
  <c r="M33" i="22"/>
  <c r="R33" i="22"/>
  <c r="K10" i="22"/>
  <c r="P10" i="22"/>
  <c r="T10" i="22"/>
  <c r="H9" i="22"/>
  <c r="M9" i="22"/>
  <c r="S9" i="22"/>
  <c r="E43" i="22"/>
  <c r="D43" i="22"/>
  <c r="H47" i="22"/>
  <c r="G52" i="22"/>
  <c r="H55" i="22"/>
  <c r="D59" i="22"/>
  <c r="H63" i="22"/>
  <c r="D67" i="22"/>
  <c r="K11" i="22"/>
  <c r="R12" i="22"/>
  <c r="M14" i="22"/>
  <c r="T15" i="22"/>
  <c r="P17" i="22"/>
  <c r="T19" i="22"/>
  <c r="P21" i="22"/>
  <c r="K23" i="22"/>
  <c r="R24" i="22"/>
  <c r="M26" i="22"/>
  <c r="T27" i="22"/>
  <c r="P29" i="22"/>
  <c r="K31" i="22"/>
  <c r="R32" i="22"/>
  <c r="P33" i="22"/>
  <c r="M10" i="22"/>
  <c r="F9" i="22"/>
  <c r="Q9" i="22"/>
  <c r="G43" i="22"/>
  <c r="H46" i="22"/>
  <c r="G51" i="22"/>
  <c r="H54" i="22"/>
  <c r="D58" i="22"/>
  <c r="E61" i="22"/>
  <c r="D66" i="22"/>
  <c r="F45" i="22"/>
  <c r="L12" i="22"/>
  <c r="N15" i="22"/>
  <c r="Q18" i="22"/>
  <c r="S21" i="22"/>
  <c r="J25" i="22"/>
  <c r="L28" i="22"/>
  <c r="N31" i="22"/>
  <c r="Q33" i="22"/>
  <c r="G9" i="22"/>
  <c r="H43" i="22"/>
  <c r="J13" i="22"/>
  <c r="L16" i="22"/>
  <c r="N19" i="22"/>
  <c r="Q22" i="22"/>
  <c r="S25" i="22"/>
  <c r="J29" i="22"/>
  <c r="L32" i="22"/>
  <c r="J10" i="22"/>
  <c r="S13" i="22"/>
  <c r="L20" i="22"/>
  <c r="Q26" i="22"/>
  <c r="S32" i="22"/>
  <c r="R9" i="22"/>
  <c r="Q14" i="22"/>
  <c r="S17" i="22"/>
  <c r="J21" i="22"/>
  <c r="L24" i="22"/>
  <c r="N27" i="22"/>
  <c r="Q30" i="22"/>
  <c r="L33" i="22"/>
  <c r="S10" i="22"/>
  <c r="L9" i="22"/>
  <c r="J17" i="22"/>
  <c r="N23" i="22"/>
  <c r="S29" i="22"/>
  <c r="N10" i="22"/>
  <c r="F13" i="22"/>
  <c r="AD119" i="68" s="1"/>
  <c r="E16" i="22"/>
  <c r="AC122" i="68" s="1"/>
  <c r="H19" i="22"/>
  <c r="AF125" i="68" s="1"/>
  <c r="D23" i="22"/>
  <c r="AB129" i="68" s="1"/>
  <c r="G26" i="22"/>
  <c r="F29" i="22"/>
  <c r="AD135" i="68" s="1"/>
  <c r="E32" i="22"/>
  <c r="L138" i="68" s="1"/>
  <c r="AR138" i="68" s="1"/>
  <c r="G12" i="22"/>
  <c r="F15" i="22"/>
  <c r="AD121" i="68" s="1"/>
  <c r="E18" i="22"/>
  <c r="AC124" i="68" s="1"/>
  <c r="H21" i="22"/>
  <c r="AF127" i="68" s="1"/>
  <c r="D25" i="22"/>
  <c r="AB131" i="68" s="1"/>
  <c r="G28" i="22"/>
  <c r="E11" i="22"/>
  <c r="AC117" i="68" s="1"/>
  <c r="F18" i="22"/>
  <c r="AD124" i="68" s="1"/>
  <c r="G25" i="22"/>
  <c r="H32" i="22"/>
  <c r="O138" i="68" s="1"/>
  <c r="Z50" i="76" s="1"/>
  <c r="F12" i="22"/>
  <c r="AD118" i="68" s="1"/>
  <c r="G19" i="22"/>
  <c r="H26" i="22"/>
  <c r="AF132" i="68" s="1"/>
  <c r="D30" i="22"/>
  <c r="AB136" i="68" s="1"/>
  <c r="G32" i="22"/>
  <c r="F14" i="22"/>
  <c r="AD120" i="68" s="1"/>
  <c r="G21" i="22"/>
  <c r="H28" i="22"/>
  <c r="AF134" i="68" s="1"/>
  <c r="D32" i="22"/>
  <c r="K138" i="68" s="1"/>
  <c r="E17" i="22"/>
  <c r="AC123" i="68" s="1"/>
  <c r="F24" i="22"/>
  <c r="AD130" i="68" s="1"/>
  <c r="G31" i="22"/>
  <c r="S60" i="22"/>
  <c r="S67" i="22"/>
  <c r="T54" i="22"/>
  <c r="T65" i="22"/>
  <c r="S62" i="22"/>
  <c r="T49" i="22"/>
  <c r="S46" i="22"/>
  <c r="T58" i="22"/>
  <c r="S43" i="22"/>
  <c r="T60" i="22"/>
  <c r="S57" i="22"/>
  <c r="Q43" i="22"/>
  <c r="K46" i="22"/>
  <c r="M47" i="22"/>
  <c r="K48" i="22"/>
  <c r="M49" i="22"/>
  <c r="K50" i="22"/>
  <c r="M51" i="22"/>
  <c r="K52" i="22"/>
  <c r="M53" i="22"/>
  <c r="K54" i="22"/>
  <c r="M55" i="22"/>
  <c r="K56" i="22"/>
  <c r="M57" i="22"/>
  <c r="K58" i="22"/>
  <c r="M59" i="22"/>
  <c r="K60" i="22"/>
  <c r="M61" i="22"/>
  <c r="K62" i="22"/>
  <c r="M63" i="22"/>
  <c r="K64" i="22"/>
  <c r="M65" i="22"/>
  <c r="K66" i="22"/>
  <c r="M67" i="22"/>
  <c r="K68" i="22"/>
  <c r="J45" i="22"/>
  <c r="N45" i="22"/>
  <c r="L43" i="22"/>
  <c r="M50" i="22"/>
  <c r="K51" i="22"/>
  <c r="M54" i="22"/>
  <c r="K55" i="22"/>
  <c r="M58" i="22"/>
  <c r="M60" i="22"/>
  <c r="K61" i="22"/>
  <c r="M64" i="22"/>
  <c r="K65" i="22"/>
  <c r="L45" i="22"/>
  <c r="N43" i="22"/>
  <c r="J46" i="22"/>
  <c r="L47" i="22"/>
  <c r="J48" i="22"/>
  <c r="N50" i="22"/>
  <c r="L51" i="22"/>
  <c r="J52" i="22"/>
  <c r="N54" i="22"/>
  <c r="L55" i="22"/>
  <c r="J56" i="22"/>
  <c r="L59" i="22"/>
  <c r="J60" i="22"/>
  <c r="J62" i="22"/>
  <c r="L63" i="22"/>
  <c r="J64" i="22"/>
  <c r="L65" i="22"/>
  <c r="J66" i="22"/>
  <c r="M45" i="22"/>
  <c r="L46" i="22"/>
  <c r="J47" i="22"/>
  <c r="N47" i="22"/>
  <c r="L48" i="22"/>
  <c r="J49" i="22"/>
  <c r="N49" i="22"/>
  <c r="L50" i="22"/>
  <c r="J51" i="22"/>
  <c r="N51" i="22"/>
  <c r="L52" i="22"/>
  <c r="J53" i="22"/>
  <c r="N53" i="22"/>
  <c r="L54" i="22"/>
  <c r="J55" i="22"/>
  <c r="N55" i="22"/>
  <c r="L56" i="22"/>
  <c r="J57" i="22"/>
  <c r="N57" i="22"/>
  <c r="L58" i="22"/>
  <c r="J59" i="22"/>
  <c r="N59" i="22"/>
  <c r="L60" i="22"/>
  <c r="J61" i="22"/>
  <c r="N61" i="22"/>
  <c r="L62" i="22"/>
  <c r="J63" i="22"/>
  <c r="N63" i="22"/>
  <c r="L64" i="22"/>
  <c r="J65" i="22"/>
  <c r="N65" i="22"/>
  <c r="L66" i="22"/>
  <c r="J67" i="22"/>
  <c r="N67" i="22"/>
  <c r="L68" i="22"/>
  <c r="K45" i="22"/>
  <c r="M43" i="22"/>
  <c r="M46" i="22"/>
  <c r="K47" i="22"/>
  <c r="M48" i="22"/>
  <c r="K49" i="22"/>
  <c r="M52" i="22"/>
  <c r="K53" i="22"/>
  <c r="M56" i="22"/>
  <c r="K57" i="22"/>
  <c r="K59" i="22"/>
  <c r="M62" i="22"/>
  <c r="K63" i="22"/>
  <c r="M66" i="22"/>
  <c r="K67" i="22"/>
  <c r="M68" i="22"/>
  <c r="N46" i="22"/>
  <c r="N48" i="22"/>
  <c r="L49" i="22"/>
  <c r="J50" i="22"/>
  <c r="N52" i="22"/>
  <c r="L53" i="22"/>
  <c r="J54" i="22"/>
  <c r="N56" i="22"/>
  <c r="L57" i="22"/>
  <c r="J58" i="22"/>
  <c r="N58" i="22"/>
  <c r="N60" i="22"/>
  <c r="L61" i="22"/>
  <c r="N62" i="22"/>
  <c r="N64" i="22"/>
  <c r="N66" i="22"/>
  <c r="L67" i="22"/>
  <c r="J68" i="22"/>
  <c r="N68" i="22"/>
  <c r="K43" i="22"/>
  <c r="X2" i="84"/>
  <c r="Y1" i="84"/>
  <c r="M121" i="68" l="1"/>
  <c r="AS121" i="68" s="1"/>
  <c r="N138" i="68"/>
  <c r="AE125" i="68"/>
  <c r="AE120" i="68"/>
  <c r="AE121" i="68"/>
  <c r="AE126" i="68"/>
  <c r="AE134" i="68"/>
  <c r="AE132" i="68"/>
  <c r="AE116" i="68"/>
  <c r="AE124" i="68"/>
  <c r="AE119" i="68"/>
  <c r="AE123" i="68"/>
  <c r="AE135" i="68"/>
  <c r="AE33" i="68"/>
  <c r="AE129" i="68"/>
  <c r="AE130" i="68"/>
  <c r="AE128" i="68"/>
  <c r="AE133" i="68"/>
  <c r="AE136" i="68"/>
  <c r="AE137" i="68"/>
  <c r="AE127" i="68"/>
  <c r="AE131" i="68"/>
  <c r="AE118" i="68"/>
  <c r="AE117" i="68"/>
  <c r="AE122" i="68"/>
  <c r="AD23" i="68"/>
  <c r="AB17" i="68"/>
  <c r="AC16" i="68"/>
  <c r="AD29" i="68"/>
  <c r="O131" i="68"/>
  <c r="AU131" i="68" s="1"/>
  <c r="M118" i="68"/>
  <c r="K127" i="68"/>
  <c r="AE13" i="68"/>
  <c r="AE10" i="68"/>
  <c r="K125" i="68"/>
  <c r="N123" i="68"/>
  <c r="O137" i="68"/>
  <c r="AE18" i="68"/>
  <c r="K133" i="68"/>
  <c r="M125" i="68"/>
  <c r="N134" i="68"/>
  <c r="AT134" i="68" s="1"/>
  <c r="AC19" i="68"/>
  <c r="AF28" i="68"/>
  <c r="AB27" i="68"/>
  <c r="N119" i="68"/>
  <c r="N116" i="68"/>
  <c r="AT116" i="68" s="1"/>
  <c r="AF31" i="68"/>
  <c r="AB30" i="68"/>
  <c r="L120" i="68"/>
  <c r="AE31" i="68"/>
  <c r="M136" i="68"/>
  <c r="AS136" i="68" s="1"/>
  <c r="AD15" i="68"/>
  <c r="AB19" i="68"/>
  <c r="AC15" i="68"/>
  <c r="O134" i="68"/>
  <c r="AU134" i="68" s="1"/>
  <c r="K123" i="68"/>
  <c r="N137" i="68"/>
  <c r="AD30" i="68"/>
  <c r="AE28" i="68"/>
  <c r="M127" i="68"/>
  <c r="N121" i="68"/>
  <c r="AB22" i="68"/>
  <c r="K117" i="68"/>
  <c r="O136" i="68"/>
  <c r="P136" i="68" s="1"/>
  <c r="O127" i="68"/>
  <c r="O50" i="76" s="1"/>
  <c r="K121" i="68"/>
  <c r="AD33" i="68"/>
  <c r="L127" i="68"/>
  <c r="K119" i="68"/>
  <c r="AE23" i="68"/>
  <c r="AF138" i="68"/>
  <c r="AM138" i="68"/>
  <c r="AD26" i="68"/>
  <c r="AD31" i="68"/>
  <c r="AF30" i="68"/>
  <c r="N118" i="68"/>
  <c r="AD27" i="68"/>
  <c r="AB31" i="68"/>
  <c r="M120" i="68"/>
  <c r="AD18" i="68"/>
  <c r="AB11" i="68"/>
  <c r="M130" i="68"/>
  <c r="AS130" i="68" s="1"/>
  <c r="AC22" i="68"/>
  <c r="L118" i="68"/>
  <c r="AC33" i="68"/>
  <c r="M133" i="68"/>
  <c r="AS133" i="68" s="1"/>
  <c r="AB18" i="68"/>
  <c r="AF29" i="68"/>
  <c r="AC17" i="68"/>
  <c r="AB28" i="68"/>
  <c r="L128" i="68"/>
  <c r="AR128" i="68" s="1"/>
  <c r="AD25" i="68"/>
  <c r="O132" i="68"/>
  <c r="AF33" i="68"/>
  <c r="AE19" i="68"/>
  <c r="AB12" i="68"/>
  <c r="K137" i="68"/>
  <c r="M116" i="68"/>
  <c r="AS116" i="68" s="1"/>
  <c r="O135" i="68"/>
  <c r="AH132" i="68" s="1"/>
  <c r="M123" i="68"/>
  <c r="L137" i="68"/>
  <c r="M134" i="68"/>
  <c r="AB29" i="68"/>
  <c r="O125" i="68"/>
  <c r="AH125" i="68" s="1"/>
  <c r="AD20" i="68"/>
  <c r="K126" i="68"/>
  <c r="AE11" i="68"/>
  <c r="O118" i="68"/>
  <c r="F50" i="76" s="1"/>
  <c r="K132" i="68"/>
  <c r="K118" i="68"/>
  <c r="AC14" i="68"/>
  <c r="AD21" i="68"/>
  <c r="AF11" i="68"/>
  <c r="AC29" i="68"/>
  <c r="N131" i="68"/>
  <c r="AT131" i="68" s="1"/>
  <c r="AC26" i="68"/>
  <c r="AE14" i="68"/>
  <c r="AB24" i="68"/>
  <c r="AB13" i="68"/>
  <c r="M126" i="68"/>
  <c r="L134" i="68"/>
  <c r="AR134" i="68" s="1"/>
  <c r="AC12" i="68"/>
  <c r="AD22" i="68"/>
  <c r="M132" i="68"/>
  <c r="AC30" i="68"/>
  <c r="O117" i="68"/>
  <c r="E50" i="76" s="1"/>
  <c r="AE21" i="68"/>
  <c r="K135" i="68"/>
  <c r="AB26" i="68"/>
  <c r="M128" i="68"/>
  <c r="N125" i="68"/>
  <c r="L136" i="68"/>
  <c r="AR136" i="68" s="1"/>
  <c r="AF17" i="68"/>
  <c r="AF10" i="68"/>
  <c r="AF27" i="68"/>
  <c r="AS138" i="68"/>
  <c r="K124" i="68"/>
  <c r="N127" i="68"/>
  <c r="M137" i="68"/>
  <c r="AS137" i="68" s="1"/>
  <c r="L135" i="68"/>
  <c r="AR135" i="68" s="1"/>
  <c r="M124" i="68"/>
  <c r="L132" i="68"/>
  <c r="L126" i="68"/>
  <c r="N120" i="68"/>
  <c r="L123" i="68"/>
  <c r="K130" i="68"/>
  <c r="AD28" i="68"/>
  <c r="K134" i="68"/>
  <c r="AE16" i="68"/>
  <c r="K129" i="68"/>
  <c r="AC10" i="68"/>
  <c r="K122" i="68"/>
  <c r="K139" i="68"/>
  <c r="O122" i="68"/>
  <c r="AH122" i="68" s="1"/>
  <c r="K131" i="68"/>
  <c r="M131" i="68"/>
  <c r="O121" i="68"/>
  <c r="AU121" i="68" s="1"/>
  <c r="AC138" i="68"/>
  <c r="AD138" i="68"/>
  <c r="N117" i="68"/>
  <c r="AC20" i="68"/>
  <c r="AB23" i="68"/>
  <c r="AB16" i="68"/>
  <c r="AF16" i="68"/>
  <c r="AB25" i="68"/>
  <c r="AF15" i="68"/>
  <c r="AF26" i="68"/>
  <c r="O123" i="68"/>
  <c r="AH123" i="68" s="1"/>
  <c r="O116" i="68"/>
  <c r="AU116" i="68" s="1"/>
  <c r="O133" i="68"/>
  <c r="U50" i="76" s="1"/>
  <c r="AD14" i="68"/>
  <c r="AD10" i="68"/>
  <c r="AE25" i="68"/>
  <c r="AD17" i="68"/>
  <c r="AD24" i="68"/>
  <c r="AC31" i="68"/>
  <c r="N122" i="68"/>
  <c r="AF19" i="68"/>
  <c r="L116" i="68"/>
  <c r="AF12" i="68"/>
  <c r="AB20" i="68"/>
  <c r="AF21" i="68"/>
  <c r="AE12" i="68"/>
  <c r="AC28" i="68"/>
  <c r="AE29" i="68"/>
  <c r="K128" i="68"/>
  <c r="M129" i="68"/>
  <c r="AB14" i="68"/>
  <c r="AF24" i="68"/>
  <c r="AL138" i="68"/>
  <c r="M135" i="68"/>
  <c r="L122" i="68"/>
  <c r="N129" i="68"/>
  <c r="AB116" i="68"/>
  <c r="AB138" i="68" s="1"/>
  <c r="K116" i="68"/>
  <c r="AB10" i="68"/>
  <c r="O128" i="68"/>
  <c r="P128" i="68" s="1"/>
  <c r="N135" i="68"/>
  <c r="AT135" i="68" s="1"/>
  <c r="K136" i="68"/>
  <c r="N139" i="68"/>
  <c r="AT139" i="68" s="1"/>
  <c r="L125" i="68"/>
  <c r="AR125" i="68" s="1"/>
  <c r="N130" i="68"/>
  <c r="AT130" i="68" s="1"/>
  <c r="M117" i="68"/>
  <c r="L130" i="68"/>
  <c r="N124" i="68"/>
  <c r="AT124" i="68" s="1"/>
  <c r="AC25" i="68"/>
  <c r="AF14" i="68"/>
  <c r="AF18" i="68"/>
  <c r="AU138" i="68"/>
  <c r="AC11" i="68"/>
  <c r="AE20" i="68"/>
  <c r="AF13" i="68"/>
  <c r="AE30" i="68"/>
  <c r="AF23" i="68"/>
  <c r="AF20" i="68"/>
  <c r="K120" i="68"/>
  <c r="O130" i="68"/>
  <c r="AE26" i="68"/>
  <c r="AD13" i="68"/>
  <c r="AD16" i="68"/>
  <c r="AC23" i="68"/>
  <c r="AE27" i="68"/>
  <c r="AC13" i="68"/>
  <c r="AC27" i="68"/>
  <c r="AC18" i="68"/>
  <c r="AE22" i="68"/>
  <c r="AF22" i="68"/>
  <c r="AE24" i="68"/>
  <c r="AD11" i="68"/>
  <c r="AC24" i="68"/>
  <c r="L121" i="68"/>
  <c r="AE15" i="68"/>
  <c r="AD12" i="68"/>
  <c r="AB21" i="68"/>
  <c r="AB15" i="68"/>
  <c r="L131" i="68"/>
  <c r="O120" i="68"/>
  <c r="P120" i="68" s="1"/>
  <c r="O124" i="68"/>
  <c r="L50" i="76" s="1"/>
  <c r="P138" i="68"/>
  <c r="L117" i="68"/>
  <c r="AR117" i="68" s="1"/>
  <c r="N126" i="68"/>
  <c r="O119" i="68"/>
  <c r="AH119" i="68" s="1"/>
  <c r="N136" i="68"/>
  <c r="O129" i="68"/>
  <c r="Q50" i="76" s="1"/>
  <c r="O126" i="68"/>
  <c r="P126" i="68" s="1"/>
  <c r="AC21" i="68"/>
  <c r="AE17" i="68"/>
  <c r="AF25" i="68"/>
  <c r="AD19" i="68"/>
  <c r="N132" i="68"/>
  <c r="AT132" i="68" s="1"/>
  <c r="M119" i="68"/>
  <c r="M122" i="68"/>
  <c r="AS122" i="68" s="1"/>
  <c r="L129" i="68"/>
  <c r="N133" i="68"/>
  <c r="L119" i="68"/>
  <c r="AR119" i="68" s="1"/>
  <c r="L133" i="68"/>
  <c r="L124" i="68"/>
  <c r="N128" i="68"/>
  <c r="AA50" i="76"/>
  <c r="AR139" i="68"/>
  <c r="AU139" i="68"/>
  <c r="AS139" i="68"/>
  <c r="AT138" i="68" l="1"/>
  <c r="AV138" i="68" s="1"/>
  <c r="P131" i="68"/>
  <c r="AE138" i="68"/>
  <c r="AO138" i="68"/>
  <c r="AN138" i="68"/>
  <c r="AS118" i="68"/>
  <c r="AH130" i="68"/>
  <c r="AR120" i="68"/>
  <c r="P137" i="68"/>
  <c r="S50" i="76"/>
  <c r="Y50" i="76"/>
  <c r="P129" i="68"/>
  <c r="AS124" i="68"/>
  <c r="AU136" i="68"/>
  <c r="P125" i="68"/>
  <c r="AR127" i="68"/>
  <c r="AH133" i="68"/>
  <c r="AR121" i="68"/>
  <c r="M50" i="76"/>
  <c r="AH127" i="68"/>
  <c r="AT129" i="68"/>
  <c r="AS125" i="68"/>
  <c r="AT123" i="68"/>
  <c r="AT118" i="68"/>
  <c r="P130" i="68"/>
  <c r="AT119" i="68"/>
  <c r="P134" i="68"/>
  <c r="AU137" i="68"/>
  <c r="AT133" i="68"/>
  <c r="K50" i="76"/>
  <c r="AR129" i="68"/>
  <c r="AU123" i="68"/>
  <c r="AS128" i="68"/>
  <c r="AH134" i="68"/>
  <c r="AR132" i="68"/>
  <c r="AU127" i="68"/>
  <c r="AS132" i="68"/>
  <c r="AT121" i="68"/>
  <c r="AH131" i="68"/>
  <c r="AT137" i="68"/>
  <c r="AS127" i="68"/>
  <c r="AH118" i="68"/>
  <c r="AS126" i="68"/>
  <c r="AS120" i="68"/>
  <c r="P116" i="68"/>
  <c r="AH116" i="68"/>
  <c r="V50" i="76"/>
  <c r="P127" i="68"/>
  <c r="AR123" i="68"/>
  <c r="AU128" i="68"/>
  <c r="X50" i="76"/>
  <c r="AT127" i="68"/>
  <c r="P132" i="68"/>
  <c r="AH128" i="68"/>
  <c r="AS119" i="68"/>
  <c r="AR137" i="68"/>
  <c r="AT136" i="68"/>
  <c r="AS134" i="68"/>
  <c r="AW134" i="68" s="1"/>
  <c r="P123" i="68"/>
  <c r="AU132" i="68"/>
  <c r="I50" i="76"/>
  <c r="P50" i="76"/>
  <c r="P121" i="68"/>
  <c r="AH121" i="68"/>
  <c r="T50" i="76"/>
  <c r="G50" i="76"/>
  <c r="AT120" i="68"/>
  <c r="P133" i="68"/>
  <c r="AR118" i="68"/>
  <c r="AU125" i="68"/>
  <c r="AU126" i="68"/>
  <c r="AS123" i="68"/>
  <c r="AR131" i="68"/>
  <c r="AU133" i="68"/>
  <c r="AH120" i="68"/>
  <c r="AR126" i="68"/>
  <c r="AU122" i="68"/>
  <c r="AU118" i="68"/>
  <c r="AT126" i="68"/>
  <c r="AS117" i="68"/>
  <c r="AT125" i="68"/>
  <c r="W50" i="76"/>
  <c r="AW138" i="68"/>
  <c r="AB32" i="68"/>
  <c r="AR116" i="68"/>
  <c r="AV116" i="68" s="1"/>
  <c r="AU135" i="68"/>
  <c r="AT117" i="68"/>
  <c r="P118" i="68"/>
  <c r="AU117" i="68"/>
  <c r="J50" i="76"/>
  <c r="AS131" i="68"/>
  <c r="P135" i="68"/>
  <c r="P122" i="68"/>
  <c r="AU119" i="68"/>
  <c r="AU124" i="68"/>
  <c r="AT122" i="68"/>
  <c r="AT128" i="68"/>
  <c r="P117" i="68"/>
  <c r="AR130" i="68"/>
  <c r="AH124" i="68"/>
  <c r="D50" i="76"/>
  <c r="AH129" i="68"/>
  <c r="AD32" i="68"/>
  <c r="AF32" i="68"/>
  <c r="P119" i="68"/>
  <c r="P124" i="68"/>
  <c r="AH117" i="68"/>
  <c r="AE32" i="68"/>
  <c r="AC32" i="68"/>
  <c r="AS135" i="68"/>
  <c r="AU129" i="68"/>
  <c r="AU130" i="68"/>
  <c r="AR124" i="68"/>
  <c r="AR133" i="68"/>
  <c r="AU120" i="68"/>
  <c r="N50" i="76"/>
  <c r="R50" i="76"/>
  <c r="AR122" i="68"/>
  <c r="AH126" i="68"/>
  <c r="H50" i="76"/>
  <c r="AS129" i="68"/>
  <c r="AV139" i="68"/>
  <c r="AW139" i="68"/>
  <c r="AC134" i="67"/>
  <c r="AW135" i="68" l="1"/>
  <c r="AP138" i="68"/>
  <c r="I138" i="68" s="1"/>
  <c r="AW137" i="68"/>
  <c r="AV134" i="68"/>
  <c r="AX134" i="68" s="1"/>
  <c r="AW136" i="68"/>
  <c r="AW121" i="68"/>
  <c r="AV121" i="68"/>
  <c r="AV119" i="68"/>
  <c r="AV117" i="68"/>
  <c r="AW125" i="68"/>
  <c r="AV136" i="68"/>
  <c r="AW123" i="68"/>
  <c r="AV137" i="68"/>
  <c r="AV127" i="68"/>
  <c r="AW118" i="68"/>
  <c r="AV126" i="68"/>
  <c r="AW129" i="68"/>
  <c r="AX138" i="68"/>
  <c r="AV122" i="68"/>
  <c r="AV131" i="68"/>
  <c r="AV125" i="68"/>
  <c r="AW116" i="68"/>
  <c r="AX116" i="68" s="1"/>
  <c r="AV123" i="68"/>
  <c r="AV132" i="68"/>
  <c r="AW127" i="68"/>
  <c r="AW132" i="68"/>
  <c r="AW128" i="68"/>
  <c r="AW120" i="68"/>
  <c r="AW124" i="68"/>
  <c r="AI122" i="68"/>
  <c r="AI130" i="68"/>
  <c r="AV118" i="68"/>
  <c r="AI125" i="68"/>
  <c r="AW126" i="68"/>
  <c r="AV129" i="68"/>
  <c r="AW122" i="68"/>
  <c r="AW131" i="68"/>
  <c r="AW117" i="68"/>
  <c r="AW119" i="68"/>
  <c r="AV120" i="68"/>
  <c r="AV128" i="68"/>
  <c r="AV133" i="68"/>
  <c r="AV130" i="68"/>
  <c r="AI120" i="68"/>
  <c r="AV124" i="68"/>
  <c r="AI124" i="68"/>
  <c r="AI131" i="68"/>
  <c r="AI127" i="68"/>
  <c r="AI121" i="68"/>
  <c r="AV135" i="68"/>
  <c r="AW130" i="68"/>
  <c r="AI132" i="68"/>
  <c r="AI128" i="68"/>
  <c r="AI133" i="68"/>
  <c r="AI126" i="68"/>
  <c r="AI116" i="68"/>
  <c r="Q116" i="68" s="1"/>
  <c r="AW133" i="68"/>
  <c r="AI134" i="68"/>
  <c r="AI129" i="68"/>
  <c r="AI119" i="68"/>
  <c r="AI123" i="68"/>
  <c r="AI118" i="68"/>
  <c r="AI117" i="68"/>
  <c r="AX139" i="68"/>
  <c r="AC99" i="84"/>
  <c r="AC135" i="84"/>
  <c r="AC171" i="84"/>
  <c r="AX120" i="68" l="1"/>
  <c r="AX137" i="68"/>
  <c r="AX122" i="68"/>
  <c r="AX131" i="68"/>
  <c r="AX118" i="68"/>
  <c r="AX135" i="68"/>
  <c r="AX136" i="68"/>
  <c r="AX121" i="68"/>
  <c r="AX126" i="68"/>
  <c r="AX117" i="68"/>
  <c r="AX119" i="68"/>
  <c r="AX128" i="68"/>
  <c r="AX127" i="68"/>
  <c r="AX125" i="68"/>
  <c r="AX123" i="68"/>
  <c r="AX132" i="68"/>
  <c r="AX129" i="68"/>
  <c r="AX130" i="68"/>
  <c r="AX124" i="68"/>
  <c r="AX133" i="68"/>
  <c r="H32" i="84"/>
  <c r="H99" i="84" l="1"/>
  <c r="H135" i="84"/>
  <c r="I293" i="83"/>
  <c r="S297" i="83"/>
  <c r="S298" i="83"/>
  <c r="S299" i="83"/>
  <c r="S300" i="83"/>
  <c r="S301" i="83"/>
  <c r="S302" i="83"/>
  <c r="S303" i="83"/>
  <c r="S304" i="83"/>
  <c r="S305" i="83"/>
  <c r="S306" i="83"/>
  <c r="S307" i="83"/>
  <c r="S308" i="83"/>
  <c r="S309" i="83"/>
  <c r="S310" i="83"/>
  <c r="S311" i="83"/>
  <c r="S312" i="83"/>
  <c r="S313" i="83"/>
  <c r="S314" i="83"/>
  <c r="S315" i="83"/>
  <c r="S316" i="83"/>
  <c r="S317" i="83"/>
  <c r="S296" i="83"/>
  <c r="A357" i="83"/>
  <c r="AC330" i="83"/>
  <c r="Y330" i="83"/>
  <c r="AC329" i="83"/>
  <c r="AL350" i="83"/>
  <c r="AL349" i="83"/>
  <c r="AL348" i="83"/>
  <c r="AL347" i="83"/>
  <c r="AL346" i="83"/>
  <c r="AL345" i="83"/>
  <c r="AL344" i="83"/>
  <c r="AL343" i="83"/>
  <c r="AL342" i="83"/>
  <c r="AL341" i="83"/>
  <c r="AL340" i="83"/>
  <c r="AL339" i="83"/>
  <c r="AL338" i="83"/>
  <c r="AL337" i="83"/>
  <c r="AL336" i="83"/>
  <c r="AL335" i="83"/>
  <c r="AL334" i="83"/>
  <c r="AL333" i="83"/>
  <c r="AL332" i="83"/>
  <c r="AL331" i="83"/>
  <c r="AL330" i="83"/>
  <c r="AL329" i="83"/>
  <c r="AL328" i="83"/>
  <c r="AL327" i="83"/>
  <c r="AQ325" i="83"/>
  <c r="AP325" i="83"/>
  <c r="AO325" i="83"/>
  <c r="AN325" i="83"/>
  <c r="AM325" i="83"/>
  <c r="A324" i="83"/>
  <c r="AR323" i="83"/>
  <c r="AQ323" i="83"/>
  <c r="AP323" i="83"/>
  <c r="AO323" i="83"/>
  <c r="AN323" i="83"/>
  <c r="AM323" i="83"/>
  <c r="Y319" i="83"/>
  <c r="Y318" i="83"/>
  <c r="Y317" i="83"/>
  <c r="Y316" i="83"/>
  <c r="Y315" i="83"/>
  <c r="Y314" i="83"/>
  <c r="Y313" i="83"/>
  <c r="Y312" i="83"/>
  <c r="Y311" i="83"/>
  <c r="Y310" i="83"/>
  <c r="Y309" i="83"/>
  <c r="Y308" i="83"/>
  <c r="Y307" i="83"/>
  <c r="Y306" i="83"/>
  <c r="Y305" i="83"/>
  <c r="Y304" i="83"/>
  <c r="Y303" i="83"/>
  <c r="Y302" i="83"/>
  <c r="Y301" i="83"/>
  <c r="Y300" i="83"/>
  <c r="Y299" i="83"/>
  <c r="Y298" i="83"/>
  <c r="Y297" i="83"/>
  <c r="AG296" i="83"/>
  <c r="Y296" i="83"/>
  <c r="AH295" i="83"/>
  <c r="AF294" i="83"/>
  <c r="AE294" i="83"/>
  <c r="AD294" i="83"/>
  <c r="AC294" i="83"/>
  <c r="AB294" i="83"/>
  <c r="S293" i="83"/>
  <c r="AK5" i="84" l="1"/>
  <c r="Z1" i="83"/>
  <c r="B291" i="83" s="1"/>
  <c r="B185" i="83"/>
  <c r="Y185" i="83" s="1"/>
  <c r="B186" i="83"/>
  <c r="Y186" i="83" s="1"/>
  <c r="B187" i="83"/>
  <c r="Y187" i="83" s="1"/>
  <c r="B188" i="83"/>
  <c r="Y188" i="83" s="1"/>
  <c r="B189" i="83"/>
  <c r="Y189" i="83" s="1"/>
  <c r="B190" i="83"/>
  <c r="Y190" i="83" s="1"/>
  <c r="B191" i="83"/>
  <c r="Y191" i="83" s="1"/>
  <c r="B192" i="83"/>
  <c r="Y192" i="83" s="1"/>
  <c r="B193" i="83"/>
  <c r="Y193" i="83" s="1"/>
  <c r="B194" i="83"/>
  <c r="Y194" i="83" s="1"/>
  <c r="B195" i="83"/>
  <c r="Y195" i="83" s="1"/>
  <c r="B196" i="83"/>
  <c r="Y196" i="83" s="1"/>
  <c r="B197" i="83"/>
  <c r="Y197" i="83" s="1"/>
  <c r="B198" i="83"/>
  <c r="Y198" i="83" s="1"/>
  <c r="B199" i="83"/>
  <c r="Y199" i="83" s="1"/>
  <c r="B200" i="83"/>
  <c r="Y200" i="83" s="1"/>
  <c r="B201" i="83"/>
  <c r="Y201" i="83" s="1"/>
  <c r="B202" i="83"/>
  <c r="Y202" i="83" s="1"/>
  <c r="B203" i="83"/>
  <c r="Y203" i="83" s="1"/>
  <c r="B204" i="83"/>
  <c r="Y204" i="83" s="1"/>
  <c r="B205" i="83"/>
  <c r="Y205" i="83" s="1"/>
  <c r="B206" i="83"/>
  <c r="Y206" i="83" s="1"/>
  <c r="B207" i="83"/>
  <c r="Y207" i="83" s="1"/>
  <c r="B184" i="83"/>
  <c r="Y184" i="83" s="1"/>
  <c r="AD182" i="83"/>
  <c r="AC182" i="83"/>
  <c r="AB182" i="83"/>
  <c r="AA182" i="83"/>
  <c r="Z182" i="83"/>
  <c r="AD207" i="83"/>
  <c r="AC207" i="83"/>
  <c r="AB207" i="83"/>
  <c r="AA207" i="83"/>
  <c r="Z207" i="83"/>
  <c r="AD205" i="83"/>
  <c r="AC205" i="83"/>
  <c r="AB205" i="83"/>
  <c r="AA205" i="83"/>
  <c r="Z205" i="83"/>
  <c r="AD204" i="83"/>
  <c r="AC204" i="83"/>
  <c r="AB204" i="83"/>
  <c r="AA204" i="83"/>
  <c r="Z204" i="83"/>
  <c r="AD203" i="83"/>
  <c r="AC203" i="83"/>
  <c r="AB203" i="83"/>
  <c r="AA203" i="83"/>
  <c r="Z203" i="83"/>
  <c r="AD202" i="83"/>
  <c r="AC202" i="83"/>
  <c r="AB202" i="83"/>
  <c r="AA202" i="83"/>
  <c r="Z202" i="83"/>
  <c r="AD201" i="83"/>
  <c r="AC201" i="83"/>
  <c r="AB201" i="83"/>
  <c r="AA201" i="83"/>
  <c r="Z201" i="83"/>
  <c r="AD200" i="83"/>
  <c r="AC200" i="83"/>
  <c r="AB200" i="83"/>
  <c r="AA200" i="83"/>
  <c r="Z200" i="83"/>
  <c r="AD199" i="83"/>
  <c r="AC199" i="83"/>
  <c r="AB199" i="83"/>
  <c r="AA199" i="83"/>
  <c r="Z199" i="83"/>
  <c r="AD198" i="83"/>
  <c r="AC198" i="83"/>
  <c r="AA198" i="83"/>
  <c r="Z198" i="83"/>
  <c r="AD197" i="83"/>
  <c r="AC197" i="83"/>
  <c r="AB197" i="83"/>
  <c r="AA197" i="83"/>
  <c r="Z197" i="83"/>
  <c r="AD196" i="83"/>
  <c r="AC196" i="83"/>
  <c r="AB196" i="83"/>
  <c r="AA196" i="83"/>
  <c r="Z196" i="83"/>
  <c r="AD195" i="83"/>
  <c r="AC195" i="83"/>
  <c r="AB195" i="83"/>
  <c r="AA195" i="83"/>
  <c r="Z195" i="83"/>
  <c r="AD194" i="83"/>
  <c r="AC194" i="83"/>
  <c r="AB194" i="83"/>
  <c r="AA194" i="83"/>
  <c r="Z194" i="83"/>
  <c r="AD193" i="83"/>
  <c r="AC193" i="83"/>
  <c r="AB193" i="83"/>
  <c r="AA193" i="83"/>
  <c r="Z193" i="83"/>
  <c r="AD192" i="83"/>
  <c r="AC192" i="83"/>
  <c r="AB192" i="83"/>
  <c r="AA192" i="83"/>
  <c r="Z192" i="83"/>
  <c r="AD191" i="83"/>
  <c r="AC191" i="83"/>
  <c r="AB191" i="83"/>
  <c r="AA191" i="83"/>
  <c r="Z191" i="83"/>
  <c r="AD190" i="83"/>
  <c r="AC190" i="83"/>
  <c r="AB190" i="83"/>
  <c r="AA190" i="83"/>
  <c r="Z190" i="83"/>
  <c r="AD189" i="83"/>
  <c r="AC189" i="83"/>
  <c r="AB189" i="83"/>
  <c r="AA189" i="83"/>
  <c r="Z189" i="83"/>
  <c r="AD188" i="83"/>
  <c r="AC188" i="83"/>
  <c r="AB188" i="83"/>
  <c r="AA188" i="83"/>
  <c r="Z188" i="83"/>
  <c r="AD187" i="83"/>
  <c r="AC187" i="83"/>
  <c r="AB187" i="83"/>
  <c r="AA187" i="83"/>
  <c r="Z187" i="83"/>
  <c r="AD186" i="83"/>
  <c r="AC186" i="83"/>
  <c r="AB186" i="83"/>
  <c r="AA186" i="83"/>
  <c r="Z186" i="83"/>
  <c r="AD185" i="83"/>
  <c r="AC185" i="83"/>
  <c r="AB185" i="83"/>
  <c r="AA185" i="83"/>
  <c r="Z185" i="83"/>
  <c r="AD184" i="83"/>
  <c r="AC184" i="83"/>
  <c r="AB184" i="83"/>
  <c r="AA184" i="83"/>
  <c r="Z184" i="83"/>
  <c r="AH116" i="83"/>
  <c r="AR144" i="83"/>
  <c r="AR338" i="83" s="1"/>
  <c r="AQ144" i="83"/>
  <c r="AP144" i="83"/>
  <c r="AO144" i="83"/>
  <c r="AN144" i="83"/>
  <c r="AM144" i="83"/>
  <c r="S118" i="83"/>
  <c r="S119" i="83"/>
  <c r="S120" i="83"/>
  <c r="S121" i="83"/>
  <c r="S122" i="83"/>
  <c r="S123" i="83"/>
  <c r="S124" i="83"/>
  <c r="S125" i="83"/>
  <c r="S126" i="83"/>
  <c r="S127" i="83"/>
  <c r="S128" i="83"/>
  <c r="S129" i="83"/>
  <c r="S130" i="83"/>
  <c r="S131" i="83"/>
  <c r="S132" i="83"/>
  <c r="S133" i="83"/>
  <c r="S134" i="83"/>
  <c r="S135" i="83"/>
  <c r="S136" i="83"/>
  <c r="S137" i="83"/>
  <c r="S138" i="83"/>
  <c r="S117" i="83"/>
  <c r="H140" i="83"/>
  <c r="G140" i="83"/>
  <c r="G243" i="83" s="1"/>
  <c r="F140" i="83"/>
  <c r="F243" i="83" s="1"/>
  <c r="E140" i="83"/>
  <c r="E243" i="83" s="1"/>
  <c r="D140" i="83"/>
  <c r="H138" i="83"/>
  <c r="H241" i="83" s="1"/>
  <c r="G138" i="83"/>
  <c r="F138" i="83"/>
  <c r="E138" i="83"/>
  <c r="D138" i="83"/>
  <c r="D241" i="83" s="1"/>
  <c r="H137" i="83"/>
  <c r="H240" i="83" s="1"/>
  <c r="G137" i="83"/>
  <c r="G240" i="83" s="1"/>
  <c r="F137" i="83"/>
  <c r="E137" i="83"/>
  <c r="E240" i="83" s="1"/>
  <c r="D137" i="83"/>
  <c r="D240" i="83" s="1"/>
  <c r="H136" i="83"/>
  <c r="H239" i="83" s="1"/>
  <c r="G136" i="83"/>
  <c r="F136" i="83"/>
  <c r="F239" i="83" s="1"/>
  <c r="E136" i="83"/>
  <c r="D136" i="83"/>
  <c r="H135" i="83"/>
  <c r="H238" i="83" s="1"/>
  <c r="G135" i="83"/>
  <c r="F135" i="83"/>
  <c r="E135" i="83"/>
  <c r="D135" i="83"/>
  <c r="H134" i="83"/>
  <c r="H237" i="83" s="1"/>
  <c r="G134" i="83"/>
  <c r="F134" i="83"/>
  <c r="E134" i="83"/>
  <c r="E237" i="83" s="1"/>
  <c r="D134" i="83"/>
  <c r="D237" i="83" s="1"/>
  <c r="H133" i="83"/>
  <c r="H236" i="83" s="1"/>
  <c r="G133" i="83"/>
  <c r="F133" i="83"/>
  <c r="E133" i="83"/>
  <c r="E236" i="83" s="1"/>
  <c r="D133" i="83"/>
  <c r="D236" i="83" s="1"/>
  <c r="H132" i="83"/>
  <c r="H235" i="83" s="1"/>
  <c r="G132" i="83"/>
  <c r="G235" i="83" s="1"/>
  <c r="F132" i="83"/>
  <c r="F235" i="83" s="1"/>
  <c r="E132" i="83"/>
  <c r="E235" i="83" s="1"/>
  <c r="D132" i="83"/>
  <c r="D235" i="83" s="1"/>
  <c r="H131" i="83"/>
  <c r="H234" i="83" s="1"/>
  <c r="G131" i="83"/>
  <c r="E131" i="83"/>
  <c r="E234" i="83" s="1"/>
  <c r="D131" i="83"/>
  <c r="D234" i="83" s="1"/>
  <c r="H130" i="83"/>
  <c r="H233" i="83" s="1"/>
  <c r="G130" i="83"/>
  <c r="G233" i="83" s="1"/>
  <c r="F130" i="83"/>
  <c r="E130" i="83"/>
  <c r="D130" i="83"/>
  <c r="D233" i="83" s="1"/>
  <c r="H129" i="83"/>
  <c r="H232" i="83" s="1"/>
  <c r="G129" i="83"/>
  <c r="F129" i="83"/>
  <c r="E129" i="83"/>
  <c r="E232" i="83" s="1"/>
  <c r="D129" i="83"/>
  <c r="D232" i="83" s="1"/>
  <c r="H128" i="83"/>
  <c r="H231" i="83" s="1"/>
  <c r="G128" i="83"/>
  <c r="G231" i="83" s="1"/>
  <c r="F128" i="83"/>
  <c r="F231" i="83" s="1"/>
  <c r="E128" i="83"/>
  <c r="E231" i="83" s="1"/>
  <c r="D128" i="83"/>
  <c r="H127" i="83"/>
  <c r="H230" i="83" s="1"/>
  <c r="G127" i="83"/>
  <c r="F127" i="83"/>
  <c r="E127" i="83"/>
  <c r="E230" i="83" s="1"/>
  <c r="D127" i="83"/>
  <c r="D230" i="83" s="1"/>
  <c r="H126" i="83"/>
  <c r="H229" i="83" s="1"/>
  <c r="G126" i="83"/>
  <c r="F126" i="83"/>
  <c r="E126" i="83"/>
  <c r="D126" i="83"/>
  <c r="D229" i="83" s="1"/>
  <c r="H125" i="83"/>
  <c r="H228" i="83" s="1"/>
  <c r="G125" i="83"/>
  <c r="F125" i="83"/>
  <c r="E125" i="83"/>
  <c r="E228" i="83" s="1"/>
  <c r="D125" i="83"/>
  <c r="D228" i="83" s="1"/>
  <c r="H124" i="83"/>
  <c r="H227" i="83" s="1"/>
  <c r="G124" i="83"/>
  <c r="F124" i="83"/>
  <c r="F227" i="83" s="1"/>
  <c r="E124" i="83"/>
  <c r="D124" i="83"/>
  <c r="D227" i="83" s="1"/>
  <c r="H123" i="83"/>
  <c r="H226" i="83" s="1"/>
  <c r="G123" i="83"/>
  <c r="F123" i="83"/>
  <c r="F226" i="83" s="1"/>
  <c r="E123" i="83"/>
  <c r="E226" i="83" s="1"/>
  <c r="D123" i="83"/>
  <c r="H122" i="83"/>
  <c r="H225" i="83" s="1"/>
  <c r="G122" i="83"/>
  <c r="F122" i="83"/>
  <c r="E122" i="83"/>
  <c r="D122" i="83"/>
  <c r="D225" i="83" s="1"/>
  <c r="H121" i="83"/>
  <c r="H224" i="83" s="1"/>
  <c r="G121" i="83"/>
  <c r="G224" i="83" s="1"/>
  <c r="F121" i="83"/>
  <c r="E121" i="83"/>
  <c r="E224" i="83" s="1"/>
  <c r="D121" i="83"/>
  <c r="H120" i="83"/>
  <c r="H223" i="83" s="1"/>
  <c r="G120" i="83"/>
  <c r="F120" i="83"/>
  <c r="F223" i="83" s="1"/>
  <c r="E120" i="83"/>
  <c r="E223" i="83" s="1"/>
  <c r="D120" i="83"/>
  <c r="D223" i="83" s="1"/>
  <c r="H119" i="83"/>
  <c r="H222" i="83" s="1"/>
  <c r="G119" i="83"/>
  <c r="F119" i="83"/>
  <c r="F222" i="83" s="1"/>
  <c r="E119" i="83"/>
  <c r="D119" i="83"/>
  <c r="H118" i="83"/>
  <c r="H221" i="83" s="1"/>
  <c r="G118" i="83"/>
  <c r="F118" i="83"/>
  <c r="E118" i="83"/>
  <c r="E221" i="83" s="1"/>
  <c r="D118" i="83"/>
  <c r="D221" i="83" s="1"/>
  <c r="H117" i="83"/>
  <c r="H220" i="83" s="1"/>
  <c r="G117" i="83"/>
  <c r="G220" i="83" s="1"/>
  <c r="F117" i="83"/>
  <c r="E117" i="83"/>
  <c r="E220" i="83" s="1"/>
  <c r="D117" i="83"/>
  <c r="D220" i="83" s="1"/>
  <c r="I114" i="83"/>
  <c r="S114" i="83"/>
  <c r="I7" i="83"/>
  <c r="AD100" i="83"/>
  <c r="AC100" i="83"/>
  <c r="AB100" i="83"/>
  <c r="AA100" i="83"/>
  <c r="Z100" i="83"/>
  <c r="AD98" i="83"/>
  <c r="AC98" i="83"/>
  <c r="AB98" i="83"/>
  <c r="AA98" i="83"/>
  <c r="Z98" i="83"/>
  <c r="AD97" i="83"/>
  <c r="AC97" i="83"/>
  <c r="AB97" i="83"/>
  <c r="AA97" i="83"/>
  <c r="Z97" i="83"/>
  <c r="AD96" i="83"/>
  <c r="AC96" i="83"/>
  <c r="AB96" i="83"/>
  <c r="AA96" i="83"/>
  <c r="Z96" i="83"/>
  <c r="AD95" i="83"/>
  <c r="AC95" i="83"/>
  <c r="AB95" i="83"/>
  <c r="AA95" i="83"/>
  <c r="Z95" i="83"/>
  <c r="AD94" i="83"/>
  <c r="AC94" i="83"/>
  <c r="AB94" i="83"/>
  <c r="AA94" i="83"/>
  <c r="Z94" i="83"/>
  <c r="AD93" i="83"/>
  <c r="AC93" i="83"/>
  <c r="AB93" i="83"/>
  <c r="AA93" i="83"/>
  <c r="Z93" i="83"/>
  <c r="AD92" i="83"/>
  <c r="AC92" i="83"/>
  <c r="AB92" i="83"/>
  <c r="AA92" i="83"/>
  <c r="Z92" i="83"/>
  <c r="AD91" i="83"/>
  <c r="AC91" i="83"/>
  <c r="AA91" i="83"/>
  <c r="Z91" i="83"/>
  <c r="AD90" i="83"/>
  <c r="AC90" i="83"/>
  <c r="AB90" i="83"/>
  <c r="AA90" i="83"/>
  <c r="Z90" i="83"/>
  <c r="AD89" i="83"/>
  <c r="AC89" i="83"/>
  <c r="AB89" i="83"/>
  <c r="AA89" i="83"/>
  <c r="Z89" i="83"/>
  <c r="AD88" i="83"/>
  <c r="AC88" i="83"/>
  <c r="AB88" i="83"/>
  <c r="AA88" i="83"/>
  <c r="Z88" i="83"/>
  <c r="AD87" i="83"/>
  <c r="AC87" i="83"/>
  <c r="AB87" i="83"/>
  <c r="AA87" i="83"/>
  <c r="Z87" i="83"/>
  <c r="AD86" i="83"/>
  <c r="AC86" i="83"/>
  <c r="AB86" i="83"/>
  <c r="AA86" i="83"/>
  <c r="Z86" i="83"/>
  <c r="AD85" i="83"/>
  <c r="AC85" i="83"/>
  <c r="AB85" i="83"/>
  <c r="AA85" i="83"/>
  <c r="Z85" i="83"/>
  <c r="AD84" i="83"/>
  <c r="AC84" i="83"/>
  <c r="AB84" i="83"/>
  <c r="AA84" i="83"/>
  <c r="Z84" i="83"/>
  <c r="AD83" i="83"/>
  <c r="AC83" i="83"/>
  <c r="AB83" i="83"/>
  <c r="AA83" i="83"/>
  <c r="Z83" i="83"/>
  <c r="AD82" i="83"/>
  <c r="AC82" i="83"/>
  <c r="AB82" i="83"/>
  <c r="AA82" i="83"/>
  <c r="Z82" i="83"/>
  <c r="AD81" i="83"/>
  <c r="AC81" i="83"/>
  <c r="AB81" i="83"/>
  <c r="AA81" i="83"/>
  <c r="Z81" i="83"/>
  <c r="AD80" i="83"/>
  <c r="AC80" i="83"/>
  <c r="AB80" i="83"/>
  <c r="AA80" i="83"/>
  <c r="Z80" i="83"/>
  <c r="AD79" i="83"/>
  <c r="AC79" i="83"/>
  <c r="AB79" i="83"/>
  <c r="AA79" i="83"/>
  <c r="Z79" i="83"/>
  <c r="AD78" i="83"/>
  <c r="AC78" i="83"/>
  <c r="AB78" i="83"/>
  <c r="AA78" i="83"/>
  <c r="Z78" i="83"/>
  <c r="AD77" i="83"/>
  <c r="AC77" i="83"/>
  <c r="AB77" i="83"/>
  <c r="AA77" i="83"/>
  <c r="Z77" i="83"/>
  <c r="Y2" i="83"/>
  <c r="AH9" i="83"/>
  <c r="Z1" i="69"/>
  <c r="AR37" i="83"/>
  <c r="AQ37" i="83"/>
  <c r="AP37" i="83"/>
  <c r="AO37" i="83"/>
  <c r="AN37" i="83"/>
  <c r="AM37" i="83"/>
  <c r="S7" i="83"/>
  <c r="Z1" i="67"/>
  <c r="B5" i="67" s="1"/>
  <c r="BN37" i="69"/>
  <c r="BO37" i="69"/>
  <c r="BP37" i="69"/>
  <c r="BQ37" i="69"/>
  <c r="BM37" i="69"/>
  <c r="BI37" i="69"/>
  <c r="BJ37" i="69"/>
  <c r="BK37" i="69"/>
  <c r="BL37" i="69"/>
  <c r="BH37" i="69"/>
  <c r="BD37" i="69"/>
  <c r="BE37" i="69"/>
  <c r="BF37" i="69"/>
  <c r="BG37" i="69"/>
  <c r="BC37" i="69"/>
  <c r="AY37" i="69"/>
  <c r="AZ37" i="69"/>
  <c r="BA37" i="69"/>
  <c r="BB37" i="69"/>
  <c r="AX37" i="69"/>
  <c r="AT37" i="69"/>
  <c r="AU37" i="69"/>
  <c r="AV37" i="69"/>
  <c r="AW37" i="69"/>
  <c r="AS37" i="69"/>
  <c r="AR37" i="69"/>
  <c r="AN37" i="69"/>
  <c r="AO37" i="69"/>
  <c r="AP37" i="69"/>
  <c r="AQ37" i="69"/>
  <c r="AM37" i="69"/>
  <c r="AH9" i="69"/>
  <c r="S7" i="69"/>
  <c r="I7" i="69"/>
  <c r="AL5" i="69" s="1"/>
  <c r="AR37" i="68"/>
  <c r="AQ37" i="68"/>
  <c r="AP37" i="68"/>
  <c r="AO37" i="68"/>
  <c r="AN37" i="68"/>
  <c r="AM37" i="68"/>
  <c r="AH9" i="68"/>
  <c r="Y2" i="68"/>
  <c r="Z1" i="68"/>
  <c r="B111" i="68" s="1"/>
  <c r="AO33" i="68"/>
  <c r="AN33" i="68"/>
  <c r="AM33" i="68"/>
  <c r="AL33" i="68"/>
  <c r="AO31" i="68"/>
  <c r="AN31" i="68"/>
  <c r="AM31" i="68"/>
  <c r="AL31" i="68"/>
  <c r="AO30" i="68"/>
  <c r="AN30" i="68"/>
  <c r="AM30" i="68"/>
  <c r="AL30" i="68"/>
  <c r="AO29" i="68"/>
  <c r="AN29" i="68"/>
  <c r="AM29" i="68"/>
  <c r="AL29" i="68"/>
  <c r="AO28" i="68"/>
  <c r="AN28" i="68"/>
  <c r="AM28" i="68"/>
  <c r="AL28" i="68"/>
  <c r="AO27" i="68"/>
  <c r="AN27" i="68"/>
  <c r="AM27" i="68"/>
  <c r="AL27" i="68"/>
  <c r="AO26" i="68"/>
  <c r="AN26" i="68"/>
  <c r="AM26" i="68"/>
  <c r="AL26" i="68"/>
  <c r="AO25" i="68"/>
  <c r="AN25" i="68"/>
  <c r="AM25" i="68"/>
  <c r="AL25" i="68"/>
  <c r="AO24" i="68"/>
  <c r="AN24" i="68"/>
  <c r="AM24" i="68"/>
  <c r="AL24" i="68"/>
  <c r="AO23" i="68"/>
  <c r="AN23" i="68"/>
  <c r="AM23" i="68"/>
  <c r="AL23" i="68"/>
  <c r="AO22" i="68"/>
  <c r="AN22" i="68"/>
  <c r="AM22" i="68"/>
  <c r="AL22" i="68"/>
  <c r="AO21" i="68"/>
  <c r="AN21" i="68"/>
  <c r="AM21" i="68"/>
  <c r="AL21" i="68"/>
  <c r="AO20" i="68"/>
  <c r="AN20" i="68"/>
  <c r="AM20" i="68"/>
  <c r="AL20" i="68"/>
  <c r="AO19" i="68"/>
  <c r="AN19" i="68"/>
  <c r="AM19" i="68"/>
  <c r="AL19" i="68"/>
  <c r="AO18" i="68"/>
  <c r="AN18" i="68"/>
  <c r="AM18" i="68"/>
  <c r="AL18" i="68"/>
  <c r="AO17" i="68"/>
  <c r="AN17" i="68"/>
  <c r="AM17" i="68"/>
  <c r="AL17" i="68"/>
  <c r="AO16" i="68"/>
  <c r="AN16" i="68"/>
  <c r="AM16" i="68"/>
  <c r="AL16" i="68"/>
  <c r="AO15" i="68"/>
  <c r="AN15" i="68"/>
  <c r="AM15" i="68"/>
  <c r="AL15" i="68"/>
  <c r="AO14" i="68"/>
  <c r="AN14" i="68"/>
  <c r="AM14" i="68"/>
  <c r="AL14" i="68"/>
  <c r="AO13" i="68"/>
  <c r="AN13" i="68"/>
  <c r="AM13" i="68"/>
  <c r="AL13" i="68"/>
  <c r="AO12" i="68"/>
  <c r="AN12" i="68"/>
  <c r="AM12" i="68"/>
  <c r="AL12" i="68"/>
  <c r="AO11" i="68"/>
  <c r="AN11" i="68"/>
  <c r="AM11" i="68"/>
  <c r="AL11" i="68"/>
  <c r="AO10" i="68"/>
  <c r="AN10" i="68"/>
  <c r="AM10" i="68"/>
  <c r="AL10" i="68"/>
  <c r="S7" i="68"/>
  <c r="I7" i="68"/>
  <c r="AJ171" i="67"/>
  <c r="AI171" i="67"/>
  <c r="AH171" i="67"/>
  <c r="AG171" i="67"/>
  <c r="AF171" i="67"/>
  <c r="AJ169" i="67"/>
  <c r="AI169" i="67"/>
  <c r="AC169" i="67" s="1"/>
  <c r="AH169" i="67"/>
  <c r="AB169" i="67" s="1"/>
  <c r="AG169" i="67"/>
  <c r="AA169" i="67" s="1"/>
  <c r="AF169" i="67"/>
  <c r="Z169" i="67" s="1"/>
  <c r="AJ168" i="67"/>
  <c r="AI168" i="67"/>
  <c r="AH168" i="67"/>
  <c r="AB168" i="67" s="1"/>
  <c r="AG168" i="67"/>
  <c r="AA168" i="67" s="1"/>
  <c r="AF168" i="67"/>
  <c r="Z168" i="67" s="1"/>
  <c r="AJ167" i="67"/>
  <c r="AI167" i="67"/>
  <c r="AH167" i="67"/>
  <c r="AG167" i="67"/>
  <c r="AF167" i="67"/>
  <c r="AJ166" i="67"/>
  <c r="AD166" i="67" s="1"/>
  <c r="AI166" i="67"/>
  <c r="AH166" i="67"/>
  <c r="AG166" i="67"/>
  <c r="AF166" i="67"/>
  <c r="AJ165" i="67"/>
  <c r="AI165" i="67"/>
  <c r="AH165" i="67"/>
  <c r="AG165" i="67"/>
  <c r="AA165" i="67" s="1"/>
  <c r="AF165" i="67"/>
  <c r="Z165" i="67" s="1"/>
  <c r="AJ164" i="67"/>
  <c r="AD164" i="67" s="1"/>
  <c r="AI164" i="67"/>
  <c r="AH164" i="67"/>
  <c r="AG164" i="67"/>
  <c r="AF164" i="67"/>
  <c r="AJ163" i="67"/>
  <c r="AI163" i="67"/>
  <c r="AH163" i="67"/>
  <c r="AG163" i="67"/>
  <c r="AF163" i="67"/>
  <c r="AJ162" i="67"/>
  <c r="AD162" i="67" s="1"/>
  <c r="AI162" i="67"/>
  <c r="AC162" i="67" s="1"/>
  <c r="AG162" i="67"/>
  <c r="AA162" i="67" s="1"/>
  <c r="AF162" i="67"/>
  <c r="Z162" i="67" s="1"/>
  <c r="AJ161" i="67"/>
  <c r="AI161" i="67"/>
  <c r="AH161" i="67"/>
  <c r="AG161" i="67"/>
  <c r="AA161" i="67" s="1"/>
  <c r="AF161" i="67"/>
  <c r="Z161" i="67" s="1"/>
  <c r="AJ160" i="67"/>
  <c r="AI160" i="67"/>
  <c r="AH160" i="67"/>
  <c r="AG160" i="67"/>
  <c r="AF160" i="67"/>
  <c r="AJ159" i="67"/>
  <c r="AI159" i="67"/>
  <c r="AH159" i="67"/>
  <c r="AG159" i="67"/>
  <c r="AF159" i="67"/>
  <c r="AJ158" i="67"/>
  <c r="AI158" i="67"/>
  <c r="AH158" i="67"/>
  <c r="AG158" i="67"/>
  <c r="AF158" i="67"/>
  <c r="AJ157" i="67"/>
  <c r="AI157" i="67"/>
  <c r="AH157" i="67"/>
  <c r="AG157" i="67"/>
  <c r="AF157" i="67"/>
  <c r="AJ156" i="67"/>
  <c r="AI156" i="67"/>
  <c r="AH156" i="67"/>
  <c r="AG156" i="67"/>
  <c r="AF156" i="67"/>
  <c r="AJ155" i="67"/>
  <c r="AI155" i="67"/>
  <c r="AH155" i="67"/>
  <c r="AG155" i="67"/>
  <c r="AF155" i="67"/>
  <c r="AJ154" i="67"/>
  <c r="AD154" i="67" s="1"/>
  <c r="AI154" i="67"/>
  <c r="AC154" i="67" s="1"/>
  <c r="AH154" i="67"/>
  <c r="AB154" i="67" s="1"/>
  <c r="AG154" i="67"/>
  <c r="AA154" i="67" s="1"/>
  <c r="AF154" i="67"/>
  <c r="Z154" i="67" s="1"/>
  <c r="AJ153" i="67"/>
  <c r="AD153" i="67" s="1"/>
  <c r="AI153" i="67"/>
  <c r="AC153" i="67" s="1"/>
  <c r="AH153" i="67"/>
  <c r="AB153" i="67" s="1"/>
  <c r="AG153" i="67"/>
  <c r="AA153" i="67" s="1"/>
  <c r="AF153" i="67"/>
  <c r="Z153" i="67" s="1"/>
  <c r="AJ152" i="67"/>
  <c r="AI152" i="67"/>
  <c r="AH152" i="67"/>
  <c r="AG152" i="67"/>
  <c r="AF152" i="67"/>
  <c r="AJ151" i="67"/>
  <c r="AD151" i="67" s="1"/>
  <c r="AI151" i="67"/>
  <c r="AH151" i="67"/>
  <c r="AG151" i="67"/>
  <c r="AF151" i="67"/>
  <c r="Z151" i="67" s="1"/>
  <c r="AJ150" i="67"/>
  <c r="AI150" i="67"/>
  <c r="AH150" i="67"/>
  <c r="AG150" i="67"/>
  <c r="AF150" i="67"/>
  <c r="AJ149" i="67"/>
  <c r="AD149" i="67" s="1"/>
  <c r="AI149" i="67"/>
  <c r="AC149" i="67" s="1"/>
  <c r="AH149" i="67"/>
  <c r="AB149" i="67" s="1"/>
  <c r="AG149" i="67"/>
  <c r="AA149" i="67" s="1"/>
  <c r="AF149" i="67"/>
  <c r="Z149" i="67" s="1"/>
  <c r="AJ148" i="67"/>
  <c r="AD148" i="67" s="1"/>
  <c r="AI148" i="67"/>
  <c r="AC148" i="67" s="1"/>
  <c r="AH148" i="67"/>
  <c r="AB148" i="67" s="1"/>
  <c r="AG148" i="67"/>
  <c r="AA148" i="67" s="1"/>
  <c r="AF148" i="67"/>
  <c r="Z148" i="67" s="1"/>
  <c r="AD171" i="67"/>
  <c r="AC171" i="67"/>
  <c r="AB171" i="67"/>
  <c r="AA171" i="67"/>
  <c r="Z171" i="67"/>
  <c r="BW39" i="67"/>
  <c r="BV39" i="67"/>
  <c r="BU39" i="67"/>
  <c r="BT39" i="67"/>
  <c r="BS39" i="67"/>
  <c r="BQ39" i="67"/>
  <c r="BP39" i="67"/>
  <c r="BO39" i="67"/>
  <c r="BN39" i="67"/>
  <c r="BM39" i="67"/>
  <c r="BL39" i="67"/>
  <c r="BK39" i="67"/>
  <c r="BJ39" i="67"/>
  <c r="BI39" i="67"/>
  <c r="BH39" i="67"/>
  <c r="BG39" i="67"/>
  <c r="BF39" i="67"/>
  <c r="BE39" i="67"/>
  <c r="BD39" i="67"/>
  <c r="BC39" i="67"/>
  <c r="BB39" i="67"/>
  <c r="BA39" i="67"/>
  <c r="AZ39" i="67"/>
  <c r="AY39" i="67"/>
  <c r="AX39" i="67"/>
  <c r="AV39" i="67"/>
  <c r="AU39" i="67"/>
  <c r="AT39" i="67"/>
  <c r="AS39" i="67"/>
  <c r="AR39" i="67"/>
  <c r="AQ39" i="67"/>
  <c r="AP39" i="67"/>
  <c r="AO39" i="67"/>
  <c r="AN39" i="67"/>
  <c r="AM39" i="67"/>
  <c r="AY37" i="67"/>
  <c r="AZ37" i="67"/>
  <c r="BA37" i="67"/>
  <c r="BB37" i="67"/>
  <c r="AX37" i="67"/>
  <c r="AT37" i="67"/>
  <c r="AU37" i="67"/>
  <c r="AV37" i="67"/>
  <c r="AW37" i="67"/>
  <c r="AS37" i="67"/>
  <c r="BC37" i="67"/>
  <c r="AD134" i="67"/>
  <c r="AD135" i="67"/>
  <c r="AC135" i="67"/>
  <c r="AB135" i="67"/>
  <c r="AA135" i="67"/>
  <c r="Z135" i="67"/>
  <c r="AD133" i="67"/>
  <c r="AC133" i="67"/>
  <c r="AB133" i="67"/>
  <c r="AA133" i="67"/>
  <c r="Z133" i="67"/>
  <c r="AD132" i="67"/>
  <c r="AC132" i="67"/>
  <c r="AB132" i="67"/>
  <c r="AA132" i="67"/>
  <c r="Z132" i="67"/>
  <c r="AD131" i="67"/>
  <c r="AC131" i="67"/>
  <c r="AB131" i="67"/>
  <c r="AA131" i="67"/>
  <c r="Z131" i="67"/>
  <c r="AD130" i="67"/>
  <c r="AC130" i="67"/>
  <c r="AB130" i="67"/>
  <c r="AA130" i="67"/>
  <c r="Z130" i="67"/>
  <c r="AD129" i="67"/>
  <c r="AC129" i="67"/>
  <c r="AB129" i="67"/>
  <c r="AA129" i="67"/>
  <c r="Z129" i="67"/>
  <c r="AD128" i="67"/>
  <c r="AC128" i="67"/>
  <c r="AB128" i="67"/>
  <c r="AA128" i="67"/>
  <c r="Z128" i="67"/>
  <c r="AD127" i="67"/>
  <c r="AC127" i="67"/>
  <c r="AB127" i="67"/>
  <c r="AA127" i="67"/>
  <c r="Z127" i="67"/>
  <c r="AD126" i="67"/>
  <c r="AC126" i="67"/>
  <c r="AA126" i="67"/>
  <c r="Z126" i="67"/>
  <c r="AD125" i="67"/>
  <c r="AC125" i="67"/>
  <c r="AB125" i="67"/>
  <c r="AA125" i="67"/>
  <c r="Z125" i="67"/>
  <c r="AD124" i="67"/>
  <c r="AC124" i="67"/>
  <c r="AB124" i="67"/>
  <c r="AA124" i="67"/>
  <c r="Z124" i="67"/>
  <c r="AD123" i="67"/>
  <c r="AC123" i="67"/>
  <c r="AB123" i="67"/>
  <c r="AA123" i="67"/>
  <c r="Z123" i="67"/>
  <c r="AD122" i="67"/>
  <c r="AC122" i="67"/>
  <c r="AB122" i="67"/>
  <c r="AA122" i="67"/>
  <c r="Z122" i="67"/>
  <c r="AD121" i="67"/>
  <c r="AC121" i="67"/>
  <c r="AB121" i="67"/>
  <c r="AA121" i="67"/>
  <c r="Z121" i="67"/>
  <c r="AD120" i="67"/>
  <c r="AC120" i="67"/>
  <c r="AB120" i="67"/>
  <c r="AA120" i="67"/>
  <c r="Z120" i="67"/>
  <c r="AD119" i="67"/>
  <c r="AC119" i="67"/>
  <c r="AB119" i="67"/>
  <c r="AA119" i="67"/>
  <c r="Z119" i="67"/>
  <c r="AD118" i="67"/>
  <c r="AC118" i="67"/>
  <c r="AB118" i="67"/>
  <c r="AA118" i="67"/>
  <c r="Z118" i="67"/>
  <c r="AD117" i="67"/>
  <c r="AC117" i="67"/>
  <c r="AB117" i="67"/>
  <c r="AA117" i="67"/>
  <c r="Z117" i="67"/>
  <c r="AD116" i="67"/>
  <c r="AC116" i="67"/>
  <c r="AB116" i="67"/>
  <c r="AA116" i="67"/>
  <c r="Z116" i="67"/>
  <c r="AD115" i="67"/>
  <c r="AC115" i="67"/>
  <c r="AB115" i="67"/>
  <c r="AA115" i="67"/>
  <c r="Z115" i="67"/>
  <c r="AD114" i="67"/>
  <c r="AC114" i="67"/>
  <c r="AB114" i="67"/>
  <c r="AA114" i="67"/>
  <c r="Z114" i="67"/>
  <c r="AD113" i="67"/>
  <c r="AC113" i="67"/>
  <c r="AB113" i="67"/>
  <c r="AA113" i="67"/>
  <c r="Z113" i="67"/>
  <c r="AD112" i="67"/>
  <c r="AC112" i="67"/>
  <c r="AB112" i="67"/>
  <c r="AA112" i="67"/>
  <c r="Z112" i="67"/>
  <c r="G201" i="83" l="1"/>
  <c r="AE118" i="83"/>
  <c r="G221" i="83"/>
  <c r="AE126" i="83"/>
  <c r="G229" i="83"/>
  <c r="AE131" i="83"/>
  <c r="G234" i="83"/>
  <c r="AE123" i="83"/>
  <c r="G226" i="83"/>
  <c r="AD133" i="83"/>
  <c r="F236" i="83"/>
  <c r="AB135" i="83"/>
  <c r="D238" i="83"/>
  <c r="AE136" i="83"/>
  <c r="G239" i="83"/>
  <c r="AC138" i="83"/>
  <c r="E241" i="83"/>
  <c r="AF140" i="83"/>
  <c r="H243" i="83"/>
  <c r="AD138" i="83"/>
  <c r="F241" i="83"/>
  <c r="AB119" i="83"/>
  <c r="D222" i="83"/>
  <c r="AE133" i="83"/>
  <c r="G236" i="83"/>
  <c r="AC119" i="83"/>
  <c r="E222" i="83"/>
  <c r="AD135" i="83"/>
  <c r="F238" i="83"/>
  <c r="AB121" i="83"/>
  <c r="D224" i="83"/>
  <c r="AE122" i="83"/>
  <c r="G225" i="83"/>
  <c r="AC124" i="83"/>
  <c r="E227" i="83"/>
  <c r="AD127" i="83"/>
  <c r="F230" i="83"/>
  <c r="AE135" i="83"/>
  <c r="G238" i="83"/>
  <c r="AE120" i="83"/>
  <c r="G223" i="83"/>
  <c r="AC135" i="83"/>
  <c r="E238" i="83"/>
  <c r="AE125" i="83"/>
  <c r="G228" i="83"/>
  <c r="AD130" i="83"/>
  <c r="F233" i="83"/>
  <c r="AE119" i="83"/>
  <c r="G222" i="83"/>
  <c r="AE127" i="83"/>
  <c r="G230" i="83"/>
  <c r="AD137" i="83"/>
  <c r="F240" i="83"/>
  <c r="AB140" i="83"/>
  <c r="D243" i="83"/>
  <c r="AD117" i="83"/>
  <c r="F220" i="83"/>
  <c r="AD125" i="83"/>
  <c r="F228" i="83"/>
  <c r="AD122" i="83"/>
  <c r="F225" i="83"/>
  <c r="AE138" i="83"/>
  <c r="G241" i="83"/>
  <c r="AD121" i="83"/>
  <c r="F224" i="83"/>
  <c r="AB123" i="83"/>
  <c r="D226" i="83"/>
  <c r="AE124" i="83"/>
  <c r="G227" i="83"/>
  <c r="AC126" i="83"/>
  <c r="E229" i="83"/>
  <c r="AD129" i="83"/>
  <c r="F232" i="83"/>
  <c r="AD134" i="83"/>
  <c r="F237" i="83"/>
  <c r="AB136" i="83"/>
  <c r="D239" i="83"/>
  <c r="AC122" i="83"/>
  <c r="E225" i="83"/>
  <c r="AC130" i="83"/>
  <c r="E233" i="83"/>
  <c r="AD118" i="83"/>
  <c r="F221" i="83"/>
  <c r="AD126" i="83"/>
  <c r="F229" i="83"/>
  <c r="AB128" i="83"/>
  <c r="D231" i="83"/>
  <c r="AE129" i="83"/>
  <c r="G232" i="83"/>
  <c r="AE134" i="83"/>
  <c r="G237" i="83"/>
  <c r="AC136" i="83"/>
  <c r="E239" i="83"/>
  <c r="G185" i="83"/>
  <c r="AR340" i="83"/>
  <c r="AR344" i="83"/>
  <c r="AR331" i="83"/>
  <c r="AO170" i="68"/>
  <c r="AO169" i="68"/>
  <c r="AO163" i="68"/>
  <c r="AO164" i="68"/>
  <c r="AO166" i="68"/>
  <c r="AO149" i="68"/>
  <c r="AO151" i="68"/>
  <c r="AO165" i="68"/>
  <c r="AO168" i="68"/>
  <c r="AO153" i="68"/>
  <c r="AO158" i="68"/>
  <c r="AO157" i="68"/>
  <c r="AO167" i="68"/>
  <c r="AO161" i="68"/>
  <c r="AO156" i="68"/>
  <c r="AO162" i="68"/>
  <c r="AO152" i="68"/>
  <c r="AO159" i="68"/>
  <c r="AO150" i="68"/>
  <c r="AO155" i="68"/>
  <c r="AO147" i="68"/>
  <c r="AO160" i="68"/>
  <c r="AO154" i="68"/>
  <c r="AO148" i="68"/>
  <c r="AR336" i="83"/>
  <c r="AR327" i="83"/>
  <c r="AQ169" i="68"/>
  <c r="AQ170" i="68"/>
  <c r="AQ155" i="68"/>
  <c r="AQ148" i="68"/>
  <c r="AQ166" i="68"/>
  <c r="AQ149" i="68"/>
  <c r="AQ150" i="68"/>
  <c r="AQ160" i="68"/>
  <c r="AQ157" i="68"/>
  <c r="AQ154" i="68"/>
  <c r="AQ162" i="68"/>
  <c r="AQ167" i="68"/>
  <c r="AQ161" i="68"/>
  <c r="AQ163" i="68"/>
  <c r="AQ165" i="68"/>
  <c r="AQ164" i="68"/>
  <c r="AQ151" i="68"/>
  <c r="AQ158" i="68"/>
  <c r="AQ152" i="68"/>
  <c r="AQ168" i="68"/>
  <c r="AQ159" i="68"/>
  <c r="AQ147" i="68"/>
  <c r="AQ153" i="68"/>
  <c r="AQ156" i="68"/>
  <c r="AR348" i="83"/>
  <c r="AR343" i="83"/>
  <c r="AR335" i="83"/>
  <c r="AP164" i="68"/>
  <c r="AP154" i="68"/>
  <c r="AP157" i="68"/>
  <c r="AP163" i="68"/>
  <c r="AP162" i="68"/>
  <c r="AP169" i="68"/>
  <c r="AP152" i="68"/>
  <c r="AP153" i="68"/>
  <c r="AP150" i="68"/>
  <c r="AP148" i="68"/>
  <c r="AP156" i="68"/>
  <c r="AP161" i="68"/>
  <c r="AP158" i="68"/>
  <c r="AP168" i="68"/>
  <c r="AP149" i="68"/>
  <c r="AP165" i="68"/>
  <c r="AP170" i="68"/>
  <c r="AP155" i="68"/>
  <c r="AP167" i="68"/>
  <c r="AP147" i="68"/>
  <c r="AP151" i="68"/>
  <c r="AP159" i="68"/>
  <c r="AP160" i="68"/>
  <c r="AP166" i="68"/>
  <c r="AR334" i="83"/>
  <c r="AR341" i="83"/>
  <c r="AR339" i="83"/>
  <c r="AR342" i="83"/>
  <c r="AR329" i="83"/>
  <c r="AR347" i="83"/>
  <c r="AR333" i="83"/>
  <c r="AR330" i="83"/>
  <c r="AM169" i="68"/>
  <c r="AM160" i="68"/>
  <c r="AM162" i="68"/>
  <c r="AM147" i="68"/>
  <c r="AM150" i="68"/>
  <c r="AM159" i="68"/>
  <c r="AM154" i="68"/>
  <c r="AM165" i="68"/>
  <c r="AM170" i="68"/>
  <c r="AM148" i="68"/>
  <c r="AM158" i="68"/>
  <c r="AM166" i="68"/>
  <c r="AM161" i="68"/>
  <c r="AM163" i="68"/>
  <c r="AM155" i="68"/>
  <c r="AM156" i="68"/>
  <c r="AM164" i="68"/>
  <c r="AM157" i="68"/>
  <c r="AM149" i="68"/>
  <c r="AM151" i="68"/>
  <c r="AM153" i="68"/>
  <c r="AM152" i="68"/>
  <c r="AM168" i="68"/>
  <c r="AM167" i="68"/>
  <c r="AR328" i="83"/>
  <c r="AR337" i="83"/>
  <c r="AR346" i="83"/>
  <c r="AN169" i="68"/>
  <c r="AN170" i="68"/>
  <c r="AN168" i="68"/>
  <c r="AN158" i="68"/>
  <c r="AN157" i="68"/>
  <c r="AN153" i="68"/>
  <c r="AN167" i="68"/>
  <c r="AN147" i="68"/>
  <c r="AN166" i="68"/>
  <c r="AN151" i="68"/>
  <c r="AN165" i="68"/>
  <c r="AN159" i="68"/>
  <c r="AN155" i="68"/>
  <c r="AN156" i="68"/>
  <c r="AN162" i="68"/>
  <c r="AN160" i="68"/>
  <c r="AN164" i="68"/>
  <c r="AN154" i="68"/>
  <c r="AN150" i="68"/>
  <c r="AN148" i="68"/>
  <c r="AN161" i="68"/>
  <c r="AN152" i="68"/>
  <c r="AN163" i="68"/>
  <c r="AN149" i="68"/>
  <c r="AR332" i="83"/>
  <c r="AR345" i="83"/>
  <c r="B216" i="69"/>
  <c r="AP10" i="68"/>
  <c r="I10" i="68" s="1"/>
  <c r="AC149" i="68"/>
  <c r="AC150" i="68"/>
  <c r="T300" i="83"/>
  <c r="T304" i="83"/>
  <c r="T308" i="83"/>
  <c r="T312" i="83"/>
  <c r="T316" i="83"/>
  <c r="T117" i="83"/>
  <c r="T136" i="83"/>
  <c r="T132" i="83"/>
  <c r="T128" i="83"/>
  <c r="T124" i="83"/>
  <c r="T120" i="83"/>
  <c r="T298" i="83"/>
  <c r="T310" i="83"/>
  <c r="T314" i="83"/>
  <c r="T138" i="83"/>
  <c r="T130" i="83"/>
  <c r="T122" i="83"/>
  <c r="T297" i="83"/>
  <c r="T301" i="83"/>
  <c r="T305" i="83"/>
  <c r="T309" i="83"/>
  <c r="T313" i="83"/>
  <c r="T317" i="83"/>
  <c r="T135" i="83"/>
  <c r="T131" i="83"/>
  <c r="T127" i="83"/>
  <c r="T123" i="83"/>
  <c r="T119" i="83"/>
  <c r="T302" i="83"/>
  <c r="T306" i="83"/>
  <c r="T134" i="83"/>
  <c r="T126" i="83"/>
  <c r="T118" i="83"/>
  <c r="T299" i="83"/>
  <c r="T303" i="83"/>
  <c r="T307" i="83"/>
  <c r="T311" i="83"/>
  <c r="T315" i="83"/>
  <c r="T296" i="83"/>
  <c r="T137" i="83"/>
  <c r="T133" i="83"/>
  <c r="T129" i="83"/>
  <c r="T125" i="83"/>
  <c r="T121" i="83"/>
  <c r="AC43" i="83"/>
  <c r="AC175" i="83"/>
  <c r="AC176" i="83"/>
  <c r="AC44" i="83"/>
  <c r="AF118" i="83"/>
  <c r="Z118" i="83"/>
  <c r="AF130" i="83"/>
  <c r="Z130" i="83"/>
  <c r="AF134" i="83"/>
  <c r="AA134" i="83"/>
  <c r="Z134" i="83"/>
  <c r="AF138" i="83"/>
  <c r="Z138" i="83"/>
  <c r="AA138" i="83"/>
  <c r="Z120" i="83"/>
  <c r="Z124" i="83"/>
  <c r="AF128" i="83"/>
  <c r="Z128" i="83"/>
  <c r="AF132" i="83"/>
  <c r="Z132" i="83"/>
  <c r="AF136" i="83"/>
  <c r="Z136" i="83"/>
  <c r="AF117" i="83"/>
  <c r="Z117" i="83"/>
  <c r="AF121" i="83"/>
  <c r="Z121" i="83"/>
  <c r="AF125" i="83"/>
  <c r="AA125" i="83"/>
  <c r="Z125" i="83"/>
  <c r="AF129" i="83"/>
  <c r="AA129" i="83"/>
  <c r="Z129" i="83"/>
  <c r="AA133" i="83"/>
  <c r="Z133" i="83"/>
  <c r="Z137" i="83"/>
  <c r="AF122" i="83"/>
  <c r="Z122" i="83"/>
  <c r="AF126" i="83"/>
  <c r="AA126" i="83"/>
  <c r="Z126" i="83"/>
  <c r="Z119" i="83"/>
  <c r="Z123" i="83"/>
  <c r="Z127" i="83"/>
  <c r="AA131" i="83"/>
  <c r="Z131" i="83"/>
  <c r="AF135" i="83"/>
  <c r="AA135" i="83"/>
  <c r="Z135" i="83"/>
  <c r="AF185" i="83"/>
  <c r="E185" i="83"/>
  <c r="AI186" i="83"/>
  <c r="H186" i="83"/>
  <c r="AG188" i="83"/>
  <c r="F188" i="83"/>
  <c r="AE190" i="83"/>
  <c r="D190" i="83"/>
  <c r="AI190" i="83"/>
  <c r="H190" i="83"/>
  <c r="AG192" i="83"/>
  <c r="F192" i="83"/>
  <c r="AE194" i="83"/>
  <c r="D194" i="83"/>
  <c r="AH195" i="83"/>
  <c r="G195" i="83"/>
  <c r="AF197" i="83"/>
  <c r="E197" i="83"/>
  <c r="AF201" i="83"/>
  <c r="E201" i="83"/>
  <c r="AI202" i="83"/>
  <c r="H202" i="83"/>
  <c r="AG204" i="83"/>
  <c r="F204" i="83"/>
  <c r="D207" i="83"/>
  <c r="AE207" i="83"/>
  <c r="G184" i="83"/>
  <c r="AH184" i="83"/>
  <c r="AF186" i="83"/>
  <c r="E186" i="83"/>
  <c r="G188" i="83"/>
  <c r="AH188" i="83"/>
  <c r="AF190" i="83"/>
  <c r="E190" i="83"/>
  <c r="D191" i="83"/>
  <c r="AE191" i="83"/>
  <c r="G192" i="83"/>
  <c r="AH192" i="83"/>
  <c r="AG193" i="83"/>
  <c r="F193" i="83"/>
  <c r="D195" i="83"/>
  <c r="AE195" i="83"/>
  <c r="G196" i="83"/>
  <c r="AH196" i="83"/>
  <c r="AG197" i="83"/>
  <c r="F197" i="83"/>
  <c r="E198" i="83"/>
  <c r="AF198" i="83"/>
  <c r="AE199" i="83"/>
  <c r="D199" i="83"/>
  <c r="G200" i="83"/>
  <c r="AH200" i="83"/>
  <c r="AG201" i="83"/>
  <c r="F201" i="83"/>
  <c r="E202" i="83"/>
  <c r="AF202" i="83"/>
  <c r="AE203" i="83"/>
  <c r="D203" i="83"/>
  <c r="H203" i="83"/>
  <c r="AI203" i="83"/>
  <c r="AG205" i="83"/>
  <c r="F205" i="83"/>
  <c r="AF207" i="83"/>
  <c r="E207" i="83"/>
  <c r="D184" i="83"/>
  <c r="AE184" i="83"/>
  <c r="H184" i="83"/>
  <c r="AI184" i="83"/>
  <c r="AH185" i="83"/>
  <c r="F186" i="83"/>
  <c r="AG186" i="83"/>
  <c r="AE188" i="83"/>
  <c r="D188" i="83"/>
  <c r="AI188" i="83"/>
  <c r="H188" i="83"/>
  <c r="G189" i="83"/>
  <c r="AH189" i="83"/>
  <c r="AG190" i="83"/>
  <c r="F190" i="83"/>
  <c r="AF191" i="83"/>
  <c r="E191" i="83"/>
  <c r="AE192" i="83"/>
  <c r="D192" i="83"/>
  <c r="H192" i="83"/>
  <c r="AI192" i="83"/>
  <c r="AH193" i="83"/>
  <c r="G193" i="83"/>
  <c r="AG194" i="83"/>
  <c r="F194" i="83"/>
  <c r="AF195" i="83"/>
  <c r="E195" i="83"/>
  <c r="D196" i="83"/>
  <c r="AE196" i="83"/>
  <c r="H196" i="83"/>
  <c r="AI196" i="83"/>
  <c r="AH197" i="83"/>
  <c r="G197" i="83"/>
  <c r="D200" i="83"/>
  <c r="AE200" i="83"/>
  <c r="H200" i="83"/>
  <c r="AI200" i="83"/>
  <c r="AH201" i="83"/>
  <c r="AG202" i="83"/>
  <c r="F202" i="83"/>
  <c r="E203" i="83"/>
  <c r="AF203" i="83"/>
  <c r="D204" i="83"/>
  <c r="AE204" i="83"/>
  <c r="AI204" i="83"/>
  <c r="H204" i="83"/>
  <c r="AH205" i="83"/>
  <c r="G205" i="83"/>
  <c r="AG207" i="83"/>
  <c r="F207" i="83"/>
  <c r="AG184" i="83"/>
  <c r="F184" i="83"/>
  <c r="AE186" i="83"/>
  <c r="D186" i="83"/>
  <c r="AF189" i="83"/>
  <c r="E189" i="83"/>
  <c r="AH191" i="83"/>
  <c r="G191" i="83"/>
  <c r="AF193" i="83"/>
  <c r="E193" i="83"/>
  <c r="AI194" i="83"/>
  <c r="H194" i="83"/>
  <c r="AG196" i="83"/>
  <c r="F196" i="83"/>
  <c r="AE198" i="83"/>
  <c r="D198" i="83"/>
  <c r="AI198" i="83"/>
  <c r="H198" i="83"/>
  <c r="AG200" i="83"/>
  <c r="F200" i="83"/>
  <c r="AE202" i="83"/>
  <c r="D202" i="83"/>
  <c r="AH203" i="83"/>
  <c r="G203" i="83"/>
  <c r="AF205" i="83"/>
  <c r="E205" i="83"/>
  <c r="H207" i="83"/>
  <c r="AI207" i="83"/>
  <c r="F185" i="83"/>
  <c r="AG185" i="83"/>
  <c r="AG189" i="83"/>
  <c r="F189" i="83"/>
  <c r="AI191" i="83"/>
  <c r="H191" i="83"/>
  <c r="AF194" i="83"/>
  <c r="E194" i="83"/>
  <c r="AI195" i="83"/>
  <c r="H195" i="83"/>
  <c r="AH204" i="83"/>
  <c r="G204" i="83"/>
  <c r="AF184" i="83"/>
  <c r="E184" i="83"/>
  <c r="AE185" i="83"/>
  <c r="D185" i="83"/>
  <c r="AI185" i="83"/>
  <c r="H185" i="83"/>
  <c r="AH186" i="83"/>
  <c r="G186" i="83"/>
  <c r="E188" i="83"/>
  <c r="AF188" i="83"/>
  <c r="D189" i="83"/>
  <c r="AE189" i="83"/>
  <c r="H189" i="83"/>
  <c r="AI189" i="83"/>
  <c r="G190" i="83"/>
  <c r="AH190" i="83"/>
  <c r="F191" i="83"/>
  <c r="AG191" i="83"/>
  <c r="E192" i="83"/>
  <c r="AF192" i="83"/>
  <c r="D193" i="83"/>
  <c r="AE193" i="83"/>
  <c r="H193" i="83"/>
  <c r="AI193" i="83"/>
  <c r="G194" i="83"/>
  <c r="AH194" i="83"/>
  <c r="F195" i="83"/>
  <c r="AG195" i="83"/>
  <c r="E196" i="83"/>
  <c r="AF196" i="83"/>
  <c r="D197" i="83"/>
  <c r="AE197" i="83"/>
  <c r="H197" i="83"/>
  <c r="AI197" i="83"/>
  <c r="G198" i="83"/>
  <c r="AH198" i="83"/>
  <c r="E200" i="83"/>
  <c r="AF200" i="83"/>
  <c r="D201" i="83"/>
  <c r="AE201" i="83"/>
  <c r="H201" i="83"/>
  <c r="AI201" i="83"/>
  <c r="G202" i="83"/>
  <c r="AH202" i="83"/>
  <c r="F203" i="83"/>
  <c r="AG203" i="83"/>
  <c r="E204" i="83"/>
  <c r="AF204" i="83"/>
  <c r="D205" i="83"/>
  <c r="AE205" i="83"/>
  <c r="H205" i="83"/>
  <c r="AI205" i="83"/>
  <c r="AH207" i="83"/>
  <c r="G207" i="83"/>
  <c r="E199" i="83"/>
  <c r="AF199" i="83"/>
  <c r="F199" i="83"/>
  <c r="AG199" i="83"/>
  <c r="AH199" i="83"/>
  <c r="G199" i="83"/>
  <c r="H199" i="83"/>
  <c r="AI199" i="83"/>
  <c r="AE187" i="83"/>
  <c r="D187" i="83"/>
  <c r="E187" i="83"/>
  <c r="AF187" i="83"/>
  <c r="AG187" i="83"/>
  <c r="F187" i="83"/>
  <c r="AH187" i="83"/>
  <c r="G187" i="83"/>
  <c r="AI187" i="83"/>
  <c r="H187" i="83"/>
  <c r="B5" i="69"/>
  <c r="B144" i="69"/>
  <c r="B252" i="69"/>
  <c r="B108" i="69"/>
  <c r="B180" i="69"/>
  <c r="AC43" i="68"/>
  <c r="AC44" i="68"/>
  <c r="AP11" i="68"/>
  <c r="I11" i="68" s="1"/>
  <c r="AP12" i="68"/>
  <c r="I12" i="68" s="1"/>
  <c r="AP13" i="68"/>
  <c r="I13" i="68" s="1"/>
  <c r="AP14" i="68"/>
  <c r="I14" i="68" s="1"/>
  <c r="AP15" i="68"/>
  <c r="I15" i="68" s="1"/>
  <c r="AP16" i="68"/>
  <c r="I16" i="68" s="1"/>
  <c r="AP17" i="68"/>
  <c r="I17" i="68" s="1"/>
  <c r="AP18" i="68"/>
  <c r="I18" i="68" s="1"/>
  <c r="AP19" i="68"/>
  <c r="I19" i="68" s="1"/>
  <c r="AP20" i="68"/>
  <c r="I20" i="68" s="1"/>
  <c r="AP21" i="68"/>
  <c r="I21" i="68" s="1"/>
  <c r="AP22" i="68"/>
  <c r="I22" i="68" s="1"/>
  <c r="AP23" i="68"/>
  <c r="I23" i="68" s="1"/>
  <c r="AP24" i="68"/>
  <c r="I24" i="68" s="1"/>
  <c r="AP25" i="68"/>
  <c r="I25" i="68" s="1"/>
  <c r="AP26" i="68"/>
  <c r="I26" i="68" s="1"/>
  <c r="AP27" i="68"/>
  <c r="I27" i="68" s="1"/>
  <c r="AP28" i="68"/>
  <c r="I28" i="68" s="1"/>
  <c r="AP29" i="68"/>
  <c r="I29" i="68" s="1"/>
  <c r="AP30" i="68"/>
  <c r="I30" i="68" s="1"/>
  <c r="AP31" i="68"/>
  <c r="I31" i="68" s="1"/>
  <c r="AP33" i="68"/>
  <c r="I33" i="68" s="1"/>
  <c r="AL111" i="68"/>
  <c r="B5" i="68"/>
  <c r="AL5" i="68" s="1"/>
  <c r="O133" i="83"/>
  <c r="T63" i="76" s="1"/>
  <c r="AF133" i="83"/>
  <c r="O137" i="83"/>
  <c r="X63" i="76" s="1"/>
  <c r="AF137" i="83"/>
  <c r="O119" i="83"/>
  <c r="F63" i="76" s="1"/>
  <c r="AF119" i="83"/>
  <c r="O123" i="83"/>
  <c r="AF123" i="83"/>
  <c r="O127" i="83"/>
  <c r="AF127" i="83"/>
  <c r="O131" i="83"/>
  <c r="AF131" i="83"/>
  <c r="O120" i="83"/>
  <c r="G63" i="76" s="1"/>
  <c r="AF120" i="83"/>
  <c r="O124" i="83"/>
  <c r="K63" i="76" s="1"/>
  <c r="AF124" i="83"/>
  <c r="N128" i="83"/>
  <c r="AT128" i="83" s="1"/>
  <c r="AE128" i="83"/>
  <c r="N132" i="83"/>
  <c r="AT132" i="83" s="1"/>
  <c r="AE132" i="83"/>
  <c r="N130" i="83"/>
  <c r="AT130" i="83" s="1"/>
  <c r="AE130" i="83"/>
  <c r="N140" i="83"/>
  <c r="AT140" i="83" s="1"/>
  <c r="AE140" i="83"/>
  <c r="N117" i="83"/>
  <c r="AT117" i="83" s="1"/>
  <c r="AE117" i="83"/>
  <c r="N121" i="83"/>
  <c r="AT121" i="83" s="1"/>
  <c r="AE121" i="83"/>
  <c r="N137" i="83"/>
  <c r="AT137" i="83" s="1"/>
  <c r="AE137" i="83"/>
  <c r="M119" i="83"/>
  <c r="AS119" i="83" s="1"/>
  <c r="AD119" i="83"/>
  <c r="M140" i="83"/>
  <c r="AS140" i="83" s="1"/>
  <c r="AD140" i="83"/>
  <c r="M120" i="83"/>
  <c r="AS120" i="83" s="1"/>
  <c r="AD120" i="83"/>
  <c r="M128" i="83"/>
  <c r="AS128" i="83" s="1"/>
  <c r="AD128" i="83"/>
  <c r="M136" i="83"/>
  <c r="AS136" i="83" s="1"/>
  <c r="AD136" i="83"/>
  <c r="M123" i="83"/>
  <c r="AS123" i="83" s="1"/>
  <c r="AD123" i="83"/>
  <c r="M124" i="83"/>
  <c r="AS124" i="83" s="1"/>
  <c r="AD124" i="83"/>
  <c r="M132" i="83"/>
  <c r="AS132" i="83" s="1"/>
  <c r="AD132" i="83"/>
  <c r="L120" i="83"/>
  <c r="AR120" i="83" s="1"/>
  <c r="AC120" i="83"/>
  <c r="L128" i="83"/>
  <c r="AR128" i="83" s="1"/>
  <c r="AC128" i="83"/>
  <c r="L132" i="83"/>
  <c r="AR132" i="83" s="1"/>
  <c r="AC132" i="83"/>
  <c r="L117" i="83"/>
  <c r="AR117" i="83" s="1"/>
  <c r="AC117" i="83"/>
  <c r="L121" i="83"/>
  <c r="AR121" i="83" s="1"/>
  <c r="AC121" i="83"/>
  <c r="L125" i="83"/>
  <c r="AR125" i="83" s="1"/>
  <c r="AC125" i="83"/>
  <c r="L129" i="83"/>
  <c r="AR129" i="83" s="1"/>
  <c r="AC129" i="83"/>
  <c r="L133" i="83"/>
  <c r="AR133" i="83" s="1"/>
  <c r="AC133" i="83"/>
  <c r="L137" i="83"/>
  <c r="AR137" i="83" s="1"/>
  <c r="AC137" i="83"/>
  <c r="L118" i="83"/>
  <c r="AR118" i="83" s="1"/>
  <c r="AC118" i="83"/>
  <c r="L134" i="83"/>
  <c r="AR134" i="83" s="1"/>
  <c r="AC134" i="83"/>
  <c r="L123" i="83"/>
  <c r="AR123" i="83" s="1"/>
  <c r="AC123" i="83"/>
  <c r="L127" i="83"/>
  <c r="AR127" i="83" s="1"/>
  <c r="AC127" i="83"/>
  <c r="L131" i="83"/>
  <c r="AR131" i="83" s="1"/>
  <c r="AC131" i="83"/>
  <c r="L140" i="83"/>
  <c r="AR140" i="83" s="1"/>
  <c r="AC140" i="83"/>
  <c r="K125" i="83"/>
  <c r="AB125" i="83"/>
  <c r="K129" i="83"/>
  <c r="AB129" i="83"/>
  <c r="K133" i="83"/>
  <c r="AB133" i="83"/>
  <c r="K137" i="83"/>
  <c r="AB137" i="83"/>
  <c r="K118" i="83"/>
  <c r="AB118" i="83"/>
  <c r="K122" i="83"/>
  <c r="AB122" i="83"/>
  <c r="K126" i="83"/>
  <c r="AB126" i="83"/>
  <c r="K130" i="83"/>
  <c r="AB130" i="83"/>
  <c r="K134" i="83"/>
  <c r="AB134" i="83"/>
  <c r="K138" i="83"/>
  <c r="AB138" i="83"/>
  <c r="K127" i="83"/>
  <c r="AB127" i="83"/>
  <c r="K131" i="83"/>
  <c r="AB131" i="83"/>
  <c r="K120" i="83"/>
  <c r="AB120" i="83"/>
  <c r="K124" i="83"/>
  <c r="AB124" i="83"/>
  <c r="K132" i="83"/>
  <c r="AB132" i="83"/>
  <c r="K117" i="83"/>
  <c r="AB117" i="83"/>
  <c r="B5" i="83"/>
  <c r="AL291" i="83"/>
  <c r="B112" i="83"/>
  <c r="AL112" i="83" s="1"/>
  <c r="AL5" i="83"/>
  <c r="M135" i="83"/>
  <c r="M127" i="83"/>
  <c r="K121" i="83"/>
  <c r="N133" i="83"/>
  <c r="K128" i="83"/>
  <c r="AL123" i="83"/>
  <c r="AL127" i="83"/>
  <c r="AL135" i="83"/>
  <c r="L135" i="83"/>
  <c r="M130" i="83"/>
  <c r="AS130" i="83" s="1"/>
  <c r="O140" i="83"/>
  <c r="M126" i="83"/>
  <c r="M133" i="83"/>
  <c r="AM122" i="83"/>
  <c r="K140" i="83"/>
  <c r="M138" i="83"/>
  <c r="K136" i="83"/>
  <c r="N129" i="83"/>
  <c r="M125" i="83"/>
  <c r="L122" i="83"/>
  <c r="L119" i="83"/>
  <c r="N136" i="83"/>
  <c r="M134" i="83"/>
  <c r="L130" i="83"/>
  <c r="N125" i="83"/>
  <c r="AO117" i="83"/>
  <c r="AN118" i="83"/>
  <c r="AO121" i="83"/>
  <c r="AL124" i="83"/>
  <c r="AL128" i="83"/>
  <c r="AN130" i="83"/>
  <c r="AO133" i="83"/>
  <c r="AN134" i="83"/>
  <c r="AL136" i="83"/>
  <c r="AO137" i="83"/>
  <c r="AN138" i="83"/>
  <c r="AL140" i="83"/>
  <c r="M117" i="83"/>
  <c r="AL119" i="83"/>
  <c r="K119" i="83"/>
  <c r="AM118" i="83"/>
  <c r="M137" i="83"/>
  <c r="K135" i="83"/>
  <c r="M129" i="83"/>
  <c r="L126" i="83"/>
  <c r="N124" i="83"/>
  <c r="K123" i="83"/>
  <c r="N120" i="83"/>
  <c r="AM126" i="83"/>
  <c r="AM130" i="83"/>
  <c r="L138" i="83"/>
  <c r="O135" i="83"/>
  <c r="V63" i="76" s="1"/>
  <c r="N134" i="83"/>
  <c r="L124" i="83"/>
  <c r="M122" i="83"/>
  <c r="M121" i="83"/>
  <c r="M118" i="83"/>
  <c r="AL131" i="83"/>
  <c r="AM138" i="83"/>
  <c r="N138" i="83"/>
  <c r="L136" i="83"/>
  <c r="O121" i="83"/>
  <c r="AN117" i="83"/>
  <c r="AO120" i="83"/>
  <c r="AN121" i="83"/>
  <c r="AO124" i="83"/>
  <c r="AN125" i="83"/>
  <c r="AO128" i="83"/>
  <c r="AN129" i="83"/>
  <c r="AO132" i="83"/>
  <c r="AN133" i="83"/>
  <c r="AO136" i="83"/>
  <c r="AN137" i="83"/>
  <c r="AO140" i="83"/>
  <c r="AM119" i="83"/>
  <c r="AM123" i="83"/>
  <c r="AM127" i="83"/>
  <c r="AM134" i="83"/>
  <c r="AM135" i="83"/>
  <c r="O136" i="83"/>
  <c r="O132" i="83"/>
  <c r="O128" i="83"/>
  <c r="O63" i="76" s="1"/>
  <c r="O118" i="83"/>
  <c r="AO118" i="83"/>
  <c r="N119" i="83"/>
  <c r="AN119" i="83"/>
  <c r="O122" i="83"/>
  <c r="AO122" i="83"/>
  <c r="O130" i="83"/>
  <c r="AO130" i="83"/>
  <c r="N135" i="83"/>
  <c r="AN135" i="83"/>
  <c r="O138" i="83"/>
  <c r="AO138" i="83"/>
  <c r="AM120" i="83"/>
  <c r="AM124" i="83"/>
  <c r="AM129" i="83"/>
  <c r="AO119" i="83"/>
  <c r="AO123" i="83"/>
  <c r="AO127" i="83"/>
  <c r="AN128" i="83"/>
  <c r="AN132" i="83"/>
  <c r="AN136" i="83"/>
  <c r="AN140" i="83"/>
  <c r="AN122" i="83"/>
  <c r="N122" i="83"/>
  <c r="O125" i="83"/>
  <c r="AO125" i="83"/>
  <c r="AN126" i="83"/>
  <c r="N126" i="83"/>
  <c r="AO129" i="83"/>
  <c r="O129" i="83"/>
  <c r="AL118" i="83"/>
  <c r="AL120" i="83"/>
  <c r="AL121" i="83"/>
  <c r="AL122" i="83"/>
  <c r="AL125" i="83"/>
  <c r="AL126" i="83"/>
  <c r="AL129" i="83"/>
  <c r="AL130" i="83"/>
  <c r="AL132" i="83"/>
  <c r="AL133" i="83"/>
  <c r="AL134" i="83"/>
  <c r="AL137" i="83"/>
  <c r="AL138" i="83"/>
  <c r="AL117" i="83"/>
  <c r="N123" i="83"/>
  <c r="AN123" i="83"/>
  <c r="O126" i="83"/>
  <c r="AO126" i="83"/>
  <c r="N127" i="83"/>
  <c r="AN127" i="83"/>
  <c r="N131" i="83"/>
  <c r="O134" i="83"/>
  <c r="AO134" i="83"/>
  <c r="AM117" i="83"/>
  <c r="AM121" i="83"/>
  <c r="AM125" i="83"/>
  <c r="AM128" i="83"/>
  <c r="AM132" i="83"/>
  <c r="AM133" i="83"/>
  <c r="AM136" i="83"/>
  <c r="AM137" i="83"/>
  <c r="AM140" i="83"/>
  <c r="AN120" i="83"/>
  <c r="AN124" i="83"/>
  <c r="AO131" i="83"/>
  <c r="AO135" i="83"/>
  <c r="O117" i="83"/>
  <c r="D63" i="76" s="1"/>
  <c r="N118" i="83"/>
  <c r="AH9" i="67"/>
  <c r="BT37" i="67"/>
  <c r="BU37" i="67"/>
  <c r="BV37" i="67"/>
  <c r="BW37" i="67"/>
  <c r="BS37" i="67"/>
  <c r="BN37" i="67"/>
  <c r="BO37" i="67"/>
  <c r="BP37" i="67"/>
  <c r="BQ37" i="67"/>
  <c r="BM37" i="67"/>
  <c r="BI37" i="67"/>
  <c r="BJ37" i="67"/>
  <c r="BK37" i="67"/>
  <c r="BL37" i="67"/>
  <c r="BH37" i="67"/>
  <c r="BD37" i="67"/>
  <c r="BE37" i="67"/>
  <c r="BF37" i="67"/>
  <c r="BG37" i="67"/>
  <c r="AR37" i="67"/>
  <c r="AN37" i="67"/>
  <c r="AO37" i="67"/>
  <c r="AP37" i="67"/>
  <c r="AQ37" i="67"/>
  <c r="AM37" i="67"/>
  <c r="S7" i="67"/>
  <c r="I7" i="67"/>
  <c r="AL5" i="67" s="1"/>
  <c r="Y43" i="66"/>
  <c r="AA63" i="76" l="1"/>
  <c r="U134" i="83"/>
  <c r="U63" i="76"/>
  <c r="U122" i="83"/>
  <c r="I63" i="76"/>
  <c r="U126" i="83"/>
  <c r="M63" i="76"/>
  <c r="U138" i="83"/>
  <c r="Y63" i="76"/>
  <c r="U130" i="83"/>
  <c r="Q63" i="76"/>
  <c r="U132" i="83"/>
  <c r="S63" i="76"/>
  <c r="U121" i="83"/>
  <c r="H63" i="76"/>
  <c r="U131" i="83"/>
  <c r="R63" i="76"/>
  <c r="AH123" i="83"/>
  <c r="J63" i="76"/>
  <c r="U129" i="83"/>
  <c r="P63" i="76"/>
  <c r="U136" i="83"/>
  <c r="W63" i="76"/>
  <c r="U125" i="83"/>
  <c r="L63" i="76"/>
  <c r="U118" i="83"/>
  <c r="E63" i="76"/>
  <c r="U127" i="83"/>
  <c r="N63" i="76"/>
  <c r="AE206" i="83"/>
  <c r="AF206" i="83"/>
  <c r="AH206" i="83"/>
  <c r="AI206" i="83"/>
  <c r="AU120" i="83"/>
  <c r="U120" i="83"/>
  <c r="P119" i="83"/>
  <c r="U119" i="83"/>
  <c r="AU133" i="83"/>
  <c r="U133" i="83"/>
  <c r="U117" i="83"/>
  <c r="AH132" i="83"/>
  <c r="U135" i="83"/>
  <c r="P128" i="83"/>
  <c r="U128" i="83"/>
  <c r="AU124" i="83"/>
  <c r="U124" i="83"/>
  <c r="AU123" i="83"/>
  <c r="U123" i="83"/>
  <c r="AU137" i="83"/>
  <c r="U137" i="83"/>
  <c r="AH120" i="83"/>
  <c r="P133" i="83"/>
  <c r="AH124" i="83"/>
  <c r="P123" i="83"/>
  <c r="AU131" i="83"/>
  <c r="AB139" i="83"/>
  <c r="AF139" i="83"/>
  <c r="P131" i="83"/>
  <c r="P137" i="83"/>
  <c r="AH134" i="83"/>
  <c r="AH127" i="83"/>
  <c r="P127" i="83"/>
  <c r="P120" i="83"/>
  <c r="P124" i="83"/>
  <c r="AH119" i="83"/>
  <c r="AU119" i="83"/>
  <c r="AU127" i="83"/>
  <c r="AH130" i="83"/>
  <c r="AE139" i="83"/>
  <c r="AC139" i="83"/>
  <c r="AU128" i="83"/>
  <c r="AW128" i="83" s="1"/>
  <c r="AS121" i="83"/>
  <c r="AT134" i="83"/>
  <c r="AT124" i="83"/>
  <c r="AS137" i="83"/>
  <c r="AR130" i="83"/>
  <c r="AR122" i="83"/>
  <c r="AS138" i="83"/>
  <c r="AS126" i="83"/>
  <c r="AS127" i="83"/>
  <c r="AT135" i="83"/>
  <c r="AR136" i="83"/>
  <c r="AS122" i="83"/>
  <c r="AR126" i="83"/>
  <c r="AS134" i="83"/>
  <c r="AS125" i="83"/>
  <c r="AU140" i="83"/>
  <c r="AV140" i="83" s="1"/>
  <c r="AT133" i="83"/>
  <c r="AS135" i="83"/>
  <c r="AT131" i="83"/>
  <c r="AT118" i="83"/>
  <c r="AU134" i="83"/>
  <c r="AT127" i="83"/>
  <c r="AT123" i="83"/>
  <c r="AT138" i="83"/>
  <c r="AR124" i="83"/>
  <c r="AR138" i="83"/>
  <c r="AT120" i="83"/>
  <c r="AS129" i="83"/>
  <c r="AT136" i="83"/>
  <c r="AT129" i="83"/>
  <c r="AS133" i="83"/>
  <c r="AT126" i="83"/>
  <c r="AT122" i="83"/>
  <c r="AU130" i="83"/>
  <c r="AT119" i="83"/>
  <c r="AS118" i="83"/>
  <c r="AS117" i="83"/>
  <c r="AT125" i="83"/>
  <c r="AR119" i="83"/>
  <c r="AR135" i="83"/>
  <c r="AH121" i="83"/>
  <c r="AH125" i="83"/>
  <c r="AU135" i="83"/>
  <c r="P135" i="83"/>
  <c r="P134" i="83"/>
  <c r="P138" i="83"/>
  <c r="AU121" i="83"/>
  <c r="P136" i="83"/>
  <c r="AH129" i="83"/>
  <c r="P118" i="83"/>
  <c r="AH128" i="83"/>
  <c r="AH131" i="83"/>
  <c r="P117" i="83"/>
  <c r="P126" i="83"/>
  <c r="AP140" i="83"/>
  <c r="I140" i="83" s="1"/>
  <c r="P121" i="83"/>
  <c r="AP119" i="83"/>
  <c r="I119" i="83" s="1"/>
  <c r="AU132" i="83"/>
  <c r="AW132" i="83" s="1"/>
  <c r="AP117" i="83"/>
  <c r="I117" i="83" s="1"/>
  <c r="AP124" i="83"/>
  <c r="I124" i="83" s="1"/>
  <c r="AP136" i="83"/>
  <c r="I136" i="83" s="1"/>
  <c r="AP121" i="83"/>
  <c r="I121" i="83" s="1"/>
  <c r="AP132" i="83"/>
  <c r="I132" i="83" s="1"/>
  <c r="AP128" i="83"/>
  <c r="I128" i="83" s="1"/>
  <c r="AP127" i="83"/>
  <c r="I127" i="83" s="1"/>
  <c r="AP130" i="83"/>
  <c r="I130" i="83" s="1"/>
  <c r="AP118" i="83"/>
  <c r="I118" i="83" s="1"/>
  <c r="AU136" i="83"/>
  <c r="AH133" i="83"/>
  <c r="AU138" i="83"/>
  <c r="AH135" i="83"/>
  <c r="AP135" i="83"/>
  <c r="I135" i="83" s="1"/>
  <c r="P132" i="83"/>
  <c r="AU126" i="83"/>
  <c r="AH126" i="83"/>
  <c r="AP123" i="83"/>
  <c r="I123" i="83" s="1"/>
  <c r="AP122" i="83"/>
  <c r="I122" i="83" s="1"/>
  <c r="AU122" i="83"/>
  <c r="AH122" i="83"/>
  <c r="AU118" i="83"/>
  <c r="AH118" i="83"/>
  <c r="AP137" i="83"/>
  <c r="I137" i="83" s="1"/>
  <c r="P130" i="83"/>
  <c r="AU117" i="83"/>
  <c r="AP126" i="83"/>
  <c r="I126" i="83" s="1"/>
  <c r="P129" i="83"/>
  <c r="AU129" i="83"/>
  <c r="P122" i="83"/>
  <c r="AP138" i="83"/>
  <c r="I138" i="83" s="1"/>
  <c r="AP133" i="83"/>
  <c r="I133" i="83" s="1"/>
  <c r="AP129" i="83"/>
  <c r="I129" i="83" s="1"/>
  <c r="AP134" i="83"/>
  <c r="I134" i="83" s="1"/>
  <c r="AP125" i="83"/>
  <c r="I125" i="83" s="1"/>
  <c r="AP120" i="83"/>
  <c r="I120" i="83" s="1"/>
  <c r="P125" i="83"/>
  <c r="AU125" i="83"/>
  <c r="AH9" i="66"/>
  <c r="AH9" i="65"/>
  <c r="AH9" i="64"/>
  <c r="AH9" i="63"/>
  <c r="AH9" i="62"/>
  <c r="AH9" i="49"/>
  <c r="AY37" i="66"/>
  <c r="AZ37" i="66"/>
  <c r="BA37" i="66"/>
  <c r="BB37" i="66"/>
  <c r="AX37" i="66"/>
  <c r="AT37" i="66"/>
  <c r="AU37" i="66"/>
  <c r="AV37" i="66"/>
  <c r="AW37" i="66"/>
  <c r="AS37" i="66"/>
  <c r="AR37" i="66"/>
  <c r="AQ37" i="66"/>
  <c r="AP37" i="66"/>
  <c r="AO37" i="66"/>
  <c r="AN37" i="66"/>
  <c r="AM37" i="66"/>
  <c r="Y2" i="66"/>
  <c r="Z1" i="66"/>
  <c r="B5" i="66" s="1"/>
  <c r="S7" i="66"/>
  <c r="I7" i="66"/>
  <c r="AL5" i="66" s="1"/>
  <c r="Z1" i="65"/>
  <c r="B5" i="65" s="1"/>
  <c r="Z1" i="64"/>
  <c r="B5" i="64" s="1"/>
  <c r="Z1" i="63"/>
  <c r="B5" i="63" s="1"/>
  <c r="Z1" i="62"/>
  <c r="B5" i="62" s="1"/>
  <c r="Z1" i="49"/>
  <c r="B5" i="49" s="1"/>
  <c r="S7" i="49"/>
  <c r="Y43" i="49"/>
  <c r="Y43" i="62"/>
  <c r="Y43" i="63"/>
  <c r="Y43" i="65"/>
  <c r="AR37" i="65"/>
  <c r="AQ37" i="65"/>
  <c r="AP37" i="65"/>
  <c r="AO37" i="65"/>
  <c r="AN37" i="65"/>
  <c r="AM37" i="65"/>
  <c r="S7" i="65"/>
  <c r="I7" i="65"/>
  <c r="AL5" i="65" s="1"/>
  <c r="Y2" i="65"/>
  <c r="AR37" i="64"/>
  <c r="AN37" i="64"/>
  <c r="AO37" i="64"/>
  <c r="AP37" i="64"/>
  <c r="AQ37" i="64"/>
  <c r="AM37" i="64"/>
  <c r="AR37" i="63"/>
  <c r="BI37" i="63"/>
  <c r="BJ37" i="63"/>
  <c r="BK37" i="63"/>
  <c r="BL37" i="63"/>
  <c r="BH37" i="63"/>
  <c r="BD37" i="63"/>
  <c r="BE37" i="63"/>
  <c r="BF37" i="63"/>
  <c r="BG37" i="63"/>
  <c r="BC37" i="63"/>
  <c r="AY37" i="63"/>
  <c r="AZ37" i="63"/>
  <c r="BA37" i="63"/>
  <c r="BB37" i="63"/>
  <c r="AX37" i="63"/>
  <c r="AT37" i="63"/>
  <c r="AU37" i="63"/>
  <c r="AV37" i="63"/>
  <c r="AW37" i="63"/>
  <c r="AS37" i="63"/>
  <c r="AN37" i="63"/>
  <c r="AO37" i="63"/>
  <c r="AP37" i="63"/>
  <c r="AQ37" i="63"/>
  <c r="AM37" i="63"/>
  <c r="AW37" i="62"/>
  <c r="AV37" i="62"/>
  <c r="AU37" i="62"/>
  <c r="AT37" i="62"/>
  <c r="AS37" i="62"/>
  <c r="AR37" i="62"/>
  <c r="AQ37" i="62"/>
  <c r="AP37" i="62"/>
  <c r="AO37" i="62"/>
  <c r="AN37" i="62"/>
  <c r="AM37" i="62"/>
  <c r="S7" i="63"/>
  <c r="I7" i="63"/>
  <c r="S7" i="62"/>
  <c r="I7" i="62"/>
  <c r="Y43" i="64"/>
  <c r="Y2" i="63"/>
  <c r="S7" i="64"/>
  <c r="I7" i="64"/>
  <c r="AL5" i="64" s="1"/>
  <c r="AW123" i="83" l="1"/>
  <c r="T10" i="65"/>
  <c r="AW120" i="83"/>
  <c r="AV137" i="83"/>
  <c r="AC44" i="66"/>
  <c r="AC43" i="66"/>
  <c r="AC43" i="65"/>
  <c r="AC44" i="65"/>
  <c r="AW124" i="83"/>
  <c r="AC44" i="63"/>
  <c r="AC43" i="63"/>
  <c r="AV121" i="83"/>
  <c r="AV127" i="83"/>
  <c r="AV119" i="83"/>
  <c r="AV133" i="83"/>
  <c r="AW117" i="83"/>
  <c r="AV120" i="83"/>
  <c r="AW137" i="83"/>
  <c r="AW119" i="83"/>
  <c r="AV124" i="83"/>
  <c r="AV123" i="83"/>
  <c r="AW129" i="83"/>
  <c r="AV118" i="83"/>
  <c r="AW133" i="83"/>
  <c r="AW127" i="83"/>
  <c r="AV128" i="83"/>
  <c r="AX128" i="83" s="1"/>
  <c r="AW135" i="83"/>
  <c r="AV134" i="83"/>
  <c r="AV130" i="83"/>
  <c r="AW121" i="83"/>
  <c r="AW140" i="83"/>
  <c r="AX140" i="83" s="1"/>
  <c r="AW122" i="83"/>
  <c r="AW126" i="83"/>
  <c r="AW134" i="83"/>
  <c r="AW130" i="83"/>
  <c r="AW136" i="83"/>
  <c r="AV135" i="83"/>
  <c r="AW118" i="83"/>
  <c r="AV132" i="83"/>
  <c r="AX132" i="83" s="1"/>
  <c r="AV136" i="83"/>
  <c r="AV138" i="83"/>
  <c r="AW138" i="83"/>
  <c r="AV126" i="83"/>
  <c r="AV122" i="83"/>
  <c r="AW125" i="83"/>
  <c r="AV125" i="83"/>
  <c r="AV129" i="83"/>
  <c r="AV117" i="83"/>
  <c r="Y2" i="62"/>
  <c r="AL5" i="63"/>
  <c r="AX123" i="83" l="1"/>
  <c r="AX121" i="83"/>
  <c r="AX124" i="83"/>
  <c r="AX120" i="83"/>
  <c r="AX137" i="83"/>
  <c r="AC43" i="62"/>
  <c r="AC44" i="62"/>
  <c r="AX119" i="83"/>
  <c r="AX127" i="83"/>
  <c r="AX133" i="83"/>
  <c r="AX117" i="83"/>
  <c r="AX129" i="83"/>
  <c r="AX118" i="83"/>
  <c r="AX135" i="83"/>
  <c r="AX130" i="83"/>
  <c r="AX134" i="83"/>
  <c r="AX122" i="83"/>
  <c r="AX136" i="83"/>
  <c r="AX126" i="83"/>
  <c r="AX138" i="83"/>
  <c r="AX125" i="83"/>
  <c r="BU162" i="50" l="1"/>
  <c r="BU135" i="50" s="1"/>
  <c r="BP162" i="50"/>
  <c r="BP135" i="50" s="1"/>
  <c r="BK162" i="50"/>
  <c r="BK135" i="50" s="1"/>
  <c r="BF162" i="50"/>
  <c r="BF135" i="50" s="1"/>
  <c r="AL189" i="50" s="1"/>
  <c r="BA162" i="50"/>
  <c r="BA135" i="50" s="1"/>
  <c r="AG189" i="50" s="1"/>
  <c r="AV162" i="50"/>
  <c r="AV135" i="50" s="1"/>
  <c r="AQ162" i="50"/>
  <c r="AQ135" i="50" s="1"/>
  <c r="AL162" i="50"/>
  <c r="AL135" i="50" s="1"/>
  <c r="AG162" i="50"/>
  <c r="AG135" i="50" s="1"/>
  <c r="AB135" i="50" l="1"/>
  <c r="EB134" i="50"/>
  <c r="BY188" i="50" s="1"/>
  <c r="EA134" i="50"/>
  <c r="BX188" i="50" s="1"/>
  <c r="DZ134" i="50"/>
  <c r="BW188" i="50" s="1"/>
  <c r="DY134" i="50"/>
  <c r="BV188" i="50" s="1"/>
  <c r="DX134" i="50"/>
  <c r="BU188" i="50" s="1"/>
  <c r="EB132" i="50"/>
  <c r="BY186" i="50" s="1"/>
  <c r="EA132" i="50"/>
  <c r="BX186" i="50" s="1"/>
  <c r="DZ132" i="50"/>
  <c r="BW186" i="50" s="1"/>
  <c r="DY132" i="50"/>
  <c r="BV186" i="50" s="1"/>
  <c r="DX132" i="50"/>
  <c r="BU186" i="50" s="1"/>
  <c r="EB131" i="50"/>
  <c r="BY185" i="50" s="1"/>
  <c r="EA131" i="50"/>
  <c r="BX185" i="50" s="1"/>
  <c r="DZ131" i="50"/>
  <c r="BW185" i="50" s="1"/>
  <c r="DY131" i="50"/>
  <c r="BV185" i="50" s="1"/>
  <c r="DX131" i="50"/>
  <c r="BU185" i="50" s="1"/>
  <c r="EB130" i="50"/>
  <c r="BY184" i="50" s="1"/>
  <c r="EA130" i="50"/>
  <c r="BX184" i="50" s="1"/>
  <c r="DZ130" i="50"/>
  <c r="BW184" i="50" s="1"/>
  <c r="DY130" i="50"/>
  <c r="BV184" i="50" s="1"/>
  <c r="DX130" i="50"/>
  <c r="BU184" i="50" s="1"/>
  <c r="EB129" i="50"/>
  <c r="BY183" i="50" s="1"/>
  <c r="EA129" i="50"/>
  <c r="BX183" i="50" s="1"/>
  <c r="DZ129" i="50"/>
  <c r="BW183" i="50" s="1"/>
  <c r="DY129" i="50"/>
  <c r="BV183" i="50" s="1"/>
  <c r="DX129" i="50"/>
  <c r="BU183" i="50" s="1"/>
  <c r="EB128" i="50"/>
  <c r="BY182" i="50" s="1"/>
  <c r="EA128" i="50"/>
  <c r="BX182" i="50" s="1"/>
  <c r="DZ128" i="50"/>
  <c r="BW182" i="50" s="1"/>
  <c r="DY128" i="50"/>
  <c r="BV182" i="50" s="1"/>
  <c r="DX128" i="50"/>
  <c r="BU182" i="50" s="1"/>
  <c r="EB127" i="50"/>
  <c r="BY181" i="50" s="1"/>
  <c r="EA127" i="50"/>
  <c r="BX181" i="50" s="1"/>
  <c r="DZ127" i="50"/>
  <c r="BW181" i="50" s="1"/>
  <c r="DY127" i="50"/>
  <c r="BV181" i="50" s="1"/>
  <c r="DX127" i="50"/>
  <c r="BU181" i="50" s="1"/>
  <c r="EB126" i="50"/>
  <c r="BY180" i="50" s="1"/>
  <c r="EA126" i="50"/>
  <c r="BX180" i="50" s="1"/>
  <c r="DZ126" i="50"/>
  <c r="BW180" i="50" s="1"/>
  <c r="DY126" i="50"/>
  <c r="BV180" i="50" s="1"/>
  <c r="DX126" i="50"/>
  <c r="BU180" i="50" s="1"/>
  <c r="EB125" i="50"/>
  <c r="BY179" i="50" s="1"/>
  <c r="EA125" i="50"/>
  <c r="BX179" i="50" s="1"/>
  <c r="DY125" i="50"/>
  <c r="BV179" i="50" s="1"/>
  <c r="DX125" i="50"/>
  <c r="BU179" i="50" s="1"/>
  <c r="EB124" i="50"/>
  <c r="BY178" i="50" s="1"/>
  <c r="EA124" i="50"/>
  <c r="BX178" i="50" s="1"/>
  <c r="DZ124" i="50"/>
  <c r="BW178" i="50" s="1"/>
  <c r="DY124" i="50"/>
  <c r="BV178" i="50" s="1"/>
  <c r="DX124" i="50"/>
  <c r="BU178" i="50" s="1"/>
  <c r="EB123" i="50"/>
  <c r="BY177" i="50" s="1"/>
  <c r="EA123" i="50"/>
  <c r="BX177" i="50" s="1"/>
  <c r="DZ123" i="50"/>
  <c r="BW177" i="50" s="1"/>
  <c r="DY123" i="50"/>
  <c r="BV177" i="50" s="1"/>
  <c r="DX123" i="50"/>
  <c r="BU177" i="50" s="1"/>
  <c r="EB122" i="50"/>
  <c r="BY176" i="50" s="1"/>
  <c r="EA122" i="50"/>
  <c r="BX176" i="50" s="1"/>
  <c r="DZ122" i="50"/>
  <c r="BW176" i="50" s="1"/>
  <c r="DY122" i="50"/>
  <c r="BV176" i="50" s="1"/>
  <c r="DX122" i="50"/>
  <c r="BU176" i="50" s="1"/>
  <c r="EB121" i="50"/>
  <c r="BY175" i="50" s="1"/>
  <c r="EA121" i="50"/>
  <c r="BX175" i="50" s="1"/>
  <c r="DZ121" i="50"/>
  <c r="BW175" i="50" s="1"/>
  <c r="DY121" i="50"/>
  <c r="BV175" i="50" s="1"/>
  <c r="DX121" i="50"/>
  <c r="BU175" i="50" s="1"/>
  <c r="EB120" i="50"/>
  <c r="BY174" i="50" s="1"/>
  <c r="EA120" i="50"/>
  <c r="BX174" i="50" s="1"/>
  <c r="DZ120" i="50"/>
  <c r="BW174" i="50" s="1"/>
  <c r="DY120" i="50"/>
  <c r="BV174" i="50" s="1"/>
  <c r="DX120" i="50"/>
  <c r="BU174" i="50" s="1"/>
  <c r="EB119" i="50"/>
  <c r="BY173" i="50" s="1"/>
  <c r="EA119" i="50"/>
  <c r="BX173" i="50" s="1"/>
  <c r="DZ119" i="50"/>
  <c r="BW173" i="50" s="1"/>
  <c r="DY119" i="50"/>
  <c r="BV173" i="50" s="1"/>
  <c r="DX119" i="50"/>
  <c r="BU173" i="50" s="1"/>
  <c r="EB118" i="50"/>
  <c r="BY172" i="50" s="1"/>
  <c r="EA118" i="50"/>
  <c r="BX172" i="50" s="1"/>
  <c r="DZ118" i="50"/>
  <c r="BW172" i="50" s="1"/>
  <c r="DY118" i="50"/>
  <c r="BV172" i="50" s="1"/>
  <c r="DX118" i="50"/>
  <c r="BU172" i="50" s="1"/>
  <c r="EB117" i="50"/>
  <c r="BY171" i="50" s="1"/>
  <c r="EA117" i="50"/>
  <c r="BX171" i="50" s="1"/>
  <c r="DZ117" i="50"/>
  <c r="BW171" i="50" s="1"/>
  <c r="DY117" i="50"/>
  <c r="BV171" i="50" s="1"/>
  <c r="DX117" i="50"/>
  <c r="BU171" i="50" s="1"/>
  <c r="EB116" i="50"/>
  <c r="BY170" i="50" s="1"/>
  <c r="EA116" i="50"/>
  <c r="BX170" i="50" s="1"/>
  <c r="DZ116" i="50"/>
  <c r="BW170" i="50" s="1"/>
  <c r="DY116" i="50"/>
  <c r="BV170" i="50" s="1"/>
  <c r="DX116" i="50"/>
  <c r="BU170" i="50" s="1"/>
  <c r="EB115" i="50"/>
  <c r="BY169" i="50" s="1"/>
  <c r="EA115" i="50"/>
  <c r="BX169" i="50" s="1"/>
  <c r="DZ115" i="50"/>
  <c r="BW169" i="50" s="1"/>
  <c r="DY115" i="50"/>
  <c r="BV169" i="50" s="1"/>
  <c r="DX115" i="50"/>
  <c r="BU169" i="50" s="1"/>
  <c r="EB114" i="50"/>
  <c r="BY168" i="50" s="1"/>
  <c r="EA114" i="50"/>
  <c r="BX168" i="50" s="1"/>
  <c r="DZ114" i="50"/>
  <c r="BW168" i="50" s="1"/>
  <c r="DY114" i="50"/>
  <c r="BV168" i="50" s="1"/>
  <c r="DX114" i="50"/>
  <c r="BU168" i="50" s="1"/>
  <c r="EB113" i="50"/>
  <c r="BY167" i="50" s="1"/>
  <c r="EA113" i="50"/>
  <c r="BX167" i="50" s="1"/>
  <c r="DZ113" i="50"/>
  <c r="BW167" i="50" s="1"/>
  <c r="DY113" i="50"/>
  <c r="BV167" i="50" s="1"/>
  <c r="DX113" i="50"/>
  <c r="BU167" i="50" s="1"/>
  <c r="EB112" i="50"/>
  <c r="BY166" i="50" s="1"/>
  <c r="EA112" i="50"/>
  <c r="BX166" i="50" s="1"/>
  <c r="DZ112" i="50"/>
  <c r="BW166" i="50" s="1"/>
  <c r="DY112" i="50"/>
  <c r="BV166" i="50" s="1"/>
  <c r="DX112" i="50"/>
  <c r="BU166" i="50" s="1"/>
  <c r="EB111" i="50"/>
  <c r="EA111" i="50"/>
  <c r="BX165" i="50" s="1"/>
  <c r="DZ111" i="50"/>
  <c r="BW165" i="50" s="1"/>
  <c r="DY111" i="50"/>
  <c r="BV165" i="50" s="1"/>
  <c r="DX111" i="50"/>
  <c r="BU165" i="50" s="1"/>
  <c r="DW134" i="50"/>
  <c r="BT188" i="50" s="1"/>
  <c r="DV134" i="50"/>
  <c r="BS188" i="50" s="1"/>
  <c r="DU134" i="50"/>
  <c r="BR188" i="50" s="1"/>
  <c r="DT134" i="50"/>
  <c r="BQ188" i="50" s="1"/>
  <c r="DS134" i="50"/>
  <c r="BP188" i="50" s="1"/>
  <c r="DW132" i="50"/>
  <c r="BT186" i="50" s="1"/>
  <c r="DV132" i="50"/>
  <c r="BS186" i="50" s="1"/>
  <c r="DU132" i="50"/>
  <c r="BR186" i="50" s="1"/>
  <c r="DT132" i="50"/>
  <c r="BQ186" i="50" s="1"/>
  <c r="DS132" i="50"/>
  <c r="BP186" i="50" s="1"/>
  <c r="DW131" i="50"/>
  <c r="BT185" i="50" s="1"/>
  <c r="DV131" i="50"/>
  <c r="BS185" i="50" s="1"/>
  <c r="DU131" i="50"/>
  <c r="BR185" i="50" s="1"/>
  <c r="DT131" i="50"/>
  <c r="BQ185" i="50" s="1"/>
  <c r="DS131" i="50"/>
  <c r="BP185" i="50" s="1"/>
  <c r="DW130" i="50"/>
  <c r="BT184" i="50" s="1"/>
  <c r="DV130" i="50"/>
  <c r="BS184" i="50" s="1"/>
  <c r="DU130" i="50"/>
  <c r="BR184" i="50" s="1"/>
  <c r="DT130" i="50"/>
  <c r="BQ184" i="50" s="1"/>
  <c r="DS130" i="50"/>
  <c r="BP184" i="50" s="1"/>
  <c r="DW129" i="50"/>
  <c r="BT183" i="50" s="1"/>
  <c r="DV129" i="50"/>
  <c r="BS183" i="50" s="1"/>
  <c r="DU129" i="50"/>
  <c r="BR183" i="50" s="1"/>
  <c r="DT129" i="50"/>
  <c r="BQ183" i="50" s="1"/>
  <c r="DS129" i="50"/>
  <c r="BP183" i="50" s="1"/>
  <c r="DW128" i="50"/>
  <c r="BT182" i="50" s="1"/>
  <c r="DV128" i="50"/>
  <c r="BS182" i="50" s="1"/>
  <c r="DU128" i="50"/>
  <c r="BR182" i="50" s="1"/>
  <c r="DT128" i="50"/>
  <c r="BQ182" i="50" s="1"/>
  <c r="DS128" i="50"/>
  <c r="BP182" i="50" s="1"/>
  <c r="DW127" i="50"/>
  <c r="BT181" i="50" s="1"/>
  <c r="DV127" i="50"/>
  <c r="BS181" i="50" s="1"/>
  <c r="DU127" i="50"/>
  <c r="BR181" i="50" s="1"/>
  <c r="DT127" i="50"/>
  <c r="BQ181" i="50" s="1"/>
  <c r="DS127" i="50"/>
  <c r="BP181" i="50" s="1"/>
  <c r="DW126" i="50"/>
  <c r="BT180" i="50" s="1"/>
  <c r="DV126" i="50"/>
  <c r="BS180" i="50" s="1"/>
  <c r="DU126" i="50"/>
  <c r="BR180" i="50" s="1"/>
  <c r="DT126" i="50"/>
  <c r="BQ180" i="50" s="1"/>
  <c r="DS126" i="50"/>
  <c r="BP180" i="50" s="1"/>
  <c r="DW125" i="50"/>
  <c r="BT179" i="50" s="1"/>
  <c r="DV125" i="50"/>
  <c r="BS179" i="50" s="1"/>
  <c r="DT125" i="50"/>
  <c r="BQ179" i="50" s="1"/>
  <c r="DS125" i="50"/>
  <c r="BP179" i="50" s="1"/>
  <c r="DW124" i="50"/>
  <c r="BT178" i="50" s="1"/>
  <c r="DV124" i="50"/>
  <c r="BS178" i="50" s="1"/>
  <c r="DU124" i="50"/>
  <c r="BR178" i="50" s="1"/>
  <c r="DT124" i="50"/>
  <c r="BQ178" i="50" s="1"/>
  <c r="DS124" i="50"/>
  <c r="BP178" i="50" s="1"/>
  <c r="DW123" i="50"/>
  <c r="BT177" i="50" s="1"/>
  <c r="DV123" i="50"/>
  <c r="BS177" i="50" s="1"/>
  <c r="DU123" i="50"/>
  <c r="BR177" i="50" s="1"/>
  <c r="DT123" i="50"/>
  <c r="BQ177" i="50" s="1"/>
  <c r="DS123" i="50"/>
  <c r="BP177" i="50" s="1"/>
  <c r="DW122" i="50"/>
  <c r="BT176" i="50" s="1"/>
  <c r="DV122" i="50"/>
  <c r="BS176" i="50" s="1"/>
  <c r="DU122" i="50"/>
  <c r="BR176" i="50" s="1"/>
  <c r="DT122" i="50"/>
  <c r="BQ176" i="50" s="1"/>
  <c r="DS122" i="50"/>
  <c r="BP176" i="50" s="1"/>
  <c r="DW121" i="50"/>
  <c r="BT175" i="50" s="1"/>
  <c r="DV121" i="50"/>
  <c r="BS175" i="50" s="1"/>
  <c r="DU121" i="50"/>
  <c r="BR175" i="50" s="1"/>
  <c r="DT121" i="50"/>
  <c r="BQ175" i="50" s="1"/>
  <c r="DS121" i="50"/>
  <c r="BP175" i="50" s="1"/>
  <c r="DW120" i="50"/>
  <c r="BT174" i="50" s="1"/>
  <c r="DV120" i="50"/>
  <c r="BS174" i="50" s="1"/>
  <c r="DU120" i="50"/>
  <c r="BR174" i="50" s="1"/>
  <c r="DT120" i="50"/>
  <c r="BQ174" i="50" s="1"/>
  <c r="DS120" i="50"/>
  <c r="BP174" i="50" s="1"/>
  <c r="DW119" i="50"/>
  <c r="BT173" i="50" s="1"/>
  <c r="DV119" i="50"/>
  <c r="BS173" i="50" s="1"/>
  <c r="DU119" i="50"/>
  <c r="BR173" i="50" s="1"/>
  <c r="DT119" i="50"/>
  <c r="BQ173" i="50" s="1"/>
  <c r="DS119" i="50"/>
  <c r="BP173" i="50" s="1"/>
  <c r="DW118" i="50"/>
  <c r="BT172" i="50" s="1"/>
  <c r="DV118" i="50"/>
  <c r="BS172" i="50" s="1"/>
  <c r="DU118" i="50"/>
  <c r="BR172" i="50" s="1"/>
  <c r="DT118" i="50"/>
  <c r="BQ172" i="50" s="1"/>
  <c r="DS118" i="50"/>
  <c r="BP172" i="50" s="1"/>
  <c r="DW117" i="50"/>
  <c r="BT171" i="50" s="1"/>
  <c r="DV117" i="50"/>
  <c r="BS171" i="50" s="1"/>
  <c r="DU117" i="50"/>
  <c r="BR171" i="50" s="1"/>
  <c r="DT117" i="50"/>
  <c r="BQ171" i="50" s="1"/>
  <c r="DS117" i="50"/>
  <c r="BP171" i="50" s="1"/>
  <c r="DW116" i="50"/>
  <c r="BT170" i="50" s="1"/>
  <c r="DV116" i="50"/>
  <c r="BS170" i="50" s="1"/>
  <c r="DU116" i="50"/>
  <c r="BR170" i="50" s="1"/>
  <c r="DT116" i="50"/>
  <c r="BQ170" i="50" s="1"/>
  <c r="DS116" i="50"/>
  <c r="BP170" i="50" s="1"/>
  <c r="DW115" i="50"/>
  <c r="BT169" i="50" s="1"/>
  <c r="DV115" i="50"/>
  <c r="BS169" i="50" s="1"/>
  <c r="DU115" i="50"/>
  <c r="BR169" i="50" s="1"/>
  <c r="DT115" i="50"/>
  <c r="BQ169" i="50" s="1"/>
  <c r="DS115" i="50"/>
  <c r="BP169" i="50" s="1"/>
  <c r="DW114" i="50"/>
  <c r="BT168" i="50" s="1"/>
  <c r="DV114" i="50"/>
  <c r="BS168" i="50" s="1"/>
  <c r="DU114" i="50"/>
  <c r="BR168" i="50" s="1"/>
  <c r="DT114" i="50"/>
  <c r="BQ168" i="50" s="1"/>
  <c r="DS114" i="50"/>
  <c r="BP168" i="50" s="1"/>
  <c r="DW113" i="50"/>
  <c r="BT167" i="50" s="1"/>
  <c r="DV113" i="50"/>
  <c r="BS167" i="50" s="1"/>
  <c r="DU113" i="50"/>
  <c r="BR167" i="50" s="1"/>
  <c r="DT113" i="50"/>
  <c r="BQ167" i="50" s="1"/>
  <c r="DS113" i="50"/>
  <c r="DW112" i="50"/>
  <c r="BT166" i="50" s="1"/>
  <c r="DV112" i="50"/>
  <c r="BS166" i="50" s="1"/>
  <c r="DU112" i="50"/>
  <c r="BR166" i="50" s="1"/>
  <c r="DT112" i="50"/>
  <c r="DS112" i="50"/>
  <c r="BP166" i="50" s="1"/>
  <c r="DW111" i="50"/>
  <c r="BT165" i="50" s="1"/>
  <c r="DV111" i="50"/>
  <c r="BS165" i="50" s="1"/>
  <c r="DU111" i="50"/>
  <c r="BR165" i="50" s="1"/>
  <c r="DT111" i="50"/>
  <c r="BQ165" i="50" s="1"/>
  <c r="DS111" i="50"/>
  <c r="BP165" i="50" s="1"/>
  <c r="DR134" i="50"/>
  <c r="BO188" i="50" s="1"/>
  <c r="DQ134" i="50"/>
  <c r="BN188" i="50" s="1"/>
  <c r="DP134" i="50"/>
  <c r="BM188" i="50" s="1"/>
  <c r="DO134" i="50"/>
  <c r="BL188" i="50" s="1"/>
  <c r="DN134" i="50"/>
  <c r="BK188" i="50" s="1"/>
  <c r="DR132" i="50"/>
  <c r="BO186" i="50" s="1"/>
  <c r="DQ132" i="50"/>
  <c r="BN186" i="50" s="1"/>
  <c r="DP132" i="50"/>
  <c r="BM186" i="50" s="1"/>
  <c r="DO132" i="50"/>
  <c r="BL186" i="50" s="1"/>
  <c r="DN132" i="50"/>
  <c r="BK186" i="50" s="1"/>
  <c r="DR131" i="50"/>
  <c r="BO185" i="50" s="1"/>
  <c r="DQ131" i="50"/>
  <c r="BN185" i="50" s="1"/>
  <c r="DP131" i="50"/>
  <c r="BM185" i="50" s="1"/>
  <c r="DO131" i="50"/>
  <c r="BL185" i="50" s="1"/>
  <c r="DN131" i="50"/>
  <c r="BK185" i="50" s="1"/>
  <c r="DR130" i="50"/>
  <c r="BO184" i="50" s="1"/>
  <c r="DQ130" i="50"/>
  <c r="BN184" i="50" s="1"/>
  <c r="DP130" i="50"/>
  <c r="BM184" i="50" s="1"/>
  <c r="DO130" i="50"/>
  <c r="BL184" i="50" s="1"/>
  <c r="DN130" i="50"/>
  <c r="BK184" i="50" s="1"/>
  <c r="DR129" i="50"/>
  <c r="BO183" i="50" s="1"/>
  <c r="DQ129" i="50"/>
  <c r="BN183" i="50" s="1"/>
  <c r="DP129" i="50"/>
  <c r="BM183" i="50" s="1"/>
  <c r="DO129" i="50"/>
  <c r="BL183" i="50" s="1"/>
  <c r="DN129" i="50"/>
  <c r="BK183" i="50" s="1"/>
  <c r="DR128" i="50"/>
  <c r="BO182" i="50" s="1"/>
  <c r="DQ128" i="50"/>
  <c r="BN182" i="50" s="1"/>
  <c r="DP128" i="50"/>
  <c r="BM182" i="50" s="1"/>
  <c r="DO128" i="50"/>
  <c r="BL182" i="50" s="1"/>
  <c r="DN128" i="50"/>
  <c r="BK182" i="50" s="1"/>
  <c r="DR127" i="50"/>
  <c r="BO181" i="50" s="1"/>
  <c r="DQ127" i="50"/>
  <c r="BN181" i="50" s="1"/>
  <c r="DP127" i="50"/>
  <c r="BM181" i="50" s="1"/>
  <c r="DO127" i="50"/>
  <c r="BL181" i="50" s="1"/>
  <c r="DN127" i="50"/>
  <c r="BK181" i="50" s="1"/>
  <c r="DR126" i="50"/>
  <c r="BO180" i="50" s="1"/>
  <c r="DQ126" i="50"/>
  <c r="BN180" i="50" s="1"/>
  <c r="DP126" i="50"/>
  <c r="BM180" i="50" s="1"/>
  <c r="DO126" i="50"/>
  <c r="BL180" i="50" s="1"/>
  <c r="DN126" i="50"/>
  <c r="BK180" i="50" s="1"/>
  <c r="DR125" i="50"/>
  <c r="BO179" i="50" s="1"/>
  <c r="DQ125" i="50"/>
  <c r="BN179" i="50" s="1"/>
  <c r="DO125" i="50"/>
  <c r="BL179" i="50" s="1"/>
  <c r="DN125" i="50"/>
  <c r="BK179" i="50" s="1"/>
  <c r="DR124" i="50"/>
  <c r="BO178" i="50" s="1"/>
  <c r="DQ124" i="50"/>
  <c r="BN178" i="50" s="1"/>
  <c r="DP124" i="50"/>
  <c r="BM178" i="50" s="1"/>
  <c r="DO124" i="50"/>
  <c r="BL178" i="50" s="1"/>
  <c r="DN124" i="50"/>
  <c r="BK178" i="50" s="1"/>
  <c r="DR123" i="50"/>
  <c r="BO177" i="50" s="1"/>
  <c r="DQ123" i="50"/>
  <c r="BN177" i="50" s="1"/>
  <c r="DP123" i="50"/>
  <c r="BM177" i="50" s="1"/>
  <c r="DO123" i="50"/>
  <c r="BL177" i="50" s="1"/>
  <c r="DN123" i="50"/>
  <c r="BK177" i="50" s="1"/>
  <c r="DR122" i="50"/>
  <c r="BO176" i="50" s="1"/>
  <c r="DQ122" i="50"/>
  <c r="BN176" i="50" s="1"/>
  <c r="DP122" i="50"/>
  <c r="BM176" i="50" s="1"/>
  <c r="DO122" i="50"/>
  <c r="BL176" i="50" s="1"/>
  <c r="DN122" i="50"/>
  <c r="BK176" i="50" s="1"/>
  <c r="DR121" i="50"/>
  <c r="BO175" i="50" s="1"/>
  <c r="DQ121" i="50"/>
  <c r="BN175" i="50" s="1"/>
  <c r="DP121" i="50"/>
  <c r="BM175" i="50" s="1"/>
  <c r="DO121" i="50"/>
  <c r="BL175" i="50" s="1"/>
  <c r="DN121" i="50"/>
  <c r="BK175" i="50" s="1"/>
  <c r="DR120" i="50"/>
  <c r="BO174" i="50" s="1"/>
  <c r="DQ120" i="50"/>
  <c r="BN174" i="50" s="1"/>
  <c r="DP120" i="50"/>
  <c r="BM174" i="50" s="1"/>
  <c r="DO120" i="50"/>
  <c r="BL174" i="50" s="1"/>
  <c r="DN120" i="50"/>
  <c r="BK174" i="50" s="1"/>
  <c r="DR119" i="50"/>
  <c r="BO173" i="50" s="1"/>
  <c r="DQ119" i="50"/>
  <c r="BN173" i="50" s="1"/>
  <c r="DP119" i="50"/>
  <c r="BM173" i="50" s="1"/>
  <c r="DO119" i="50"/>
  <c r="BL173" i="50" s="1"/>
  <c r="DN119" i="50"/>
  <c r="BK173" i="50" s="1"/>
  <c r="DR118" i="50"/>
  <c r="BO172" i="50" s="1"/>
  <c r="DQ118" i="50"/>
  <c r="BN172" i="50" s="1"/>
  <c r="DP118" i="50"/>
  <c r="BM172" i="50" s="1"/>
  <c r="DO118" i="50"/>
  <c r="BL172" i="50" s="1"/>
  <c r="DN118" i="50"/>
  <c r="BK172" i="50" s="1"/>
  <c r="DR117" i="50"/>
  <c r="BO171" i="50" s="1"/>
  <c r="DQ117" i="50"/>
  <c r="BN171" i="50" s="1"/>
  <c r="DP117" i="50"/>
  <c r="BM171" i="50" s="1"/>
  <c r="DO117" i="50"/>
  <c r="BL171" i="50" s="1"/>
  <c r="DN117" i="50"/>
  <c r="BK171" i="50" s="1"/>
  <c r="DR116" i="50"/>
  <c r="BO170" i="50" s="1"/>
  <c r="DQ116" i="50"/>
  <c r="BN170" i="50" s="1"/>
  <c r="DP116" i="50"/>
  <c r="BM170" i="50" s="1"/>
  <c r="DO116" i="50"/>
  <c r="BL170" i="50" s="1"/>
  <c r="DN116" i="50"/>
  <c r="BK170" i="50" s="1"/>
  <c r="DR115" i="50"/>
  <c r="BO169" i="50" s="1"/>
  <c r="DQ115" i="50"/>
  <c r="BN169" i="50" s="1"/>
  <c r="DP115" i="50"/>
  <c r="BM169" i="50" s="1"/>
  <c r="DO115" i="50"/>
  <c r="BL169" i="50" s="1"/>
  <c r="DN115" i="50"/>
  <c r="BK169" i="50" s="1"/>
  <c r="DR114" i="50"/>
  <c r="BO168" i="50" s="1"/>
  <c r="DQ114" i="50"/>
  <c r="BN168" i="50" s="1"/>
  <c r="DP114" i="50"/>
  <c r="BM168" i="50" s="1"/>
  <c r="DO114" i="50"/>
  <c r="BL168" i="50" s="1"/>
  <c r="DN114" i="50"/>
  <c r="BK168" i="50" s="1"/>
  <c r="DR113" i="50"/>
  <c r="BO167" i="50" s="1"/>
  <c r="DQ113" i="50"/>
  <c r="BN167" i="50" s="1"/>
  <c r="DP113" i="50"/>
  <c r="BM167" i="50" s="1"/>
  <c r="DO113" i="50"/>
  <c r="BL167" i="50" s="1"/>
  <c r="DN113" i="50"/>
  <c r="BK167" i="50" s="1"/>
  <c r="DR112" i="50"/>
  <c r="BO166" i="50" s="1"/>
  <c r="DQ112" i="50"/>
  <c r="BN166" i="50" s="1"/>
  <c r="DP112" i="50"/>
  <c r="BM166" i="50" s="1"/>
  <c r="DO112" i="50"/>
  <c r="BL166" i="50" s="1"/>
  <c r="DN112" i="50"/>
  <c r="BK166" i="50" s="1"/>
  <c r="DR111" i="50"/>
  <c r="BO165" i="50" s="1"/>
  <c r="DQ111" i="50"/>
  <c r="BN165" i="50" s="1"/>
  <c r="DP111" i="50"/>
  <c r="BM165" i="50" s="1"/>
  <c r="DO111" i="50"/>
  <c r="BL165" i="50" s="1"/>
  <c r="DN111" i="50"/>
  <c r="BK165" i="50" s="1"/>
  <c r="DM134" i="50"/>
  <c r="BJ188" i="50" s="1"/>
  <c r="DL134" i="50"/>
  <c r="BI188" i="50" s="1"/>
  <c r="DK134" i="50"/>
  <c r="BH188" i="50" s="1"/>
  <c r="DJ134" i="50"/>
  <c r="BG188" i="50" s="1"/>
  <c r="DI134" i="50"/>
  <c r="BF188" i="50" s="1"/>
  <c r="DM132" i="50"/>
  <c r="BJ186" i="50" s="1"/>
  <c r="DL132" i="50"/>
  <c r="BI186" i="50" s="1"/>
  <c r="DK132" i="50"/>
  <c r="BH186" i="50" s="1"/>
  <c r="DJ132" i="50"/>
  <c r="BG186" i="50" s="1"/>
  <c r="DI132" i="50"/>
  <c r="BF186" i="50" s="1"/>
  <c r="DM131" i="50"/>
  <c r="BJ185" i="50" s="1"/>
  <c r="DL131" i="50"/>
  <c r="BI185" i="50" s="1"/>
  <c r="DK131" i="50"/>
  <c r="BH185" i="50" s="1"/>
  <c r="DJ131" i="50"/>
  <c r="BG185" i="50" s="1"/>
  <c r="DI131" i="50"/>
  <c r="BF185" i="50" s="1"/>
  <c r="DM130" i="50"/>
  <c r="BJ184" i="50" s="1"/>
  <c r="DL130" i="50"/>
  <c r="BI184" i="50" s="1"/>
  <c r="DK130" i="50"/>
  <c r="BH184" i="50" s="1"/>
  <c r="DJ130" i="50"/>
  <c r="BG184" i="50" s="1"/>
  <c r="DI130" i="50"/>
  <c r="BF184" i="50" s="1"/>
  <c r="DM129" i="50"/>
  <c r="BJ183" i="50" s="1"/>
  <c r="DL129" i="50"/>
  <c r="BI183" i="50" s="1"/>
  <c r="DK129" i="50"/>
  <c r="BH183" i="50" s="1"/>
  <c r="DJ129" i="50"/>
  <c r="BG183" i="50" s="1"/>
  <c r="DI129" i="50"/>
  <c r="BF183" i="50" s="1"/>
  <c r="DM128" i="50"/>
  <c r="BJ182" i="50" s="1"/>
  <c r="DL128" i="50"/>
  <c r="BI182" i="50" s="1"/>
  <c r="DK128" i="50"/>
  <c r="BH182" i="50" s="1"/>
  <c r="DJ128" i="50"/>
  <c r="BG182" i="50" s="1"/>
  <c r="DI128" i="50"/>
  <c r="BF182" i="50" s="1"/>
  <c r="DM127" i="50"/>
  <c r="BJ181" i="50" s="1"/>
  <c r="DL127" i="50"/>
  <c r="BI181" i="50" s="1"/>
  <c r="DK127" i="50"/>
  <c r="BH181" i="50" s="1"/>
  <c r="DJ127" i="50"/>
  <c r="BG181" i="50" s="1"/>
  <c r="DI127" i="50"/>
  <c r="BF181" i="50" s="1"/>
  <c r="DM126" i="50"/>
  <c r="BJ180" i="50" s="1"/>
  <c r="DL126" i="50"/>
  <c r="BI180" i="50" s="1"/>
  <c r="DK126" i="50"/>
  <c r="BH180" i="50" s="1"/>
  <c r="DJ126" i="50"/>
  <c r="BG180" i="50" s="1"/>
  <c r="DI126" i="50"/>
  <c r="BF180" i="50" s="1"/>
  <c r="DM125" i="50"/>
  <c r="BJ179" i="50" s="1"/>
  <c r="DL125" i="50"/>
  <c r="BI179" i="50" s="1"/>
  <c r="DJ125" i="50"/>
  <c r="BG179" i="50" s="1"/>
  <c r="DI125" i="50"/>
  <c r="BF179" i="50" s="1"/>
  <c r="DM124" i="50"/>
  <c r="BJ178" i="50" s="1"/>
  <c r="DL124" i="50"/>
  <c r="BI178" i="50" s="1"/>
  <c r="DK124" i="50"/>
  <c r="BH178" i="50" s="1"/>
  <c r="DJ124" i="50"/>
  <c r="BG178" i="50" s="1"/>
  <c r="DI124" i="50"/>
  <c r="BF178" i="50" s="1"/>
  <c r="DM123" i="50"/>
  <c r="BJ177" i="50" s="1"/>
  <c r="DL123" i="50"/>
  <c r="BI177" i="50" s="1"/>
  <c r="DK123" i="50"/>
  <c r="BH177" i="50" s="1"/>
  <c r="DJ123" i="50"/>
  <c r="BG177" i="50" s="1"/>
  <c r="DI123" i="50"/>
  <c r="BF177" i="50" s="1"/>
  <c r="DM122" i="50"/>
  <c r="BJ176" i="50" s="1"/>
  <c r="DL122" i="50"/>
  <c r="BI176" i="50" s="1"/>
  <c r="DK122" i="50"/>
  <c r="BH176" i="50" s="1"/>
  <c r="DJ122" i="50"/>
  <c r="BG176" i="50" s="1"/>
  <c r="DI122" i="50"/>
  <c r="BF176" i="50" s="1"/>
  <c r="DM121" i="50"/>
  <c r="BJ175" i="50" s="1"/>
  <c r="DL121" i="50"/>
  <c r="BI175" i="50" s="1"/>
  <c r="DK121" i="50"/>
  <c r="BH175" i="50" s="1"/>
  <c r="DJ121" i="50"/>
  <c r="BG175" i="50" s="1"/>
  <c r="DI121" i="50"/>
  <c r="BF175" i="50" s="1"/>
  <c r="DM120" i="50"/>
  <c r="BJ174" i="50" s="1"/>
  <c r="DL120" i="50"/>
  <c r="BI174" i="50" s="1"/>
  <c r="DK120" i="50"/>
  <c r="BH174" i="50" s="1"/>
  <c r="DJ120" i="50"/>
  <c r="BG174" i="50" s="1"/>
  <c r="DI120" i="50"/>
  <c r="BF174" i="50" s="1"/>
  <c r="DM119" i="50"/>
  <c r="BJ173" i="50" s="1"/>
  <c r="DL119" i="50"/>
  <c r="BI173" i="50" s="1"/>
  <c r="DK119" i="50"/>
  <c r="BH173" i="50" s="1"/>
  <c r="DJ119" i="50"/>
  <c r="BG173" i="50" s="1"/>
  <c r="DI119" i="50"/>
  <c r="BF173" i="50" s="1"/>
  <c r="DM118" i="50"/>
  <c r="BJ172" i="50" s="1"/>
  <c r="DL118" i="50"/>
  <c r="BI172" i="50" s="1"/>
  <c r="DK118" i="50"/>
  <c r="BH172" i="50" s="1"/>
  <c r="DJ118" i="50"/>
  <c r="BG172" i="50" s="1"/>
  <c r="DI118" i="50"/>
  <c r="BF172" i="50" s="1"/>
  <c r="DM117" i="50"/>
  <c r="BJ171" i="50" s="1"/>
  <c r="DL117" i="50"/>
  <c r="BI171" i="50" s="1"/>
  <c r="DK117" i="50"/>
  <c r="BH171" i="50" s="1"/>
  <c r="DJ117" i="50"/>
  <c r="BG171" i="50" s="1"/>
  <c r="DI117" i="50"/>
  <c r="BF171" i="50" s="1"/>
  <c r="DM116" i="50"/>
  <c r="BJ170" i="50" s="1"/>
  <c r="DL116" i="50"/>
  <c r="BI170" i="50" s="1"/>
  <c r="DK116" i="50"/>
  <c r="BH170" i="50" s="1"/>
  <c r="DJ116" i="50"/>
  <c r="BG170" i="50" s="1"/>
  <c r="DI116" i="50"/>
  <c r="BF170" i="50" s="1"/>
  <c r="DM115" i="50"/>
  <c r="BJ169" i="50" s="1"/>
  <c r="DL115" i="50"/>
  <c r="BI169" i="50" s="1"/>
  <c r="DK115" i="50"/>
  <c r="BH169" i="50" s="1"/>
  <c r="DJ115" i="50"/>
  <c r="BG169" i="50" s="1"/>
  <c r="DI115" i="50"/>
  <c r="BF169" i="50" s="1"/>
  <c r="DM114" i="50"/>
  <c r="BJ168" i="50" s="1"/>
  <c r="DL114" i="50"/>
  <c r="BI168" i="50" s="1"/>
  <c r="DK114" i="50"/>
  <c r="BH168" i="50" s="1"/>
  <c r="DJ114" i="50"/>
  <c r="BG168" i="50" s="1"/>
  <c r="DI114" i="50"/>
  <c r="BF168" i="50" s="1"/>
  <c r="DM113" i="50"/>
  <c r="BJ167" i="50" s="1"/>
  <c r="DL113" i="50"/>
  <c r="BI167" i="50" s="1"/>
  <c r="DK113" i="50"/>
  <c r="BH167" i="50" s="1"/>
  <c r="DJ113" i="50"/>
  <c r="BG167" i="50" s="1"/>
  <c r="DI113" i="50"/>
  <c r="BF167" i="50" s="1"/>
  <c r="DM112" i="50"/>
  <c r="BJ166" i="50" s="1"/>
  <c r="DL112" i="50"/>
  <c r="BI166" i="50" s="1"/>
  <c r="DK112" i="50"/>
  <c r="BH166" i="50" s="1"/>
  <c r="DJ112" i="50"/>
  <c r="BG166" i="50" s="1"/>
  <c r="DI112" i="50"/>
  <c r="BF166" i="50" s="1"/>
  <c r="DM111" i="50"/>
  <c r="DL111" i="50"/>
  <c r="BI165" i="50" s="1"/>
  <c r="DK111" i="50"/>
  <c r="BH165" i="50" s="1"/>
  <c r="DJ111" i="50"/>
  <c r="BG165" i="50" s="1"/>
  <c r="DI111" i="50"/>
  <c r="BF165" i="50" s="1"/>
  <c r="DH134" i="50"/>
  <c r="BE188" i="50" s="1"/>
  <c r="DG134" i="50"/>
  <c r="BD188" i="50" s="1"/>
  <c r="DF134" i="50"/>
  <c r="BC188" i="50" s="1"/>
  <c r="DE134" i="50"/>
  <c r="BB188" i="50" s="1"/>
  <c r="DD134" i="50"/>
  <c r="BA188" i="50" s="1"/>
  <c r="DH132" i="50"/>
  <c r="BE186" i="50" s="1"/>
  <c r="DG132" i="50"/>
  <c r="BD186" i="50" s="1"/>
  <c r="DF132" i="50"/>
  <c r="BC186" i="50" s="1"/>
  <c r="DE132" i="50"/>
  <c r="BB186" i="50" s="1"/>
  <c r="DD132" i="50"/>
  <c r="BA186" i="50" s="1"/>
  <c r="DH131" i="50"/>
  <c r="BE185" i="50" s="1"/>
  <c r="DG131" i="50"/>
  <c r="BD185" i="50" s="1"/>
  <c r="DF131" i="50"/>
  <c r="BC185" i="50" s="1"/>
  <c r="DE131" i="50"/>
  <c r="BB185" i="50" s="1"/>
  <c r="DD131" i="50"/>
  <c r="BA185" i="50" s="1"/>
  <c r="DH130" i="50"/>
  <c r="BE184" i="50" s="1"/>
  <c r="DG130" i="50"/>
  <c r="BD184" i="50" s="1"/>
  <c r="DF130" i="50"/>
  <c r="BC184" i="50" s="1"/>
  <c r="DE130" i="50"/>
  <c r="BB184" i="50" s="1"/>
  <c r="DD130" i="50"/>
  <c r="BA184" i="50" s="1"/>
  <c r="DH129" i="50"/>
  <c r="BE183" i="50" s="1"/>
  <c r="DG129" i="50"/>
  <c r="BD183" i="50" s="1"/>
  <c r="DF129" i="50"/>
  <c r="BC183" i="50" s="1"/>
  <c r="DE129" i="50"/>
  <c r="BB183" i="50" s="1"/>
  <c r="DD129" i="50"/>
  <c r="BA183" i="50" s="1"/>
  <c r="DH128" i="50"/>
  <c r="BE182" i="50" s="1"/>
  <c r="DG128" i="50"/>
  <c r="BD182" i="50" s="1"/>
  <c r="DF128" i="50"/>
  <c r="BC182" i="50" s="1"/>
  <c r="DE128" i="50"/>
  <c r="BB182" i="50" s="1"/>
  <c r="DD128" i="50"/>
  <c r="BA182" i="50" s="1"/>
  <c r="DH127" i="50"/>
  <c r="BE181" i="50" s="1"/>
  <c r="DG127" i="50"/>
  <c r="BD181" i="50" s="1"/>
  <c r="DF127" i="50"/>
  <c r="BC181" i="50" s="1"/>
  <c r="DE127" i="50"/>
  <c r="BB181" i="50" s="1"/>
  <c r="DD127" i="50"/>
  <c r="BA181" i="50" s="1"/>
  <c r="DH126" i="50"/>
  <c r="BE180" i="50" s="1"/>
  <c r="DG126" i="50"/>
  <c r="BD180" i="50" s="1"/>
  <c r="DF126" i="50"/>
  <c r="BC180" i="50" s="1"/>
  <c r="DE126" i="50"/>
  <c r="BB180" i="50" s="1"/>
  <c r="DD126" i="50"/>
  <c r="BA180" i="50" s="1"/>
  <c r="DH125" i="50"/>
  <c r="BE179" i="50" s="1"/>
  <c r="DG125" i="50"/>
  <c r="BD179" i="50" s="1"/>
  <c r="DE125" i="50"/>
  <c r="BB179" i="50" s="1"/>
  <c r="DD125" i="50"/>
  <c r="BA179" i="50" s="1"/>
  <c r="DH124" i="50"/>
  <c r="BE178" i="50" s="1"/>
  <c r="DG124" i="50"/>
  <c r="BD178" i="50" s="1"/>
  <c r="DF124" i="50"/>
  <c r="BC178" i="50" s="1"/>
  <c r="DE124" i="50"/>
  <c r="BB178" i="50" s="1"/>
  <c r="DD124" i="50"/>
  <c r="BA178" i="50" s="1"/>
  <c r="DH123" i="50"/>
  <c r="BE177" i="50" s="1"/>
  <c r="DG123" i="50"/>
  <c r="BD177" i="50" s="1"/>
  <c r="DF123" i="50"/>
  <c r="BC177" i="50" s="1"/>
  <c r="DE123" i="50"/>
  <c r="BB177" i="50" s="1"/>
  <c r="DD123" i="50"/>
  <c r="BA177" i="50" s="1"/>
  <c r="DH122" i="50"/>
  <c r="BE176" i="50" s="1"/>
  <c r="DG122" i="50"/>
  <c r="BD176" i="50" s="1"/>
  <c r="DF122" i="50"/>
  <c r="BC176" i="50" s="1"/>
  <c r="DE122" i="50"/>
  <c r="BB176" i="50" s="1"/>
  <c r="DD122" i="50"/>
  <c r="BA176" i="50" s="1"/>
  <c r="DH121" i="50"/>
  <c r="BE175" i="50" s="1"/>
  <c r="DG121" i="50"/>
  <c r="BD175" i="50" s="1"/>
  <c r="DF121" i="50"/>
  <c r="BC175" i="50" s="1"/>
  <c r="DE121" i="50"/>
  <c r="BB175" i="50" s="1"/>
  <c r="DD121" i="50"/>
  <c r="BA175" i="50" s="1"/>
  <c r="DH120" i="50"/>
  <c r="BE174" i="50" s="1"/>
  <c r="DG120" i="50"/>
  <c r="BD174" i="50" s="1"/>
  <c r="DF120" i="50"/>
  <c r="BC174" i="50" s="1"/>
  <c r="DE120" i="50"/>
  <c r="BB174" i="50" s="1"/>
  <c r="DD120" i="50"/>
  <c r="BA174" i="50" s="1"/>
  <c r="DH119" i="50"/>
  <c r="BE173" i="50" s="1"/>
  <c r="DG119" i="50"/>
  <c r="BD173" i="50" s="1"/>
  <c r="DF119" i="50"/>
  <c r="BC173" i="50" s="1"/>
  <c r="DE119" i="50"/>
  <c r="BB173" i="50" s="1"/>
  <c r="DD119" i="50"/>
  <c r="BA173" i="50" s="1"/>
  <c r="DH118" i="50"/>
  <c r="BE172" i="50" s="1"/>
  <c r="DG118" i="50"/>
  <c r="BD172" i="50" s="1"/>
  <c r="DF118" i="50"/>
  <c r="BC172" i="50" s="1"/>
  <c r="DE118" i="50"/>
  <c r="BB172" i="50" s="1"/>
  <c r="DD118" i="50"/>
  <c r="BA172" i="50" s="1"/>
  <c r="DH117" i="50"/>
  <c r="BE171" i="50" s="1"/>
  <c r="DG117" i="50"/>
  <c r="BD171" i="50" s="1"/>
  <c r="DF117" i="50"/>
  <c r="BC171" i="50" s="1"/>
  <c r="DE117" i="50"/>
  <c r="BB171" i="50" s="1"/>
  <c r="DD117" i="50"/>
  <c r="BA171" i="50" s="1"/>
  <c r="DH116" i="50"/>
  <c r="BE170" i="50" s="1"/>
  <c r="DG116" i="50"/>
  <c r="BD170" i="50" s="1"/>
  <c r="DF116" i="50"/>
  <c r="BC170" i="50" s="1"/>
  <c r="DE116" i="50"/>
  <c r="BB170" i="50" s="1"/>
  <c r="DD116" i="50"/>
  <c r="BA170" i="50" s="1"/>
  <c r="DH115" i="50"/>
  <c r="BE169" i="50" s="1"/>
  <c r="DG115" i="50"/>
  <c r="BD169" i="50" s="1"/>
  <c r="DF115" i="50"/>
  <c r="BC169" i="50" s="1"/>
  <c r="DE115" i="50"/>
  <c r="BB169" i="50" s="1"/>
  <c r="DD115" i="50"/>
  <c r="BA169" i="50" s="1"/>
  <c r="DH114" i="50"/>
  <c r="BE168" i="50" s="1"/>
  <c r="DG114" i="50"/>
  <c r="BD168" i="50" s="1"/>
  <c r="DF114" i="50"/>
  <c r="BC168" i="50" s="1"/>
  <c r="DE114" i="50"/>
  <c r="BB168" i="50" s="1"/>
  <c r="DD114" i="50"/>
  <c r="BA168" i="50" s="1"/>
  <c r="DH113" i="50"/>
  <c r="BE167" i="50" s="1"/>
  <c r="DG113" i="50"/>
  <c r="BD167" i="50" s="1"/>
  <c r="DF113" i="50"/>
  <c r="BC167" i="50" s="1"/>
  <c r="DE113" i="50"/>
  <c r="BB167" i="50" s="1"/>
  <c r="DD113" i="50"/>
  <c r="BA167" i="50" s="1"/>
  <c r="DH112" i="50"/>
  <c r="BE166" i="50" s="1"/>
  <c r="DG112" i="50"/>
  <c r="BD166" i="50" s="1"/>
  <c r="DF112" i="50"/>
  <c r="BC166" i="50" s="1"/>
  <c r="DE112" i="50"/>
  <c r="BB166" i="50" s="1"/>
  <c r="DD112" i="50"/>
  <c r="BA166" i="50" s="1"/>
  <c r="DH111" i="50"/>
  <c r="BE165" i="50" s="1"/>
  <c r="DG111" i="50"/>
  <c r="DF111" i="50"/>
  <c r="BC165" i="50" s="1"/>
  <c r="DE111" i="50"/>
  <c r="BB165" i="50" s="1"/>
  <c r="DD111" i="50"/>
  <c r="BA165" i="50" s="1"/>
  <c r="DC134" i="50"/>
  <c r="DB134" i="50"/>
  <c r="DA134" i="50"/>
  <c r="CZ134" i="50"/>
  <c r="CY134" i="50"/>
  <c r="DC132" i="50"/>
  <c r="DB132" i="50"/>
  <c r="DA132" i="50"/>
  <c r="CZ132" i="50"/>
  <c r="CY132" i="50"/>
  <c r="DC131" i="50"/>
  <c r="DB131" i="50"/>
  <c r="DA131" i="50"/>
  <c r="CZ131" i="50"/>
  <c r="CY131" i="50"/>
  <c r="DC130" i="50"/>
  <c r="DB130" i="50"/>
  <c r="DA130" i="50"/>
  <c r="CZ130" i="50"/>
  <c r="CY130" i="50"/>
  <c r="DC129" i="50"/>
  <c r="DB129" i="50"/>
  <c r="DA129" i="50"/>
  <c r="CZ129" i="50"/>
  <c r="CY129" i="50"/>
  <c r="DC128" i="50"/>
  <c r="DB128" i="50"/>
  <c r="DA128" i="50"/>
  <c r="CZ128" i="50"/>
  <c r="CY128" i="50"/>
  <c r="DC127" i="50"/>
  <c r="DB127" i="50"/>
  <c r="DA127" i="50"/>
  <c r="CZ127" i="50"/>
  <c r="CY127" i="50"/>
  <c r="DC126" i="50"/>
  <c r="DB126" i="50"/>
  <c r="DA126" i="50"/>
  <c r="CZ126" i="50"/>
  <c r="CY126" i="50"/>
  <c r="DC125" i="50"/>
  <c r="DB125" i="50"/>
  <c r="CZ125" i="50"/>
  <c r="CY125" i="50"/>
  <c r="DC124" i="50"/>
  <c r="DB124" i="50"/>
  <c r="DA124" i="50"/>
  <c r="CZ124" i="50"/>
  <c r="CY124" i="50"/>
  <c r="DC123" i="50"/>
  <c r="DB123" i="50"/>
  <c r="DA123" i="50"/>
  <c r="CZ123" i="50"/>
  <c r="CY123" i="50"/>
  <c r="DC122" i="50"/>
  <c r="DB122" i="50"/>
  <c r="DA122" i="50"/>
  <c r="CZ122" i="50"/>
  <c r="CY122" i="50"/>
  <c r="DC121" i="50"/>
  <c r="DB121" i="50"/>
  <c r="DA121" i="50"/>
  <c r="CZ121" i="50"/>
  <c r="CY121" i="50"/>
  <c r="DC120" i="50"/>
  <c r="DB120" i="50"/>
  <c r="DA120" i="50"/>
  <c r="CZ120" i="50"/>
  <c r="CY120" i="50"/>
  <c r="DC119" i="50"/>
  <c r="DB119" i="50"/>
  <c r="DA119" i="50"/>
  <c r="CZ119" i="50"/>
  <c r="CY119" i="50"/>
  <c r="DC118" i="50"/>
  <c r="DB118" i="50"/>
  <c r="DA118" i="50"/>
  <c r="CZ118" i="50"/>
  <c r="CY118" i="50"/>
  <c r="DC117" i="50"/>
  <c r="DB117" i="50"/>
  <c r="DA117" i="50"/>
  <c r="CZ117" i="50"/>
  <c r="CY117" i="50"/>
  <c r="DC116" i="50"/>
  <c r="DB116" i="50"/>
  <c r="DA116" i="50"/>
  <c r="CZ116" i="50"/>
  <c r="CY116" i="50"/>
  <c r="DC115" i="50"/>
  <c r="DB115" i="50"/>
  <c r="DA115" i="50"/>
  <c r="CZ115" i="50"/>
  <c r="CY115" i="50"/>
  <c r="DC114" i="50"/>
  <c r="DB114" i="50"/>
  <c r="DA114" i="50"/>
  <c r="CZ114" i="50"/>
  <c r="CY114" i="50"/>
  <c r="DC113" i="50"/>
  <c r="DB113" i="50"/>
  <c r="DA113" i="50"/>
  <c r="CZ113" i="50"/>
  <c r="CY113" i="50"/>
  <c r="DC112" i="50"/>
  <c r="DB112" i="50"/>
  <c r="DA112" i="50"/>
  <c r="CZ112" i="50"/>
  <c r="CY112" i="50"/>
  <c r="DC111" i="50"/>
  <c r="DB111" i="50"/>
  <c r="DA111" i="50"/>
  <c r="CZ111" i="50"/>
  <c r="CY111" i="50"/>
  <c r="CX134" i="50"/>
  <c r="CW134" i="50"/>
  <c r="CV134" i="50"/>
  <c r="CU134" i="50"/>
  <c r="CT134" i="50"/>
  <c r="CX132" i="50"/>
  <c r="CW132" i="50"/>
  <c r="CV132" i="50"/>
  <c r="CU132" i="50"/>
  <c r="CT132" i="50"/>
  <c r="CX131" i="50"/>
  <c r="CW131" i="50"/>
  <c r="CV131" i="50"/>
  <c r="CU131" i="50"/>
  <c r="CT131" i="50"/>
  <c r="CX130" i="50"/>
  <c r="CW130" i="50"/>
  <c r="CV130" i="50"/>
  <c r="CU130" i="50"/>
  <c r="CT130" i="50"/>
  <c r="CX129" i="50"/>
  <c r="CW129" i="50"/>
  <c r="CV129" i="50"/>
  <c r="CU129" i="50"/>
  <c r="CT129" i="50"/>
  <c r="CX128" i="50"/>
  <c r="CW128" i="50"/>
  <c r="CV128" i="50"/>
  <c r="CU128" i="50"/>
  <c r="CT128" i="50"/>
  <c r="CX127" i="50"/>
  <c r="CW127" i="50"/>
  <c r="CV127" i="50"/>
  <c r="CU127" i="50"/>
  <c r="CT127" i="50"/>
  <c r="CX126" i="50"/>
  <c r="CW126" i="50"/>
  <c r="CV126" i="50"/>
  <c r="CU126" i="50"/>
  <c r="CT126" i="50"/>
  <c r="CX125" i="50"/>
  <c r="CW125" i="50"/>
  <c r="CU125" i="50"/>
  <c r="CT125" i="50"/>
  <c r="CX124" i="50"/>
  <c r="CW124" i="50"/>
  <c r="CV124" i="50"/>
  <c r="CU124" i="50"/>
  <c r="CT124" i="50"/>
  <c r="CX123" i="50"/>
  <c r="CW123" i="50"/>
  <c r="CV123" i="50"/>
  <c r="CU123" i="50"/>
  <c r="CT123" i="50"/>
  <c r="CX122" i="50"/>
  <c r="CW122" i="50"/>
  <c r="CV122" i="50"/>
  <c r="CU122" i="50"/>
  <c r="CT122" i="50"/>
  <c r="CX121" i="50"/>
  <c r="CW121" i="50"/>
  <c r="CV121" i="50"/>
  <c r="CU121" i="50"/>
  <c r="CT121" i="50"/>
  <c r="CX120" i="50"/>
  <c r="CW120" i="50"/>
  <c r="CV120" i="50"/>
  <c r="CU120" i="50"/>
  <c r="CT120" i="50"/>
  <c r="CX119" i="50"/>
  <c r="CW119" i="50"/>
  <c r="CV119" i="50"/>
  <c r="CU119" i="50"/>
  <c r="CT119" i="50"/>
  <c r="CX118" i="50"/>
  <c r="CW118" i="50"/>
  <c r="CV118" i="50"/>
  <c r="CU118" i="50"/>
  <c r="CT118" i="50"/>
  <c r="CX117" i="50"/>
  <c r="CW117" i="50"/>
  <c r="CV117" i="50"/>
  <c r="CU117" i="50"/>
  <c r="CT117" i="50"/>
  <c r="CX116" i="50"/>
  <c r="CW116" i="50"/>
  <c r="CV116" i="50"/>
  <c r="CU116" i="50"/>
  <c r="CT116" i="50"/>
  <c r="CX115" i="50"/>
  <c r="CW115" i="50"/>
  <c r="CV115" i="50"/>
  <c r="CU115" i="50"/>
  <c r="CT115" i="50"/>
  <c r="CX114" i="50"/>
  <c r="CW114" i="50"/>
  <c r="CV114" i="50"/>
  <c r="CU114" i="50"/>
  <c r="CT114" i="50"/>
  <c r="CX113" i="50"/>
  <c r="CW113" i="50"/>
  <c r="CV113" i="50"/>
  <c r="CU113" i="50"/>
  <c r="CT113" i="50"/>
  <c r="CX112" i="50"/>
  <c r="CW112" i="50"/>
  <c r="CV112" i="50"/>
  <c r="CU112" i="50"/>
  <c r="CT112" i="50"/>
  <c r="CX111" i="50"/>
  <c r="CW111" i="50"/>
  <c r="CV111" i="50"/>
  <c r="CU111" i="50"/>
  <c r="CT111" i="50"/>
  <c r="CS134" i="50"/>
  <c r="CR134" i="50"/>
  <c r="CQ134" i="50"/>
  <c r="CP134" i="50"/>
  <c r="CO134" i="50"/>
  <c r="CS132" i="50"/>
  <c r="CR132" i="50"/>
  <c r="CQ132" i="50"/>
  <c r="CP132" i="50"/>
  <c r="CO132" i="50"/>
  <c r="CS131" i="50"/>
  <c r="CR131" i="50"/>
  <c r="CQ131" i="50"/>
  <c r="CP131" i="50"/>
  <c r="CO131" i="50"/>
  <c r="CS130" i="50"/>
  <c r="CR130" i="50"/>
  <c r="CQ130" i="50"/>
  <c r="CP130" i="50"/>
  <c r="CO130" i="50"/>
  <c r="CS129" i="50"/>
  <c r="CR129" i="50"/>
  <c r="CQ129" i="50"/>
  <c r="CP129" i="50"/>
  <c r="CO129" i="50"/>
  <c r="CS128" i="50"/>
  <c r="CR128" i="50"/>
  <c r="CQ128" i="50"/>
  <c r="CP128" i="50"/>
  <c r="CO128" i="50"/>
  <c r="CS127" i="50"/>
  <c r="CR127" i="50"/>
  <c r="CQ127" i="50"/>
  <c r="CP127" i="50"/>
  <c r="CO127" i="50"/>
  <c r="CS126" i="50"/>
  <c r="CR126" i="50"/>
  <c r="CQ126" i="50"/>
  <c r="CP126" i="50"/>
  <c r="CO126" i="50"/>
  <c r="CS125" i="50"/>
  <c r="CR125" i="50"/>
  <c r="CP125" i="50"/>
  <c r="CO125" i="50"/>
  <c r="CS124" i="50"/>
  <c r="CR124" i="50"/>
  <c r="CQ124" i="50"/>
  <c r="CP124" i="50"/>
  <c r="CO124" i="50"/>
  <c r="CS123" i="50"/>
  <c r="CR123" i="50"/>
  <c r="CQ123" i="50"/>
  <c r="CP123" i="50"/>
  <c r="CO123" i="50"/>
  <c r="CS122" i="50"/>
  <c r="CR122" i="50"/>
  <c r="CQ122" i="50"/>
  <c r="CP122" i="50"/>
  <c r="CO122" i="50"/>
  <c r="CS121" i="50"/>
  <c r="CR121" i="50"/>
  <c r="CQ121" i="50"/>
  <c r="CP121" i="50"/>
  <c r="CO121" i="50"/>
  <c r="CS120" i="50"/>
  <c r="CR120" i="50"/>
  <c r="CQ120" i="50"/>
  <c r="CP120" i="50"/>
  <c r="CO120" i="50"/>
  <c r="CS119" i="50"/>
  <c r="CR119" i="50"/>
  <c r="CQ119" i="50"/>
  <c r="CP119" i="50"/>
  <c r="CO119" i="50"/>
  <c r="CS118" i="50"/>
  <c r="CR118" i="50"/>
  <c r="CQ118" i="50"/>
  <c r="CP118" i="50"/>
  <c r="CO118" i="50"/>
  <c r="CS117" i="50"/>
  <c r="CR117" i="50"/>
  <c r="CQ117" i="50"/>
  <c r="CP117" i="50"/>
  <c r="CO117" i="50"/>
  <c r="CS116" i="50"/>
  <c r="CR116" i="50"/>
  <c r="CQ116" i="50"/>
  <c r="CP116" i="50"/>
  <c r="CO116" i="50"/>
  <c r="CS115" i="50"/>
  <c r="CR115" i="50"/>
  <c r="CQ115" i="50"/>
  <c r="CP115" i="50"/>
  <c r="CO115" i="50"/>
  <c r="CS114" i="50"/>
  <c r="CR114" i="50"/>
  <c r="CQ114" i="50"/>
  <c r="CP114" i="50"/>
  <c r="CO114" i="50"/>
  <c r="CS113" i="50"/>
  <c r="CR113" i="50"/>
  <c r="CQ113" i="50"/>
  <c r="CP113" i="50"/>
  <c r="CO113" i="50"/>
  <c r="CS112" i="50"/>
  <c r="CR112" i="50"/>
  <c r="CQ112" i="50"/>
  <c r="CP112" i="50"/>
  <c r="CO112" i="50"/>
  <c r="CS111" i="50"/>
  <c r="CR111" i="50"/>
  <c r="CQ111" i="50"/>
  <c r="CP111" i="50"/>
  <c r="CO111" i="50"/>
  <c r="CN134" i="50"/>
  <c r="AU188" i="50" s="1"/>
  <c r="CM134" i="50"/>
  <c r="AT188" i="50" s="1"/>
  <c r="CL134" i="50"/>
  <c r="AS188" i="50" s="1"/>
  <c r="CK134" i="50"/>
  <c r="AR188" i="50" s="1"/>
  <c r="CJ134" i="50"/>
  <c r="AQ188" i="50" s="1"/>
  <c r="CN132" i="50"/>
  <c r="AU186" i="50" s="1"/>
  <c r="CM132" i="50"/>
  <c r="AT186" i="50" s="1"/>
  <c r="CL132" i="50"/>
  <c r="AS186" i="50" s="1"/>
  <c r="CK132" i="50"/>
  <c r="AR186" i="50" s="1"/>
  <c r="CJ132" i="50"/>
  <c r="AQ186" i="50" s="1"/>
  <c r="CN131" i="50"/>
  <c r="AU185" i="50" s="1"/>
  <c r="CM131" i="50"/>
  <c r="AT185" i="50" s="1"/>
  <c r="CL131" i="50"/>
  <c r="AS185" i="50" s="1"/>
  <c r="CK131" i="50"/>
  <c r="AR185" i="50" s="1"/>
  <c r="CJ131" i="50"/>
  <c r="AQ185" i="50" s="1"/>
  <c r="CN130" i="50"/>
  <c r="AU184" i="50" s="1"/>
  <c r="CM130" i="50"/>
  <c r="AT184" i="50" s="1"/>
  <c r="CL130" i="50"/>
  <c r="AS184" i="50" s="1"/>
  <c r="CK130" i="50"/>
  <c r="AR184" i="50" s="1"/>
  <c r="CJ130" i="50"/>
  <c r="AQ184" i="50" s="1"/>
  <c r="CN129" i="50"/>
  <c r="AU183" i="50" s="1"/>
  <c r="CM129" i="50"/>
  <c r="AT183" i="50" s="1"/>
  <c r="CL129" i="50"/>
  <c r="AS183" i="50" s="1"/>
  <c r="CK129" i="50"/>
  <c r="AR183" i="50" s="1"/>
  <c r="CJ129" i="50"/>
  <c r="AQ183" i="50" s="1"/>
  <c r="CN128" i="50"/>
  <c r="AU182" i="50" s="1"/>
  <c r="CM128" i="50"/>
  <c r="AT182" i="50" s="1"/>
  <c r="CL128" i="50"/>
  <c r="AS182" i="50" s="1"/>
  <c r="CK128" i="50"/>
  <c r="AR182" i="50" s="1"/>
  <c r="CJ128" i="50"/>
  <c r="AQ182" i="50" s="1"/>
  <c r="CN127" i="50"/>
  <c r="AU181" i="50" s="1"/>
  <c r="CM127" i="50"/>
  <c r="AT181" i="50" s="1"/>
  <c r="CL127" i="50"/>
  <c r="AS181" i="50" s="1"/>
  <c r="CK127" i="50"/>
  <c r="AR181" i="50" s="1"/>
  <c r="CJ127" i="50"/>
  <c r="AQ181" i="50" s="1"/>
  <c r="CN126" i="50"/>
  <c r="AU180" i="50" s="1"/>
  <c r="CM126" i="50"/>
  <c r="AT180" i="50" s="1"/>
  <c r="CL126" i="50"/>
  <c r="AS180" i="50" s="1"/>
  <c r="CK126" i="50"/>
  <c r="AR180" i="50" s="1"/>
  <c r="CJ126" i="50"/>
  <c r="AQ180" i="50" s="1"/>
  <c r="CN125" i="50"/>
  <c r="AU179" i="50" s="1"/>
  <c r="CM125" i="50"/>
  <c r="AT179" i="50" s="1"/>
  <c r="CK125" i="50"/>
  <c r="AR179" i="50" s="1"/>
  <c r="CJ125" i="50"/>
  <c r="AQ179" i="50" s="1"/>
  <c r="CN124" i="50"/>
  <c r="AU178" i="50" s="1"/>
  <c r="CM124" i="50"/>
  <c r="AT178" i="50" s="1"/>
  <c r="CL124" i="50"/>
  <c r="AS178" i="50" s="1"/>
  <c r="CK124" i="50"/>
  <c r="AR178" i="50" s="1"/>
  <c r="CJ124" i="50"/>
  <c r="AQ178" i="50" s="1"/>
  <c r="CN123" i="50"/>
  <c r="AU177" i="50" s="1"/>
  <c r="CM123" i="50"/>
  <c r="AT177" i="50" s="1"/>
  <c r="CL123" i="50"/>
  <c r="AS177" i="50" s="1"/>
  <c r="CK123" i="50"/>
  <c r="AR177" i="50" s="1"/>
  <c r="CJ123" i="50"/>
  <c r="AQ177" i="50" s="1"/>
  <c r="CN122" i="50"/>
  <c r="AU176" i="50" s="1"/>
  <c r="CM122" i="50"/>
  <c r="AT176" i="50" s="1"/>
  <c r="CL122" i="50"/>
  <c r="AS176" i="50" s="1"/>
  <c r="CK122" i="50"/>
  <c r="AR176" i="50" s="1"/>
  <c r="CJ122" i="50"/>
  <c r="AQ176" i="50" s="1"/>
  <c r="CN121" i="50"/>
  <c r="AU175" i="50" s="1"/>
  <c r="CM121" i="50"/>
  <c r="AT175" i="50" s="1"/>
  <c r="CL121" i="50"/>
  <c r="AS175" i="50" s="1"/>
  <c r="CK121" i="50"/>
  <c r="AR175" i="50" s="1"/>
  <c r="CJ121" i="50"/>
  <c r="AQ175" i="50" s="1"/>
  <c r="CN120" i="50"/>
  <c r="AU174" i="50" s="1"/>
  <c r="CM120" i="50"/>
  <c r="AT174" i="50" s="1"/>
  <c r="CL120" i="50"/>
  <c r="AS174" i="50" s="1"/>
  <c r="CK120" i="50"/>
  <c r="AR174" i="50" s="1"/>
  <c r="CJ120" i="50"/>
  <c r="AQ174" i="50" s="1"/>
  <c r="CN119" i="50"/>
  <c r="AU173" i="50" s="1"/>
  <c r="CM119" i="50"/>
  <c r="AT173" i="50" s="1"/>
  <c r="CL119" i="50"/>
  <c r="AS173" i="50" s="1"/>
  <c r="CK119" i="50"/>
  <c r="AR173" i="50" s="1"/>
  <c r="CJ119" i="50"/>
  <c r="AQ173" i="50" s="1"/>
  <c r="CN118" i="50"/>
  <c r="AU172" i="50" s="1"/>
  <c r="CM118" i="50"/>
  <c r="AT172" i="50" s="1"/>
  <c r="CL118" i="50"/>
  <c r="AS172" i="50" s="1"/>
  <c r="CK118" i="50"/>
  <c r="AR172" i="50" s="1"/>
  <c r="CJ118" i="50"/>
  <c r="AQ172" i="50" s="1"/>
  <c r="CN117" i="50"/>
  <c r="AU171" i="50" s="1"/>
  <c r="CM117" i="50"/>
  <c r="AT171" i="50" s="1"/>
  <c r="CL117" i="50"/>
  <c r="AS171" i="50" s="1"/>
  <c r="CK117" i="50"/>
  <c r="AR171" i="50" s="1"/>
  <c r="CJ117" i="50"/>
  <c r="AQ171" i="50" s="1"/>
  <c r="CN116" i="50"/>
  <c r="AU170" i="50" s="1"/>
  <c r="CM116" i="50"/>
  <c r="AT170" i="50" s="1"/>
  <c r="CL116" i="50"/>
  <c r="AS170" i="50" s="1"/>
  <c r="CK116" i="50"/>
  <c r="AR170" i="50" s="1"/>
  <c r="CJ116" i="50"/>
  <c r="AQ170" i="50" s="1"/>
  <c r="CN115" i="50"/>
  <c r="AU169" i="50" s="1"/>
  <c r="CM115" i="50"/>
  <c r="AT169" i="50" s="1"/>
  <c r="CL115" i="50"/>
  <c r="AS169" i="50" s="1"/>
  <c r="CK115" i="50"/>
  <c r="AR169" i="50" s="1"/>
  <c r="CJ115" i="50"/>
  <c r="AQ169" i="50" s="1"/>
  <c r="CN114" i="50"/>
  <c r="AU168" i="50" s="1"/>
  <c r="CM114" i="50"/>
  <c r="AT168" i="50" s="1"/>
  <c r="CL114" i="50"/>
  <c r="AS168" i="50" s="1"/>
  <c r="CK114" i="50"/>
  <c r="AR168" i="50" s="1"/>
  <c r="CJ114" i="50"/>
  <c r="AQ168" i="50" s="1"/>
  <c r="CN113" i="50"/>
  <c r="AU167" i="50" s="1"/>
  <c r="CM113" i="50"/>
  <c r="AT167" i="50" s="1"/>
  <c r="CL113" i="50"/>
  <c r="AS167" i="50" s="1"/>
  <c r="CK113" i="50"/>
  <c r="AR167" i="50" s="1"/>
  <c r="CJ113" i="50"/>
  <c r="AQ167" i="50" s="1"/>
  <c r="CN112" i="50"/>
  <c r="AU166" i="50" s="1"/>
  <c r="CM112" i="50"/>
  <c r="AT166" i="50" s="1"/>
  <c r="CL112" i="50"/>
  <c r="AS166" i="50" s="1"/>
  <c r="CK112" i="50"/>
  <c r="AR166" i="50" s="1"/>
  <c r="CJ112" i="50"/>
  <c r="AQ166" i="50" s="1"/>
  <c r="CN111" i="50"/>
  <c r="AU165" i="50" s="1"/>
  <c r="CM111" i="50"/>
  <c r="AT165" i="50" s="1"/>
  <c r="CL111" i="50"/>
  <c r="AS165" i="50" s="1"/>
  <c r="CK111" i="50"/>
  <c r="AR165" i="50" s="1"/>
  <c r="CJ111" i="50"/>
  <c r="AQ165" i="50" s="1"/>
  <c r="CI134" i="50"/>
  <c r="CH134" i="50"/>
  <c r="CG134" i="50"/>
  <c r="CF134" i="50"/>
  <c r="CE134" i="50"/>
  <c r="CI132" i="50"/>
  <c r="CH132" i="50"/>
  <c r="CG132" i="50"/>
  <c r="CF132" i="50"/>
  <c r="CE132" i="50"/>
  <c r="CI131" i="50"/>
  <c r="CH131" i="50"/>
  <c r="CG131" i="50"/>
  <c r="CF131" i="50"/>
  <c r="CE131" i="50"/>
  <c r="CI130" i="50"/>
  <c r="CH130" i="50"/>
  <c r="CG130" i="50"/>
  <c r="CF130" i="50"/>
  <c r="CE130" i="50"/>
  <c r="CI129" i="50"/>
  <c r="CH129" i="50"/>
  <c r="CG129" i="50"/>
  <c r="CF129" i="50"/>
  <c r="CE129" i="50"/>
  <c r="CI128" i="50"/>
  <c r="CH128" i="50"/>
  <c r="CG128" i="50"/>
  <c r="CF128" i="50"/>
  <c r="CE128" i="50"/>
  <c r="CI127" i="50"/>
  <c r="CH127" i="50"/>
  <c r="CG127" i="50"/>
  <c r="CF127" i="50"/>
  <c r="CE127" i="50"/>
  <c r="CI126" i="50"/>
  <c r="CH126" i="50"/>
  <c r="CG126" i="50"/>
  <c r="CF126" i="50"/>
  <c r="CE126" i="50"/>
  <c r="CI125" i="50"/>
  <c r="CH125" i="50"/>
  <c r="CF125" i="50"/>
  <c r="CE125" i="50"/>
  <c r="CI124" i="50"/>
  <c r="CH124" i="50"/>
  <c r="CG124" i="50"/>
  <c r="CF124" i="50"/>
  <c r="CE124" i="50"/>
  <c r="CI123" i="50"/>
  <c r="CH123" i="50"/>
  <c r="CG123" i="50"/>
  <c r="CF123" i="50"/>
  <c r="CE123" i="50"/>
  <c r="CI122" i="50"/>
  <c r="CH122" i="50"/>
  <c r="CG122" i="50"/>
  <c r="CF122" i="50"/>
  <c r="CE122" i="50"/>
  <c r="CI121" i="50"/>
  <c r="CH121" i="50"/>
  <c r="CG121" i="50"/>
  <c r="CF121" i="50"/>
  <c r="CE121" i="50"/>
  <c r="CI120" i="50"/>
  <c r="CH120" i="50"/>
  <c r="CG120" i="50"/>
  <c r="CF120" i="50"/>
  <c r="CE120" i="50"/>
  <c r="CI119" i="50"/>
  <c r="CH119" i="50"/>
  <c r="CG119" i="50"/>
  <c r="CF119" i="50"/>
  <c r="CE119" i="50"/>
  <c r="CI118" i="50"/>
  <c r="CH118" i="50"/>
  <c r="CG118" i="50"/>
  <c r="CF118" i="50"/>
  <c r="CE118" i="50"/>
  <c r="CI117" i="50"/>
  <c r="CH117" i="50"/>
  <c r="CG117" i="50"/>
  <c r="CF117" i="50"/>
  <c r="CE117" i="50"/>
  <c r="CI116" i="50"/>
  <c r="CH116" i="50"/>
  <c r="CG116" i="50"/>
  <c r="CF116" i="50"/>
  <c r="CE116" i="50"/>
  <c r="CI115" i="50"/>
  <c r="CH115" i="50"/>
  <c r="CG115" i="50"/>
  <c r="CF115" i="50"/>
  <c r="CE115" i="50"/>
  <c r="CI114" i="50"/>
  <c r="CH114" i="50"/>
  <c r="CG114" i="50"/>
  <c r="CF114" i="50"/>
  <c r="CE114" i="50"/>
  <c r="CI113" i="50"/>
  <c r="CH113" i="50"/>
  <c r="CG113" i="50"/>
  <c r="CF113" i="50"/>
  <c r="CE113" i="50"/>
  <c r="CI112" i="50"/>
  <c r="CH112" i="50"/>
  <c r="CG112" i="50"/>
  <c r="CF112" i="50"/>
  <c r="CE112" i="50"/>
  <c r="CI111" i="50"/>
  <c r="CH111" i="50"/>
  <c r="CG111" i="50"/>
  <c r="CF111" i="50"/>
  <c r="CE111" i="50"/>
  <c r="CD134" i="50"/>
  <c r="CC134" i="50"/>
  <c r="CB134" i="50"/>
  <c r="CA134" i="50"/>
  <c r="BZ134" i="50"/>
  <c r="CD132" i="50"/>
  <c r="CC132" i="50"/>
  <c r="CB132" i="50"/>
  <c r="CA132" i="50"/>
  <c r="BZ132" i="50"/>
  <c r="CD131" i="50"/>
  <c r="CC131" i="50"/>
  <c r="CB131" i="50"/>
  <c r="CA131" i="50"/>
  <c r="BZ131" i="50"/>
  <c r="CD130" i="50"/>
  <c r="CC130" i="50"/>
  <c r="CB130" i="50"/>
  <c r="CA130" i="50"/>
  <c r="BZ130" i="50"/>
  <c r="CD129" i="50"/>
  <c r="CC129" i="50"/>
  <c r="CB129" i="50"/>
  <c r="CA129" i="50"/>
  <c r="BZ129" i="50"/>
  <c r="CD128" i="50"/>
  <c r="CC128" i="50"/>
  <c r="CB128" i="50"/>
  <c r="CA128" i="50"/>
  <c r="BZ128" i="50"/>
  <c r="CD127" i="50"/>
  <c r="CC127" i="50"/>
  <c r="CB127" i="50"/>
  <c r="CA127" i="50"/>
  <c r="BZ127" i="50"/>
  <c r="CD126" i="50"/>
  <c r="CC126" i="50"/>
  <c r="CB126" i="50"/>
  <c r="CA126" i="50"/>
  <c r="BZ126" i="50"/>
  <c r="CD125" i="50"/>
  <c r="CC125" i="50"/>
  <c r="CA125" i="50"/>
  <c r="BZ125" i="50"/>
  <c r="CD124" i="50"/>
  <c r="CC124" i="50"/>
  <c r="CB124" i="50"/>
  <c r="CA124" i="50"/>
  <c r="BZ124" i="50"/>
  <c r="CD123" i="50"/>
  <c r="CC123" i="50"/>
  <c r="CB123" i="50"/>
  <c r="CA123" i="50"/>
  <c r="BZ123" i="50"/>
  <c r="CD122" i="50"/>
  <c r="CC122" i="50"/>
  <c r="CB122" i="50"/>
  <c r="CA122" i="50"/>
  <c r="BZ122" i="50"/>
  <c r="CD121" i="50"/>
  <c r="CC121" i="50"/>
  <c r="CB121" i="50"/>
  <c r="CA121" i="50"/>
  <c r="BZ121" i="50"/>
  <c r="CD120" i="50"/>
  <c r="CC120" i="50"/>
  <c r="CB120" i="50"/>
  <c r="CA120" i="50"/>
  <c r="BZ120" i="50"/>
  <c r="CD119" i="50"/>
  <c r="CC119" i="50"/>
  <c r="CB119" i="50"/>
  <c r="CA119" i="50"/>
  <c r="BZ119" i="50"/>
  <c r="CD118" i="50"/>
  <c r="CC118" i="50"/>
  <c r="CB118" i="50"/>
  <c r="CA118" i="50"/>
  <c r="BZ118" i="50"/>
  <c r="CD117" i="50"/>
  <c r="CC117" i="50"/>
  <c r="CB117" i="50"/>
  <c r="CA117" i="50"/>
  <c r="BZ117" i="50"/>
  <c r="CD116" i="50"/>
  <c r="CC116" i="50"/>
  <c r="CB116" i="50"/>
  <c r="CA116" i="50"/>
  <c r="BZ116" i="50"/>
  <c r="CD115" i="50"/>
  <c r="CC115" i="50"/>
  <c r="CB115" i="50"/>
  <c r="CA115" i="50"/>
  <c r="BZ115" i="50"/>
  <c r="CD114" i="50"/>
  <c r="CC114" i="50"/>
  <c r="CB114" i="50"/>
  <c r="CA114" i="50"/>
  <c r="BZ114" i="50"/>
  <c r="CD113" i="50"/>
  <c r="CC113" i="50"/>
  <c r="CB113" i="50"/>
  <c r="CA113" i="50"/>
  <c r="BZ113" i="50"/>
  <c r="CD112" i="50"/>
  <c r="CC112" i="50"/>
  <c r="CB112" i="50"/>
  <c r="CA112" i="50"/>
  <c r="BZ112" i="50"/>
  <c r="CD111" i="50"/>
  <c r="CC111" i="50"/>
  <c r="CB111" i="50"/>
  <c r="CA111" i="50"/>
  <c r="BZ111" i="50"/>
  <c r="BY134" i="50"/>
  <c r="BX134" i="50"/>
  <c r="BW134" i="50"/>
  <c r="BV134" i="50"/>
  <c r="BU134" i="50"/>
  <c r="BY132" i="50"/>
  <c r="BX132" i="50"/>
  <c r="BW132" i="50"/>
  <c r="BV132" i="50"/>
  <c r="BU132" i="50"/>
  <c r="BY131" i="50"/>
  <c r="BX131" i="50"/>
  <c r="BW131" i="50"/>
  <c r="BV131" i="50"/>
  <c r="BU131" i="50"/>
  <c r="BY130" i="50"/>
  <c r="BX130" i="50"/>
  <c r="BW130" i="50"/>
  <c r="BV130" i="50"/>
  <c r="BU130" i="50"/>
  <c r="BY129" i="50"/>
  <c r="BX129" i="50"/>
  <c r="BW129" i="50"/>
  <c r="BV129" i="50"/>
  <c r="BU129" i="50"/>
  <c r="BY128" i="50"/>
  <c r="BX128" i="50"/>
  <c r="BW128" i="50"/>
  <c r="BV128" i="50"/>
  <c r="BU128" i="50"/>
  <c r="BY127" i="50"/>
  <c r="BX127" i="50"/>
  <c r="BW127" i="50"/>
  <c r="BV127" i="50"/>
  <c r="BU127" i="50"/>
  <c r="BY126" i="50"/>
  <c r="BX126" i="50"/>
  <c r="BW126" i="50"/>
  <c r="BV126" i="50"/>
  <c r="BU126" i="50"/>
  <c r="BY125" i="50"/>
  <c r="BX125" i="50"/>
  <c r="BV125" i="50"/>
  <c r="BU125" i="50"/>
  <c r="BY124" i="50"/>
  <c r="BX124" i="50"/>
  <c r="BW124" i="50"/>
  <c r="BV124" i="50"/>
  <c r="BU124" i="50"/>
  <c r="BY123" i="50"/>
  <c r="BX123" i="50"/>
  <c r="BW123" i="50"/>
  <c r="BV123" i="50"/>
  <c r="BU123" i="50"/>
  <c r="BY122" i="50"/>
  <c r="BX122" i="50"/>
  <c r="BW122" i="50"/>
  <c r="BV122" i="50"/>
  <c r="BU122" i="50"/>
  <c r="BY121" i="50"/>
  <c r="BX121" i="50"/>
  <c r="BW121" i="50"/>
  <c r="BV121" i="50"/>
  <c r="BU121" i="50"/>
  <c r="BY120" i="50"/>
  <c r="BX120" i="50"/>
  <c r="BW120" i="50"/>
  <c r="BV120" i="50"/>
  <c r="BU120" i="50"/>
  <c r="BY119" i="50"/>
  <c r="BX119" i="50"/>
  <c r="BW119" i="50"/>
  <c r="BV119" i="50"/>
  <c r="BU119" i="50"/>
  <c r="BY118" i="50"/>
  <c r="BX118" i="50"/>
  <c r="BW118" i="50"/>
  <c r="BV118" i="50"/>
  <c r="BU118" i="50"/>
  <c r="BY117" i="50"/>
  <c r="BX117" i="50"/>
  <c r="BW117" i="50"/>
  <c r="BV117" i="50"/>
  <c r="BU117" i="50"/>
  <c r="BY116" i="50"/>
  <c r="BX116" i="50"/>
  <c r="BW116" i="50"/>
  <c r="BV116" i="50"/>
  <c r="BU116" i="50"/>
  <c r="BY115" i="50"/>
  <c r="BX115" i="50"/>
  <c r="BW115" i="50"/>
  <c r="BV115" i="50"/>
  <c r="BU115" i="50"/>
  <c r="BY114" i="50"/>
  <c r="BX114" i="50"/>
  <c r="BW114" i="50"/>
  <c r="BV114" i="50"/>
  <c r="BU114" i="50"/>
  <c r="BY113" i="50"/>
  <c r="BX113" i="50"/>
  <c r="BW113" i="50"/>
  <c r="BV113" i="50"/>
  <c r="BU113" i="50"/>
  <c r="BY112" i="50"/>
  <c r="BX112" i="50"/>
  <c r="BW112" i="50"/>
  <c r="BV112" i="50"/>
  <c r="BU112" i="50"/>
  <c r="BY111" i="50"/>
  <c r="BX111" i="50"/>
  <c r="BW111" i="50"/>
  <c r="BV111" i="50"/>
  <c r="BU111" i="50"/>
  <c r="BT134" i="50"/>
  <c r="BS134" i="50"/>
  <c r="BR134" i="50"/>
  <c r="BQ134" i="50"/>
  <c r="BP134" i="50"/>
  <c r="BT132" i="50"/>
  <c r="BS132" i="50"/>
  <c r="BR132" i="50"/>
  <c r="BQ132" i="50"/>
  <c r="BP132" i="50"/>
  <c r="BT131" i="50"/>
  <c r="BS131" i="50"/>
  <c r="BR131" i="50"/>
  <c r="BQ131" i="50"/>
  <c r="BP131" i="50"/>
  <c r="BT130" i="50"/>
  <c r="BS130" i="50"/>
  <c r="BR130" i="50"/>
  <c r="BQ130" i="50"/>
  <c r="BP130" i="50"/>
  <c r="BT129" i="50"/>
  <c r="BS129" i="50"/>
  <c r="BR129" i="50"/>
  <c r="BQ129" i="50"/>
  <c r="BP129" i="50"/>
  <c r="BT128" i="50"/>
  <c r="BS128" i="50"/>
  <c r="BR128" i="50"/>
  <c r="BQ128" i="50"/>
  <c r="BP128" i="50"/>
  <c r="BT127" i="50"/>
  <c r="BS127" i="50"/>
  <c r="BR127" i="50"/>
  <c r="BQ127" i="50"/>
  <c r="BP127" i="50"/>
  <c r="BT126" i="50"/>
  <c r="BS126" i="50"/>
  <c r="BR126" i="50"/>
  <c r="BQ126" i="50"/>
  <c r="BP126" i="50"/>
  <c r="BT125" i="50"/>
  <c r="BS125" i="50"/>
  <c r="BQ125" i="50"/>
  <c r="BP125" i="50"/>
  <c r="BT124" i="50"/>
  <c r="BS124" i="50"/>
  <c r="BR124" i="50"/>
  <c r="BQ124" i="50"/>
  <c r="BP124" i="50"/>
  <c r="BT123" i="50"/>
  <c r="BS123" i="50"/>
  <c r="BR123" i="50"/>
  <c r="BQ123" i="50"/>
  <c r="BP123" i="50"/>
  <c r="BT122" i="50"/>
  <c r="BS122" i="50"/>
  <c r="BR122" i="50"/>
  <c r="BQ122" i="50"/>
  <c r="BP122" i="50"/>
  <c r="BT121" i="50"/>
  <c r="BS121" i="50"/>
  <c r="BR121" i="50"/>
  <c r="BQ121" i="50"/>
  <c r="BP121" i="50"/>
  <c r="BT120" i="50"/>
  <c r="BS120" i="50"/>
  <c r="BR120" i="50"/>
  <c r="BQ120" i="50"/>
  <c r="BP120" i="50"/>
  <c r="BT119" i="50"/>
  <c r="BS119" i="50"/>
  <c r="BR119" i="50"/>
  <c r="BQ119" i="50"/>
  <c r="BP119" i="50"/>
  <c r="BT118" i="50"/>
  <c r="BS118" i="50"/>
  <c r="BR118" i="50"/>
  <c r="BQ118" i="50"/>
  <c r="BP118" i="50"/>
  <c r="BT117" i="50"/>
  <c r="BS117" i="50"/>
  <c r="BR117" i="50"/>
  <c r="BQ117" i="50"/>
  <c r="BP117" i="50"/>
  <c r="BT116" i="50"/>
  <c r="BS116" i="50"/>
  <c r="BR116" i="50"/>
  <c r="BQ116" i="50"/>
  <c r="BP116" i="50"/>
  <c r="BT115" i="50"/>
  <c r="BS115" i="50"/>
  <c r="BR115" i="50"/>
  <c r="BQ115" i="50"/>
  <c r="BP115" i="50"/>
  <c r="BT114" i="50"/>
  <c r="BS114" i="50"/>
  <c r="BR114" i="50"/>
  <c r="BQ114" i="50"/>
  <c r="BP114" i="50"/>
  <c r="BT113" i="50"/>
  <c r="BS113" i="50"/>
  <c r="BR113" i="50"/>
  <c r="BQ113" i="50"/>
  <c r="BP113" i="50"/>
  <c r="BT112" i="50"/>
  <c r="BS112" i="50"/>
  <c r="BR112" i="50"/>
  <c r="BQ112" i="50"/>
  <c r="BP112" i="50"/>
  <c r="BT111" i="50"/>
  <c r="BS111" i="50"/>
  <c r="BR111" i="50"/>
  <c r="BQ111" i="50"/>
  <c r="BP111" i="50"/>
  <c r="BO134" i="50"/>
  <c r="BN134" i="50"/>
  <c r="BM134" i="50"/>
  <c r="BL134" i="50"/>
  <c r="BK134" i="50"/>
  <c r="BO132" i="50"/>
  <c r="BN132" i="50"/>
  <c r="BM132" i="50"/>
  <c r="BL132" i="50"/>
  <c r="BK132" i="50"/>
  <c r="BO131" i="50"/>
  <c r="BN131" i="50"/>
  <c r="BM131" i="50"/>
  <c r="BL131" i="50"/>
  <c r="BK131" i="50"/>
  <c r="BO130" i="50"/>
  <c r="BN130" i="50"/>
  <c r="BM130" i="50"/>
  <c r="BL130" i="50"/>
  <c r="BK130" i="50"/>
  <c r="BO129" i="50"/>
  <c r="BN129" i="50"/>
  <c r="BM129" i="50"/>
  <c r="BL129" i="50"/>
  <c r="BK129" i="50"/>
  <c r="BO128" i="50"/>
  <c r="BN128" i="50"/>
  <c r="BM128" i="50"/>
  <c r="BL128" i="50"/>
  <c r="BK128" i="50"/>
  <c r="BO127" i="50"/>
  <c r="BN127" i="50"/>
  <c r="BM127" i="50"/>
  <c r="BL127" i="50"/>
  <c r="BK127" i="50"/>
  <c r="BO126" i="50"/>
  <c r="BN126" i="50"/>
  <c r="BM126" i="50"/>
  <c r="BL126" i="50"/>
  <c r="BK126" i="50"/>
  <c r="BO125" i="50"/>
  <c r="BN125" i="50"/>
  <c r="BL125" i="50"/>
  <c r="BK125" i="50"/>
  <c r="BO124" i="50"/>
  <c r="BN124" i="50"/>
  <c r="BM124" i="50"/>
  <c r="BL124" i="50"/>
  <c r="BK124" i="50"/>
  <c r="BO123" i="50"/>
  <c r="BN123" i="50"/>
  <c r="BM123" i="50"/>
  <c r="BL123" i="50"/>
  <c r="BK123" i="50"/>
  <c r="BO122" i="50"/>
  <c r="BN122" i="50"/>
  <c r="BM122" i="50"/>
  <c r="BL122" i="50"/>
  <c r="BK122" i="50"/>
  <c r="BO121" i="50"/>
  <c r="BN121" i="50"/>
  <c r="BM121" i="50"/>
  <c r="BL121" i="50"/>
  <c r="BK121" i="50"/>
  <c r="BO120" i="50"/>
  <c r="BN120" i="50"/>
  <c r="BM120" i="50"/>
  <c r="BL120" i="50"/>
  <c r="BK120" i="50"/>
  <c r="BO119" i="50"/>
  <c r="BN119" i="50"/>
  <c r="BM119" i="50"/>
  <c r="BL119" i="50"/>
  <c r="BK119" i="50"/>
  <c r="BO118" i="50"/>
  <c r="BN118" i="50"/>
  <c r="BM118" i="50"/>
  <c r="BL118" i="50"/>
  <c r="BK118" i="50"/>
  <c r="BO117" i="50"/>
  <c r="BN117" i="50"/>
  <c r="BM117" i="50"/>
  <c r="BL117" i="50"/>
  <c r="BK117" i="50"/>
  <c r="BO116" i="50"/>
  <c r="BN116" i="50"/>
  <c r="BM116" i="50"/>
  <c r="BL116" i="50"/>
  <c r="BK116" i="50"/>
  <c r="BO115" i="50"/>
  <c r="BN115" i="50"/>
  <c r="BM115" i="50"/>
  <c r="BL115" i="50"/>
  <c r="BK115" i="50"/>
  <c r="BO114" i="50"/>
  <c r="BN114" i="50"/>
  <c r="BM114" i="50"/>
  <c r="BL114" i="50"/>
  <c r="BK114" i="50"/>
  <c r="BO113" i="50"/>
  <c r="BN113" i="50"/>
  <c r="BM113" i="50"/>
  <c r="BL113" i="50"/>
  <c r="BK113" i="50"/>
  <c r="BO112" i="50"/>
  <c r="BN112" i="50"/>
  <c r="BM112" i="50"/>
  <c r="BL112" i="50"/>
  <c r="BK112" i="50"/>
  <c r="BO111" i="50"/>
  <c r="BN111" i="50"/>
  <c r="BM111" i="50"/>
  <c r="BL111" i="50"/>
  <c r="BK111" i="50"/>
  <c r="BJ134" i="50"/>
  <c r="BI134" i="50"/>
  <c r="BH134" i="50"/>
  <c r="BG134" i="50"/>
  <c r="BF134" i="50"/>
  <c r="BJ132" i="50"/>
  <c r="BI132" i="50"/>
  <c r="BH132" i="50"/>
  <c r="BG132" i="50"/>
  <c r="BF132" i="50"/>
  <c r="BJ131" i="50"/>
  <c r="BI131" i="50"/>
  <c r="BH131" i="50"/>
  <c r="BG131" i="50"/>
  <c r="BF131" i="50"/>
  <c r="BJ130" i="50"/>
  <c r="BI130" i="50"/>
  <c r="BH130" i="50"/>
  <c r="BG130" i="50"/>
  <c r="BF130" i="50"/>
  <c r="BJ129" i="50"/>
  <c r="BI129" i="50"/>
  <c r="BH129" i="50"/>
  <c r="BG129" i="50"/>
  <c r="BF129" i="50"/>
  <c r="BJ128" i="50"/>
  <c r="BI128" i="50"/>
  <c r="BH128" i="50"/>
  <c r="BG128" i="50"/>
  <c r="BF128" i="50"/>
  <c r="BJ127" i="50"/>
  <c r="BI127" i="50"/>
  <c r="BH127" i="50"/>
  <c r="BG127" i="50"/>
  <c r="BF127" i="50"/>
  <c r="BJ126" i="50"/>
  <c r="BI126" i="50"/>
  <c r="BH126" i="50"/>
  <c r="BG126" i="50"/>
  <c r="BF126" i="50"/>
  <c r="BJ125" i="50"/>
  <c r="BI125" i="50"/>
  <c r="BG125" i="50"/>
  <c r="BF125" i="50"/>
  <c r="BJ124" i="50"/>
  <c r="BI124" i="50"/>
  <c r="BH124" i="50"/>
  <c r="BG124" i="50"/>
  <c r="BF124" i="50"/>
  <c r="BJ123" i="50"/>
  <c r="BI123" i="50"/>
  <c r="BH123" i="50"/>
  <c r="BG123" i="50"/>
  <c r="BF123" i="50"/>
  <c r="BJ122" i="50"/>
  <c r="BI122" i="50"/>
  <c r="BH122" i="50"/>
  <c r="BG122" i="50"/>
  <c r="BF122" i="50"/>
  <c r="BJ121" i="50"/>
  <c r="BI121" i="50"/>
  <c r="BH121" i="50"/>
  <c r="BG121" i="50"/>
  <c r="BF121" i="50"/>
  <c r="BJ120" i="50"/>
  <c r="BI120" i="50"/>
  <c r="BH120" i="50"/>
  <c r="BG120" i="50"/>
  <c r="BF120" i="50"/>
  <c r="BJ119" i="50"/>
  <c r="BI119" i="50"/>
  <c r="BH119" i="50"/>
  <c r="BG119" i="50"/>
  <c r="BF119" i="50"/>
  <c r="BJ118" i="50"/>
  <c r="BI118" i="50"/>
  <c r="BH118" i="50"/>
  <c r="BG118" i="50"/>
  <c r="BF118" i="50"/>
  <c r="BJ117" i="50"/>
  <c r="BI117" i="50"/>
  <c r="BH117" i="50"/>
  <c r="BG117" i="50"/>
  <c r="BF117" i="50"/>
  <c r="BJ116" i="50"/>
  <c r="BI116" i="50"/>
  <c r="BH116" i="50"/>
  <c r="BG116" i="50"/>
  <c r="BF116" i="50"/>
  <c r="BJ115" i="50"/>
  <c r="BI115" i="50"/>
  <c r="BH115" i="50"/>
  <c r="BG115" i="50"/>
  <c r="BF115" i="50"/>
  <c r="BJ114" i="50"/>
  <c r="BI114" i="50"/>
  <c r="BH114" i="50"/>
  <c r="BG114" i="50"/>
  <c r="BF114" i="50"/>
  <c r="BJ113" i="50"/>
  <c r="BI113" i="50"/>
  <c r="BH113" i="50"/>
  <c r="BG113" i="50"/>
  <c r="BF113" i="50"/>
  <c r="BJ112" i="50"/>
  <c r="BI112" i="50"/>
  <c r="BH112" i="50"/>
  <c r="BG112" i="50"/>
  <c r="BF112" i="50"/>
  <c r="BJ111" i="50"/>
  <c r="BI111" i="50"/>
  <c r="BH111" i="50"/>
  <c r="BG111" i="50"/>
  <c r="BF111" i="50"/>
  <c r="BE134" i="50"/>
  <c r="BD134" i="50"/>
  <c r="BC134" i="50"/>
  <c r="BB134" i="50"/>
  <c r="BA134" i="50"/>
  <c r="BE132" i="50"/>
  <c r="BD132" i="50"/>
  <c r="BC132" i="50"/>
  <c r="BB132" i="50"/>
  <c r="BA132" i="50"/>
  <c r="BE131" i="50"/>
  <c r="BD131" i="50"/>
  <c r="BC131" i="50"/>
  <c r="BB131" i="50"/>
  <c r="BA131" i="50"/>
  <c r="BE130" i="50"/>
  <c r="BD130" i="50"/>
  <c r="BC130" i="50"/>
  <c r="BB130" i="50"/>
  <c r="BA130" i="50"/>
  <c r="BE129" i="50"/>
  <c r="BD129" i="50"/>
  <c r="BC129" i="50"/>
  <c r="BB129" i="50"/>
  <c r="BA129" i="50"/>
  <c r="BE128" i="50"/>
  <c r="BD128" i="50"/>
  <c r="BC128" i="50"/>
  <c r="BB128" i="50"/>
  <c r="BA128" i="50"/>
  <c r="BE127" i="50"/>
  <c r="BD127" i="50"/>
  <c r="BC127" i="50"/>
  <c r="BB127" i="50"/>
  <c r="BA127" i="50"/>
  <c r="BE126" i="50"/>
  <c r="BD126" i="50"/>
  <c r="BC126" i="50"/>
  <c r="BB126" i="50"/>
  <c r="BA126" i="50"/>
  <c r="BE125" i="50"/>
  <c r="BD125" i="50"/>
  <c r="BB125" i="50"/>
  <c r="BA125" i="50"/>
  <c r="BE124" i="50"/>
  <c r="BD124" i="50"/>
  <c r="BC124" i="50"/>
  <c r="BB124" i="50"/>
  <c r="BA124" i="50"/>
  <c r="BE123" i="50"/>
  <c r="BD123" i="50"/>
  <c r="BC123" i="50"/>
  <c r="BB123" i="50"/>
  <c r="BA123" i="50"/>
  <c r="BE122" i="50"/>
  <c r="BD122" i="50"/>
  <c r="BC122" i="50"/>
  <c r="BB122" i="50"/>
  <c r="BA122" i="50"/>
  <c r="BE121" i="50"/>
  <c r="BD121" i="50"/>
  <c r="BC121" i="50"/>
  <c r="BB121" i="50"/>
  <c r="BA121" i="50"/>
  <c r="BE120" i="50"/>
  <c r="BD120" i="50"/>
  <c r="BC120" i="50"/>
  <c r="BB120" i="50"/>
  <c r="BA120" i="50"/>
  <c r="BE119" i="50"/>
  <c r="BD119" i="50"/>
  <c r="BC119" i="50"/>
  <c r="BB119" i="50"/>
  <c r="BA119" i="50"/>
  <c r="BE118" i="50"/>
  <c r="BD118" i="50"/>
  <c r="BC118" i="50"/>
  <c r="BB118" i="50"/>
  <c r="BA118" i="50"/>
  <c r="BE117" i="50"/>
  <c r="BD117" i="50"/>
  <c r="BC117" i="50"/>
  <c r="BB117" i="50"/>
  <c r="BA117" i="50"/>
  <c r="BE116" i="50"/>
  <c r="BD116" i="50"/>
  <c r="BC116" i="50"/>
  <c r="BB116" i="50"/>
  <c r="BA116" i="50"/>
  <c r="BE115" i="50"/>
  <c r="BD115" i="50"/>
  <c r="BC115" i="50"/>
  <c r="BB115" i="50"/>
  <c r="BA115" i="50"/>
  <c r="BE114" i="50"/>
  <c r="BD114" i="50"/>
  <c r="BC114" i="50"/>
  <c r="BB114" i="50"/>
  <c r="BA114" i="50"/>
  <c r="BE113" i="50"/>
  <c r="BD113" i="50"/>
  <c r="BC113" i="50"/>
  <c r="BB113" i="50"/>
  <c r="BA113" i="50"/>
  <c r="BE112" i="50"/>
  <c r="BD112" i="50"/>
  <c r="BC112" i="50"/>
  <c r="BB112" i="50"/>
  <c r="BA112" i="50"/>
  <c r="BE111" i="50"/>
  <c r="BD111" i="50"/>
  <c r="BC111" i="50"/>
  <c r="BB111" i="50"/>
  <c r="BA111" i="50"/>
  <c r="AZ134" i="50"/>
  <c r="AY134" i="50"/>
  <c r="AX134" i="50"/>
  <c r="AW134" i="50"/>
  <c r="AV134" i="50"/>
  <c r="AZ132" i="50"/>
  <c r="AY132" i="50"/>
  <c r="AX132" i="50"/>
  <c r="AW132" i="50"/>
  <c r="AV132" i="50"/>
  <c r="AZ131" i="50"/>
  <c r="AY131" i="50"/>
  <c r="AX131" i="50"/>
  <c r="AW131" i="50"/>
  <c r="AV131" i="50"/>
  <c r="AZ130" i="50"/>
  <c r="AY130" i="50"/>
  <c r="AX130" i="50"/>
  <c r="AW130" i="50"/>
  <c r="AV130" i="50"/>
  <c r="AZ129" i="50"/>
  <c r="AY129" i="50"/>
  <c r="AX129" i="50"/>
  <c r="AW129" i="50"/>
  <c r="AV129" i="50"/>
  <c r="AZ128" i="50"/>
  <c r="AY128" i="50"/>
  <c r="AX128" i="50"/>
  <c r="AW128" i="50"/>
  <c r="AV128" i="50"/>
  <c r="AZ127" i="50"/>
  <c r="AY127" i="50"/>
  <c r="AX127" i="50"/>
  <c r="AW127" i="50"/>
  <c r="AV127" i="50"/>
  <c r="AZ126" i="50"/>
  <c r="AY126" i="50"/>
  <c r="AX126" i="50"/>
  <c r="AW126" i="50"/>
  <c r="AV126" i="50"/>
  <c r="AZ125" i="50"/>
  <c r="AY125" i="50"/>
  <c r="AW125" i="50"/>
  <c r="AV125" i="50"/>
  <c r="AZ124" i="50"/>
  <c r="AY124" i="50"/>
  <c r="AX124" i="50"/>
  <c r="AW124" i="50"/>
  <c r="AV124" i="50"/>
  <c r="AZ123" i="50"/>
  <c r="AY123" i="50"/>
  <c r="AX123" i="50"/>
  <c r="AW123" i="50"/>
  <c r="AV123" i="50"/>
  <c r="AZ122" i="50"/>
  <c r="AY122" i="50"/>
  <c r="AX122" i="50"/>
  <c r="AW122" i="50"/>
  <c r="AV122" i="50"/>
  <c r="AZ121" i="50"/>
  <c r="AY121" i="50"/>
  <c r="AX121" i="50"/>
  <c r="AW121" i="50"/>
  <c r="AV121" i="50"/>
  <c r="AZ120" i="50"/>
  <c r="AY120" i="50"/>
  <c r="AX120" i="50"/>
  <c r="AW120" i="50"/>
  <c r="AV120" i="50"/>
  <c r="AZ119" i="50"/>
  <c r="AY119" i="50"/>
  <c r="AX119" i="50"/>
  <c r="AW119" i="50"/>
  <c r="AV119" i="50"/>
  <c r="AZ118" i="50"/>
  <c r="AY118" i="50"/>
  <c r="AX118" i="50"/>
  <c r="AW118" i="50"/>
  <c r="AV118" i="50"/>
  <c r="AZ117" i="50"/>
  <c r="AY117" i="50"/>
  <c r="AX117" i="50"/>
  <c r="AW117" i="50"/>
  <c r="AV117" i="50"/>
  <c r="AZ116" i="50"/>
  <c r="AY116" i="50"/>
  <c r="AX116" i="50"/>
  <c r="AW116" i="50"/>
  <c r="AV116" i="50"/>
  <c r="AZ115" i="50"/>
  <c r="AY115" i="50"/>
  <c r="AX115" i="50"/>
  <c r="AW115" i="50"/>
  <c r="AV115" i="50"/>
  <c r="AZ114" i="50"/>
  <c r="AY114" i="50"/>
  <c r="AX114" i="50"/>
  <c r="AW114" i="50"/>
  <c r="AV114" i="50"/>
  <c r="AZ113" i="50"/>
  <c r="AY113" i="50"/>
  <c r="AX113" i="50"/>
  <c r="AW113" i="50"/>
  <c r="AV113" i="50"/>
  <c r="AZ112" i="50"/>
  <c r="AY112" i="50"/>
  <c r="AX112" i="50"/>
  <c r="AW112" i="50"/>
  <c r="AV112" i="50"/>
  <c r="AZ111" i="50"/>
  <c r="AY111" i="50"/>
  <c r="AX111" i="50"/>
  <c r="AW111" i="50"/>
  <c r="AV111" i="50"/>
  <c r="AU134" i="50"/>
  <c r="AT134" i="50"/>
  <c r="AS134" i="50"/>
  <c r="AR134" i="50"/>
  <c r="AQ134" i="50"/>
  <c r="AU132" i="50"/>
  <c r="AT132" i="50"/>
  <c r="AS132" i="50"/>
  <c r="AR132" i="50"/>
  <c r="AQ132" i="50"/>
  <c r="AU131" i="50"/>
  <c r="AT131" i="50"/>
  <c r="AS131" i="50"/>
  <c r="AR131" i="50"/>
  <c r="AQ131" i="50"/>
  <c r="AU130" i="50"/>
  <c r="AT130" i="50"/>
  <c r="AS130" i="50"/>
  <c r="AR130" i="50"/>
  <c r="AQ130" i="50"/>
  <c r="AU129" i="50"/>
  <c r="AT129" i="50"/>
  <c r="AS129" i="50"/>
  <c r="AR129" i="50"/>
  <c r="AQ129" i="50"/>
  <c r="AU128" i="50"/>
  <c r="AT128" i="50"/>
  <c r="AS128" i="50"/>
  <c r="AR128" i="50"/>
  <c r="AQ128" i="50"/>
  <c r="AU127" i="50"/>
  <c r="AT127" i="50"/>
  <c r="AS127" i="50"/>
  <c r="AR127" i="50"/>
  <c r="AQ127" i="50"/>
  <c r="AU126" i="50"/>
  <c r="AT126" i="50"/>
  <c r="AS126" i="50"/>
  <c r="AR126" i="50"/>
  <c r="AQ126" i="50"/>
  <c r="AU125" i="50"/>
  <c r="AT125" i="50"/>
  <c r="AR125" i="50"/>
  <c r="AQ125" i="50"/>
  <c r="AU124" i="50"/>
  <c r="AT124" i="50"/>
  <c r="AS124" i="50"/>
  <c r="AR124" i="50"/>
  <c r="AQ124" i="50"/>
  <c r="AU123" i="50"/>
  <c r="AT123" i="50"/>
  <c r="AS123" i="50"/>
  <c r="AR123" i="50"/>
  <c r="AQ123" i="50"/>
  <c r="AU122" i="50"/>
  <c r="AT122" i="50"/>
  <c r="AS122" i="50"/>
  <c r="AR122" i="50"/>
  <c r="AQ122" i="50"/>
  <c r="AU121" i="50"/>
  <c r="AT121" i="50"/>
  <c r="AS121" i="50"/>
  <c r="AR121" i="50"/>
  <c r="AQ121" i="50"/>
  <c r="AU120" i="50"/>
  <c r="AT120" i="50"/>
  <c r="AS120" i="50"/>
  <c r="AR120" i="50"/>
  <c r="AQ120" i="50"/>
  <c r="AU119" i="50"/>
  <c r="AT119" i="50"/>
  <c r="AS119" i="50"/>
  <c r="AR119" i="50"/>
  <c r="AQ119" i="50"/>
  <c r="AU118" i="50"/>
  <c r="AT118" i="50"/>
  <c r="AS118" i="50"/>
  <c r="AR118" i="50"/>
  <c r="AQ118" i="50"/>
  <c r="AU117" i="50"/>
  <c r="AT117" i="50"/>
  <c r="AS117" i="50"/>
  <c r="AR117" i="50"/>
  <c r="AQ117" i="50"/>
  <c r="AU116" i="50"/>
  <c r="AT116" i="50"/>
  <c r="AS116" i="50"/>
  <c r="AR116" i="50"/>
  <c r="AQ116" i="50"/>
  <c r="AU115" i="50"/>
  <c r="AT115" i="50"/>
  <c r="AS115" i="50"/>
  <c r="AR115" i="50"/>
  <c r="AQ115" i="50"/>
  <c r="AU114" i="50"/>
  <c r="AT114" i="50"/>
  <c r="AS114" i="50"/>
  <c r="AR114" i="50"/>
  <c r="AQ114" i="50"/>
  <c r="AU113" i="50"/>
  <c r="AT113" i="50"/>
  <c r="AS113" i="50"/>
  <c r="AR113" i="50"/>
  <c r="AQ113" i="50"/>
  <c r="AU112" i="50"/>
  <c r="AT112" i="50"/>
  <c r="AS112" i="50"/>
  <c r="AR112" i="50"/>
  <c r="AQ112" i="50"/>
  <c r="AU111" i="50"/>
  <c r="AT111" i="50"/>
  <c r="AS111" i="50"/>
  <c r="AR111" i="50"/>
  <c r="AQ111" i="50"/>
  <c r="AP134" i="50"/>
  <c r="AO134" i="50"/>
  <c r="AN134" i="50"/>
  <c r="AM134" i="50"/>
  <c r="AL134" i="50"/>
  <c r="AP132" i="50"/>
  <c r="AO132" i="50"/>
  <c r="AN132" i="50"/>
  <c r="AM132" i="50"/>
  <c r="AL132" i="50"/>
  <c r="AP131" i="50"/>
  <c r="AO131" i="50"/>
  <c r="AN131" i="50"/>
  <c r="AM131" i="50"/>
  <c r="AL131" i="50"/>
  <c r="AP130" i="50"/>
  <c r="AO130" i="50"/>
  <c r="AN130" i="50"/>
  <c r="AM130" i="50"/>
  <c r="AL130" i="50"/>
  <c r="AP129" i="50"/>
  <c r="AO129" i="50"/>
  <c r="AN129" i="50"/>
  <c r="AM129" i="50"/>
  <c r="AL129" i="50"/>
  <c r="AP128" i="50"/>
  <c r="AO128" i="50"/>
  <c r="AN128" i="50"/>
  <c r="AM128" i="50"/>
  <c r="AL128" i="50"/>
  <c r="AP127" i="50"/>
  <c r="AO127" i="50"/>
  <c r="AN127" i="50"/>
  <c r="AM127" i="50"/>
  <c r="AL127" i="50"/>
  <c r="AP126" i="50"/>
  <c r="AO126" i="50"/>
  <c r="AN126" i="50"/>
  <c r="AM126" i="50"/>
  <c r="AL126" i="50"/>
  <c r="AP125" i="50"/>
  <c r="AO125" i="50"/>
  <c r="AM125" i="50"/>
  <c r="AL125" i="50"/>
  <c r="AP124" i="50"/>
  <c r="AO124" i="50"/>
  <c r="AN124" i="50"/>
  <c r="AM124" i="50"/>
  <c r="AL124" i="50"/>
  <c r="AP123" i="50"/>
  <c r="AO123" i="50"/>
  <c r="AN123" i="50"/>
  <c r="AM123" i="50"/>
  <c r="AL123" i="50"/>
  <c r="AP122" i="50"/>
  <c r="AO122" i="50"/>
  <c r="AN122" i="50"/>
  <c r="AM122" i="50"/>
  <c r="AL122" i="50"/>
  <c r="AP121" i="50"/>
  <c r="AO121" i="50"/>
  <c r="AN121" i="50"/>
  <c r="AM121" i="50"/>
  <c r="AL121" i="50"/>
  <c r="AP120" i="50"/>
  <c r="AO120" i="50"/>
  <c r="AN120" i="50"/>
  <c r="AM120" i="50"/>
  <c r="AL120" i="50"/>
  <c r="AP119" i="50"/>
  <c r="AO119" i="50"/>
  <c r="AN119" i="50"/>
  <c r="AM119" i="50"/>
  <c r="AL119" i="50"/>
  <c r="AP118" i="50"/>
  <c r="AO118" i="50"/>
  <c r="AN118" i="50"/>
  <c r="AM118" i="50"/>
  <c r="AL118" i="50"/>
  <c r="AP117" i="50"/>
  <c r="AO117" i="50"/>
  <c r="AN117" i="50"/>
  <c r="AM117" i="50"/>
  <c r="AL117" i="50"/>
  <c r="AP116" i="50"/>
  <c r="AO116" i="50"/>
  <c r="AN116" i="50"/>
  <c r="AM116" i="50"/>
  <c r="AL116" i="50"/>
  <c r="AP115" i="50"/>
  <c r="AO115" i="50"/>
  <c r="AN115" i="50"/>
  <c r="AM115" i="50"/>
  <c r="AL115" i="50"/>
  <c r="AP114" i="50"/>
  <c r="AO114" i="50"/>
  <c r="AN114" i="50"/>
  <c r="AM114" i="50"/>
  <c r="AL114" i="50"/>
  <c r="AP113" i="50"/>
  <c r="AO113" i="50"/>
  <c r="AN113" i="50"/>
  <c r="AM113" i="50"/>
  <c r="AL113" i="50"/>
  <c r="AP112" i="50"/>
  <c r="AO112" i="50"/>
  <c r="AN112" i="50"/>
  <c r="AM112" i="50"/>
  <c r="AL112" i="50"/>
  <c r="AP111" i="50"/>
  <c r="AO111" i="50"/>
  <c r="AN111" i="50"/>
  <c r="AM111" i="50"/>
  <c r="AL111" i="50"/>
  <c r="AK134" i="50"/>
  <c r="AJ134" i="50"/>
  <c r="AI134" i="50"/>
  <c r="AH134" i="50"/>
  <c r="AG134" i="50"/>
  <c r="AK132" i="50"/>
  <c r="AJ132" i="50"/>
  <c r="AI132" i="50"/>
  <c r="AH132" i="50"/>
  <c r="AG132" i="50"/>
  <c r="AK131" i="50"/>
  <c r="AJ131" i="50"/>
  <c r="AI131" i="50"/>
  <c r="AH131" i="50"/>
  <c r="AG131" i="50"/>
  <c r="AK130" i="50"/>
  <c r="AJ130" i="50"/>
  <c r="AI130" i="50"/>
  <c r="AH130" i="50"/>
  <c r="AG130" i="50"/>
  <c r="AK129" i="50"/>
  <c r="AJ129" i="50"/>
  <c r="AI129" i="50"/>
  <c r="AH129" i="50"/>
  <c r="AG129" i="50"/>
  <c r="AK128" i="50"/>
  <c r="AJ128" i="50"/>
  <c r="AI128" i="50"/>
  <c r="AH128" i="50"/>
  <c r="AG128" i="50"/>
  <c r="AK127" i="50"/>
  <c r="AJ127" i="50"/>
  <c r="AI127" i="50"/>
  <c r="AH127" i="50"/>
  <c r="AG127" i="50"/>
  <c r="AK126" i="50"/>
  <c r="AJ126" i="50"/>
  <c r="AI126" i="50"/>
  <c r="AH126" i="50"/>
  <c r="AG126" i="50"/>
  <c r="AK125" i="50"/>
  <c r="AJ125" i="50"/>
  <c r="AH125" i="50"/>
  <c r="AG125" i="50"/>
  <c r="AK124" i="50"/>
  <c r="AJ124" i="50"/>
  <c r="AI124" i="50"/>
  <c r="AH124" i="50"/>
  <c r="AG124" i="50"/>
  <c r="AK123" i="50"/>
  <c r="AJ123" i="50"/>
  <c r="AI123" i="50"/>
  <c r="AH123" i="50"/>
  <c r="AG123" i="50"/>
  <c r="AK122" i="50"/>
  <c r="AJ122" i="50"/>
  <c r="AI122" i="50"/>
  <c r="AH122" i="50"/>
  <c r="AG122" i="50"/>
  <c r="AK121" i="50"/>
  <c r="AJ121" i="50"/>
  <c r="AI121" i="50"/>
  <c r="AH121" i="50"/>
  <c r="AG121" i="50"/>
  <c r="AK120" i="50"/>
  <c r="AJ120" i="50"/>
  <c r="AI120" i="50"/>
  <c r="AH120" i="50"/>
  <c r="AG120" i="50"/>
  <c r="AK119" i="50"/>
  <c r="AJ119" i="50"/>
  <c r="AI119" i="50"/>
  <c r="AH119" i="50"/>
  <c r="AG119" i="50"/>
  <c r="AK118" i="50"/>
  <c r="AJ118" i="50"/>
  <c r="AI118" i="50"/>
  <c r="AH118" i="50"/>
  <c r="AG118" i="50"/>
  <c r="AK117" i="50"/>
  <c r="AJ117" i="50"/>
  <c r="AI117" i="50"/>
  <c r="AH117" i="50"/>
  <c r="AG117" i="50"/>
  <c r="AK116" i="50"/>
  <c r="AJ116" i="50"/>
  <c r="AI116" i="50"/>
  <c r="AH116" i="50"/>
  <c r="AG116" i="50"/>
  <c r="AK115" i="50"/>
  <c r="AJ115" i="50"/>
  <c r="AI115" i="50"/>
  <c r="AH115" i="50"/>
  <c r="AG115" i="50"/>
  <c r="AK114" i="50"/>
  <c r="AJ114" i="50"/>
  <c r="AI114" i="50"/>
  <c r="AH114" i="50"/>
  <c r="AG114" i="50"/>
  <c r="AK113" i="50"/>
  <c r="AJ113" i="50"/>
  <c r="AI113" i="50"/>
  <c r="AH113" i="50"/>
  <c r="AG113" i="50"/>
  <c r="AK112" i="50"/>
  <c r="AJ112" i="50"/>
  <c r="AI112" i="50"/>
  <c r="AH112" i="50"/>
  <c r="AG112" i="50"/>
  <c r="AK111" i="50"/>
  <c r="AJ111" i="50"/>
  <c r="AI111" i="50"/>
  <c r="AH111" i="50"/>
  <c r="AG111" i="50"/>
  <c r="AB134" i="50"/>
  <c r="AB132" i="50"/>
  <c r="AB131" i="50"/>
  <c r="AB130" i="50"/>
  <c r="AB129" i="50"/>
  <c r="AB128" i="50"/>
  <c r="AB127" i="50"/>
  <c r="AB126" i="50"/>
  <c r="AB125" i="50"/>
  <c r="AB124" i="50"/>
  <c r="AB123" i="50"/>
  <c r="AB122" i="50"/>
  <c r="AB121" i="50"/>
  <c r="AB120" i="50"/>
  <c r="AB119" i="50"/>
  <c r="AB118" i="50"/>
  <c r="AB117" i="50"/>
  <c r="AB116" i="50"/>
  <c r="AB115" i="50"/>
  <c r="AB114" i="50"/>
  <c r="AB113" i="50"/>
  <c r="AB112" i="50"/>
  <c r="AB111" i="50"/>
  <c r="AC134" i="50"/>
  <c r="AC132" i="50"/>
  <c r="AC131" i="50"/>
  <c r="AC130" i="50"/>
  <c r="AC129" i="50"/>
  <c r="AC128" i="50"/>
  <c r="AC127" i="50"/>
  <c r="AC126" i="50"/>
  <c r="AC125" i="50"/>
  <c r="AC124" i="50"/>
  <c r="AC123" i="50"/>
  <c r="AC122" i="50"/>
  <c r="AC121" i="50"/>
  <c r="AC120" i="50"/>
  <c r="AC119" i="50"/>
  <c r="AC118" i="50"/>
  <c r="AC117" i="50"/>
  <c r="AC116" i="50"/>
  <c r="AC115" i="50"/>
  <c r="AC114" i="50"/>
  <c r="AC113" i="50"/>
  <c r="AC112" i="50"/>
  <c r="AC111" i="50"/>
  <c r="AD134" i="50"/>
  <c r="AD132" i="50"/>
  <c r="AD131" i="50"/>
  <c r="AD130" i="50"/>
  <c r="AD129" i="50"/>
  <c r="AD128" i="50"/>
  <c r="AD127" i="50"/>
  <c r="AD126" i="50"/>
  <c r="AD124" i="50"/>
  <c r="AD123" i="50"/>
  <c r="AD122" i="50"/>
  <c r="AD121" i="50"/>
  <c r="AD120" i="50"/>
  <c r="AD119" i="50"/>
  <c r="AD118" i="50"/>
  <c r="AD117" i="50"/>
  <c r="AD116" i="50"/>
  <c r="AD115" i="50"/>
  <c r="AD114" i="50"/>
  <c r="AD113" i="50"/>
  <c r="AD112" i="50"/>
  <c r="AD111" i="50"/>
  <c r="AE134" i="50"/>
  <c r="AE132" i="50"/>
  <c r="AE131" i="50"/>
  <c r="AE130" i="50"/>
  <c r="AE129" i="50"/>
  <c r="AE128" i="50"/>
  <c r="AE127" i="50"/>
  <c r="AE126" i="50"/>
  <c r="AE125" i="50"/>
  <c r="AE124" i="50"/>
  <c r="AE123" i="50"/>
  <c r="AE122" i="50"/>
  <c r="AE121" i="50"/>
  <c r="AE120" i="50"/>
  <c r="AE119" i="50"/>
  <c r="AE118" i="50"/>
  <c r="AE117" i="50"/>
  <c r="AE116" i="50"/>
  <c r="AE115" i="50"/>
  <c r="AE114" i="50"/>
  <c r="AE113" i="50"/>
  <c r="AE112" i="50"/>
  <c r="AE111" i="50"/>
  <c r="AF134" i="50"/>
  <c r="AF132" i="50"/>
  <c r="AF131" i="50"/>
  <c r="AF130" i="50"/>
  <c r="AF129" i="50"/>
  <c r="AF128" i="50"/>
  <c r="AF127" i="50"/>
  <c r="AF126" i="50"/>
  <c r="AF125" i="50"/>
  <c r="AF124" i="50"/>
  <c r="AF123" i="50"/>
  <c r="AF122" i="50"/>
  <c r="AF121" i="50"/>
  <c r="AF120" i="50"/>
  <c r="AF119" i="50"/>
  <c r="AF118" i="50"/>
  <c r="AF117" i="50"/>
  <c r="AF116" i="50"/>
  <c r="AF115" i="50"/>
  <c r="AF114" i="50"/>
  <c r="AF113" i="50"/>
  <c r="AF112" i="50"/>
  <c r="AF111" i="50"/>
  <c r="DX108" i="50"/>
  <c r="DS108" i="50"/>
  <c r="DN108" i="50"/>
  <c r="DI108" i="50"/>
  <c r="DD108" i="50"/>
  <c r="CY108" i="50"/>
  <c r="CT108" i="50"/>
  <c r="CO108" i="50"/>
  <c r="CJ108" i="50"/>
  <c r="CE108" i="50"/>
  <c r="BZ108" i="50"/>
  <c r="BU108" i="50"/>
  <c r="BP108" i="50"/>
  <c r="BK108" i="50"/>
  <c r="BF108" i="50"/>
  <c r="BA108" i="50"/>
  <c r="AV108" i="50"/>
  <c r="AQ108" i="50"/>
  <c r="AL108" i="50"/>
  <c r="AG108" i="50"/>
  <c r="AB108" i="50"/>
  <c r="AB2" i="50"/>
  <c r="A140" i="50"/>
  <c r="B134" i="50"/>
  <c r="B133" i="50"/>
  <c r="B132" i="50"/>
  <c r="B131" i="50"/>
  <c r="B130" i="50"/>
  <c r="B129" i="50"/>
  <c r="B128" i="50"/>
  <c r="B127" i="50"/>
  <c r="B126" i="50"/>
  <c r="B125" i="50"/>
  <c r="B124" i="50"/>
  <c r="B123" i="50"/>
  <c r="B122" i="50"/>
  <c r="B121" i="50"/>
  <c r="B120" i="50"/>
  <c r="B119" i="50"/>
  <c r="B118" i="50"/>
  <c r="B117" i="50"/>
  <c r="B116" i="50"/>
  <c r="B115" i="50"/>
  <c r="B114" i="50"/>
  <c r="B113" i="50"/>
  <c r="B112" i="50"/>
  <c r="B111" i="50"/>
  <c r="BZ189" i="50" l="1"/>
  <c r="AH188" i="50"/>
  <c r="AW188" i="50"/>
  <c r="AN188" i="50"/>
  <c r="AI188" i="50"/>
  <c r="AX188" i="50"/>
  <c r="AM188" i="50"/>
  <c r="AY188" i="50"/>
  <c r="AP188" i="50"/>
  <c r="AN169" i="50"/>
  <c r="AN173" i="50"/>
  <c r="AN177" i="50"/>
  <c r="AN181" i="50"/>
  <c r="AN185" i="50"/>
  <c r="AX168" i="50"/>
  <c r="AX172" i="50"/>
  <c r="AX176" i="50"/>
  <c r="AX180" i="50"/>
  <c r="AX184" i="50"/>
  <c r="AV170" i="50"/>
  <c r="AV174" i="50"/>
  <c r="AV178" i="50"/>
  <c r="AV182" i="50"/>
  <c r="AV186" i="50"/>
  <c r="AL175" i="50"/>
  <c r="AL188" i="50"/>
  <c r="AL171" i="50"/>
  <c r="AL183" i="50"/>
  <c r="AP171" i="50"/>
  <c r="AP179" i="50"/>
  <c r="AZ174" i="50"/>
  <c r="AZ186" i="50"/>
  <c r="AP175" i="50"/>
  <c r="AZ178" i="50"/>
  <c r="AZ182" i="50"/>
  <c r="AG170" i="50"/>
  <c r="AG174" i="50"/>
  <c r="AK174" i="50"/>
  <c r="AG178" i="50"/>
  <c r="AK178" i="50"/>
  <c r="AG182" i="50"/>
  <c r="AK182" i="50"/>
  <c r="AI184" i="50"/>
  <c r="AG186" i="50"/>
  <c r="AK186" i="50"/>
  <c r="AJ188" i="50"/>
  <c r="AJ168" i="50"/>
  <c r="AK171" i="50"/>
  <c r="AJ172" i="50"/>
  <c r="AK175" i="50"/>
  <c r="AJ176" i="50"/>
  <c r="AK179" i="50"/>
  <c r="AJ180" i="50"/>
  <c r="AK183" i="50"/>
  <c r="AJ184" i="50"/>
  <c r="AG188" i="50"/>
  <c r="AK188" i="50"/>
  <c r="AG171" i="50"/>
  <c r="AG175" i="50"/>
  <c r="AG179" i="50"/>
  <c r="AG183" i="50"/>
  <c r="AL179" i="50"/>
  <c r="AH169" i="50"/>
  <c r="AH173" i="50"/>
  <c r="AH177" i="50"/>
  <c r="AH181" i="50"/>
  <c r="AH185" i="50"/>
  <c r="AM170" i="50"/>
  <c r="AM174" i="50"/>
  <c r="AM178" i="50"/>
  <c r="AM182" i="50"/>
  <c r="AM186" i="50"/>
  <c r="AW169" i="50"/>
  <c r="AW177" i="50"/>
  <c r="AW181" i="50"/>
  <c r="AW185" i="50"/>
  <c r="AW173" i="50"/>
  <c r="AH170" i="50"/>
  <c r="AH174" i="50"/>
  <c r="AH178" i="50"/>
  <c r="AH182" i="50"/>
  <c r="AH186" i="50"/>
  <c r="AI168" i="50"/>
  <c r="AI172" i="50"/>
  <c r="AI176" i="50"/>
  <c r="AI180" i="50"/>
  <c r="AI169" i="50"/>
  <c r="AI173" i="50"/>
  <c r="AI177" i="50"/>
  <c r="AI181" i="50"/>
  <c r="AI185" i="50"/>
  <c r="AJ171" i="50"/>
  <c r="AJ175" i="50"/>
  <c r="AJ179" i="50"/>
  <c r="AJ183" i="50"/>
  <c r="AO168" i="50"/>
  <c r="AO176" i="50"/>
  <c r="AO184" i="50"/>
  <c r="AY171" i="50"/>
  <c r="AY175" i="50"/>
  <c r="AY179" i="50"/>
  <c r="AY183" i="50"/>
  <c r="AO180" i="50"/>
  <c r="AO172" i="50"/>
  <c r="AK170" i="50"/>
  <c r="AZ170" i="50"/>
  <c r="AP183" i="50"/>
  <c r="CC174" i="50"/>
  <c r="BD147" i="50" s="1"/>
  <c r="AE174" i="50"/>
  <c r="CC182" i="50"/>
  <c r="BI155" i="50" s="1"/>
  <c r="AE182" i="50"/>
  <c r="AD171" i="50"/>
  <c r="CB171" i="50"/>
  <c r="BH144" i="50" s="1"/>
  <c r="AD188" i="50"/>
  <c r="CB188" i="50"/>
  <c r="BH161" i="50" s="1"/>
  <c r="CA172" i="50"/>
  <c r="CA180" i="50"/>
  <c r="AR153" i="50" s="1"/>
  <c r="BZ173" i="50"/>
  <c r="BA146" i="50" s="1"/>
  <c r="BZ181" i="50"/>
  <c r="BF154" i="50" s="1"/>
  <c r="CC171" i="50"/>
  <c r="AT144" i="50" s="1"/>
  <c r="AE171" i="50"/>
  <c r="AE179" i="50"/>
  <c r="CC179" i="50"/>
  <c r="CC188" i="50"/>
  <c r="BN161" i="50" s="1"/>
  <c r="AE188" i="50"/>
  <c r="AD172" i="50"/>
  <c r="CB172" i="50"/>
  <c r="BM145" i="50" s="1"/>
  <c r="AD180" i="50"/>
  <c r="CB180" i="50"/>
  <c r="CA177" i="50"/>
  <c r="BG150" i="50" s="1"/>
  <c r="CA185" i="50"/>
  <c r="BZ170" i="50"/>
  <c r="BA143" i="50" s="1"/>
  <c r="BZ178" i="50"/>
  <c r="BZ186" i="50"/>
  <c r="BK159" i="50" s="1"/>
  <c r="AL168" i="50"/>
  <c r="AO169" i="50"/>
  <c r="AM171" i="50"/>
  <c r="AN174" i="50"/>
  <c r="AL176" i="50"/>
  <c r="AO177" i="50"/>
  <c r="AL180" i="50"/>
  <c r="AN182" i="50"/>
  <c r="AL184" i="50"/>
  <c r="AO185" i="50"/>
  <c r="AX169" i="50"/>
  <c r="AV171" i="50"/>
  <c r="AX173" i="50"/>
  <c r="AX177" i="50"/>
  <c r="AV179" i="50"/>
  <c r="AY180" i="50"/>
  <c r="AW182" i="50"/>
  <c r="AY184" i="50"/>
  <c r="AW186" i="50"/>
  <c r="AV188" i="50"/>
  <c r="CD188" i="50"/>
  <c r="BJ161" i="50" s="1"/>
  <c r="AF188" i="50"/>
  <c r="AE168" i="50"/>
  <c r="CC168" i="50"/>
  <c r="BS141" i="50" s="1"/>
  <c r="AE172" i="50"/>
  <c r="CC172" i="50"/>
  <c r="BN145" i="50" s="1"/>
  <c r="AE176" i="50"/>
  <c r="CC176" i="50"/>
  <c r="BN149" i="50" s="1"/>
  <c r="AE180" i="50"/>
  <c r="CC180" i="50"/>
  <c r="BS153" i="50" s="1"/>
  <c r="AE184" i="50"/>
  <c r="CC184" i="50"/>
  <c r="BI157" i="50" s="1"/>
  <c r="AD169" i="50"/>
  <c r="CB169" i="50"/>
  <c r="BM142" i="50" s="1"/>
  <c r="AD173" i="50"/>
  <c r="CB173" i="50"/>
  <c r="BM146" i="50" s="1"/>
  <c r="AD177" i="50"/>
  <c r="CB177" i="50"/>
  <c r="BM150" i="50" s="1"/>
  <c r="AD181" i="50"/>
  <c r="CB181" i="50"/>
  <c r="AS154" i="50" s="1"/>
  <c r="AD185" i="50"/>
  <c r="CB185" i="50"/>
  <c r="BM158" i="50" s="1"/>
  <c r="CA170" i="50"/>
  <c r="BL143" i="50" s="1"/>
  <c r="CA174" i="50"/>
  <c r="BL147" i="50" s="1"/>
  <c r="CA178" i="50"/>
  <c r="BL151" i="50" s="1"/>
  <c r="CA182" i="50"/>
  <c r="BV155" i="50" s="1"/>
  <c r="CA186" i="50"/>
  <c r="BL159" i="50" s="1"/>
  <c r="BZ171" i="50"/>
  <c r="BK144" i="50" s="1"/>
  <c r="BZ175" i="50"/>
  <c r="BP148" i="50" s="1"/>
  <c r="BZ179" i="50"/>
  <c r="BK152" i="50" s="1"/>
  <c r="BZ183" i="50"/>
  <c r="BK156" i="50" s="1"/>
  <c r="BZ188" i="50"/>
  <c r="BU161" i="50" s="1"/>
  <c r="AG168" i="50"/>
  <c r="AJ169" i="50"/>
  <c r="AI170" i="50"/>
  <c r="AH171" i="50"/>
  <c r="AG172" i="50"/>
  <c r="AJ173" i="50"/>
  <c r="AI174" i="50"/>
  <c r="AH175" i="50"/>
  <c r="AG176" i="50"/>
  <c r="AJ177" i="50"/>
  <c r="AI178" i="50"/>
  <c r="AH179" i="50"/>
  <c r="AG180" i="50"/>
  <c r="AJ181" i="50"/>
  <c r="AI182" i="50"/>
  <c r="AH183" i="50"/>
  <c r="AG184" i="50"/>
  <c r="AJ185" i="50"/>
  <c r="AI186" i="50"/>
  <c r="AM168" i="50"/>
  <c r="AL169" i="50"/>
  <c r="AO170" i="50"/>
  <c r="AN171" i="50"/>
  <c r="AM172" i="50"/>
  <c r="AL173" i="50"/>
  <c r="AO174" i="50"/>
  <c r="AN175" i="50"/>
  <c r="AM176" i="50"/>
  <c r="AL177" i="50"/>
  <c r="AO178" i="50"/>
  <c r="AM180" i="50"/>
  <c r="AL181" i="50"/>
  <c r="AO182" i="50"/>
  <c r="AN183" i="50"/>
  <c r="AM184" i="50"/>
  <c r="AL185" i="50"/>
  <c r="AO186" i="50"/>
  <c r="AV168" i="50"/>
  <c r="AY169" i="50"/>
  <c r="AX170" i="50"/>
  <c r="AW171" i="50"/>
  <c r="AV172" i="50"/>
  <c r="AY173" i="50"/>
  <c r="AX174" i="50"/>
  <c r="AW175" i="50"/>
  <c r="AV176" i="50"/>
  <c r="AY177" i="50"/>
  <c r="AX178" i="50"/>
  <c r="AW179" i="50"/>
  <c r="AV180" i="50"/>
  <c r="AY181" i="50"/>
  <c r="AX182" i="50"/>
  <c r="AW183" i="50"/>
  <c r="AV184" i="50"/>
  <c r="AY185" i="50"/>
  <c r="AX186" i="50"/>
  <c r="CC170" i="50"/>
  <c r="BN143" i="50" s="1"/>
  <c r="AE170" i="50"/>
  <c r="AE178" i="50"/>
  <c r="CC178" i="50"/>
  <c r="AE186" i="50"/>
  <c r="CC186" i="50"/>
  <c r="BS159" i="50" s="1"/>
  <c r="AD175" i="50"/>
  <c r="CB175" i="50"/>
  <c r="AD183" i="50"/>
  <c r="CB183" i="50"/>
  <c r="BM156" i="50" s="1"/>
  <c r="CA168" i="50"/>
  <c r="BB141" i="50" s="1"/>
  <c r="CA176" i="50"/>
  <c r="AR149" i="50" s="1"/>
  <c r="CA184" i="50"/>
  <c r="BB157" i="50" s="1"/>
  <c r="BZ169" i="50"/>
  <c r="BZ177" i="50"/>
  <c r="BZ185" i="50"/>
  <c r="CC175" i="50"/>
  <c r="AE175" i="50"/>
  <c r="AE183" i="50"/>
  <c r="CC183" i="50"/>
  <c r="BI156" i="50" s="1"/>
  <c r="AD168" i="50"/>
  <c r="CB168" i="50"/>
  <c r="BW141" i="50" s="1"/>
  <c r="AD176" i="50"/>
  <c r="CB176" i="50"/>
  <c r="BC149" i="50" s="1"/>
  <c r="AD184" i="50"/>
  <c r="CB184" i="50"/>
  <c r="CA169" i="50"/>
  <c r="CA173" i="50"/>
  <c r="AR146" i="50" s="1"/>
  <c r="CA181" i="50"/>
  <c r="AR154" i="50" s="1"/>
  <c r="BZ174" i="50"/>
  <c r="BZ182" i="50"/>
  <c r="AN170" i="50"/>
  <c r="AL172" i="50"/>
  <c r="AO173" i="50"/>
  <c r="AM175" i="50"/>
  <c r="AN178" i="50"/>
  <c r="AM179" i="50"/>
  <c r="AO181" i="50"/>
  <c r="AM183" i="50"/>
  <c r="AN186" i="50"/>
  <c r="AY168" i="50"/>
  <c r="AW170" i="50"/>
  <c r="AY172" i="50"/>
  <c r="AW174" i="50"/>
  <c r="AV175" i="50"/>
  <c r="AY176" i="50"/>
  <c r="AW178" i="50"/>
  <c r="AX181" i="50"/>
  <c r="AV183" i="50"/>
  <c r="AX185" i="50"/>
  <c r="AZ188" i="50"/>
  <c r="AE169" i="50"/>
  <c r="CC169" i="50"/>
  <c r="CC173" i="50"/>
  <c r="BS146" i="50" s="1"/>
  <c r="AE173" i="50"/>
  <c r="AE177" i="50"/>
  <c r="CC177" i="50"/>
  <c r="CC181" i="50"/>
  <c r="BD154" i="50" s="1"/>
  <c r="AE181" i="50"/>
  <c r="AE185" i="50"/>
  <c r="CC185" i="50"/>
  <c r="AD170" i="50"/>
  <c r="CB170" i="50"/>
  <c r="AD174" i="50"/>
  <c r="CB174" i="50"/>
  <c r="AS147" i="50" s="1"/>
  <c r="CB178" i="50"/>
  <c r="AD178" i="50"/>
  <c r="AD182" i="50"/>
  <c r="CB182" i="50"/>
  <c r="BW155" i="50" s="1"/>
  <c r="AD186" i="50"/>
  <c r="CB186" i="50"/>
  <c r="BM159" i="50" s="1"/>
  <c r="CA171" i="50"/>
  <c r="CA175" i="50"/>
  <c r="BB148" i="50" s="1"/>
  <c r="CA179" i="50"/>
  <c r="BV152" i="50" s="1"/>
  <c r="CA183" i="50"/>
  <c r="BG156" i="50" s="1"/>
  <c r="CA188" i="50"/>
  <c r="AR161" i="50" s="1"/>
  <c r="BZ168" i="50"/>
  <c r="AQ141" i="50" s="1"/>
  <c r="BZ172" i="50"/>
  <c r="BZ176" i="50"/>
  <c r="AQ149" i="50" s="1"/>
  <c r="BZ180" i="50"/>
  <c r="BF153" i="50" s="1"/>
  <c r="BZ184" i="50"/>
  <c r="BK157" i="50" s="1"/>
  <c r="AH168" i="50"/>
  <c r="AG169" i="50"/>
  <c r="AJ170" i="50"/>
  <c r="AI171" i="50"/>
  <c r="AH172" i="50"/>
  <c r="AG173" i="50"/>
  <c r="AJ174" i="50"/>
  <c r="AI175" i="50"/>
  <c r="AH176" i="50"/>
  <c r="AG177" i="50"/>
  <c r="AJ178" i="50"/>
  <c r="AH180" i="50"/>
  <c r="AG181" i="50"/>
  <c r="AJ182" i="50"/>
  <c r="AI183" i="50"/>
  <c r="AH184" i="50"/>
  <c r="AG185" i="50"/>
  <c r="AJ186" i="50"/>
  <c r="AN168" i="50"/>
  <c r="AM169" i="50"/>
  <c r="AL170" i="50"/>
  <c r="AO171" i="50"/>
  <c r="AN172" i="50"/>
  <c r="AM173" i="50"/>
  <c r="AL174" i="50"/>
  <c r="AO175" i="50"/>
  <c r="AN176" i="50"/>
  <c r="AM177" i="50"/>
  <c r="AL178" i="50"/>
  <c r="AO179" i="50"/>
  <c r="AN180" i="50"/>
  <c r="AM181" i="50"/>
  <c r="AL182" i="50"/>
  <c r="AO183" i="50"/>
  <c r="AN184" i="50"/>
  <c r="AM185" i="50"/>
  <c r="AL186" i="50"/>
  <c r="AO188" i="50"/>
  <c r="AW168" i="50"/>
  <c r="AV169" i="50"/>
  <c r="AY170" i="50"/>
  <c r="AX171" i="50"/>
  <c r="AW172" i="50"/>
  <c r="AV173" i="50"/>
  <c r="AY174" i="50"/>
  <c r="AX175" i="50"/>
  <c r="AW176" i="50"/>
  <c r="AV177" i="50"/>
  <c r="AY178" i="50"/>
  <c r="AW180" i="50"/>
  <c r="AV181" i="50"/>
  <c r="AY182" i="50"/>
  <c r="AX183" i="50"/>
  <c r="AW184" i="50"/>
  <c r="AV185" i="50"/>
  <c r="AY186" i="50"/>
  <c r="CD173" i="50"/>
  <c r="BO146" i="50" s="1"/>
  <c r="AF173" i="50"/>
  <c r="CD185" i="50"/>
  <c r="AU158" i="50" s="1"/>
  <c r="AF185" i="50"/>
  <c r="CD174" i="50"/>
  <c r="BJ147" i="50" s="1"/>
  <c r="AF174" i="50"/>
  <c r="CD182" i="50"/>
  <c r="BE155" i="50" s="1"/>
  <c r="AF182" i="50"/>
  <c r="AP172" i="50"/>
  <c r="AP176" i="50"/>
  <c r="AP184" i="50"/>
  <c r="AZ171" i="50"/>
  <c r="AZ179" i="50"/>
  <c r="AF171" i="50"/>
  <c r="CD171" i="50"/>
  <c r="BJ144" i="50" s="1"/>
  <c r="AF175" i="50"/>
  <c r="CD175" i="50"/>
  <c r="BJ148" i="50" s="1"/>
  <c r="AF179" i="50"/>
  <c r="CD179" i="50"/>
  <c r="BO152" i="50" s="1"/>
  <c r="AF183" i="50"/>
  <c r="CD183" i="50"/>
  <c r="BO156" i="50" s="1"/>
  <c r="AK168" i="50"/>
  <c r="AK172" i="50"/>
  <c r="AK176" i="50"/>
  <c r="AK180" i="50"/>
  <c r="AK184" i="50"/>
  <c r="AP169" i="50"/>
  <c r="AP173" i="50"/>
  <c r="AP177" i="50"/>
  <c r="AP181" i="50"/>
  <c r="AP185" i="50"/>
  <c r="AZ168" i="50"/>
  <c r="AZ172" i="50"/>
  <c r="AZ176" i="50"/>
  <c r="AZ180" i="50"/>
  <c r="AZ184" i="50"/>
  <c r="CD169" i="50"/>
  <c r="AU142" i="50" s="1"/>
  <c r="AF169" i="50"/>
  <c r="CD177" i="50"/>
  <c r="BT150" i="50" s="1"/>
  <c r="AF177" i="50"/>
  <c r="CD181" i="50"/>
  <c r="AF181" i="50"/>
  <c r="CD170" i="50"/>
  <c r="AF170" i="50"/>
  <c r="CD178" i="50"/>
  <c r="BE151" i="50" s="1"/>
  <c r="AF178" i="50"/>
  <c r="CD186" i="50"/>
  <c r="AF186" i="50"/>
  <c r="AP168" i="50"/>
  <c r="AP180" i="50"/>
  <c r="AZ175" i="50"/>
  <c r="AZ183" i="50"/>
  <c r="AF168" i="50"/>
  <c r="CD168" i="50"/>
  <c r="BE141" i="50" s="1"/>
  <c r="AF172" i="50"/>
  <c r="CD172" i="50"/>
  <c r="BT145" i="50" s="1"/>
  <c r="AF176" i="50"/>
  <c r="CD176" i="50"/>
  <c r="AF180" i="50"/>
  <c r="CD180" i="50"/>
  <c r="AU153" i="50" s="1"/>
  <c r="AF184" i="50"/>
  <c r="CD184" i="50"/>
  <c r="AU157" i="50" s="1"/>
  <c r="AK169" i="50"/>
  <c r="AK173" i="50"/>
  <c r="AK177" i="50"/>
  <c r="AK181" i="50"/>
  <c r="AK185" i="50"/>
  <c r="AP170" i="50"/>
  <c r="AP174" i="50"/>
  <c r="AP178" i="50"/>
  <c r="AP182" i="50"/>
  <c r="AP186" i="50"/>
  <c r="AZ169" i="50"/>
  <c r="AZ173" i="50"/>
  <c r="AZ177" i="50"/>
  <c r="AZ181" i="50"/>
  <c r="AZ185" i="50"/>
  <c r="AV166" i="50"/>
  <c r="AY167" i="50"/>
  <c r="AW165" i="50"/>
  <c r="AZ166" i="50"/>
  <c r="AJ165" i="50"/>
  <c r="AI166" i="50"/>
  <c r="AH167" i="50"/>
  <c r="AL165" i="50"/>
  <c r="AP165" i="50"/>
  <c r="AO166" i="50"/>
  <c r="AN167" i="50"/>
  <c r="AD165" i="50"/>
  <c r="CB165" i="50"/>
  <c r="BR138" i="50" s="1"/>
  <c r="CA166" i="50"/>
  <c r="BZ167" i="50"/>
  <c r="BK140" i="50" s="1"/>
  <c r="BY165" i="50"/>
  <c r="EB133" i="50"/>
  <c r="BY187" i="50" s="1"/>
  <c r="AF167" i="50"/>
  <c r="CD167" i="50"/>
  <c r="BO140" i="50" s="1"/>
  <c r="AF166" i="50"/>
  <c r="CD166" i="50"/>
  <c r="BO139" i="50" s="1"/>
  <c r="AE167" i="50"/>
  <c r="CC167" i="50"/>
  <c r="BI140" i="50" s="1"/>
  <c r="CA165" i="50"/>
  <c r="BZ166" i="50"/>
  <c r="AI165" i="50"/>
  <c r="AH166" i="50"/>
  <c r="AG167" i="50"/>
  <c r="AK167" i="50"/>
  <c r="AO165" i="50"/>
  <c r="AN166" i="50"/>
  <c r="AM167" i="50"/>
  <c r="AX165" i="50"/>
  <c r="AW166" i="50"/>
  <c r="AV167" i="50"/>
  <c r="AZ167" i="50"/>
  <c r="AE165" i="50"/>
  <c r="CC165" i="50"/>
  <c r="BI138" i="50" s="1"/>
  <c r="AD166" i="50"/>
  <c r="CB166" i="50"/>
  <c r="BR139" i="50" s="1"/>
  <c r="CA167" i="50"/>
  <c r="BQ140" i="50" s="1"/>
  <c r="AG165" i="50"/>
  <c r="AK165" i="50"/>
  <c r="AJ166" i="50"/>
  <c r="AI167" i="50"/>
  <c r="AM165" i="50"/>
  <c r="AL166" i="50"/>
  <c r="AP166" i="50"/>
  <c r="AO167" i="50"/>
  <c r="CA133" i="50"/>
  <c r="AY165" i="50"/>
  <c r="AX166" i="50"/>
  <c r="AW167" i="50"/>
  <c r="AF165" i="50"/>
  <c r="CD165" i="50"/>
  <c r="AU138" i="50" s="1"/>
  <c r="AE166" i="50"/>
  <c r="CC166" i="50"/>
  <c r="BI139" i="50" s="1"/>
  <c r="AD167" i="50"/>
  <c r="CB167" i="50"/>
  <c r="BH140" i="50" s="1"/>
  <c r="BZ165" i="50"/>
  <c r="BU138" i="50" s="1"/>
  <c r="AH165" i="50"/>
  <c r="AG166" i="50"/>
  <c r="AK166" i="50"/>
  <c r="AJ167" i="50"/>
  <c r="AN165" i="50"/>
  <c r="AM166" i="50"/>
  <c r="AL167" i="50"/>
  <c r="AP167" i="50"/>
  <c r="AV165" i="50"/>
  <c r="AZ165" i="50"/>
  <c r="AY166" i="50"/>
  <c r="AX167" i="50"/>
  <c r="DG133" i="50"/>
  <c r="BD187" i="50" s="1"/>
  <c r="BD165" i="50"/>
  <c r="DM133" i="50"/>
  <c r="BJ187" i="50" s="1"/>
  <c r="BJ165" i="50"/>
  <c r="DT133" i="50"/>
  <c r="BQ187" i="50" s="1"/>
  <c r="BQ166" i="50"/>
  <c r="DS133" i="50"/>
  <c r="BP187" i="50" s="1"/>
  <c r="BP167" i="50"/>
  <c r="AQ133" i="50"/>
  <c r="CT133" i="50"/>
  <c r="CX133" i="50"/>
  <c r="AO133" i="50"/>
  <c r="BI133" i="50"/>
  <c r="CH133" i="50"/>
  <c r="CN133" i="50"/>
  <c r="AU187" i="50" s="1"/>
  <c r="AG133" i="50"/>
  <c r="AK133" i="50"/>
  <c r="BL133" i="50"/>
  <c r="BU133" i="50"/>
  <c r="BY133" i="50"/>
  <c r="CK133" i="50"/>
  <c r="AR187" i="50" s="1"/>
  <c r="CS133" i="50"/>
  <c r="CW133" i="50"/>
  <c r="CY133" i="50"/>
  <c r="DE133" i="50"/>
  <c r="BB187" i="50" s="1"/>
  <c r="DD133" i="50"/>
  <c r="BA187" i="50" s="1"/>
  <c r="DH133" i="50"/>
  <c r="BE187" i="50" s="1"/>
  <c r="DI133" i="50"/>
  <c r="BF187" i="50" s="1"/>
  <c r="DQ133" i="50"/>
  <c r="BN187" i="50" s="1"/>
  <c r="DW133" i="50"/>
  <c r="BT187" i="50" s="1"/>
  <c r="AF133" i="50"/>
  <c r="AU133" i="50"/>
  <c r="BG133" i="50"/>
  <c r="BP133" i="50"/>
  <c r="BT133" i="50"/>
  <c r="CC133" i="50"/>
  <c r="AB133" i="50"/>
  <c r="AM133" i="50"/>
  <c r="AL133" i="50"/>
  <c r="AP133" i="50"/>
  <c r="AV133" i="50"/>
  <c r="AZ133" i="50"/>
  <c r="BD133" i="50"/>
  <c r="CO133" i="50"/>
  <c r="BK133" i="50"/>
  <c r="BO133" i="50"/>
  <c r="BN133" i="50"/>
  <c r="BX133" i="50"/>
  <c r="BV133" i="50"/>
  <c r="BZ133" i="50"/>
  <c r="CD133" i="50"/>
  <c r="AW133" i="50"/>
  <c r="BF133" i="50"/>
  <c r="BJ133" i="50"/>
  <c r="CM133" i="50"/>
  <c r="AT187" i="50" s="1"/>
  <c r="CU133" i="50"/>
  <c r="DO133" i="50"/>
  <c r="BL187" i="50" s="1"/>
  <c r="EA133" i="50"/>
  <c r="BX187" i="50" s="1"/>
  <c r="AE133" i="50"/>
  <c r="AC133" i="50"/>
  <c r="AT133" i="50"/>
  <c r="AY133" i="50"/>
  <c r="CF133" i="50"/>
  <c r="CE133" i="50"/>
  <c r="CI133" i="50"/>
  <c r="CJ133" i="50"/>
  <c r="AQ187" i="50" s="1"/>
  <c r="CP133" i="50"/>
  <c r="DB133" i="50"/>
  <c r="DJ133" i="50"/>
  <c r="BG187" i="50" s="1"/>
  <c r="DN133" i="50"/>
  <c r="BK187" i="50" s="1"/>
  <c r="DR133" i="50"/>
  <c r="BO187" i="50" s="1"/>
  <c r="DV133" i="50"/>
  <c r="BS187" i="50" s="1"/>
  <c r="DX133" i="50"/>
  <c r="BU187" i="50" s="1"/>
  <c r="AJ133" i="50"/>
  <c r="AH133" i="50"/>
  <c r="AR133" i="50"/>
  <c r="BB133" i="50"/>
  <c r="BA133" i="50"/>
  <c r="BE133" i="50"/>
  <c r="BQ133" i="50"/>
  <c r="BS133" i="50"/>
  <c r="CR133" i="50"/>
  <c r="CZ133" i="50"/>
  <c r="DC133" i="50"/>
  <c r="DL133" i="50"/>
  <c r="BI187" i="50" s="1"/>
  <c r="DY133" i="50"/>
  <c r="BV187" i="50" s="1"/>
  <c r="B99" i="50"/>
  <c r="B98" i="50"/>
  <c r="B97" i="50"/>
  <c r="B96" i="50"/>
  <c r="B95" i="50"/>
  <c r="B94" i="50"/>
  <c r="B93" i="50"/>
  <c r="B92" i="50"/>
  <c r="B91" i="50"/>
  <c r="B90" i="50"/>
  <c r="B89" i="50"/>
  <c r="B88" i="50"/>
  <c r="B87" i="50"/>
  <c r="B86" i="50"/>
  <c r="B85" i="50"/>
  <c r="B84" i="50"/>
  <c r="B83" i="50"/>
  <c r="B82" i="50"/>
  <c r="B81" i="50"/>
  <c r="B80" i="50"/>
  <c r="B79" i="50"/>
  <c r="B78" i="50"/>
  <c r="B77" i="50"/>
  <c r="B76" i="50"/>
  <c r="B64" i="50"/>
  <c r="B63" i="50"/>
  <c r="B62" i="50"/>
  <c r="B61" i="50"/>
  <c r="B60" i="50"/>
  <c r="B59" i="50"/>
  <c r="B58" i="50"/>
  <c r="B57" i="50"/>
  <c r="B56" i="50"/>
  <c r="B55" i="50"/>
  <c r="B54" i="50"/>
  <c r="B53" i="50"/>
  <c r="B52" i="50"/>
  <c r="B51" i="50"/>
  <c r="B50" i="50"/>
  <c r="B49" i="50"/>
  <c r="B48" i="50"/>
  <c r="B47" i="50"/>
  <c r="B46" i="50"/>
  <c r="B45" i="50"/>
  <c r="B44" i="50"/>
  <c r="B43" i="50"/>
  <c r="B42" i="50"/>
  <c r="B41" i="50"/>
  <c r="B32" i="50"/>
  <c r="B31" i="50"/>
  <c r="B30" i="50"/>
  <c r="B29" i="50"/>
  <c r="B28" i="50"/>
  <c r="B27" i="50"/>
  <c r="B26" i="50"/>
  <c r="B25" i="50"/>
  <c r="B24" i="50"/>
  <c r="B23" i="50"/>
  <c r="B22" i="50"/>
  <c r="B21" i="50"/>
  <c r="B20" i="50"/>
  <c r="B19" i="50"/>
  <c r="B18" i="50"/>
  <c r="B17" i="50"/>
  <c r="B16" i="50"/>
  <c r="B15" i="50"/>
  <c r="B14" i="50"/>
  <c r="B13" i="50"/>
  <c r="B12" i="50"/>
  <c r="B11" i="50"/>
  <c r="B10" i="50"/>
  <c r="B9" i="50"/>
  <c r="AG187" i="50" l="1"/>
  <c r="AQ148" i="50"/>
  <c r="AV187" i="50"/>
  <c r="AL187" i="50"/>
  <c r="AH187" i="50"/>
  <c r="AJ145" i="50"/>
  <c r="AY187" i="50"/>
  <c r="AW187" i="50"/>
  <c r="BZ187" i="50"/>
  <c r="BK160" i="50" s="1"/>
  <c r="CA187" i="50"/>
  <c r="BB160" i="50" s="1"/>
  <c r="AP187" i="50"/>
  <c r="AJ187" i="50"/>
  <c r="AM187" i="50"/>
  <c r="CC187" i="50"/>
  <c r="BS160" i="50" s="1"/>
  <c r="AE187" i="50"/>
  <c r="AO187" i="50"/>
  <c r="AZ187" i="50"/>
  <c r="AF187" i="50"/>
  <c r="CD187" i="50"/>
  <c r="BT160" i="50" s="1"/>
  <c r="AK187" i="50"/>
  <c r="AW158" i="50"/>
  <c r="AR140" i="50"/>
  <c r="BQ143" i="50"/>
  <c r="AM159" i="50"/>
  <c r="AM143" i="50"/>
  <c r="BU149" i="50"/>
  <c r="BA141" i="50"/>
  <c r="AS139" i="50"/>
  <c r="BX146" i="50"/>
  <c r="BA157" i="50"/>
  <c r="BF157" i="50"/>
  <c r="BC147" i="50"/>
  <c r="AR156" i="50"/>
  <c r="BF141" i="50"/>
  <c r="AS155" i="50"/>
  <c r="AQ143" i="50"/>
  <c r="BV147" i="50"/>
  <c r="AM147" i="50"/>
  <c r="BS145" i="50"/>
  <c r="AL161" i="50"/>
  <c r="BA140" i="50"/>
  <c r="AQ156" i="50"/>
  <c r="AO145" i="50"/>
  <c r="BU140" i="50"/>
  <c r="BA161" i="50"/>
  <c r="AR147" i="50"/>
  <c r="BF161" i="50"/>
  <c r="AG161" i="50"/>
  <c r="AH147" i="50"/>
  <c r="BP161" i="50"/>
  <c r="AY145" i="50"/>
  <c r="BU144" i="50"/>
  <c r="AV140" i="50"/>
  <c r="BT156" i="50"/>
  <c r="BR142" i="50"/>
  <c r="BS149" i="50"/>
  <c r="BF140" i="50"/>
  <c r="AV156" i="50"/>
  <c r="AY149" i="50"/>
  <c r="AX142" i="50"/>
  <c r="BW138" i="50"/>
  <c r="BD145" i="50"/>
  <c r="AS138" i="50"/>
  <c r="AX138" i="50"/>
  <c r="BW139" i="50"/>
  <c r="AT146" i="50"/>
  <c r="AI157" i="50"/>
  <c r="AG151" i="50"/>
  <c r="AI141" i="50"/>
  <c r="BN138" i="50"/>
  <c r="BI146" i="50"/>
  <c r="AV157" i="50"/>
  <c r="AX147" i="50"/>
  <c r="BV156" i="50"/>
  <c r="BV140" i="50"/>
  <c r="BD138" i="50"/>
  <c r="BL140" i="50"/>
  <c r="AV148" i="50"/>
  <c r="J5" i="29"/>
  <c r="B144" i="63"/>
  <c r="AH156" i="50"/>
  <c r="AV146" i="50"/>
  <c r="BH147" i="50"/>
  <c r="AY154" i="50"/>
  <c r="AW148" i="50"/>
  <c r="AY138" i="50"/>
  <c r="AV147" i="50"/>
  <c r="AM151" i="50"/>
  <c r="AH151" i="50"/>
  <c r="BH156" i="50"/>
  <c r="BV151" i="50"/>
  <c r="BC142" i="50"/>
  <c r="AS142" i="50"/>
  <c r="AN144" i="50"/>
  <c r="AI147" i="50"/>
  <c r="AG141" i="50"/>
  <c r="BY145" i="50"/>
  <c r="BJ152" i="50"/>
  <c r="BY152" i="50"/>
  <c r="BE152" i="50"/>
  <c r="BJ146" i="50"/>
  <c r="AU145" i="50"/>
  <c r="AK147" i="50"/>
  <c r="AZ152" i="50"/>
  <c r="BE153" i="50"/>
  <c r="BO151" i="50"/>
  <c r="BY156" i="50"/>
  <c r="BJ156" i="50"/>
  <c r="BE156" i="50"/>
  <c r="AZ158" i="50"/>
  <c r="AZ142" i="50"/>
  <c r="AK153" i="50"/>
  <c r="BO145" i="50"/>
  <c r="AZ153" i="50"/>
  <c r="BO148" i="50"/>
  <c r="AM157" i="50"/>
  <c r="BR150" i="50"/>
  <c r="BJ150" i="50"/>
  <c r="AW159" i="50"/>
  <c r="BY148" i="50"/>
  <c r="BJ153" i="50"/>
  <c r="BG140" i="50"/>
  <c r="BC150" i="50"/>
  <c r="AR155" i="50"/>
  <c r="BY147" i="50"/>
  <c r="AY141" i="50"/>
  <c r="BG149" i="50"/>
  <c r="BI141" i="50"/>
  <c r="AY157" i="50"/>
  <c r="BT155" i="50"/>
  <c r="AU148" i="50"/>
  <c r="AT141" i="50"/>
  <c r="BU146" i="50"/>
  <c r="BI143" i="50"/>
  <c r="BF138" i="50"/>
  <c r="AW145" i="50"/>
  <c r="AL144" i="50"/>
  <c r="BU156" i="50"/>
  <c r="BD149" i="50"/>
  <c r="BF144" i="50"/>
  <c r="AD158" i="50"/>
  <c r="AE149" i="50"/>
  <c r="AF140" i="50"/>
  <c r="BE142" i="50"/>
  <c r="AP150" i="50"/>
  <c r="BQ151" i="50"/>
  <c r="BP144" i="50"/>
  <c r="BI159" i="50"/>
  <c r="BG153" i="50"/>
  <c r="BJ142" i="50"/>
  <c r="AR152" i="50"/>
  <c r="AL156" i="50"/>
  <c r="AO149" i="50"/>
  <c r="BI149" i="50"/>
  <c r="BY140" i="50"/>
  <c r="BR149" i="50"/>
  <c r="AS158" i="50"/>
  <c r="AR151" i="50"/>
  <c r="AU140" i="50"/>
  <c r="BH142" i="50"/>
  <c r="AZ156" i="50"/>
  <c r="AZ140" i="50"/>
  <c r="AU155" i="50"/>
  <c r="AG156" i="50"/>
  <c r="AJ149" i="50"/>
  <c r="BP156" i="50"/>
  <c r="BT140" i="50"/>
  <c r="AY151" i="50"/>
  <c r="AP156" i="50"/>
  <c r="AP140" i="50"/>
  <c r="BG151" i="50"/>
  <c r="BX149" i="50"/>
  <c r="BW142" i="50"/>
  <c r="BJ157" i="50"/>
  <c r="BA156" i="50"/>
  <c r="BE140" i="50"/>
  <c r="AX158" i="50"/>
  <c r="AK156" i="50"/>
  <c r="AG144" i="50"/>
  <c r="AK140" i="50"/>
  <c r="AD142" i="50"/>
  <c r="AF156" i="50"/>
  <c r="AL138" i="50"/>
  <c r="BR158" i="50"/>
  <c r="BJ158" i="50"/>
  <c r="BF146" i="50"/>
  <c r="AY159" i="50"/>
  <c r="AW153" i="50"/>
  <c r="AY143" i="50"/>
  <c r="AN158" i="50"/>
  <c r="AN142" i="50"/>
  <c r="BF156" i="50"/>
  <c r="AW151" i="50"/>
  <c r="AV144" i="50"/>
  <c r="BW158" i="50"/>
  <c r="BP143" i="50"/>
  <c r="BC158" i="50"/>
  <c r="BB151" i="50"/>
  <c r="BA144" i="50"/>
  <c r="AU156" i="50"/>
  <c r="AT149" i="50"/>
  <c r="AQ144" i="50"/>
  <c r="BH158" i="50"/>
  <c r="BJ140" i="50"/>
  <c r="AI158" i="50"/>
  <c r="AI142" i="50"/>
  <c r="BP153" i="50"/>
  <c r="AQ153" i="50"/>
  <c r="BU153" i="50"/>
  <c r="BA153" i="50"/>
  <c r="BL161" i="50"/>
  <c r="BB161" i="50"/>
  <c r="AW161" i="50"/>
  <c r="BG161" i="50"/>
  <c r="BG144" i="50"/>
  <c r="BL144" i="50"/>
  <c r="BB144" i="50"/>
  <c r="BQ144" i="50"/>
  <c r="BM151" i="50"/>
  <c r="BH151" i="50"/>
  <c r="BS158" i="50"/>
  <c r="BI158" i="50"/>
  <c r="AT158" i="50"/>
  <c r="BX158" i="50"/>
  <c r="AJ158" i="50"/>
  <c r="AT142" i="50"/>
  <c r="BX142" i="50"/>
  <c r="BI142" i="50"/>
  <c r="AK149" i="50"/>
  <c r="BJ149" i="50"/>
  <c r="AU149" i="50"/>
  <c r="BY149" i="50"/>
  <c r="BE149" i="50"/>
  <c r="BU155" i="50"/>
  <c r="BK155" i="50"/>
  <c r="BF139" i="50"/>
  <c r="BA139" i="50"/>
  <c r="BP139" i="50"/>
  <c r="AW146" i="50"/>
  <c r="BQ146" i="50"/>
  <c r="BR153" i="50"/>
  <c r="BC153" i="50"/>
  <c r="BM153" i="50"/>
  <c r="BW153" i="50"/>
  <c r="BT143" i="50"/>
  <c r="BO143" i="50"/>
  <c r="BE143" i="50"/>
  <c r="BR151" i="50"/>
  <c r="BV161" i="50"/>
  <c r="BK147" i="50"/>
  <c r="BC159" i="50"/>
  <c r="AS151" i="50"/>
  <c r="AR144" i="50"/>
  <c r="BQ154" i="50"/>
  <c r="AZ157" i="50"/>
  <c r="AX151" i="50"/>
  <c r="AV145" i="50"/>
  <c r="AZ141" i="50"/>
  <c r="AK195" i="50" s="1"/>
  <c r="AQ145" i="50"/>
  <c r="BU145" i="50"/>
  <c r="BF145" i="50"/>
  <c r="BQ152" i="50"/>
  <c r="BB152" i="50"/>
  <c r="BL152" i="50"/>
  <c r="BH159" i="50"/>
  <c r="AS159" i="50"/>
  <c r="BW159" i="50"/>
  <c r="AI143" i="50"/>
  <c r="BC143" i="50"/>
  <c r="BM143" i="50"/>
  <c r="BN150" i="50"/>
  <c r="BI150" i="50"/>
  <c r="AT150" i="50"/>
  <c r="BX150" i="50"/>
  <c r="AK157" i="50"/>
  <c r="BO157" i="50"/>
  <c r="BE157" i="50"/>
  <c r="BO141" i="50"/>
  <c r="AU141" i="50"/>
  <c r="BY141" i="50"/>
  <c r="BJ141" i="50"/>
  <c r="BQ138" i="50"/>
  <c r="BB138" i="50"/>
  <c r="BV138" i="50"/>
  <c r="AT152" i="50"/>
  <c r="BS152" i="50"/>
  <c r="BD152" i="50"/>
  <c r="BO159" i="50"/>
  <c r="BY159" i="50"/>
  <c r="BT159" i="50"/>
  <c r="BE159" i="50"/>
  <c r="BY157" i="50"/>
  <c r="BW151" i="50"/>
  <c r="BV144" i="50"/>
  <c r="BD158" i="50"/>
  <c r="BC151" i="50"/>
  <c r="BA145" i="50"/>
  <c r="AS143" i="50"/>
  <c r="BX144" i="50"/>
  <c r="BW143" i="50"/>
  <c r="BL138" i="50"/>
  <c r="BD150" i="50"/>
  <c r="BD142" i="50"/>
  <c r="BF150" i="50"/>
  <c r="BP150" i="50"/>
  <c r="AN148" i="50"/>
  <c r="AS148" i="50"/>
  <c r="BT154" i="50"/>
  <c r="AU154" i="50"/>
  <c r="BA147" i="50"/>
  <c r="BS144" i="50"/>
  <c r="BM140" i="50"/>
  <c r="BH143" i="50"/>
  <c r="BA150" i="50"/>
  <c r="AY150" i="50"/>
  <c r="AO144" i="50"/>
  <c r="AY155" i="50"/>
  <c r="AW149" i="50"/>
  <c r="AY139" i="50"/>
  <c r="AO151" i="50"/>
  <c r="BF148" i="50"/>
  <c r="BX157" i="50"/>
  <c r="BU148" i="50"/>
  <c r="BX141" i="50"/>
  <c r="BA148" i="50"/>
  <c r="BD141" i="50"/>
  <c r="AZ149" i="50"/>
  <c r="AT157" i="50"/>
  <c r="AN159" i="50"/>
  <c r="AM156" i="50"/>
  <c r="AL153" i="50"/>
  <c r="AP149" i="50"/>
  <c r="AO146" i="50"/>
  <c r="AN143" i="50"/>
  <c r="AM140" i="50"/>
  <c r="AJ153" i="50"/>
  <c r="AI150" i="50"/>
  <c r="AW142" i="50"/>
  <c r="AY148" i="50"/>
  <c r="BM138" i="50"/>
  <c r="AJ152" i="50"/>
  <c r="AH146" i="50"/>
  <c r="AO161" i="50"/>
  <c r="AM154" i="50"/>
  <c r="AM138" i="50"/>
  <c r="BQ159" i="50"/>
  <c r="AV158" i="50"/>
  <c r="AZ154" i="50"/>
  <c r="AX148" i="50"/>
  <c r="AV142" i="50"/>
  <c r="AZ138" i="50"/>
  <c r="AO153" i="50"/>
  <c r="AN150" i="50"/>
  <c r="AJ161" i="50"/>
  <c r="AH154" i="50"/>
  <c r="AJ144" i="50"/>
  <c r="AH138" i="50"/>
  <c r="AB138" i="50"/>
  <c r="AD161" i="50"/>
  <c r="AD144" i="50"/>
  <c r="AE159" i="50"/>
  <c r="AE151" i="50"/>
  <c r="AE143" i="50"/>
  <c r="AF158" i="50"/>
  <c r="AF150" i="50"/>
  <c r="AF142" i="50"/>
  <c r="BT142" i="50"/>
  <c r="BG143" i="50"/>
  <c r="BN159" i="50"/>
  <c r="BD157" i="50"/>
  <c r="AY158" i="50"/>
  <c r="AW152" i="50"/>
  <c r="AO152" i="50"/>
  <c r="AM146" i="50"/>
  <c r="AH159" i="50"/>
  <c r="AH143" i="50"/>
  <c r="BV153" i="50"/>
  <c r="BE158" i="50"/>
  <c r="AP142" i="50"/>
  <c r="AH152" i="50"/>
  <c r="BA159" i="50"/>
  <c r="AQ159" i="50"/>
  <c r="AV151" i="50"/>
  <c r="BU151" i="50"/>
  <c r="BA151" i="50"/>
  <c r="AX157" i="50"/>
  <c r="BW157" i="50"/>
  <c r="BJ139" i="50"/>
  <c r="AU139" i="50"/>
  <c r="BG146" i="50"/>
  <c r="AW154" i="50"/>
  <c r="BA152" i="50"/>
  <c r="AQ152" i="50"/>
  <c r="BG155" i="50"/>
  <c r="BL155" i="50"/>
  <c r="BB139" i="50"/>
  <c r="AR139" i="50"/>
  <c r="BL139" i="50"/>
  <c r="BN153" i="50"/>
  <c r="BI153" i="50"/>
  <c r="BT152" i="50"/>
  <c r="BQ147" i="50"/>
  <c r="BL154" i="50"/>
  <c r="BM149" i="50"/>
  <c r="BN144" i="50"/>
  <c r="BK139" i="50"/>
  <c r="AP152" i="50"/>
  <c r="AL140" i="50"/>
  <c r="AK159" i="50"/>
  <c r="AI153" i="50"/>
  <c r="AG147" i="50"/>
  <c r="AK143" i="50"/>
  <c r="AL158" i="50"/>
  <c r="AQ158" i="50"/>
  <c r="AQ150" i="50"/>
  <c r="AL150" i="50"/>
  <c r="BA142" i="50"/>
  <c r="AQ142" i="50"/>
  <c r="AS156" i="50"/>
  <c r="BC156" i="50"/>
  <c r="BW156" i="50"/>
  <c r="BR140" i="50"/>
  <c r="BC140" i="50"/>
  <c r="BW140" i="50"/>
  <c r="AT155" i="50"/>
  <c r="BS155" i="50"/>
  <c r="AO139" i="50"/>
  <c r="AU146" i="50"/>
  <c r="BE146" i="50"/>
  <c r="BY146" i="50"/>
  <c r="AP138" i="50"/>
  <c r="BT138" i="50"/>
  <c r="BH154" i="50"/>
  <c r="BH138" i="50"/>
  <c r="BC141" i="50"/>
  <c r="BU152" i="50"/>
  <c r="BV139" i="50"/>
  <c r="BP159" i="50"/>
  <c r="BP147" i="50"/>
  <c r="BL153" i="50"/>
  <c r="BK146" i="50"/>
  <c r="BE161" i="50"/>
  <c r="BB147" i="50"/>
  <c r="BC138" i="50"/>
  <c r="AQ140" i="50"/>
  <c r="AJ159" i="50"/>
  <c r="AH153" i="50"/>
  <c r="AJ143" i="50"/>
  <c r="AG149" i="50"/>
  <c r="BG148" i="50"/>
  <c r="AH148" i="50"/>
  <c r="BR155" i="50"/>
  <c r="BM155" i="50"/>
  <c r="BI154" i="50"/>
  <c r="BS154" i="50"/>
  <c r="AJ154" i="50"/>
  <c r="BV146" i="50"/>
  <c r="BO149" i="50"/>
  <c r="BG147" i="50"/>
  <c r="BC157" i="50"/>
  <c r="AG153" i="50"/>
  <c r="BU150" i="50"/>
  <c r="BQ148" i="50"/>
  <c r="BM154" i="50"/>
  <c r="AT151" i="50"/>
  <c r="AN156" i="50"/>
  <c r="AV155" i="50"/>
  <c r="BF155" i="50"/>
  <c r="AQ155" i="50"/>
  <c r="BF147" i="50"/>
  <c r="AQ147" i="50"/>
  <c r="BU147" i="50"/>
  <c r="AV139" i="50"/>
  <c r="BU139" i="50"/>
  <c r="BG154" i="50"/>
  <c r="BB154" i="50"/>
  <c r="BV154" i="50"/>
  <c r="BG138" i="50"/>
  <c r="AW138" i="50"/>
  <c r="AR138" i="50"/>
  <c r="BH153" i="50"/>
  <c r="AX153" i="50"/>
  <c r="AS153" i="50"/>
  <c r="AX145" i="50"/>
  <c r="BH145" i="50"/>
  <c r="AS145" i="50"/>
  <c r="BW145" i="50"/>
  <c r="BI161" i="50"/>
  <c r="AT161" i="50"/>
  <c r="BX161" i="50"/>
  <c r="BD161" i="50"/>
  <c r="AY152" i="50"/>
  <c r="BX152" i="50"/>
  <c r="BI144" i="50"/>
  <c r="BD144" i="50"/>
  <c r="AY144" i="50"/>
  <c r="BJ159" i="50"/>
  <c r="AZ159" i="50"/>
  <c r="AZ151" i="50"/>
  <c r="AU151" i="50"/>
  <c r="BJ151" i="50"/>
  <c r="BJ143" i="50"/>
  <c r="AU143" i="50"/>
  <c r="BY143" i="50"/>
  <c r="AZ143" i="50"/>
  <c r="AQ161" i="50"/>
  <c r="BK161" i="50"/>
  <c r="BI145" i="50"/>
  <c r="AT145" i="50"/>
  <c r="BR154" i="50"/>
  <c r="BP140" i="50"/>
  <c r="BO155" i="50"/>
  <c r="BN152" i="50"/>
  <c r="BL146" i="50"/>
  <c r="BK143" i="50"/>
  <c r="AN154" i="50"/>
  <c r="AN138" i="50"/>
  <c r="AG155" i="50"/>
  <c r="AK151" i="50"/>
  <c r="AI145" i="50"/>
  <c r="AG139" i="50"/>
  <c r="BA154" i="50"/>
  <c r="AQ154" i="50"/>
  <c r="AL146" i="50"/>
  <c r="BA138" i="50"/>
  <c r="AQ138" i="50"/>
  <c r="AM145" i="50"/>
  <c r="AR145" i="50"/>
  <c r="BC161" i="50"/>
  <c r="AI161" i="50"/>
  <c r="BR161" i="50"/>
  <c r="BC144" i="50"/>
  <c r="BR144" i="50"/>
  <c r="AO159" i="50"/>
  <c r="BD159" i="50"/>
  <c r="BX159" i="50"/>
  <c r="AT143" i="50"/>
  <c r="BD143" i="50"/>
  <c r="BX143" i="50"/>
  <c r="BE150" i="50"/>
  <c r="AU150" i="50"/>
  <c r="BT158" i="50"/>
  <c r="BA155" i="50"/>
  <c r="BC145" i="50"/>
  <c r="AX154" i="50"/>
  <c r="AW147" i="50"/>
  <c r="BW154" i="50"/>
  <c r="BX145" i="50"/>
  <c r="BS161" i="50"/>
  <c r="BP155" i="50"/>
  <c r="BT151" i="50"/>
  <c r="BR145" i="50"/>
  <c r="BT139" i="50"/>
  <c r="BO158" i="50"/>
  <c r="BK150" i="50"/>
  <c r="BO142" i="50"/>
  <c r="BC154" i="50"/>
  <c r="BE144" i="50"/>
  <c r="AU152" i="50"/>
  <c r="BK145" i="50"/>
  <c r="BP145" i="50"/>
  <c r="AM161" i="50"/>
  <c r="BQ161" i="50"/>
  <c r="AH161" i="50"/>
  <c r="AH144" i="50"/>
  <c r="BR159" i="50"/>
  <c r="AI159" i="50"/>
  <c r="AJ150" i="50"/>
  <c r="BS150" i="50"/>
  <c r="BS142" i="50"/>
  <c r="BN142" i="50"/>
  <c r="BT141" i="50"/>
  <c r="AK141" i="50"/>
  <c r="BY151" i="50"/>
  <c r="BX140" i="50"/>
  <c r="BS143" i="50"/>
  <c r="BB146" i="50"/>
  <c r="AU159" i="50"/>
  <c r="AS149" i="50"/>
  <c r="AQ139" i="50"/>
  <c r="AO143" i="50"/>
  <c r="BY158" i="50"/>
  <c r="BY142" i="50"/>
  <c r="BT157" i="50"/>
  <c r="BS138" i="50"/>
  <c r="BI152" i="50"/>
  <c r="BB153" i="50"/>
  <c r="AY161" i="50"/>
  <c r="AS161" i="50"/>
  <c r="AS144" i="50"/>
  <c r="AY142" i="50"/>
  <c r="AL155" i="50"/>
  <c r="AP151" i="50"/>
  <c r="AN145" i="50"/>
  <c r="AL139" i="50"/>
  <c r="AV161" i="50"/>
  <c r="AY153" i="50"/>
  <c r="AW139" i="50"/>
  <c r="AI154" i="50"/>
  <c r="AI138" i="50"/>
  <c r="AB139" i="50"/>
  <c r="AC138" i="50"/>
  <c r="AD153" i="50"/>
  <c r="AD145" i="50"/>
  <c r="AE161" i="50"/>
  <c r="AE152" i="50"/>
  <c r="AE144" i="50"/>
  <c r="AF159" i="50"/>
  <c r="AF151" i="50"/>
  <c r="AF143" i="50"/>
  <c r="AW144" i="50"/>
  <c r="AV141" i="50"/>
  <c r="AP159" i="50"/>
  <c r="AO156" i="50"/>
  <c r="AN153" i="50"/>
  <c r="AM150" i="50"/>
  <c r="AL147" i="50"/>
  <c r="AP143" i="50"/>
  <c r="AO140" i="50"/>
  <c r="AH157" i="50"/>
  <c r="AG154" i="50"/>
  <c r="AK150" i="50"/>
  <c r="AJ147" i="50"/>
  <c r="AI144" i="50"/>
  <c r="AH141" i="50"/>
  <c r="AG138" i="50"/>
  <c r="AD159" i="50"/>
  <c r="AD151" i="50"/>
  <c r="AD143" i="50"/>
  <c r="AE158" i="50"/>
  <c r="AE150" i="50"/>
  <c r="AE142" i="50"/>
  <c r="AF157" i="50"/>
  <c r="AF149" i="50"/>
  <c r="AF141" i="50"/>
  <c r="AO158" i="50"/>
  <c r="AM152" i="50"/>
  <c r="AO142" i="50"/>
  <c r="AK152" i="50"/>
  <c r="AG140" i="50"/>
  <c r="AB140" i="50"/>
  <c r="AD154" i="50"/>
  <c r="AD138" i="50"/>
  <c r="AE145" i="50"/>
  <c r="AF152" i="50"/>
  <c r="BF159" i="50"/>
  <c r="BJ155" i="50"/>
  <c r="BH149" i="50"/>
  <c r="AZ147" i="50"/>
  <c r="AN146" i="50"/>
  <c r="AJ156" i="50"/>
  <c r="BR156" i="50"/>
  <c r="BQ141" i="50"/>
  <c r="BB158" i="50"/>
  <c r="BE139" i="50"/>
  <c r="BY144" i="50"/>
  <c r="BS148" i="50"/>
  <c r="BN155" i="50"/>
  <c r="BL149" i="50"/>
  <c r="BN139" i="50"/>
  <c r="BD153" i="50"/>
  <c r="AU161" i="50"/>
  <c r="AU144" i="50"/>
  <c r="AL159" i="50"/>
  <c r="AK146" i="50"/>
  <c r="AI140" i="50"/>
  <c r="BX156" i="50"/>
  <c r="BY139" i="50"/>
  <c r="BR148" i="50"/>
  <c r="BO153" i="50"/>
  <c r="BK141" i="50"/>
  <c r="AX146" i="50"/>
  <c r="AR158" i="50"/>
  <c r="AL149" i="50"/>
  <c r="AI146" i="50"/>
  <c r="AD157" i="50"/>
  <c r="AD141" i="50"/>
  <c r="AE148" i="50"/>
  <c r="AF155" i="50"/>
  <c r="AF139" i="50"/>
  <c r="AO155" i="50"/>
  <c r="AL142" i="50"/>
  <c r="AJ146" i="50"/>
  <c r="AH140" i="50"/>
  <c r="BX155" i="50"/>
  <c r="BV149" i="50"/>
  <c r="BX139" i="50"/>
  <c r="BP157" i="50"/>
  <c r="BT153" i="50"/>
  <c r="BP141" i="50"/>
  <c r="BO161" i="50"/>
  <c r="BN157" i="50"/>
  <c r="BK148" i="50"/>
  <c r="BO144" i="50"/>
  <c r="BN141" i="50"/>
  <c r="BG158" i="50"/>
  <c r="BI148" i="50"/>
  <c r="BG142" i="50"/>
  <c r="BD155" i="50"/>
  <c r="BB149" i="50"/>
  <c r="BD139" i="50"/>
  <c r="AJ193" i="50" s="1"/>
  <c r="AY156" i="50"/>
  <c r="AW150" i="50"/>
  <c r="AY140" i="50"/>
  <c r="AR157" i="50"/>
  <c r="AT147" i="50"/>
  <c r="AR141" i="50"/>
  <c r="AP154" i="50"/>
  <c r="AM149" i="50"/>
  <c r="AK145" i="50"/>
  <c r="AI139" i="50"/>
  <c r="AC139" i="50"/>
  <c r="AD146" i="50"/>
  <c r="AE153" i="50"/>
  <c r="AF161" i="50"/>
  <c r="AF144" i="50"/>
  <c r="BX154" i="50"/>
  <c r="BV148" i="50"/>
  <c r="BX138" i="50"/>
  <c r="BQ155" i="50"/>
  <c r="BP152" i="50"/>
  <c r="BT148" i="50"/>
  <c r="BM157" i="50"/>
  <c r="BK151" i="50"/>
  <c r="BO147" i="50"/>
  <c r="BM141" i="50"/>
  <c r="BF158" i="50"/>
  <c r="BJ154" i="50"/>
  <c r="BI151" i="50"/>
  <c r="BH148" i="50"/>
  <c r="BG145" i="50"/>
  <c r="BF142" i="50"/>
  <c r="BJ138" i="50"/>
  <c r="BB156" i="50"/>
  <c r="BD146" i="50"/>
  <c r="BB140" i="50"/>
  <c r="AX161" i="50"/>
  <c r="AW157" i="50"/>
  <c r="AV154" i="50"/>
  <c r="AZ150" i="50"/>
  <c r="AY147" i="50"/>
  <c r="AX144" i="50"/>
  <c r="AW141" i="50"/>
  <c r="AH195" i="50" s="1"/>
  <c r="AV138" i="50"/>
  <c r="AT154" i="50"/>
  <c r="AR148" i="50"/>
  <c r="AT138" i="50"/>
  <c r="AM155" i="50"/>
  <c r="AL152" i="50"/>
  <c r="AP148" i="50"/>
  <c r="AM139" i="50"/>
  <c r="AG159" i="50"/>
  <c r="AK155" i="50"/>
  <c r="AI149" i="50"/>
  <c r="AG143" i="50"/>
  <c r="AK139" i="50"/>
  <c r="AD156" i="50"/>
  <c r="AD148" i="50"/>
  <c r="AD140" i="50"/>
  <c r="AE155" i="50"/>
  <c r="AE147" i="50"/>
  <c r="AE139" i="50"/>
  <c r="AF154" i="50"/>
  <c r="AF146" i="50"/>
  <c r="AF138" i="50"/>
  <c r="BP154" i="50"/>
  <c r="BS147" i="50"/>
  <c r="BS139" i="50"/>
  <c r="BL156" i="50"/>
  <c r="BK149" i="50"/>
  <c r="BG159" i="50"/>
  <c r="BH146" i="50"/>
  <c r="BD156" i="50"/>
  <c r="BB150" i="50"/>
  <c r="BX153" i="50"/>
  <c r="BW150" i="50"/>
  <c r="BR157" i="50"/>
  <c r="BP151" i="50"/>
  <c r="BT147" i="50"/>
  <c r="BR141" i="50"/>
  <c r="BK158" i="50"/>
  <c r="BO154" i="50"/>
  <c r="BN151" i="50"/>
  <c r="BM148" i="50"/>
  <c r="BL145" i="50"/>
  <c r="BK142" i="50"/>
  <c r="BO138" i="50"/>
  <c r="BH155" i="50"/>
  <c r="BG152" i="50"/>
  <c r="BF149" i="50"/>
  <c r="BJ145" i="50"/>
  <c r="BH139" i="50"/>
  <c r="BB159" i="50"/>
  <c r="BC146" i="50"/>
  <c r="BB143" i="50"/>
  <c r="AX159" i="50"/>
  <c r="AW156" i="50"/>
  <c r="AV153" i="50"/>
  <c r="AY146" i="50"/>
  <c r="AX143" i="50"/>
  <c r="AW140" i="50"/>
  <c r="AT153" i="50"/>
  <c r="AS150" i="50"/>
  <c r="AM158" i="50"/>
  <c r="AO148" i="50"/>
  <c r="AM142" i="50"/>
  <c r="AK158" i="50"/>
  <c r="AJ155" i="50"/>
  <c r="AH149" i="50"/>
  <c r="AG146" i="50"/>
  <c r="AK142" i="50"/>
  <c r="AJ139" i="50"/>
  <c r="AC140" i="50"/>
  <c r="AD155" i="50"/>
  <c r="AD147" i="50"/>
  <c r="AD139" i="50"/>
  <c r="AE154" i="50"/>
  <c r="AE146" i="50"/>
  <c r="AE138" i="50"/>
  <c r="AF153" i="50"/>
  <c r="AF145" i="50"/>
  <c r="BU159" i="50"/>
  <c r="BY155" i="50"/>
  <c r="BW149" i="50"/>
  <c r="BU143" i="50"/>
  <c r="BP158" i="50"/>
  <c r="BQ153" i="50"/>
  <c r="BT146" i="50"/>
  <c r="BP142" i="50"/>
  <c r="BN158" i="50"/>
  <c r="BK153" i="50"/>
  <c r="BN146" i="50"/>
  <c r="BM139" i="50"/>
  <c r="BH150" i="50"/>
  <c r="BE147" i="50"/>
  <c r="BD140" i="50"/>
  <c r="AX150" i="50"/>
  <c r="AZ144" i="50"/>
  <c r="AS157" i="50"/>
  <c r="AQ151" i="50"/>
  <c r="AU147" i="50"/>
  <c r="AS141" i="50"/>
  <c r="AP157" i="50"/>
  <c r="AO154" i="50"/>
  <c r="AN151" i="50"/>
  <c r="AM148" i="50"/>
  <c r="AL145" i="50"/>
  <c r="AP141" i="50"/>
  <c r="AO138" i="50"/>
  <c r="AH155" i="50"/>
  <c r="AG152" i="50"/>
  <c r="AK148" i="50"/>
  <c r="AH139" i="50"/>
  <c r="AN161" i="50"/>
  <c r="AM153" i="50"/>
  <c r="AP146" i="50"/>
  <c r="AN140" i="50"/>
  <c r="AG157" i="50"/>
  <c r="AI151" i="50"/>
  <c r="AG145" i="50"/>
  <c r="AJ138" i="50"/>
  <c r="AD150" i="50"/>
  <c r="AE157" i="50"/>
  <c r="AE141" i="50"/>
  <c r="AF148" i="50"/>
  <c r="BU158" i="50"/>
  <c r="BY154" i="50"/>
  <c r="BX151" i="50"/>
  <c r="BW148" i="50"/>
  <c r="BV145" i="50"/>
  <c r="BU142" i="50"/>
  <c r="BQ156" i="50"/>
  <c r="BT149" i="50"/>
  <c r="BR143" i="50"/>
  <c r="BH157" i="50"/>
  <c r="BF151" i="50"/>
  <c r="BH141" i="50"/>
  <c r="BA158" i="50"/>
  <c r="BE154" i="50"/>
  <c r="BD151" i="50"/>
  <c r="BC148" i="50"/>
  <c r="BB145" i="50"/>
  <c r="BE138" i="50"/>
  <c r="AV159" i="50"/>
  <c r="AZ155" i="50"/>
  <c r="AX149" i="50"/>
  <c r="AV143" i="50"/>
  <c r="AG197" i="50" s="1"/>
  <c r="AZ139" i="50"/>
  <c r="AT159" i="50"/>
  <c r="AS140" i="50"/>
  <c r="AL154" i="50"/>
  <c r="AO147" i="50"/>
  <c r="AM141" i="50"/>
  <c r="BF143" i="50"/>
  <c r="AX141" i="50"/>
  <c r="BR146" i="50"/>
  <c r="BL158" i="50"/>
  <c r="BN148" i="50"/>
  <c r="BL142" i="50"/>
  <c r="AH150" i="50"/>
  <c r="AJ140" i="50"/>
  <c r="BQ149" i="50"/>
  <c r="BY161" i="50"/>
  <c r="BQ158" i="50"/>
  <c r="BQ142" i="50"/>
  <c r="AP155" i="50"/>
  <c r="AN149" i="50"/>
  <c r="AL143" i="50"/>
  <c r="AP139" i="50"/>
  <c r="AI156" i="50"/>
  <c r="AG150" i="50"/>
  <c r="BV150" i="50"/>
  <c r="BM147" i="50"/>
  <c r="BF152" i="50"/>
  <c r="BG139" i="50"/>
  <c r="BB142" i="50"/>
  <c r="AV152" i="50"/>
  <c r="AT148" i="50"/>
  <c r="AR142" i="50"/>
  <c r="AN155" i="50"/>
  <c r="AP145" i="50"/>
  <c r="AN139" i="50"/>
  <c r="AD149" i="50"/>
  <c r="AE156" i="50"/>
  <c r="AE140" i="50"/>
  <c r="AF147" i="50"/>
  <c r="BR147" i="50"/>
  <c r="BU157" i="50"/>
  <c r="BY153" i="50"/>
  <c r="BW147" i="50"/>
  <c r="BU141" i="50"/>
  <c r="BT161" i="50"/>
  <c r="BS157" i="50"/>
  <c r="BT144" i="50"/>
  <c r="BQ139" i="50"/>
  <c r="BN156" i="50"/>
  <c r="BL150" i="50"/>
  <c r="BN140" i="50"/>
  <c r="BG157" i="50"/>
  <c r="BI147" i="50"/>
  <c r="BG141" i="50"/>
  <c r="BC155" i="50"/>
  <c r="BA149" i="50"/>
  <c r="BE145" i="50"/>
  <c r="BC139" i="50"/>
  <c r="AX156" i="50"/>
  <c r="AV150" i="50"/>
  <c r="AZ146" i="50"/>
  <c r="AX140" i="50"/>
  <c r="AQ157" i="50"/>
  <c r="AP161" i="50"/>
  <c r="AO157" i="50"/>
  <c r="AL148" i="50"/>
  <c r="AP144" i="50"/>
  <c r="AO141" i="50"/>
  <c r="AH158" i="50"/>
  <c r="AJ148" i="50"/>
  <c r="AH142" i="50"/>
  <c r="BQ145" i="50"/>
  <c r="BP138" i="50"/>
  <c r="BN154" i="50"/>
  <c r="BL148" i="50"/>
  <c r="BD148" i="50"/>
  <c r="AZ161" i="50"/>
  <c r="BV159" i="50"/>
  <c r="BW146" i="50"/>
  <c r="BV143" i="50"/>
  <c r="BS156" i="50"/>
  <c r="BQ150" i="50"/>
  <c r="BS140" i="50"/>
  <c r="BM161" i="50"/>
  <c r="BL157" i="50"/>
  <c r="BK154" i="50"/>
  <c r="BO150" i="50"/>
  <c r="BN147" i="50"/>
  <c r="BM144" i="50"/>
  <c r="BL141" i="50"/>
  <c r="BK138" i="50"/>
  <c r="BB155" i="50"/>
  <c r="BE148" i="50"/>
  <c r="AX155" i="50"/>
  <c r="AV149" i="50"/>
  <c r="AZ145" i="50"/>
  <c r="AX139" i="50"/>
  <c r="AR159" i="50"/>
  <c r="AS146" i="50"/>
  <c r="AR143" i="50"/>
  <c r="AN157" i="50"/>
  <c r="AL151" i="50"/>
  <c r="AP147" i="50"/>
  <c r="AN141" i="50"/>
  <c r="AG158" i="50"/>
  <c r="AK154" i="50"/>
  <c r="AJ151" i="50"/>
  <c r="AI148" i="50"/>
  <c r="AH145" i="50"/>
  <c r="AG142" i="50"/>
  <c r="AK138" i="50"/>
  <c r="BV158" i="50"/>
  <c r="BX148" i="50"/>
  <c r="BV142" i="50"/>
  <c r="BQ157" i="50"/>
  <c r="BS151" i="50"/>
  <c r="BP146" i="50"/>
  <c r="AW155" i="50"/>
  <c r="AZ148" i="50"/>
  <c r="AW143" i="50"/>
  <c r="AT156" i="50"/>
  <c r="AR150" i="50"/>
  <c r="AT140" i="50"/>
  <c r="AL157" i="50"/>
  <c r="AP153" i="50"/>
  <c r="AO150" i="50"/>
  <c r="AN147" i="50"/>
  <c r="AM144" i="50"/>
  <c r="AL141" i="50"/>
  <c r="AK161" i="50"/>
  <c r="AJ157" i="50"/>
  <c r="AG148" i="50"/>
  <c r="AK144" i="50"/>
  <c r="AJ141" i="50"/>
  <c r="AP158" i="50"/>
  <c r="AI155" i="50"/>
  <c r="AJ142" i="50"/>
  <c r="BW161" i="50"/>
  <c r="BV157" i="50"/>
  <c r="BU154" i="50"/>
  <c r="BY150" i="50"/>
  <c r="BX147" i="50"/>
  <c r="BW144" i="50"/>
  <c r="BV141" i="50"/>
  <c r="BY138" i="50"/>
  <c r="BP149" i="50"/>
  <c r="AQ146" i="50"/>
  <c r="AT139" i="50"/>
  <c r="B33" i="49"/>
  <c r="B135" i="49" s="1"/>
  <c r="Y134" i="49" s="1"/>
  <c r="B32" i="49"/>
  <c r="B31" i="49"/>
  <c r="B30" i="49"/>
  <c r="B29" i="49"/>
  <c r="B28" i="49"/>
  <c r="B27" i="49"/>
  <c r="B26" i="49"/>
  <c r="B25" i="49"/>
  <c r="B24" i="49"/>
  <c r="B23" i="49"/>
  <c r="B22" i="49"/>
  <c r="B21" i="49"/>
  <c r="B20" i="49"/>
  <c r="B19" i="49"/>
  <c r="B18" i="49"/>
  <c r="B17" i="49"/>
  <c r="B16" i="49"/>
  <c r="B15" i="49"/>
  <c r="B14" i="49"/>
  <c r="B13" i="49"/>
  <c r="B12" i="49"/>
  <c r="B11" i="49"/>
  <c r="B10" i="49"/>
  <c r="Y2" i="49"/>
  <c r="AG196" i="50" l="1"/>
  <c r="AJ195" i="50"/>
  <c r="AI192" i="50"/>
  <c r="AH196" i="50"/>
  <c r="AN193" i="50"/>
  <c r="AL197" i="50"/>
  <c r="AL192" i="50"/>
  <c r="AG193" i="50"/>
  <c r="AM192" i="50"/>
  <c r="AH192" i="50"/>
  <c r="AM194" i="50"/>
  <c r="AH194" i="50"/>
  <c r="AW160" i="50"/>
  <c r="AH193" i="50"/>
  <c r="AN192" i="50"/>
  <c r="AN194" i="50"/>
  <c r="AN195" i="50"/>
  <c r="AO193" i="50"/>
  <c r="AJ192" i="50"/>
  <c r="AJ194" i="50"/>
  <c r="AO192" i="50"/>
  <c r="AP194" i="50"/>
  <c r="AK192" i="50"/>
  <c r="AK194" i="50"/>
  <c r="AO194" i="50"/>
  <c r="AE194" i="50"/>
  <c r="CC194" i="50"/>
  <c r="AD193" i="50"/>
  <c r="CB193" i="50"/>
  <c r="AE193" i="50"/>
  <c r="CC193" i="50"/>
  <c r="BZ194" i="50"/>
  <c r="BZ193" i="50"/>
  <c r="AM193" i="50"/>
  <c r="CC192" i="50"/>
  <c r="AE192" i="50"/>
  <c r="AD192" i="50"/>
  <c r="CB192" i="50"/>
  <c r="CA192" i="50"/>
  <c r="AJ197" i="50"/>
  <c r="AG192" i="50"/>
  <c r="AG195" i="50"/>
  <c r="AI193" i="50"/>
  <c r="CA194" i="50"/>
  <c r="CB194" i="50"/>
  <c r="AD194" i="50"/>
  <c r="CA193" i="50"/>
  <c r="AI194" i="50"/>
  <c r="BZ192" i="50"/>
  <c r="AL193" i="50"/>
  <c r="AL194" i="50"/>
  <c r="AG194" i="50"/>
  <c r="AK193" i="50"/>
  <c r="AP193" i="50"/>
  <c r="AP192" i="50"/>
  <c r="CD194" i="50"/>
  <c r="AF194" i="50"/>
  <c r="AF192" i="50"/>
  <c r="CD192" i="50"/>
  <c r="CD193" i="50"/>
  <c r="AF193" i="50"/>
  <c r="AP197" i="50"/>
  <c r="AK197" i="50"/>
  <c r="CA197" i="50"/>
  <c r="CD196" i="50"/>
  <c r="AF196" i="50"/>
  <c r="AJ196" i="50"/>
  <c r="AP196" i="50"/>
  <c r="CD197" i="50"/>
  <c r="AF197" i="50"/>
  <c r="AO197" i="50"/>
  <c r="AH197" i="50"/>
  <c r="AM196" i="50"/>
  <c r="AF195" i="50"/>
  <c r="CD195" i="50"/>
  <c r="AI195" i="50"/>
  <c r="AE197" i="50"/>
  <c r="CC197" i="50"/>
  <c r="AO196" i="50"/>
  <c r="AO195" i="50"/>
  <c r="AI196" i="50"/>
  <c r="BZ197" i="50"/>
  <c r="AL196" i="50"/>
  <c r="CB195" i="50"/>
  <c r="AD195" i="50"/>
  <c r="CC195" i="50"/>
  <c r="AE195" i="50"/>
  <c r="BZ196" i="50"/>
  <c r="AD197" i="50"/>
  <c r="CB197" i="50"/>
  <c r="AM195" i="50"/>
  <c r="BZ195" i="50"/>
  <c r="CA195" i="50"/>
  <c r="CA196" i="50"/>
  <c r="CC196" i="50"/>
  <c r="AE196" i="50"/>
  <c r="AM197" i="50"/>
  <c r="AN197" i="50"/>
  <c r="AP195" i="50"/>
  <c r="AI197" i="50"/>
  <c r="AD196" i="50"/>
  <c r="CB196" i="50"/>
  <c r="AN196" i="50"/>
  <c r="AK196" i="50"/>
  <c r="AL195" i="50"/>
  <c r="AC44" i="49"/>
  <c r="B72" i="50"/>
  <c r="C2" i="76"/>
  <c r="B37" i="50"/>
  <c r="B5" i="50"/>
  <c r="AL160" i="50"/>
  <c r="AE160" i="50"/>
  <c r="AM160" i="50"/>
  <c r="BG160" i="50"/>
  <c r="AH160" i="50"/>
  <c r="AG160" i="50"/>
  <c r="AR160" i="50"/>
  <c r="AU160" i="50"/>
  <c r="BN160" i="50"/>
  <c r="BL160" i="50"/>
  <c r="BX160" i="50"/>
  <c r="BQ160" i="50"/>
  <c r="AT160" i="50"/>
  <c r="BV160" i="50"/>
  <c r="AY160" i="50"/>
  <c r="AZ160" i="50"/>
  <c r="BO160" i="50"/>
  <c r="AF160" i="50"/>
  <c r="AO160" i="50"/>
  <c r="BI160" i="50"/>
  <c r="BD160" i="50"/>
  <c r="BF160" i="50"/>
  <c r="BP160" i="50"/>
  <c r="BE160" i="50"/>
  <c r="AK160" i="50"/>
  <c r="BY160" i="50"/>
  <c r="BU160" i="50"/>
  <c r="AJ160" i="50"/>
  <c r="BJ160" i="50"/>
  <c r="BA160" i="50"/>
  <c r="AP160" i="50"/>
  <c r="AV160" i="50"/>
  <c r="AQ160" i="50"/>
  <c r="AC43" i="49"/>
  <c r="AY37" i="49"/>
  <c r="AZ37" i="49"/>
  <c r="BA37" i="49"/>
  <c r="BB37" i="49"/>
  <c r="AX37" i="49"/>
  <c r="AT37" i="49"/>
  <c r="AU37" i="49"/>
  <c r="AV37" i="49"/>
  <c r="AW37" i="49"/>
  <c r="AS37" i="49"/>
  <c r="AR37" i="49"/>
  <c r="AN37" i="49"/>
  <c r="AO37" i="49"/>
  <c r="AP37" i="49"/>
  <c r="AQ37" i="49"/>
  <c r="AM37" i="49"/>
  <c r="X3" i="92" l="1"/>
  <c r="X2" i="92"/>
  <c r="X7" i="92"/>
  <c r="X11" i="92"/>
  <c r="X15" i="92"/>
  <c r="X19" i="92"/>
  <c r="X23" i="92"/>
  <c r="X27" i="92"/>
  <c r="X8" i="92"/>
  <c r="X12" i="92"/>
  <c r="X20" i="92"/>
  <c r="X28" i="92"/>
  <c r="X9" i="92"/>
  <c r="X25" i="92"/>
  <c r="X6" i="92"/>
  <c r="X10" i="92"/>
  <c r="X14" i="92"/>
  <c r="X18" i="92"/>
  <c r="X22" i="92"/>
  <c r="X26" i="92"/>
  <c r="X4" i="92"/>
  <c r="X16" i="92"/>
  <c r="X24" i="92"/>
  <c r="X5" i="92"/>
  <c r="X13" i="92"/>
  <c r="X17" i="92"/>
  <c r="X21" i="92"/>
  <c r="X29" i="92"/>
  <c r="G25" i="75"/>
  <c r="D33" i="49"/>
  <c r="E33" i="49"/>
  <c r="F33" i="49"/>
  <c r="G33" i="49"/>
  <c r="H33" i="49"/>
  <c r="AC147" i="83" l="1"/>
  <c r="G254" i="83"/>
  <c r="BA147" i="83"/>
  <c r="AC219" i="83"/>
  <c r="G218" i="83"/>
  <c r="BF147" i="83"/>
  <c r="AC255" i="83"/>
  <c r="H29" i="92"/>
  <c r="N29" i="92"/>
  <c r="V29" i="92"/>
  <c r="W29" i="92"/>
  <c r="L29" i="92"/>
  <c r="P29" i="92"/>
  <c r="K29" i="92"/>
  <c r="C29" i="92"/>
  <c r="F29" i="92"/>
  <c r="T29" i="92"/>
  <c r="G29" i="92"/>
  <c r="B29" i="92"/>
  <c r="J29" i="92"/>
  <c r="Q29" i="92"/>
  <c r="U29" i="92"/>
  <c r="D29" i="92"/>
  <c r="M29" i="92"/>
  <c r="I29" i="92"/>
  <c r="E29" i="92"/>
  <c r="H28" i="92"/>
  <c r="N28" i="92"/>
  <c r="P28" i="92"/>
  <c r="V28" i="92"/>
  <c r="W28" i="92"/>
  <c r="L28" i="92"/>
  <c r="K28" i="92"/>
  <c r="G28" i="92"/>
  <c r="T28" i="92"/>
  <c r="D28" i="92"/>
  <c r="M28" i="92"/>
  <c r="E28" i="92"/>
  <c r="C28" i="92"/>
  <c r="J28" i="92"/>
  <c r="Q28" i="92"/>
  <c r="F28" i="92"/>
  <c r="I28" i="92"/>
  <c r="U28" i="92"/>
  <c r="B28" i="92"/>
  <c r="K2" i="92"/>
  <c r="J2" i="92"/>
  <c r="C2" i="92"/>
  <c r="E2" i="92"/>
  <c r="I2" i="92"/>
  <c r="V2" i="92"/>
  <c r="U2" i="92"/>
  <c r="D2" i="92"/>
  <c r="L2" i="92"/>
  <c r="N2" i="92"/>
  <c r="F2" i="92"/>
  <c r="Q2" i="92"/>
  <c r="B2" i="92"/>
  <c r="H2" i="92"/>
  <c r="W2" i="92"/>
  <c r="M2" i="92"/>
  <c r="T2" i="92"/>
  <c r="G2" i="92"/>
  <c r="P2" i="92"/>
  <c r="D15" i="92"/>
  <c r="C15" i="92"/>
  <c r="M15" i="92"/>
  <c r="J15" i="92"/>
  <c r="P15" i="92"/>
  <c r="E15" i="92"/>
  <c r="B15" i="92"/>
  <c r="V15" i="92"/>
  <c r="H15" i="92"/>
  <c r="G15" i="92"/>
  <c r="W15" i="92"/>
  <c r="N15" i="92"/>
  <c r="T15" i="92"/>
  <c r="U15" i="92"/>
  <c r="F15" i="92"/>
  <c r="K15" i="92"/>
  <c r="I15" i="92"/>
  <c r="L15" i="92"/>
  <c r="Q15" i="92"/>
  <c r="V18" i="92"/>
  <c r="T18" i="92"/>
  <c r="M18" i="92"/>
  <c r="D18" i="92"/>
  <c r="B18" i="92"/>
  <c r="I18" i="92"/>
  <c r="E18" i="92"/>
  <c r="C18" i="92"/>
  <c r="G18" i="92"/>
  <c r="N18" i="92"/>
  <c r="H18" i="92"/>
  <c r="J18" i="92"/>
  <c r="K18" i="92"/>
  <c r="W18" i="92"/>
  <c r="F18" i="92"/>
  <c r="U18" i="92"/>
  <c r="P18" i="92"/>
  <c r="L18" i="92"/>
  <c r="Q18" i="92"/>
  <c r="AP39" i="64"/>
  <c r="AC3" i="63"/>
  <c r="AC3" i="64"/>
  <c r="BK40" i="63"/>
  <c r="BA40" i="63"/>
  <c r="AH111" i="63"/>
  <c r="AC3" i="49"/>
  <c r="AC3" i="62"/>
  <c r="BF40" i="63"/>
  <c r="AP40" i="63"/>
  <c r="AC111" i="63"/>
  <c r="AC3" i="65"/>
  <c r="AC3" i="67"/>
  <c r="AP145" i="68"/>
  <c r="AF3" i="50"/>
  <c r="AP39" i="68"/>
  <c r="AC3" i="66"/>
  <c r="AC3" i="68"/>
  <c r="AH183" i="69"/>
  <c r="AC147" i="69"/>
  <c r="AC111" i="69"/>
  <c r="BE39" i="84"/>
  <c r="AU39" i="84"/>
  <c r="AB3" i="84"/>
  <c r="AI111" i="69"/>
  <c r="AZ39" i="84"/>
  <c r="AO39" i="84"/>
  <c r="AH255" i="69"/>
  <c r="AC183" i="69"/>
  <c r="AY40" i="70"/>
  <c r="AB76" i="70"/>
  <c r="BD40" i="70"/>
  <c r="AC3" i="70"/>
  <c r="AD9" i="70"/>
  <c r="AS40" i="70"/>
  <c r="AH76" i="70"/>
  <c r="S41" i="22"/>
  <c r="AH183" i="83"/>
  <c r="AP147" i="83"/>
  <c r="AE9" i="83"/>
  <c r="AV147" i="83"/>
  <c r="AE116" i="83"/>
  <c r="AC76" i="83"/>
  <c r="G8" i="70"/>
  <c r="G75" i="84"/>
  <c r="AB76" i="84"/>
  <c r="G111" i="84"/>
  <c r="G147" i="84"/>
  <c r="AB112" i="84"/>
  <c r="G76" i="70"/>
  <c r="O8" i="70"/>
  <c r="AB148" i="84"/>
  <c r="AA33" i="49"/>
  <c r="Z33" i="49"/>
  <c r="G114" i="68"/>
  <c r="AE114" i="68"/>
  <c r="N114" i="68"/>
  <c r="AE8" i="69"/>
  <c r="AE8" i="67"/>
  <c r="AE8" i="65"/>
  <c r="AE8" i="63"/>
  <c r="AE8" i="68"/>
  <c r="AD8" i="84"/>
  <c r="AE8" i="66"/>
  <c r="AE8" i="64"/>
  <c r="AI109" i="49"/>
  <c r="AE8" i="62"/>
  <c r="O33" i="49"/>
  <c r="AF33" i="49"/>
  <c r="N33" i="49"/>
  <c r="AE33" i="49"/>
  <c r="K33" i="49"/>
  <c r="AB33" i="49"/>
  <c r="L33" i="49"/>
  <c r="AC33" i="49"/>
  <c r="M33" i="49"/>
  <c r="AD33" i="49"/>
  <c r="M41" i="22"/>
  <c r="G41" i="22"/>
  <c r="S7" i="22"/>
  <c r="M7" i="22"/>
  <c r="G7" i="22"/>
  <c r="AE295" i="83"/>
  <c r="N294" i="83"/>
  <c r="G294" i="83"/>
  <c r="AP326" i="83"/>
  <c r="O8" i="84"/>
  <c r="AC183" i="83"/>
  <c r="G75" i="83"/>
  <c r="N8" i="83"/>
  <c r="G110" i="69"/>
  <c r="G182" i="69"/>
  <c r="G254" i="69"/>
  <c r="G218" i="67"/>
  <c r="BP40" i="67"/>
  <c r="BF40" i="67"/>
  <c r="AU40" i="67"/>
  <c r="G8" i="84"/>
  <c r="G115" i="83"/>
  <c r="G182" i="83"/>
  <c r="AC3" i="83"/>
  <c r="G8" i="68"/>
  <c r="G8" i="83"/>
  <c r="N8" i="68"/>
  <c r="G254" i="67"/>
  <c r="G218" i="69"/>
  <c r="BK40" i="67"/>
  <c r="AP40" i="67"/>
  <c r="N115" i="83"/>
  <c r="G8" i="69"/>
  <c r="AC3" i="69"/>
  <c r="G182" i="67"/>
  <c r="G146" i="69"/>
  <c r="N8" i="69"/>
  <c r="G146" i="67"/>
  <c r="G110" i="67"/>
  <c r="BV40" i="67"/>
  <c r="BA40" i="67"/>
  <c r="G8" i="67"/>
  <c r="G146" i="66"/>
  <c r="N8" i="67"/>
  <c r="G110" i="66"/>
  <c r="N8" i="66"/>
  <c r="G8" i="66"/>
  <c r="G8" i="63"/>
  <c r="N8" i="64"/>
  <c r="G8" i="64"/>
  <c r="G8" i="65"/>
  <c r="N8" i="63"/>
  <c r="N8" i="65"/>
  <c r="N8" i="62"/>
  <c r="G8" i="62"/>
  <c r="G110" i="63"/>
  <c r="G110" i="62"/>
  <c r="Y15" i="92" l="1" a="1"/>
  <c r="Y15" i="92" s="1"/>
  <c r="Z148" i="68" s="1"/>
  <c r="AA15" i="92" a="1"/>
  <c r="AA15" i="92" s="1"/>
  <c r="AD147" i="68" s="1"/>
  <c r="AD148" i="68" s="1"/>
  <c r="Z15" i="92" a="1"/>
  <c r="Z15" i="92" s="1"/>
  <c r="AA148" i="68" s="1"/>
  <c r="Z29" i="92" a="1"/>
  <c r="Z29" i="92" s="1"/>
  <c r="AA29" i="92" a="1"/>
  <c r="AA29" i="92" s="1"/>
  <c r="Y29" i="92" a="1"/>
  <c r="Y29" i="92" s="1"/>
  <c r="AA28" i="92" a="1"/>
  <c r="AA28" i="92" s="1"/>
  <c r="Z28" i="92" a="1"/>
  <c r="Z28" i="92" s="1"/>
  <c r="Y28" i="92" a="1"/>
  <c r="Y28" i="92" s="1"/>
  <c r="Y18" i="92" a="1"/>
  <c r="Y18" i="92" s="1"/>
  <c r="Z174" i="83" s="1"/>
  <c r="Z18" i="92" a="1"/>
  <c r="Z18" i="92" s="1"/>
  <c r="AA174" i="83" s="1"/>
  <c r="AA18" i="92" a="1"/>
  <c r="AA18" i="92" s="1"/>
  <c r="AD173" i="83" s="1"/>
  <c r="AD174" i="83" s="1"/>
  <c r="BI137" i="50"/>
  <c r="BD164" i="50"/>
  <c r="AO164" i="50"/>
  <c r="BN137" i="50"/>
  <c r="AT137" i="50"/>
  <c r="AJ164" i="50"/>
  <c r="AE164" i="50"/>
  <c r="DQ110" i="50"/>
  <c r="EA110" i="50"/>
  <c r="BI110" i="50"/>
  <c r="CR110" i="50"/>
  <c r="BD110" i="50"/>
  <c r="AO137" i="50"/>
  <c r="AJ137" i="50"/>
  <c r="AY137" i="50"/>
  <c r="CC164" i="50"/>
  <c r="AY164" i="50"/>
  <c r="CW110" i="50"/>
  <c r="DG110" i="50"/>
  <c r="AO110" i="50"/>
  <c r="AE110" i="50"/>
  <c r="AJ110" i="50"/>
  <c r="CM110" i="50"/>
  <c r="CC110" i="50"/>
  <c r="BX137" i="50"/>
  <c r="AE137" i="50"/>
  <c r="BN164" i="50"/>
  <c r="BS137" i="50"/>
  <c r="BS164" i="50"/>
  <c r="BN110" i="50"/>
  <c r="AT164" i="50"/>
  <c r="DV110" i="50"/>
  <c r="BX164" i="50"/>
  <c r="CH110" i="50"/>
  <c r="BI164" i="50"/>
  <c r="BS110" i="50"/>
  <c r="DL110" i="50"/>
  <c r="BD137" i="50"/>
  <c r="BX110" i="50"/>
  <c r="DB110" i="50"/>
  <c r="AY110" i="50"/>
  <c r="AT110" i="50"/>
  <c r="AL5" i="62"/>
  <c r="I7" i="49"/>
  <c r="AL5" i="49" s="1"/>
  <c r="Y174" i="83" l="1"/>
  <c r="AC174" i="83"/>
  <c r="AC173" i="83"/>
  <c r="Y148" i="68"/>
  <c r="AC147" i="68"/>
  <c r="AC148" i="68"/>
  <c r="AJ191" i="50"/>
  <c r="AO191" i="50"/>
  <c r="AE191" i="50"/>
  <c r="CC191" i="50"/>
  <c r="Y77" i="49"/>
  <c r="Y78" i="49"/>
  <c r="Y79" i="49"/>
  <c r="Y80" i="49"/>
  <c r="Y81" i="49"/>
  <c r="Y82" i="49"/>
  <c r="Y83" i="49"/>
  <c r="Y84" i="49"/>
  <c r="Y85" i="49"/>
  <c r="Y86" i="49"/>
  <c r="Y87" i="49"/>
  <c r="Y88" i="49"/>
  <c r="Y89" i="49"/>
  <c r="Y90" i="49"/>
  <c r="Y91" i="49"/>
  <c r="Y92" i="49"/>
  <c r="Y93" i="49"/>
  <c r="Y94" i="49"/>
  <c r="Y95" i="49"/>
  <c r="Y96" i="49"/>
  <c r="Y97" i="49"/>
  <c r="Y98" i="49"/>
  <c r="Y99" i="49"/>
  <c r="Y100" i="49"/>
  <c r="A106" i="49"/>
  <c r="G27" i="92" l="1"/>
  <c r="D27" i="92"/>
  <c r="L27" i="92"/>
  <c r="E27" i="92"/>
  <c r="I27" i="92"/>
  <c r="M27" i="92"/>
  <c r="Q27" i="92"/>
  <c r="U27" i="92"/>
  <c r="K27" i="92"/>
  <c r="W27" i="92"/>
  <c r="H27" i="92"/>
  <c r="P27" i="92"/>
  <c r="T27" i="92"/>
  <c r="F27" i="92"/>
  <c r="J27" i="92"/>
  <c r="N27" i="92"/>
  <c r="V27" i="92"/>
  <c r="B27" i="92" l="1"/>
  <c r="C27" i="92"/>
  <c r="Z27" i="92" l="1" a="1"/>
  <c r="Z27" i="92" s="1"/>
  <c r="AA27" i="92" a="1"/>
  <c r="AA27" i="92" s="1"/>
  <c r="Y27" i="92" a="1"/>
  <c r="Y27" i="92" s="1"/>
  <c r="W25" i="92" l="1"/>
  <c r="V25" i="92"/>
  <c r="U25" i="92"/>
  <c r="T25" i="92"/>
  <c r="Q25" i="92"/>
  <c r="P25" i="92"/>
  <c r="N25" i="92"/>
  <c r="M25" i="92"/>
  <c r="L25" i="92"/>
  <c r="K25" i="92"/>
  <c r="J25" i="92"/>
  <c r="I25" i="92"/>
  <c r="H25" i="92"/>
  <c r="G25" i="92"/>
  <c r="F25" i="92"/>
  <c r="E25" i="92"/>
  <c r="D25" i="92"/>
  <c r="C25" i="92"/>
  <c r="B25" i="92"/>
  <c r="A214" i="83"/>
  <c r="H31" i="84"/>
  <c r="G31" i="84"/>
  <c r="F31" i="84"/>
  <c r="E31" i="84"/>
  <c r="D31" i="84"/>
  <c r="L31" i="84" s="1"/>
  <c r="H30" i="84"/>
  <c r="G30" i="84"/>
  <c r="F30" i="84"/>
  <c r="E30" i="84"/>
  <c r="D30" i="84"/>
  <c r="H29" i="84"/>
  <c r="G29" i="84"/>
  <c r="F29" i="84"/>
  <c r="E29" i="84"/>
  <c r="D29" i="84"/>
  <c r="H28" i="84"/>
  <c r="G28" i="84"/>
  <c r="F28" i="84"/>
  <c r="E28" i="84"/>
  <c r="D28" i="84"/>
  <c r="H27" i="84"/>
  <c r="G27" i="84"/>
  <c r="F27" i="84"/>
  <c r="E27" i="84"/>
  <c r="D27" i="84"/>
  <c r="H26" i="84"/>
  <c r="G26" i="84"/>
  <c r="F26" i="84"/>
  <c r="E26" i="84"/>
  <c r="D26" i="84"/>
  <c r="H25" i="84"/>
  <c r="G25" i="84"/>
  <c r="F25" i="84"/>
  <c r="E25" i="84"/>
  <c r="D25" i="84"/>
  <c r="H24" i="84"/>
  <c r="G24" i="84"/>
  <c r="E24" i="84"/>
  <c r="D24" i="84"/>
  <c r="H23" i="84"/>
  <c r="G23" i="84"/>
  <c r="F23" i="84"/>
  <c r="E23" i="84"/>
  <c r="D23" i="84"/>
  <c r="H22" i="84"/>
  <c r="G22" i="84"/>
  <c r="F22" i="84"/>
  <c r="E22" i="84"/>
  <c r="D22" i="84"/>
  <c r="H21" i="84"/>
  <c r="G21" i="84"/>
  <c r="F21" i="84"/>
  <c r="E21" i="84"/>
  <c r="D21" i="84"/>
  <c r="H20" i="84"/>
  <c r="G20" i="84"/>
  <c r="F20" i="84"/>
  <c r="E20" i="84"/>
  <c r="D20" i="84"/>
  <c r="H19" i="84"/>
  <c r="G19" i="84"/>
  <c r="F19" i="84"/>
  <c r="E19" i="84"/>
  <c r="D19" i="84"/>
  <c r="H18" i="84"/>
  <c r="G18" i="84"/>
  <c r="F18" i="84"/>
  <c r="E18" i="84"/>
  <c r="D18" i="84"/>
  <c r="H17" i="84"/>
  <c r="G17" i="84"/>
  <c r="F17" i="84"/>
  <c r="E17" i="84"/>
  <c r="D17" i="84"/>
  <c r="H16" i="84"/>
  <c r="G16" i="84"/>
  <c r="F16" i="84"/>
  <c r="E16" i="84"/>
  <c r="D16" i="84"/>
  <c r="H15" i="84"/>
  <c r="G15" i="84"/>
  <c r="F15" i="84"/>
  <c r="E15" i="84"/>
  <c r="D15" i="84"/>
  <c r="H14" i="84"/>
  <c r="G14" i="84"/>
  <c r="F14" i="84"/>
  <c r="E14" i="84"/>
  <c r="D14" i="84"/>
  <c r="H13" i="84"/>
  <c r="G13" i="84"/>
  <c r="F13" i="84"/>
  <c r="E13" i="84"/>
  <c r="D13" i="84"/>
  <c r="H12" i="84"/>
  <c r="G12" i="84"/>
  <c r="F12" i="84"/>
  <c r="E12" i="84"/>
  <c r="D12" i="84"/>
  <c r="H11" i="84"/>
  <c r="G11" i="84"/>
  <c r="F11" i="84"/>
  <c r="E11" i="84"/>
  <c r="D11" i="84"/>
  <c r="H10" i="84"/>
  <c r="G10" i="84"/>
  <c r="F10" i="84"/>
  <c r="E10" i="84"/>
  <c r="D10" i="84"/>
  <c r="A179" i="84"/>
  <c r="A143" i="84"/>
  <c r="B135" i="84"/>
  <c r="B134" i="84"/>
  <c r="B133" i="84"/>
  <c r="B169" i="84" s="1"/>
  <c r="B132" i="84"/>
  <c r="B131" i="84"/>
  <c r="B167" i="84" s="1"/>
  <c r="B130" i="84"/>
  <c r="X130" i="84" s="1"/>
  <c r="B129" i="84"/>
  <c r="B165" i="84" s="1"/>
  <c r="B128" i="84"/>
  <c r="B127" i="84"/>
  <c r="B126" i="84"/>
  <c r="B125" i="84"/>
  <c r="B161" i="84" s="1"/>
  <c r="B124" i="84"/>
  <c r="B123" i="84"/>
  <c r="B122" i="84"/>
  <c r="B121" i="84"/>
  <c r="B157" i="84" s="1"/>
  <c r="B120" i="84"/>
  <c r="X120" i="84" s="1"/>
  <c r="B119" i="84"/>
  <c r="B118" i="84"/>
  <c r="B117" i="84"/>
  <c r="B116" i="84"/>
  <c r="B152" i="84" s="1"/>
  <c r="B115" i="84"/>
  <c r="B151" i="84" s="1"/>
  <c r="X151" i="84" s="1"/>
  <c r="B114" i="84"/>
  <c r="X114" i="84" s="1"/>
  <c r="B113" i="84"/>
  <c r="A107" i="84"/>
  <c r="B99" i="84"/>
  <c r="X99" i="84" s="1"/>
  <c r="B98" i="84"/>
  <c r="X98" i="84" s="1"/>
  <c r="B97" i="84"/>
  <c r="B96" i="84"/>
  <c r="X96" i="84" s="1"/>
  <c r="B95" i="84"/>
  <c r="B94" i="84"/>
  <c r="X94" i="84" s="1"/>
  <c r="B93" i="84"/>
  <c r="B92" i="84"/>
  <c r="X92" i="84" s="1"/>
  <c r="B91" i="84"/>
  <c r="X91" i="84" s="1"/>
  <c r="B90" i="84"/>
  <c r="X90" i="84" s="1"/>
  <c r="B89" i="84"/>
  <c r="B88" i="84"/>
  <c r="B87" i="84"/>
  <c r="X87" i="84" s="1"/>
  <c r="B86" i="84"/>
  <c r="X86" i="84" s="1"/>
  <c r="B85" i="84"/>
  <c r="B84" i="84"/>
  <c r="X84" i="84" s="1"/>
  <c r="B83" i="84"/>
  <c r="B82" i="84"/>
  <c r="X82" i="84" s="1"/>
  <c r="B81" i="84"/>
  <c r="B80" i="84"/>
  <c r="X80" i="84" s="1"/>
  <c r="B79" i="84"/>
  <c r="B78" i="84"/>
  <c r="X78" i="84" s="1"/>
  <c r="B77" i="84"/>
  <c r="A71" i="84"/>
  <c r="X44" i="84"/>
  <c r="AK63" i="84"/>
  <c r="AK62" i="84"/>
  <c r="AK61" i="84"/>
  <c r="AK60" i="84"/>
  <c r="AK59" i="84"/>
  <c r="AK58" i="84"/>
  <c r="AK57" i="84"/>
  <c r="AK56" i="84"/>
  <c r="AK55" i="84"/>
  <c r="AK54" i="84"/>
  <c r="AK53" i="84"/>
  <c r="AK52" i="84"/>
  <c r="AK51" i="84"/>
  <c r="AK50" i="84"/>
  <c r="AK49" i="84"/>
  <c r="AK48" i="84"/>
  <c r="AK47" i="84"/>
  <c r="AK46" i="84"/>
  <c r="AK45" i="84"/>
  <c r="AK44" i="84"/>
  <c r="AK43" i="84"/>
  <c r="AK42" i="84"/>
  <c r="AK41" i="84"/>
  <c r="A38" i="84"/>
  <c r="X32" i="84"/>
  <c r="X31" i="84"/>
  <c r="T31" i="84"/>
  <c r="X30" i="84"/>
  <c r="T30" i="84"/>
  <c r="X29" i="84"/>
  <c r="T29" i="84"/>
  <c r="X28" i="84"/>
  <c r="T28" i="84"/>
  <c r="X27" i="84"/>
  <c r="T27" i="84"/>
  <c r="X26" i="84"/>
  <c r="T26" i="84"/>
  <c r="X25" i="84"/>
  <c r="T25" i="84"/>
  <c r="X24" i="84"/>
  <c r="T24" i="84"/>
  <c r="X23" i="84"/>
  <c r="T23" i="84"/>
  <c r="X22" i="84"/>
  <c r="T22" i="84"/>
  <c r="X21" i="84"/>
  <c r="T21" i="84"/>
  <c r="X20" i="84"/>
  <c r="T20" i="84"/>
  <c r="X19" i="84"/>
  <c r="T19" i="84"/>
  <c r="X18" i="84"/>
  <c r="T18" i="84"/>
  <c r="X17" i="84"/>
  <c r="T17" i="84"/>
  <c r="X16" i="84"/>
  <c r="T16" i="84"/>
  <c r="X15" i="84"/>
  <c r="T15" i="84"/>
  <c r="X14" i="84"/>
  <c r="T14" i="84"/>
  <c r="X13" i="84"/>
  <c r="T13" i="84"/>
  <c r="X12" i="84"/>
  <c r="T12" i="84"/>
  <c r="X11" i="84"/>
  <c r="T11" i="84"/>
  <c r="AF10" i="84"/>
  <c r="X10" i="84"/>
  <c r="T10" i="84"/>
  <c r="Y4" i="84"/>
  <c r="A178" i="83"/>
  <c r="Y176" i="83"/>
  <c r="AL171" i="83"/>
  <c r="AL170" i="83"/>
  <c r="AL169" i="83"/>
  <c r="AL168" i="83"/>
  <c r="AL167" i="83"/>
  <c r="AL166" i="83"/>
  <c r="AL165" i="83"/>
  <c r="AL164" i="83"/>
  <c r="AL163" i="83"/>
  <c r="AL162" i="83"/>
  <c r="AL161" i="83"/>
  <c r="AL160" i="83"/>
  <c r="AL159" i="83"/>
  <c r="AL158" i="83"/>
  <c r="AL157" i="83"/>
  <c r="AL156" i="83"/>
  <c r="AL155" i="83"/>
  <c r="AL154" i="83"/>
  <c r="AL153" i="83"/>
  <c r="AL152" i="83"/>
  <c r="AL151" i="83"/>
  <c r="AL150" i="83"/>
  <c r="AL149" i="83"/>
  <c r="AL148" i="83"/>
  <c r="A145" i="83"/>
  <c r="Y140" i="83"/>
  <c r="Y139" i="83"/>
  <c r="Y138" i="83"/>
  <c r="Y137" i="83"/>
  <c r="Y136" i="83"/>
  <c r="Y135" i="83"/>
  <c r="Y134" i="83"/>
  <c r="Y133" i="83"/>
  <c r="Y132" i="83"/>
  <c r="Y131" i="83"/>
  <c r="Y130" i="83"/>
  <c r="Y129" i="83"/>
  <c r="Y128" i="83"/>
  <c r="Y127" i="83"/>
  <c r="Y126" i="83"/>
  <c r="Y125" i="83"/>
  <c r="Y124" i="83"/>
  <c r="Y123" i="83"/>
  <c r="Y122" i="83"/>
  <c r="Y121" i="83"/>
  <c r="Y120" i="83"/>
  <c r="Y119" i="83"/>
  <c r="Y118" i="83"/>
  <c r="AG117" i="83"/>
  <c r="AH117" i="83" s="1"/>
  <c r="AI117" i="83" s="1"/>
  <c r="Y117" i="83"/>
  <c r="H33" i="83"/>
  <c r="G33" i="83"/>
  <c r="F33" i="83"/>
  <c r="E33" i="83"/>
  <c r="D33" i="83"/>
  <c r="H31" i="83"/>
  <c r="AD169" i="83" s="1"/>
  <c r="G31" i="83"/>
  <c r="AC169" i="83" s="1"/>
  <c r="F31" i="83"/>
  <c r="AB169" i="83" s="1"/>
  <c r="E31" i="83"/>
  <c r="AA169" i="83" s="1"/>
  <c r="D31" i="83"/>
  <c r="Z169" i="83" s="1"/>
  <c r="H30" i="83"/>
  <c r="AD168" i="83" s="1"/>
  <c r="G30" i="83"/>
  <c r="AC168" i="83" s="1"/>
  <c r="F30" i="83"/>
  <c r="AB168" i="83" s="1"/>
  <c r="E30" i="83"/>
  <c r="AA168" i="83" s="1"/>
  <c r="D30" i="83"/>
  <c r="Z168" i="83" s="1"/>
  <c r="H29" i="83"/>
  <c r="AD167" i="83" s="1"/>
  <c r="G29" i="83"/>
  <c r="AC167" i="83" s="1"/>
  <c r="F29" i="83"/>
  <c r="AB167" i="83" s="1"/>
  <c r="E29" i="83"/>
  <c r="AA167" i="83" s="1"/>
  <c r="D29" i="83"/>
  <c r="Z167" i="83" s="1"/>
  <c r="H28" i="83"/>
  <c r="AD166" i="83" s="1"/>
  <c r="G28" i="83"/>
  <c r="AC166" i="83" s="1"/>
  <c r="F28" i="83"/>
  <c r="AB166" i="83" s="1"/>
  <c r="E28" i="83"/>
  <c r="AA166" i="83" s="1"/>
  <c r="D28" i="83"/>
  <c r="Z166" i="83" s="1"/>
  <c r="H27" i="83"/>
  <c r="AD165" i="83" s="1"/>
  <c r="G27" i="83"/>
  <c r="AC165" i="83" s="1"/>
  <c r="F27" i="83"/>
  <c r="AB165" i="83" s="1"/>
  <c r="E27" i="83"/>
  <c r="AA165" i="83" s="1"/>
  <c r="D27" i="83"/>
  <c r="Z165" i="83" s="1"/>
  <c r="H26" i="83"/>
  <c r="AD164" i="83" s="1"/>
  <c r="G26" i="83"/>
  <c r="AC164" i="83" s="1"/>
  <c r="F26" i="83"/>
  <c r="AB164" i="83" s="1"/>
  <c r="E26" i="83"/>
  <c r="AA164" i="83" s="1"/>
  <c r="D26" i="83"/>
  <c r="Z164" i="83" s="1"/>
  <c r="H25" i="83"/>
  <c r="AD163" i="83" s="1"/>
  <c r="G25" i="83"/>
  <c r="AC163" i="83" s="1"/>
  <c r="F25" i="83"/>
  <c r="AB163" i="83" s="1"/>
  <c r="E25" i="83"/>
  <c r="AA163" i="83" s="1"/>
  <c r="D25" i="83"/>
  <c r="Z163" i="83" s="1"/>
  <c r="H24" i="83"/>
  <c r="AD162" i="83" s="1"/>
  <c r="G24" i="83"/>
  <c r="AC162" i="83" s="1"/>
  <c r="E24" i="83"/>
  <c r="AA162" i="83" s="1"/>
  <c r="D24" i="83"/>
  <c r="Z162" i="83" s="1"/>
  <c r="H23" i="83"/>
  <c r="AD161" i="83" s="1"/>
  <c r="G23" i="83"/>
  <c r="AC161" i="83" s="1"/>
  <c r="F23" i="83"/>
  <c r="AB161" i="83" s="1"/>
  <c r="E23" i="83"/>
  <c r="AA161" i="83" s="1"/>
  <c r="D23" i="83"/>
  <c r="Z161" i="83" s="1"/>
  <c r="H22" i="83"/>
  <c r="AD160" i="83" s="1"/>
  <c r="G22" i="83"/>
  <c r="AC160" i="83" s="1"/>
  <c r="F22" i="83"/>
  <c r="AB160" i="83" s="1"/>
  <c r="E22" i="83"/>
  <c r="AA160" i="83" s="1"/>
  <c r="D22" i="83"/>
  <c r="Z160" i="83" s="1"/>
  <c r="H21" i="83"/>
  <c r="AD159" i="83" s="1"/>
  <c r="G21" i="83"/>
  <c r="AC159" i="83" s="1"/>
  <c r="F21" i="83"/>
  <c r="AB159" i="83" s="1"/>
  <c r="E21" i="83"/>
  <c r="AA159" i="83" s="1"/>
  <c r="D21" i="83"/>
  <c r="Z159" i="83" s="1"/>
  <c r="H20" i="83"/>
  <c r="AD158" i="83" s="1"/>
  <c r="G20" i="83"/>
  <c r="AC158" i="83" s="1"/>
  <c r="F20" i="83"/>
  <c r="AB158" i="83" s="1"/>
  <c r="E20" i="83"/>
  <c r="AA158" i="83" s="1"/>
  <c r="D20" i="83"/>
  <c r="Z158" i="83" s="1"/>
  <c r="H19" i="83"/>
  <c r="AD157" i="83" s="1"/>
  <c r="G19" i="83"/>
  <c r="AC157" i="83" s="1"/>
  <c r="F19" i="83"/>
  <c r="AB157" i="83" s="1"/>
  <c r="E19" i="83"/>
  <c r="AA157" i="83" s="1"/>
  <c r="D19" i="83"/>
  <c r="Z157" i="83" s="1"/>
  <c r="H18" i="83"/>
  <c r="AD156" i="83" s="1"/>
  <c r="G18" i="83"/>
  <c r="AC156" i="83" s="1"/>
  <c r="F18" i="83"/>
  <c r="AB156" i="83" s="1"/>
  <c r="E18" i="83"/>
  <c r="AA156" i="83" s="1"/>
  <c r="D18" i="83"/>
  <c r="Z156" i="83" s="1"/>
  <c r="H17" i="83"/>
  <c r="AD155" i="83" s="1"/>
  <c r="G17" i="83"/>
  <c r="AC155" i="83" s="1"/>
  <c r="F17" i="83"/>
  <c r="AB155" i="83" s="1"/>
  <c r="E17" i="83"/>
  <c r="AA155" i="83" s="1"/>
  <c r="D17" i="83"/>
  <c r="Z155" i="83" s="1"/>
  <c r="H16" i="83"/>
  <c r="AD154" i="83" s="1"/>
  <c r="G16" i="83"/>
  <c r="AC154" i="83" s="1"/>
  <c r="F16" i="83"/>
  <c r="AB154" i="83" s="1"/>
  <c r="E16" i="83"/>
  <c r="AA154" i="83" s="1"/>
  <c r="D16" i="83"/>
  <c r="Z154" i="83" s="1"/>
  <c r="H15" i="83"/>
  <c r="AD153" i="83" s="1"/>
  <c r="G15" i="83"/>
  <c r="AC153" i="83" s="1"/>
  <c r="F15" i="83"/>
  <c r="AB153" i="83" s="1"/>
  <c r="E15" i="83"/>
  <c r="AA153" i="83" s="1"/>
  <c r="D15" i="83"/>
  <c r="Z153" i="83" s="1"/>
  <c r="H14" i="83"/>
  <c r="AD152" i="83" s="1"/>
  <c r="G14" i="83"/>
  <c r="AC152" i="83" s="1"/>
  <c r="F14" i="83"/>
  <c r="AB152" i="83" s="1"/>
  <c r="E14" i="83"/>
  <c r="AA152" i="83" s="1"/>
  <c r="D14" i="83"/>
  <c r="Z152" i="83" s="1"/>
  <c r="H13" i="83"/>
  <c r="AD151" i="83" s="1"/>
  <c r="G13" i="83"/>
  <c r="AC151" i="83" s="1"/>
  <c r="F13" i="83"/>
  <c r="AB151" i="83" s="1"/>
  <c r="E13" i="83"/>
  <c r="AA151" i="83" s="1"/>
  <c r="D13" i="83"/>
  <c r="Z151" i="83" s="1"/>
  <c r="H12" i="83"/>
  <c r="AD150" i="83" s="1"/>
  <c r="G12" i="83"/>
  <c r="AC150" i="83" s="1"/>
  <c r="F12" i="83"/>
  <c r="AB150" i="83" s="1"/>
  <c r="E12" i="83"/>
  <c r="AA150" i="83" s="1"/>
  <c r="D12" i="83"/>
  <c r="Z150" i="83" s="1"/>
  <c r="H11" i="83"/>
  <c r="AD149" i="83" s="1"/>
  <c r="G11" i="83"/>
  <c r="AC149" i="83" s="1"/>
  <c r="F11" i="83"/>
  <c r="AB149" i="83" s="1"/>
  <c r="E11" i="83"/>
  <c r="AA149" i="83" s="1"/>
  <c r="D11" i="83"/>
  <c r="Z149" i="83" s="1"/>
  <c r="H10" i="83"/>
  <c r="AD148" i="83" s="1"/>
  <c r="G10" i="83"/>
  <c r="AC148" i="83" s="1"/>
  <c r="F10" i="83"/>
  <c r="AB148" i="83" s="1"/>
  <c r="E10" i="83"/>
  <c r="AA148" i="83" s="1"/>
  <c r="D10" i="83"/>
  <c r="Z148" i="83" s="1"/>
  <c r="A107" i="83"/>
  <c r="B100" i="83"/>
  <c r="B99" i="83"/>
  <c r="B98" i="83"/>
  <c r="Y98" i="83" s="1"/>
  <c r="B97" i="83"/>
  <c r="B96" i="83"/>
  <c r="Y96" i="83" s="1"/>
  <c r="B95" i="83"/>
  <c r="Y95" i="83" s="1"/>
  <c r="B94" i="83"/>
  <c r="Y94" i="83" s="1"/>
  <c r="B93" i="83"/>
  <c r="B92" i="83"/>
  <c r="B91" i="83"/>
  <c r="B90" i="83"/>
  <c r="Y90" i="83" s="1"/>
  <c r="B89" i="83"/>
  <c r="B88" i="83"/>
  <c r="Y88" i="83" s="1"/>
  <c r="B87" i="83"/>
  <c r="Y87" i="83" s="1"/>
  <c r="B86" i="83"/>
  <c r="B85" i="83"/>
  <c r="B84" i="83"/>
  <c r="B83" i="83"/>
  <c r="Y83" i="83" s="1"/>
  <c r="B82" i="83"/>
  <c r="B81" i="83"/>
  <c r="Y81" i="83" s="1"/>
  <c r="B80" i="83"/>
  <c r="B79" i="83"/>
  <c r="Y79" i="83" s="1"/>
  <c r="B78" i="83"/>
  <c r="Y78" i="83" s="1"/>
  <c r="B77" i="83"/>
  <c r="Y77" i="83" s="1"/>
  <c r="A71" i="83"/>
  <c r="AL64" i="83"/>
  <c r="AL63" i="83"/>
  <c r="AL62" i="83"/>
  <c r="AL61" i="83"/>
  <c r="AL60" i="83"/>
  <c r="AL59" i="83"/>
  <c r="AL58" i="83"/>
  <c r="AL57" i="83"/>
  <c r="AL56" i="83"/>
  <c r="AL55" i="83"/>
  <c r="AL54" i="83"/>
  <c r="AL53" i="83"/>
  <c r="AL52" i="83"/>
  <c r="AL51" i="83"/>
  <c r="AL50" i="83"/>
  <c r="AL49" i="83"/>
  <c r="AL48" i="83"/>
  <c r="AL47" i="83"/>
  <c r="AL46" i="83"/>
  <c r="AL45" i="83"/>
  <c r="AL44" i="83"/>
  <c r="AL43" i="83"/>
  <c r="AL42" i="83"/>
  <c r="AL41" i="83"/>
  <c r="A38" i="83"/>
  <c r="Y33" i="83"/>
  <c r="Y32" i="83"/>
  <c r="Y31" i="83"/>
  <c r="S31" i="83"/>
  <c r="T31" i="83" s="1"/>
  <c r="Y30" i="83"/>
  <c r="S30" i="83"/>
  <c r="T30" i="83" s="1"/>
  <c r="Y29" i="83"/>
  <c r="S29" i="83"/>
  <c r="T29" i="83" s="1"/>
  <c r="Y28" i="83"/>
  <c r="S28" i="83"/>
  <c r="T28" i="83" s="1"/>
  <c r="Y27" i="83"/>
  <c r="S27" i="83"/>
  <c r="T27" i="83" s="1"/>
  <c r="Y26" i="83"/>
  <c r="S26" i="83"/>
  <c r="T26" i="83" s="1"/>
  <c r="Y25" i="83"/>
  <c r="S25" i="83"/>
  <c r="T25" i="83" s="1"/>
  <c r="Y24" i="83"/>
  <c r="S24" i="83"/>
  <c r="T24" i="83" s="1"/>
  <c r="Y23" i="83"/>
  <c r="S23" i="83"/>
  <c r="T23" i="83" s="1"/>
  <c r="Y22" i="83"/>
  <c r="S22" i="83"/>
  <c r="T22" i="83" s="1"/>
  <c r="Y21" i="83"/>
  <c r="S21" i="83"/>
  <c r="T21" i="83" s="1"/>
  <c r="Y20" i="83"/>
  <c r="S20" i="83"/>
  <c r="T20" i="83" s="1"/>
  <c r="Y19" i="83"/>
  <c r="S19" i="83"/>
  <c r="T19" i="83" s="1"/>
  <c r="Y18" i="83"/>
  <c r="S18" i="83"/>
  <c r="T18" i="83" s="1"/>
  <c r="Y17" i="83"/>
  <c r="S17" i="83"/>
  <c r="T17" i="83" s="1"/>
  <c r="Y16" i="83"/>
  <c r="S16" i="83"/>
  <c r="T16" i="83" s="1"/>
  <c r="Y15" i="83"/>
  <c r="S15" i="83"/>
  <c r="T15" i="83" s="1"/>
  <c r="Y14" i="83"/>
  <c r="S14" i="83"/>
  <c r="T14" i="83" s="1"/>
  <c r="Y13" i="83"/>
  <c r="S13" i="83"/>
  <c r="T13" i="83" s="1"/>
  <c r="Y12" i="83"/>
  <c r="S12" i="83"/>
  <c r="T12" i="83" s="1"/>
  <c r="Y11" i="83"/>
  <c r="S11" i="83"/>
  <c r="T11" i="83" s="1"/>
  <c r="AG10" i="83"/>
  <c r="Y10" i="83"/>
  <c r="S10" i="83"/>
  <c r="T10" i="83" s="1"/>
  <c r="Z4" i="83"/>
  <c r="A142" i="67"/>
  <c r="A178" i="67"/>
  <c r="B171" i="84" l="1"/>
  <c r="X135" i="84"/>
  <c r="R27" i="84"/>
  <c r="R33" i="84"/>
  <c r="AD170" i="83"/>
  <c r="AC170" i="83"/>
  <c r="Z170" i="83"/>
  <c r="AA170" i="83"/>
  <c r="Y25" i="92" a="1"/>
  <c r="Y25" i="92" s="1"/>
  <c r="Z25" i="92" a="1"/>
  <c r="Z25" i="92" s="1"/>
  <c r="AA25" i="92" a="1"/>
  <c r="AA25" i="92" s="1"/>
  <c r="AS159" i="83"/>
  <c r="AW159" i="83"/>
  <c r="AV159" i="83"/>
  <c r="AT159" i="83"/>
  <c r="AU159" i="83"/>
  <c r="AT167" i="83"/>
  <c r="AU167" i="83"/>
  <c r="AW167" i="83"/>
  <c r="AS167" i="83"/>
  <c r="AV167" i="83"/>
  <c r="AU151" i="83"/>
  <c r="AW151" i="83"/>
  <c r="AV151" i="83"/>
  <c r="AS151" i="83"/>
  <c r="AT151" i="83"/>
  <c r="AS155" i="83"/>
  <c r="AT155" i="83"/>
  <c r="AW155" i="83"/>
  <c r="AV155" i="83"/>
  <c r="AU155" i="83"/>
  <c r="AS163" i="83"/>
  <c r="AW163" i="83"/>
  <c r="AV163" i="83"/>
  <c r="AT163" i="83"/>
  <c r="AU163" i="83"/>
  <c r="AU171" i="83"/>
  <c r="AW171" i="83"/>
  <c r="AT171" i="83"/>
  <c r="AV171" i="83"/>
  <c r="AS171" i="83"/>
  <c r="AT152" i="83"/>
  <c r="AS152" i="83"/>
  <c r="AV152" i="83"/>
  <c r="AW152" i="83"/>
  <c r="AU152" i="83"/>
  <c r="AU156" i="83"/>
  <c r="AT156" i="83"/>
  <c r="AV156" i="83"/>
  <c r="AW156" i="83"/>
  <c r="AS156" i="83"/>
  <c r="AV160" i="83"/>
  <c r="AW160" i="83"/>
  <c r="AU160" i="83"/>
  <c r="AS160" i="83"/>
  <c r="AT160" i="83"/>
  <c r="AU164" i="83"/>
  <c r="AW164" i="83"/>
  <c r="AV164" i="83"/>
  <c r="AS164" i="83"/>
  <c r="AT164" i="83"/>
  <c r="AV168" i="83"/>
  <c r="AS168" i="83"/>
  <c r="AW168" i="83"/>
  <c r="AT168" i="83"/>
  <c r="AU168" i="83"/>
  <c r="AT149" i="83"/>
  <c r="AS149" i="83"/>
  <c r="AU149" i="83"/>
  <c r="AV149" i="83"/>
  <c r="AW149" i="83"/>
  <c r="AS153" i="83"/>
  <c r="AU153" i="83"/>
  <c r="AV153" i="83"/>
  <c r="AT153" i="83"/>
  <c r="AW153" i="83"/>
  <c r="AV157" i="83"/>
  <c r="AS157" i="83"/>
  <c r="AT157" i="83"/>
  <c r="AU157" i="83"/>
  <c r="AW157" i="83"/>
  <c r="AT161" i="83"/>
  <c r="AS161" i="83"/>
  <c r="AW161" i="83"/>
  <c r="AV161" i="83"/>
  <c r="AU161" i="83"/>
  <c r="AU165" i="83"/>
  <c r="AV165" i="83"/>
  <c r="AS165" i="83"/>
  <c r="AT165" i="83"/>
  <c r="AW165" i="83"/>
  <c r="AV169" i="83"/>
  <c r="AS169" i="83"/>
  <c r="AU169" i="83"/>
  <c r="AT169" i="83"/>
  <c r="AW169" i="83"/>
  <c r="AT150" i="83"/>
  <c r="AV150" i="83"/>
  <c r="AS150" i="83"/>
  <c r="AU150" i="83"/>
  <c r="AW150" i="83"/>
  <c r="AV154" i="83"/>
  <c r="AU154" i="83"/>
  <c r="AS154" i="83"/>
  <c r="AW154" i="83"/>
  <c r="AT154" i="83"/>
  <c r="AV158" i="83"/>
  <c r="AT158" i="83"/>
  <c r="AW158" i="83"/>
  <c r="AS158" i="83"/>
  <c r="AU158" i="83"/>
  <c r="AV162" i="83"/>
  <c r="AT162" i="83"/>
  <c r="AW162" i="83"/>
  <c r="AS162" i="83"/>
  <c r="AS166" i="83"/>
  <c r="AT166" i="83"/>
  <c r="AU166" i="83"/>
  <c r="AV166" i="83"/>
  <c r="AW166" i="83"/>
  <c r="Z75" i="76"/>
  <c r="B149" i="84"/>
  <c r="X149" i="84" s="1"/>
  <c r="Z76" i="76"/>
  <c r="AS148" i="83"/>
  <c r="AW148" i="83"/>
  <c r="AV148" i="83"/>
  <c r="AT148" i="83"/>
  <c r="AU148" i="83"/>
  <c r="AR351" i="83"/>
  <c r="AW172" i="83"/>
  <c r="AV172" i="83"/>
  <c r="AU172" i="83"/>
  <c r="AT172" i="83"/>
  <c r="AS172" i="83"/>
  <c r="Z21" i="83"/>
  <c r="Z29" i="83"/>
  <c r="Y25" i="84"/>
  <c r="AA12" i="83"/>
  <c r="Z12" i="83"/>
  <c r="Z16" i="83"/>
  <c r="Z20" i="83"/>
  <c r="AA24" i="83"/>
  <c r="Z24" i="83"/>
  <c r="AA28" i="83"/>
  <c r="Z28" i="83"/>
  <c r="Y12" i="84"/>
  <c r="Z12" i="84"/>
  <c r="Y16" i="84"/>
  <c r="Y20" i="84"/>
  <c r="Z24" i="84"/>
  <c r="Y24" i="84"/>
  <c r="Z28" i="84"/>
  <c r="Y28" i="84"/>
  <c r="Y21" i="84"/>
  <c r="AB10" i="83"/>
  <c r="D296" i="83"/>
  <c r="AB296" i="83" s="1"/>
  <c r="Z10" i="83"/>
  <c r="Z14" i="83"/>
  <c r="AA18" i="83"/>
  <c r="Z18" i="83"/>
  <c r="AA22" i="83"/>
  <c r="Z22" i="83"/>
  <c r="AA26" i="83"/>
  <c r="Z26" i="83"/>
  <c r="Z30" i="83"/>
  <c r="D149" i="84"/>
  <c r="AA10" i="84"/>
  <c r="Y10" i="84"/>
  <c r="Y14" i="84"/>
  <c r="Y18" i="84"/>
  <c r="Z18" i="84"/>
  <c r="Y22" i="84"/>
  <c r="Z22" i="84"/>
  <c r="Y26" i="84"/>
  <c r="Z26" i="84"/>
  <c r="Y30" i="84"/>
  <c r="Z30" i="84"/>
  <c r="Z13" i="83"/>
  <c r="Z17" i="83"/>
  <c r="Z25" i="83"/>
  <c r="Y13" i="84"/>
  <c r="Y17" i="84"/>
  <c r="Y29" i="84"/>
  <c r="Z11" i="83"/>
  <c r="Z15" i="83"/>
  <c r="AA19" i="83"/>
  <c r="Z19" i="83"/>
  <c r="Z23" i="83"/>
  <c r="AA27" i="83"/>
  <c r="Z27" i="83"/>
  <c r="AA31" i="83"/>
  <c r="Z31" i="83"/>
  <c r="Y11" i="84"/>
  <c r="Y15" i="84"/>
  <c r="Y19" i="84"/>
  <c r="Z19" i="84"/>
  <c r="Y23" i="84"/>
  <c r="Y27" i="84"/>
  <c r="Z27" i="84"/>
  <c r="Y31" i="84"/>
  <c r="Z31" i="84"/>
  <c r="Q130" i="83"/>
  <c r="Q319" i="83"/>
  <c r="Q313" i="83"/>
  <c r="Q309" i="83"/>
  <c r="Q318" i="83"/>
  <c r="Q312" i="83"/>
  <c r="E77" i="84"/>
  <c r="AS41" i="84" s="1"/>
  <c r="E113" i="84"/>
  <c r="AX41" i="84" s="1"/>
  <c r="D78" i="84"/>
  <c r="AR42" i="84" s="1"/>
  <c r="D114" i="84"/>
  <c r="AW42" i="84" s="1"/>
  <c r="H78" i="84"/>
  <c r="H114" i="84"/>
  <c r="G79" i="84"/>
  <c r="G115" i="84"/>
  <c r="AZ43" i="84" s="1"/>
  <c r="F80" i="84"/>
  <c r="AT44" i="84" s="1"/>
  <c r="F116" i="84"/>
  <c r="AY44" i="84" s="1"/>
  <c r="E81" i="84"/>
  <c r="AS45" i="84" s="1"/>
  <c r="E117" i="84"/>
  <c r="AX45" i="84" s="1"/>
  <c r="D82" i="84"/>
  <c r="AR46" i="84" s="1"/>
  <c r="D118" i="84"/>
  <c r="AW46" i="84" s="1"/>
  <c r="H82" i="84"/>
  <c r="H118" i="84"/>
  <c r="G83" i="84"/>
  <c r="G119" i="84"/>
  <c r="AZ47" i="84" s="1"/>
  <c r="F84" i="84"/>
  <c r="AT48" i="84" s="1"/>
  <c r="F120" i="84"/>
  <c r="AY48" i="84" s="1"/>
  <c r="E85" i="84"/>
  <c r="AS49" i="84" s="1"/>
  <c r="E121" i="84"/>
  <c r="AX49" i="84" s="1"/>
  <c r="D86" i="84"/>
  <c r="AR50" i="84" s="1"/>
  <c r="D122" i="84"/>
  <c r="AW50" i="84" s="1"/>
  <c r="H86" i="84"/>
  <c r="H122" i="84"/>
  <c r="G87" i="84"/>
  <c r="G123" i="84"/>
  <c r="AZ51" i="84" s="1"/>
  <c r="F88" i="84"/>
  <c r="AT52" i="84" s="1"/>
  <c r="F124" i="84"/>
  <c r="AY52" i="84" s="1"/>
  <c r="E89" i="84"/>
  <c r="AS53" i="84" s="1"/>
  <c r="E125" i="84"/>
  <c r="AX53" i="84" s="1"/>
  <c r="D90" i="84"/>
  <c r="AR54" i="84" s="1"/>
  <c r="D126" i="84"/>
  <c r="AW54" i="84" s="1"/>
  <c r="H90" i="84"/>
  <c r="H126" i="84"/>
  <c r="G91" i="84"/>
  <c r="G127" i="84"/>
  <c r="AZ55" i="84" s="1"/>
  <c r="F92" i="84"/>
  <c r="AT56" i="84" s="1"/>
  <c r="F128" i="84"/>
  <c r="AY56" i="84" s="1"/>
  <c r="E93" i="84"/>
  <c r="AS57" i="84" s="1"/>
  <c r="E129" i="84"/>
  <c r="AX57" i="84" s="1"/>
  <c r="D94" i="84"/>
  <c r="AR58" i="84" s="1"/>
  <c r="D130" i="84"/>
  <c r="AW58" i="84" s="1"/>
  <c r="H94" i="84"/>
  <c r="H130" i="84"/>
  <c r="G95" i="84"/>
  <c r="G131" i="84"/>
  <c r="AZ59" i="84" s="1"/>
  <c r="F96" i="84"/>
  <c r="AT60" i="84" s="1"/>
  <c r="F132" i="84"/>
  <c r="AY60" i="84" s="1"/>
  <c r="E97" i="84"/>
  <c r="AS61" i="84" s="1"/>
  <c r="E133" i="84"/>
  <c r="AX61" i="84" s="1"/>
  <c r="D98" i="84"/>
  <c r="AR62" i="84" s="1"/>
  <c r="D134" i="84"/>
  <c r="AW62" i="84" s="1"/>
  <c r="H98" i="84"/>
  <c r="H134" i="84"/>
  <c r="F77" i="84"/>
  <c r="AT41" i="84" s="1"/>
  <c r="F113" i="84"/>
  <c r="AY41" i="84" s="1"/>
  <c r="E78" i="84"/>
  <c r="AS42" i="84" s="1"/>
  <c r="E114" i="84"/>
  <c r="AX42" i="84" s="1"/>
  <c r="D79" i="84"/>
  <c r="AR43" i="84" s="1"/>
  <c r="D115" i="84"/>
  <c r="H79" i="84"/>
  <c r="H115" i="84"/>
  <c r="F76" i="76" s="1"/>
  <c r="G80" i="84"/>
  <c r="AU44" i="84" s="1"/>
  <c r="G116" i="84"/>
  <c r="AZ44" i="84" s="1"/>
  <c r="F81" i="84"/>
  <c r="AT45" i="84" s="1"/>
  <c r="F117" i="84"/>
  <c r="AY45" i="84" s="1"/>
  <c r="E82" i="84"/>
  <c r="AS46" i="84" s="1"/>
  <c r="E118" i="84"/>
  <c r="AX46" i="84" s="1"/>
  <c r="D83" i="84"/>
  <c r="AR47" i="84" s="1"/>
  <c r="D119" i="84"/>
  <c r="AW47" i="84" s="1"/>
  <c r="H83" i="84"/>
  <c r="H119" i="84"/>
  <c r="G84" i="84"/>
  <c r="G120" i="84"/>
  <c r="AZ48" i="84" s="1"/>
  <c r="F85" i="84"/>
  <c r="AT49" i="84" s="1"/>
  <c r="F121" i="84"/>
  <c r="AY49" i="84" s="1"/>
  <c r="E86" i="84"/>
  <c r="AS50" i="84" s="1"/>
  <c r="E122" i="84"/>
  <c r="AX50" i="84" s="1"/>
  <c r="D87" i="84"/>
  <c r="AR51" i="84" s="1"/>
  <c r="D123" i="84"/>
  <c r="AW51" i="84" s="1"/>
  <c r="H87" i="84"/>
  <c r="H123" i="84"/>
  <c r="G88" i="84"/>
  <c r="G124" i="84"/>
  <c r="AZ52" i="84" s="1"/>
  <c r="F89" i="84"/>
  <c r="AT53" i="84" s="1"/>
  <c r="F125" i="84"/>
  <c r="AY53" i="84" s="1"/>
  <c r="E90" i="84"/>
  <c r="AS54" i="84" s="1"/>
  <c r="E126" i="84"/>
  <c r="AX54" i="84" s="1"/>
  <c r="D91" i="84"/>
  <c r="AR55" i="84" s="1"/>
  <c r="D127" i="84"/>
  <c r="AW55" i="84" s="1"/>
  <c r="H91" i="84"/>
  <c r="H127" i="84"/>
  <c r="G92" i="84"/>
  <c r="G128" i="84"/>
  <c r="AZ56" i="84" s="1"/>
  <c r="F93" i="84"/>
  <c r="AT57" i="84" s="1"/>
  <c r="F129" i="84"/>
  <c r="AY57" i="84" s="1"/>
  <c r="E94" i="84"/>
  <c r="AS58" i="84" s="1"/>
  <c r="E130" i="84"/>
  <c r="AX58" i="84" s="1"/>
  <c r="D95" i="84"/>
  <c r="AR59" i="84" s="1"/>
  <c r="D131" i="84"/>
  <c r="AW59" i="84" s="1"/>
  <c r="H95" i="84"/>
  <c r="H131" i="84"/>
  <c r="G96" i="84"/>
  <c r="G132" i="84"/>
  <c r="AZ60" i="84" s="1"/>
  <c r="F97" i="84"/>
  <c r="AT61" i="84" s="1"/>
  <c r="F133" i="84"/>
  <c r="AY61" i="84" s="1"/>
  <c r="E98" i="84"/>
  <c r="AS62" i="84" s="1"/>
  <c r="E134" i="84"/>
  <c r="AX62" i="84" s="1"/>
  <c r="G77" i="84"/>
  <c r="AU41" i="84" s="1"/>
  <c r="G113" i="84"/>
  <c r="AZ41" i="84" s="1"/>
  <c r="F78" i="84"/>
  <c r="AT42" i="84" s="1"/>
  <c r="F114" i="84"/>
  <c r="AY42" i="84" s="1"/>
  <c r="E79" i="84"/>
  <c r="E115" i="84"/>
  <c r="AX43" i="84" s="1"/>
  <c r="D80" i="84"/>
  <c r="AR44" i="84" s="1"/>
  <c r="D116" i="84"/>
  <c r="AW44" i="84" s="1"/>
  <c r="H80" i="84"/>
  <c r="H116" i="84"/>
  <c r="G81" i="84"/>
  <c r="G117" i="84"/>
  <c r="AZ45" i="84" s="1"/>
  <c r="F82" i="84"/>
  <c r="AT46" i="84" s="1"/>
  <c r="F118" i="84"/>
  <c r="AY46" i="84" s="1"/>
  <c r="E83" i="84"/>
  <c r="AS47" i="84" s="1"/>
  <c r="E119" i="84"/>
  <c r="AX47" i="84" s="1"/>
  <c r="D84" i="84"/>
  <c r="AR48" i="84" s="1"/>
  <c r="D120" i="84"/>
  <c r="AW48" i="84" s="1"/>
  <c r="H84" i="84"/>
  <c r="H120" i="84"/>
  <c r="G85" i="84"/>
  <c r="G121" i="84"/>
  <c r="AZ49" i="84" s="1"/>
  <c r="F86" i="84"/>
  <c r="AT50" i="84" s="1"/>
  <c r="F122" i="84"/>
  <c r="AY50" i="84" s="1"/>
  <c r="E87" i="84"/>
  <c r="AS51" i="84" s="1"/>
  <c r="E123" i="84"/>
  <c r="AX51" i="84" s="1"/>
  <c r="D88" i="84"/>
  <c r="AR52" i="84" s="1"/>
  <c r="D124" i="84"/>
  <c r="AW52" i="84" s="1"/>
  <c r="H88" i="84"/>
  <c r="H124" i="84"/>
  <c r="G89" i="84"/>
  <c r="G125" i="84"/>
  <c r="AZ53" i="84" s="1"/>
  <c r="F90" i="84"/>
  <c r="AT54" i="84" s="1"/>
  <c r="F126" i="84"/>
  <c r="AY54" i="84" s="1"/>
  <c r="E91" i="84"/>
  <c r="AS55" i="84" s="1"/>
  <c r="E127" i="84"/>
  <c r="AX55" i="84" s="1"/>
  <c r="D92" i="84"/>
  <c r="AR56" i="84" s="1"/>
  <c r="D128" i="84"/>
  <c r="AW56" i="84" s="1"/>
  <c r="H92" i="84"/>
  <c r="H128" i="84"/>
  <c r="G93" i="84"/>
  <c r="G129" i="84"/>
  <c r="AZ57" i="84" s="1"/>
  <c r="F94" i="84"/>
  <c r="AT58" i="84" s="1"/>
  <c r="F130" i="84"/>
  <c r="AY58" i="84" s="1"/>
  <c r="E95" i="84"/>
  <c r="AS59" i="84" s="1"/>
  <c r="E131" i="84"/>
  <c r="AX59" i="84" s="1"/>
  <c r="D96" i="84"/>
  <c r="AR60" i="84" s="1"/>
  <c r="D132" i="84"/>
  <c r="AW60" i="84" s="1"/>
  <c r="H96" i="84"/>
  <c r="H132" i="84"/>
  <c r="G97" i="84"/>
  <c r="G133" i="84"/>
  <c r="AZ61" i="84" s="1"/>
  <c r="F98" i="84"/>
  <c r="AT62" i="84" s="1"/>
  <c r="F134" i="84"/>
  <c r="AY62" i="84" s="1"/>
  <c r="D77" i="84"/>
  <c r="AR41" i="84" s="1"/>
  <c r="D113" i="84"/>
  <c r="AW41" i="84" s="1"/>
  <c r="H77" i="84"/>
  <c r="H113" i="84"/>
  <c r="G78" i="84"/>
  <c r="AU42" i="84" s="1"/>
  <c r="G114" i="84"/>
  <c r="AZ42" i="84" s="1"/>
  <c r="F79" i="84"/>
  <c r="AT43" i="84" s="1"/>
  <c r="F115" i="84"/>
  <c r="E80" i="84"/>
  <c r="AS44" i="84" s="1"/>
  <c r="E116" i="84"/>
  <c r="AX44" i="84" s="1"/>
  <c r="D81" i="84"/>
  <c r="AR45" i="84" s="1"/>
  <c r="D117" i="84"/>
  <c r="AW45" i="84" s="1"/>
  <c r="H81" i="84"/>
  <c r="H117" i="84"/>
  <c r="G82" i="84"/>
  <c r="G118" i="84"/>
  <c r="AZ46" i="84" s="1"/>
  <c r="F83" i="84"/>
  <c r="AT47" i="84" s="1"/>
  <c r="F119" i="84"/>
  <c r="AY47" i="84" s="1"/>
  <c r="E84" i="84"/>
  <c r="AS48" i="84" s="1"/>
  <c r="E120" i="84"/>
  <c r="AX48" i="84" s="1"/>
  <c r="D85" i="84"/>
  <c r="AR49" i="84" s="1"/>
  <c r="D121" i="84"/>
  <c r="AW49" i="84" s="1"/>
  <c r="H85" i="84"/>
  <c r="H121" i="84"/>
  <c r="G86" i="84"/>
  <c r="G122" i="84"/>
  <c r="AZ50" i="84" s="1"/>
  <c r="F87" i="84"/>
  <c r="AT51" i="84" s="1"/>
  <c r="F123" i="84"/>
  <c r="AY51" i="84" s="1"/>
  <c r="E88" i="84"/>
  <c r="AS52" i="84" s="1"/>
  <c r="E124" i="84"/>
  <c r="AX52" i="84" s="1"/>
  <c r="D89" i="84"/>
  <c r="AR53" i="84" s="1"/>
  <c r="D125" i="84"/>
  <c r="AW53" i="84" s="1"/>
  <c r="H89" i="84"/>
  <c r="H125" i="84"/>
  <c r="G90" i="84"/>
  <c r="G126" i="84"/>
  <c r="AZ54" i="84" s="1"/>
  <c r="E92" i="84"/>
  <c r="AS56" i="84" s="1"/>
  <c r="E128" i="84"/>
  <c r="AX56" i="84" s="1"/>
  <c r="D93" i="84"/>
  <c r="AR57" i="84" s="1"/>
  <c r="D129" i="84"/>
  <c r="AW57" i="84" s="1"/>
  <c r="H93" i="84"/>
  <c r="H129" i="84"/>
  <c r="G94" i="84"/>
  <c r="G130" i="84"/>
  <c r="AZ58" i="84" s="1"/>
  <c r="F95" i="84"/>
  <c r="AT59" i="84" s="1"/>
  <c r="F131" i="84"/>
  <c r="AY59" i="84" s="1"/>
  <c r="E96" i="84"/>
  <c r="AS60" i="84" s="1"/>
  <c r="E132" i="84"/>
  <c r="AX60" i="84" s="1"/>
  <c r="D97" i="84"/>
  <c r="AR61" i="84" s="1"/>
  <c r="D133" i="84"/>
  <c r="AW61" i="84" s="1"/>
  <c r="H97" i="84"/>
  <c r="H133" i="84"/>
  <c r="G98" i="84"/>
  <c r="G134" i="84"/>
  <c r="AZ62" i="84" s="1"/>
  <c r="R26" i="84"/>
  <c r="AQ42" i="84"/>
  <c r="AQ44" i="84"/>
  <c r="AQ46" i="84"/>
  <c r="AQ48" i="84"/>
  <c r="AQ50" i="84"/>
  <c r="AQ52" i="84"/>
  <c r="AQ54" i="84"/>
  <c r="AQ56" i="84"/>
  <c r="AQ58" i="84"/>
  <c r="AQ60" i="84"/>
  <c r="AQ62" i="84"/>
  <c r="X129" i="84"/>
  <c r="O10" i="84"/>
  <c r="AD10" i="84"/>
  <c r="N11" i="84"/>
  <c r="AC11" i="84"/>
  <c r="M12" i="84"/>
  <c r="AB12" i="84"/>
  <c r="L13" i="84"/>
  <c r="AL44" i="84" s="1"/>
  <c r="AA13" i="84"/>
  <c r="AE13" i="84"/>
  <c r="P13" i="84"/>
  <c r="O14" i="84"/>
  <c r="AD14" i="84"/>
  <c r="N15" i="84"/>
  <c r="AC15" i="84"/>
  <c r="M16" i="84"/>
  <c r="AB16" i="84"/>
  <c r="L17" i="84"/>
  <c r="AL48" i="84" s="1"/>
  <c r="AA17" i="84"/>
  <c r="AE17" i="84"/>
  <c r="P17" i="84"/>
  <c r="O18" i="84"/>
  <c r="AD18" i="84"/>
  <c r="N19" i="84"/>
  <c r="AC19" i="84"/>
  <c r="M20" i="84"/>
  <c r="AB20" i="84"/>
  <c r="L21" i="84"/>
  <c r="AL52" i="84" s="1"/>
  <c r="AA21" i="84"/>
  <c r="AE21" i="84"/>
  <c r="P21" i="84"/>
  <c r="O22" i="84"/>
  <c r="AD22" i="84"/>
  <c r="N23" i="84"/>
  <c r="AC23" i="84"/>
  <c r="M24" i="84"/>
  <c r="AB24" i="84"/>
  <c r="L25" i="84"/>
  <c r="AL56" i="84" s="1"/>
  <c r="AA25" i="84"/>
  <c r="AE25" i="84"/>
  <c r="P25" i="84"/>
  <c r="O26" i="84"/>
  <c r="AD26" i="84"/>
  <c r="N27" i="84"/>
  <c r="AC27" i="84"/>
  <c r="M28" i="84"/>
  <c r="AB28" i="84"/>
  <c r="L29" i="84"/>
  <c r="AL60" i="84" s="1"/>
  <c r="AA29" i="84"/>
  <c r="AE29" i="84"/>
  <c r="P29" i="84"/>
  <c r="O30" i="84"/>
  <c r="AD30" i="84"/>
  <c r="N31" i="84"/>
  <c r="AC31" i="84"/>
  <c r="N10" i="84"/>
  <c r="AC10" i="84"/>
  <c r="M11" i="84"/>
  <c r="AB11" i="84"/>
  <c r="L12" i="84"/>
  <c r="AL43" i="84" s="1"/>
  <c r="AA12" i="84"/>
  <c r="AE12" i="84"/>
  <c r="P12" i="84"/>
  <c r="O13" i="84"/>
  <c r="AD13" i="84"/>
  <c r="N14" i="84"/>
  <c r="AC14" i="84"/>
  <c r="M15" i="84"/>
  <c r="AB15" i="84"/>
  <c r="L16" i="84"/>
  <c r="AL47" i="84" s="1"/>
  <c r="AA16" i="84"/>
  <c r="AE16" i="84"/>
  <c r="P16" i="84"/>
  <c r="O17" i="84"/>
  <c r="AD17" i="84"/>
  <c r="N18" i="84"/>
  <c r="AC18" i="84"/>
  <c r="M19" i="84"/>
  <c r="AB19" i="84"/>
  <c r="L20" i="84"/>
  <c r="AL51" i="84" s="1"/>
  <c r="AA20" i="84"/>
  <c r="AE20" i="84"/>
  <c r="P20" i="84"/>
  <c r="O21" i="84"/>
  <c r="AD21" i="84"/>
  <c r="N22" i="84"/>
  <c r="AC22" i="84"/>
  <c r="M23" i="84"/>
  <c r="AB23" i="84"/>
  <c r="L24" i="84"/>
  <c r="AL55" i="84" s="1"/>
  <c r="AA24" i="84"/>
  <c r="AE24" i="84"/>
  <c r="P24" i="84"/>
  <c r="O25" i="84"/>
  <c r="AD25" i="84"/>
  <c r="N26" i="84"/>
  <c r="AC26" i="84"/>
  <c r="M27" i="84"/>
  <c r="AB27" i="84"/>
  <c r="L28" i="84"/>
  <c r="AL59" i="84" s="1"/>
  <c r="AA28" i="84"/>
  <c r="AE28" i="84"/>
  <c r="P28" i="84"/>
  <c r="O29" i="84"/>
  <c r="AD29" i="84"/>
  <c r="N30" i="84"/>
  <c r="AC30" i="84"/>
  <c r="M31" i="84"/>
  <c r="AB31" i="84"/>
  <c r="R32" i="84"/>
  <c r="AQ64" i="84"/>
  <c r="L10" i="84"/>
  <c r="AL41" i="84" s="1"/>
  <c r="AE10" i="84"/>
  <c r="P10" i="84"/>
  <c r="O11" i="84"/>
  <c r="AD11" i="84"/>
  <c r="N12" i="84"/>
  <c r="AC12" i="84"/>
  <c r="M13" i="84"/>
  <c r="AB13" i="84"/>
  <c r="L14" i="84"/>
  <c r="AL45" i="84" s="1"/>
  <c r="AA14" i="84"/>
  <c r="AE14" i="84"/>
  <c r="P14" i="84"/>
  <c r="O15" i="84"/>
  <c r="AD15" i="84"/>
  <c r="N16" i="84"/>
  <c r="AN47" i="84" s="1"/>
  <c r="AC16" i="84"/>
  <c r="M17" i="84"/>
  <c r="AB17" i="84"/>
  <c r="L18" i="84"/>
  <c r="AL49" i="84" s="1"/>
  <c r="AA18" i="84"/>
  <c r="AE18" i="84"/>
  <c r="P18" i="84"/>
  <c r="O19" i="84"/>
  <c r="AD19" i="84"/>
  <c r="N20" i="84"/>
  <c r="AC20" i="84"/>
  <c r="M21" i="84"/>
  <c r="AB21" i="84"/>
  <c r="L22" i="84"/>
  <c r="AL53" i="84" s="1"/>
  <c r="AA22" i="84"/>
  <c r="AE22" i="84"/>
  <c r="P22" i="84"/>
  <c r="O23" i="84"/>
  <c r="AD23" i="84"/>
  <c r="M25" i="84"/>
  <c r="AB25" i="84"/>
  <c r="L26" i="84"/>
  <c r="AL57" i="84" s="1"/>
  <c r="AA26" i="84"/>
  <c r="AE26" i="84"/>
  <c r="P26" i="84"/>
  <c r="T74" i="76" s="1"/>
  <c r="O27" i="84"/>
  <c r="AD27" i="84"/>
  <c r="N28" i="84"/>
  <c r="AC28" i="84"/>
  <c r="M29" i="84"/>
  <c r="AB29" i="84"/>
  <c r="L30" i="84"/>
  <c r="AL61" i="84" s="1"/>
  <c r="AA30" i="84"/>
  <c r="AE30" i="84"/>
  <c r="P30" i="84"/>
  <c r="O31" i="84"/>
  <c r="AD31" i="84"/>
  <c r="AQ41" i="84"/>
  <c r="AQ43" i="84"/>
  <c r="AQ45" i="84"/>
  <c r="AQ47" i="84"/>
  <c r="AQ49" i="84"/>
  <c r="AQ51" i="84"/>
  <c r="AQ53" i="84"/>
  <c r="AQ55" i="84"/>
  <c r="AQ57" i="84"/>
  <c r="AQ59" i="84"/>
  <c r="AQ61" i="84"/>
  <c r="M10" i="84"/>
  <c r="AB10" i="84"/>
  <c r="L11" i="84"/>
  <c r="AL42" i="84" s="1"/>
  <c r="AA11" i="84"/>
  <c r="AE11" i="84"/>
  <c r="P11" i="84"/>
  <c r="O12" i="84"/>
  <c r="AD12" i="84"/>
  <c r="N13" i="84"/>
  <c r="AN44" i="84" s="1"/>
  <c r="AC13" i="84"/>
  <c r="M14" i="84"/>
  <c r="AB14" i="84"/>
  <c r="L15" i="84"/>
  <c r="AL46" i="84" s="1"/>
  <c r="AA15" i="84"/>
  <c r="AE15" i="84"/>
  <c r="P15" i="84"/>
  <c r="O16" i="84"/>
  <c r="AD16" i="84"/>
  <c r="N17" i="84"/>
  <c r="AC17" i="84"/>
  <c r="M18" i="84"/>
  <c r="AB18" i="84"/>
  <c r="L19" i="84"/>
  <c r="AL50" i="84" s="1"/>
  <c r="AA19" i="84"/>
  <c r="AE19" i="84"/>
  <c r="P19" i="84"/>
  <c r="O20" i="84"/>
  <c r="AD20" i="84"/>
  <c r="N21" i="84"/>
  <c r="AC21" i="84"/>
  <c r="M22" i="84"/>
  <c r="AB22" i="84"/>
  <c r="L23" i="84"/>
  <c r="AL54" i="84" s="1"/>
  <c r="AA23" i="84"/>
  <c r="AE23" i="84"/>
  <c r="P23" i="84"/>
  <c r="Q74" i="76" s="1"/>
  <c r="O24" i="84"/>
  <c r="AD24" i="84"/>
  <c r="N25" i="84"/>
  <c r="AC25" i="84"/>
  <c r="M26" i="84"/>
  <c r="AB26" i="84"/>
  <c r="L27" i="84"/>
  <c r="AL58" i="84" s="1"/>
  <c r="AA27" i="84"/>
  <c r="AE27" i="84"/>
  <c r="P27" i="84"/>
  <c r="U74" i="76" s="1"/>
  <c r="O28" i="84"/>
  <c r="AD28" i="84"/>
  <c r="N29" i="84"/>
  <c r="AC29" i="84"/>
  <c r="M30" i="84"/>
  <c r="AB30" i="84"/>
  <c r="AL62" i="84"/>
  <c r="AA31" i="84"/>
  <c r="AE31" i="84"/>
  <c r="P31" i="84"/>
  <c r="H300" i="83"/>
  <c r="AF14" i="83"/>
  <c r="H308" i="83"/>
  <c r="AF22" i="83"/>
  <c r="H316" i="83"/>
  <c r="AF30" i="83"/>
  <c r="H298" i="83"/>
  <c r="AF12" i="83"/>
  <c r="H302" i="83"/>
  <c r="AF16" i="83"/>
  <c r="H306" i="83"/>
  <c r="AF20" i="83"/>
  <c r="H310" i="83"/>
  <c r="AF24" i="83"/>
  <c r="H314" i="83"/>
  <c r="AF28" i="83"/>
  <c r="H319" i="83"/>
  <c r="AF33" i="83"/>
  <c r="H299" i="83"/>
  <c r="AF13" i="83"/>
  <c r="H303" i="83"/>
  <c r="AF17" i="83"/>
  <c r="H307" i="83"/>
  <c r="AF21" i="83"/>
  <c r="H311" i="83"/>
  <c r="AF25" i="83"/>
  <c r="H315" i="83"/>
  <c r="AF29" i="83"/>
  <c r="H296" i="83"/>
  <c r="AF10" i="83"/>
  <c r="H304" i="83"/>
  <c r="AF18" i="83"/>
  <c r="H312" i="83"/>
  <c r="AF26" i="83"/>
  <c r="H297" i="83"/>
  <c r="AF11" i="83"/>
  <c r="H301" i="83"/>
  <c r="AF15" i="83"/>
  <c r="H305" i="83"/>
  <c r="AF19" i="83"/>
  <c r="H309" i="83"/>
  <c r="AF23" i="83"/>
  <c r="H313" i="83"/>
  <c r="AF27" i="83"/>
  <c r="H317" i="83"/>
  <c r="AF31" i="83"/>
  <c r="G297" i="83"/>
  <c r="AE11" i="83"/>
  <c r="G299" i="83"/>
  <c r="AE13" i="83"/>
  <c r="G303" i="83"/>
  <c r="AE17" i="83"/>
  <c r="G307" i="83"/>
  <c r="AE21" i="83"/>
  <c r="G311" i="83"/>
  <c r="AE25" i="83"/>
  <c r="G315" i="83"/>
  <c r="AE29" i="83"/>
  <c r="G296" i="83"/>
  <c r="AE10" i="83"/>
  <c r="G300" i="83"/>
  <c r="AE14" i="83"/>
  <c r="G304" i="83"/>
  <c r="AE18" i="83"/>
  <c r="G308" i="83"/>
  <c r="AE22" i="83"/>
  <c r="G312" i="83"/>
  <c r="AE26" i="83"/>
  <c r="G316" i="83"/>
  <c r="AE30" i="83"/>
  <c r="G301" i="83"/>
  <c r="AE15" i="83"/>
  <c r="G305" i="83"/>
  <c r="AE19" i="83"/>
  <c r="G309" i="83"/>
  <c r="AE23" i="83"/>
  <c r="G313" i="83"/>
  <c r="AE27" i="83"/>
  <c r="G317" i="83"/>
  <c r="AE31" i="83"/>
  <c r="G298" i="83"/>
  <c r="AE12" i="83"/>
  <c r="G302" i="83"/>
  <c r="AE16" i="83"/>
  <c r="G306" i="83"/>
  <c r="AE20" i="83"/>
  <c r="G310" i="83"/>
  <c r="AE24" i="83"/>
  <c r="G314" i="83"/>
  <c r="AE28" i="83"/>
  <c r="G319" i="83"/>
  <c r="AE33" i="83"/>
  <c r="F300" i="83"/>
  <c r="AD14" i="83"/>
  <c r="F304" i="83"/>
  <c r="AD18" i="83"/>
  <c r="F312" i="83"/>
  <c r="AD26" i="83"/>
  <c r="F316" i="83"/>
  <c r="AD30" i="83"/>
  <c r="F297" i="83"/>
  <c r="AD11" i="83"/>
  <c r="F301" i="83"/>
  <c r="AD15" i="83"/>
  <c r="F305" i="83"/>
  <c r="AD19" i="83"/>
  <c r="F309" i="83"/>
  <c r="AD23" i="83"/>
  <c r="F313" i="83"/>
  <c r="AD27" i="83"/>
  <c r="F317" i="83"/>
  <c r="AD31" i="83"/>
  <c r="F296" i="83"/>
  <c r="AD10" i="83"/>
  <c r="F308" i="83"/>
  <c r="AD22" i="83"/>
  <c r="F298" i="83"/>
  <c r="AD12" i="83"/>
  <c r="F302" i="83"/>
  <c r="AD16" i="83"/>
  <c r="F306" i="83"/>
  <c r="AD20" i="83"/>
  <c r="F314" i="83"/>
  <c r="AD28" i="83"/>
  <c r="F319" i="83"/>
  <c r="AD33" i="83"/>
  <c r="F299" i="83"/>
  <c r="AD13" i="83"/>
  <c r="F303" i="83"/>
  <c r="AD17" i="83"/>
  <c r="F307" i="83"/>
  <c r="AD21" i="83"/>
  <c r="F311" i="83"/>
  <c r="AD25" i="83"/>
  <c r="F315" i="83"/>
  <c r="AD29" i="83"/>
  <c r="E301" i="83"/>
  <c r="AC15" i="83"/>
  <c r="E305" i="83"/>
  <c r="AC19" i="83"/>
  <c r="E309" i="83"/>
  <c r="AC23" i="83"/>
  <c r="E313" i="83"/>
  <c r="AC27" i="83"/>
  <c r="E317" i="83"/>
  <c r="AC31" i="83"/>
  <c r="E298" i="83"/>
  <c r="AC12" i="83"/>
  <c r="E302" i="83"/>
  <c r="AC16" i="83"/>
  <c r="E306" i="83"/>
  <c r="AC20" i="83"/>
  <c r="E310" i="83"/>
  <c r="AC24" i="83"/>
  <c r="E314" i="83"/>
  <c r="AC28" i="83"/>
  <c r="E319" i="83"/>
  <c r="AC33" i="83"/>
  <c r="E297" i="83"/>
  <c r="AC11" i="83"/>
  <c r="E299" i="83"/>
  <c r="AC13" i="83"/>
  <c r="E303" i="83"/>
  <c r="AC17" i="83"/>
  <c r="E307" i="83"/>
  <c r="AC21" i="83"/>
  <c r="E311" i="83"/>
  <c r="AC25" i="83"/>
  <c r="E315" i="83"/>
  <c r="AC29" i="83"/>
  <c r="E296" i="83"/>
  <c r="AL296" i="83" s="1"/>
  <c r="AC10" i="83"/>
  <c r="E300" i="83"/>
  <c r="AC14" i="83"/>
  <c r="E304" i="83"/>
  <c r="AC18" i="83"/>
  <c r="E308" i="83"/>
  <c r="AC22" i="83"/>
  <c r="E312" i="83"/>
  <c r="AC26" i="83"/>
  <c r="E316" i="83"/>
  <c r="AC30" i="83"/>
  <c r="D302" i="83"/>
  <c r="AB16" i="83"/>
  <c r="D314" i="83"/>
  <c r="AB28" i="83"/>
  <c r="D319" i="83"/>
  <c r="K319" i="83" s="1"/>
  <c r="AM350" i="83" s="1"/>
  <c r="AB33" i="83"/>
  <c r="D299" i="83"/>
  <c r="AB13" i="83"/>
  <c r="D303" i="83"/>
  <c r="AB17" i="83"/>
  <c r="D307" i="83"/>
  <c r="AB21" i="83"/>
  <c r="D311" i="83"/>
  <c r="AB25" i="83"/>
  <c r="D315" i="83"/>
  <c r="AB315" i="83" s="1"/>
  <c r="AB29" i="83"/>
  <c r="D298" i="83"/>
  <c r="AB12" i="83"/>
  <c r="D306" i="83"/>
  <c r="AB306" i="83" s="1"/>
  <c r="AB20" i="83"/>
  <c r="D310" i="83"/>
  <c r="AB310" i="83" s="1"/>
  <c r="AB24" i="83"/>
  <c r="D300" i="83"/>
  <c r="AB300" i="83" s="1"/>
  <c r="AB14" i="83"/>
  <c r="D304" i="83"/>
  <c r="AB304" i="83" s="1"/>
  <c r="AB18" i="83"/>
  <c r="D308" i="83"/>
  <c r="AB22" i="83"/>
  <c r="D312" i="83"/>
  <c r="AB26" i="83"/>
  <c r="D316" i="83"/>
  <c r="AB316" i="83" s="1"/>
  <c r="AB30" i="83"/>
  <c r="D297" i="83"/>
  <c r="AB297" i="83" s="1"/>
  <c r="AB11" i="83"/>
  <c r="D301" i="83"/>
  <c r="AB301" i="83" s="1"/>
  <c r="AB15" i="83"/>
  <c r="D305" i="83"/>
  <c r="AB305" i="83" s="1"/>
  <c r="AB19" i="83"/>
  <c r="D309" i="83"/>
  <c r="AB23" i="83"/>
  <c r="D313" i="83"/>
  <c r="AB313" i="83" s="1"/>
  <c r="AB27" i="83"/>
  <c r="D317" i="83"/>
  <c r="AB31" i="83"/>
  <c r="AM12" i="84"/>
  <c r="AK14" i="84"/>
  <c r="AM16" i="84"/>
  <c r="AK18" i="84"/>
  <c r="AM20" i="84"/>
  <c r="AK22" i="84"/>
  <c r="AN23" i="84"/>
  <c r="AL25" i="84"/>
  <c r="AM28" i="84"/>
  <c r="AK30" i="84"/>
  <c r="AN31" i="84"/>
  <c r="AN10" i="84"/>
  <c r="AM11" i="84"/>
  <c r="AL12" i="84"/>
  <c r="AK13" i="84"/>
  <c r="AN14" i="84"/>
  <c r="AM15" i="84"/>
  <c r="AL16" i="84"/>
  <c r="AK17" i="84"/>
  <c r="AN18" i="84"/>
  <c r="AM19" i="84"/>
  <c r="AL20" i="84"/>
  <c r="AK21" i="84"/>
  <c r="AN22" i="84"/>
  <c r="AM23" i="84"/>
  <c r="AK25" i="84"/>
  <c r="AN26" i="84"/>
  <c r="AM27" i="84"/>
  <c r="AL28" i="84"/>
  <c r="AK29" i="84"/>
  <c r="AN30" i="84"/>
  <c r="AM31" i="84"/>
  <c r="AL10" i="84"/>
  <c r="AK11" i="84"/>
  <c r="AN12" i="84"/>
  <c r="AM13" i="84"/>
  <c r="AL14" i="84"/>
  <c r="AK15" i="84"/>
  <c r="AN16" i="84"/>
  <c r="AM17" i="84"/>
  <c r="AL18" i="84"/>
  <c r="AK19" i="84"/>
  <c r="AN20" i="84"/>
  <c r="AM21" i="84"/>
  <c r="AL22" i="84"/>
  <c r="AK23" i="84"/>
  <c r="AN24" i="84"/>
  <c r="AM25" i="84"/>
  <c r="AL26" i="84"/>
  <c r="AK27" i="84"/>
  <c r="AN28" i="84"/>
  <c r="AM29" i="84"/>
  <c r="AL30" i="84"/>
  <c r="AK31" i="84"/>
  <c r="AK10" i="84"/>
  <c r="AN11" i="84"/>
  <c r="AL13" i="84"/>
  <c r="AN15" i="84"/>
  <c r="AL17" i="84"/>
  <c r="AN19" i="84"/>
  <c r="AL21" i="84"/>
  <c r="AK26" i="84"/>
  <c r="AN27" i="84"/>
  <c r="AL29" i="84"/>
  <c r="D77" i="83"/>
  <c r="AM10" i="84"/>
  <c r="AL11" i="84"/>
  <c r="AK12" i="84"/>
  <c r="AN13" i="84"/>
  <c r="AM14" i="84"/>
  <c r="AL15" i="84"/>
  <c r="AK16" i="84"/>
  <c r="AN17" i="84"/>
  <c r="AM18" i="84"/>
  <c r="AL19" i="84"/>
  <c r="AK20" i="84"/>
  <c r="AN21" i="84"/>
  <c r="AM22" i="84"/>
  <c r="AL23" i="84"/>
  <c r="AK24" i="84"/>
  <c r="AN25" i="84"/>
  <c r="AM26" i="84"/>
  <c r="AL27" i="84"/>
  <c r="AK28" i="84"/>
  <c r="AN29" i="84"/>
  <c r="AM30" i="84"/>
  <c r="AL31" i="84"/>
  <c r="AI124" i="83"/>
  <c r="AI132" i="83"/>
  <c r="AI134" i="83"/>
  <c r="AI135" i="83"/>
  <c r="AI129" i="83"/>
  <c r="Y82" i="83"/>
  <c r="Y86" i="83"/>
  <c r="Y91" i="83"/>
  <c r="Y85" i="83"/>
  <c r="Y89" i="83"/>
  <c r="Y93" i="83"/>
  <c r="Y97" i="83"/>
  <c r="Q140" i="83"/>
  <c r="Q33" i="83"/>
  <c r="Q23" i="83"/>
  <c r="Q27" i="83"/>
  <c r="Q32" i="83"/>
  <c r="Q26" i="83"/>
  <c r="Y99" i="83"/>
  <c r="AI122" i="83"/>
  <c r="AI128" i="83"/>
  <c r="AI118" i="83"/>
  <c r="AI131" i="83"/>
  <c r="AI133" i="83"/>
  <c r="AI125" i="83"/>
  <c r="AI127" i="83"/>
  <c r="AI123" i="83"/>
  <c r="AI130" i="83"/>
  <c r="AI121" i="83"/>
  <c r="AI119" i="83"/>
  <c r="AI126" i="83"/>
  <c r="AI120" i="83"/>
  <c r="Y80" i="83"/>
  <c r="Y84" i="83"/>
  <c r="Y92" i="83"/>
  <c r="Y100" i="83"/>
  <c r="AR148" i="83"/>
  <c r="AO148" i="83"/>
  <c r="AM148" i="83"/>
  <c r="AN148" i="83"/>
  <c r="AP148" i="83"/>
  <c r="AQ148" i="83"/>
  <c r="AR152" i="83"/>
  <c r="AN152" i="83"/>
  <c r="AQ152" i="83"/>
  <c r="AP152" i="83"/>
  <c r="AM152" i="83"/>
  <c r="AO152" i="83"/>
  <c r="AR156" i="83"/>
  <c r="AQ156" i="83"/>
  <c r="AO156" i="83"/>
  <c r="AN156" i="83"/>
  <c r="AP156" i="83"/>
  <c r="AM156" i="83"/>
  <c r="AM160" i="83"/>
  <c r="AQ160" i="83"/>
  <c r="AR160" i="83"/>
  <c r="AO160" i="83"/>
  <c r="AP160" i="83"/>
  <c r="AN160" i="83"/>
  <c r="AR166" i="83"/>
  <c r="AO166" i="83"/>
  <c r="AQ166" i="83"/>
  <c r="AM166" i="83"/>
  <c r="AP166" i="83"/>
  <c r="AN166" i="83"/>
  <c r="AR65" i="83"/>
  <c r="AP172" i="83"/>
  <c r="AR172" i="83"/>
  <c r="AN172" i="83"/>
  <c r="AM172" i="83"/>
  <c r="AO172" i="83"/>
  <c r="AQ172" i="83"/>
  <c r="AR150" i="83"/>
  <c r="AO150" i="83"/>
  <c r="AM150" i="83"/>
  <c r="AN150" i="83"/>
  <c r="AQ150" i="83"/>
  <c r="AP150" i="83"/>
  <c r="AR154" i="83"/>
  <c r="AO154" i="83"/>
  <c r="AQ154" i="83"/>
  <c r="AN154" i="83"/>
  <c r="AM154" i="83"/>
  <c r="AP154" i="83"/>
  <c r="AR158" i="83"/>
  <c r="AO158" i="83"/>
  <c r="AN158" i="83"/>
  <c r="AQ158" i="83"/>
  <c r="AP158" i="83"/>
  <c r="AM158" i="83"/>
  <c r="AR162" i="83"/>
  <c r="AM162" i="83"/>
  <c r="AP162" i="83"/>
  <c r="AQ162" i="83"/>
  <c r="AN162" i="83"/>
  <c r="AR164" i="83"/>
  <c r="AM164" i="83"/>
  <c r="AO164" i="83"/>
  <c r="AN164" i="83"/>
  <c r="AQ164" i="83"/>
  <c r="AP164" i="83"/>
  <c r="AR168" i="83"/>
  <c r="AM168" i="83"/>
  <c r="AO168" i="83"/>
  <c r="AQ168" i="83"/>
  <c r="AN168" i="83"/>
  <c r="AP168" i="83"/>
  <c r="AR149" i="83"/>
  <c r="AQ149" i="83"/>
  <c r="AN149" i="83"/>
  <c r="AP149" i="83"/>
  <c r="AO149" i="83"/>
  <c r="AM149" i="83"/>
  <c r="AR151" i="83"/>
  <c r="AN151" i="83"/>
  <c r="AQ151" i="83"/>
  <c r="AO151" i="83"/>
  <c r="AM151" i="83"/>
  <c r="AP151" i="83"/>
  <c r="AR153" i="83"/>
  <c r="AP153" i="83"/>
  <c r="AN153" i="83"/>
  <c r="AM153" i="83"/>
  <c r="AO153" i="83"/>
  <c r="AQ153" i="83"/>
  <c r="AR155" i="83"/>
  <c r="AN155" i="83"/>
  <c r="AO155" i="83"/>
  <c r="AQ155" i="83"/>
  <c r="AP155" i="83"/>
  <c r="AM155" i="83"/>
  <c r="AR157" i="83"/>
  <c r="AP157" i="83"/>
  <c r="AQ157" i="83"/>
  <c r="AM157" i="83"/>
  <c r="AO157" i="83"/>
  <c r="AN157" i="83"/>
  <c r="AR159" i="83"/>
  <c r="AN159" i="83"/>
  <c r="AP159" i="83"/>
  <c r="AO159" i="83"/>
  <c r="AQ159" i="83"/>
  <c r="AM159" i="83"/>
  <c r="AR161" i="83"/>
  <c r="AM161" i="83"/>
  <c r="AQ161" i="83"/>
  <c r="AO161" i="83"/>
  <c r="AN161" i="83"/>
  <c r="AP161" i="83"/>
  <c r="AR163" i="83"/>
  <c r="AN163" i="83"/>
  <c r="AO163" i="83"/>
  <c r="AQ163" i="83"/>
  <c r="AM163" i="83"/>
  <c r="AP163" i="83"/>
  <c r="AR165" i="83"/>
  <c r="AP165" i="83"/>
  <c r="AN165" i="83"/>
  <c r="AQ165" i="83"/>
  <c r="AO165" i="83"/>
  <c r="AM165" i="83"/>
  <c r="AR167" i="83"/>
  <c r="AN167" i="83"/>
  <c r="AQ167" i="83"/>
  <c r="AO167" i="83"/>
  <c r="AM167" i="83"/>
  <c r="AP167" i="83"/>
  <c r="AR169" i="83"/>
  <c r="AN169" i="83"/>
  <c r="AO169" i="83"/>
  <c r="AP169" i="83"/>
  <c r="AM169" i="83"/>
  <c r="AQ169" i="83"/>
  <c r="AN171" i="83"/>
  <c r="AP171" i="83"/>
  <c r="AM171" i="83"/>
  <c r="AQ171" i="83"/>
  <c r="AO171" i="83"/>
  <c r="F77" i="83"/>
  <c r="AZ41" i="83" s="1"/>
  <c r="E78" i="83"/>
  <c r="K12" i="83"/>
  <c r="AM43" i="83" s="1"/>
  <c r="D79" i="83"/>
  <c r="H79" i="83"/>
  <c r="F62" i="76" s="1"/>
  <c r="G80" i="83"/>
  <c r="F81" i="83"/>
  <c r="E82" i="83"/>
  <c r="K16" i="83"/>
  <c r="D83" i="83"/>
  <c r="AX47" i="83" s="1"/>
  <c r="H83" i="83"/>
  <c r="J62" i="76" s="1"/>
  <c r="G84" i="83"/>
  <c r="BA48" i="83" s="1"/>
  <c r="F85" i="83"/>
  <c r="E86" i="83"/>
  <c r="K20" i="83"/>
  <c r="AM51" i="83" s="1"/>
  <c r="D87" i="83"/>
  <c r="AX51" i="83" s="1"/>
  <c r="H87" i="83"/>
  <c r="N62" i="76" s="1"/>
  <c r="G88" i="83"/>
  <c r="BA52" i="83" s="1"/>
  <c r="F89" i="83"/>
  <c r="E90" i="83"/>
  <c r="K24" i="83"/>
  <c r="AM55" i="83" s="1"/>
  <c r="D91" i="83"/>
  <c r="H91" i="83"/>
  <c r="R62" i="76" s="1"/>
  <c r="G92" i="83"/>
  <c r="BA56" i="83" s="1"/>
  <c r="F93" i="83"/>
  <c r="E94" i="83"/>
  <c r="AY58" i="83" s="1"/>
  <c r="K28" i="83"/>
  <c r="AM59" i="83" s="1"/>
  <c r="D95" i="83"/>
  <c r="H95" i="83"/>
  <c r="V62" i="76" s="1"/>
  <c r="G96" i="83"/>
  <c r="F97" i="83"/>
  <c r="E98" i="83"/>
  <c r="K33" i="83"/>
  <c r="AM64" i="83" s="1"/>
  <c r="AS64" i="83"/>
  <c r="D100" i="83"/>
  <c r="H100" i="83"/>
  <c r="AA62" i="76" s="1"/>
  <c r="G77" i="83"/>
  <c r="AM11" i="83"/>
  <c r="F78" i="83"/>
  <c r="AL12" i="83"/>
  <c r="E79" i="83"/>
  <c r="D80" i="83"/>
  <c r="AX44" i="83" s="1"/>
  <c r="H80" i="83"/>
  <c r="G62" i="76" s="1"/>
  <c r="AN14" i="83"/>
  <c r="G81" i="83"/>
  <c r="BA45" i="83" s="1"/>
  <c r="AM15" i="83"/>
  <c r="F82" i="83"/>
  <c r="AZ46" i="83" s="1"/>
  <c r="E83" i="83"/>
  <c r="D84" i="83"/>
  <c r="AX48" i="83" s="1"/>
  <c r="H84" i="83"/>
  <c r="K62" i="76" s="1"/>
  <c r="AN18" i="83"/>
  <c r="G85" i="83"/>
  <c r="AM19" i="83"/>
  <c r="F86" i="83"/>
  <c r="AZ50" i="83" s="1"/>
  <c r="AL20" i="83"/>
  <c r="E87" i="83"/>
  <c r="D88" i="83"/>
  <c r="H88" i="83"/>
  <c r="O62" i="76" s="1"/>
  <c r="AN22" i="83"/>
  <c r="G89" i="83"/>
  <c r="AM23" i="83"/>
  <c r="F90" i="83"/>
  <c r="AZ54" i="83" s="1"/>
  <c r="E91" i="83"/>
  <c r="D92" i="83"/>
  <c r="AX56" i="83" s="1"/>
  <c r="H92" i="83"/>
  <c r="S62" i="76" s="1"/>
  <c r="AN26" i="83"/>
  <c r="G93" i="83"/>
  <c r="AM27" i="83"/>
  <c r="F94" i="83"/>
  <c r="E95" i="83"/>
  <c r="AY59" i="83" s="1"/>
  <c r="D96" i="83"/>
  <c r="H96" i="83"/>
  <c r="W62" i="76" s="1"/>
  <c r="G97" i="83"/>
  <c r="F98" i="83"/>
  <c r="AU62" i="83"/>
  <c r="AL33" i="83"/>
  <c r="E100" i="83"/>
  <c r="H77" i="83"/>
  <c r="D62" i="76" s="1"/>
  <c r="G78" i="83"/>
  <c r="BA42" i="83" s="1"/>
  <c r="F79" i="83"/>
  <c r="E80" i="83"/>
  <c r="AY44" i="83" s="1"/>
  <c r="K14" i="83"/>
  <c r="AM45" i="83" s="1"/>
  <c r="D81" i="83"/>
  <c r="AX45" i="83" s="1"/>
  <c r="H81" i="83"/>
  <c r="H62" i="76" s="1"/>
  <c r="G82" i="83"/>
  <c r="F83" i="83"/>
  <c r="E84" i="83"/>
  <c r="K18" i="83"/>
  <c r="D85" i="83"/>
  <c r="H85" i="83"/>
  <c r="L62" i="76" s="1"/>
  <c r="G86" i="83"/>
  <c r="F87" i="83"/>
  <c r="E88" i="83"/>
  <c r="AY52" i="83" s="1"/>
  <c r="K22" i="83"/>
  <c r="AM53" i="83" s="1"/>
  <c r="D89" i="83"/>
  <c r="H89" i="83"/>
  <c r="P62" i="76" s="1"/>
  <c r="G90" i="83"/>
  <c r="BA54" i="83" s="1"/>
  <c r="E92" i="83"/>
  <c r="K26" i="83"/>
  <c r="AM57" i="83" s="1"/>
  <c r="D93" i="83"/>
  <c r="H93" i="83"/>
  <c r="T62" i="76" s="1"/>
  <c r="G94" i="83"/>
  <c r="F95" i="83"/>
  <c r="AZ59" i="83" s="1"/>
  <c r="E96" i="83"/>
  <c r="AY60" i="83" s="1"/>
  <c r="D97" i="83"/>
  <c r="H97" i="83"/>
  <c r="X62" i="76" s="1"/>
  <c r="G98" i="83"/>
  <c r="F100" i="83"/>
  <c r="E77" i="83"/>
  <c r="AY41" i="83" s="1"/>
  <c r="D78" i="83"/>
  <c r="H78" i="83"/>
  <c r="E62" i="76" s="1"/>
  <c r="AN12" i="83"/>
  <c r="G79" i="83"/>
  <c r="F80" i="83"/>
  <c r="AZ44" i="83" s="1"/>
  <c r="AL14" i="83"/>
  <c r="E81" i="83"/>
  <c r="AY45" i="83" s="1"/>
  <c r="D82" i="83"/>
  <c r="AX46" i="83" s="1"/>
  <c r="H82" i="83"/>
  <c r="I62" i="76" s="1"/>
  <c r="AN16" i="83"/>
  <c r="G83" i="83"/>
  <c r="F84" i="83"/>
  <c r="AZ48" i="83" s="1"/>
  <c r="AL18" i="83"/>
  <c r="E85" i="83"/>
  <c r="D86" i="83"/>
  <c r="H86" i="83"/>
  <c r="M62" i="76" s="1"/>
  <c r="AN20" i="83"/>
  <c r="G87" i="83"/>
  <c r="F88" i="83"/>
  <c r="AL22" i="83"/>
  <c r="E89" i="83"/>
  <c r="D90" i="83"/>
  <c r="H90" i="83"/>
  <c r="Q62" i="76" s="1"/>
  <c r="G91" i="83"/>
  <c r="F92" i="83"/>
  <c r="AZ56" i="83" s="1"/>
  <c r="AL26" i="83"/>
  <c r="E93" i="83"/>
  <c r="D94" i="83"/>
  <c r="H94" i="83"/>
  <c r="U62" i="76" s="1"/>
  <c r="AN28" i="83"/>
  <c r="G95" i="83"/>
  <c r="F96" i="83"/>
  <c r="AL30" i="83"/>
  <c r="E97" i="83"/>
  <c r="D98" i="83"/>
  <c r="AX62" i="83" s="1"/>
  <c r="H98" i="83"/>
  <c r="Y62" i="76" s="1"/>
  <c r="G100" i="83"/>
  <c r="BA64" i="83" s="1"/>
  <c r="AO21" i="83"/>
  <c r="AO29" i="83"/>
  <c r="AM31" i="83"/>
  <c r="AR41" i="83"/>
  <c r="K10" i="83"/>
  <c r="AM41" i="83" s="1"/>
  <c r="AO10" i="83"/>
  <c r="N11" i="83"/>
  <c r="AT11" i="83" s="1"/>
  <c r="AN11" i="83"/>
  <c r="M12" i="83"/>
  <c r="AS12" i="83" s="1"/>
  <c r="AM12" i="83"/>
  <c r="L13" i="83"/>
  <c r="AR13" i="83" s="1"/>
  <c r="AL13" i="83"/>
  <c r="AO14" i="83"/>
  <c r="N15" i="83"/>
  <c r="AT15" i="83" s="1"/>
  <c r="AN15" i="83"/>
  <c r="AM16" i="83"/>
  <c r="L17" i="83"/>
  <c r="AR17" i="83" s="1"/>
  <c r="AL17" i="83"/>
  <c r="AO18" i="83"/>
  <c r="N19" i="83"/>
  <c r="AT19" i="83" s="1"/>
  <c r="AN19" i="83"/>
  <c r="M20" i="83"/>
  <c r="AS20" i="83" s="1"/>
  <c r="AM20" i="83"/>
  <c r="L21" i="83"/>
  <c r="AR21" i="83" s="1"/>
  <c r="AL21" i="83"/>
  <c r="AO22" i="83"/>
  <c r="N23" i="83"/>
  <c r="AT23" i="83" s="1"/>
  <c r="AN23" i="83"/>
  <c r="L25" i="83"/>
  <c r="AR25" i="83" s="1"/>
  <c r="AL25" i="83"/>
  <c r="AO26" i="83"/>
  <c r="N27" i="83"/>
  <c r="AT27" i="83" s="1"/>
  <c r="AN27" i="83"/>
  <c r="M28" i="83"/>
  <c r="AS28" i="83" s="1"/>
  <c r="AM28" i="83"/>
  <c r="L29" i="83"/>
  <c r="AN60" i="83" s="1"/>
  <c r="AL29" i="83"/>
  <c r="AO30" i="83"/>
  <c r="N31" i="83"/>
  <c r="AT31" i="83" s="1"/>
  <c r="AN31" i="83"/>
  <c r="AM33" i="83"/>
  <c r="AN10" i="83"/>
  <c r="L28" i="83"/>
  <c r="AR28" i="83" s="1"/>
  <c r="AL28" i="83"/>
  <c r="N30" i="83"/>
  <c r="AT30" i="83" s="1"/>
  <c r="AN30" i="83"/>
  <c r="L10" i="83"/>
  <c r="AR10" i="83" s="1"/>
  <c r="AL10" i="83"/>
  <c r="AO11" i="83"/>
  <c r="AM13" i="83"/>
  <c r="AO15" i="83"/>
  <c r="AM17" i="83"/>
  <c r="AO19" i="83"/>
  <c r="AM21" i="83"/>
  <c r="AO23" i="83"/>
  <c r="AM25" i="83"/>
  <c r="AO27" i="83"/>
  <c r="AM29" i="83"/>
  <c r="AO31" i="83"/>
  <c r="N33" i="83"/>
  <c r="AT33" i="83" s="1"/>
  <c r="AN33" i="83"/>
  <c r="AO13" i="83"/>
  <c r="L16" i="83"/>
  <c r="AN47" i="83" s="1"/>
  <c r="AL16" i="83"/>
  <c r="AO17" i="83"/>
  <c r="L24" i="83"/>
  <c r="AR24" i="83" s="1"/>
  <c r="AL24" i="83"/>
  <c r="AO25" i="83"/>
  <c r="AR42" i="83"/>
  <c r="AR44" i="83"/>
  <c r="AR46" i="83"/>
  <c r="AR48" i="83"/>
  <c r="AR50" i="83"/>
  <c r="AR52" i="83"/>
  <c r="AR54" i="83"/>
  <c r="AR56" i="83"/>
  <c r="AR58" i="83"/>
  <c r="AR60" i="83"/>
  <c r="AR62" i="83"/>
  <c r="M10" i="83"/>
  <c r="AS10" i="83" s="1"/>
  <c r="AM10" i="83"/>
  <c r="L11" i="83"/>
  <c r="AR11" i="83" s="1"/>
  <c r="AL11" i="83"/>
  <c r="AO12" i="83"/>
  <c r="N13" i="83"/>
  <c r="AT13" i="83" s="1"/>
  <c r="AN13" i="83"/>
  <c r="AM14" i="83"/>
  <c r="L15" i="83"/>
  <c r="AR15" i="83" s="1"/>
  <c r="AL15" i="83"/>
  <c r="AO16" i="83"/>
  <c r="N17" i="83"/>
  <c r="AT17" i="83" s="1"/>
  <c r="AN17" i="83"/>
  <c r="AM18" i="83"/>
  <c r="L19" i="83"/>
  <c r="AR19" i="83" s="1"/>
  <c r="AL19" i="83"/>
  <c r="AO20" i="83"/>
  <c r="N21" i="83"/>
  <c r="AT21" i="83" s="1"/>
  <c r="AN21" i="83"/>
  <c r="M22" i="83"/>
  <c r="AS22" i="83" s="1"/>
  <c r="AM22" i="83"/>
  <c r="L23" i="83"/>
  <c r="AN54" i="83" s="1"/>
  <c r="AL23" i="83"/>
  <c r="AO24" i="83"/>
  <c r="N25" i="83"/>
  <c r="AT25" i="83" s="1"/>
  <c r="AN25" i="83"/>
  <c r="M26" i="83"/>
  <c r="AS26" i="83" s="1"/>
  <c r="AM26" i="83"/>
  <c r="L27" i="83"/>
  <c r="AN58" i="83" s="1"/>
  <c r="AL27" i="83"/>
  <c r="AO28" i="83"/>
  <c r="N29" i="83"/>
  <c r="AT29" i="83" s="1"/>
  <c r="AN29" i="83"/>
  <c r="AM30" i="83"/>
  <c r="L31" i="83"/>
  <c r="AR31" i="83" s="1"/>
  <c r="AL31" i="83"/>
  <c r="AO33" i="83"/>
  <c r="AR43" i="83"/>
  <c r="AR45" i="83"/>
  <c r="AR47" i="83"/>
  <c r="AR49" i="83"/>
  <c r="AR51" i="83"/>
  <c r="AR53" i="83"/>
  <c r="AR55" i="83"/>
  <c r="AR57" i="83"/>
  <c r="AR59" i="83"/>
  <c r="AR61" i="83"/>
  <c r="E169" i="67"/>
  <c r="F149" i="67"/>
  <c r="F169" i="67"/>
  <c r="D162" i="67"/>
  <c r="F168" i="67"/>
  <c r="G169" i="67"/>
  <c r="E165" i="84"/>
  <c r="E149" i="67"/>
  <c r="M18" i="83"/>
  <c r="D153" i="67"/>
  <c r="G153" i="67"/>
  <c r="M14" i="83"/>
  <c r="F153" i="67"/>
  <c r="G154" i="67"/>
  <c r="F154" i="67"/>
  <c r="E165" i="67"/>
  <c r="E163" i="84"/>
  <c r="X122" i="84"/>
  <c r="X125" i="84"/>
  <c r="X128" i="84"/>
  <c r="X113" i="84"/>
  <c r="X121" i="84"/>
  <c r="X133" i="84"/>
  <c r="M16" i="83"/>
  <c r="B163" i="84"/>
  <c r="X163" i="84" s="1"/>
  <c r="H153" i="84"/>
  <c r="X88" i="84"/>
  <c r="B155" i="84"/>
  <c r="X155" i="84" s="1"/>
  <c r="X95" i="84"/>
  <c r="H152" i="84"/>
  <c r="E167" i="84"/>
  <c r="B153" i="84"/>
  <c r="X153" i="84" s="1"/>
  <c r="X117" i="84"/>
  <c r="X79" i="84"/>
  <c r="B159" i="84"/>
  <c r="X83" i="84"/>
  <c r="G152" i="84"/>
  <c r="E158" i="84"/>
  <c r="Z4" i="84"/>
  <c r="H149" i="84"/>
  <c r="E151" i="84"/>
  <c r="E155" i="84"/>
  <c r="E161" i="84"/>
  <c r="H169" i="84"/>
  <c r="G150" i="84"/>
  <c r="E152" i="84"/>
  <c r="G154" i="84"/>
  <c r="E156" i="84"/>
  <c r="G158" i="84"/>
  <c r="G165" i="84"/>
  <c r="D166" i="84"/>
  <c r="H166" i="84"/>
  <c r="E150" i="84"/>
  <c r="E154" i="84"/>
  <c r="G156" i="84"/>
  <c r="G153" i="84"/>
  <c r="G157" i="84"/>
  <c r="E159" i="84"/>
  <c r="F168" i="84"/>
  <c r="D169" i="84"/>
  <c r="F148" i="67"/>
  <c r="N10" i="83"/>
  <c r="F149" i="84"/>
  <c r="BD41" i="84" s="1"/>
  <c r="G151" i="84"/>
  <c r="E153" i="84"/>
  <c r="G155" i="84"/>
  <c r="E157" i="84"/>
  <c r="E160" i="84"/>
  <c r="E162" i="84"/>
  <c r="F164" i="84"/>
  <c r="B154" i="84"/>
  <c r="X118" i="84"/>
  <c r="X124" i="84"/>
  <c r="B160" i="84"/>
  <c r="B170" i="84"/>
  <c r="X134" i="84"/>
  <c r="X152" i="84"/>
  <c r="G162" i="67"/>
  <c r="D168" i="67"/>
  <c r="D171" i="67"/>
  <c r="H171" i="67"/>
  <c r="G171" i="67"/>
  <c r="G149" i="84"/>
  <c r="F150" i="84"/>
  <c r="F151" i="84"/>
  <c r="F152" i="84"/>
  <c r="F153" i="84"/>
  <c r="F154" i="84"/>
  <c r="F155" i="84"/>
  <c r="F156" i="84"/>
  <c r="F157" i="84"/>
  <c r="F158" i="84"/>
  <c r="F159" i="84"/>
  <c r="F160" i="84"/>
  <c r="F161" i="84"/>
  <c r="F162" i="84"/>
  <c r="R23" i="84"/>
  <c r="H165" i="84"/>
  <c r="F167" i="84"/>
  <c r="E169" i="84"/>
  <c r="F170" i="84"/>
  <c r="X116" i="84"/>
  <c r="D151" i="84"/>
  <c r="D155" i="84"/>
  <c r="D157" i="84"/>
  <c r="D159" i="84"/>
  <c r="D161" i="84"/>
  <c r="D163" i="84"/>
  <c r="D165" i="84"/>
  <c r="D167" i="84"/>
  <c r="G159" i="84"/>
  <c r="G161" i="84"/>
  <c r="G163" i="84"/>
  <c r="D164" i="84"/>
  <c r="H164" i="84"/>
  <c r="F166" i="84"/>
  <c r="G167" i="84"/>
  <c r="D168" i="84"/>
  <c r="H168" i="84"/>
  <c r="F169" i="84"/>
  <c r="B162" i="84"/>
  <c r="X126" i="84"/>
  <c r="B168" i="84"/>
  <c r="X132" i="84"/>
  <c r="E168" i="67"/>
  <c r="E171" i="67"/>
  <c r="E149" i="84"/>
  <c r="BC41" i="84" s="1"/>
  <c r="D150" i="84"/>
  <c r="H150" i="84"/>
  <c r="H151" i="84"/>
  <c r="D152" i="84"/>
  <c r="D153" i="84"/>
  <c r="D154" i="84"/>
  <c r="H154" i="84"/>
  <c r="H155" i="84"/>
  <c r="D156" i="84"/>
  <c r="H156" i="84"/>
  <c r="H157" i="84"/>
  <c r="D158" i="84"/>
  <c r="H158" i="84"/>
  <c r="H159" i="84"/>
  <c r="D160" i="84"/>
  <c r="H160" i="84"/>
  <c r="H161" i="84"/>
  <c r="D162" i="84"/>
  <c r="H162" i="84"/>
  <c r="H163" i="84"/>
  <c r="F165" i="84"/>
  <c r="H167" i="84"/>
  <c r="D170" i="84"/>
  <c r="H170" i="84"/>
  <c r="G160" i="84"/>
  <c r="G162" i="84"/>
  <c r="G164" i="84"/>
  <c r="G166" i="84"/>
  <c r="G168" i="84"/>
  <c r="G170" i="84"/>
  <c r="X77" i="84"/>
  <c r="X85" i="84"/>
  <c r="X93" i="84"/>
  <c r="B156" i="84"/>
  <c r="B164" i="84"/>
  <c r="E164" i="84"/>
  <c r="E166" i="84"/>
  <c r="E168" i="84"/>
  <c r="G169" i="84"/>
  <c r="E170" i="84"/>
  <c r="X81" i="84"/>
  <c r="X89" i="84"/>
  <c r="X97" i="84"/>
  <c r="B150" i="84"/>
  <c r="B158" i="84"/>
  <c r="B166" i="84"/>
  <c r="X171" i="84"/>
  <c r="X115" i="84"/>
  <c r="X119" i="84"/>
  <c r="X157" i="84"/>
  <c r="X123" i="84"/>
  <c r="X161" i="84"/>
  <c r="X127" i="84"/>
  <c r="X165" i="84"/>
  <c r="X131" i="84"/>
  <c r="X169" i="84"/>
  <c r="X167" i="84"/>
  <c r="Q133" i="83"/>
  <c r="Q134" i="83"/>
  <c r="Q139" i="83"/>
  <c r="L12" i="83"/>
  <c r="L20" i="83"/>
  <c r="AA140" i="83"/>
  <c r="Z140" i="83"/>
  <c r="AA4" i="83"/>
  <c r="L18" i="83"/>
  <c r="L26" i="83"/>
  <c r="AR26" i="83" s="1"/>
  <c r="L14" i="83"/>
  <c r="L22" i="83"/>
  <c r="O10" i="83"/>
  <c r="D61" i="76" s="1"/>
  <c r="B17" i="92" s="1"/>
  <c r="O13" i="83"/>
  <c r="G61" i="76" s="1"/>
  <c r="E17" i="92" s="1"/>
  <c r="O17" i="83"/>
  <c r="K61" i="76" s="1"/>
  <c r="I17" i="92" s="1"/>
  <c r="O21" i="83"/>
  <c r="O61" i="76" s="1"/>
  <c r="M17" i="92" s="1"/>
  <c r="O25" i="83"/>
  <c r="S61" i="76" s="1"/>
  <c r="Q17" i="92" s="1"/>
  <c r="O29" i="83"/>
  <c r="W61" i="76" s="1"/>
  <c r="U17" i="92" s="1"/>
  <c r="O30" i="83"/>
  <c r="X61" i="76" s="1"/>
  <c r="V17" i="92" s="1"/>
  <c r="O31" i="83"/>
  <c r="Y61" i="76" s="1"/>
  <c r="W17" i="92" s="1"/>
  <c r="M11" i="83"/>
  <c r="K13" i="83"/>
  <c r="O14" i="83"/>
  <c r="H61" i="76" s="1"/>
  <c r="F17" i="92" s="1"/>
  <c r="M15" i="83"/>
  <c r="K17" i="83"/>
  <c r="AM48" i="83" s="1"/>
  <c r="O18" i="83"/>
  <c r="L61" i="76" s="1"/>
  <c r="J17" i="92" s="1"/>
  <c r="M19" i="83"/>
  <c r="K21" i="83"/>
  <c r="AM52" i="83" s="1"/>
  <c r="O22" i="83"/>
  <c r="P61" i="76" s="1"/>
  <c r="N17" i="92" s="1"/>
  <c r="M23" i="83"/>
  <c r="K25" i="83"/>
  <c r="AM56" i="83" s="1"/>
  <c r="O26" i="83"/>
  <c r="T61" i="76" s="1"/>
  <c r="M27" i="83"/>
  <c r="AS27" i="83" s="1"/>
  <c r="K29" i="83"/>
  <c r="K30" i="83"/>
  <c r="K31" i="83"/>
  <c r="AA33" i="83"/>
  <c r="O33" i="83"/>
  <c r="Z33" i="83"/>
  <c r="O11" i="83"/>
  <c r="E61" i="76" s="1"/>
  <c r="C17" i="92" s="1"/>
  <c r="O15" i="83"/>
  <c r="I61" i="76" s="1"/>
  <c r="G17" i="92" s="1"/>
  <c r="O19" i="83"/>
  <c r="M61" i="76" s="1"/>
  <c r="K17" i="92" s="1"/>
  <c r="O23" i="83"/>
  <c r="Q61" i="76" s="1"/>
  <c r="O27" i="83"/>
  <c r="U61" i="76" s="1"/>
  <c r="M30" i="83"/>
  <c r="K11" i="83"/>
  <c r="O12" i="83"/>
  <c r="F61" i="76" s="1"/>
  <c r="D17" i="92" s="1"/>
  <c r="M13" i="83"/>
  <c r="K15" i="83"/>
  <c r="AM46" i="83" s="1"/>
  <c r="O16" i="83"/>
  <c r="J61" i="76" s="1"/>
  <c r="H17" i="92" s="1"/>
  <c r="M17" i="83"/>
  <c r="K19" i="83"/>
  <c r="AM50" i="83" s="1"/>
  <c r="O20" i="83"/>
  <c r="N61" i="76" s="1"/>
  <c r="L17" i="92" s="1"/>
  <c r="M21" i="83"/>
  <c r="AS21" i="83" s="1"/>
  <c r="K23" i="83"/>
  <c r="O24" i="83"/>
  <c r="R61" i="76" s="1"/>
  <c r="P17" i="92" s="1"/>
  <c r="M25" i="83"/>
  <c r="K27" i="83"/>
  <c r="O28" i="83"/>
  <c r="V61" i="76" s="1"/>
  <c r="T17" i="92" s="1"/>
  <c r="M29" i="83"/>
  <c r="M31" i="83"/>
  <c r="M33" i="83"/>
  <c r="D149" i="67"/>
  <c r="D151" i="67"/>
  <c r="E154" i="67"/>
  <c r="D154" i="67"/>
  <c r="D161" i="67"/>
  <c r="D169" i="67"/>
  <c r="F171" i="67"/>
  <c r="N12" i="83"/>
  <c r="N14" i="83"/>
  <c r="N16" i="83"/>
  <c r="N18" i="83"/>
  <c r="N20" i="83"/>
  <c r="N22" i="83"/>
  <c r="AT22" i="83" s="1"/>
  <c r="N24" i="83"/>
  <c r="N26" i="83"/>
  <c r="N28" i="83"/>
  <c r="L30" i="83"/>
  <c r="AR30" i="83" s="1"/>
  <c r="L33" i="83"/>
  <c r="AR33" i="83" s="1"/>
  <c r="E148" i="67"/>
  <c r="D165" i="67"/>
  <c r="H153" i="67"/>
  <c r="H151" i="67"/>
  <c r="H166" i="67"/>
  <c r="H149" i="67"/>
  <c r="H164" i="67"/>
  <c r="H154" i="67"/>
  <c r="G149" i="67"/>
  <c r="E162" i="67"/>
  <c r="H162" i="67"/>
  <c r="D148" i="67"/>
  <c r="H148" i="67"/>
  <c r="G148" i="67"/>
  <c r="E153" i="67"/>
  <c r="E161" i="67"/>
  <c r="AG20" i="84" l="1"/>
  <c r="N74" i="76"/>
  <c r="AG26" i="84"/>
  <c r="W74" i="76"/>
  <c r="AG13" i="84"/>
  <c r="G74" i="76"/>
  <c r="E20" i="92" s="1"/>
  <c r="L20" i="92"/>
  <c r="AG27" i="84"/>
  <c r="X74" i="76"/>
  <c r="AG10" i="84"/>
  <c r="D74" i="76"/>
  <c r="B20" i="92" s="1"/>
  <c r="AG19" i="84"/>
  <c r="M74" i="76"/>
  <c r="K20" i="92" s="1"/>
  <c r="AG16" i="84"/>
  <c r="J74" i="76"/>
  <c r="H20" i="92" s="1"/>
  <c r="AG24" i="84"/>
  <c r="S74" i="76"/>
  <c r="AG22" i="84"/>
  <c r="P74" i="76"/>
  <c r="U20" i="92"/>
  <c r="N20" i="92"/>
  <c r="AG28" i="84"/>
  <c r="Y74" i="76"/>
  <c r="W20" i="92" s="1"/>
  <c r="AG15" i="84"/>
  <c r="I74" i="76"/>
  <c r="AG25" i="84"/>
  <c r="V74" i="76"/>
  <c r="T20" i="92" s="1"/>
  <c r="AG12" i="84"/>
  <c r="F74" i="76"/>
  <c r="D20" i="92" s="1"/>
  <c r="AG21" i="84"/>
  <c r="O74" i="76"/>
  <c r="AG18" i="84"/>
  <c r="L74" i="76"/>
  <c r="Q20" i="92"/>
  <c r="J20" i="92"/>
  <c r="AG11" i="84"/>
  <c r="E74" i="76"/>
  <c r="C20" i="92" s="1"/>
  <c r="G20" i="92"/>
  <c r="AG23" i="84"/>
  <c r="R74" i="76"/>
  <c r="P20" i="92" s="1"/>
  <c r="AG17" i="84"/>
  <c r="K74" i="76"/>
  <c r="I20" i="92" s="1"/>
  <c r="AG14" i="84"/>
  <c r="H74" i="76"/>
  <c r="F20" i="92" s="1"/>
  <c r="M20" i="92"/>
  <c r="V20" i="92"/>
  <c r="BB41" i="84"/>
  <c r="AL302" i="83"/>
  <c r="AM311" i="83"/>
  <c r="AM306" i="83"/>
  <c r="AM296" i="83"/>
  <c r="AM313" i="83"/>
  <c r="AM305" i="83"/>
  <c r="AN314" i="83"/>
  <c r="AN308" i="83"/>
  <c r="AN315" i="83"/>
  <c r="AO317" i="83"/>
  <c r="AO311" i="83"/>
  <c r="AO319" i="83"/>
  <c r="AM303" i="83"/>
  <c r="AO312" i="83"/>
  <c r="AL308" i="83"/>
  <c r="AC315" i="83"/>
  <c r="AL315" i="83"/>
  <c r="AC319" i="83"/>
  <c r="AL319" i="83"/>
  <c r="AL317" i="83"/>
  <c r="AD319" i="83"/>
  <c r="AM319" i="83"/>
  <c r="AD297" i="83"/>
  <c r="AM297" i="83"/>
  <c r="AD312" i="83"/>
  <c r="AM312" i="83"/>
  <c r="AE306" i="83"/>
  <c r="AN306" i="83"/>
  <c r="AN305" i="83"/>
  <c r="AE299" i="83"/>
  <c r="AN299" i="83"/>
  <c r="AF296" i="83"/>
  <c r="AO296" i="83"/>
  <c r="AF303" i="83"/>
  <c r="AO303" i="83"/>
  <c r="AF302" i="83"/>
  <c r="AO302" i="83"/>
  <c r="AL307" i="83"/>
  <c r="AC301" i="83"/>
  <c r="AL301" i="83"/>
  <c r="AN313" i="83"/>
  <c r="AE316" i="83"/>
  <c r="AN316" i="83"/>
  <c r="AE300" i="83"/>
  <c r="AN300" i="83"/>
  <c r="AE307" i="83"/>
  <c r="AN307" i="83"/>
  <c r="AF309" i="83"/>
  <c r="AO309" i="83"/>
  <c r="AF316" i="83"/>
  <c r="AO316" i="83"/>
  <c r="AC312" i="83"/>
  <c r="AL312" i="83"/>
  <c r="AC304" i="83"/>
  <c r="AL304" i="83"/>
  <c r="AL311" i="83"/>
  <c r="AL303" i="83"/>
  <c r="AC297" i="83"/>
  <c r="AL297" i="83"/>
  <c r="AC314" i="83"/>
  <c r="AL314" i="83"/>
  <c r="AC306" i="83"/>
  <c r="AL306" i="83"/>
  <c r="AL298" i="83"/>
  <c r="AC313" i="83"/>
  <c r="AL313" i="83"/>
  <c r="AL305" i="83"/>
  <c r="AM315" i="83"/>
  <c r="AM307" i="83"/>
  <c r="AM299" i="83"/>
  <c r="AD314" i="83"/>
  <c r="AM314" i="83"/>
  <c r="AD302" i="83"/>
  <c r="AM302" i="83"/>
  <c r="AD308" i="83"/>
  <c r="AM308" i="83"/>
  <c r="AD317" i="83"/>
  <c r="AM317" i="83"/>
  <c r="AD309" i="83"/>
  <c r="AM309" i="83"/>
  <c r="AD301" i="83"/>
  <c r="AM301" i="83"/>
  <c r="AM316" i="83"/>
  <c r="AM304" i="83"/>
  <c r="AE319" i="83"/>
  <c r="AN319" i="83"/>
  <c r="AN302" i="83"/>
  <c r="AE317" i="83"/>
  <c r="AN317" i="83"/>
  <c r="AE309" i="83"/>
  <c r="AN309" i="83"/>
  <c r="AN301" i="83"/>
  <c r="AE312" i="83"/>
  <c r="AN312" i="83"/>
  <c r="AE304" i="83"/>
  <c r="AN304" i="83"/>
  <c r="AE296" i="83"/>
  <c r="AN296" i="83"/>
  <c r="AN311" i="83"/>
  <c r="AN303" i="83"/>
  <c r="AN297" i="83"/>
  <c r="AF313" i="83"/>
  <c r="AO313" i="83"/>
  <c r="AF305" i="83"/>
  <c r="AO305" i="83"/>
  <c r="AF297" i="83"/>
  <c r="AO297" i="83"/>
  <c r="AO304" i="83"/>
  <c r="AF315" i="83"/>
  <c r="AO315" i="83"/>
  <c r="AO307" i="83"/>
  <c r="AF299" i="83"/>
  <c r="AO299" i="83"/>
  <c r="AF314" i="83"/>
  <c r="AO314" i="83"/>
  <c r="AF306" i="83"/>
  <c r="AO306" i="83"/>
  <c r="AO298" i="83"/>
  <c r="AO308" i="83"/>
  <c r="AC316" i="83"/>
  <c r="AL316" i="83"/>
  <c r="AL300" i="83"/>
  <c r="AC299" i="83"/>
  <c r="AL299" i="83"/>
  <c r="AC310" i="83"/>
  <c r="AL310" i="83"/>
  <c r="AC309" i="83"/>
  <c r="AL309" i="83"/>
  <c r="AD298" i="83"/>
  <c r="AM298" i="83"/>
  <c r="AM300" i="83"/>
  <c r="AE298" i="83"/>
  <c r="AN298" i="83"/>
  <c r="AF301" i="83"/>
  <c r="AO301" i="83"/>
  <c r="AF310" i="83"/>
  <c r="AO310" i="83"/>
  <c r="AF300" i="83"/>
  <c r="AO300" i="83"/>
  <c r="Z17" i="92" a="1"/>
  <c r="Z17" i="92" s="1"/>
  <c r="AA42" i="83" s="1"/>
  <c r="AA17" i="92" a="1"/>
  <c r="AA17" i="92" s="1"/>
  <c r="AD41" i="83" s="1"/>
  <c r="AD42" i="83" s="1"/>
  <c r="Y17" i="92" a="1"/>
  <c r="Y17" i="92" s="1"/>
  <c r="Z42" i="83" s="1"/>
  <c r="BE41" i="84"/>
  <c r="O77" i="76"/>
  <c r="F77" i="76"/>
  <c r="R77" i="76"/>
  <c r="J77" i="76"/>
  <c r="Y77" i="76"/>
  <c r="U77" i="76"/>
  <c r="Q77" i="76"/>
  <c r="W77" i="76"/>
  <c r="V77" i="76"/>
  <c r="N77" i="76"/>
  <c r="K77" i="76"/>
  <c r="E77" i="76"/>
  <c r="T77" i="76"/>
  <c r="X77" i="76"/>
  <c r="L77" i="76"/>
  <c r="I77" i="76"/>
  <c r="S77" i="76"/>
  <c r="P77" i="76"/>
  <c r="M77" i="76"/>
  <c r="G77" i="76"/>
  <c r="H77" i="76"/>
  <c r="L309" i="83"/>
  <c r="AR309" i="83" s="1"/>
  <c r="L319" i="83"/>
  <c r="AN350" i="83" s="1"/>
  <c r="L301" i="83"/>
  <c r="AR301" i="83" s="1"/>
  <c r="BB64" i="83"/>
  <c r="L315" i="83"/>
  <c r="AR315" i="83" s="1"/>
  <c r="AM65" i="83"/>
  <c r="AA61" i="76"/>
  <c r="E26" i="92"/>
  <c r="H26" i="92"/>
  <c r="C26" i="92"/>
  <c r="V26" i="92"/>
  <c r="Q26" i="92"/>
  <c r="K26" i="92"/>
  <c r="F26" i="92"/>
  <c r="M26" i="92"/>
  <c r="T26" i="92"/>
  <c r="W26" i="92"/>
  <c r="G26" i="92"/>
  <c r="J26" i="92"/>
  <c r="L26" i="92"/>
  <c r="U26" i="92"/>
  <c r="N26" i="92"/>
  <c r="B26" i="92"/>
  <c r="P26" i="92"/>
  <c r="I26" i="92"/>
  <c r="D26" i="92"/>
  <c r="AV57" i="84"/>
  <c r="T75" i="76"/>
  <c r="AV49" i="84"/>
  <c r="L75" i="76"/>
  <c r="AV41" i="84"/>
  <c r="D75" i="76"/>
  <c r="AV60" i="84"/>
  <c r="W75" i="76"/>
  <c r="AV52" i="84"/>
  <c r="O75" i="76"/>
  <c r="AV44" i="84"/>
  <c r="G75" i="76"/>
  <c r="AV59" i="84"/>
  <c r="V75" i="76"/>
  <c r="AV51" i="84"/>
  <c r="N75" i="76"/>
  <c r="AV43" i="84"/>
  <c r="F75" i="76"/>
  <c r="AV62" i="84"/>
  <c r="Y75" i="76"/>
  <c r="AV54" i="84"/>
  <c r="Q75" i="76"/>
  <c r="BA45" i="84"/>
  <c r="H76" i="76"/>
  <c r="BA48" i="84"/>
  <c r="K76" i="76"/>
  <c r="BA55" i="84"/>
  <c r="R76" i="76"/>
  <c r="BA47" i="84"/>
  <c r="J76" i="76"/>
  <c r="BA58" i="84"/>
  <c r="U76" i="76"/>
  <c r="BA42" i="84"/>
  <c r="E76" i="76"/>
  <c r="AV61" i="84"/>
  <c r="X75" i="76"/>
  <c r="AV53" i="84"/>
  <c r="P75" i="76"/>
  <c r="AV45" i="84"/>
  <c r="H75" i="76"/>
  <c r="AV56" i="84"/>
  <c r="S75" i="76"/>
  <c r="AV48" i="84"/>
  <c r="K75" i="76"/>
  <c r="AV55" i="84"/>
  <c r="R75" i="76"/>
  <c r="AV47" i="84"/>
  <c r="J75" i="76"/>
  <c r="AV58" i="84"/>
  <c r="U75" i="76"/>
  <c r="AV50" i="84"/>
  <c r="M75" i="76"/>
  <c r="AV42" i="84"/>
  <c r="E75" i="76"/>
  <c r="AV46" i="84"/>
  <c r="I75" i="76"/>
  <c r="BF41" i="84"/>
  <c r="D77" i="76"/>
  <c r="BA61" i="84"/>
  <c r="X76" i="76"/>
  <c r="BA53" i="84"/>
  <c r="P76" i="76"/>
  <c r="BA56" i="84"/>
  <c r="S76" i="76"/>
  <c r="BA50" i="84"/>
  <c r="M76" i="76"/>
  <c r="BA57" i="84"/>
  <c r="T76" i="76"/>
  <c r="BA49" i="84"/>
  <c r="L76" i="76"/>
  <c r="BA41" i="84"/>
  <c r="D76" i="76"/>
  <c r="BA60" i="84"/>
  <c r="W76" i="76"/>
  <c r="BA52" i="84"/>
  <c r="O76" i="76"/>
  <c r="BA44" i="84"/>
  <c r="G76" i="76"/>
  <c r="BA59" i="84"/>
  <c r="V76" i="76"/>
  <c r="BA51" i="84"/>
  <c r="N76" i="76"/>
  <c r="BA62" i="84"/>
  <c r="Y76" i="76"/>
  <c r="BA54" i="84"/>
  <c r="Q76" i="76"/>
  <c r="BA46" i="84"/>
  <c r="I76" i="76"/>
  <c r="BB61" i="83"/>
  <c r="BB52" i="83"/>
  <c r="BB58" i="83"/>
  <c r="BB54" i="83"/>
  <c r="BB50" i="83"/>
  <c r="BB42" i="83"/>
  <c r="BB57" i="83"/>
  <c r="BB55" i="83"/>
  <c r="BB51" i="83"/>
  <c r="BB56" i="83"/>
  <c r="BB48" i="83"/>
  <c r="BB62" i="83"/>
  <c r="AW50" i="83"/>
  <c r="AW52" i="83"/>
  <c r="AH14" i="84"/>
  <c r="AB312" i="83"/>
  <c r="K298" i="83"/>
  <c r="AM329" i="83" s="1"/>
  <c r="AB298" i="83"/>
  <c r="K311" i="83"/>
  <c r="AM342" i="83" s="1"/>
  <c r="AB311" i="83"/>
  <c r="K303" i="83"/>
  <c r="AM334" i="83" s="1"/>
  <c r="AB303" i="83"/>
  <c r="K302" i="83"/>
  <c r="AM333" i="83" s="1"/>
  <c r="AB302" i="83"/>
  <c r="L296" i="83"/>
  <c r="AR296" i="83" s="1"/>
  <c r="AC296" i="83"/>
  <c r="L311" i="83"/>
  <c r="AN342" i="83" s="1"/>
  <c r="AC311" i="83"/>
  <c r="L303" i="83"/>
  <c r="AR303" i="83" s="1"/>
  <c r="AC303" i="83"/>
  <c r="AC298" i="83"/>
  <c r="L305" i="83"/>
  <c r="AN336" i="83" s="1"/>
  <c r="AC305" i="83"/>
  <c r="M315" i="83"/>
  <c r="AS315" i="83" s="1"/>
  <c r="AD315" i="83"/>
  <c r="M307" i="83"/>
  <c r="AS307" i="83" s="1"/>
  <c r="AD307" i="83"/>
  <c r="M299" i="83"/>
  <c r="AS299" i="83" s="1"/>
  <c r="AD299" i="83"/>
  <c r="AD306" i="83"/>
  <c r="M296" i="83"/>
  <c r="AO327" i="83" s="1"/>
  <c r="AD296" i="83"/>
  <c r="AD313" i="83"/>
  <c r="M305" i="83"/>
  <c r="AO336" i="83" s="1"/>
  <c r="AD305" i="83"/>
  <c r="M300" i="83"/>
  <c r="AS300" i="83" s="1"/>
  <c r="AD300" i="83"/>
  <c r="N314" i="83"/>
  <c r="AT314" i="83" s="1"/>
  <c r="AE314" i="83"/>
  <c r="N313" i="83"/>
  <c r="AP344" i="83" s="1"/>
  <c r="AE313" i="83"/>
  <c r="N305" i="83"/>
  <c r="AT305" i="83" s="1"/>
  <c r="AE305" i="83"/>
  <c r="N308" i="83"/>
  <c r="AT308" i="83" s="1"/>
  <c r="AE308" i="83"/>
  <c r="N315" i="83"/>
  <c r="AT315" i="83" s="1"/>
  <c r="AE315" i="83"/>
  <c r="O317" i="83"/>
  <c r="AF317" i="83"/>
  <c r="O312" i="83"/>
  <c r="AF312" i="83"/>
  <c r="O311" i="83"/>
  <c r="AF311" i="83"/>
  <c r="Z309" i="83"/>
  <c r="AA305" i="83"/>
  <c r="Z305" i="83"/>
  <c r="Z299" i="83"/>
  <c r="Z300" i="83"/>
  <c r="Z296" i="83"/>
  <c r="Y32" i="84"/>
  <c r="AA314" i="83"/>
  <c r="Z314" i="83"/>
  <c r="K309" i="83"/>
  <c r="AM340" i="83" s="1"/>
  <c r="AB309" i="83"/>
  <c r="AA317" i="83"/>
  <c r="Z317" i="83"/>
  <c r="AA313" i="83"/>
  <c r="Z313" i="83"/>
  <c r="Z311" i="83"/>
  <c r="Z303" i="83"/>
  <c r="AA32" i="84"/>
  <c r="L33" i="84" s="1"/>
  <c r="Z304" i="83"/>
  <c r="AA304" i="83"/>
  <c r="K308" i="83"/>
  <c r="AM339" i="83" s="1"/>
  <c r="AB308" i="83"/>
  <c r="K307" i="83"/>
  <c r="AM338" i="83" s="1"/>
  <c r="AB307" i="83"/>
  <c r="K299" i="83"/>
  <c r="AM330" i="83" s="1"/>
  <c r="AB299" i="83"/>
  <c r="K314" i="83"/>
  <c r="AM345" i="83" s="1"/>
  <c r="AB314" i="83"/>
  <c r="L308" i="83"/>
  <c r="AN339" i="83" s="1"/>
  <c r="AC308" i="83"/>
  <c r="L300" i="83"/>
  <c r="AN331" i="83" s="1"/>
  <c r="AC300" i="83"/>
  <c r="L307" i="83"/>
  <c r="AN338" i="83" s="1"/>
  <c r="AC307" i="83"/>
  <c r="L302" i="83"/>
  <c r="AN333" i="83" s="1"/>
  <c r="AC302" i="83"/>
  <c r="L317" i="83"/>
  <c r="AN348" i="83" s="1"/>
  <c r="AC317" i="83"/>
  <c r="M311" i="83"/>
  <c r="AO342" i="83" s="1"/>
  <c r="AD311" i="83"/>
  <c r="M303" i="83"/>
  <c r="AO334" i="83" s="1"/>
  <c r="AD303" i="83"/>
  <c r="M316" i="83"/>
  <c r="AO347" i="83" s="1"/>
  <c r="AD316" i="83"/>
  <c r="M304" i="83"/>
  <c r="AS304" i="83" s="1"/>
  <c r="AD304" i="83"/>
  <c r="N310" i="83"/>
  <c r="AP341" i="83" s="1"/>
  <c r="AE310" i="83"/>
  <c r="N302" i="83"/>
  <c r="AP333" i="83" s="1"/>
  <c r="AE302" i="83"/>
  <c r="N301" i="83"/>
  <c r="AP332" i="83" s="1"/>
  <c r="AE301" i="83"/>
  <c r="N311" i="83"/>
  <c r="AT311" i="83" s="1"/>
  <c r="AE311" i="83"/>
  <c r="N303" i="83"/>
  <c r="AP334" i="83" s="1"/>
  <c r="AE303" i="83"/>
  <c r="N297" i="83"/>
  <c r="AT297" i="83" s="1"/>
  <c r="AE297" i="83"/>
  <c r="O304" i="83"/>
  <c r="AQ335" i="83" s="1"/>
  <c r="AF304" i="83"/>
  <c r="O307" i="83"/>
  <c r="AF307" i="83"/>
  <c r="O298" i="83"/>
  <c r="AF298" i="83"/>
  <c r="O308" i="83"/>
  <c r="AF308" i="83"/>
  <c r="AH24" i="84"/>
  <c r="Z301" i="83"/>
  <c r="Z312" i="83"/>
  <c r="AA312" i="83"/>
  <c r="Z308" i="83"/>
  <c r="AA308" i="83"/>
  <c r="Z302" i="83"/>
  <c r="AA298" i="83"/>
  <c r="Z298" i="83"/>
  <c r="Z307" i="83"/>
  <c r="AB317" i="83"/>
  <c r="Z297" i="83"/>
  <c r="Z316" i="83"/>
  <c r="AA310" i="83"/>
  <c r="Z310" i="83"/>
  <c r="Z306" i="83"/>
  <c r="Z315" i="83"/>
  <c r="L299" i="83"/>
  <c r="AN330" i="83" s="1"/>
  <c r="O319" i="83"/>
  <c r="K300" i="83"/>
  <c r="AM331" i="83" s="1"/>
  <c r="L310" i="83"/>
  <c r="AN341" i="83" s="1"/>
  <c r="K306" i="83"/>
  <c r="AM337" i="83" s="1"/>
  <c r="N296" i="83"/>
  <c r="AP327" i="83" s="1"/>
  <c r="L316" i="83"/>
  <c r="AN347" i="83" s="1"/>
  <c r="K301" i="83"/>
  <c r="AM332" i="83" s="1"/>
  <c r="AF319" i="83"/>
  <c r="N316" i="83"/>
  <c r="AP347" i="83" s="1"/>
  <c r="N300" i="83"/>
  <c r="AT300" i="83" s="1"/>
  <c r="N306" i="83"/>
  <c r="AP337" i="83" s="1"/>
  <c r="N298" i="83"/>
  <c r="AP329" i="83" s="1"/>
  <c r="M308" i="83"/>
  <c r="AO339" i="83" s="1"/>
  <c r="M319" i="83"/>
  <c r="AS319" i="83" s="1"/>
  <c r="M309" i="83"/>
  <c r="AO340" i="83" s="1"/>
  <c r="M317" i="83"/>
  <c r="AS317" i="83" s="1"/>
  <c r="M314" i="83"/>
  <c r="AO345" i="83" s="1"/>
  <c r="M306" i="83"/>
  <c r="AO337" i="83" s="1"/>
  <c r="M298" i="83"/>
  <c r="AO329" i="83" s="1"/>
  <c r="M313" i="83"/>
  <c r="AO344" i="83" s="1"/>
  <c r="M297" i="83"/>
  <c r="AS297" i="83" s="1"/>
  <c r="M312" i="83"/>
  <c r="AS312" i="83" s="1"/>
  <c r="M301" i="83"/>
  <c r="AO332" i="83" s="1"/>
  <c r="M302" i="83"/>
  <c r="AO333" i="83" s="1"/>
  <c r="K315" i="83"/>
  <c r="AM346" i="83" s="1"/>
  <c r="K316" i="83"/>
  <c r="AM347" i="83" s="1"/>
  <c r="L306" i="83"/>
  <c r="AR306" i="83" s="1"/>
  <c r="L314" i="83"/>
  <c r="AR314" i="83" s="1"/>
  <c r="L313" i="83"/>
  <c r="AR313" i="83" s="1"/>
  <c r="L304" i="83"/>
  <c r="AN335" i="83" s="1"/>
  <c r="L298" i="83"/>
  <c r="AN329" i="83" s="1"/>
  <c r="L312" i="83"/>
  <c r="AR312" i="83" s="1"/>
  <c r="L297" i="83"/>
  <c r="AR297" i="83" s="1"/>
  <c r="K310" i="83"/>
  <c r="AM341" i="83" s="1"/>
  <c r="AB319" i="83"/>
  <c r="K313" i="83"/>
  <c r="AM344" i="83" s="1"/>
  <c r="O314" i="83"/>
  <c r="AU20" i="83"/>
  <c r="U20" i="83"/>
  <c r="AU27" i="83"/>
  <c r="U27" i="83"/>
  <c r="AU31" i="83"/>
  <c r="U31" i="83"/>
  <c r="AU25" i="83"/>
  <c r="U25" i="83"/>
  <c r="AU16" i="83"/>
  <c r="U16" i="83"/>
  <c r="AU15" i="83"/>
  <c r="U15" i="83"/>
  <c r="AU29" i="83"/>
  <c r="U29" i="83"/>
  <c r="AU17" i="83"/>
  <c r="U17" i="83"/>
  <c r="AU10" i="83"/>
  <c r="U10" i="83"/>
  <c r="K305" i="83"/>
  <c r="AM336" i="83" s="1"/>
  <c r="AU28" i="83"/>
  <c r="U28" i="83"/>
  <c r="AU12" i="83"/>
  <c r="U12" i="83"/>
  <c r="AU19" i="83"/>
  <c r="U19" i="83"/>
  <c r="AU26" i="83"/>
  <c r="U26" i="83"/>
  <c r="AU30" i="83"/>
  <c r="U30" i="83"/>
  <c r="AU24" i="83"/>
  <c r="U24" i="83"/>
  <c r="AU23" i="83"/>
  <c r="U23" i="83"/>
  <c r="AU11" i="83"/>
  <c r="U11" i="83"/>
  <c r="AU22" i="83"/>
  <c r="U22" i="83"/>
  <c r="AU18" i="83"/>
  <c r="U18" i="83"/>
  <c r="AU14" i="83"/>
  <c r="U14" i="83"/>
  <c r="AU21" i="83"/>
  <c r="AW21" i="83" s="1"/>
  <c r="U21" i="83"/>
  <c r="AU13" i="83"/>
  <c r="U13" i="83"/>
  <c r="AN49" i="84"/>
  <c r="AN48" i="84"/>
  <c r="AO43" i="84"/>
  <c r="AE32" i="84"/>
  <c r="P32" i="84" s="1"/>
  <c r="Z74" i="76" s="1"/>
  <c r="AB32" i="84"/>
  <c r="M33" i="84" s="1"/>
  <c r="AD32" i="84"/>
  <c r="O33" i="84" s="1"/>
  <c r="AN52" i="84"/>
  <c r="AN59" i="84"/>
  <c r="AN43" i="84"/>
  <c r="AO53" i="84"/>
  <c r="AN50" i="84"/>
  <c r="O316" i="83"/>
  <c r="X66" i="76" s="1"/>
  <c r="V19" i="92" s="1"/>
  <c r="O300" i="83"/>
  <c r="H66" i="76" s="1"/>
  <c r="F19" i="92" s="1"/>
  <c r="O310" i="83"/>
  <c r="O305" i="83"/>
  <c r="M66" i="76" s="1"/>
  <c r="K19" i="92" s="1"/>
  <c r="O297" i="83"/>
  <c r="E66" i="76" s="1"/>
  <c r="C19" i="92" s="1"/>
  <c r="O301" i="83"/>
  <c r="I66" i="76" s="1"/>
  <c r="G19" i="92" s="1"/>
  <c r="O313" i="83"/>
  <c r="U66" i="76" s="1"/>
  <c r="O303" i="83"/>
  <c r="K66" i="76" s="1"/>
  <c r="I19" i="92" s="1"/>
  <c r="O302" i="83"/>
  <c r="J66" i="76" s="1"/>
  <c r="H19" i="92" s="1"/>
  <c r="AP49" i="84"/>
  <c r="O296" i="83"/>
  <c r="D66" i="76" s="1"/>
  <c r="B19" i="92" s="1"/>
  <c r="O299" i="83"/>
  <c r="G66" i="76" s="1"/>
  <c r="E19" i="92" s="1"/>
  <c r="O309" i="83"/>
  <c r="Q66" i="76" s="1"/>
  <c r="AL351" i="83"/>
  <c r="M351" i="83"/>
  <c r="O315" i="83"/>
  <c r="W66" i="76" s="1"/>
  <c r="U19" i="92" s="1"/>
  <c r="O306" i="83"/>
  <c r="N66" i="76" s="1"/>
  <c r="L19" i="92" s="1"/>
  <c r="N317" i="83"/>
  <c r="AP348" i="83" s="1"/>
  <c r="K304" i="83"/>
  <c r="AM335" i="83" s="1"/>
  <c r="AB32" i="83"/>
  <c r="AF32" i="83"/>
  <c r="N309" i="83"/>
  <c r="AP340" i="83" s="1"/>
  <c r="N307" i="83"/>
  <c r="AT307" i="83" s="1"/>
  <c r="AE32" i="83"/>
  <c r="AO41" i="84"/>
  <c r="N304" i="83"/>
  <c r="AP335" i="83" s="1"/>
  <c r="N319" i="83"/>
  <c r="AT319" i="83" s="1"/>
  <c r="N299" i="83"/>
  <c r="AT299" i="83" s="1"/>
  <c r="N312" i="83"/>
  <c r="AP343" i="83" s="1"/>
  <c r="AO49" i="84"/>
  <c r="AP27" i="83"/>
  <c r="I27" i="83" s="1"/>
  <c r="AC32" i="83"/>
  <c r="AP23" i="83"/>
  <c r="I23" i="83" s="1"/>
  <c r="K312" i="83"/>
  <c r="AM343" i="83" s="1"/>
  <c r="K297" i="83"/>
  <c r="AM328" i="83" s="1"/>
  <c r="K317" i="83"/>
  <c r="AM348" i="83" s="1"/>
  <c r="AP52" i="83"/>
  <c r="AO21" i="84"/>
  <c r="I21" i="84" s="1"/>
  <c r="J21" i="84" s="1"/>
  <c r="AP44" i="83"/>
  <c r="AN42" i="84"/>
  <c r="AO16" i="84"/>
  <c r="I16" i="84" s="1"/>
  <c r="J16" i="84" s="1"/>
  <c r="AN62" i="83"/>
  <c r="AO51" i="84"/>
  <c r="AP46" i="84"/>
  <c r="AO48" i="84"/>
  <c r="AM62" i="84"/>
  <c r="AN45" i="84"/>
  <c r="AP48" i="83"/>
  <c r="Q29" i="84"/>
  <c r="AM47" i="84"/>
  <c r="AN54" i="84"/>
  <c r="AM57" i="84"/>
  <c r="AO42" i="84"/>
  <c r="AO46" i="84"/>
  <c r="AO45" i="84"/>
  <c r="AM55" i="84"/>
  <c r="AM44" i="84"/>
  <c r="Q24" i="84"/>
  <c r="AO56" i="84"/>
  <c r="AN56" i="84"/>
  <c r="AM52" i="84"/>
  <c r="AM51" i="84"/>
  <c r="AO31" i="84"/>
  <c r="I31" i="84" s="1"/>
  <c r="J31" i="84" s="1"/>
  <c r="AO23" i="84"/>
  <c r="I23" i="84" s="1"/>
  <c r="J23" i="84" s="1"/>
  <c r="AO14" i="84"/>
  <c r="I14" i="84" s="1"/>
  <c r="J14" i="84" s="1"/>
  <c r="AO61" i="84"/>
  <c r="AN62" i="84"/>
  <c r="AN46" i="84"/>
  <c r="AO62" i="84"/>
  <c r="AM61" i="84"/>
  <c r="Q26" i="84"/>
  <c r="Q22" i="84"/>
  <c r="Q11" i="84"/>
  <c r="AO44" i="84"/>
  <c r="Q30" i="84"/>
  <c r="AM53" i="84"/>
  <c r="AM59" i="84"/>
  <c r="AM48" i="84"/>
  <c r="AN53" i="84"/>
  <c r="AO50" i="84"/>
  <c r="AM56" i="84"/>
  <c r="AM49" i="84"/>
  <c r="AO47" i="84"/>
  <c r="Q18" i="84"/>
  <c r="AO26" i="84"/>
  <c r="I26" i="84" s="1"/>
  <c r="J26" i="84" s="1"/>
  <c r="AM41" i="84"/>
  <c r="AO27" i="84"/>
  <c r="I27" i="84" s="1"/>
  <c r="J27" i="84" s="1"/>
  <c r="AO19" i="84"/>
  <c r="I19" i="84" s="1"/>
  <c r="J19" i="84" s="1"/>
  <c r="AO15" i="84"/>
  <c r="I15" i="84" s="1"/>
  <c r="J15" i="84" s="1"/>
  <c r="AO29" i="84"/>
  <c r="I29" i="84" s="1"/>
  <c r="J29" i="84" s="1"/>
  <c r="AO25" i="84"/>
  <c r="I25" i="84" s="1"/>
  <c r="J25" i="84" s="1"/>
  <c r="AO17" i="84"/>
  <c r="I17" i="84" s="1"/>
  <c r="J17" i="84" s="1"/>
  <c r="AO13" i="84"/>
  <c r="I13" i="84" s="1"/>
  <c r="J13" i="84" s="1"/>
  <c r="AO18" i="84"/>
  <c r="I18" i="84" s="1"/>
  <c r="J18" i="84" s="1"/>
  <c r="AO58" i="84"/>
  <c r="AO59" i="84"/>
  <c r="AO60" i="84"/>
  <c r="Q14" i="84"/>
  <c r="AN41" i="84"/>
  <c r="AM46" i="84"/>
  <c r="Q10" i="84"/>
  <c r="AM50" i="84"/>
  <c r="AO10" i="84"/>
  <c r="I10" i="84" s="1"/>
  <c r="J10" i="84" s="1"/>
  <c r="AN61" i="84"/>
  <c r="AO54" i="84"/>
  <c r="AM58" i="84"/>
  <c r="AP47" i="84"/>
  <c r="AO52" i="84"/>
  <c r="K296" i="83"/>
  <c r="AM327" i="83" s="1"/>
  <c r="Q15" i="84"/>
  <c r="Q16" i="84"/>
  <c r="AM60" i="84"/>
  <c r="Q28" i="84"/>
  <c r="AN58" i="84"/>
  <c r="AO55" i="84"/>
  <c r="AM54" i="84"/>
  <c r="AN60" i="84"/>
  <c r="AM42" i="84"/>
  <c r="AO57" i="84"/>
  <c r="AN51" i="84"/>
  <c r="AO28" i="84"/>
  <c r="I28" i="84" s="1"/>
  <c r="J28" i="84" s="1"/>
  <c r="AO20" i="84"/>
  <c r="I20" i="84" s="1"/>
  <c r="J20" i="84" s="1"/>
  <c r="AO12" i="84"/>
  <c r="I12" i="84" s="1"/>
  <c r="J12" i="84" s="1"/>
  <c r="AN57" i="84"/>
  <c r="AO11" i="84"/>
  <c r="I11" i="84" s="1"/>
  <c r="J11" i="84" s="1"/>
  <c r="AO30" i="84"/>
  <c r="I30" i="84" s="1"/>
  <c r="J30" i="84" s="1"/>
  <c r="AO22" i="84"/>
  <c r="I22" i="84" s="1"/>
  <c r="J22" i="84" s="1"/>
  <c r="AM45" i="84"/>
  <c r="AS62" i="83"/>
  <c r="AU56" i="83"/>
  <c r="AW49" i="83"/>
  <c r="AW48" i="83"/>
  <c r="AT47" i="83"/>
  <c r="AW44" i="83"/>
  <c r="AU52" i="83"/>
  <c r="AS59" i="83"/>
  <c r="AW58" i="83"/>
  <c r="AW42" i="83"/>
  <c r="AT41" i="83"/>
  <c r="AT59" i="83"/>
  <c r="AT50" i="83"/>
  <c r="AU51" i="83"/>
  <c r="AS41" i="83"/>
  <c r="AW46" i="83"/>
  <c r="AW53" i="83"/>
  <c r="AS45" i="83"/>
  <c r="AU53" i="83"/>
  <c r="AT46" i="83"/>
  <c r="AT56" i="83"/>
  <c r="AS53" i="83"/>
  <c r="AT51" i="83"/>
  <c r="AT43" i="83"/>
  <c r="AP61" i="83"/>
  <c r="AP50" i="83"/>
  <c r="AP56" i="83"/>
  <c r="AN46" i="83"/>
  <c r="AP18" i="83"/>
  <c r="I18" i="83" s="1"/>
  <c r="AP14" i="83"/>
  <c r="I14" i="83" s="1"/>
  <c r="AN48" i="83"/>
  <c r="AN50" i="83"/>
  <c r="AP60" i="83"/>
  <c r="AP54" i="83"/>
  <c r="AN42" i="83"/>
  <c r="AP62" i="83"/>
  <c r="Q20" i="84"/>
  <c r="Q27" i="84"/>
  <c r="AP56" i="84"/>
  <c r="Q25" i="84"/>
  <c r="Q12" i="84"/>
  <c r="AP50" i="84"/>
  <c r="Q19" i="84"/>
  <c r="AP44" i="84"/>
  <c r="Q13" i="84"/>
  <c r="Q17" i="84"/>
  <c r="AP62" i="84"/>
  <c r="Q31" i="84"/>
  <c r="Q21" i="84"/>
  <c r="Q23" i="84"/>
  <c r="AN55" i="83"/>
  <c r="AN59" i="83"/>
  <c r="AO59" i="83"/>
  <c r="AO51" i="83"/>
  <c r="M172" i="83"/>
  <c r="AL172" i="83"/>
  <c r="AO53" i="83"/>
  <c r="AP33" i="83"/>
  <c r="I33" i="83" s="1"/>
  <c r="AP30" i="83"/>
  <c r="I30" i="83" s="1"/>
  <c r="AP26" i="83"/>
  <c r="I26" i="83" s="1"/>
  <c r="AP22" i="83"/>
  <c r="I22" i="83" s="1"/>
  <c r="AO43" i="83"/>
  <c r="AP12" i="83"/>
  <c r="I12" i="83" s="1"/>
  <c r="AM49" i="83"/>
  <c r="AN41" i="83"/>
  <c r="AO57" i="83"/>
  <c r="AP19" i="83"/>
  <c r="I19" i="83" s="1"/>
  <c r="AP11" i="83"/>
  <c r="I11" i="83" s="1"/>
  <c r="AP20" i="83"/>
  <c r="I20" i="83" s="1"/>
  <c r="AM47" i="83"/>
  <c r="AP64" i="83"/>
  <c r="AO41" i="83"/>
  <c r="AP55" i="83"/>
  <c r="AT24" i="83"/>
  <c r="AO54" i="83"/>
  <c r="AS23" i="83"/>
  <c r="AO42" i="83"/>
  <c r="AS11" i="83"/>
  <c r="AP28" i="83"/>
  <c r="I28" i="83" s="1"/>
  <c r="AT26" i="83"/>
  <c r="AT18" i="83"/>
  <c r="AO60" i="83"/>
  <c r="AS29" i="83"/>
  <c r="AS13" i="83"/>
  <c r="AP42" i="83"/>
  <c r="AO50" i="83"/>
  <c r="AS19" i="83"/>
  <c r="AN45" i="83"/>
  <c r="AR14" i="83"/>
  <c r="AP46" i="83"/>
  <c r="AR20" i="83"/>
  <c r="AS18" i="83"/>
  <c r="AP47" i="83"/>
  <c r="AT16" i="83"/>
  <c r="AP41" i="83"/>
  <c r="AT10" i="83"/>
  <c r="AP59" i="83"/>
  <c r="AT28" i="83"/>
  <c r="AP51" i="83"/>
  <c r="AT20" i="83"/>
  <c r="AP58" i="83"/>
  <c r="AO48" i="83"/>
  <c r="AS17" i="83"/>
  <c r="AO65" i="83"/>
  <c r="AS30" i="83"/>
  <c r="AN52" i="83"/>
  <c r="AN49" i="83"/>
  <c r="AR18" i="83"/>
  <c r="AP31" i="83"/>
  <c r="I31" i="83" s="1"/>
  <c r="AP15" i="83"/>
  <c r="I15" i="83" s="1"/>
  <c r="AP16" i="83"/>
  <c r="I16" i="83" s="1"/>
  <c r="AS31" i="83"/>
  <c r="AO56" i="83"/>
  <c r="AS25" i="83"/>
  <c r="AS14" i="83"/>
  <c r="AP10" i="83"/>
  <c r="I10" i="83" s="1"/>
  <c r="AR29" i="83"/>
  <c r="AP43" i="83"/>
  <c r="AT12" i="83"/>
  <c r="AP45" i="83"/>
  <c r="AT14" i="83"/>
  <c r="AS33" i="83"/>
  <c r="AQ64" i="83"/>
  <c r="AU33" i="83"/>
  <c r="AO46" i="83"/>
  <c r="AS15" i="83"/>
  <c r="AN53" i="83"/>
  <c r="AR22" i="83"/>
  <c r="AN44" i="83"/>
  <c r="AL65" i="83"/>
  <c r="M65" i="83"/>
  <c r="AR12" i="83"/>
  <c r="AN56" i="83"/>
  <c r="AO47" i="83"/>
  <c r="AS16" i="83"/>
  <c r="AR27" i="83"/>
  <c r="AR23" i="83"/>
  <c r="AR16" i="83"/>
  <c r="AP29" i="83"/>
  <c r="I29" i="83" s="1"/>
  <c r="AP25" i="83"/>
  <c r="I25" i="83" s="1"/>
  <c r="AP21" i="83"/>
  <c r="I21" i="83" s="1"/>
  <c r="AP17" i="83"/>
  <c r="I17" i="83" s="1"/>
  <c r="AP13" i="83"/>
  <c r="I13" i="83" s="1"/>
  <c r="AH11" i="83"/>
  <c r="P11" i="83"/>
  <c r="AH28" i="83"/>
  <c r="P31" i="83"/>
  <c r="AH18" i="83"/>
  <c r="P18" i="83"/>
  <c r="P29" i="83"/>
  <c r="AH26" i="83"/>
  <c r="AH10" i="83"/>
  <c r="P10" i="83"/>
  <c r="AH15" i="83"/>
  <c r="P15" i="83"/>
  <c r="P26" i="83"/>
  <c r="AH22" i="83"/>
  <c r="P22" i="83"/>
  <c r="P21" i="83"/>
  <c r="AH21" i="83"/>
  <c r="P17" i="83"/>
  <c r="AH17" i="83"/>
  <c r="P28" i="83"/>
  <c r="AH25" i="83"/>
  <c r="AH23" i="83"/>
  <c r="P24" i="83"/>
  <c r="P20" i="83"/>
  <c r="AH20" i="83"/>
  <c r="AH16" i="83"/>
  <c r="P16" i="83"/>
  <c r="P12" i="83"/>
  <c r="AH12" i="83"/>
  <c r="P23" i="83"/>
  <c r="AH14" i="83"/>
  <c r="P14" i="83"/>
  <c r="AH27" i="83"/>
  <c r="P30" i="83"/>
  <c r="P13" i="83"/>
  <c r="AH13" i="83"/>
  <c r="AH19" i="83"/>
  <c r="P19" i="83"/>
  <c r="P27" i="83"/>
  <c r="P25" i="83"/>
  <c r="AH24" i="83"/>
  <c r="AS43" i="83"/>
  <c r="AW60" i="83"/>
  <c r="AY56" i="83"/>
  <c r="AU58" i="83"/>
  <c r="AT44" i="83"/>
  <c r="AS57" i="83"/>
  <c r="AS64" i="84"/>
  <c r="BB47" i="83"/>
  <c r="AU59" i="83"/>
  <c r="AT64" i="83"/>
  <c r="AY50" i="83"/>
  <c r="AU65" i="83"/>
  <c r="AN43" i="83"/>
  <c r="AM64" i="84"/>
  <c r="AY65" i="83"/>
  <c r="AX61" i="83"/>
  <c r="AX55" i="83"/>
  <c r="AN64" i="84"/>
  <c r="BA59" i="83"/>
  <c r="AR64" i="84"/>
  <c r="BA64" i="84"/>
  <c r="AY64" i="84"/>
  <c r="AS60" i="83"/>
  <c r="AX65" i="83"/>
  <c r="AM43" i="84"/>
  <c r="AO64" i="84"/>
  <c r="AW64" i="84"/>
  <c r="AZ64" i="84"/>
  <c r="AW55" i="83"/>
  <c r="AY46" i="83"/>
  <c r="AY43" i="84"/>
  <c r="AV64" i="84"/>
  <c r="AW51" i="83"/>
  <c r="AW65" i="83"/>
  <c r="AW43" i="83"/>
  <c r="BB41" i="83"/>
  <c r="AU45" i="83"/>
  <c r="AV43" i="83"/>
  <c r="BB46" i="83"/>
  <c r="BA50" i="83"/>
  <c r="AS42" i="83"/>
  <c r="BB59" i="83"/>
  <c r="AP43" i="84"/>
  <c r="AP64" i="84"/>
  <c r="BB43" i="83"/>
  <c r="BB53" i="83"/>
  <c r="BA61" i="83"/>
  <c r="AS52" i="83"/>
  <c r="AU46" i="83"/>
  <c r="BA62" i="83"/>
  <c r="AT48" i="83"/>
  <c r="BA58" i="83"/>
  <c r="AW64" i="83"/>
  <c r="AT42" i="83"/>
  <c r="AU48" i="83"/>
  <c r="BA46" i="83"/>
  <c r="AV42" i="83"/>
  <c r="AZ57" i="83"/>
  <c r="BB65" i="83"/>
  <c r="AP58" i="84"/>
  <c r="AS56" i="83"/>
  <c r="AZ47" i="83"/>
  <c r="AO49" i="83"/>
  <c r="AW43" i="84"/>
  <c r="AS48" i="83"/>
  <c r="BB60" i="83"/>
  <c r="AO45" i="83"/>
  <c r="AN65" i="83"/>
  <c r="AZ49" i="83"/>
  <c r="AU44" i="83"/>
  <c r="AW57" i="83"/>
  <c r="AS65" i="83"/>
  <c r="AS51" i="83"/>
  <c r="AV44" i="83"/>
  <c r="AU41" i="83"/>
  <c r="BA43" i="84"/>
  <c r="AP48" i="84"/>
  <c r="AP51" i="84"/>
  <c r="AT49" i="83"/>
  <c r="AT65" i="83"/>
  <c r="BB44" i="83"/>
  <c r="AX52" i="83"/>
  <c r="AS54" i="83"/>
  <c r="BA41" i="83"/>
  <c r="AU43" i="84"/>
  <c r="AS43" i="84"/>
  <c r="AM54" i="83"/>
  <c r="AY62" i="83"/>
  <c r="AY55" i="83"/>
  <c r="AY54" i="83"/>
  <c r="AW47" i="83"/>
  <c r="AY64" i="83"/>
  <c r="AM44" i="83"/>
  <c r="AZ45" i="83"/>
  <c r="AX64" i="84"/>
  <c r="AL64" i="84"/>
  <c r="AT64" i="84"/>
  <c r="AP52" i="84"/>
  <c r="AT45" i="83"/>
  <c r="AS50" i="83"/>
  <c r="AO44" i="83"/>
  <c r="AU60" i="83"/>
  <c r="AT53" i="83"/>
  <c r="AS47" i="83"/>
  <c r="AP54" i="84"/>
  <c r="X159" i="84"/>
  <c r="BE61" i="84"/>
  <c r="X158" i="84"/>
  <c r="X150" i="84"/>
  <c r="BE62" i="84"/>
  <c r="BB61" i="84"/>
  <c r="BD57" i="84"/>
  <c r="BF55" i="84"/>
  <c r="BE52" i="84"/>
  <c r="BB51" i="84"/>
  <c r="BD49" i="84"/>
  <c r="BF47" i="84"/>
  <c r="BE44" i="84"/>
  <c r="BB43" i="84"/>
  <c r="BC62" i="84"/>
  <c r="BB57" i="84"/>
  <c r="BF53" i="84"/>
  <c r="BC52" i="84"/>
  <c r="BB49" i="84"/>
  <c r="BD47" i="84"/>
  <c r="BF45" i="84"/>
  <c r="BC44" i="84"/>
  <c r="BB55" i="84"/>
  <c r="BD53" i="84"/>
  <c r="BF51" i="84"/>
  <c r="BB47" i="84"/>
  <c r="BD45" i="84"/>
  <c r="BF43" i="84"/>
  <c r="BD61" i="84"/>
  <c r="BD59" i="84"/>
  <c r="BF57" i="84"/>
  <c r="BC56" i="84"/>
  <c r="BE54" i="84"/>
  <c r="BD51" i="84"/>
  <c r="BE46" i="84"/>
  <c r="BD43" i="84"/>
  <c r="BF49" i="84"/>
  <c r="BB45" i="84"/>
  <c r="BC48" i="84"/>
  <c r="BB53" i="84"/>
  <c r="BE57" i="84"/>
  <c r="BC51" i="84"/>
  <c r="X156" i="84"/>
  <c r="BF62" i="84"/>
  <c r="BE47" i="84"/>
  <c r="BC45" i="84"/>
  <c r="BF61" i="84"/>
  <c r="BB56" i="84"/>
  <c r="BD56" i="84"/>
  <c r="BC46" i="84"/>
  <c r="X162" i="84"/>
  <c r="BF60" i="84"/>
  <c r="BE58" i="84"/>
  <c r="BB59" i="84"/>
  <c r="BB52" i="84"/>
  <c r="BD52" i="84"/>
  <c r="BB44" i="84"/>
  <c r="BD44" i="84"/>
  <c r="X160" i="84"/>
  <c r="BD58" i="84"/>
  <c r="BB58" i="84"/>
  <c r="BC64" i="84"/>
  <c r="BD64" i="84"/>
  <c r="BD42" i="84"/>
  <c r="BB42" i="84"/>
  <c r="AT57" i="83"/>
  <c r="AY48" i="83"/>
  <c r="AU42" i="83"/>
  <c r="AZ58" i="83"/>
  <c r="BE53" i="84"/>
  <c r="BC47" i="84"/>
  <c r="BE51" i="84"/>
  <c r="BC49" i="84"/>
  <c r="BF56" i="84"/>
  <c r="BB48" i="84"/>
  <c r="BD48" i="84"/>
  <c r="AP55" i="84"/>
  <c r="X168" i="84"/>
  <c r="BE60" i="84"/>
  <c r="BC60" i="84"/>
  <c r="BC59" i="84"/>
  <c r="BF52" i="84"/>
  <c r="BF44" i="84"/>
  <c r="AP45" i="84"/>
  <c r="X154" i="84"/>
  <c r="BF58" i="84"/>
  <c r="AP41" i="84"/>
  <c r="BD50" i="84"/>
  <c r="BB50" i="84"/>
  <c r="BF64" i="84"/>
  <c r="BB64" i="84"/>
  <c r="AP42" i="84"/>
  <c r="BF42" i="84"/>
  <c r="AU50" i="83"/>
  <c r="BE49" i="84"/>
  <c r="BC43" i="84"/>
  <c r="BE55" i="84"/>
  <c r="BC53" i="84"/>
  <c r="BC61" i="84"/>
  <c r="BF48" i="84"/>
  <c r="AP59" i="84"/>
  <c r="BD60" i="84"/>
  <c r="BD54" i="84"/>
  <c r="BB54" i="84"/>
  <c r="BD46" i="84"/>
  <c r="BB46" i="84"/>
  <c r="AP60" i="84"/>
  <c r="BE59" i="84"/>
  <c r="BC58" i="84"/>
  <c r="X170" i="84"/>
  <c r="BF50" i="84"/>
  <c r="M65" i="84"/>
  <c r="AK64" i="84"/>
  <c r="BE64" i="84"/>
  <c r="BC42" i="84"/>
  <c r="BE42" i="84"/>
  <c r="AT61" i="83"/>
  <c r="AX53" i="83"/>
  <c r="AX43" i="83"/>
  <c r="AU54" i="83"/>
  <c r="AS44" i="83"/>
  <c r="AX54" i="83"/>
  <c r="X166" i="84"/>
  <c r="BD62" i="84"/>
  <c r="BC55" i="84"/>
  <c r="BE45" i="84"/>
  <c r="X164" i="84"/>
  <c r="BB62" i="84"/>
  <c r="BE43" i="84"/>
  <c r="BC57" i="84"/>
  <c r="BC54" i="84"/>
  <c r="BB60" i="84"/>
  <c r="BF54" i="84"/>
  <c r="BF46" i="84"/>
  <c r="BF59" i="84"/>
  <c r="BE56" i="84"/>
  <c r="BE48" i="84"/>
  <c r="AP57" i="84"/>
  <c r="AP53" i="84"/>
  <c r="BC50" i="84"/>
  <c r="BE50" i="84"/>
  <c r="AP61" i="84"/>
  <c r="AQ48" i="83"/>
  <c r="BA53" i="83"/>
  <c r="BA60" i="83"/>
  <c r="AP65" i="83"/>
  <c r="AW62" i="83"/>
  <c r="AW56" i="83"/>
  <c r="AS58" i="83"/>
  <c r="AY53" i="83"/>
  <c r="AZ61" i="83"/>
  <c r="AZ60" i="83"/>
  <c r="AW59" i="83"/>
  <c r="AU49" i="83"/>
  <c r="AS61" i="83"/>
  <c r="AM58" i="83"/>
  <c r="AW61" i="83"/>
  <c r="AS55" i="83"/>
  <c r="BB49" i="83"/>
  <c r="AM62" i="83"/>
  <c r="BA44" i="83"/>
  <c r="AY42" i="83"/>
  <c r="AX60" i="83"/>
  <c r="BA57" i="83"/>
  <c r="BA49" i="83"/>
  <c r="AV41" i="83"/>
  <c r="AY57" i="83"/>
  <c r="AQ65" i="83"/>
  <c r="AM42" i="83"/>
  <c r="AX64" i="83"/>
  <c r="AX49" i="83"/>
  <c r="AT58" i="83"/>
  <c r="AX58" i="83"/>
  <c r="AP57" i="83"/>
  <c r="AW54" i="83"/>
  <c r="AQ60" i="83"/>
  <c r="AM61" i="83"/>
  <c r="AZ65" i="83"/>
  <c r="AS49" i="83"/>
  <c r="BA51" i="83"/>
  <c r="AX42" i="83"/>
  <c r="AY61" i="83"/>
  <c r="AX50" i="83"/>
  <c r="AT62" i="83"/>
  <c r="AO62" i="83"/>
  <c r="AT55" i="83"/>
  <c r="BB45" i="83"/>
  <c r="AN61" i="83"/>
  <c r="AP53" i="83"/>
  <c r="AO64" i="83"/>
  <c r="AZ62" i="83"/>
  <c r="BA47" i="83"/>
  <c r="AQ52" i="83"/>
  <c r="AQ55" i="83"/>
  <c r="AO52" i="83"/>
  <c r="AQ47" i="83"/>
  <c r="AX59" i="83"/>
  <c r="AQ46" i="83"/>
  <c r="AQ42" i="83"/>
  <c r="AM60" i="83"/>
  <c r="AU61" i="83"/>
  <c r="AW45" i="83"/>
  <c r="AZ51" i="83"/>
  <c r="AU43" i="83"/>
  <c r="AZ53" i="83"/>
  <c r="AS46" i="83"/>
  <c r="AU57" i="83"/>
  <c r="AZ42" i="83"/>
  <c r="AU64" i="83"/>
  <c r="AY43" i="83"/>
  <c r="BA55" i="83"/>
  <c r="AN57" i="83"/>
  <c r="Z139" i="83"/>
  <c r="AZ52" i="83"/>
  <c r="AY49" i="83"/>
  <c r="AX41" i="83"/>
  <c r="AN64" i="83"/>
  <c r="AZ64" i="83"/>
  <c r="AY51" i="83"/>
  <c r="AO58" i="83"/>
  <c r="AT54" i="83"/>
  <c r="AT60" i="83"/>
  <c r="BA43" i="83"/>
  <c r="AX57" i="83"/>
  <c r="AP49" i="83"/>
  <c r="AZ43" i="83"/>
  <c r="AN51" i="83"/>
  <c r="AY47" i="83"/>
  <c r="AT52" i="83"/>
  <c r="AQ41" i="83"/>
  <c r="AO61" i="83"/>
  <c r="AQ62" i="83"/>
  <c r="AQ56" i="83"/>
  <c r="AQ44" i="83"/>
  <c r="AU47" i="83"/>
  <c r="AW41" i="83"/>
  <c r="AQ58" i="83"/>
  <c r="AQ54" i="83"/>
  <c r="AQ51" i="83"/>
  <c r="AQ53" i="83"/>
  <c r="AQ49" i="83"/>
  <c r="AQ57" i="83"/>
  <c r="AQ61" i="83"/>
  <c r="Z32" i="83"/>
  <c r="AQ43" i="83"/>
  <c r="AQ59" i="83"/>
  <c r="BA65" i="83"/>
  <c r="AQ50" i="83"/>
  <c r="AQ45" i="83"/>
  <c r="AH21" i="84" l="1"/>
  <c r="AH16" i="84"/>
  <c r="AH26" i="84"/>
  <c r="AH11" i="84"/>
  <c r="AH20" i="84"/>
  <c r="AH15" i="84"/>
  <c r="AH12" i="84"/>
  <c r="AH28" i="84"/>
  <c r="AH22" i="84"/>
  <c r="AH18" i="84"/>
  <c r="AH25" i="84"/>
  <c r="AH23" i="84"/>
  <c r="AH13" i="84"/>
  <c r="AH27" i="84"/>
  <c r="AH19" i="84"/>
  <c r="AH17" i="84"/>
  <c r="Y20" i="92" a="1"/>
  <c r="Y20" i="92" s="1"/>
  <c r="Y42" i="84" s="1"/>
  <c r="Z20" i="92" a="1"/>
  <c r="Z20" i="92" s="1"/>
  <c r="Z42" i="84" s="1"/>
  <c r="X42" i="84" s="1"/>
  <c r="AA20" i="92" a="1"/>
  <c r="AA20" i="92" s="1"/>
  <c r="AC41" i="84" s="1"/>
  <c r="AC42" i="84" s="1"/>
  <c r="AK33" i="84"/>
  <c r="AP297" i="83"/>
  <c r="I297" i="83" s="1"/>
  <c r="AP309" i="83"/>
  <c r="I309" i="83" s="1"/>
  <c r="AN340" i="83"/>
  <c r="AC41" i="83"/>
  <c r="AC42" i="83"/>
  <c r="Y42" i="83"/>
  <c r="AA26" i="92" a="1"/>
  <c r="AA26" i="92" s="1"/>
  <c r="Y26" i="92" a="1"/>
  <c r="Y26" i="92" s="1"/>
  <c r="Z26" i="92" a="1"/>
  <c r="Z26" i="92" s="1"/>
  <c r="AN334" i="83"/>
  <c r="AR319" i="83"/>
  <c r="AN346" i="83"/>
  <c r="AN332" i="83"/>
  <c r="AR300" i="83"/>
  <c r="AR299" i="83"/>
  <c r="AT301" i="83"/>
  <c r="AT310" i="83"/>
  <c r="AT313" i="83"/>
  <c r="AR302" i="83"/>
  <c r="AT303" i="83"/>
  <c r="AN327" i="83"/>
  <c r="AS311" i="83"/>
  <c r="AP339" i="83"/>
  <c r="AS316" i="83"/>
  <c r="AO331" i="83"/>
  <c r="AR305" i="83"/>
  <c r="AO338" i="83"/>
  <c r="AN337" i="83"/>
  <c r="AT302" i="83"/>
  <c r="AO330" i="83"/>
  <c r="AO335" i="83"/>
  <c r="AP331" i="83"/>
  <c r="AS305" i="83"/>
  <c r="AR308" i="83"/>
  <c r="AP342" i="83"/>
  <c r="AR307" i="83"/>
  <c r="AA66" i="76"/>
  <c r="AR311" i="83"/>
  <c r="AS303" i="83"/>
  <c r="AO346" i="83"/>
  <c r="AR317" i="83"/>
  <c r="AR316" i="83"/>
  <c r="AP328" i="83"/>
  <c r="AP345" i="83"/>
  <c r="AP346" i="83"/>
  <c r="AS296" i="83"/>
  <c r="AO351" i="83"/>
  <c r="AP336" i="83"/>
  <c r="AE318" i="83"/>
  <c r="AB318" i="83"/>
  <c r="U304" i="83"/>
  <c r="L66" i="76"/>
  <c r="J19" i="92" s="1"/>
  <c r="U311" i="83"/>
  <c r="S66" i="76"/>
  <c r="Q19" i="92" s="1"/>
  <c r="U308" i="83"/>
  <c r="P66" i="76"/>
  <c r="N19" i="92" s="1"/>
  <c r="U307" i="83"/>
  <c r="O66" i="76"/>
  <c r="M19" i="92" s="1"/>
  <c r="U314" i="83"/>
  <c r="V66" i="76"/>
  <c r="T19" i="92" s="1"/>
  <c r="U298" i="83"/>
  <c r="F66" i="76"/>
  <c r="D19" i="92" s="1"/>
  <c r="U317" i="83"/>
  <c r="Y66" i="76"/>
  <c r="W19" i="92" s="1"/>
  <c r="AQ341" i="83"/>
  <c r="R66" i="76"/>
  <c r="P19" i="92" s="1"/>
  <c r="P312" i="83"/>
  <c r="T66" i="76"/>
  <c r="AU311" i="83"/>
  <c r="AH314" i="83"/>
  <c r="AU317" i="83"/>
  <c r="AQ348" i="83"/>
  <c r="AU298" i="83"/>
  <c r="P298" i="83"/>
  <c r="AQ345" i="83"/>
  <c r="AH310" i="83"/>
  <c r="P317" i="83"/>
  <c r="P311" i="83"/>
  <c r="AH298" i="83"/>
  <c r="AQ342" i="83"/>
  <c r="AF318" i="83"/>
  <c r="P304" i="83"/>
  <c r="AU312" i="83"/>
  <c r="AQ329" i="83"/>
  <c r="AU304" i="83"/>
  <c r="AH304" i="83"/>
  <c r="U312" i="83"/>
  <c r="P308" i="83"/>
  <c r="AH307" i="83"/>
  <c r="AU307" i="83"/>
  <c r="AH308" i="83"/>
  <c r="P307" i="83"/>
  <c r="AQ338" i="83"/>
  <c r="AQ339" i="83"/>
  <c r="AQ343" i="83"/>
  <c r="AC318" i="83"/>
  <c r="AU308" i="83"/>
  <c r="AU319" i="83"/>
  <c r="AN351" i="83"/>
  <c r="AS308" i="83"/>
  <c r="AQ350" i="83"/>
  <c r="AO328" i="83"/>
  <c r="AO350" i="83"/>
  <c r="AP312" i="83"/>
  <c r="I312" i="83" s="1"/>
  <c r="AR304" i="83"/>
  <c r="AR310" i="83"/>
  <c r="AM351" i="83"/>
  <c r="AP351" i="83"/>
  <c r="AT296" i="83"/>
  <c r="AT306" i="83"/>
  <c r="AN345" i="83"/>
  <c r="AS309" i="83"/>
  <c r="AT316" i="83"/>
  <c r="AS301" i="83"/>
  <c r="AP319" i="83"/>
  <c r="I319" i="83" s="1"/>
  <c r="AT298" i="83"/>
  <c r="AS298" i="83"/>
  <c r="AP315" i="83"/>
  <c r="I315" i="83" s="1"/>
  <c r="AO348" i="83"/>
  <c r="AS314" i="83"/>
  <c r="AS306" i="83"/>
  <c r="AO343" i="83"/>
  <c r="AS302" i="83"/>
  <c r="AP305" i="83"/>
  <c r="I305" i="83" s="1"/>
  <c r="AS313" i="83"/>
  <c r="AN343" i="83"/>
  <c r="AR298" i="83"/>
  <c r="AN344" i="83"/>
  <c r="AN328" i="83"/>
  <c r="AU314" i="83"/>
  <c r="P314" i="83"/>
  <c r="AH311" i="83"/>
  <c r="AW30" i="83"/>
  <c r="AV13" i="83"/>
  <c r="AV28" i="83"/>
  <c r="AW19" i="83"/>
  <c r="AP307" i="83"/>
  <c r="I307" i="83" s="1"/>
  <c r="AV31" i="83"/>
  <c r="AV10" i="83"/>
  <c r="AW15" i="83"/>
  <c r="AV25" i="83"/>
  <c r="AW17" i="83"/>
  <c r="AW26" i="83"/>
  <c r="P299" i="83"/>
  <c r="U299" i="83"/>
  <c r="AH309" i="83"/>
  <c r="U310" i="83"/>
  <c r="AV26" i="83"/>
  <c r="AW11" i="83"/>
  <c r="P310" i="83"/>
  <c r="AP314" i="83"/>
  <c r="I314" i="83" s="1"/>
  <c r="AP308" i="83"/>
  <c r="I308" i="83" s="1"/>
  <c r="AQ340" i="83"/>
  <c r="U309" i="83"/>
  <c r="AH302" i="83"/>
  <c r="U302" i="83"/>
  <c r="AQ328" i="83"/>
  <c r="U297" i="83"/>
  <c r="AP303" i="83"/>
  <c r="I303" i="83" s="1"/>
  <c r="AP300" i="83"/>
  <c r="I300" i="83" s="1"/>
  <c r="AU315" i="83"/>
  <c r="AW315" i="83" s="1"/>
  <c r="U315" i="83"/>
  <c r="AH313" i="83"/>
  <c r="U316" i="83"/>
  <c r="AV21" i="83"/>
  <c r="AX21" i="83" s="1"/>
  <c r="AU316" i="83"/>
  <c r="AP306" i="83"/>
  <c r="I306" i="83" s="1"/>
  <c r="P296" i="83"/>
  <c r="U296" i="83"/>
  <c r="AQ344" i="83"/>
  <c r="U313" i="83"/>
  <c r="AQ334" i="83"/>
  <c r="U303" i="83"/>
  <c r="P306" i="83"/>
  <c r="U306" i="83"/>
  <c r="AQ332" i="83"/>
  <c r="U301" i="83"/>
  <c r="AH305" i="83"/>
  <c r="U305" i="83"/>
  <c r="AH300" i="83"/>
  <c r="U300" i="83"/>
  <c r="AQ347" i="83"/>
  <c r="AP338" i="83"/>
  <c r="P309" i="83"/>
  <c r="P300" i="83"/>
  <c r="P297" i="83"/>
  <c r="AU305" i="83"/>
  <c r="P302" i="83"/>
  <c r="AQ336" i="83"/>
  <c r="AH301" i="83"/>
  <c r="AQ331" i="83"/>
  <c r="P301" i="83"/>
  <c r="AP316" i="83"/>
  <c r="I316" i="83" s="1"/>
  <c r="AQ333" i="83"/>
  <c r="AH297" i="83"/>
  <c r="P305" i="83"/>
  <c r="AU300" i="83"/>
  <c r="AU310" i="83"/>
  <c r="P316" i="83"/>
  <c r="AQ351" i="83"/>
  <c r="AP311" i="83"/>
  <c r="I311" i="83" s="1"/>
  <c r="P303" i="83"/>
  <c r="AH303" i="83"/>
  <c r="AU303" i="83"/>
  <c r="AP317" i="83"/>
  <c r="I317" i="83" s="1"/>
  <c r="AU302" i="83"/>
  <c r="AU301" i="83"/>
  <c r="AU297" i="83"/>
  <c r="AW297" i="83" s="1"/>
  <c r="AU313" i="83"/>
  <c r="P313" i="83"/>
  <c r="AU299" i="83"/>
  <c r="AU296" i="83"/>
  <c r="AT304" i="83"/>
  <c r="P315" i="83"/>
  <c r="AT312" i="83"/>
  <c r="Z318" i="83"/>
  <c r="AQ327" i="83"/>
  <c r="AH296" i="83"/>
  <c r="AQ337" i="83"/>
  <c r="AH306" i="83"/>
  <c r="AI10" i="83"/>
  <c r="AU309" i="83"/>
  <c r="AQ346" i="83"/>
  <c r="AH312" i="83"/>
  <c r="AQ330" i="83"/>
  <c r="AH299" i="83"/>
  <c r="AU306" i="83"/>
  <c r="AP313" i="83"/>
  <c r="I313" i="83" s="1"/>
  <c r="AP298" i="83"/>
  <c r="I298" i="83" s="1"/>
  <c r="AT317" i="83"/>
  <c r="AP330" i="83"/>
  <c r="AP304" i="83"/>
  <c r="I304" i="83" s="1"/>
  <c r="AP301" i="83"/>
  <c r="I301" i="83" s="1"/>
  <c r="AP296" i="83"/>
  <c r="I296" i="83" s="1"/>
  <c r="AP302" i="83"/>
  <c r="I302" i="83" s="1"/>
  <c r="AP299" i="83"/>
  <c r="I299" i="83" s="1"/>
  <c r="AT309" i="83"/>
  <c r="AP350" i="83"/>
  <c r="R31" i="84"/>
  <c r="R30" i="84"/>
  <c r="R22" i="84"/>
  <c r="R17" i="84"/>
  <c r="AV15" i="83"/>
  <c r="AW31" i="83"/>
  <c r="AV16" i="83"/>
  <c r="AW28" i="83"/>
  <c r="AW10" i="83"/>
  <c r="AV17" i="83"/>
  <c r="AW16" i="83"/>
  <c r="AV11" i="83"/>
  <c r="AW13" i="83"/>
  <c r="AW33" i="83"/>
  <c r="AW25" i="83"/>
  <c r="AW12" i="83"/>
  <c r="AV12" i="83"/>
  <c r="AV30" i="83"/>
  <c r="AV33" i="83"/>
  <c r="AW18" i="83"/>
  <c r="AV18" i="83"/>
  <c r="AV19" i="83"/>
  <c r="AW27" i="83"/>
  <c r="AV27" i="83"/>
  <c r="AW22" i="83"/>
  <c r="AV22" i="83"/>
  <c r="AW14" i="83"/>
  <c r="AV14" i="83"/>
  <c r="AW23" i="83"/>
  <c r="AV23" i="83"/>
  <c r="AW29" i="83"/>
  <c r="AV29" i="83"/>
  <c r="AW20" i="83"/>
  <c r="AV20" i="83"/>
  <c r="AI27" i="83"/>
  <c r="Q316" i="83" s="1"/>
  <c r="AI28" i="83"/>
  <c r="Q317" i="83" s="1"/>
  <c r="AI22" i="83"/>
  <c r="Q308" i="83" s="1"/>
  <c r="AI17" i="83"/>
  <c r="Q303" i="83" s="1"/>
  <c r="R21" i="84"/>
  <c r="R12" i="84"/>
  <c r="R16" i="84"/>
  <c r="R11" i="84"/>
  <c r="R14" i="84"/>
  <c r="R19" i="84"/>
  <c r="R29" i="84"/>
  <c r="R28" i="84"/>
  <c r="R15" i="84"/>
  <c r="AH10" i="84"/>
  <c r="R10" i="84" s="1"/>
  <c r="R18" i="84"/>
  <c r="R20" i="84"/>
  <c r="R24" i="84"/>
  <c r="R13" i="84"/>
  <c r="R25" i="84"/>
  <c r="AI26" i="83"/>
  <c r="Q315" i="83" s="1"/>
  <c r="AI21" i="83"/>
  <c r="Q307" i="83" s="1"/>
  <c r="AI25" i="83"/>
  <c r="Q314" i="83" s="1"/>
  <c r="AI11" i="83"/>
  <c r="Q297" i="83" s="1"/>
  <c r="AI16" i="83"/>
  <c r="Q302" i="83" s="1"/>
  <c r="AI13" i="83"/>
  <c r="Q299" i="83" s="1"/>
  <c r="AI14" i="83"/>
  <c r="Q300" i="83" s="1"/>
  <c r="AI12" i="83"/>
  <c r="Q298" i="83" s="1"/>
  <c r="AI18" i="83"/>
  <c r="Q304" i="83" s="1"/>
  <c r="AI20" i="83"/>
  <c r="Q306" i="83" s="1"/>
  <c r="AI15" i="83"/>
  <c r="Q301" i="83" s="1"/>
  <c r="AI23" i="83"/>
  <c r="Q310" i="83" s="1"/>
  <c r="AI24" i="83"/>
  <c r="Q311" i="83" s="1"/>
  <c r="AI19" i="83"/>
  <c r="Q305" i="83" s="1"/>
  <c r="N4" i="75"/>
  <c r="AB41" i="84" l="1"/>
  <c r="AB42" i="84"/>
  <c r="AN33" i="84"/>
  <c r="Q33" i="84"/>
  <c r="AI314" i="83"/>
  <c r="AV303" i="83"/>
  <c r="AA19" i="92" a="1"/>
  <c r="AA19" i="92" s="1"/>
  <c r="AD327" i="83" s="1"/>
  <c r="AD328" i="83" s="1"/>
  <c r="Y19" i="92" a="1"/>
  <c r="Y19" i="92" s="1"/>
  <c r="Z328" i="83" s="1"/>
  <c r="Z19" i="92" a="1"/>
  <c r="Z19" i="92" s="1"/>
  <c r="AA328" i="83" s="1"/>
  <c r="AI305" i="83"/>
  <c r="AW319" i="83"/>
  <c r="AW300" i="83"/>
  <c r="AI298" i="83"/>
  <c r="AV299" i="83"/>
  <c r="AW302" i="83"/>
  <c r="AW305" i="83"/>
  <c r="AV308" i="83"/>
  <c r="AV311" i="83"/>
  <c r="AW307" i="83"/>
  <c r="AW311" i="83"/>
  <c r="AW317" i="83"/>
  <c r="AW308" i="83"/>
  <c r="AV312" i="83"/>
  <c r="AV307" i="83"/>
  <c r="AV319" i="83"/>
  <c r="AV304" i="83"/>
  <c r="AW306" i="83"/>
  <c r="AV316" i="83"/>
  <c r="AV296" i="83"/>
  <c r="AV298" i="83"/>
  <c r="AW301" i="83"/>
  <c r="AW298" i="83"/>
  <c r="AW313" i="83"/>
  <c r="AV313" i="83"/>
  <c r="AV314" i="83"/>
  <c r="AX13" i="83"/>
  <c r="AX31" i="83"/>
  <c r="AW314" i="83"/>
  <c r="AX30" i="83"/>
  <c r="AX10" i="83"/>
  <c r="AX28" i="83"/>
  <c r="AW316" i="83"/>
  <c r="AX19" i="83"/>
  <c r="AX26" i="83"/>
  <c r="AX15" i="83"/>
  <c r="AX25" i="83"/>
  <c r="AX17" i="83"/>
  <c r="AX11" i="83"/>
  <c r="AV315" i="83"/>
  <c r="AX315" i="83" s="1"/>
  <c r="AV305" i="83"/>
  <c r="AV300" i="83"/>
  <c r="AV302" i="83"/>
  <c r="AW303" i="83"/>
  <c r="AW299" i="83"/>
  <c r="AV317" i="83"/>
  <c r="AV297" i="83"/>
  <c r="AX297" i="83" s="1"/>
  <c r="AW309" i="83"/>
  <c r="AW296" i="83"/>
  <c r="AV301" i="83"/>
  <c r="AW312" i="83"/>
  <c r="AW304" i="83"/>
  <c r="AV306" i="83"/>
  <c r="AI297" i="83"/>
  <c r="AI307" i="83"/>
  <c r="AI311" i="83"/>
  <c r="AI306" i="83"/>
  <c r="Q296" i="83"/>
  <c r="Q10" i="83"/>
  <c r="AI301" i="83"/>
  <c r="AI302" i="83"/>
  <c r="AI304" i="83"/>
  <c r="AI312" i="83"/>
  <c r="AI308" i="83"/>
  <c r="AI296" i="83"/>
  <c r="AI313" i="83"/>
  <c r="AI300" i="83"/>
  <c r="AI303" i="83"/>
  <c r="AI299" i="83"/>
  <c r="AI310" i="83"/>
  <c r="AI309" i="83"/>
  <c r="AV309" i="83"/>
  <c r="Q17" i="83"/>
  <c r="Q13" i="83"/>
  <c r="Q29" i="83"/>
  <c r="Q19" i="83"/>
  <c r="Q25" i="83"/>
  <c r="Q24" i="83"/>
  <c r="Q16" i="83"/>
  <c r="Q28" i="83"/>
  <c r="Q31" i="83"/>
  <c r="Q15" i="83"/>
  <c r="Q12" i="83"/>
  <c r="Q21" i="83"/>
  <c r="Q20" i="83"/>
  <c r="Q14" i="83"/>
  <c r="Q18" i="83"/>
  <c r="Q11" i="83"/>
  <c r="Q30" i="83"/>
  <c r="AX16" i="83"/>
  <c r="AX14" i="83"/>
  <c r="Q138" i="83"/>
  <c r="AX33" i="83"/>
  <c r="AX12" i="83"/>
  <c r="AX20" i="83"/>
  <c r="AX27" i="83"/>
  <c r="AX18" i="83"/>
  <c r="Q137" i="83"/>
  <c r="AX29" i="83"/>
  <c r="AX23" i="83"/>
  <c r="AX22" i="83"/>
  <c r="Q124" i="83"/>
  <c r="Q129" i="83"/>
  <c r="Q22" i="83"/>
  <c r="Q131" i="83"/>
  <c r="Q123" i="83"/>
  <c r="Q128" i="83"/>
  <c r="Q127" i="83"/>
  <c r="Q121" i="83"/>
  <c r="Q118" i="83"/>
  <c r="Q136" i="83"/>
  <c r="Q132" i="83"/>
  <c r="Q126" i="83"/>
  <c r="Q117" i="83"/>
  <c r="Q122" i="83"/>
  <c r="Q135" i="83"/>
  <c r="Q125" i="83"/>
  <c r="Q119" i="83"/>
  <c r="Q120" i="83"/>
  <c r="M5" i="75"/>
  <c r="AX303" i="83" l="1"/>
  <c r="Y328" i="83"/>
  <c r="AC327" i="83"/>
  <c r="AC328" i="83"/>
  <c r="AX302" i="83"/>
  <c r="AX304" i="83"/>
  <c r="AX306" i="83"/>
  <c r="AX305" i="83"/>
  <c r="AX319" i="83"/>
  <c r="AX300" i="83"/>
  <c r="AX299" i="83"/>
  <c r="AX308" i="83"/>
  <c r="AX311" i="83"/>
  <c r="AX307" i="83"/>
  <c r="AX312" i="83"/>
  <c r="AX317" i="83"/>
  <c r="AX298" i="83"/>
  <c r="AX296" i="83"/>
  <c r="AX301" i="83"/>
  <c r="AX316" i="83"/>
  <c r="AX313" i="83"/>
  <c r="AX314" i="83"/>
  <c r="AX309" i="83"/>
  <c r="N5" i="75"/>
  <c r="M6" i="75"/>
  <c r="M7" i="75" l="1"/>
  <c r="N6" i="75"/>
  <c r="B3" i="92" l="1"/>
  <c r="I3" i="92"/>
  <c r="Q3" i="92"/>
  <c r="M8" i="75"/>
  <c r="N7" i="75"/>
  <c r="K3" i="92"/>
  <c r="U3" i="92"/>
  <c r="N3" i="92"/>
  <c r="J3" i="92"/>
  <c r="T3" i="92"/>
  <c r="C3" i="92"/>
  <c r="E3" i="92"/>
  <c r="G3" i="92"/>
  <c r="H3" i="92"/>
  <c r="L3" i="92"/>
  <c r="F3" i="92" l="1"/>
  <c r="M3" i="92"/>
  <c r="V3" i="92"/>
  <c r="W3" i="92"/>
  <c r="P3" i="92"/>
  <c r="D3" i="92"/>
  <c r="N8" i="75"/>
  <c r="M9" i="75"/>
  <c r="B148" i="49"/>
  <c r="Y3" i="92" l="1" a="1"/>
  <c r="Y3" i="92" s="1"/>
  <c r="Z3" i="92" a="1"/>
  <c r="Z3" i="92" s="1"/>
  <c r="AA3" i="92" a="1"/>
  <c r="AA3" i="92" s="1"/>
  <c r="N9" i="75"/>
  <c r="M10" i="75"/>
  <c r="H21" i="75"/>
  <c r="G21" i="75"/>
  <c r="F21" i="75"/>
  <c r="E21" i="75"/>
  <c r="D21" i="75"/>
  <c r="N10" i="75" l="1"/>
  <c r="M11" i="75"/>
  <c r="E25" i="75"/>
  <c r="D26" i="75"/>
  <c r="E26" i="75"/>
  <c r="F26" i="75"/>
  <c r="G26" i="75"/>
  <c r="H26" i="75"/>
  <c r="F25" i="75"/>
  <c r="H25" i="75"/>
  <c r="D25" i="75"/>
  <c r="AD146" i="83" l="1"/>
  <c r="H219" i="83"/>
  <c r="H255" i="83"/>
  <c r="AC146" i="83"/>
  <c r="G255" i="83"/>
  <c r="G219" i="83"/>
  <c r="AB146" i="83"/>
  <c r="F255" i="83"/>
  <c r="F219" i="83"/>
  <c r="Z146" i="83"/>
  <c r="D255" i="83"/>
  <c r="D219" i="83"/>
  <c r="AA147" i="83"/>
  <c r="AA219" i="83"/>
  <c r="AY147" i="83"/>
  <c r="E218" i="83"/>
  <c r="E254" i="83"/>
  <c r="BD147" i="83"/>
  <c r="AA255" i="83"/>
  <c r="Z147" i="83"/>
  <c r="D218" i="83"/>
  <c r="Z219" i="83"/>
  <c r="AX147" i="83"/>
  <c r="D254" i="83"/>
  <c r="Z255" i="83"/>
  <c r="BC147" i="83"/>
  <c r="AD147" i="83"/>
  <c r="AD255" i="83"/>
  <c r="H254" i="83"/>
  <c r="BB147" i="83"/>
  <c r="BG147" i="83"/>
  <c r="AD219" i="83"/>
  <c r="H218" i="83"/>
  <c r="AA146" i="83"/>
  <c r="E255" i="83"/>
  <c r="E219" i="83"/>
  <c r="AB147" i="83"/>
  <c r="AZ147" i="83"/>
  <c r="AB219" i="83"/>
  <c r="AB255" i="83"/>
  <c r="F218" i="83"/>
  <c r="F254" i="83"/>
  <c r="BE147" i="83"/>
  <c r="BB39" i="63"/>
  <c r="AD2" i="63"/>
  <c r="AD2" i="66"/>
  <c r="AD2" i="67"/>
  <c r="AQ39" i="63"/>
  <c r="BL39" i="63"/>
  <c r="AI110" i="63"/>
  <c r="AD2" i="62"/>
  <c r="BG39" i="63"/>
  <c r="AD110" i="63"/>
  <c r="AD2" i="68"/>
  <c r="AD2" i="49"/>
  <c r="AD2" i="64"/>
  <c r="AG2" i="50"/>
  <c r="AD2" i="65"/>
  <c r="AD146" i="69"/>
  <c r="AI254" i="69"/>
  <c r="AJ110" i="69"/>
  <c r="AC2" i="84"/>
  <c r="AI182" i="69"/>
  <c r="AD110" i="69"/>
  <c r="AD182" i="69"/>
  <c r="AD2" i="69"/>
  <c r="AE8" i="70"/>
  <c r="AD2" i="70"/>
  <c r="T42" i="22"/>
  <c r="AI182" i="83"/>
  <c r="AD75" i="83"/>
  <c r="AQ146" i="83"/>
  <c r="AF8" i="83"/>
  <c r="AD2" i="83"/>
  <c r="AW146" i="83"/>
  <c r="AF115" i="83"/>
  <c r="AC111" i="84"/>
  <c r="AC147" i="84"/>
  <c r="AC75" i="84"/>
  <c r="AC2" i="62"/>
  <c r="BF39" i="63"/>
  <c r="AC110" i="63"/>
  <c r="AC2" i="68"/>
  <c r="AC2" i="63"/>
  <c r="AC2" i="66"/>
  <c r="AC2" i="49"/>
  <c r="AC2" i="64"/>
  <c r="AF2" i="50"/>
  <c r="BK39" i="63"/>
  <c r="AH110" i="63"/>
  <c r="AC2" i="65"/>
  <c r="BA39" i="63"/>
  <c r="AC2" i="67"/>
  <c r="AP39" i="63"/>
  <c r="AC182" i="69"/>
  <c r="AC2" i="69"/>
  <c r="AH254" i="69"/>
  <c r="AI110" i="69"/>
  <c r="AC146" i="69"/>
  <c r="AB2" i="84"/>
  <c r="AH182" i="69"/>
  <c r="AC110" i="69"/>
  <c r="AD8" i="70"/>
  <c r="AC2" i="70"/>
  <c r="S42" i="22"/>
  <c r="AE115" i="83"/>
  <c r="AC2" i="83"/>
  <c r="AV146" i="83"/>
  <c r="AP146" i="83"/>
  <c r="AH182" i="83"/>
  <c r="AC75" i="83"/>
  <c r="AE8" i="83"/>
  <c r="AB147" i="84"/>
  <c r="AB111" i="84"/>
  <c r="AB75" i="84"/>
  <c r="AE2" i="50"/>
  <c r="BJ39" i="63"/>
  <c r="AG110" i="63"/>
  <c r="AB2" i="65"/>
  <c r="AB2" i="62"/>
  <c r="BE39" i="63"/>
  <c r="AB2" i="68"/>
  <c r="AZ39" i="63"/>
  <c r="AB2" i="67"/>
  <c r="AB2" i="49"/>
  <c r="AO39" i="63"/>
  <c r="AB2" i="64"/>
  <c r="AB110" i="63"/>
  <c r="AB2" i="63"/>
  <c r="AB2" i="66"/>
  <c r="AG182" i="69"/>
  <c r="AB110" i="69"/>
  <c r="AB146" i="69"/>
  <c r="AA2" i="84"/>
  <c r="AB182" i="69"/>
  <c r="AB2" i="69"/>
  <c r="AG254" i="69"/>
  <c r="AH110" i="69"/>
  <c r="AC8" i="70"/>
  <c r="AB2" i="70"/>
  <c r="R42" i="22"/>
  <c r="AO146" i="83"/>
  <c r="AD8" i="83"/>
  <c r="AG182" i="83"/>
  <c r="AU146" i="83"/>
  <c r="AD115" i="83"/>
  <c r="AB2" i="83"/>
  <c r="AB75" i="83"/>
  <c r="AA111" i="84"/>
  <c r="AA147" i="84"/>
  <c r="AA75" i="84"/>
  <c r="AX39" i="63"/>
  <c r="Z2" i="63"/>
  <c r="Z2" i="66"/>
  <c r="Z2" i="67"/>
  <c r="Z2" i="49"/>
  <c r="Z2" i="64"/>
  <c r="AC2" i="50"/>
  <c r="BH39" i="63"/>
  <c r="Z2" i="65"/>
  <c r="Z2" i="62"/>
  <c r="BC39" i="63"/>
  <c r="Z110" i="63"/>
  <c r="Z2" i="68"/>
  <c r="AM39" i="63"/>
  <c r="AE110" i="63"/>
  <c r="Z146" i="69"/>
  <c r="AE182" i="69"/>
  <c r="Z110" i="69"/>
  <c r="Z2" i="69"/>
  <c r="AE254" i="69"/>
  <c r="AF110" i="69"/>
  <c r="Y2" i="84"/>
  <c r="Z182" i="69"/>
  <c r="AA8" i="70"/>
  <c r="Z2" i="70"/>
  <c r="P42" i="22"/>
  <c r="AE182" i="83"/>
  <c r="Z75" i="83"/>
  <c r="AB115" i="83"/>
  <c r="AS146" i="83"/>
  <c r="AM146" i="83"/>
  <c r="AB8" i="83"/>
  <c r="Z2" i="83"/>
  <c r="Y111" i="84"/>
  <c r="Y147" i="84"/>
  <c r="Y75" i="84"/>
  <c r="AA2" i="49"/>
  <c r="AN39" i="63"/>
  <c r="AA2" i="64"/>
  <c r="BI39" i="63"/>
  <c r="AF110" i="63"/>
  <c r="AA110" i="63"/>
  <c r="AY39" i="63"/>
  <c r="AA2" i="63"/>
  <c r="AA2" i="66"/>
  <c r="AA2" i="67"/>
  <c r="AD2" i="50"/>
  <c r="AA2" i="65"/>
  <c r="AA2" i="62"/>
  <c r="BD39" i="63"/>
  <c r="AA2" i="68"/>
  <c r="AF254" i="69"/>
  <c r="AG110" i="69"/>
  <c r="Z2" i="84"/>
  <c r="AA146" i="69"/>
  <c r="AF182" i="69"/>
  <c r="AA110" i="69"/>
  <c r="AA182" i="69"/>
  <c r="AA2" i="69"/>
  <c r="AA2" i="70"/>
  <c r="AB8" i="70"/>
  <c r="Q42" i="22"/>
  <c r="AT146" i="83"/>
  <c r="AC115" i="83"/>
  <c r="AA2" i="83"/>
  <c r="AF182" i="83"/>
  <c r="AN146" i="83"/>
  <c r="AC8" i="83"/>
  <c r="AA75" i="83"/>
  <c r="Z147" i="84"/>
  <c r="Z75" i="84"/>
  <c r="Z111" i="84"/>
  <c r="AQ40" i="68"/>
  <c r="AQ146" i="68"/>
  <c r="AQ40" i="64"/>
  <c r="BA40" i="84"/>
  <c r="AP40" i="84"/>
  <c r="BF40" i="84"/>
  <c r="AK77" i="70"/>
  <c r="AV40" i="84"/>
  <c r="BE41" i="70"/>
  <c r="AT41" i="70"/>
  <c r="AZ41" i="70"/>
  <c r="AC77" i="70"/>
  <c r="P9" i="70"/>
  <c r="H112" i="84"/>
  <c r="H76" i="84"/>
  <c r="H77" i="70"/>
  <c r="H9" i="70"/>
  <c r="H148" i="84"/>
  <c r="AC3" i="50"/>
  <c r="BH40" i="63"/>
  <c r="AX40" i="63"/>
  <c r="AE111" i="63"/>
  <c r="Z3" i="63"/>
  <c r="Z3" i="64"/>
  <c r="AM39" i="68"/>
  <c r="Z3" i="66"/>
  <c r="AM39" i="64"/>
  <c r="Z3" i="62"/>
  <c r="AM40" i="63"/>
  <c r="Z3" i="67"/>
  <c r="Z3" i="68"/>
  <c r="Z3" i="49"/>
  <c r="Z3" i="65"/>
  <c r="Z111" i="63"/>
  <c r="AM145" i="68"/>
  <c r="BC40" i="63"/>
  <c r="Y3" i="84"/>
  <c r="Z183" i="69"/>
  <c r="AW39" i="84"/>
  <c r="AE183" i="69"/>
  <c r="Z147" i="69"/>
  <c r="Z111" i="69"/>
  <c r="BB39" i="84"/>
  <c r="AR39" i="84"/>
  <c r="AE255" i="69"/>
  <c r="AF111" i="69"/>
  <c r="AL39" i="84"/>
  <c r="AA9" i="70"/>
  <c r="BA40" i="70"/>
  <c r="AP40" i="70"/>
  <c r="AE76" i="70"/>
  <c r="Z3" i="70"/>
  <c r="AV40" i="70"/>
  <c r="Y76" i="70"/>
  <c r="P41" i="22"/>
  <c r="AS147" i="83"/>
  <c r="AB116" i="83"/>
  <c r="Z76" i="83"/>
  <c r="AB9" i="83"/>
  <c r="AE183" i="83"/>
  <c r="AM147" i="83"/>
  <c r="D147" i="84"/>
  <c r="Y76" i="84"/>
  <c r="Y148" i="84"/>
  <c r="D111" i="84"/>
  <c r="D76" i="70"/>
  <c r="L8" i="70"/>
  <c r="Y112" i="84"/>
  <c r="D75" i="84"/>
  <c r="D8" i="70"/>
  <c r="AG3" i="50"/>
  <c r="BL40" i="63"/>
  <c r="BB40" i="63"/>
  <c r="AI111" i="63"/>
  <c r="AD3" i="63"/>
  <c r="AD3" i="64"/>
  <c r="AQ39" i="68"/>
  <c r="AD3" i="66"/>
  <c r="AQ39" i="64"/>
  <c r="AD111" i="63"/>
  <c r="BG40" i="63"/>
  <c r="AD3" i="65"/>
  <c r="AD3" i="67"/>
  <c r="AD3" i="49"/>
  <c r="AD3" i="68"/>
  <c r="AD3" i="62"/>
  <c r="AQ40" i="63"/>
  <c r="AQ145" i="68"/>
  <c r="AC3" i="84"/>
  <c r="AI255" i="69"/>
  <c r="AP39" i="84"/>
  <c r="AI183" i="69"/>
  <c r="AD147" i="69"/>
  <c r="AD111" i="69"/>
  <c r="BF39" i="84"/>
  <c r="AV39" i="84"/>
  <c r="AD183" i="69"/>
  <c r="AJ111" i="69"/>
  <c r="BA39" i="84"/>
  <c r="AK76" i="70"/>
  <c r="AE9" i="70"/>
  <c r="AC76" i="70"/>
  <c r="BE40" i="70"/>
  <c r="AT40" i="70"/>
  <c r="AD3" i="70"/>
  <c r="AZ40" i="70"/>
  <c r="T41" i="22"/>
  <c r="AW147" i="83"/>
  <c r="AF116" i="83"/>
  <c r="AI183" i="83"/>
  <c r="AD76" i="83"/>
  <c r="AF9" i="83"/>
  <c r="AQ147" i="83"/>
  <c r="H147" i="84"/>
  <c r="AC76" i="84"/>
  <c r="P8" i="70"/>
  <c r="AC112" i="84"/>
  <c r="H111" i="84"/>
  <c r="H76" i="70"/>
  <c r="AC148" i="84"/>
  <c r="H75" i="84"/>
  <c r="H8" i="70"/>
  <c r="AO40" i="64"/>
  <c r="AO146" i="68"/>
  <c r="AO40" i="68"/>
  <c r="BD40" i="84"/>
  <c r="AT40" i="84"/>
  <c r="AY40" i="84"/>
  <c r="AN40" i="84"/>
  <c r="AX41" i="70"/>
  <c r="AA77" i="70"/>
  <c r="BC41" i="70"/>
  <c r="AR41" i="70"/>
  <c r="AG77" i="70"/>
  <c r="F76" i="84"/>
  <c r="N9" i="70"/>
  <c r="F112" i="84"/>
  <c r="F148" i="84"/>
  <c r="F77" i="70"/>
  <c r="F9" i="70"/>
  <c r="AM40" i="68"/>
  <c r="AM146" i="68"/>
  <c r="AM40" i="64"/>
  <c r="AW40" i="84"/>
  <c r="AL40" i="84"/>
  <c r="BB40" i="84"/>
  <c r="AR40" i="84"/>
  <c r="BA41" i="70"/>
  <c r="AP41" i="70"/>
  <c r="AE77" i="70"/>
  <c r="AV41" i="70"/>
  <c r="Y77" i="70"/>
  <c r="L9" i="70"/>
  <c r="D112" i="84"/>
  <c r="D9" i="70"/>
  <c r="D76" i="84"/>
  <c r="D77" i="70"/>
  <c r="D148" i="84"/>
  <c r="AP40" i="68"/>
  <c r="AP40" i="64"/>
  <c r="AP146" i="68"/>
  <c r="AZ40" i="84"/>
  <c r="BE40" i="84"/>
  <c r="AU40" i="84"/>
  <c r="AO40" i="84"/>
  <c r="BD41" i="70"/>
  <c r="AS41" i="70"/>
  <c r="AH77" i="70"/>
  <c r="AY41" i="70"/>
  <c r="AB77" i="70"/>
  <c r="G148" i="84"/>
  <c r="G77" i="70"/>
  <c r="G9" i="70"/>
  <c r="O9" i="70"/>
  <c r="G112" i="84"/>
  <c r="G76" i="84"/>
  <c r="AA3" i="66"/>
  <c r="AA3" i="68"/>
  <c r="BD40" i="63"/>
  <c r="AN40" i="63"/>
  <c r="AA3" i="65"/>
  <c r="AA111" i="63"/>
  <c r="AA3" i="67"/>
  <c r="AD3" i="50"/>
  <c r="BI40" i="63"/>
  <c r="AY40" i="63"/>
  <c r="AF111" i="63"/>
  <c r="AA3" i="63"/>
  <c r="AA3" i="64"/>
  <c r="AN39" i="68"/>
  <c r="AA3" i="49"/>
  <c r="AA3" i="62"/>
  <c r="AN145" i="68"/>
  <c r="AN39" i="64"/>
  <c r="AF255" i="69"/>
  <c r="AA183" i="69"/>
  <c r="AG111" i="69"/>
  <c r="AX39" i="84"/>
  <c r="AM39" i="84"/>
  <c r="AA111" i="69"/>
  <c r="AS39" i="84"/>
  <c r="Z3" i="84"/>
  <c r="AF183" i="69"/>
  <c r="AA147" i="69"/>
  <c r="BC39" i="84"/>
  <c r="BB40" i="70"/>
  <c r="AQ40" i="70"/>
  <c r="AF76" i="70"/>
  <c r="Z76" i="70"/>
  <c r="AB9" i="70"/>
  <c r="AA3" i="70"/>
  <c r="AW40" i="70"/>
  <c r="Q41" i="22"/>
  <c r="AC116" i="83"/>
  <c r="AF183" i="83"/>
  <c r="AN147" i="83"/>
  <c r="AA76" i="83"/>
  <c r="AC9" i="83"/>
  <c r="AT147" i="83"/>
  <c r="E111" i="84"/>
  <c r="Z148" i="84"/>
  <c r="Z112" i="84"/>
  <c r="E8" i="70"/>
  <c r="Z76" i="84"/>
  <c r="E76" i="70"/>
  <c r="M8" i="70"/>
  <c r="E75" i="84"/>
  <c r="E147" i="84"/>
  <c r="AB3" i="49"/>
  <c r="AB3" i="62"/>
  <c r="BE40" i="63"/>
  <c r="AO40" i="63"/>
  <c r="AB111" i="63"/>
  <c r="AB3" i="65"/>
  <c r="AB3" i="67"/>
  <c r="AO145" i="68"/>
  <c r="AO39" i="64"/>
  <c r="AB3" i="66"/>
  <c r="AB3" i="68"/>
  <c r="BJ40" i="63"/>
  <c r="AB3" i="64"/>
  <c r="AE3" i="50"/>
  <c r="AZ40" i="63"/>
  <c r="AO39" i="68"/>
  <c r="AG111" i="63"/>
  <c r="AB3" i="63"/>
  <c r="AG183" i="69"/>
  <c r="AB147" i="69"/>
  <c r="AT39" i="84"/>
  <c r="AG255" i="69"/>
  <c r="AB183" i="69"/>
  <c r="AH111" i="69"/>
  <c r="AY39" i="84"/>
  <c r="AN39" i="84"/>
  <c r="AB111" i="69"/>
  <c r="BD39" i="84"/>
  <c r="AA3" i="84"/>
  <c r="AB3" i="70"/>
  <c r="BC40" i="70"/>
  <c r="AR40" i="70"/>
  <c r="AG76" i="70"/>
  <c r="AX40" i="70"/>
  <c r="AA76" i="70"/>
  <c r="AC9" i="70"/>
  <c r="R41" i="22"/>
  <c r="AG183" i="83"/>
  <c r="AO147" i="83"/>
  <c r="AB76" i="83"/>
  <c r="AD9" i="83"/>
  <c r="AU147" i="83"/>
  <c r="AD116" i="83"/>
  <c r="F76" i="70"/>
  <c r="N8" i="70"/>
  <c r="AA148" i="84"/>
  <c r="AA112" i="84"/>
  <c r="F75" i="84"/>
  <c r="F147" i="84"/>
  <c r="F111" i="84"/>
  <c r="F8" i="70"/>
  <c r="AA76" i="84"/>
  <c r="AN146" i="68"/>
  <c r="AN40" i="64"/>
  <c r="AN40" i="68"/>
  <c r="BC40" i="84"/>
  <c r="AX40" i="84"/>
  <c r="AM40" i="84"/>
  <c r="AS40" i="84"/>
  <c r="AF77" i="70"/>
  <c r="AW41" i="70"/>
  <c r="Z77" i="70"/>
  <c r="BB41" i="70"/>
  <c r="AQ41" i="70"/>
  <c r="E77" i="70"/>
  <c r="E9" i="70"/>
  <c r="E76" i="84"/>
  <c r="E148" i="84"/>
  <c r="E112" i="84"/>
  <c r="M9" i="70"/>
  <c r="H115" i="68"/>
  <c r="AF115" i="68"/>
  <c r="O115" i="68"/>
  <c r="AE9" i="84"/>
  <c r="AF9" i="68"/>
  <c r="AF9" i="66"/>
  <c r="AF9" i="64"/>
  <c r="AF9" i="69"/>
  <c r="AF9" i="65"/>
  <c r="AF9" i="67"/>
  <c r="AF9" i="63"/>
  <c r="AJ110" i="49"/>
  <c r="AF9" i="62"/>
  <c r="D115" i="68"/>
  <c r="AB115" i="68"/>
  <c r="K115" i="68"/>
  <c r="AA9" i="84"/>
  <c r="AB9" i="69"/>
  <c r="AB9" i="68"/>
  <c r="AB9" i="66"/>
  <c r="AB9" i="64"/>
  <c r="AB9" i="67"/>
  <c r="AB9" i="63"/>
  <c r="AB9" i="65"/>
  <c r="AB9" i="62"/>
  <c r="AF110" i="49"/>
  <c r="AB114" i="68"/>
  <c r="K114" i="68"/>
  <c r="D114" i="68"/>
  <c r="AA8" i="84"/>
  <c r="AB8" i="68"/>
  <c r="AB8" i="66"/>
  <c r="AB8" i="64"/>
  <c r="AB8" i="65"/>
  <c r="AB8" i="69"/>
  <c r="AB8" i="67"/>
  <c r="AB8" i="63"/>
  <c r="AF109" i="49"/>
  <c r="AB8" i="62"/>
  <c r="N115" i="68"/>
  <c r="G115" i="68"/>
  <c r="AE115" i="68"/>
  <c r="AD9" i="84"/>
  <c r="AE9" i="68"/>
  <c r="AE9" i="66"/>
  <c r="AE9" i="64"/>
  <c r="AE9" i="67"/>
  <c r="AE9" i="63"/>
  <c r="AE9" i="69"/>
  <c r="AE9" i="65"/>
  <c r="AI110" i="49"/>
  <c r="AE9" i="62"/>
  <c r="AC114" i="68"/>
  <c r="L114" i="68"/>
  <c r="E114" i="68"/>
  <c r="AB8" i="84"/>
  <c r="AC8" i="68"/>
  <c r="AC8" i="66"/>
  <c r="AC8" i="64"/>
  <c r="AC8" i="69"/>
  <c r="AC8" i="67"/>
  <c r="AC8" i="63"/>
  <c r="AC8" i="65"/>
  <c r="AG109" i="49"/>
  <c r="AC8" i="62"/>
  <c r="AF114" i="68"/>
  <c r="O114" i="68"/>
  <c r="H114" i="68"/>
  <c r="AE8" i="84"/>
  <c r="AF8" i="69"/>
  <c r="AF8" i="68"/>
  <c r="AF8" i="66"/>
  <c r="AF8" i="64"/>
  <c r="AF8" i="63"/>
  <c r="AF8" i="65"/>
  <c r="AF8" i="67"/>
  <c r="AJ109" i="49"/>
  <c r="AF8" i="62"/>
  <c r="AD115" i="68"/>
  <c r="M115" i="68"/>
  <c r="F115" i="68"/>
  <c r="AD9" i="69"/>
  <c r="AC9" i="84"/>
  <c r="AD9" i="67"/>
  <c r="AD9" i="65"/>
  <c r="AD9" i="63"/>
  <c r="AD9" i="66"/>
  <c r="AD9" i="68"/>
  <c r="AD9" i="64"/>
  <c r="AD9" i="62"/>
  <c r="AH110" i="49"/>
  <c r="M114" i="68"/>
  <c r="F114" i="68"/>
  <c r="AD114" i="68"/>
  <c r="AD8" i="69"/>
  <c r="AD8" i="67"/>
  <c r="AD8" i="65"/>
  <c r="AD8" i="63"/>
  <c r="AD8" i="68"/>
  <c r="AC8" i="84"/>
  <c r="AD8" i="66"/>
  <c r="AD8" i="64"/>
  <c r="AD8" i="62"/>
  <c r="AH109" i="49"/>
  <c r="AC115" i="68"/>
  <c r="L115" i="68"/>
  <c r="E115" i="68"/>
  <c r="AC9" i="69"/>
  <c r="AB9" i="84"/>
  <c r="AC9" i="67"/>
  <c r="AC9" i="65"/>
  <c r="AC9" i="63"/>
  <c r="AC9" i="66"/>
  <c r="AC9" i="68"/>
  <c r="AC9" i="64"/>
  <c r="AC9" i="62"/>
  <c r="AG110" i="49"/>
  <c r="D42" i="22"/>
  <c r="J8" i="22"/>
  <c r="J42" i="22"/>
  <c r="P8" i="22"/>
  <c r="D41" i="22"/>
  <c r="P7" i="22"/>
  <c r="J7" i="22"/>
  <c r="J41" i="22"/>
  <c r="K7" i="22"/>
  <c r="K41" i="22"/>
  <c r="E41" i="22"/>
  <c r="Q7" i="22"/>
  <c r="H41" i="22"/>
  <c r="T7" i="22"/>
  <c r="N7" i="22"/>
  <c r="N41" i="22"/>
  <c r="L42" i="22"/>
  <c r="R8" i="22"/>
  <c r="F42" i="22"/>
  <c r="L8" i="22"/>
  <c r="H42" i="22"/>
  <c r="N8" i="22"/>
  <c r="N42" i="22"/>
  <c r="T8" i="22"/>
  <c r="M42" i="22"/>
  <c r="S8" i="22"/>
  <c r="G42" i="22"/>
  <c r="M8" i="22"/>
  <c r="L7" i="22"/>
  <c r="L41" i="22"/>
  <c r="F41" i="22"/>
  <c r="R7" i="22"/>
  <c r="K8" i="22"/>
  <c r="K42" i="22"/>
  <c r="Q8" i="22"/>
  <c r="E42" i="22"/>
  <c r="H8" i="22"/>
  <c r="G8" i="22"/>
  <c r="D8" i="22"/>
  <c r="F8" i="22"/>
  <c r="E8" i="22"/>
  <c r="O295" i="83"/>
  <c r="H295" i="83"/>
  <c r="H147" i="69"/>
  <c r="H219" i="69"/>
  <c r="H9" i="68"/>
  <c r="H255" i="67"/>
  <c r="H183" i="67"/>
  <c r="P9" i="84"/>
  <c r="H9" i="84"/>
  <c r="O116" i="83"/>
  <c r="H116" i="83"/>
  <c r="H9" i="69"/>
  <c r="O9" i="68"/>
  <c r="H147" i="67"/>
  <c r="AD147" i="67" s="1"/>
  <c r="AJ147" i="67" s="1"/>
  <c r="O9" i="83"/>
  <c r="H76" i="83"/>
  <c r="H183" i="69"/>
  <c r="H183" i="83"/>
  <c r="O9" i="69"/>
  <c r="H219" i="67"/>
  <c r="H9" i="83"/>
  <c r="H111" i="69"/>
  <c r="H255" i="69"/>
  <c r="H111" i="67"/>
  <c r="AD111" i="67" s="1"/>
  <c r="O9" i="67"/>
  <c r="H9" i="67"/>
  <c r="H111" i="66"/>
  <c r="H147" i="66"/>
  <c r="O9" i="66"/>
  <c r="H9" i="66"/>
  <c r="K295" i="83"/>
  <c r="D295" i="83"/>
  <c r="D147" i="69"/>
  <c r="D219" i="69"/>
  <c r="D9" i="68"/>
  <c r="D255" i="67"/>
  <c r="D183" i="67"/>
  <c r="L9" i="84"/>
  <c r="D9" i="84"/>
  <c r="K116" i="83"/>
  <c r="D116" i="83"/>
  <c r="D9" i="69"/>
  <c r="K9" i="68"/>
  <c r="D147" i="67"/>
  <c r="Z147" i="67" s="1"/>
  <c r="AF147" i="67" s="1"/>
  <c r="K9" i="69"/>
  <c r="D219" i="67"/>
  <c r="D9" i="83"/>
  <c r="D111" i="69"/>
  <c r="D255" i="69"/>
  <c r="K9" i="83"/>
  <c r="D111" i="67"/>
  <c r="Z111" i="67" s="1"/>
  <c r="D183" i="83"/>
  <c r="D76" i="83"/>
  <c r="D183" i="69"/>
  <c r="K9" i="67"/>
  <c r="D9" i="67"/>
  <c r="D111" i="66"/>
  <c r="D147" i="66"/>
  <c r="K9" i="66"/>
  <c r="D9" i="66"/>
  <c r="D7" i="22"/>
  <c r="AM326" i="83"/>
  <c r="D294" i="83"/>
  <c r="AB295" i="83"/>
  <c r="K294" i="83"/>
  <c r="D8" i="84"/>
  <c r="K115" i="83"/>
  <c r="D8" i="83"/>
  <c r="K8" i="69"/>
  <c r="Z3" i="69"/>
  <c r="D146" i="67"/>
  <c r="D110" i="67"/>
  <c r="D182" i="83"/>
  <c r="L8" i="84"/>
  <c r="Z183" i="83"/>
  <c r="D75" i="83"/>
  <c r="K8" i="83"/>
  <c r="D110" i="69"/>
  <c r="D182" i="69"/>
  <c r="D254" i="69"/>
  <c r="D218" i="67"/>
  <c r="D115" i="83"/>
  <c r="D146" i="69"/>
  <c r="D8" i="68"/>
  <c r="BC40" i="67"/>
  <c r="Z3" i="83"/>
  <c r="K8" i="68"/>
  <c r="D254" i="67"/>
  <c r="BS40" i="67"/>
  <c r="AX40" i="67"/>
  <c r="D218" i="69"/>
  <c r="BM40" i="67"/>
  <c r="AR40" i="67"/>
  <c r="D8" i="69"/>
  <c r="D182" i="67"/>
  <c r="BH40" i="67"/>
  <c r="AM40" i="67"/>
  <c r="K8" i="67"/>
  <c r="D110" i="66"/>
  <c r="D146" i="66"/>
  <c r="D8" i="67"/>
  <c r="K8" i="66"/>
  <c r="D8" i="66"/>
  <c r="G295" i="83"/>
  <c r="N295" i="83"/>
  <c r="G116" i="83"/>
  <c r="G9" i="69"/>
  <c r="N9" i="68"/>
  <c r="G147" i="67"/>
  <c r="AC147" i="67" s="1"/>
  <c r="AI147" i="67" s="1"/>
  <c r="G111" i="67"/>
  <c r="AC111" i="67" s="1"/>
  <c r="O9" i="84"/>
  <c r="G183" i="83"/>
  <c r="G9" i="84"/>
  <c r="N116" i="83"/>
  <c r="G76" i="83"/>
  <c r="G9" i="83"/>
  <c r="G111" i="69"/>
  <c r="G183" i="69"/>
  <c r="G255" i="69"/>
  <c r="N9" i="69"/>
  <c r="G219" i="67"/>
  <c r="G147" i="69"/>
  <c r="N9" i="83"/>
  <c r="G9" i="68"/>
  <c r="G255" i="67"/>
  <c r="G219" i="69"/>
  <c r="G183" i="67"/>
  <c r="G9" i="67"/>
  <c r="G111" i="66"/>
  <c r="G147" i="66"/>
  <c r="N9" i="67"/>
  <c r="N9" i="66"/>
  <c r="G9" i="66"/>
  <c r="E7" i="22"/>
  <c r="AC295" i="83"/>
  <c r="L294" i="83"/>
  <c r="E294" i="83"/>
  <c r="AN326" i="83"/>
  <c r="E115" i="83"/>
  <c r="E146" i="69"/>
  <c r="E218" i="69"/>
  <c r="E8" i="69"/>
  <c r="L8" i="68"/>
  <c r="E254" i="67"/>
  <c r="E182" i="67"/>
  <c r="BT40" i="67"/>
  <c r="BI40" i="67"/>
  <c r="AY40" i="67"/>
  <c r="AN40" i="67"/>
  <c r="M8" i="84"/>
  <c r="AA183" i="83"/>
  <c r="E8" i="84"/>
  <c r="L115" i="83"/>
  <c r="E8" i="83"/>
  <c r="L8" i="69"/>
  <c r="AA3" i="69"/>
  <c r="E146" i="67"/>
  <c r="E182" i="83"/>
  <c r="AA3" i="83"/>
  <c r="E75" i="83"/>
  <c r="E182" i="69"/>
  <c r="E110" i="67"/>
  <c r="BN40" i="67"/>
  <c r="AS40" i="67"/>
  <c r="E218" i="67"/>
  <c r="L8" i="83"/>
  <c r="E110" i="69"/>
  <c r="E254" i="69"/>
  <c r="E8" i="68"/>
  <c r="BD40" i="67"/>
  <c r="E8" i="67"/>
  <c r="L8" i="67"/>
  <c r="E110" i="66"/>
  <c r="E146" i="66"/>
  <c r="E8" i="66"/>
  <c r="L8" i="66"/>
  <c r="H7" i="22"/>
  <c r="AQ326" i="83"/>
  <c r="H294" i="83"/>
  <c r="O294" i="83"/>
  <c r="AF295" i="83"/>
  <c r="H8" i="84"/>
  <c r="O115" i="83"/>
  <c r="H8" i="83"/>
  <c r="O8" i="69"/>
  <c r="AD3" i="69"/>
  <c r="H146" i="67"/>
  <c r="H110" i="67"/>
  <c r="H182" i="83"/>
  <c r="P8" i="84"/>
  <c r="AD183" i="83"/>
  <c r="H75" i="83"/>
  <c r="O8" i="83"/>
  <c r="H110" i="69"/>
  <c r="H182" i="69"/>
  <c r="H254" i="69"/>
  <c r="H218" i="67"/>
  <c r="H218" i="69"/>
  <c r="BL40" i="67"/>
  <c r="AQ40" i="67"/>
  <c r="H8" i="69"/>
  <c r="H182" i="67"/>
  <c r="BG40" i="67"/>
  <c r="H146" i="69"/>
  <c r="H8" i="68"/>
  <c r="BW40" i="67"/>
  <c r="BB40" i="67"/>
  <c r="H115" i="83"/>
  <c r="AD3" i="83"/>
  <c r="O8" i="68"/>
  <c r="H254" i="67"/>
  <c r="BQ40" i="67"/>
  <c r="AV40" i="67"/>
  <c r="O8" i="67"/>
  <c r="H110" i="66"/>
  <c r="H8" i="67"/>
  <c r="H146" i="66"/>
  <c r="O8" i="66"/>
  <c r="H8" i="66"/>
  <c r="M295" i="83"/>
  <c r="F295" i="83"/>
  <c r="F9" i="84"/>
  <c r="M116" i="83"/>
  <c r="F76" i="83"/>
  <c r="F9" i="83"/>
  <c r="F111" i="69"/>
  <c r="F183" i="69"/>
  <c r="F255" i="69"/>
  <c r="M9" i="69"/>
  <c r="F219" i="67"/>
  <c r="N9" i="84"/>
  <c r="F183" i="83"/>
  <c r="M9" i="83"/>
  <c r="F183" i="67"/>
  <c r="F111" i="67"/>
  <c r="AB111" i="67" s="1"/>
  <c r="F116" i="83"/>
  <c r="F147" i="69"/>
  <c r="F9" i="69"/>
  <c r="F147" i="67"/>
  <c r="AB147" i="67" s="1"/>
  <c r="AH147" i="67" s="1"/>
  <c r="F9" i="68"/>
  <c r="F255" i="67"/>
  <c r="F219" i="69"/>
  <c r="M9" i="68"/>
  <c r="M9" i="67"/>
  <c r="F147" i="66"/>
  <c r="F9" i="67"/>
  <c r="F111" i="66"/>
  <c r="F9" i="66"/>
  <c r="M9" i="66"/>
  <c r="F7" i="22"/>
  <c r="AD295" i="83"/>
  <c r="M294" i="83"/>
  <c r="AO326" i="83"/>
  <c r="F294" i="83"/>
  <c r="F182" i="83"/>
  <c r="AB3" i="83"/>
  <c r="F8" i="68"/>
  <c r="N8" i="84"/>
  <c r="F8" i="84"/>
  <c r="M115" i="83"/>
  <c r="F115" i="83"/>
  <c r="F146" i="69"/>
  <c r="F218" i="69"/>
  <c r="F8" i="69"/>
  <c r="M8" i="68"/>
  <c r="F254" i="67"/>
  <c r="F182" i="67"/>
  <c r="AB183" i="83"/>
  <c r="F75" i="83"/>
  <c r="F182" i="69"/>
  <c r="M8" i="69"/>
  <c r="F146" i="67"/>
  <c r="F110" i="67"/>
  <c r="BU40" i="67"/>
  <c r="BO40" i="67"/>
  <c r="AZ40" i="67"/>
  <c r="AT40" i="67"/>
  <c r="F8" i="83"/>
  <c r="F218" i="67"/>
  <c r="M8" i="83"/>
  <c r="F110" i="69"/>
  <c r="F254" i="69"/>
  <c r="BJ40" i="67"/>
  <c r="BE40" i="67"/>
  <c r="AO40" i="67"/>
  <c r="AB3" i="69"/>
  <c r="F146" i="66"/>
  <c r="F110" i="66"/>
  <c r="F8" i="67"/>
  <c r="M8" i="67"/>
  <c r="M8" i="66"/>
  <c r="F8" i="66"/>
  <c r="E295" i="83"/>
  <c r="L295" i="83"/>
  <c r="M9" i="84"/>
  <c r="E183" i="83"/>
  <c r="L9" i="83"/>
  <c r="E9" i="84"/>
  <c r="E116" i="83"/>
  <c r="E147" i="69"/>
  <c r="E219" i="69"/>
  <c r="E9" i="68"/>
  <c r="E255" i="67"/>
  <c r="E183" i="67"/>
  <c r="L116" i="83"/>
  <c r="E9" i="83"/>
  <c r="E111" i="69"/>
  <c r="E255" i="69"/>
  <c r="L9" i="68"/>
  <c r="E111" i="67"/>
  <c r="AA111" i="67" s="1"/>
  <c r="E76" i="83"/>
  <c r="E183" i="69"/>
  <c r="E9" i="69"/>
  <c r="E147" i="67"/>
  <c r="AA147" i="67" s="1"/>
  <c r="AG147" i="67" s="1"/>
  <c r="L9" i="69"/>
  <c r="E219" i="67"/>
  <c r="E147" i="66"/>
  <c r="E9" i="67"/>
  <c r="AW40" i="67" s="1"/>
  <c r="L9" i="67"/>
  <c r="E111" i="66"/>
  <c r="L9" i="66"/>
  <c r="E9" i="66"/>
  <c r="O9" i="63"/>
  <c r="H9" i="62"/>
  <c r="O9" i="65"/>
  <c r="H9" i="64"/>
  <c r="H9" i="65"/>
  <c r="H9" i="63"/>
  <c r="O9" i="64"/>
  <c r="O9" i="62"/>
  <c r="K8" i="65"/>
  <c r="D8" i="64"/>
  <c r="K8" i="63"/>
  <c r="D8" i="63"/>
  <c r="D8" i="65"/>
  <c r="K8" i="62"/>
  <c r="D8" i="62"/>
  <c r="K8" i="64"/>
  <c r="G9" i="65"/>
  <c r="N9" i="62"/>
  <c r="G9" i="63"/>
  <c r="N9" i="64"/>
  <c r="N9" i="63"/>
  <c r="G9" i="62"/>
  <c r="N9" i="65"/>
  <c r="G9" i="64"/>
  <c r="E8" i="65"/>
  <c r="L8" i="62"/>
  <c r="E8" i="63"/>
  <c r="L8" i="63"/>
  <c r="E8" i="62"/>
  <c r="L8" i="64"/>
  <c r="L8" i="65"/>
  <c r="E8" i="64"/>
  <c r="K9" i="63"/>
  <c r="D9" i="62"/>
  <c r="K9" i="64"/>
  <c r="D9" i="64"/>
  <c r="D9" i="65"/>
  <c r="K9" i="62"/>
  <c r="D9" i="63"/>
  <c r="K9" i="65"/>
  <c r="O8" i="65"/>
  <c r="H8" i="64"/>
  <c r="O8" i="63"/>
  <c r="O8" i="64"/>
  <c r="H8" i="65"/>
  <c r="O8" i="62"/>
  <c r="H8" i="62"/>
  <c r="H8" i="63"/>
  <c r="M9" i="65"/>
  <c r="F9" i="64"/>
  <c r="M9" i="63"/>
  <c r="M9" i="64"/>
  <c r="F9" i="65"/>
  <c r="M9" i="62"/>
  <c r="F9" i="62"/>
  <c r="F9" i="63"/>
  <c r="M8" i="63"/>
  <c r="F8" i="62"/>
  <c r="M8" i="64"/>
  <c r="F8" i="64"/>
  <c r="F8" i="65"/>
  <c r="M8" i="62"/>
  <c r="F8" i="63"/>
  <c r="M8" i="65"/>
  <c r="E9" i="63"/>
  <c r="L9" i="64"/>
  <c r="E9" i="65"/>
  <c r="L9" i="63"/>
  <c r="L9" i="65"/>
  <c r="E9" i="64"/>
  <c r="L9" i="62"/>
  <c r="E9" i="62"/>
  <c r="D111" i="62"/>
  <c r="D111" i="63"/>
  <c r="E110" i="62"/>
  <c r="E110" i="63"/>
  <c r="F111" i="63"/>
  <c r="F111" i="62"/>
  <c r="H111" i="62"/>
  <c r="H111" i="63"/>
  <c r="D110" i="63"/>
  <c r="D110" i="62"/>
  <c r="G111" i="62"/>
  <c r="G111" i="63"/>
  <c r="H110" i="62"/>
  <c r="H110" i="63"/>
  <c r="F110" i="63"/>
  <c r="F110" i="62"/>
  <c r="E111" i="63"/>
  <c r="E111" i="62"/>
  <c r="N11" i="75"/>
  <c r="M12" i="75"/>
  <c r="K8" i="49"/>
  <c r="D110" i="49"/>
  <c r="D146" i="49"/>
  <c r="AS39" i="49"/>
  <c r="AB8" i="49"/>
  <c r="Z146" i="49"/>
  <c r="AX39" i="49"/>
  <c r="AM39" i="49"/>
  <c r="Z109" i="49"/>
  <c r="K9" i="49"/>
  <c r="AM40" i="49"/>
  <c r="AS40" i="49"/>
  <c r="AB9" i="49"/>
  <c r="Z147" i="49"/>
  <c r="D111" i="49"/>
  <c r="AX40" i="49"/>
  <c r="Z110" i="49"/>
  <c r="D147" i="49"/>
  <c r="N8" i="49"/>
  <c r="G110" i="49"/>
  <c r="BA39" i="49"/>
  <c r="AP39" i="49"/>
  <c r="AC109" i="49"/>
  <c r="G146" i="49"/>
  <c r="AV39" i="49"/>
  <c r="AE8" i="49"/>
  <c r="AC146" i="49"/>
  <c r="M9" i="49"/>
  <c r="AZ40" i="49"/>
  <c r="AO40" i="49"/>
  <c r="AB110" i="49"/>
  <c r="F147" i="49"/>
  <c r="AU40" i="49"/>
  <c r="AD9" i="49"/>
  <c r="AB147" i="49"/>
  <c r="F111" i="49"/>
  <c r="M8" i="49"/>
  <c r="AD8" i="49"/>
  <c r="F110" i="49"/>
  <c r="AZ39" i="49"/>
  <c r="AO39" i="49"/>
  <c r="AB109" i="49"/>
  <c r="F146" i="49"/>
  <c r="AU39" i="49"/>
  <c r="AB146" i="49"/>
  <c r="L9" i="49"/>
  <c r="AA147" i="49"/>
  <c r="E111" i="49"/>
  <c r="AY40" i="49"/>
  <c r="AN40" i="49"/>
  <c r="AA110" i="49"/>
  <c r="E147" i="49"/>
  <c r="AT40" i="49"/>
  <c r="AC9" i="49"/>
  <c r="O9" i="49"/>
  <c r="BB40" i="49"/>
  <c r="AD110" i="49"/>
  <c r="H147" i="49"/>
  <c r="AW40" i="49"/>
  <c r="AF9" i="49"/>
  <c r="AD147" i="49"/>
  <c r="H111" i="49"/>
  <c r="AQ40" i="49"/>
  <c r="O8" i="49"/>
  <c r="AD109" i="49"/>
  <c r="AW39" i="49"/>
  <c r="AF8" i="49"/>
  <c r="AD146" i="49"/>
  <c r="H110" i="49"/>
  <c r="BB39" i="49"/>
  <c r="AQ39" i="49"/>
  <c r="H146" i="49"/>
  <c r="N9" i="49"/>
  <c r="AP40" i="49"/>
  <c r="G147" i="49"/>
  <c r="AV40" i="49"/>
  <c r="AE9" i="49"/>
  <c r="AC147" i="49"/>
  <c r="G111" i="49"/>
  <c r="BA40" i="49"/>
  <c r="AC110" i="49"/>
  <c r="L8" i="49"/>
  <c r="AY39" i="49"/>
  <c r="AT39" i="49"/>
  <c r="AC8" i="49"/>
  <c r="AA146" i="49"/>
  <c r="E110" i="49"/>
  <c r="AN39" i="49"/>
  <c r="AA109" i="49"/>
  <c r="E146" i="49"/>
  <c r="H8" i="49"/>
  <c r="G9" i="49"/>
  <c r="G8" i="49"/>
  <c r="F9" i="49"/>
  <c r="F8" i="49"/>
  <c r="E9" i="49"/>
  <c r="D8" i="49"/>
  <c r="H9" i="49"/>
  <c r="D9" i="49"/>
  <c r="E8" i="49"/>
  <c r="Q113" i="68" l="1"/>
  <c r="R8" i="70"/>
  <c r="Y288" i="69"/>
  <c r="Q7" i="68"/>
  <c r="AM40" i="83"/>
  <c r="Q7" i="83"/>
  <c r="AW40" i="83"/>
  <c r="BB40" i="83" s="1"/>
  <c r="Q7" i="66"/>
  <c r="Q7" i="67"/>
  <c r="AQ40" i="83"/>
  <c r="Q114" i="83"/>
  <c r="AN40" i="83"/>
  <c r="AU40" i="83"/>
  <c r="AZ40" i="83" s="1"/>
  <c r="AV40" i="83"/>
  <c r="BA40" i="83" s="1"/>
  <c r="AP40" i="83"/>
  <c r="AT40" i="83"/>
  <c r="AY40" i="83" s="1"/>
  <c r="AO40" i="83"/>
  <c r="AS40" i="83"/>
  <c r="AX40" i="83" s="1"/>
  <c r="Q7" i="69"/>
  <c r="R7" i="84"/>
  <c r="Q293" i="83"/>
  <c r="Q7" i="62"/>
  <c r="Q7" i="64"/>
  <c r="Q7" i="65"/>
  <c r="Q7" i="63"/>
  <c r="AJ163" i="50"/>
  <c r="DG109" i="50"/>
  <c r="AE136" i="50"/>
  <c r="BX163" i="50"/>
  <c r="BD163" i="50"/>
  <c r="AT136" i="50"/>
  <c r="AE163" i="50"/>
  <c r="DQ109" i="50"/>
  <c r="AO109" i="50"/>
  <c r="DV109" i="50"/>
  <c r="AY109" i="50"/>
  <c r="BX109" i="50"/>
  <c r="BX136" i="50"/>
  <c r="DL109" i="50"/>
  <c r="AT109" i="50"/>
  <c r="CC163" i="50"/>
  <c r="BN136" i="50"/>
  <c r="AY163" i="50"/>
  <c r="AT163" i="50"/>
  <c r="AJ136" i="50"/>
  <c r="BN109" i="50"/>
  <c r="CW109" i="50"/>
  <c r="CH109" i="50"/>
  <c r="BI109" i="50"/>
  <c r="DB109" i="50"/>
  <c r="BS109" i="50"/>
  <c r="EA109" i="50"/>
  <c r="BS136" i="50"/>
  <c r="BI136" i="50"/>
  <c r="AO163" i="50"/>
  <c r="BS163" i="50"/>
  <c r="CC109" i="50"/>
  <c r="CM109" i="50"/>
  <c r="AY136" i="50"/>
  <c r="AJ109" i="50"/>
  <c r="BI163" i="50"/>
  <c r="BD109" i="50"/>
  <c r="BN163" i="50"/>
  <c r="CR109" i="50"/>
  <c r="AO136" i="50"/>
  <c r="AE109" i="50"/>
  <c r="BD136" i="50"/>
  <c r="AJ190" i="50" s="1"/>
  <c r="AH136" i="50"/>
  <c r="AW136" i="50"/>
  <c r="BV163" i="50"/>
  <c r="AW163" i="50"/>
  <c r="BL136" i="50"/>
  <c r="DY109" i="50"/>
  <c r="AR109" i="50"/>
  <c r="CK109" i="50"/>
  <c r="AM109" i="50"/>
  <c r="BV109" i="50"/>
  <c r="CU109" i="50"/>
  <c r="AW109" i="50"/>
  <c r="CA109" i="50"/>
  <c r="DE109" i="50"/>
  <c r="BB109" i="50"/>
  <c r="CF109" i="50"/>
  <c r="AC136" i="50"/>
  <c r="AR136" i="50"/>
  <c r="AM163" i="50"/>
  <c r="AR163" i="50"/>
  <c r="AH163" i="50"/>
  <c r="AH109" i="50"/>
  <c r="AC109" i="50"/>
  <c r="BG109" i="50"/>
  <c r="DO109" i="50"/>
  <c r="BG136" i="50"/>
  <c r="BL163" i="50"/>
  <c r="BQ163" i="50"/>
  <c r="BG163" i="50"/>
  <c r="CA163" i="50"/>
  <c r="DT109" i="50"/>
  <c r="DJ109" i="50"/>
  <c r="BB163" i="50"/>
  <c r="CP109" i="50"/>
  <c r="BB136" i="50"/>
  <c r="BQ136" i="50"/>
  <c r="CZ109" i="50"/>
  <c r="BQ109" i="50"/>
  <c r="AM136" i="50"/>
  <c r="BV136" i="50"/>
  <c r="BL109" i="50"/>
  <c r="BK136" i="50"/>
  <c r="AL136" i="50"/>
  <c r="BF136" i="50"/>
  <c r="BU136" i="50"/>
  <c r="BA136" i="50"/>
  <c r="AG163" i="50"/>
  <c r="AV109" i="50"/>
  <c r="BU109" i="50"/>
  <c r="CE109" i="50"/>
  <c r="CO109" i="50"/>
  <c r="AL109" i="50"/>
  <c r="CY109" i="50"/>
  <c r="DD109" i="50"/>
  <c r="AQ136" i="50"/>
  <c r="AG136" i="50"/>
  <c r="AV136" i="50"/>
  <c r="AL163" i="50"/>
  <c r="AV163" i="50"/>
  <c r="DN109" i="50"/>
  <c r="DX109" i="50"/>
  <c r="AB109" i="50"/>
  <c r="BP109" i="50"/>
  <c r="BP163" i="50"/>
  <c r="AB136" i="50"/>
  <c r="BF163" i="50"/>
  <c r="BP136" i="50"/>
  <c r="AQ163" i="50"/>
  <c r="CT109" i="50"/>
  <c r="BF109" i="50"/>
  <c r="BZ109" i="50"/>
  <c r="BA163" i="50"/>
  <c r="BZ163" i="50"/>
  <c r="CJ109" i="50"/>
  <c r="DI109" i="50"/>
  <c r="BK163" i="50"/>
  <c r="AG109" i="50"/>
  <c r="AQ109" i="50"/>
  <c r="DS109" i="50"/>
  <c r="BU163" i="50"/>
  <c r="BA109" i="50"/>
  <c r="BK109" i="50"/>
  <c r="AD163" i="50"/>
  <c r="AI163" i="50"/>
  <c r="DZ109" i="50"/>
  <c r="AI136" i="50"/>
  <c r="BH163" i="50"/>
  <c r="BM163" i="50"/>
  <c r="AD136" i="50"/>
  <c r="BH109" i="50"/>
  <c r="DK109" i="50"/>
  <c r="CB109" i="50"/>
  <c r="AS109" i="50"/>
  <c r="BC109" i="50"/>
  <c r="DF109" i="50"/>
  <c r="BW136" i="50"/>
  <c r="BM136" i="50"/>
  <c r="AN163" i="50"/>
  <c r="AX109" i="50"/>
  <c r="BW109" i="50"/>
  <c r="CG109" i="50"/>
  <c r="CB163" i="50"/>
  <c r="AX136" i="50"/>
  <c r="BR136" i="50"/>
  <c r="AX163" i="50"/>
  <c r="BW163" i="50"/>
  <c r="BR109" i="50"/>
  <c r="AN109" i="50"/>
  <c r="AI109" i="50"/>
  <c r="CV109" i="50"/>
  <c r="AS136" i="50"/>
  <c r="AS163" i="50"/>
  <c r="CL109" i="50"/>
  <c r="CQ109" i="50"/>
  <c r="AD109" i="50"/>
  <c r="BH136" i="50"/>
  <c r="DA109" i="50"/>
  <c r="BM109" i="50"/>
  <c r="BR163" i="50"/>
  <c r="DU109" i="50"/>
  <c r="DP109" i="50"/>
  <c r="BC136" i="50"/>
  <c r="BC163" i="50"/>
  <c r="AN136" i="50"/>
  <c r="BO136" i="50"/>
  <c r="BT163" i="50"/>
  <c r="AK136" i="50"/>
  <c r="BO163" i="50"/>
  <c r="AF136" i="50"/>
  <c r="AK163" i="50"/>
  <c r="CX109" i="50"/>
  <c r="AF109" i="50"/>
  <c r="DC109" i="50"/>
  <c r="AP109" i="50"/>
  <c r="AU109" i="50"/>
  <c r="EB109" i="50"/>
  <c r="BY163" i="50"/>
  <c r="AU136" i="50"/>
  <c r="BE163" i="50"/>
  <c r="BJ163" i="50"/>
  <c r="AU163" i="50"/>
  <c r="BJ136" i="50"/>
  <c r="BT109" i="50"/>
  <c r="DM109" i="50"/>
  <c r="DW109" i="50"/>
  <c r="DR109" i="50"/>
  <c r="BJ109" i="50"/>
  <c r="CS109" i="50"/>
  <c r="CI109" i="50"/>
  <c r="BY136" i="50"/>
  <c r="CD163" i="50"/>
  <c r="AZ163" i="50"/>
  <c r="BE136" i="50"/>
  <c r="AP163" i="50"/>
  <c r="AZ109" i="50"/>
  <c r="DH109" i="50"/>
  <c r="BT136" i="50"/>
  <c r="AF163" i="50"/>
  <c r="BE109" i="50"/>
  <c r="AZ136" i="50"/>
  <c r="CN109" i="50"/>
  <c r="AP136" i="50"/>
  <c r="AK109" i="50"/>
  <c r="CD109" i="50"/>
  <c r="BY109" i="50"/>
  <c r="BO109" i="50"/>
  <c r="AS137" i="50"/>
  <c r="BW137" i="50"/>
  <c r="AD137" i="50"/>
  <c r="AX137" i="50"/>
  <c r="BC137" i="50"/>
  <c r="BW110" i="50"/>
  <c r="CQ110" i="50"/>
  <c r="CL110" i="50"/>
  <c r="BH110" i="50"/>
  <c r="DU110" i="50"/>
  <c r="BR137" i="50"/>
  <c r="BM164" i="50"/>
  <c r="AN164" i="50"/>
  <c r="BW164" i="50"/>
  <c r="AD164" i="50"/>
  <c r="AN110" i="50"/>
  <c r="BC110" i="50"/>
  <c r="CV110" i="50"/>
  <c r="CB110" i="50"/>
  <c r="CB164" i="50"/>
  <c r="BH164" i="50"/>
  <c r="BC164" i="50"/>
  <c r="BR164" i="50"/>
  <c r="AS164" i="50"/>
  <c r="AI164" i="50"/>
  <c r="DP110" i="50"/>
  <c r="DZ110" i="50"/>
  <c r="BH137" i="50"/>
  <c r="DF110" i="50"/>
  <c r="AX110" i="50"/>
  <c r="AS110" i="50"/>
  <c r="AN137" i="50"/>
  <c r="AD110" i="50"/>
  <c r="CG110" i="50"/>
  <c r="DK110" i="50"/>
  <c r="BR110" i="50"/>
  <c r="BM110" i="50"/>
  <c r="BM137" i="50"/>
  <c r="AI137" i="50"/>
  <c r="AI110" i="50"/>
  <c r="DA110" i="50"/>
  <c r="AX164" i="50"/>
  <c r="DS110" i="50"/>
  <c r="BZ164" i="50"/>
  <c r="BP164" i="50"/>
  <c r="BU164" i="50"/>
  <c r="BK164" i="50"/>
  <c r="DN110" i="50"/>
  <c r="BA110" i="50"/>
  <c r="DD110" i="50"/>
  <c r="AL110" i="50"/>
  <c r="DI110" i="50"/>
  <c r="BP110" i="50"/>
  <c r="BA137" i="50"/>
  <c r="BK137" i="50"/>
  <c r="AB137" i="50"/>
  <c r="BU110" i="50"/>
  <c r="BU137" i="50"/>
  <c r="AV137" i="50"/>
  <c r="BP137" i="50"/>
  <c r="BF164" i="50"/>
  <c r="AV164" i="50"/>
  <c r="AG164" i="50"/>
  <c r="DX110" i="50"/>
  <c r="CE110" i="50"/>
  <c r="BF110" i="50"/>
  <c r="AG110" i="50"/>
  <c r="CY110" i="50"/>
  <c r="AQ137" i="50"/>
  <c r="AQ164" i="50"/>
  <c r="AB110" i="50"/>
  <c r="CT110" i="50"/>
  <c r="BA164" i="50"/>
  <c r="CJ110" i="50"/>
  <c r="AL137" i="50"/>
  <c r="BK110" i="50"/>
  <c r="CO110" i="50"/>
  <c r="BF137" i="50"/>
  <c r="AV110" i="50"/>
  <c r="AQ110" i="50"/>
  <c r="AL164" i="50"/>
  <c r="AG137" i="50"/>
  <c r="BZ110" i="50"/>
  <c r="AF164" i="50"/>
  <c r="DW110" i="50"/>
  <c r="AF137" i="50"/>
  <c r="AP137" i="50"/>
  <c r="BJ137" i="50"/>
  <c r="AZ164" i="50"/>
  <c r="BY110" i="50"/>
  <c r="AF110" i="50"/>
  <c r="BJ110" i="50"/>
  <c r="CS110" i="50"/>
  <c r="AU110" i="50"/>
  <c r="CD164" i="50"/>
  <c r="AU164" i="50"/>
  <c r="AK164" i="50"/>
  <c r="CX110" i="50"/>
  <c r="BE110" i="50"/>
  <c r="BY137" i="50"/>
  <c r="BT164" i="50"/>
  <c r="BY164" i="50"/>
  <c r="BJ164" i="50"/>
  <c r="BO137" i="50"/>
  <c r="BO110" i="50"/>
  <c r="DR110" i="50"/>
  <c r="CD110" i="50"/>
  <c r="AP110" i="50"/>
  <c r="DM110" i="50"/>
  <c r="CN110" i="50"/>
  <c r="AZ110" i="50"/>
  <c r="BE137" i="50"/>
  <c r="AZ137" i="50"/>
  <c r="BE164" i="50"/>
  <c r="EB110" i="50"/>
  <c r="AU137" i="50"/>
  <c r="BT137" i="50"/>
  <c r="DH110" i="50"/>
  <c r="AK137" i="50"/>
  <c r="AP164" i="50"/>
  <c r="BT110" i="50"/>
  <c r="AK110" i="50"/>
  <c r="CI110" i="50"/>
  <c r="DC110" i="50"/>
  <c r="BO164" i="50"/>
  <c r="AC110" i="50"/>
  <c r="BQ137" i="50"/>
  <c r="BG137" i="50"/>
  <c r="AW164" i="50"/>
  <c r="AR137" i="50"/>
  <c r="AH137" i="50"/>
  <c r="DE110" i="50"/>
  <c r="CU110" i="50"/>
  <c r="CK110" i="50"/>
  <c r="CP110" i="50"/>
  <c r="BQ110" i="50"/>
  <c r="AW137" i="50"/>
  <c r="BB137" i="50"/>
  <c r="AR164" i="50"/>
  <c r="AM137" i="50"/>
  <c r="BL110" i="50"/>
  <c r="BB110" i="50"/>
  <c r="CA110" i="50"/>
  <c r="CZ110" i="50"/>
  <c r="AH110" i="50"/>
  <c r="BV137" i="50"/>
  <c r="AC137" i="50"/>
  <c r="BL164" i="50"/>
  <c r="BV164" i="50"/>
  <c r="BG164" i="50"/>
  <c r="AH164" i="50"/>
  <c r="CF110" i="50"/>
  <c r="CA164" i="50"/>
  <c r="AM164" i="50"/>
  <c r="DO110" i="50"/>
  <c r="DT110" i="50"/>
  <c r="BB164" i="50"/>
  <c r="DY110" i="50"/>
  <c r="AM110" i="50"/>
  <c r="AW110" i="50"/>
  <c r="BL137" i="50"/>
  <c r="BG110" i="50"/>
  <c r="DJ110" i="50"/>
  <c r="BQ164" i="50"/>
  <c r="AR110" i="50"/>
  <c r="BV110" i="50"/>
  <c r="Q7" i="49"/>
  <c r="M13" i="75"/>
  <c r="N12" i="75"/>
  <c r="B323" i="69" l="1"/>
  <c r="B288" i="69"/>
  <c r="AK191" i="50"/>
  <c r="AH191" i="50"/>
  <c r="AK190" i="50"/>
  <c r="AM191" i="50"/>
  <c r="AI191" i="50"/>
  <c r="AL190" i="50"/>
  <c r="AN191" i="50"/>
  <c r="AH190" i="50"/>
  <c r="AP191" i="50"/>
  <c r="BZ191" i="50"/>
  <c r="AE190" i="50"/>
  <c r="CC190" i="50"/>
  <c r="AP190" i="50"/>
  <c r="AI190" i="50"/>
  <c r="AF191" i="50"/>
  <c r="CD191" i="50"/>
  <c r="AL191" i="50"/>
  <c r="AG191" i="50"/>
  <c r="CB191" i="50"/>
  <c r="AD191" i="50"/>
  <c r="CD190" i="50"/>
  <c r="AF190" i="50"/>
  <c r="AD190" i="50"/>
  <c r="CB190" i="50"/>
  <c r="AG190" i="50"/>
  <c r="AM190" i="50"/>
  <c r="AO190" i="50"/>
  <c r="CA191" i="50"/>
  <c r="AN190" i="50"/>
  <c r="BZ190" i="50"/>
  <c r="CA190" i="50"/>
  <c r="N13" i="75"/>
  <c r="M14" i="75"/>
  <c r="AZ32" i="50"/>
  <c r="AY32" i="50"/>
  <c r="AX32" i="50"/>
  <c r="AW32" i="50"/>
  <c r="AV32" i="50"/>
  <c r="AU32" i="50"/>
  <c r="AT32" i="50"/>
  <c r="AS32" i="50"/>
  <c r="AR32" i="50"/>
  <c r="AQ32" i="50"/>
  <c r="AP32" i="50"/>
  <c r="AO32" i="50"/>
  <c r="AN32" i="50"/>
  <c r="AM32" i="50"/>
  <c r="AL32" i="50"/>
  <c r="AK32" i="50"/>
  <c r="AJ32" i="50"/>
  <c r="AI32" i="50"/>
  <c r="AH32" i="50"/>
  <c r="AG32" i="50"/>
  <c r="AF32" i="50"/>
  <c r="AZ30" i="50"/>
  <c r="AY30" i="50"/>
  <c r="AX30" i="50"/>
  <c r="AW30" i="50"/>
  <c r="AV30" i="50"/>
  <c r="AU30" i="50"/>
  <c r="AT30" i="50"/>
  <c r="AS30" i="50"/>
  <c r="AR30" i="50"/>
  <c r="AQ30" i="50"/>
  <c r="AP30" i="50"/>
  <c r="AO30" i="50"/>
  <c r="AN30" i="50"/>
  <c r="AM30" i="50"/>
  <c r="AL30" i="50"/>
  <c r="AK30" i="50"/>
  <c r="AJ30" i="50"/>
  <c r="AI30" i="50"/>
  <c r="AH30" i="50"/>
  <c r="AG30" i="50"/>
  <c r="AF30" i="50"/>
  <c r="AU29" i="50"/>
  <c r="AT29" i="50"/>
  <c r="AS29" i="50"/>
  <c r="AR29" i="50"/>
  <c r="AQ29" i="50"/>
  <c r="AP29" i="50"/>
  <c r="AO29" i="50"/>
  <c r="AN29" i="50"/>
  <c r="AM29" i="50"/>
  <c r="AL29" i="50"/>
  <c r="AK29" i="50"/>
  <c r="AJ29" i="50"/>
  <c r="AI29" i="50"/>
  <c r="AH29" i="50"/>
  <c r="AG29" i="50"/>
  <c r="AF29" i="50"/>
  <c r="AU28" i="50"/>
  <c r="AT28" i="50"/>
  <c r="AS28" i="50"/>
  <c r="AR28" i="50"/>
  <c r="AQ28" i="50"/>
  <c r="AP28" i="50"/>
  <c r="AO28" i="50"/>
  <c r="AN28" i="50"/>
  <c r="AM28" i="50"/>
  <c r="AL28" i="50"/>
  <c r="AK28" i="50"/>
  <c r="AJ28" i="50"/>
  <c r="AI28" i="50"/>
  <c r="AH28" i="50"/>
  <c r="AG28" i="50"/>
  <c r="AF28" i="50"/>
  <c r="AU27" i="50"/>
  <c r="AT27" i="50"/>
  <c r="AS27" i="50"/>
  <c r="AR27" i="50"/>
  <c r="AQ27" i="50"/>
  <c r="AP27" i="50"/>
  <c r="AO27" i="50"/>
  <c r="AN27" i="50"/>
  <c r="AM27" i="50"/>
  <c r="AL27" i="50"/>
  <c r="AK27" i="50"/>
  <c r="AJ27" i="50"/>
  <c r="AI27" i="50"/>
  <c r="AH27" i="50"/>
  <c r="AG27" i="50"/>
  <c r="AF27" i="50"/>
  <c r="AU26" i="50"/>
  <c r="AT26" i="50"/>
  <c r="AS26" i="50"/>
  <c r="AR26" i="50"/>
  <c r="AQ26" i="50"/>
  <c r="AP26" i="50"/>
  <c r="AO26" i="50"/>
  <c r="AN26" i="50"/>
  <c r="AM26" i="50"/>
  <c r="AL26" i="50"/>
  <c r="AK26" i="50"/>
  <c r="AJ26" i="50"/>
  <c r="AI26" i="50"/>
  <c r="AH26" i="50"/>
  <c r="AG26" i="50"/>
  <c r="AF26" i="50"/>
  <c r="AU25" i="50"/>
  <c r="AT25" i="50"/>
  <c r="AS25" i="50"/>
  <c r="AR25" i="50"/>
  <c r="AQ25" i="50"/>
  <c r="AP25" i="50"/>
  <c r="AO25" i="50"/>
  <c r="AN25" i="50"/>
  <c r="AM25" i="50"/>
  <c r="AL25" i="50"/>
  <c r="AK25" i="50"/>
  <c r="AJ25" i="50"/>
  <c r="AI25" i="50"/>
  <c r="AH25" i="50"/>
  <c r="AG25" i="50"/>
  <c r="AF25" i="50"/>
  <c r="AU24" i="50"/>
  <c r="AT24" i="50"/>
  <c r="AS24" i="50"/>
  <c r="AR24" i="50"/>
  <c r="AQ24" i="50"/>
  <c r="AP24" i="50"/>
  <c r="AO24" i="50"/>
  <c r="AN24" i="50"/>
  <c r="AM24" i="50"/>
  <c r="AL24" i="50"/>
  <c r="AK24" i="50"/>
  <c r="AJ24" i="50"/>
  <c r="AI24" i="50"/>
  <c r="AH24" i="50"/>
  <c r="AG24" i="50"/>
  <c r="AF24" i="50"/>
  <c r="AU23" i="50"/>
  <c r="AT23" i="50"/>
  <c r="AS23" i="50"/>
  <c r="AR23" i="50"/>
  <c r="AQ23" i="50"/>
  <c r="AP23" i="50"/>
  <c r="AO23" i="50"/>
  <c r="AN23" i="50"/>
  <c r="AM23" i="50"/>
  <c r="AL23" i="50"/>
  <c r="AK23" i="50"/>
  <c r="AJ23" i="50"/>
  <c r="AI23" i="50"/>
  <c r="AH23" i="50"/>
  <c r="AG23" i="50"/>
  <c r="AF23" i="50"/>
  <c r="AU22" i="50"/>
  <c r="AT22" i="50"/>
  <c r="AS22" i="50"/>
  <c r="AR22" i="50"/>
  <c r="AQ22" i="50"/>
  <c r="AP22" i="50"/>
  <c r="AO22" i="50"/>
  <c r="AN22" i="50"/>
  <c r="AM22" i="50"/>
  <c r="AL22" i="50"/>
  <c r="AK22" i="50"/>
  <c r="AJ22" i="50"/>
  <c r="AI22" i="50"/>
  <c r="AH22" i="50"/>
  <c r="AG22" i="50"/>
  <c r="AF22" i="50"/>
  <c r="AU21" i="50"/>
  <c r="AT21" i="50"/>
  <c r="AS21" i="50"/>
  <c r="AR21" i="50"/>
  <c r="AQ21" i="50"/>
  <c r="AP21" i="50"/>
  <c r="AO21" i="50"/>
  <c r="AN21" i="50"/>
  <c r="AM21" i="50"/>
  <c r="AL21" i="50"/>
  <c r="AK21" i="50"/>
  <c r="AJ21" i="50"/>
  <c r="AI21" i="50"/>
  <c r="AH21" i="50"/>
  <c r="AG21" i="50"/>
  <c r="AF21" i="50"/>
  <c r="AU20" i="50"/>
  <c r="AT20" i="50"/>
  <c r="AS20" i="50"/>
  <c r="AR20" i="50"/>
  <c r="AQ20" i="50"/>
  <c r="AP20" i="50"/>
  <c r="AO20" i="50"/>
  <c r="AN20" i="50"/>
  <c r="AM20" i="50"/>
  <c r="AL20" i="50"/>
  <c r="AK20" i="50"/>
  <c r="AJ20" i="50"/>
  <c r="AI20" i="50"/>
  <c r="AH20" i="50"/>
  <c r="AG20" i="50"/>
  <c r="AF20" i="50"/>
  <c r="AU19" i="50"/>
  <c r="AT19" i="50"/>
  <c r="AS19" i="50"/>
  <c r="AR19" i="50"/>
  <c r="AQ19" i="50"/>
  <c r="AP19" i="50"/>
  <c r="AO19" i="50"/>
  <c r="AN19" i="50"/>
  <c r="AM19" i="50"/>
  <c r="AL19" i="50"/>
  <c r="AK19" i="50"/>
  <c r="AJ19" i="50"/>
  <c r="AI19" i="50"/>
  <c r="AH19" i="50"/>
  <c r="AG19" i="50"/>
  <c r="AF19" i="50"/>
  <c r="AV18" i="50"/>
  <c r="AU18" i="50"/>
  <c r="AT18" i="50"/>
  <c r="AS18" i="50"/>
  <c r="AR18" i="50"/>
  <c r="AQ18" i="50"/>
  <c r="AP18" i="50"/>
  <c r="AO18" i="50"/>
  <c r="AN18" i="50"/>
  <c r="AM18" i="50"/>
  <c r="AL18" i="50"/>
  <c r="AK18" i="50"/>
  <c r="AJ18" i="50"/>
  <c r="AI18" i="50"/>
  <c r="AH18" i="50"/>
  <c r="AG18" i="50"/>
  <c r="AF18" i="50"/>
  <c r="AU17" i="50"/>
  <c r="AT17" i="50"/>
  <c r="AS17" i="50"/>
  <c r="AR17" i="50"/>
  <c r="AQ17" i="50"/>
  <c r="AP17" i="50"/>
  <c r="AO17" i="50"/>
  <c r="AN17" i="50"/>
  <c r="AM17" i="50"/>
  <c r="AL17" i="50"/>
  <c r="AK17" i="50"/>
  <c r="AJ17" i="50"/>
  <c r="AI17" i="50"/>
  <c r="AH17" i="50"/>
  <c r="AG17" i="50"/>
  <c r="AF17" i="50"/>
  <c r="AU16" i="50"/>
  <c r="AT16" i="50"/>
  <c r="AS16" i="50"/>
  <c r="AR16" i="50"/>
  <c r="AQ16" i="50"/>
  <c r="AP16" i="50"/>
  <c r="AO16" i="50"/>
  <c r="AN16" i="50"/>
  <c r="AM16" i="50"/>
  <c r="AL16" i="50"/>
  <c r="AK16" i="50"/>
  <c r="AJ16" i="50"/>
  <c r="AI16" i="50"/>
  <c r="AH16" i="50"/>
  <c r="AG16" i="50"/>
  <c r="AF16" i="50"/>
  <c r="AU15" i="50"/>
  <c r="AT15" i="50"/>
  <c r="AS15" i="50"/>
  <c r="AR15" i="50"/>
  <c r="AQ15" i="50"/>
  <c r="AP15" i="50"/>
  <c r="AO15" i="50"/>
  <c r="AN15" i="50"/>
  <c r="AM15" i="50"/>
  <c r="AL15" i="50"/>
  <c r="AK15" i="50"/>
  <c r="AJ15" i="50"/>
  <c r="AI15" i="50"/>
  <c r="AH15" i="50"/>
  <c r="AG15" i="50"/>
  <c r="AF15" i="50"/>
  <c r="AU14" i="50"/>
  <c r="AT14" i="50"/>
  <c r="AS14" i="50"/>
  <c r="AR14" i="50"/>
  <c r="AQ14" i="50"/>
  <c r="AP14" i="50"/>
  <c r="AO14" i="50"/>
  <c r="AN14" i="50"/>
  <c r="AM14" i="50"/>
  <c r="AL14" i="50"/>
  <c r="AK14" i="50"/>
  <c r="AJ14" i="50"/>
  <c r="AI14" i="50"/>
  <c r="AH14" i="50"/>
  <c r="AG14" i="50"/>
  <c r="AF14" i="50"/>
  <c r="AU13" i="50"/>
  <c r="AT13" i="50"/>
  <c r="AS13" i="50"/>
  <c r="AR13" i="50"/>
  <c r="AQ13" i="50"/>
  <c r="AP13" i="50"/>
  <c r="AO13" i="50"/>
  <c r="AN13" i="50"/>
  <c r="AM13" i="50"/>
  <c r="AL13" i="50"/>
  <c r="AK13" i="50"/>
  <c r="AJ13" i="50"/>
  <c r="AI13" i="50"/>
  <c r="AH13" i="50"/>
  <c r="AG13" i="50"/>
  <c r="AF13" i="50"/>
  <c r="AU12" i="50"/>
  <c r="AT12" i="50"/>
  <c r="AS12" i="50"/>
  <c r="AR12" i="50"/>
  <c r="AQ12" i="50"/>
  <c r="AP12" i="50"/>
  <c r="AO12" i="50"/>
  <c r="AN12" i="50"/>
  <c r="AM12" i="50"/>
  <c r="AL12" i="50"/>
  <c r="AK12" i="50"/>
  <c r="AJ12" i="50"/>
  <c r="AI12" i="50"/>
  <c r="AH12" i="50"/>
  <c r="AG12" i="50"/>
  <c r="AF12" i="50"/>
  <c r="AU11" i="50"/>
  <c r="AT11" i="50"/>
  <c r="AS11" i="50"/>
  <c r="AR11" i="50"/>
  <c r="AQ11" i="50"/>
  <c r="AP11" i="50"/>
  <c r="AO11" i="50"/>
  <c r="AN11" i="50"/>
  <c r="AM11" i="50"/>
  <c r="AL11" i="50"/>
  <c r="AK11" i="50"/>
  <c r="AJ11" i="50"/>
  <c r="AI11" i="50"/>
  <c r="AH11" i="50"/>
  <c r="AG11" i="50"/>
  <c r="AF11" i="50"/>
  <c r="AU10" i="50"/>
  <c r="AT10" i="50"/>
  <c r="AS10" i="50"/>
  <c r="AR10" i="50"/>
  <c r="AQ10" i="50"/>
  <c r="AP10" i="50"/>
  <c r="AO10" i="50"/>
  <c r="AN10" i="50"/>
  <c r="AM10" i="50"/>
  <c r="AL10" i="50"/>
  <c r="AK10" i="50"/>
  <c r="AJ10" i="50"/>
  <c r="AI10" i="50"/>
  <c r="AH10" i="50"/>
  <c r="AG10" i="50"/>
  <c r="AF10" i="50"/>
  <c r="AU9" i="50"/>
  <c r="AT9" i="50"/>
  <c r="AS9" i="50"/>
  <c r="AR9" i="50"/>
  <c r="AQ9" i="50"/>
  <c r="AP9" i="50"/>
  <c r="AO9" i="50"/>
  <c r="AN9" i="50"/>
  <c r="AM9" i="50"/>
  <c r="AL9" i="50"/>
  <c r="AK9" i="50"/>
  <c r="AJ9" i="50"/>
  <c r="AI9" i="50"/>
  <c r="AH9" i="50"/>
  <c r="AG9" i="50"/>
  <c r="AF9" i="50"/>
  <c r="AZ9" i="50"/>
  <c r="AY9" i="50"/>
  <c r="AX9" i="50"/>
  <c r="AW9" i="50"/>
  <c r="AV9" i="50"/>
  <c r="AZ10" i="50"/>
  <c r="AY10" i="50"/>
  <c r="AX10" i="50"/>
  <c r="AW10" i="50"/>
  <c r="AV10" i="50"/>
  <c r="AZ11" i="50"/>
  <c r="AY11" i="50"/>
  <c r="AX11" i="50"/>
  <c r="AW11" i="50"/>
  <c r="AV11" i="50"/>
  <c r="AZ12" i="50"/>
  <c r="AY12" i="50"/>
  <c r="AX12" i="50"/>
  <c r="AW12" i="50"/>
  <c r="AV12" i="50"/>
  <c r="AZ13" i="50"/>
  <c r="AY13" i="50"/>
  <c r="AX13" i="50"/>
  <c r="AW13" i="50"/>
  <c r="AV13" i="50"/>
  <c r="AZ14" i="50"/>
  <c r="AY14" i="50"/>
  <c r="AX14" i="50"/>
  <c r="AW14" i="50"/>
  <c r="AV14" i="50"/>
  <c r="AZ15" i="50"/>
  <c r="AY15" i="50"/>
  <c r="AX15" i="50"/>
  <c r="AW15" i="50"/>
  <c r="AV15" i="50"/>
  <c r="AZ16" i="50"/>
  <c r="AY16" i="50"/>
  <c r="AX16" i="50"/>
  <c r="AW16" i="50"/>
  <c r="AV16" i="50"/>
  <c r="AZ17" i="50"/>
  <c r="AY17" i="50"/>
  <c r="AX17" i="50"/>
  <c r="AW17" i="50"/>
  <c r="AV17" i="50"/>
  <c r="AZ18" i="50"/>
  <c r="AY18" i="50"/>
  <c r="AX18" i="50"/>
  <c r="AW18" i="50"/>
  <c r="AZ19" i="50"/>
  <c r="AY19" i="50"/>
  <c r="AX19" i="50"/>
  <c r="AW19" i="50"/>
  <c r="AV19" i="50"/>
  <c r="AZ20" i="50"/>
  <c r="AY20" i="50"/>
  <c r="AX20" i="50"/>
  <c r="AW20" i="50"/>
  <c r="AV20" i="50"/>
  <c r="AZ21" i="50"/>
  <c r="AY21" i="50"/>
  <c r="AX21" i="50"/>
  <c r="AW21" i="50"/>
  <c r="AV21" i="50"/>
  <c r="AZ22" i="50"/>
  <c r="AY22" i="50"/>
  <c r="AX22" i="50"/>
  <c r="AW22" i="50"/>
  <c r="AV22" i="50"/>
  <c r="AZ23" i="50"/>
  <c r="AY23" i="50"/>
  <c r="AX23" i="50"/>
  <c r="AW23" i="50"/>
  <c r="AV23" i="50"/>
  <c r="AZ24" i="50"/>
  <c r="AY24" i="50"/>
  <c r="AX24" i="50"/>
  <c r="AW24" i="50"/>
  <c r="AV24" i="50"/>
  <c r="AZ25" i="50"/>
  <c r="AY25" i="50"/>
  <c r="AX25" i="50"/>
  <c r="AW25" i="50"/>
  <c r="AV25" i="50"/>
  <c r="AZ26" i="50"/>
  <c r="AY26" i="50"/>
  <c r="AX26" i="50"/>
  <c r="AW26" i="50"/>
  <c r="AV26" i="50"/>
  <c r="AZ27" i="50"/>
  <c r="AY27" i="50"/>
  <c r="AX27" i="50"/>
  <c r="AW27" i="50"/>
  <c r="AV27" i="50"/>
  <c r="AZ28" i="50"/>
  <c r="AY28" i="50"/>
  <c r="AX28" i="50"/>
  <c r="AW28" i="50"/>
  <c r="AV28" i="50"/>
  <c r="AZ29" i="50"/>
  <c r="AY29" i="50"/>
  <c r="AX29" i="50"/>
  <c r="AW29" i="50"/>
  <c r="AV29" i="50"/>
  <c r="M15" i="75" l="1"/>
  <c r="N14" i="75"/>
  <c r="BA10" i="50"/>
  <c r="BL34" i="50" s="1"/>
  <c r="BA14" i="50"/>
  <c r="BI38" i="50" s="1"/>
  <c r="BA9" i="50"/>
  <c r="BL33" i="50" s="1"/>
  <c r="BA13" i="50"/>
  <c r="BK37" i="50" s="1"/>
  <c r="BA28" i="50"/>
  <c r="AZ76" i="50" s="1"/>
  <c r="AJ31" i="50"/>
  <c r="BA24" i="50"/>
  <c r="BI48" i="50" s="1"/>
  <c r="BA20" i="50"/>
  <c r="AJ68" i="50" s="1"/>
  <c r="BA17" i="50"/>
  <c r="BI41" i="50" s="1"/>
  <c r="AW31" i="50"/>
  <c r="AG31" i="50"/>
  <c r="AK31" i="50"/>
  <c r="AO31" i="50"/>
  <c r="AS31" i="50"/>
  <c r="BA23" i="50"/>
  <c r="BK47" i="50" s="1"/>
  <c r="BA12" i="50"/>
  <c r="BG36" i="50" s="1"/>
  <c r="AV31" i="50"/>
  <c r="AN31" i="50"/>
  <c r="BA25" i="50"/>
  <c r="BD49" i="50" s="1"/>
  <c r="BA21" i="50"/>
  <c r="BJ45" i="50" s="1"/>
  <c r="BA18" i="50"/>
  <c r="BL42" i="50" s="1"/>
  <c r="AX31" i="50"/>
  <c r="AH31" i="50"/>
  <c r="AL31" i="50"/>
  <c r="AP31" i="50"/>
  <c r="AT31" i="50"/>
  <c r="BA27" i="50"/>
  <c r="AG75" i="50" s="1"/>
  <c r="BA19" i="50"/>
  <c r="BI43" i="50" s="1"/>
  <c r="BA16" i="50"/>
  <c r="BI40" i="50" s="1"/>
  <c r="AZ31" i="50"/>
  <c r="AF31" i="50"/>
  <c r="AR31" i="50"/>
  <c r="BA29" i="50"/>
  <c r="AW77" i="50" s="1"/>
  <c r="BA26" i="50"/>
  <c r="AQ74" i="50" s="1"/>
  <c r="BA22" i="50"/>
  <c r="BK46" i="50" s="1"/>
  <c r="BA15" i="50"/>
  <c r="AQ63" i="50" s="1"/>
  <c r="BA11" i="50"/>
  <c r="BM35" i="50" s="1"/>
  <c r="AY31" i="50"/>
  <c r="AI31" i="50"/>
  <c r="AM31" i="50"/>
  <c r="AQ31" i="50"/>
  <c r="AU31" i="50"/>
  <c r="BA30" i="50"/>
  <c r="AQ78" i="50" s="1"/>
  <c r="BA32" i="50"/>
  <c r="AI80" i="50" s="1"/>
  <c r="AM71" i="50" l="1"/>
  <c r="AL76" i="50"/>
  <c r="AU76" i="50"/>
  <c r="AR76" i="50"/>
  <c r="AI76" i="50"/>
  <c r="AI58" i="50"/>
  <c r="AP76" i="50"/>
  <c r="AK76" i="50"/>
  <c r="AS76" i="50"/>
  <c r="AL58" i="50"/>
  <c r="M16" i="75"/>
  <c r="N15" i="75"/>
  <c r="AF71" i="50"/>
  <c r="AW58" i="50"/>
  <c r="AR72" i="50"/>
  <c r="AG73" i="50"/>
  <c r="AP71" i="50"/>
  <c r="AI73" i="50"/>
  <c r="AI59" i="50"/>
  <c r="AI57" i="50"/>
  <c r="AK72" i="50"/>
  <c r="AN71" i="50"/>
  <c r="AI72" i="50"/>
  <c r="AH72" i="50"/>
  <c r="AT73" i="50"/>
  <c r="AM61" i="50"/>
  <c r="AH61" i="50"/>
  <c r="AR69" i="50"/>
  <c r="AT69" i="50"/>
  <c r="AY62" i="50"/>
  <c r="AO68" i="50"/>
  <c r="AU77" i="50"/>
  <c r="AN68" i="50"/>
  <c r="AJ61" i="50"/>
  <c r="AN61" i="50"/>
  <c r="AW61" i="50"/>
  <c r="AT68" i="50"/>
  <c r="AQ59" i="50"/>
  <c r="AK69" i="50"/>
  <c r="AT74" i="50"/>
  <c r="AM69" i="50"/>
  <c r="AZ61" i="50"/>
  <c r="AH57" i="50"/>
  <c r="BA57" i="50"/>
  <c r="AS70" i="50"/>
  <c r="AU61" i="50"/>
  <c r="AV66" i="50"/>
  <c r="AS64" i="50"/>
  <c r="AP61" i="50"/>
  <c r="AO61" i="50"/>
  <c r="AS77" i="50"/>
  <c r="AI68" i="50"/>
  <c r="AQ73" i="50"/>
  <c r="AU69" i="50"/>
  <c r="AH77" i="50"/>
  <c r="AL69" i="50"/>
  <c r="AK64" i="50"/>
  <c r="AI61" i="50"/>
  <c r="AZ64" i="50"/>
  <c r="AV61" i="50"/>
  <c r="AL61" i="50"/>
  <c r="AY71" i="50"/>
  <c r="AK61" i="50"/>
  <c r="BA61" i="50"/>
  <c r="AM63" i="50"/>
  <c r="AS69" i="50"/>
  <c r="AN77" i="50"/>
  <c r="AJ73" i="50"/>
  <c r="AJ69" i="50"/>
  <c r="AS68" i="50"/>
  <c r="AF75" i="50"/>
  <c r="AF68" i="50"/>
  <c r="AQ61" i="50"/>
  <c r="AH64" i="50"/>
  <c r="AH62" i="50"/>
  <c r="AR61" i="50"/>
  <c r="AX61" i="50"/>
  <c r="AX77" i="50"/>
  <c r="AU72" i="50"/>
  <c r="AJ77" i="50"/>
  <c r="AT72" i="50"/>
  <c r="AQ77" i="50"/>
  <c r="AG72" i="50"/>
  <c r="AT77" i="50"/>
  <c r="AZ72" i="50"/>
  <c r="AW72" i="50"/>
  <c r="AK77" i="50"/>
  <c r="AO73" i="50"/>
  <c r="AQ72" i="50"/>
  <c r="AU70" i="50"/>
  <c r="AF77" i="50"/>
  <c r="AR73" i="50"/>
  <c r="AP72" i="50"/>
  <c r="AH71" i="50"/>
  <c r="AM77" i="50"/>
  <c r="AG76" i="50"/>
  <c r="AS72" i="50"/>
  <c r="AS71" i="50"/>
  <c r="AP77" i="50"/>
  <c r="AN76" i="50"/>
  <c r="AP73" i="50"/>
  <c r="AJ72" i="50"/>
  <c r="AN70" i="50"/>
  <c r="AU62" i="50"/>
  <c r="AM57" i="50"/>
  <c r="AY72" i="50"/>
  <c r="AR62" i="50"/>
  <c r="AL57" i="50"/>
  <c r="AX76" i="50"/>
  <c r="AN57" i="50"/>
  <c r="AG62" i="50"/>
  <c r="AZ77" i="50"/>
  <c r="BA62" i="50"/>
  <c r="BK49" i="50"/>
  <c r="AR60" i="50"/>
  <c r="AO77" i="50"/>
  <c r="AN72" i="50"/>
  <c r="AG77" i="50"/>
  <c r="AK73" i="50"/>
  <c r="AM72" i="50"/>
  <c r="AR77" i="50"/>
  <c r="AN73" i="50"/>
  <c r="AL72" i="50"/>
  <c r="AP70" i="50"/>
  <c r="AI77" i="50"/>
  <c r="AU73" i="50"/>
  <c r="AO72" i="50"/>
  <c r="AK71" i="50"/>
  <c r="AL77" i="50"/>
  <c r="AF76" i="50"/>
  <c r="AH73" i="50"/>
  <c r="AF72" i="50"/>
  <c r="AI62" i="50"/>
  <c r="AX72" i="50"/>
  <c r="AP62" i="50"/>
  <c r="BG37" i="50"/>
  <c r="AM76" i="50"/>
  <c r="AM68" i="50"/>
  <c r="AT76" i="50"/>
  <c r="AT75" i="50"/>
  <c r="AL68" i="50"/>
  <c r="AG74" i="50"/>
  <c r="AL66" i="50"/>
  <c r="AJ76" i="50"/>
  <c r="AR68" i="50"/>
  <c r="AM62" i="50"/>
  <c r="AI60" i="50"/>
  <c r="AX62" i="50"/>
  <c r="AT62" i="50"/>
  <c r="AH60" i="50"/>
  <c r="AS62" i="50"/>
  <c r="AV62" i="50"/>
  <c r="BB28" i="50"/>
  <c r="AS52" i="50" s="1"/>
  <c r="BE48" i="50"/>
  <c r="BG38" i="50"/>
  <c r="AF61" i="50"/>
  <c r="AK62" i="50"/>
  <c r="AG61" i="50"/>
  <c r="AW76" i="50"/>
  <c r="BB14" i="50"/>
  <c r="AQ38" i="50" s="1"/>
  <c r="AT61" i="50"/>
  <c r="BB13" i="50"/>
  <c r="AY37" i="50" s="1"/>
  <c r="BI52" i="50"/>
  <c r="BL53" i="50"/>
  <c r="BJ38" i="50"/>
  <c r="AQ76" i="50"/>
  <c r="AQ75" i="50"/>
  <c r="AQ68" i="50"/>
  <c r="AF66" i="50"/>
  <c r="AH76" i="50"/>
  <c r="AP68" i="50"/>
  <c r="AO76" i="50"/>
  <c r="AG68" i="50"/>
  <c r="AF74" i="50"/>
  <c r="AQ62" i="50"/>
  <c r="AQ60" i="50"/>
  <c r="AY68" i="50"/>
  <c r="AY76" i="50"/>
  <c r="AN64" i="50"/>
  <c r="AJ62" i="50"/>
  <c r="AZ62" i="50"/>
  <c r="AN62" i="50"/>
  <c r="AS61" i="50"/>
  <c r="AY61" i="50"/>
  <c r="BH53" i="50"/>
  <c r="BL48" i="50"/>
  <c r="BJ40" i="50"/>
  <c r="AQ65" i="50"/>
  <c r="AZ69" i="50"/>
  <c r="AW57" i="50"/>
  <c r="BJ33" i="50"/>
  <c r="BM45" i="50"/>
  <c r="BG45" i="50"/>
  <c r="BK36" i="50"/>
  <c r="AO69" i="50"/>
  <c r="AH70" i="50"/>
  <c r="AF69" i="50"/>
  <c r="AP67" i="50"/>
  <c r="AK70" i="50"/>
  <c r="AI69" i="50"/>
  <c r="AS67" i="50"/>
  <c r="AF70" i="50"/>
  <c r="AH69" i="50"/>
  <c r="AR67" i="50"/>
  <c r="AG64" i="50"/>
  <c r="AM60" i="50"/>
  <c r="AX69" i="50"/>
  <c r="AR57" i="50"/>
  <c r="AW64" i="50"/>
  <c r="AW60" i="50"/>
  <c r="AJ57" i="50"/>
  <c r="AS57" i="50"/>
  <c r="AY57" i="50"/>
  <c r="BH48" i="50"/>
  <c r="BG40" i="50"/>
  <c r="BM36" i="50"/>
  <c r="BI45" i="50"/>
  <c r="BM41" i="50"/>
  <c r="BG41" i="50"/>
  <c r="BM56" i="50"/>
  <c r="BK41" i="50"/>
  <c r="BM44" i="50"/>
  <c r="BM40" i="50"/>
  <c r="BL36" i="50"/>
  <c r="AM70" i="50"/>
  <c r="AG69" i="50"/>
  <c r="AN69" i="50"/>
  <c r="AQ69" i="50"/>
  <c r="AP69" i="50"/>
  <c r="AO64" i="50"/>
  <c r="AV64" i="50"/>
  <c r="AV57" i="50"/>
  <c r="AF60" i="50"/>
  <c r="AY69" i="50"/>
  <c r="AP60" i="50"/>
  <c r="AW69" i="50"/>
  <c r="AG58" i="50"/>
  <c r="AK57" i="50"/>
  <c r="AU58" i="50"/>
  <c r="AX57" i="50"/>
  <c r="BK48" i="50"/>
  <c r="BK53" i="50"/>
  <c r="BI37" i="50"/>
  <c r="BL45" i="50"/>
  <c r="BK54" i="50"/>
  <c r="BJ54" i="50"/>
  <c r="AJ78" i="50"/>
  <c r="BK50" i="50"/>
  <c r="BM50" i="50"/>
  <c r="BJ50" i="50"/>
  <c r="AV74" i="50"/>
  <c r="BF51" i="50"/>
  <c r="BG51" i="50"/>
  <c r="AZ75" i="50"/>
  <c r="AO66" i="50"/>
  <c r="BF50" i="50"/>
  <c r="BM39" i="50"/>
  <c r="AM75" i="50"/>
  <c r="AM74" i="50"/>
  <c r="AN80" i="50"/>
  <c r="AP75" i="50"/>
  <c r="AP74" i="50"/>
  <c r="AS75" i="50"/>
  <c r="AY78" i="50"/>
  <c r="AI78" i="50"/>
  <c r="AI75" i="50"/>
  <c r="AI74" i="50"/>
  <c r="AN66" i="50"/>
  <c r="AT78" i="50"/>
  <c r="AL75" i="50"/>
  <c r="AL74" i="50"/>
  <c r="AQ66" i="50"/>
  <c r="AO75" i="50"/>
  <c r="AO74" i="50"/>
  <c r="AT66" i="50"/>
  <c r="AT80" i="50"/>
  <c r="AN75" i="50"/>
  <c r="AN74" i="50"/>
  <c r="AJ67" i="50"/>
  <c r="AU63" i="50"/>
  <c r="BE35" i="50"/>
  <c r="BF35" i="50"/>
  <c r="BJ35" i="50"/>
  <c r="BD35" i="50"/>
  <c r="BH35" i="50"/>
  <c r="BL35" i="50"/>
  <c r="BG35" i="50"/>
  <c r="AF59" i="50"/>
  <c r="AN59" i="50"/>
  <c r="AH59" i="50"/>
  <c r="AR59" i="50"/>
  <c r="AM59" i="50"/>
  <c r="AV75" i="50"/>
  <c r="AX59" i="50"/>
  <c r="AY75" i="50"/>
  <c r="AM66" i="50"/>
  <c r="AH63" i="50"/>
  <c r="AP59" i="50"/>
  <c r="AX68" i="50"/>
  <c r="BL49" i="50"/>
  <c r="BJ49" i="50"/>
  <c r="AK59" i="50"/>
  <c r="AK58" i="50"/>
  <c r="AR58" i="50"/>
  <c r="AT58" i="50"/>
  <c r="BB10" i="50"/>
  <c r="BA34" i="50" s="1"/>
  <c r="BL54" i="50"/>
  <c r="BG50" i="50"/>
  <c r="BD33" i="50"/>
  <c r="BH33" i="50"/>
  <c r="BF33" i="50"/>
  <c r="BE33" i="50"/>
  <c r="BK33" i="50"/>
  <c r="BI33" i="50"/>
  <c r="AU57" i="50"/>
  <c r="AT57" i="50"/>
  <c r="AO57" i="50"/>
  <c r="AF57" i="50"/>
  <c r="AZ57" i="50"/>
  <c r="BK43" i="50"/>
  <c r="BG42" i="50"/>
  <c r="BM43" i="50"/>
  <c r="BG56" i="50"/>
  <c r="AU78" i="50"/>
  <c r="AU75" i="50"/>
  <c r="AU74" i="50"/>
  <c r="AS73" i="50"/>
  <c r="AU71" i="50"/>
  <c r="AU68" i="50"/>
  <c r="AI67" i="50"/>
  <c r="AJ66" i="50"/>
  <c r="AL78" i="50"/>
  <c r="AH75" i="50"/>
  <c r="AH74" i="50"/>
  <c r="AF73" i="50"/>
  <c r="AH68" i="50"/>
  <c r="AK75" i="50"/>
  <c r="AK74" i="50"/>
  <c r="AM73" i="50"/>
  <c r="AK68" i="50"/>
  <c r="AP66" i="50"/>
  <c r="AZ78" i="50"/>
  <c r="AJ75" i="50"/>
  <c r="AJ74" i="50"/>
  <c r="AL73" i="50"/>
  <c r="AQ57" i="50"/>
  <c r="AX66" i="50"/>
  <c r="AF58" i="50"/>
  <c r="AL59" i="50"/>
  <c r="AP57" i="50"/>
  <c r="AN58" i="50"/>
  <c r="AG57" i="50"/>
  <c r="AZ58" i="50"/>
  <c r="BB9" i="50"/>
  <c r="BE52" i="50"/>
  <c r="BA76" i="50"/>
  <c r="AV76" i="50"/>
  <c r="BF53" i="50"/>
  <c r="BE51" i="50"/>
  <c r="BD53" i="50"/>
  <c r="BJ53" i="50"/>
  <c r="BF49" i="50"/>
  <c r="BD38" i="50"/>
  <c r="BH38" i="50"/>
  <c r="BE38" i="50"/>
  <c r="BF38" i="50"/>
  <c r="AO62" i="50"/>
  <c r="AW62" i="50"/>
  <c r="AL62" i="50"/>
  <c r="AF62" i="50"/>
  <c r="BK38" i="50"/>
  <c r="BM33" i="50"/>
  <c r="BG33" i="50"/>
  <c r="BM38" i="50"/>
  <c r="BL38" i="50"/>
  <c r="BE39" i="50"/>
  <c r="BF39" i="50"/>
  <c r="BJ39" i="50"/>
  <c r="BD39" i="50"/>
  <c r="BH39" i="50"/>
  <c r="BL39" i="50"/>
  <c r="BI39" i="50"/>
  <c r="AP63" i="50"/>
  <c r="AY66" i="50"/>
  <c r="BD42" i="50"/>
  <c r="BH42" i="50"/>
  <c r="BE42" i="50"/>
  <c r="BF42" i="50"/>
  <c r="BK42" i="50"/>
  <c r="AI66" i="50"/>
  <c r="AZ66" i="50"/>
  <c r="BI54" i="50"/>
  <c r="BF34" i="50"/>
  <c r="BD34" i="50"/>
  <c r="BH34" i="50"/>
  <c r="BE34" i="50"/>
  <c r="BI34" i="50"/>
  <c r="BG34" i="50"/>
  <c r="AS58" i="50"/>
  <c r="AX58" i="50"/>
  <c r="AJ58" i="50"/>
  <c r="AY58" i="50"/>
  <c r="AH58" i="50"/>
  <c r="AP58" i="50"/>
  <c r="AM58" i="50"/>
  <c r="BJ34" i="50"/>
  <c r="BJ42" i="50"/>
  <c r="AY80" i="50"/>
  <c r="BD56" i="50"/>
  <c r="BH56" i="50"/>
  <c r="BL56" i="50"/>
  <c r="BE56" i="50"/>
  <c r="BF56" i="50"/>
  <c r="BJ56" i="50"/>
  <c r="BK56" i="50"/>
  <c r="AM78" i="50"/>
  <c r="AR66" i="50"/>
  <c r="AU66" i="50"/>
  <c r="AS74" i="50"/>
  <c r="AH66" i="50"/>
  <c r="AR75" i="50"/>
  <c r="AR74" i="50"/>
  <c r="AI63" i="50"/>
  <c r="AQ58" i="50"/>
  <c r="AW74" i="50"/>
  <c r="AJ63" i="50"/>
  <c r="BE43" i="50"/>
  <c r="BF43" i="50"/>
  <c r="BD43" i="50"/>
  <c r="BH43" i="50"/>
  <c r="BL43" i="50"/>
  <c r="BG43" i="50"/>
  <c r="BJ43" i="50"/>
  <c r="AW75" i="50"/>
  <c r="AW66" i="50"/>
  <c r="AS63" i="50"/>
  <c r="AO58" i="50"/>
  <c r="AV68" i="50"/>
  <c r="BD44" i="50"/>
  <c r="BH44" i="50"/>
  <c r="BL44" i="50"/>
  <c r="BE44" i="50"/>
  <c r="BF44" i="50"/>
  <c r="BJ44" i="50"/>
  <c r="BG44" i="50"/>
  <c r="AG66" i="50"/>
  <c r="AV58" i="50"/>
  <c r="BA58" i="50"/>
  <c r="BH50" i="50"/>
  <c r="BJ51" i="50"/>
  <c r="BE54" i="50"/>
  <c r="BK34" i="50"/>
  <c r="BI42" i="50"/>
  <c r="BK35" i="50"/>
  <c r="BK39" i="50"/>
  <c r="BK44" i="50"/>
  <c r="BG39" i="50"/>
  <c r="BM34" i="50"/>
  <c r="BM42" i="50"/>
  <c r="BI56" i="50"/>
  <c r="BI35" i="50"/>
  <c r="BI44" i="50"/>
  <c r="AU64" i="50"/>
  <c r="BD40" i="50"/>
  <c r="BH40" i="50"/>
  <c r="BE40" i="50"/>
  <c r="BF40" i="50"/>
  <c r="BE45" i="50"/>
  <c r="BF45" i="50"/>
  <c r="BD45" i="50"/>
  <c r="BH45" i="50"/>
  <c r="AO60" i="50"/>
  <c r="BD36" i="50"/>
  <c r="BH36" i="50"/>
  <c r="BE36" i="50"/>
  <c r="BF36" i="50"/>
  <c r="BE41" i="50"/>
  <c r="BF41" i="50"/>
  <c r="BJ41" i="50"/>
  <c r="BD41" i="50"/>
  <c r="BH41" i="50"/>
  <c r="BL41" i="50"/>
  <c r="AP65" i="50"/>
  <c r="BE37" i="50"/>
  <c r="BF37" i="50"/>
  <c r="BJ37" i="50"/>
  <c r="BD37" i="50"/>
  <c r="BH37" i="50"/>
  <c r="BL37" i="50"/>
  <c r="BI36" i="50"/>
  <c r="BM37" i="50"/>
  <c r="BL40" i="50"/>
  <c r="BK40" i="50"/>
  <c r="BK45" i="50"/>
  <c r="BJ36" i="50"/>
  <c r="BD47" i="50"/>
  <c r="BD46" i="50"/>
  <c r="AQ71" i="50"/>
  <c r="AQ70" i="50"/>
  <c r="AT71" i="50"/>
  <c r="AT70" i="50"/>
  <c r="AG71" i="50"/>
  <c r="AG70" i="50"/>
  <c r="AR78" i="50"/>
  <c r="AJ71" i="50"/>
  <c r="AJ70" i="50"/>
  <c r="AZ71" i="50"/>
  <c r="BI53" i="50"/>
  <c r="BM53" i="50"/>
  <c r="BE53" i="50"/>
  <c r="AY77" i="50"/>
  <c r="BJ48" i="50"/>
  <c r="BG48" i="50"/>
  <c r="BJ52" i="50"/>
  <c r="BG52" i="50"/>
  <c r="BH52" i="50"/>
  <c r="BH46" i="50"/>
  <c r="BD52" i="50"/>
  <c r="BF47" i="50"/>
  <c r="BL52" i="50"/>
  <c r="BD51" i="50"/>
  <c r="BM46" i="50"/>
  <c r="BK52" i="50"/>
  <c r="BF52" i="50"/>
  <c r="BF48" i="50"/>
  <c r="BL50" i="50"/>
  <c r="BM52" i="50"/>
  <c r="BG54" i="50"/>
  <c r="BD48" i="50"/>
  <c r="AV70" i="50"/>
  <c r="BL47" i="50"/>
  <c r="BI47" i="50"/>
  <c r="BM47" i="50"/>
  <c r="BE46" i="50"/>
  <c r="BH47" i="50"/>
  <c r="BI46" i="50"/>
  <c r="BG47" i="50"/>
  <c r="BG46" i="50"/>
  <c r="AI71" i="50"/>
  <c r="AI70" i="50"/>
  <c r="AL71" i="50"/>
  <c r="AL70" i="50"/>
  <c r="AO71" i="50"/>
  <c r="AO70" i="50"/>
  <c r="AR71" i="50"/>
  <c r="AR70" i="50"/>
  <c r="BL51" i="50"/>
  <c r="BI51" i="50"/>
  <c r="BM51" i="50"/>
  <c r="AV73" i="50"/>
  <c r="BE49" i="50"/>
  <c r="BI49" i="50"/>
  <c r="BM49" i="50"/>
  <c r="AY73" i="50"/>
  <c r="AV72" i="50"/>
  <c r="BH54" i="50"/>
  <c r="BH49" i="50"/>
  <c r="BF54" i="50"/>
  <c r="BD50" i="50"/>
  <c r="BJ46" i="50"/>
  <c r="BH51" i="50"/>
  <c r="BE47" i="50"/>
  <c r="BJ47" i="50"/>
  <c r="BI50" i="50"/>
  <c r="BG53" i="50"/>
  <c r="BG49" i="50"/>
  <c r="BL46" i="50"/>
  <c r="BM48" i="50"/>
  <c r="BM54" i="50"/>
  <c r="BD54" i="50"/>
  <c r="BE50" i="50"/>
  <c r="BF46" i="50"/>
  <c r="BK51" i="50"/>
  <c r="AS80" i="50"/>
  <c r="AL80" i="50"/>
  <c r="BA67" i="50"/>
  <c r="BB19" i="50"/>
  <c r="BA43" i="50" s="1"/>
  <c r="AX67" i="50"/>
  <c r="AY67" i="50"/>
  <c r="AW67" i="50"/>
  <c r="AV67" i="50"/>
  <c r="AG67" i="50"/>
  <c r="AT67" i="50"/>
  <c r="AM67" i="50"/>
  <c r="AZ67" i="50"/>
  <c r="AF67" i="50"/>
  <c r="AN67" i="50"/>
  <c r="AK67" i="50"/>
  <c r="AH67" i="50"/>
  <c r="AQ67" i="50"/>
  <c r="AU67" i="50"/>
  <c r="AO67" i="50"/>
  <c r="AL67" i="50"/>
  <c r="BA65" i="50"/>
  <c r="BB17" i="50"/>
  <c r="BA41" i="50" s="1"/>
  <c r="AL65" i="50"/>
  <c r="AT65" i="50"/>
  <c r="AW65" i="50"/>
  <c r="AM65" i="50"/>
  <c r="AX65" i="50"/>
  <c r="AN65" i="50"/>
  <c r="AZ65" i="50"/>
  <c r="AR65" i="50"/>
  <c r="AY65" i="50"/>
  <c r="AG65" i="50"/>
  <c r="AO65" i="50"/>
  <c r="AU65" i="50"/>
  <c r="AH65" i="50"/>
  <c r="AI65" i="50"/>
  <c r="AJ65" i="50"/>
  <c r="AV65" i="50"/>
  <c r="AF65" i="50"/>
  <c r="AK65" i="50"/>
  <c r="AS65" i="50"/>
  <c r="AK80" i="50"/>
  <c r="BA80" i="50"/>
  <c r="BB32" i="50"/>
  <c r="AJ80" i="50"/>
  <c r="AR80" i="50"/>
  <c r="AZ80" i="50"/>
  <c r="AG80" i="50"/>
  <c r="AW80" i="50"/>
  <c r="AH80" i="50"/>
  <c r="AP80" i="50"/>
  <c r="AX80" i="50"/>
  <c r="AM80" i="50"/>
  <c r="AU80" i="50"/>
  <c r="AO80" i="50"/>
  <c r="AF80" i="50"/>
  <c r="AV80" i="50"/>
  <c r="AQ80" i="50"/>
  <c r="BA78" i="50"/>
  <c r="BB30" i="50"/>
  <c r="BA54" i="50" s="1"/>
  <c r="AS78" i="50"/>
  <c r="AK78" i="50"/>
  <c r="BA63" i="50"/>
  <c r="BB15" i="50"/>
  <c r="BA39" i="50" s="1"/>
  <c r="AX63" i="50"/>
  <c r="AY63" i="50"/>
  <c r="AG63" i="50"/>
  <c r="AO63" i="50"/>
  <c r="AV63" i="50"/>
  <c r="AL63" i="50"/>
  <c r="AF63" i="50"/>
  <c r="AR63" i="50"/>
  <c r="AZ63" i="50"/>
  <c r="AV78" i="50"/>
  <c r="AN78" i="50"/>
  <c r="AW63" i="50"/>
  <c r="AN63" i="50"/>
  <c r="BA64" i="50"/>
  <c r="BB16" i="50"/>
  <c r="BA40" i="50" s="1"/>
  <c r="AL64" i="50"/>
  <c r="AI64" i="50"/>
  <c r="AQ64" i="50"/>
  <c r="AP64" i="50"/>
  <c r="AJ64" i="50"/>
  <c r="AR64" i="50"/>
  <c r="AT64" i="50"/>
  <c r="BA75" i="50"/>
  <c r="BB27" i="50"/>
  <c r="BA51" i="50" s="1"/>
  <c r="BA73" i="50"/>
  <c r="BB25" i="50"/>
  <c r="BA49" i="50" s="1"/>
  <c r="AZ73" i="50"/>
  <c r="AW73" i="50"/>
  <c r="AX73" i="50"/>
  <c r="AY60" i="50"/>
  <c r="AU60" i="50"/>
  <c r="AX60" i="50"/>
  <c r="AT60" i="50"/>
  <c r="AV60" i="50"/>
  <c r="BB12" i="50"/>
  <c r="BA60" i="50"/>
  <c r="AS60" i="50"/>
  <c r="AZ60" i="50"/>
  <c r="AK60" i="50"/>
  <c r="AJ60" i="50"/>
  <c r="AN60" i="50"/>
  <c r="AL60" i="50"/>
  <c r="BA71" i="50"/>
  <c r="BB23" i="50"/>
  <c r="BA47" i="50" s="1"/>
  <c r="AX71" i="50"/>
  <c r="AW71" i="50"/>
  <c r="AV71" i="50"/>
  <c r="AK63" i="50"/>
  <c r="AX78" i="50"/>
  <c r="AP78" i="50"/>
  <c r="AH78" i="50"/>
  <c r="AW78" i="50"/>
  <c r="AO78" i="50"/>
  <c r="AG78" i="50"/>
  <c r="AF78" i="50"/>
  <c r="BA70" i="50"/>
  <c r="BB22" i="50"/>
  <c r="AX70" i="50"/>
  <c r="AZ70" i="50"/>
  <c r="AW70" i="50"/>
  <c r="BA74" i="50"/>
  <c r="BB26" i="50"/>
  <c r="BA50" i="50" s="1"/>
  <c r="AY74" i="50"/>
  <c r="AX74" i="50"/>
  <c r="AZ74" i="50"/>
  <c r="AF64" i="50"/>
  <c r="AT63" i="50"/>
  <c r="AY64" i="50"/>
  <c r="AM64" i="50"/>
  <c r="AG60" i="50"/>
  <c r="AX64" i="50"/>
  <c r="BA68" i="50"/>
  <c r="BB20" i="50"/>
  <c r="BA44" i="50" s="1"/>
  <c r="AZ68" i="50"/>
  <c r="AW68" i="50"/>
  <c r="AY70" i="50"/>
  <c r="AX75" i="50"/>
  <c r="AT59" i="50"/>
  <c r="BA59" i="50"/>
  <c r="AW59" i="50"/>
  <c r="BB11" i="50"/>
  <c r="AU59" i="50"/>
  <c r="AS59" i="50"/>
  <c r="AZ59" i="50"/>
  <c r="AV59" i="50"/>
  <c r="AY59" i="50"/>
  <c r="BA77" i="50"/>
  <c r="BB29" i="50"/>
  <c r="BA53" i="50" s="1"/>
  <c r="AJ59" i="50"/>
  <c r="BA31" i="50"/>
  <c r="AM79" i="50" s="1"/>
  <c r="BA69" i="50"/>
  <c r="BB21" i="50"/>
  <c r="BA45" i="50" s="1"/>
  <c r="AV69" i="50"/>
  <c r="BA66" i="50"/>
  <c r="BB18" i="50"/>
  <c r="BA42" i="50" s="1"/>
  <c r="AO59" i="50"/>
  <c r="AG59" i="50"/>
  <c r="BA72" i="50"/>
  <c r="BB24" i="50"/>
  <c r="BA48" i="50" s="1"/>
  <c r="AV77" i="50"/>
  <c r="AS66" i="50"/>
  <c r="AK66" i="50"/>
  <c r="AF33" i="50" l="1"/>
  <c r="AY33" i="50"/>
  <c r="AW52" i="50"/>
  <c r="N16" i="75"/>
  <c r="M17" i="75"/>
  <c r="AV37" i="50"/>
  <c r="AM37" i="50"/>
  <c r="AI38" i="50"/>
  <c r="AS38" i="50"/>
  <c r="AU38" i="50"/>
  <c r="AG52" i="50"/>
  <c r="AP52" i="50"/>
  <c r="AZ52" i="50"/>
  <c r="AF52" i="50"/>
  <c r="AM52" i="50"/>
  <c r="AG38" i="50"/>
  <c r="AT38" i="50"/>
  <c r="AH38" i="50"/>
  <c r="AM38" i="50"/>
  <c r="AY38" i="50"/>
  <c r="AR38" i="50"/>
  <c r="AK38" i="50"/>
  <c r="AU37" i="50"/>
  <c r="AS37" i="50"/>
  <c r="AR37" i="50"/>
  <c r="AP37" i="50"/>
  <c r="AL52" i="50"/>
  <c r="BA37" i="50"/>
  <c r="AO37" i="50"/>
  <c r="AY52" i="50"/>
  <c r="AN37" i="50"/>
  <c r="AF37" i="50"/>
  <c r="AK37" i="50"/>
  <c r="AI37" i="50"/>
  <c r="BA52" i="50"/>
  <c r="AN52" i="50"/>
  <c r="AO52" i="50"/>
  <c r="AR52" i="50"/>
  <c r="AH52" i="50"/>
  <c r="AQ52" i="50"/>
  <c r="AT52" i="50"/>
  <c r="AX52" i="50"/>
  <c r="AU52" i="50"/>
  <c r="AN38" i="50"/>
  <c r="AP38" i="50"/>
  <c r="AX38" i="50"/>
  <c r="AZ38" i="50"/>
  <c r="AL38" i="50"/>
  <c r="AG37" i="50"/>
  <c r="AW37" i="50"/>
  <c r="AL37" i="50"/>
  <c r="AQ37" i="50"/>
  <c r="AJ38" i="50"/>
  <c r="BA38" i="50"/>
  <c r="AO38" i="50"/>
  <c r="AW38" i="50"/>
  <c r="AF38" i="50"/>
  <c r="AV38" i="50"/>
  <c r="AZ37" i="50"/>
  <c r="AX37" i="50"/>
  <c r="AJ37" i="50"/>
  <c r="AT37" i="50"/>
  <c r="AH37" i="50"/>
  <c r="AV52" i="50"/>
  <c r="AJ52" i="50"/>
  <c r="AI52" i="50"/>
  <c r="AK52" i="50"/>
  <c r="AX79" i="50"/>
  <c r="BA33" i="50"/>
  <c r="AG33" i="50"/>
  <c r="AS33" i="50"/>
  <c r="AN33" i="50"/>
  <c r="AH33" i="50"/>
  <c r="AT33" i="50"/>
  <c r="AR33" i="50"/>
  <c r="AI33" i="50"/>
  <c r="AU33" i="50"/>
  <c r="AJ33" i="50"/>
  <c r="AW33" i="50"/>
  <c r="AO33" i="50"/>
  <c r="AX33" i="50"/>
  <c r="AL33" i="50"/>
  <c r="AZ33" i="50"/>
  <c r="AM33" i="50"/>
  <c r="AK33" i="50"/>
  <c r="AV33" i="50"/>
  <c r="AP33" i="50"/>
  <c r="AQ33" i="50"/>
  <c r="AY34" i="50"/>
  <c r="AV34" i="50"/>
  <c r="AK34" i="50"/>
  <c r="AU34" i="50"/>
  <c r="AR34" i="50"/>
  <c r="AH34" i="50"/>
  <c r="AT34" i="50"/>
  <c r="AX34" i="50"/>
  <c r="AQ34" i="50"/>
  <c r="AJ34" i="50"/>
  <c r="AZ34" i="50"/>
  <c r="AG34" i="50"/>
  <c r="AS34" i="50"/>
  <c r="AL34" i="50"/>
  <c r="AI34" i="50"/>
  <c r="AN34" i="50"/>
  <c r="AW34" i="50"/>
  <c r="AP34" i="50"/>
  <c r="AF34" i="50"/>
  <c r="AM34" i="50"/>
  <c r="AO34" i="50"/>
  <c r="AG79" i="50"/>
  <c r="AO79" i="50"/>
  <c r="BJ55" i="50"/>
  <c r="BH55" i="50"/>
  <c r="BI55" i="50"/>
  <c r="BK55" i="50"/>
  <c r="AW79" i="50"/>
  <c r="AS79" i="50"/>
  <c r="AR79" i="50"/>
  <c r="AZ79" i="50"/>
  <c r="AT79" i="50"/>
  <c r="BD55" i="50"/>
  <c r="AL79" i="50"/>
  <c r="AJ79" i="50"/>
  <c r="BF55" i="50"/>
  <c r="BM55" i="50"/>
  <c r="BE55" i="50"/>
  <c r="BG55" i="50"/>
  <c r="BL55" i="50"/>
  <c r="AX36" i="50"/>
  <c r="AR36" i="50"/>
  <c r="AY36" i="50"/>
  <c r="AK36" i="50"/>
  <c r="AS36" i="50"/>
  <c r="AP36" i="50"/>
  <c r="AM36" i="50"/>
  <c r="AF36" i="50"/>
  <c r="AI36" i="50"/>
  <c r="AU36" i="50"/>
  <c r="AJ36" i="50"/>
  <c r="AG36" i="50"/>
  <c r="AH36" i="50"/>
  <c r="AT36" i="50"/>
  <c r="AN36" i="50"/>
  <c r="AV36" i="50"/>
  <c r="AW36" i="50"/>
  <c r="AL36" i="50"/>
  <c r="AZ36" i="50"/>
  <c r="AQ36" i="50"/>
  <c r="AO36" i="50"/>
  <c r="AL56" i="50"/>
  <c r="AT56" i="50"/>
  <c r="AI56" i="50"/>
  <c r="AQ56" i="50"/>
  <c r="AY56" i="50"/>
  <c r="AF56" i="50"/>
  <c r="AN56" i="50"/>
  <c r="AV56" i="50"/>
  <c r="AK56" i="50"/>
  <c r="AS56" i="50"/>
  <c r="AG56" i="50"/>
  <c r="AJ56" i="50"/>
  <c r="AR56" i="50"/>
  <c r="AZ56" i="50"/>
  <c r="AH56" i="50"/>
  <c r="AP56" i="50"/>
  <c r="AX56" i="50"/>
  <c r="AM56" i="50"/>
  <c r="AU56" i="50"/>
  <c r="AO56" i="50"/>
  <c r="AW56" i="50"/>
  <c r="AY46" i="50"/>
  <c r="AV46" i="50"/>
  <c r="AN46" i="50"/>
  <c r="AI46" i="50"/>
  <c r="AQ46" i="50"/>
  <c r="AX46" i="50"/>
  <c r="AG46" i="50"/>
  <c r="AO46" i="50"/>
  <c r="AL46" i="50"/>
  <c r="AT46" i="50"/>
  <c r="AU46" i="50"/>
  <c r="AJ46" i="50"/>
  <c r="AR46" i="50"/>
  <c r="AM46" i="50"/>
  <c r="AK46" i="50"/>
  <c r="AP46" i="50"/>
  <c r="AF46" i="50"/>
  <c r="AZ46" i="50"/>
  <c r="AH46" i="50"/>
  <c r="AW46" i="50"/>
  <c r="AS46" i="50"/>
  <c r="AY79" i="50"/>
  <c r="AQ79" i="50"/>
  <c r="AH79" i="50"/>
  <c r="BA56" i="50"/>
  <c r="AU79" i="50"/>
  <c r="AX40" i="50"/>
  <c r="AM40" i="50"/>
  <c r="AU40" i="50"/>
  <c r="AY40" i="50"/>
  <c r="AL40" i="50"/>
  <c r="AW40" i="50"/>
  <c r="AV40" i="50"/>
  <c r="AP40" i="50"/>
  <c r="AN40" i="50"/>
  <c r="AZ40" i="50"/>
  <c r="AQ40" i="50"/>
  <c r="AF40" i="50"/>
  <c r="AR40" i="50"/>
  <c r="AH40" i="50"/>
  <c r="AK40" i="50"/>
  <c r="AS40" i="50"/>
  <c r="AJ40" i="50"/>
  <c r="AT40" i="50"/>
  <c r="AO40" i="50"/>
  <c r="AG40" i="50"/>
  <c r="AI40" i="50"/>
  <c r="AK79" i="50"/>
  <c r="AN79" i="50"/>
  <c r="AV79" i="50"/>
  <c r="AP79" i="50"/>
  <c r="AF79" i="50"/>
  <c r="AV53" i="50"/>
  <c r="AY53" i="50"/>
  <c r="AW53" i="50"/>
  <c r="AG53" i="50"/>
  <c r="AO53" i="50"/>
  <c r="AF53" i="50"/>
  <c r="AN53" i="50"/>
  <c r="AX53" i="50"/>
  <c r="AH53" i="50"/>
  <c r="AP53" i="50"/>
  <c r="AI53" i="50"/>
  <c r="AQ53" i="50"/>
  <c r="AK53" i="50"/>
  <c r="AS53" i="50"/>
  <c r="AZ53" i="50"/>
  <c r="AM53" i="50"/>
  <c r="AU53" i="50"/>
  <c r="AT53" i="50"/>
  <c r="AR53" i="50"/>
  <c r="AL53" i="50"/>
  <c r="AJ53" i="50"/>
  <c r="AN35" i="50"/>
  <c r="AY35" i="50"/>
  <c r="AG35" i="50"/>
  <c r="AO35" i="50"/>
  <c r="AV35" i="50"/>
  <c r="AT35" i="50"/>
  <c r="AR35" i="50"/>
  <c r="AM35" i="50"/>
  <c r="AJ35" i="50"/>
  <c r="AW35" i="50"/>
  <c r="AS35" i="50"/>
  <c r="AL35" i="50"/>
  <c r="AZ35" i="50"/>
  <c r="AH35" i="50"/>
  <c r="AQ35" i="50"/>
  <c r="AF35" i="50"/>
  <c r="AU35" i="50"/>
  <c r="AP35" i="50"/>
  <c r="AI35" i="50"/>
  <c r="AX35" i="50"/>
  <c r="AK35" i="50"/>
  <c r="BA35" i="50"/>
  <c r="BA46" i="50"/>
  <c r="AY47" i="50"/>
  <c r="AW47" i="50"/>
  <c r="AV47" i="50"/>
  <c r="AI47" i="50"/>
  <c r="AQ47" i="50"/>
  <c r="AF47" i="50"/>
  <c r="AN47" i="50"/>
  <c r="AG47" i="50"/>
  <c r="AO47" i="50"/>
  <c r="AL47" i="50"/>
  <c r="AT47" i="50"/>
  <c r="AM47" i="50"/>
  <c r="AU47" i="50"/>
  <c r="AZ47" i="50"/>
  <c r="AJ47" i="50"/>
  <c r="AH47" i="50"/>
  <c r="AX47" i="50"/>
  <c r="AS47" i="50"/>
  <c r="AR47" i="50"/>
  <c r="AK47" i="50"/>
  <c r="AP47" i="50"/>
  <c r="BA36" i="50"/>
  <c r="AY49" i="50"/>
  <c r="AZ49" i="50"/>
  <c r="AW49" i="50"/>
  <c r="AL49" i="50"/>
  <c r="AT49" i="50"/>
  <c r="AF49" i="50"/>
  <c r="AN49" i="50"/>
  <c r="AG49" i="50"/>
  <c r="AO49" i="50"/>
  <c r="AX49" i="50"/>
  <c r="AI49" i="50"/>
  <c r="AQ49" i="50"/>
  <c r="AS49" i="50"/>
  <c r="AH49" i="50"/>
  <c r="AP49" i="50"/>
  <c r="AJ49" i="50"/>
  <c r="AR49" i="50"/>
  <c r="AK49" i="50"/>
  <c r="AU49" i="50"/>
  <c r="AV49" i="50"/>
  <c r="AM49" i="50"/>
  <c r="AZ51" i="50"/>
  <c r="AW51" i="50"/>
  <c r="AV51" i="50"/>
  <c r="AF51" i="50"/>
  <c r="AN51" i="50"/>
  <c r="AH51" i="50"/>
  <c r="AP51" i="50"/>
  <c r="AI51" i="50"/>
  <c r="AQ51" i="50"/>
  <c r="AX51" i="50"/>
  <c r="AG51" i="50"/>
  <c r="AO51" i="50"/>
  <c r="AU51" i="50"/>
  <c r="AJ51" i="50"/>
  <c r="AR51" i="50"/>
  <c r="AL51" i="50"/>
  <c r="AT51" i="50"/>
  <c r="AM51" i="50"/>
  <c r="AY51" i="50"/>
  <c r="AS51" i="50"/>
  <c r="AK51" i="50"/>
  <c r="AK39" i="50"/>
  <c r="AZ39" i="50"/>
  <c r="AS39" i="50"/>
  <c r="AX39" i="50"/>
  <c r="AP39" i="50"/>
  <c r="AJ39" i="50"/>
  <c r="AW39" i="50"/>
  <c r="AG39" i="50"/>
  <c r="AH39" i="50"/>
  <c r="AI39" i="50"/>
  <c r="AQ39" i="50"/>
  <c r="AY39" i="50"/>
  <c r="AV39" i="50"/>
  <c r="AT39" i="50"/>
  <c r="AF39" i="50"/>
  <c r="AO39" i="50"/>
  <c r="AL39" i="50"/>
  <c r="AN39" i="50"/>
  <c r="AM39" i="50"/>
  <c r="AU39" i="50"/>
  <c r="AR39" i="50"/>
  <c r="AZ41" i="50"/>
  <c r="AL41" i="50"/>
  <c r="AT41" i="50"/>
  <c r="AW41" i="50"/>
  <c r="AM41" i="50"/>
  <c r="AP41" i="50"/>
  <c r="AQ41" i="50"/>
  <c r="AF41" i="50"/>
  <c r="AU41" i="50"/>
  <c r="AR41" i="50"/>
  <c r="AY41" i="50"/>
  <c r="AG41" i="50"/>
  <c r="AO41" i="50"/>
  <c r="AH41" i="50"/>
  <c r="AI41" i="50"/>
  <c r="AJ41" i="50"/>
  <c r="AX41" i="50"/>
  <c r="AK41" i="50"/>
  <c r="AS41" i="50"/>
  <c r="AV41" i="50"/>
  <c r="AN41" i="50"/>
  <c r="AT43" i="50"/>
  <c r="AS43" i="50"/>
  <c r="AX43" i="50"/>
  <c r="AY43" i="50"/>
  <c r="AI43" i="50"/>
  <c r="AV43" i="50"/>
  <c r="AH43" i="50"/>
  <c r="AM43" i="50"/>
  <c r="AJ43" i="50"/>
  <c r="AR43" i="50"/>
  <c r="AP43" i="50"/>
  <c r="AQ43" i="50"/>
  <c r="AU43" i="50"/>
  <c r="AW43" i="50"/>
  <c r="AZ43" i="50"/>
  <c r="AF43" i="50"/>
  <c r="AN43" i="50"/>
  <c r="AO43" i="50"/>
  <c r="AK43" i="50"/>
  <c r="AG43" i="50"/>
  <c r="AL43" i="50"/>
  <c r="AV48" i="50"/>
  <c r="AJ48" i="50"/>
  <c r="AR48" i="50"/>
  <c r="AI48" i="50"/>
  <c r="AQ48" i="50"/>
  <c r="AW48" i="50"/>
  <c r="AF48" i="50"/>
  <c r="AG48" i="50"/>
  <c r="AO48" i="50"/>
  <c r="AL48" i="50"/>
  <c r="AT48" i="50"/>
  <c r="AU48" i="50"/>
  <c r="AX48" i="50"/>
  <c r="AN48" i="50"/>
  <c r="AM48" i="50"/>
  <c r="AZ48" i="50"/>
  <c r="AY48" i="50"/>
  <c r="AK48" i="50"/>
  <c r="AP48" i="50"/>
  <c r="AS48" i="50"/>
  <c r="AH48" i="50"/>
  <c r="AL42" i="50"/>
  <c r="AK42" i="50"/>
  <c r="AP42" i="50"/>
  <c r="AI42" i="50"/>
  <c r="AX42" i="50"/>
  <c r="AG42" i="50"/>
  <c r="AF42" i="50"/>
  <c r="AV42" i="50"/>
  <c r="AS42" i="50"/>
  <c r="AW42" i="50"/>
  <c r="AJ42" i="50"/>
  <c r="AM42" i="50"/>
  <c r="AO42" i="50"/>
  <c r="AZ42" i="50"/>
  <c r="AH42" i="50"/>
  <c r="AQ42" i="50"/>
  <c r="AN42" i="50"/>
  <c r="AR42" i="50"/>
  <c r="AT42" i="50"/>
  <c r="AY42" i="50"/>
  <c r="AU42" i="50"/>
  <c r="AZ45" i="50"/>
  <c r="AW45" i="50"/>
  <c r="AX45" i="50"/>
  <c r="AG45" i="50"/>
  <c r="AO45" i="50"/>
  <c r="AV45" i="50"/>
  <c r="AY45" i="50"/>
  <c r="AL45" i="50"/>
  <c r="AT45" i="50"/>
  <c r="AI45" i="50"/>
  <c r="AQ45" i="50"/>
  <c r="AJ45" i="50"/>
  <c r="AR45" i="50"/>
  <c r="AK45" i="50"/>
  <c r="AS45" i="50"/>
  <c r="AP45" i="50"/>
  <c r="AF45" i="50"/>
  <c r="AH45" i="50"/>
  <c r="AU45" i="50"/>
  <c r="AM45" i="50"/>
  <c r="AN45" i="50"/>
  <c r="BA79" i="50"/>
  <c r="BB31" i="50"/>
  <c r="BA55" i="50" s="1"/>
  <c r="AV44" i="50"/>
  <c r="AZ44" i="50"/>
  <c r="AL44" i="50"/>
  <c r="AT44" i="50"/>
  <c r="AI44" i="50"/>
  <c r="AQ44" i="50"/>
  <c r="AJ44" i="50"/>
  <c r="AR44" i="50"/>
  <c r="AG44" i="50"/>
  <c r="AO44" i="50"/>
  <c r="AM44" i="50"/>
  <c r="AU44" i="50"/>
  <c r="AF44" i="50"/>
  <c r="AH44" i="50"/>
  <c r="AP44" i="50"/>
  <c r="AK44" i="50"/>
  <c r="AS44" i="50"/>
  <c r="AX44" i="50"/>
  <c r="AY44" i="50"/>
  <c r="AN44" i="50"/>
  <c r="AW44" i="50"/>
  <c r="AY50" i="50"/>
  <c r="AZ50" i="50"/>
  <c r="AV50" i="50"/>
  <c r="AH50" i="50"/>
  <c r="AP50" i="50"/>
  <c r="AI50" i="50"/>
  <c r="AQ50" i="50"/>
  <c r="AJ50" i="50"/>
  <c r="AR50" i="50"/>
  <c r="AG50" i="50"/>
  <c r="AO50" i="50"/>
  <c r="AU50" i="50"/>
  <c r="AF50" i="50"/>
  <c r="AL50" i="50"/>
  <c r="AT50" i="50"/>
  <c r="AM50" i="50"/>
  <c r="AX50" i="50"/>
  <c r="AN50" i="50"/>
  <c r="AK50" i="50"/>
  <c r="AS50" i="50"/>
  <c r="AW50" i="50"/>
  <c r="AJ54" i="50"/>
  <c r="AR54" i="50"/>
  <c r="AZ54" i="50"/>
  <c r="AI54" i="50"/>
  <c r="AQ54" i="50"/>
  <c r="AY54" i="50"/>
  <c r="AH54" i="50"/>
  <c r="AP54" i="50"/>
  <c r="AX54" i="50"/>
  <c r="AF54" i="50"/>
  <c r="AG54" i="50"/>
  <c r="AO54" i="50"/>
  <c r="AW54" i="50"/>
  <c r="AU54" i="50"/>
  <c r="AN54" i="50"/>
  <c r="AV54" i="50"/>
  <c r="AM54" i="50"/>
  <c r="AK54" i="50"/>
  <c r="AL54" i="50"/>
  <c r="AS54" i="50"/>
  <c r="AT54" i="50"/>
  <c r="AI79" i="50"/>
  <c r="M18" i="75" l="1"/>
  <c r="N17" i="75"/>
  <c r="AT55" i="50"/>
  <c r="AL55" i="50"/>
  <c r="AZ55" i="50"/>
  <c r="AO55" i="50"/>
  <c r="AR55" i="50"/>
  <c r="AG55" i="50"/>
  <c r="AW55" i="50"/>
  <c r="AJ55" i="50"/>
  <c r="AF55" i="50"/>
  <c r="AI55" i="50"/>
  <c r="AX55" i="50"/>
  <c r="AS55" i="50"/>
  <c r="AH55" i="50"/>
  <c r="AY55" i="50"/>
  <c r="AM55" i="50"/>
  <c r="AP55" i="50"/>
  <c r="AV55" i="50"/>
  <c r="AN55" i="50"/>
  <c r="AK55" i="50"/>
  <c r="AU55" i="50"/>
  <c r="AQ55" i="50"/>
  <c r="M19" i="75" l="1"/>
  <c r="N18" i="75"/>
  <c r="N19" i="75" l="1"/>
  <c r="M20" i="75"/>
  <c r="A108" i="70"/>
  <c r="A72" i="70"/>
  <c r="A39" i="70"/>
  <c r="A356" i="69"/>
  <c r="A321" i="69"/>
  <c r="A286" i="69"/>
  <c r="A250" i="69"/>
  <c r="A214" i="69"/>
  <c r="A178" i="69"/>
  <c r="A142" i="69"/>
  <c r="A106" i="69"/>
  <c r="A71" i="69"/>
  <c r="A38" i="69"/>
  <c r="A106" i="68"/>
  <c r="A71" i="68"/>
  <c r="A38" i="68"/>
  <c r="A214" i="67"/>
  <c r="A286" i="67"/>
  <c r="A250" i="67"/>
  <c r="A106" i="67"/>
  <c r="A71" i="67"/>
  <c r="A38" i="67"/>
  <c r="A178" i="66"/>
  <c r="A142" i="66"/>
  <c r="A106" i="66"/>
  <c r="A71" i="66"/>
  <c r="A38" i="66"/>
  <c r="A106" i="65"/>
  <c r="A71" i="65"/>
  <c r="A38" i="65"/>
  <c r="A106" i="64"/>
  <c r="A71" i="64"/>
  <c r="A38" i="64"/>
  <c r="A177" i="63"/>
  <c r="A142" i="63"/>
  <c r="A106" i="63"/>
  <c r="A71" i="63"/>
  <c r="A38" i="63"/>
  <c r="A142" i="62"/>
  <c r="A106" i="62"/>
  <c r="A71" i="62"/>
  <c r="A38" i="62"/>
  <c r="M21" i="75" l="1"/>
  <c r="N20" i="75"/>
  <c r="N21" i="75" l="1"/>
  <c r="M22" i="75"/>
  <c r="N22" i="75" l="1"/>
  <c r="M23" i="75"/>
  <c r="M24" i="75" l="1"/>
  <c r="N23" i="75"/>
  <c r="M25" i="75" l="1"/>
  <c r="N25" i="75" s="1"/>
  <c r="N24" i="75"/>
  <c r="A35" i="50"/>
  <c r="A70" i="50"/>
  <c r="A105" i="50"/>
  <c r="AC4" i="50"/>
  <c r="A178" i="49"/>
  <c r="A142" i="49"/>
  <c r="A71" i="49"/>
  <c r="A38" i="49"/>
  <c r="AE2" i="27"/>
  <c r="T5" i="44"/>
  <c r="S25" i="44"/>
  <c r="S26" i="44"/>
  <c r="S27" i="44"/>
  <c r="S28" i="44"/>
  <c r="S29" i="44"/>
  <c r="S30" i="44"/>
  <c r="S10" i="44"/>
  <c r="S11" i="44"/>
  <c r="S12" i="44"/>
  <c r="S13" i="44"/>
  <c r="S14" i="44"/>
  <c r="S15" i="44"/>
  <c r="S16" i="44"/>
  <c r="S17" i="44"/>
  <c r="S18" i="44"/>
  <c r="S19" i="44"/>
  <c r="S20" i="44"/>
  <c r="S21" i="44"/>
  <c r="S22" i="44"/>
  <c r="S23" i="44"/>
  <c r="S24" i="44"/>
  <c r="S9" i="44"/>
  <c r="AR3" i="75"/>
  <c r="AR4" i="75" s="1"/>
  <c r="A116" i="68" l="1"/>
  <c r="AR7" i="75"/>
  <c r="AR11" i="75"/>
  <c r="AR15" i="75"/>
  <c r="AR19" i="75"/>
  <c r="AR23" i="75"/>
  <c r="AR12" i="75"/>
  <c r="AR16" i="75"/>
  <c r="AR20" i="75"/>
  <c r="AR24" i="75"/>
  <c r="AR5" i="75"/>
  <c r="AR9" i="75"/>
  <c r="AR13" i="75"/>
  <c r="AR17" i="75"/>
  <c r="AR21" i="75"/>
  <c r="AR25" i="75"/>
  <c r="AR6" i="75"/>
  <c r="AR10" i="75"/>
  <c r="AR14" i="75"/>
  <c r="AR18" i="75"/>
  <c r="AR22" i="75"/>
  <c r="AR8" i="75"/>
  <c r="AB80" i="50"/>
  <c r="AB56" i="50"/>
  <c r="AB32" i="50"/>
  <c r="A120" i="68" l="1"/>
  <c r="A129" i="68"/>
  <c r="A135" i="68"/>
  <c r="A118" i="68"/>
  <c r="A125" i="68"/>
  <c r="A132" i="68"/>
  <c r="A131" i="68"/>
  <c r="A130" i="68"/>
  <c r="A137" i="68"/>
  <c r="A121" i="68"/>
  <c r="A128" i="68"/>
  <c r="A127" i="68"/>
  <c r="A122" i="68"/>
  <c r="A136" i="68"/>
  <c r="A119" i="68"/>
  <c r="A134" i="68"/>
  <c r="A126" i="68"/>
  <c r="A133" i="68"/>
  <c r="A117" i="68"/>
  <c r="A124" i="68"/>
  <c r="A123" i="68"/>
  <c r="A45" i="22"/>
  <c r="A296" i="83"/>
  <c r="A184" i="83"/>
  <c r="A58" i="22"/>
  <c r="A309" i="83"/>
  <c r="A64" i="22"/>
  <c r="A315" i="83"/>
  <c r="A63" i="22"/>
  <c r="A314" i="83"/>
  <c r="A47" i="22"/>
  <c r="A298" i="83"/>
  <c r="A61" i="22"/>
  <c r="A312" i="83"/>
  <c r="A60" i="22"/>
  <c r="A311" i="83"/>
  <c r="A59" i="22"/>
  <c r="A310" i="83"/>
  <c r="A66" i="22"/>
  <c r="A317" i="83"/>
  <c r="A205" i="83"/>
  <c r="A50" i="22"/>
  <c r="A301" i="83"/>
  <c r="A57" i="22"/>
  <c r="A308" i="83"/>
  <c r="A56" i="22"/>
  <c r="A307" i="83"/>
  <c r="A51" i="22"/>
  <c r="A302" i="83"/>
  <c r="A65" i="22"/>
  <c r="A316" i="83"/>
  <c r="A54" i="22"/>
  <c r="A305" i="83"/>
  <c r="A49" i="22"/>
  <c r="A300" i="83"/>
  <c r="A55" i="22"/>
  <c r="A306" i="83"/>
  <c r="A62" i="22"/>
  <c r="A313" i="83"/>
  <c r="A46" i="22"/>
  <c r="A297" i="83"/>
  <c r="A53" i="22"/>
  <c r="A304" i="83"/>
  <c r="A52" i="22"/>
  <c r="A303" i="83"/>
  <c r="A48" i="22"/>
  <c r="A299" i="83"/>
  <c r="AE56" i="50"/>
  <c r="AD56" i="50"/>
  <c r="AE80" i="50"/>
  <c r="AD80" i="50"/>
  <c r="BC56" i="50"/>
  <c r="AD32" i="50"/>
  <c r="AE32" i="50"/>
  <c r="A131" i="84"/>
  <c r="A135" i="83"/>
  <c r="A28" i="84"/>
  <c r="A95" i="83"/>
  <c r="A28" i="83"/>
  <c r="A95" i="84"/>
  <c r="A201" i="83"/>
  <c r="A167" i="84"/>
  <c r="A12" i="84"/>
  <c r="A12" i="83"/>
  <c r="A119" i="83"/>
  <c r="A79" i="84"/>
  <c r="A185" i="83"/>
  <c r="A79" i="83"/>
  <c r="A115" i="84"/>
  <c r="A151" i="84"/>
  <c r="A126" i="83"/>
  <c r="A192" i="83"/>
  <c r="A19" i="83"/>
  <c r="A19" i="84"/>
  <c r="A86" i="84"/>
  <c r="A86" i="83"/>
  <c r="A122" i="84"/>
  <c r="A158" i="84"/>
  <c r="A133" i="83"/>
  <c r="A26" i="83"/>
  <c r="A26" i="84"/>
  <c r="A199" i="83"/>
  <c r="A93" i="84"/>
  <c r="A129" i="84"/>
  <c r="A165" i="84"/>
  <c r="A93" i="83"/>
  <c r="A25" i="83"/>
  <c r="A25" i="84"/>
  <c r="A132" i="83"/>
  <c r="A198" i="83"/>
  <c r="A128" i="84"/>
  <c r="A92" i="84"/>
  <c r="A92" i="83"/>
  <c r="A164" i="84"/>
  <c r="A24" i="84"/>
  <c r="A131" i="83"/>
  <c r="A24" i="83"/>
  <c r="A91" i="84"/>
  <c r="A197" i="83"/>
  <c r="A127" i="84"/>
  <c r="A91" i="83"/>
  <c r="A163" i="84"/>
  <c r="A138" i="83"/>
  <c r="A204" i="83"/>
  <c r="A31" i="83"/>
  <c r="A31" i="84"/>
  <c r="A134" i="84"/>
  <c r="A98" i="84"/>
  <c r="A98" i="83"/>
  <c r="A170" i="84"/>
  <c r="A188" i="83"/>
  <c r="A122" i="83"/>
  <c r="A15" i="83"/>
  <c r="A15" i="84"/>
  <c r="A82" i="84"/>
  <c r="A118" i="84"/>
  <c r="A82" i="83"/>
  <c r="A154" i="84"/>
  <c r="A129" i="83"/>
  <c r="A22" i="83"/>
  <c r="A195" i="83"/>
  <c r="A22" i="84"/>
  <c r="A89" i="84"/>
  <c r="A161" i="84"/>
  <c r="A125" i="84"/>
  <c r="A89" i="83"/>
  <c r="A128" i="83"/>
  <c r="A21" i="83"/>
  <c r="A21" i="84"/>
  <c r="A194" i="83"/>
  <c r="A124" i="84"/>
  <c r="A88" i="83"/>
  <c r="A88" i="84"/>
  <c r="A160" i="84"/>
  <c r="A81" i="83"/>
  <c r="A121" i="83"/>
  <c r="A14" i="83"/>
  <c r="A14" i="84"/>
  <c r="A187" i="83"/>
  <c r="A81" i="84"/>
  <c r="A117" i="84"/>
  <c r="A153" i="84"/>
  <c r="A127" i="83"/>
  <c r="A20" i="84"/>
  <c r="A20" i="83"/>
  <c r="A193" i="83"/>
  <c r="A123" i="84"/>
  <c r="A159" i="84"/>
  <c r="A87" i="83"/>
  <c r="A87" i="84"/>
  <c r="A200" i="83"/>
  <c r="A27" i="83"/>
  <c r="A27" i="84"/>
  <c r="A134" i="83"/>
  <c r="A94" i="83"/>
  <c r="A130" i="84"/>
  <c r="A94" i="84"/>
  <c r="A166" i="84"/>
  <c r="A11" i="84"/>
  <c r="A11" i="83"/>
  <c r="A118" i="83"/>
  <c r="A114" i="84"/>
  <c r="A78" i="84"/>
  <c r="A78" i="83"/>
  <c r="A150" i="84"/>
  <c r="A125" i="83"/>
  <c r="A18" i="84"/>
  <c r="A18" i="83"/>
  <c r="A191" i="83"/>
  <c r="A85" i="84"/>
  <c r="A157" i="84"/>
  <c r="A121" i="84"/>
  <c r="A85" i="83"/>
  <c r="A17" i="83"/>
  <c r="A17" i="84"/>
  <c r="A124" i="83"/>
  <c r="A84" i="84"/>
  <c r="A190" i="83"/>
  <c r="A84" i="83"/>
  <c r="A120" i="84"/>
  <c r="A156" i="84"/>
  <c r="A10" i="84"/>
  <c r="A117" i="83"/>
  <c r="A113" i="84"/>
  <c r="A10" i="83"/>
  <c r="A77" i="83"/>
  <c r="A77" i="84"/>
  <c r="A149" i="84"/>
  <c r="A16" i="84"/>
  <c r="A123" i="83"/>
  <c r="A16" i="83"/>
  <c r="A189" i="83"/>
  <c r="A119" i="84"/>
  <c r="A155" i="84"/>
  <c r="A83" i="84"/>
  <c r="A83" i="83"/>
  <c r="A196" i="83"/>
  <c r="A130" i="83"/>
  <c r="A23" i="83"/>
  <c r="A23" i="84"/>
  <c r="A90" i="83"/>
  <c r="A90" i="84"/>
  <c r="A126" i="84"/>
  <c r="A162" i="84"/>
  <c r="A30" i="83"/>
  <c r="A203" i="83"/>
  <c r="A137" i="83"/>
  <c r="A30" i="84"/>
  <c r="A133" i="84"/>
  <c r="A97" i="83"/>
  <c r="A97" i="84"/>
  <c r="A169" i="84"/>
  <c r="A29" i="84"/>
  <c r="A136" i="83"/>
  <c r="A29" i="83"/>
  <c r="A96" i="84"/>
  <c r="A202" i="83"/>
  <c r="A132" i="84"/>
  <c r="A96" i="83"/>
  <c r="A168" i="84"/>
  <c r="A13" i="83"/>
  <c r="A120" i="83"/>
  <c r="A13" i="84"/>
  <c r="A186" i="83"/>
  <c r="A80" i="84"/>
  <c r="A80" i="83"/>
  <c r="A152" i="84"/>
  <c r="A116" i="84"/>
  <c r="R33" i="70" l="1"/>
  <c r="R32" i="70"/>
  <c r="R27" i="70"/>
  <c r="R26" i="70"/>
  <c r="R23" i="70"/>
  <c r="Z314" i="69" l="1"/>
  <c r="D314" i="69" s="1"/>
  <c r="H33" i="69" l="1"/>
  <c r="AF33" i="69" s="1"/>
  <c r="G33" i="69"/>
  <c r="AE33" i="69" s="1"/>
  <c r="F33" i="69"/>
  <c r="AD33" i="69" s="1"/>
  <c r="E33" i="69"/>
  <c r="AC33" i="69" s="1"/>
  <c r="D33" i="69"/>
  <c r="AB33" i="69" s="1"/>
  <c r="H31" i="69"/>
  <c r="G31" i="69"/>
  <c r="AE31" i="69" s="1"/>
  <c r="F31" i="69"/>
  <c r="AD31" i="69" s="1"/>
  <c r="E31" i="69"/>
  <c r="AC31" i="69" s="1"/>
  <c r="D31" i="69"/>
  <c r="H30" i="69"/>
  <c r="G30" i="69"/>
  <c r="AE30" i="69" s="1"/>
  <c r="F30" i="69"/>
  <c r="AD30" i="69" s="1"/>
  <c r="E30" i="69"/>
  <c r="AC30" i="69" s="1"/>
  <c r="D30" i="69"/>
  <c r="H29" i="69"/>
  <c r="G29" i="69"/>
  <c r="AE29" i="69" s="1"/>
  <c r="F29" i="69"/>
  <c r="AD29" i="69" s="1"/>
  <c r="E29" i="69"/>
  <c r="AC29" i="69" s="1"/>
  <c r="D29" i="69"/>
  <c r="AB29" i="69" s="1"/>
  <c r="H28" i="69"/>
  <c r="G28" i="69"/>
  <c r="AE28" i="69" s="1"/>
  <c r="F28" i="69"/>
  <c r="AD28" i="69" s="1"/>
  <c r="E28" i="69"/>
  <c r="AC28" i="69" s="1"/>
  <c r="D28" i="69"/>
  <c r="AB28" i="69" s="1"/>
  <c r="H27" i="69"/>
  <c r="G27" i="69"/>
  <c r="AE27" i="69" s="1"/>
  <c r="F27" i="69"/>
  <c r="AD27" i="69" s="1"/>
  <c r="E27" i="69"/>
  <c r="AC27" i="69" s="1"/>
  <c r="D27" i="69"/>
  <c r="H26" i="69"/>
  <c r="G26" i="69"/>
  <c r="AE26" i="69" s="1"/>
  <c r="F26" i="69"/>
  <c r="AD26" i="69" s="1"/>
  <c r="E26" i="69"/>
  <c r="AC26" i="69" s="1"/>
  <c r="D26" i="69"/>
  <c r="H25" i="69"/>
  <c r="G25" i="69"/>
  <c r="AE25" i="69" s="1"/>
  <c r="F25" i="69"/>
  <c r="AD25" i="69" s="1"/>
  <c r="E25" i="69"/>
  <c r="AC25" i="69" s="1"/>
  <c r="D25" i="69"/>
  <c r="AB25" i="69" s="1"/>
  <c r="H24" i="69"/>
  <c r="G24" i="69"/>
  <c r="AE24" i="69" s="1"/>
  <c r="E24" i="69"/>
  <c r="AC24" i="69" s="1"/>
  <c r="D24" i="69"/>
  <c r="AB24" i="69" s="1"/>
  <c r="H23" i="69"/>
  <c r="G23" i="69"/>
  <c r="AE23" i="69" s="1"/>
  <c r="F23" i="69"/>
  <c r="AD23" i="69" s="1"/>
  <c r="E23" i="69"/>
  <c r="AC23" i="69" s="1"/>
  <c r="D23" i="69"/>
  <c r="H22" i="69"/>
  <c r="G22" i="69"/>
  <c r="AE22" i="69" s="1"/>
  <c r="F22" i="69"/>
  <c r="AD22" i="69" s="1"/>
  <c r="E22" i="69"/>
  <c r="AC22" i="69" s="1"/>
  <c r="D22" i="69"/>
  <c r="AB22" i="69" s="1"/>
  <c r="H21" i="69"/>
  <c r="G21" i="69"/>
  <c r="AE21" i="69" s="1"/>
  <c r="F21" i="69"/>
  <c r="AD21" i="69" s="1"/>
  <c r="E21" i="69"/>
  <c r="AC21" i="69" s="1"/>
  <c r="D21" i="69"/>
  <c r="H20" i="69"/>
  <c r="G20" i="69"/>
  <c r="AE20" i="69" s="1"/>
  <c r="F20" i="69"/>
  <c r="AD20" i="69" s="1"/>
  <c r="E20" i="69"/>
  <c r="AC20" i="69" s="1"/>
  <c r="D20" i="69"/>
  <c r="AB20" i="69" s="1"/>
  <c r="H19" i="69"/>
  <c r="G19" i="69"/>
  <c r="AE19" i="69" s="1"/>
  <c r="F19" i="69"/>
  <c r="AD19" i="69" s="1"/>
  <c r="E19" i="69"/>
  <c r="AC19" i="69" s="1"/>
  <c r="D19" i="69"/>
  <c r="H18" i="69"/>
  <c r="G18" i="69"/>
  <c r="AE18" i="69" s="1"/>
  <c r="F18" i="69"/>
  <c r="AD18" i="69" s="1"/>
  <c r="E18" i="69"/>
  <c r="AC18" i="69" s="1"/>
  <c r="D18" i="69"/>
  <c r="AB18" i="69" s="1"/>
  <c r="H17" i="69"/>
  <c r="G17" i="69"/>
  <c r="AE17" i="69" s="1"/>
  <c r="F17" i="69"/>
  <c r="AD17" i="69" s="1"/>
  <c r="E17" i="69"/>
  <c r="AC17" i="69" s="1"/>
  <c r="D17" i="69"/>
  <c r="H16" i="69"/>
  <c r="G16" i="69"/>
  <c r="AE16" i="69" s="1"/>
  <c r="F16" i="69"/>
  <c r="AD16" i="69" s="1"/>
  <c r="E16" i="69"/>
  <c r="AC16" i="69" s="1"/>
  <c r="D16" i="69"/>
  <c r="AB16" i="69" s="1"/>
  <c r="H15" i="69"/>
  <c r="G15" i="69"/>
  <c r="AE15" i="69" s="1"/>
  <c r="F15" i="69"/>
  <c r="AD15" i="69" s="1"/>
  <c r="E15" i="69"/>
  <c r="AC15" i="69" s="1"/>
  <c r="D15" i="69"/>
  <c r="H14" i="69"/>
  <c r="G14" i="69"/>
  <c r="AE14" i="69" s="1"/>
  <c r="F14" i="69"/>
  <c r="AD14" i="69" s="1"/>
  <c r="E14" i="69"/>
  <c r="AC14" i="69" s="1"/>
  <c r="D14" i="69"/>
  <c r="AB14" i="69" s="1"/>
  <c r="H13" i="69"/>
  <c r="G13" i="69"/>
  <c r="AE13" i="69" s="1"/>
  <c r="F13" i="69"/>
  <c r="AD13" i="69" s="1"/>
  <c r="E13" i="69"/>
  <c r="AC13" i="69" s="1"/>
  <c r="D13" i="69"/>
  <c r="AB13" i="69" s="1"/>
  <c r="H12" i="69"/>
  <c r="G12" i="69"/>
  <c r="AE12" i="69" s="1"/>
  <c r="F12" i="69"/>
  <c r="AD12" i="69" s="1"/>
  <c r="E12" i="69"/>
  <c r="AC12" i="69" s="1"/>
  <c r="D12" i="69"/>
  <c r="AB12" i="69" s="1"/>
  <c r="H11" i="69"/>
  <c r="G11" i="69"/>
  <c r="AE11" i="69" s="1"/>
  <c r="F11" i="69"/>
  <c r="AD11" i="69" s="1"/>
  <c r="E11" i="69"/>
  <c r="AC11" i="69" s="1"/>
  <c r="D11" i="69"/>
  <c r="H10" i="69"/>
  <c r="G10" i="69"/>
  <c r="AE10" i="69" s="1"/>
  <c r="F10" i="69"/>
  <c r="AD10" i="69" s="1"/>
  <c r="E10" i="69"/>
  <c r="AC10" i="69" s="1"/>
  <c r="D10" i="69"/>
  <c r="AB10" i="69" s="1"/>
  <c r="AF12" i="69" l="1"/>
  <c r="Z12" i="69"/>
  <c r="AF16" i="69"/>
  <c r="Z16" i="69"/>
  <c r="AF13" i="69"/>
  <c r="Z13" i="69"/>
  <c r="AF17" i="69"/>
  <c r="Z17" i="69"/>
  <c r="AF21" i="69"/>
  <c r="Z21" i="69"/>
  <c r="AF25" i="69"/>
  <c r="Z25" i="69"/>
  <c r="AF29" i="69"/>
  <c r="Z29" i="69"/>
  <c r="AF14" i="69"/>
  <c r="Z14" i="69"/>
  <c r="AF22" i="69"/>
  <c r="AA22" i="69"/>
  <c r="Z22" i="69"/>
  <c r="AF26" i="69"/>
  <c r="AA26" i="69"/>
  <c r="Z26" i="69"/>
  <c r="AF30" i="69"/>
  <c r="Z30" i="69"/>
  <c r="AF11" i="69"/>
  <c r="Z11" i="69"/>
  <c r="AF15" i="69"/>
  <c r="Z15" i="69"/>
  <c r="AF19" i="69"/>
  <c r="Z19" i="69"/>
  <c r="AA19" i="69"/>
  <c r="AF23" i="69"/>
  <c r="Z23" i="69"/>
  <c r="AF27" i="69"/>
  <c r="Z27" i="69"/>
  <c r="AA27" i="69"/>
  <c r="AF31" i="69"/>
  <c r="Z31" i="69"/>
  <c r="AA31" i="69"/>
  <c r="AF10" i="69"/>
  <c r="Z10" i="69"/>
  <c r="AF18" i="69"/>
  <c r="AA18" i="69"/>
  <c r="Z18" i="69"/>
  <c r="AF20" i="69"/>
  <c r="Z20" i="69"/>
  <c r="AF24" i="69"/>
  <c r="AA24" i="69"/>
  <c r="Z24" i="69"/>
  <c r="AF28" i="69"/>
  <c r="AA28" i="69"/>
  <c r="Z28" i="69"/>
  <c r="N31" i="69"/>
  <c r="K33" i="69"/>
  <c r="AE32" i="69"/>
  <c r="AC32" i="69"/>
  <c r="K11" i="69"/>
  <c r="AB11" i="69"/>
  <c r="K15" i="69"/>
  <c r="AB15" i="69"/>
  <c r="K23" i="69"/>
  <c r="AB23" i="69"/>
  <c r="K17" i="69"/>
  <c r="AB17" i="69"/>
  <c r="K21" i="69"/>
  <c r="AB21" i="69"/>
  <c r="K26" i="69"/>
  <c r="AB26" i="69"/>
  <c r="K30" i="69"/>
  <c r="AB30" i="69"/>
  <c r="K19" i="69"/>
  <c r="AB19" i="69"/>
  <c r="K27" i="69"/>
  <c r="AB27" i="69"/>
  <c r="K31" i="69"/>
  <c r="AB31" i="69"/>
  <c r="AN11" i="69"/>
  <c r="AL13" i="69"/>
  <c r="AN15" i="69"/>
  <c r="AL17" i="69"/>
  <c r="AN19" i="69"/>
  <c r="AL21" i="69"/>
  <c r="AN23" i="69"/>
  <c r="AN27" i="69"/>
  <c r="AN31" i="69"/>
  <c r="AO10" i="69"/>
  <c r="AM12" i="69"/>
  <c r="AO14" i="69"/>
  <c r="AM16" i="69"/>
  <c r="AO18" i="69"/>
  <c r="AM20" i="69"/>
  <c r="AO22" i="69"/>
  <c r="L25" i="69"/>
  <c r="AL25" i="69"/>
  <c r="M28" i="69"/>
  <c r="AM28" i="69"/>
  <c r="M33" i="69"/>
  <c r="AM33" i="69"/>
  <c r="N12" i="69"/>
  <c r="AN12" i="69"/>
  <c r="L14" i="69"/>
  <c r="AL14" i="69"/>
  <c r="O15" i="69"/>
  <c r="AO15" i="69"/>
  <c r="M17" i="69"/>
  <c r="AM17" i="69"/>
  <c r="AN20" i="69"/>
  <c r="L22" i="69"/>
  <c r="AL22" i="69"/>
  <c r="AO23" i="69"/>
  <c r="M25" i="69"/>
  <c r="AM25" i="69"/>
  <c r="N28" i="69"/>
  <c r="AN28" i="69"/>
  <c r="L30" i="69"/>
  <c r="AL30" i="69"/>
  <c r="AO31" i="69"/>
  <c r="AM10" i="69"/>
  <c r="N10" i="69"/>
  <c r="AN10" i="69"/>
  <c r="AM11" i="69"/>
  <c r="L12" i="69"/>
  <c r="AL12" i="69"/>
  <c r="O13" i="69"/>
  <c r="AO13" i="69"/>
  <c r="AN14" i="69"/>
  <c r="M15" i="69"/>
  <c r="AM15" i="69"/>
  <c r="L16" i="69"/>
  <c r="AL16" i="69"/>
  <c r="O17" i="69"/>
  <c r="AO17" i="69"/>
  <c r="N18" i="69"/>
  <c r="AN18" i="69"/>
  <c r="M19" i="69"/>
  <c r="AM19" i="69"/>
  <c r="L20" i="69"/>
  <c r="AL20" i="69"/>
  <c r="AO21" i="69"/>
  <c r="N22" i="69"/>
  <c r="AN22" i="69"/>
  <c r="AM23" i="69"/>
  <c r="AL24" i="69"/>
  <c r="AO25" i="69"/>
  <c r="AN26" i="69"/>
  <c r="AM27" i="69"/>
  <c r="AL28" i="69"/>
  <c r="AO29" i="69"/>
  <c r="AN30" i="69"/>
  <c r="M31" i="69"/>
  <c r="AM31" i="69"/>
  <c r="AL33" i="69"/>
  <c r="O26" i="69"/>
  <c r="AO26" i="69"/>
  <c r="L29" i="69"/>
  <c r="AL29" i="69"/>
  <c r="O30" i="69"/>
  <c r="AO30" i="69"/>
  <c r="L10" i="69"/>
  <c r="AL10" i="69"/>
  <c r="O11" i="69"/>
  <c r="AO11" i="69"/>
  <c r="M13" i="69"/>
  <c r="AM13" i="69"/>
  <c r="N16" i="69"/>
  <c r="AN16" i="69"/>
  <c r="L18" i="69"/>
  <c r="AL18" i="69"/>
  <c r="O19" i="69"/>
  <c r="AO19" i="69"/>
  <c r="M21" i="69"/>
  <c r="AM21" i="69"/>
  <c r="N24" i="69"/>
  <c r="L26" i="69"/>
  <c r="AL26" i="69"/>
  <c r="AO27" i="69"/>
  <c r="M29" i="69"/>
  <c r="AM29" i="69"/>
  <c r="AN33" i="69"/>
  <c r="AL11" i="69"/>
  <c r="AO12" i="69"/>
  <c r="AN13" i="69"/>
  <c r="AM14" i="69"/>
  <c r="AL15" i="69"/>
  <c r="AO16" i="69"/>
  <c r="AN17" i="69"/>
  <c r="AM18" i="69"/>
  <c r="AL19" i="69"/>
  <c r="AO20" i="69"/>
  <c r="AN21" i="69"/>
  <c r="AM22" i="69"/>
  <c r="AL23" i="69"/>
  <c r="AO24" i="69"/>
  <c r="AN25" i="69"/>
  <c r="AM26" i="69"/>
  <c r="AL27" i="69"/>
  <c r="AO28" i="69"/>
  <c r="AN29" i="69"/>
  <c r="AM30" i="69"/>
  <c r="AL31" i="69"/>
  <c r="AO33" i="69"/>
  <c r="O27" i="69"/>
  <c r="O31" i="69"/>
  <c r="O33" i="69"/>
  <c r="O23" i="69"/>
  <c r="M10" i="69"/>
  <c r="L11" i="69"/>
  <c r="K12" i="69"/>
  <c r="O12" i="69"/>
  <c r="N13" i="69"/>
  <c r="M14" i="69"/>
  <c r="L15" i="69"/>
  <c r="K16" i="69"/>
  <c r="O16" i="69"/>
  <c r="N17" i="69"/>
  <c r="M18" i="69"/>
  <c r="L19" i="69"/>
  <c r="K20" i="69"/>
  <c r="O20" i="69"/>
  <c r="N21" i="69"/>
  <c r="M22" i="69"/>
  <c r="L23" i="69"/>
  <c r="K24" i="69"/>
  <c r="O24" i="69"/>
  <c r="N25" i="69"/>
  <c r="M26" i="69"/>
  <c r="L27" i="69"/>
  <c r="K28" i="69"/>
  <c r="O28" i="69"/>
  <c r="N29" i="69"/>
  <c r="M30" i="69"/>
  <c r="L31" i="69"/>
  <c r="N33" i="69"/>
  <c r="M11" i="69"/>
  <c r="K13" i="69"/>
  <c r="N14" i="69"/>
  <c r="K10" i="69"/>
  <c r="O10" i="69"/>
  <c r="N11" i="69"/>
  <c r="M12" i="69"/>
  <c r="L13" i="69"/>
  <c r="K14" i="69"/>
  <c r="O14" i="69"/>
  <c r="N15" i="69"/>
  <c r="M16" i="69"/>
  <c r="L17" i="69"/>
  <c r="K18" i="69"/>
  <c r="O18" i="69"/>
  <c r="N19" i="69"/>
  <c r="M20" i="69"/>
  <c r="K22" i="69"/>
  <c r="O22" i="69"/>
  <c r="N23" i="69"/>
  <c r="N27" i="69"/>
  <c r="L33" i="69"/>
  <c r="O21" i="69"/>
  <c r="M23" i="69"/>
  <c r="L24" i="69"/>
  <c r="K25" i="69"/>
  <c r="O25" i="69"/>
  <c r="N26" i="69"/>
  <c r="M27" i="69"/>
  <c r="L28" i="69"/>
  <c r="K29" i="69"/>
  <c r="O29" i="69"/>
  <c r="N30" i="69"/>
  <c r="N20" i="69"/>
  <c r="L21" i="69"/>
  <c r="O33" i="68"/>
  <c r="N33" i="68"/>
  <c r="M33" i="68"/>
  <c r="L33" i="68"/>
  <c r="K33" i="68"/>
  <c r="O31" i="68"/>
  <c r="N31" i="68"/>
  <c r="M31" i="68"/>
  <c r="L31" i="68"/>
  <c r="K31" i="68"/>
  <c r="O30" i="68"/>
  <c r="N30" i="68"/>
  <c r="M30" i="68"/>
  <c r="L30" i="68"/>
  <c r="K30" i="68"/>
  <c r="O29" i="68"/>
  <c r="N29" i="68"/>
  <c r="M29" i="68"/>
  <c r="L29" i="68"/>
  <c r="K29" i="68"/>
  <c r="O28" i="68"/>
  <c r="N28" i="68"/>
  <c r="M28" i="68"/>
  <c r="L28" i="68"/>
  <c r="K28" i="68"/>
  <c r="O27" i="68"/>
  <c r="N27" i="68"/>
  <c r="M27" i="68"/>
  <c r="L27" i="68"/>
  <c r="K27" i="68"/>
  <c r="O26" i="68"/>
  <c r="N26" i="68"/>
  <c r="M26" i="68"/>
  <c r="L26" i="68"/>
  <c r="K26" i="68"/>
  <c r="O25" i="68"/>
  <c r="N25" i="68"/>
  <c r="M25" i="68"/>
  <c r="L25" i="68"/>
  <c r="K25" i="68"/>
  <c r="O24" i="68"/>
  <c r="N24" i="68"/>
  <c r="M24" i="68"/>
  <c r="L24" i="68"/>
  <c r="K24" i="68"/>
  <c r="O23" i="68"/>
  <c r="N23" i="68"/>
  <c r="M23" i="68"/>
  <c r="L23" i="68"/>
  <c r="K23" i="68"/>
  <c r="O22" i="68"/>
  <c r="N22" i="68"/>
  <c r="M22" i="68"/>
  <c r="L22" i="68"/>
  <c r="K22" i="68"/>
  <c r="O21" i="68"/>
  <c r="N21" i="68"/>
  <c r="M21" i="68"/>
  <c r="L21" i="68"/>
  <c r="K21" i="68"/>
  <c r="O20" i="68"/>
  <c r="N20" i="68"/>
  <c r="M20" i="68"/>
  <c r="L20" i="68"/>
  <c r="K20" i="68"/>
  <c r="O19" i="68"/>
  <c r="N19" i="68"/>
  <c r="M19" i="68"/>
  <c r="L19" i="68"/>
  <c r="K19" i="68"/>
  <c r="O18" i="68"/>
  <c r="N18" i="68"/>
  <c r="M18" i="68"/>
  <c r="L18" i="68"/>
  <c r="K18" i="68"/>
  <c r="O17" i="68"/>
  <c r="N17" i="68"/>
  <c r="M17" i="68"/>
  <c r="L17" i="68"/>
  <c r="K17" i="68"/>
  <c r="O16" i="68"/>
  <c r="N16" i="68"/>
  <c r="M16" i="68"/>
  <c r="L16" i="68"/>
  <c r="K16" i="68"/>
  <c r="O15" i="68"/>
  <c r="N15" i="68"/>
  <c r="M15" i="68"/>
  <c r="L15" i="68"/>
  <c r="K15" i="68"/>
  <c r="O14" i="68"/>
  <c r="N14" i="68"/>
  <c r="M14" i="68"/>
  <c r="L14" i="68"/>
  <c r="K14" i="68"/>
  <c r="O13" i="68"/>
  <c r="N13" i="68"/>
  <c r="M13" i="68"/>
  <c r="L13" i="68"/>
  <c r="K13" i="68"/>
  <c r="O12" i="68"/>
  <c r="N12" i="68"/>
  <c r="M12" i="68"/>
  <c r="L12" i="68"/>
  <c r="K12" i="68"/>
  <c r="O11" i="68"/>
  <c r="N11" i="68"/>
  <c r="M11" i="68"/>
  <c r="L11" i="68"/>
  <c r="K11" i="68"/>
  <c r="O10" i="68"/>
  <c r="N10" i="68"/>
  <c r="M10" i="68"/>
  <c r="L10" i="68"/>
  <c r="K10" i="68"/>
  <c r="AF32" i="69" l="1"/>
  <c r="Z32" i="69"/>
  <c r="AH24" i="69"/>
  <c r="AH21" i="69"/>
  <c r="AH22" i="69"/>
  <c r="AH18" i="69"/>
  <c r="AH23" i="69"/>
  <c r="AH17" i="69"/>
  <c r="AH14" i="69"/>
  <c r="AH20" i="69"/>
  <c r="AH28" i="69"/>
  <c r="AB32" i="69"/>
  <c r="AH16" i="69"/>
  <c r="AH26" i="69"/>
  <c r="AH25" i="69"/>
  <c r="AH12" i="69"/>
  <c r="AH13" i="69"/>
  <c r="AT10" i="68"/>
  <c r="AS11" i="68"/>
  <c r="AR12" i="68"/>
  <c r="AT18" i="68"/>
  <c r="AS19" i="68"/>
  <c r="AR20" i="68"/>
  <c r="AT25" i="68"/>
  <c r="AS26" i="68"/>
  <c r="AR29" i="68"/>
  <c r="AT31" i="68"/>
  <c r="AR33" i="68"/>
  <c r="AT15" i="68"/>
  <c r="AS16" i="68"/>
  <c r="AR17" i="68"/>
  <c r="AT23" i="68"/>
  <c r="AR24" i="68"/>
  <c r="AT26" i="68"/>
  <c r="AR27" i="68"/>
  <c r="AS33" i="68"/>
  <c r="AS13" i="68"/>
  <c r="AT16" i="68"/>
  <c r="AS17" i="68"/>
  <c r="AR18" i="68"/>
  <c r="AT20" i="68"/>
  <c r="AS21" i="68"/>
  <c r="AR22" i="68"/>
  <c r="AS24" i="68"/>
  <c r="AR25" i="68"/>
  <c r="AS27" i="68"/>
  <c r="AT29" i="68"/>
  <c r="AS30" i="68"/>
  <c r="AR31" i="68"/>
  <c r="AT33" i="68"/>
  <c r="AT14" i="68"/>
  <c r="AS15" i="68"/>
  <c r="AR16" i="68"/>
  <c r="AT22" i="68"/>
  <c r="AS23" i="68"/>
  <c r="AS28" i="68"/>
  <c r="AT11" i="68"/>
  <c r="AS12" i="68"/>
  <c r="AR13" i="68"/>
  <c r="AT19" i="68"/>
  <c r="AS20" i="68"/>
  <c r="AR21" i="68"/>
  <c r="AT28" i="68"/>
  <c r="AS29" i="68"/>
  <c r="AR30" i="68"/>
  <c r="AR10" i="68"/>
  <c r="AT12" i="68"/>
  <c r="AR14" i="68"/>
  <c r="AS10" i="68"/>
  <c r="AR11" i="68"/>
  <c r="AT13" i="68"/>
  <c r="AS14" i="68"/>
  <c r="AR15" i="68"/>
  <c r="AT17" i="68"/>
  <c r="AS18" i="68"/>
  <c r="AR19" i="68"/>
  <c r="AT21" i="68"/>
  <c r="AS22" i="68"/>
  <c r="AR23" i="68"/>
  <c r="AT24" i="68"/>
  <c r="AS25" i="68"/>
  <c r="AR26" i="68"/>
  <c r="AT27" i="68"/>
  <c r="AR28" i="68"/>
  <c r="AT30" i="68"/>
  <c r="AS31" i="68"/>
  <c r="T49" i="76"/>
  <c r="P26" i="68"/>
  <c r="AU26" i="68"/>
  <c r="AH17" i="68"/>
  <c r="AU17" i="68"/>
  <c r="P17" i="68"/>
  <c r="U49" i="76"/>
  <c r="P27" i="68"/>
  <c r="AU27" i="68"/>
  <c r="AH27" i="68"/>
  <c r="AU30" i="68"/>
  <c r="P30" i="68"/>
  <c r="AH11" i="68"/>
  <c r="P11" i="68"/>
  <c r="AU11" i="68"/>
  <c r="AU15" i="68"/>
  <c r="P15" i="68"/>
  <c r="AH15" i="68"/>
  <c r="AH19" i="68"/>
  <c r="AU19" i="68"/>
  <c r="P19" i="68"/>
  <c r="P28" i="68"/>
  <c r="AH25" i="68"/>
  <c r="AU28" i="68"/>
  <c r="P12" i="68"/>
  <c r="AH12" i="68"/>
  <c r="AU12" i="68"/>
  <c r="AH13" i="68"/>
  <c r="P13" i="68"/>
  <c r="AU13" i="68"/>
  <c r="AH21" i="68"/>
  <c r="P21" i="68"/>
  <c r="AU21" i="68"/>
  <c r="P24" i="68"/>
  <c r="AU24" i="68"/>
  <c r="AH23" i="68"/>
  <c r="P10" i="68"/>
  <c r="AU10" i="68"/>
  <c r="P14" i="68"/>
  <c r="AH14" i="68"/>
  <c r="AU14" i="68"/>
  <c r="AH18" i="68"/>
  <c r="P18" i="68"/>
  <c r="AU18" i="68"/>
  <c r="P22" i="68"/>
  <c r="AU22" i="68"/>
  <c r="AH22" i="68"/>
  <c r="AH24" i="68"/>
  <c r="P25" i="68"/>
  <c r="AU25" i="68"/>
  <c r="AU31" i="68"/>
  <c r="P31" i="68"/>
  <c r="AH28" i="68"/>
  <c r="Q49" i="76"/>
  <c r="P23" i="68"/>
  <c r="AU23" i="68"/>
  <c r="P16" i="68"/>
  <c r="AH16" i="68"/>
  <c r="AU16" i="68"/>
  <c r="P20" i="68"/>
  <c r="AH20" i="68"/>
  <c r="AU20" i="68"/>
  <c r="P29" i="68"/>
  <c r="AH26" i="68"/>
  <c r="AU29" i="68"/>
  <c r="AA49" i="76"/>
  <c r="AU33" i="68"/>
  <c r="X51" i="76"/>
  <c r="V16" i="92" s="1"/>
  <c r="AH27" i="69"/>
  <c r="M51" i="76"/>
  <c r="K16" i="92" s="1"/>
  <c r="AH19" i="69"/>
  <c r="I51" i="76"/>
  <c r="G16" i="92" s="1"/>
  <c r="AH15" i="69"/>
  <c r="E51" i="76"/>
  <c r="C16" i="92" s="1"/>
  <c r="AH11" i="69"/>
  <c r="AP21" i="69"/>
  <c r="I21" i="69" s="1"/>
  <c r="AP13" i="69"/>
  <c r="I13" i="69" s="1"/>
  <c r="K51" i="76"/>
  <c r="I16" i="92" s="1"/>
  <c r="AP17" i="69"/>
  <c r="I17" i="69" s="1"/>
  <c r="AP27" i="69"/>
  <c r="I27" i="69" s="1"/>
  <c r="AP23" i="69"/>
  <c r="I23" i="69" s="1"/>
  <c r="AP15" i="69"/>
  <c r="I15" i="69" s="1"/>
  <c r="P29" i="69"/>
  <c r="P12" i="69"/>
  <c r="Q51" i="76"/>
  <c r="P23" i="69"/>
  <c r="AP22" i="69"/>
  <c r="I22" i="69" s="1"/>
  <c r="P22" i="69"/>
  <c r="P18" i="69"/>
  <c r="P24" i="69"/>
  <c r="AP31" i="69"/>
  <c r="I31" i="69" s="1"/>
  <c r="P11" i="69"/>
  <c r="T51" i="76"/>
  <c r="P26" i="69"/>
  <c r="P13" i="69"/>
  <c r="AP30" i="69"/>
  <c r="I30" i="69" s="1"/>
  <c r="P10" i="69"/>
  <c r="P16" i="69"/>
  <c r="G51" i="76"/>
  <c r="E16" i="92" s="1"/>
  <c r="U51" i="76"/>
  <c r="P27" i="69"/>
  <c r="AP20" i="69"/>
  <c r="I20" i="69" s="1"/>
  <c r="AP16" i="69"/>
  <c r="I16" i="69" s="1"/>
  <c r="AP14" i="69"/>
  <c r="I14" i="69" s="1"/>
  <c r="AP25" i="69"/>
  <c r="I25" i="69" s="1"/>
  <c r="P28" i="69"/>
  <c r="P25" i="69"/>
  <c r="P21" i="69"/>
  <c r="AP19" i="69"/>
  <c r="I19" i="69" s="1"/>
  <c r="AP11" i="69"/>
  <c r="I11" i="69" s="1"/>
  <c r="P19" i="69"/>
  <c r="P30" i="69"/>
  <c r="AP33" i="69"/>
  <c r="I33" i="69" s="1"/>
  <c r="P14" i="69"/>
  <c r="P20" i="69"/>
  <c r="P31" i="69"/>
  <c r="AP26" i="69"/>
  <c r="I26" i="69" s="1"/>
  <c r="AP18" i="69"/>
  <c r="I18" i="69" s="1"/>
  <c r="AP10" i="69"/>
  <c r="I10" i="69" s="1"/>
  <c r="AP29" i="69"/>
  <c r="I29" i="69" s="1"/>
  <c r="AP28" i="69"/>
  <c r="I28" i="69" s="1"/>
  <c r="P17" i="69"/>
  <c r="AP12" i="69"/>
  <c r="I12" i="69" s="1"/>
  <c r="P15" i="69"/>
  <c r="K49" i="76"/>
  <c r="I14" i="92" s="1"/>
  <c r="O49" i="76"/>
  <c r="M14" i="92" s="1"/>
  <c r="R49" i="76"/>
  <c r="P14" i="92" s="1"/>
  <c r="X49" i="76"/>
  <c r="V14" i="92" s="1"/>
  <c r="D49" i="76"/>
  <c r="B14" i="92" s="1"/>
  <c r="L49" i="76"/>
  <c r="J14" i="92" s="1"/>
  <c r="P49" i="76"/>
  <c r="N14" i="92" s="1"/>
  <c r="Y49" i="76"/>
  <c r="W14" i="92" s="1"/>
  <c r="E49" i="76"/>
  <c r="C14" i="92" s="1"/>
  <c r="I49" i="76"/>
  <c r="G14" i="92" s="1"/>
  <c r="M49" i="76"/>
  <c r="K14" i="92" s="1"/>
  <c r="V49" i="76"/>
  <c r="T14" i="92" s="1"/>
  <c r="G49" i="76"/>
  <c r="E14" i="92" s="1"/>
  <c r="H49" i="76"/>
  <c r="F14" i="92" s="1"/>
  <c r="S49" i="76"/>
  <c r="Q14" i="92" s="1"/>
  <c r="F49" i="76"/>
  <c r="D14" i="92" s="1"/>
  <c r="J49" i="76"/>
  <c r="H14" i="92" s="1"/>
  <c r="N49" i="76"/>
  <c r="L14" i="92" s="1"/>
  <c r="W49" i="76"/>
  <c r="U14" i="92" s="1"/>
  <c r="R51" i="76"/>
  <c r="P16" i="92" s="1"/>
  <c r="L51" i="76"/>
  <c r="J16" i="92" s="1"/>
  <c r="N51" i="76"/>
  <c r="L16" i="92" s="1"/>
  <c r="F51" i="76"/>
  <c r="D16" i="92" s="1"/>
  <c r="W51" i="76"/>
  <c r="U16" i="92" s="1"/>
  <c r="H51" i="76"/>
  <c r="F16" i="92" s="1"/>
  <c r="AA51" i="76"/>
  <c r="P51" i="76"/>
  <c r="N16" i="92" s="1"/>
  <c r="S51" i="76"/>
  <c r="Q16" i="92" s="1"/>
  <c r="O51" i="76"/>
  <c r="M16" i="92" s="1"/>
  <c r="D51" i="76"/>
  <c r="B16" i="92" s="1"/>
  <c r="V51" i="76"/>
  <c r="T16" i="92" s="1"/>
  <c r="J51" i="76"/>
  <c r="H16" i="92" s="1"/>
  <c r="Y51" i="76"/>
  <c r="W16" i="92" s="1"/>
  <c r="Z169" i="66"/>
  <c r="Y4" i="70"/>
  <c r="Z4" i="69"/>
  <c r="Z4" i="68"/>
  <c r="AR171" i="68" s="1"/>
  <c r="Z4" i="67"/>
  <c r="Z4" i="66"/>
  <c r="Z4" i="65"/>
  <c r="AR65" i="65" s="1"/>
  <c r="Z4" i="64"/>
  <c r="AR65" i="64" s="1"/>
  <c r="Z170" i="63"/>
  <c r="AA170" i="63"/>
  <c r="AB170" i="63"/>
  <c r="AC170" i="63"/>
  <c r="AD170" i="63"/>
  <c r="Z105" i="81"/>
  <c r="Z4" i="63"/>
  <c r="Z4" i="62"/>
  <c r="AR65" i="62" s="1"/>
  <c r="Z153" i="49"/>
  <c r="AA14" i="92" l="1" a="1"/>
  <c r="AA14" i="92" s="1"/>
  <c r="AD41" i="68" s="1"/>
  <c r="AD42" i="68" s="1"/>
  <c r="Z14" i="92" a="1"/>
  <c r="Z14" i="92" s="1"/>
  <c r="AA42" i="68" s="1"/>
  <c r="Y14" i="92" a="1"/>
  <c r="Y14" i="92" s="1"/>
  <c r="Z42" i="68" s="1"/>
  <c r="Y16" i="92" a="1"/>
  <c r="Y16" i="92" s="1"/>
  <c r="Z42" i="69" s="1"/>
  <c r="Z16" i="92" a="1"/>
  <c r="Z16" i="92" s="1"/>
  <c r="AA42" i="69" s="1"/>
  <c r="AA16" i="92" a="1"/>
  <c r="AA16" i="92" s="1"/>
  <c r="AD41" i="69" s="1"/>
  <c r="AD42" i="69" s="1"/>
  <c r="BR37" i="67"/>
  <c r="AW15" i="68"/>
  <c r="AV15" i="68"/>
  <c r="AW21" i="68"/>
  <c r="AW20" i="68"/>
  <c r="AV25" i="68"/>
  <c r="AW22" i="68"/>
  <c r="AM171" i="68"/>
  <c r="AP171" i="68"/>
  <c r="AO171" i="68"/>
  <c r="AN171" i="68"/>
  <c r="AQ171" i="68"/>
  <c r="AW23" i="68"/>
  <c r="AW18" i="68"/>
  <c r="AW17" i="68"/>
  <c r="AW10" i="68"/>
  <c r="AW24" i="68"/>
  <c r="AW28" i="68"/>
  <c r="AV19" i="68"/>
  <c r="AV17" i="68"/>
  <c r="Z205" i="68"/>
  <c r="Z201" i="68"/>
  <c r="Z197" i="68"/>
  <c r="Z193" i="68"/>
  <c r="Z189" i="68"/>
  <c r="Z185" i="68"/>
  <c r="AA205" i="68"/>
  <c r="AA201" i="68"/>
  <c r="AA197" i="68"/>
  <c r="AA193" i="68"/>
  <c r="AA189" i="68"/>
  <c r="AA185" i="68"/>
  <c r="Z204" i="68"/>
  <c r="AA192" i="68"/>
  <c r="Z188" i="68"/>
  <c r="Z199" i="68"/>
  <c r="AA196" i="68"/>
  <c r="AA200" i="68"/>
  <c r="Z196" i="68"/>
  <c r="AA184" i="68"/>
  <c r="AA204" i="68"/>
  <c r="Z200" i="68"/>
  <c r="Z191" i="68"/>
  <c r="AA188" i="68"/>
  <c r="Z184" i="68"/>
  <c r="Z183" i="68"/>
  <c r="Z192" i="68"/>
  <c r="Z195" i="68"/>
  <c r="Z198" i="68"/>
  <c r="Z187" i="68"/>
  <c r="Z203" i="68"/>
  <c r="AA186" i="68"/>
  <c r="Z202" i="68"/>
  <c r="AA190" i="68"/>
  <c r="AA194" i="68"/>
  <c r="AA206" i="68"/>
  <c r="Z186" i="68"/>
  <c r="Z190" i="68"/>
  <c r="AA187" i="68"/>
  <c r="Z194" i="68"/>
  <c r="Z206" i="68"/>
  <c r="AA191" i="68"/>
  <c r="AA195" i="68"/>
  <c r="AA198" i="68"/>
  <c r="AA183" i="68"/>
  <c r="AA199" i="68"/>
  <c r="AA202" i="68"/>
  <c r="AV29" i="68"/>
  <c r="AW27" i="68"/>
  <c r="AW33" i="68"/>
  <c r="AW16" i="68"/>
  <c r="AV31" i="68"/>
  <c r="AW14" i="68"/>
  <c r="AV13" i="68"/>
  <c r="AV12" i="68"/>
  <c r="AV11" i="68"/>
  <c r="AW30" i="68"/>
  <c r="AW26" i="68"/>
  <c r="AV27" i="68"/>
  <c r="AV30" i="68"/>
  <c r="AV21" i="68"/>
  <c r="AW19" i="68"/>
  <c r="AV24" i="68"/>
  <c r="AV23" i="68"/>
  <c r="AV22" i="68"/>
  <c r="AV26" i="68"/>
  <c r="AW13" i="68"/>
  <c r="AV14" i="68"/>
  <c r="AW25" i="68"/>
  <c r="AV18" i="68"/>
  <c r="AW12" i="68"/>
  <c r="AV10" i="68"/>
  <c r="AV33" i="68"/>
  <c r="AW31" i="68"/>
  <c r="AV28" i="68"/>
  <c r="AV16" i="68"/>
  <c r="AW29" i="68"/>
  <c r="AV20" i="68"/>
  <c r="AW11" i="68"/>
  <c r="AE170" i="63"/>
  <c r="F170" i="63" s="1"/>
  <c r="Y42" i="68" l="1"/>
  <c r="AC41" i="68"/>
  <c r="AC42" i="68"/>
  <c r="Y42" i="69"/>
  <c r="AC41" i="69"/>
  <c r="AC42" i="69"/>
  <c r="AX21" i="68"/>
  <c r="AX30" i="68"/>
  <c r="AX18" i="68"/>
  <c r="AX15" i="68"/>
  <c r="AX23" i="68"/>
  <c r="AX20" i="68"/>
  <c r="AX24" i="68"/>
  <c r="AX16" i="68"/>
  <c r="AX17" i="68"/>
  <c r="AX29" i="68"/>
  <c r="AX33" i="68"/>
  <c r="AX26" i="68"/>
  <c r="AX10" i="68"/>
  <c r="AX22" i="68"/>
  <c r="AX25" i="68"/>
  <c r="AX27" i="68"/>
  <c r="AX28" i="68"/>
  <c r="AX14" i="68"/>
  <c r="AX19" i="68"/>
  <c r="AX13" i="68"/>
  <c r="AX12" i="68"/>
  <c r="AX11" i="68"/>
  <c r="AX31" i="68"/>
  <c r="E170" i="63"/>
  <c r="H170" i="63"/>
  <c r="G170" i="63"/>
  <c r="D170" i="63"/>
  <c r="AU58" i="84"/>
  <c r="AU46" i="84"/>
  <c r="AU57" i="84"/>
  <c r="AU45" i="84"/>
  <c r="AU59" i="84"/>
  <c r="AU55" i="84"/>
  <c r="AU51" i="84"/>
  <c r="AU47" i="84"/>
  <c r="AU62" i="84"/>
  <c r="AU54" i="84"/>
  <c r="AU50" i="84"/>
  <c r="AU53" i="84"/>
  <c r="AU49" i="84"/>
  <c r="AU60" i="84"/>
  <c r="AU56" i="84"/>
  <c r="AU52" i="84"/>
  <c r="AU48" i="84"/>
  <c r="AV52" i="83" l="1"/>
  <c r="AV47" i="83"/>
  <c r="AV55" i="83"/>
  <c r="AV60" i="83"/>
  <c r="AV64" i="83"/>
  <c r="AV61" i="83"/>
  <c r="AV65" i="83"/>
  <c r="AV59" i="83"/>
  <c r="AV46" i="83"/>
  <c r="AV58" i="83"/>
  <c r="AV57" i="83"/>
  <c r="AV48" i="83"/>
  <c r="AV49" i="83"/>
  <c r="AU61" i="84"/>
  <c r="AU64" i="84"/>
  <c r="AV62" i="83"/>
  <c r="AV45" i="83"/>
  <c r="AV56" i="83"/>
  <c r="AV53" i="83"/>
  <c r="AV50" i="83"/>
  <c r="AV54" i="83"/>
  <c r="AV51" i="83"/>
  <c r="Z4" i="49" l="1"/>
  <c r="AA87" i="49" l="1"/>
  <c r="AA91" i="49"/>
  <c r="AA99" i="49"/>
  <c r="AA77" i="49"/>
  <c r="Z84" i="49"/>
  <c r="Z88" i="49"/>
  <c r="Z92" i="49"/>
  <c r="Z96" i="49"/>
  <c r="Z100" i="49"/>
  <c r="AA84" i="49"/>
  <c r="Z87" i="49"/>
  <c r="AA88" i="49"/>
  <c r="Z91" i="49"/>
  <c r="AA92" i="49"/>
  <c r="AA96" i="49"/>
  <c r="Z99" i="49"/>
  <c r="AA100" i="49"/>
  <c r="Z86" i="49"/>
  <c r="Z89" i="49"/>
  <c r="AA81" i="49"/>
  <c r="AA86" i="49"/>
  <c r="Z98" i="49"/>
  <c r="Z82" i="49"/>
  <c r="Z85" i="49"/>
  <c r="AA93" i="49"/>
  <c r="AA98" i="49"/>
  <c r="AA82" i="49"/>
  <c r="Z94" i="49"/>
  <c r="Z81" i="49"/>
  <c r="AA89" i="49"/>
  <c r="AA94" i="49"/>
  <c r="AA78" i="49"/>
  <c r="Z78" i="49"/>
  <c r="Z90" i="49"/>
  <c r="Z93" i="49"/>
  <c r="Z77" i="49"/>
  <c r="AA85" i="49"/>
  <c r="AA90" i="49"/>
  <c r="Y171" i="84"/>
  <c r="Y135" i="84"/>
  <c r="Y99" i="84"/>
  <c r="D32" i="84"/>
  <c r="Z206" i="83"/>
  <c r="D206" i="83" s="1"/>
  <c r="AS170" i="83" s="1"/>
  <c r="Z99" i="83"/>
  <c r="D32" i="83"/>
  <c r="D318" i="83" s="1"/>
  <c r="K318" i="83" s="1"/>
  <c r="D32" i="69"/>
  <c r="AF170" i="67"/>
  <c r="Z168" i="66"/>
  <c r="Z133" i="49"/>
  <c r="Z171" i="84"/>
  <c r="Z135" i="84"/>
  <c r="Z99" i="84"/>
  <c r="E32" i="84"/>
  <c r="AA206" i="83"/>
  <c r="E139" i="83"/>
  <c r="E242" i="83" s="1"/>
  <c r="AA99" i="83"/>
  <c r="E32" i="69"/>
  <c r="AG170" i="67"/>
  <c r="AA133" i="49"/>
  <c r="AB171" i="84"/>
  <c r="AB135" i="84"/>
  <c r="AB99" i="84"/>
  <c r="G32" i="84"/>
  <c r="AC206" i="83"/>
  <c r="G139" i="83"/>
  <c r="G242" i="83" s="1"/>
  <c r="AC99" i="83"/>
  <c r="G32" i="69"/>
  <c r="AI170" i="67"/>
  <c r="AC133" i="49"/>
  <c r="AD133" i="49"/>
  <c r="AJ170" i="67"/>
  <c r="H32" i="69"/>
  <c r="AD99" i="83"/>
  <c r="H32" i="70"/>
  <c r="H139" i="83"/>
  <c r="H242" i="83" s="1"/>
  <c r="AK100" i="70"/>
  <c r="AD206" i="83"/>
  <c r="G135" i="84" l="1"/>
  <c r="E135" i="84"/>
  <c r="Y104" i="81"/>
  <c r="D139" i="83"/>
  <c r="D135" i="84"/>
  <c r="L32" i="84"/>
  <c r="AL63" i="84" s="1"/>
  <c r="O32" i="84"/>
  <c r="G99" i="84"/>
  <c r="D99" i="84"/>
  <c r="M32" i="84"/>
  <c r="AM63" i="84" s="1"/>
  <c r="E99" i="84"/>
  <c r="AS63" i="84" s="1"/>
  <c r="D171" i="84"/>
  <c r="BB63" i="84" s="1"/>
  <c r="L139" i="83"/>
  <c r="E206" i="83"/>
  <c r="AT170" i="83" s="1"/>
  <c r="N139" i="83"/>
  <c r="G206" i="83"/>
  <c r="AV170" i="83" s="1"/>
  <c r="O139" i="83"/>
  <c r="AO139" i="83"/>
  <c r="H206" i="83"/>
  <c r="H171" i="84"/>
  <c r="E32" i="83"/>
  <c r="E318" i="83" s="1"/>
  <c r="E171" i="84"/>
  <c r="BC63" i="84" s="1"/>
  <c r="H32" i="83"/>
  <c r="H318" i="83" s="1"/>
  <c r="G171" i="84"/>
  <c r="BE63" i="84" s="1"/>
  <c r="G32" i="83"/>
  <c r="G318" i="83" s="1"/>
  <c r="Y105" i="81"/>
  <c r="K139" i="83" l="1"/>
  <c r="AM170" i="83" s="1"/>
  <c r="D242" i="83"/>
  <c r="L318" i="83"/>
  <c r="AL318" i="83"/>
  <c r="O318" i="83"/>
  <c r="Z66" i="76" s="1"/>
  <c r="AO318" i="83"/>
  <c r="N318" i="83"/>
  <c r="AL139" i="83"/>
  <c r="AN32" i="84"/>
  <c r="BF63" i="84"/>
  <c r="Z77" i="76"/>
  <c r="Z63" i="76"/>
  <c r="AW170" i="83"/>
  <c r="AK32" i="84"/>
  <c r="AR139" i="83"/>
  <c r="AN170" i="83"/>
  <c r="AT139" i="83"/>
  <c r="AP170" i="83"/>
  <c r="AM349" i="83"/>
  <c r="AO63" i="84"/>
  <c r="Q32" i="84"/>
  <c r="AU139" i="83"/>
  <c r="P139" i="83"/>
  <c r="AQ170" i="83"/>
  <c r="AR63" i="84"/>
  <c r="K32" i="83"/>
  <c r="AM63" i="83" s="1"/>
  <c r="D99" i="83"/>
  <c r="E99" i="83"/>
  <c r="AY63" i="83" s="1"/>
  <c r="H99" i="83"/>
  <c r="Z62" i="76" s="1"/>
  <c r="G99" i="83"/>
  <c r="BA63" i="83" s="1"/>
  <c r="L32" i="83"/>
  <c r="AV63" i="84"/>
  <c r="AZ63" i="84"/>
  <c r="AP63" i="84"/>
  <c r="O32" i="83"/>
  <c r="N32" i="83"/>
  <c r="AW63" i="84"/>
  <c r="BA63" i="84"/>
  <c r="AX63" i="84"/>
  <c r="AU63" i="84"/>
  <c r="H33" i="70"/>
  <c r="G33" i="70"/>
  <c r="F33" i="70"/>
  <c r="E33" i="70"/>
  <c r="D33" i="70"/>
  <c r="D32" i="70"/>
  <c r="H31" i="70"/>
  <c r="G31" i="70"/>
  <c r="F31" i="70"/>
  <c r="E31" i="70"/>
  <c r="D31" i="70"/>
  <c r="H30" i="70"/>
  <c r="G30" i="70"/>
  <c r="F30" i="70"/>
  <c r="E30" i="70"/>
  <c r="D30" i="70"/>
  <c r="H29" i="70"/>
  <c r="G29" i="70"/>
  <c r="F29" i="70"/>
  <c r="E29" i="70"/>
  <c r="D29" i="70"/>
  <c r="H28" i="70"/>
  <c r="G28" i="70"/>
  <c r="F28" i="70"/>
  <c r="E28" i="70"/>
  <c r="D28" i="70"/>
  <c r="H27" i="70"/>
  <c r="G27" i="70"/>
  <c r="F27" i="70"/>
  <c r="E27" i="70"/>
  <c r="D27" i="70"/>
  <c r="H26" i="70"/>
  <c r="G26" i="70"/>
  <c r="F26" i="70"/>
  <c r="E26" i="70"/>
  <c r="D26" i="70"/>
  <c r="H25" i="70"/>
  <c r="G25" i="70"/>
  <c r="F25" i="70"/>
  <c r="E25" i="70"/>
  <c r="D25" i="70"/>
  <c r="H24" i="70"/>
  <c r="G24" i="70"/>
  <c r="E24" i="70"/>
  <c r="D24" i="70"/>
  <c r="H23" i="70"/>
  <c r="G23" i="70"/>
  <c r="F23" i="70"/>
  <c r="E23" i="70"/>
  <c r="D23" i="70"/>
  <c r="H22" i="70"/>
  <c r="G22" i="70"/>
  <c r="F22" i="70"/>
  <c r="E22" i="70"/>
  <c r="D22" i="70"/>
  <c r="H21" i="70"/>
  <c r="G21" i="70"/>
  <c r="F21" i="70"/>
  <c r="E21" i="70"/>
  <c r="D21" i="70"/>
  <c r="H20" i="70"/>
  <c r="G20" i="70"/>
  <c r="F20" i="70"/>
  <c r="E20" i="70"/>
  <c r="D20" i="70"/>
  <c r="H19" i="70"/>
  <c r="G19" i="70"/>
  <c r="F19" i="70"/>
  <c r="E19" i="70"/>
  <c r="D19" i="70"/>
  <c r="H18" i="70"/>
  <c r="G18" i="70"/>
  <c r="F18" i="70"/>
  <c r="E18" i="70"/>
  <c r="D18" i="70"/>
  <c r="H17" i="70"/>
  <c r="G17" i="70"/>
  <c r="F17" i="70"/>
  <c r="E17" i="70"/>
  <c r="D17" i="70"/>
  <c r="H16" i="70"/>
  <c r="G16" i="70"/>
  <c r="F16" i="70"/>
  <c r="E16" i="70"/>
  <c r="D16" i="70"/>
  <c r="H15" i="70"/>
  <c r="G15" i="70"/>
  <c r="F15" i="70"/>
  <c r="E15" i="70"/>
  <c r="D15" i="70"/>
  <c r="H14" i="70"/>
  <c r="G14" i="70"/>
  <c r="F14" i="70"/>
  <c r="E14" i="70"/>
  <c r="D14" i="70"/>
  <c r="H13" i="70"/>
  <c r="G13" i="70"/>
  <c r="F13" i="70"/>
  <c r="E13" i="70"/>
  <c r="D13" i="70"/>
  <c r="G12" i="70"/>
  <c r="F12" i="70"/>
  <c r="E12" i="70"/>
  <c r="D12" i="70"/>
  <c r="H11" i="70"/>
  <c r="G11" i="70"/>
  <c r="F11" i="70"/>
  <c r="E11" i="70"/>
  <c r="D11" i="70"/>
  <c r="G10" i="70"/>
  <c r="F10" i="70"/>
  <c r="E10" i="70"/>
  <c r="D10" i="70"/>
  <c r="Z61" i="76" l="1"/>
  <c r="Y17" i="70"/>
  <c r="Y25" i="70"/>
  <c r="Y29" i="70"/>
  <c r="AE33" i="70"/>
  <c r="Z33" i="70"/>
  <c r="Y33" i="70"/>
  <c r="Y14" i="70"/>
  <c r="Y18" i="70"/>
  <c r="Z18" i="70"/>
  <c r="Y26" i="70"/>
  <c r="Z26" i="70"/>
  <c r="Y30" i="70"/>
  <c r="Y11" i="70"/>
  <c r="Y15" i="70"/>
  <c r="Y19" i="70"/>
  <c r="Z19" i="70"/>
  <c r="Y23" i="70"/>
  <c r="Y27" i="70"/>
  <c r="Z27" i="70"/>
  <c r="Y31" i="70"/>
  <c r="Z31" i="70"/>
  <c r="Y13" i="70"/>
  <c r="Y21" i="70"/>
  <c r="Y10" i="70"/>
  <c r="Y22" i="70"/>
  <c r="Z22" i="70"/>
  <c r="Y12" i="70"/>
  <c r="Y16" i="70"/>
  <c r="Y20" i="70"/>
  <c r="Y24" i="70"/>
  <c r="Z24" i="70"/>
  <c r="Z28" i="70"/>
  <c r="Y28" i="70"/>
  <c r="AR20" i="70"/>
  <c r="AR24" i="70"/>
  <c r="AQ21" i="70"/>
  <c r="AQ29" i="70"/>
  <c r="AQ25" i="70"/>
  <c r="AP30" i="70"/>
  <c r="AP26" i="70"/>
  <c r="AP22" i="70"/>
  <c r="AO27" i="70"/>
  <c r="AO31" i="70"/>
  <c r="AO23" i="70"/>
  <c r="AQ349" i="83"/>
  <c r="AO11" i="70"/>
  <c r="AP14" i="70"/>
  <c r="AO15" i="70"/>
  <c r="AR16" i="70"/>
  <c r="AO19" i="70"/>
  <c r="AP10" i="70"/>
  <c r="AR12" i="70"/>
  <c r="AQ13" i="70"/>
  <c r="AQ17" i="70"/>
  <c r="AP18" i="70"/>
  <c r="AQ11" i="70"/>
  <c r="AP12" i="70"/>
  <c r="AO13" i="70"/>
  <c r="AQ15" i="70"/>
  <c r="AP16" i="70"/>
  <c r="AO17" i="70"/>
  <c r="AQ19" i="70"/>
  <c r="AP20" i="70"/>
  <c r="AO21" i="70"/>
  <c r="AQ23" i="70"/>
  <c r="AO25" i="70"/>
  <c r="AQ27" i="70"/>
  <c r="AP28" i="70"/>
  <c r="AO29" i="70"/>
  <c r="AQ31" i="70"/>
  <c r="AE28" i="70"/>
  <c r="AR28" i="70"/>
  <c r="AQ10" i="70"/>
  <c r="AP11" i="70"/>
  <c r="AO12" i="70"/>
  <c r="AE13" i="70"/>
  <c r="AR13" i="70"/>
  <c r="AQ14" i="70"/>
  <c r="AP15" i="70"/>
  <c r="AO16" i="70"/>
  <c r="AE17" i="70"/>
  <c r="AR17" i="70"/>
  <c r="AQ18" i="70"/>
  <c r="AP19" i="70"/>
  <c r="AO20" i="70"/>
  <c r="AR21" i="70"/>
  <c r="AQ22" i="70"/>
  <c r="AP23" i="70"/>
  <c r="AO24" i="70"/>
  <c r="AE25" i="70"/>
  <c r="AR25" i="70"/>
  <c r="AQ26" i="70"/>
  <c r="AP27" i="70"/>
  <c r="AO28" i="70"/>
  <c r="AE29" i="70"/>
  <c r="AR29" i="70"/>
  <c r="AQ30" i="70"/>
  <c r="AP31" i="70"/>
  <c r="AE10" i="70"/>
  <c r="AR10" i="70"/>
  <c r="AE14" i="70"/>
  <c r="AR14" i="70"/>
  <c r="AE18" i="70"/>
  <c r="AR18" i="70"/>
  <c r="AE22" i="70"/>
  <c r="AR22" i="70"/>
  <c r="AE26" i="70"/>
  <c r="AR26" i="70"/>
  <c r="AE30" i="70"/>
  <c r="AR30" i="70"/>
  <c r="AO10" i="70"/>
  <c r="AR11" i="70"/>
  <c r="AQ12" i="70"/>
  <c r="AP13" i="70"/>
  <c r="AO14" i="70"/>
  <c r="AR15" i="70"/>
  <c r="AQ16" i="70"/>
  <c r="AP17" i="70"/>
  <c r="AO18" i="70"/>
  <c r="AR19" i="70"/>
  <c r="AQ20" i="70"/>
  <c r="AP21" i="70"/>
  <c r="AO22" i="70"/>
  <c r="AE23" i="70"/>
  <c r="AR23" i="70"/>
  <c r="AP25" i="70"/>
  <c r="AO26" i="70"/>
  <c r="AE27" i="70"/>
  <c r="AR27" i="70"/>
  <c r="AQ28" i="70"/>
  <c r="AP29" i="70"/>
  <c r="AO30" i="70"/>
  <c r="AE31" i="70"/>
  <c r="AR31" i="70"/>
  <c r="AR32" i="83"/>
  <c r="AL32" i="83"/>
  <c r="AT32" i="83"/>
  <c r="AO32" i="83"/>
  <c r="P21" i="70"/>
  <c r="O67" i="76" s="1"/>
  <c r="AE21" i="70"/>
  <c r="P11" i="70"/>
  <c r="E67" i="76" s="1"/>
  <c r="AE11" i="70"/>
  <c r="P15" i="70"/>
  <c r="I67" i="76" s="1"/>
  <c r="AE15" i="70"/>
  <c r="P19" i="70"/>
  <c r="M67" i="76" s="1"/>
  <c r="AE19" i="70"/>
  <c r="P12" i="70"/>
  <c r="F67" i="76" s="1"/>
  <c r="AE12" i="70"/>
  <c r="P16" i="70"/>
  <c r="J67" i="76" s="1"/>
  <c r="AE16" i="70"/>
  <c r="P20" i="70"/>
  <c r="N67" i="76" s="1"/>
  <c r="AE20" i="70"/>
  <c r="P24" i="70"/>
  <c r="R67" i="76" s="1"/>
  <c r="AE24" i="70"/>
  <c r="O12" i="70"/>
  <c r="AD12" i="70"/>
  <c r="O20" i="70"/>
  <c r="AD20" i="70"/>
  <c r="O24" i="70"/>
  <c r="AD24" i="70"/>
  <c r="O10" i="70"/>
  <c r="AD10" i="70"/>
  <c r="O14" i="70"/>
  <c r="AD14" i="70"/>
  <c r="O18" i="70"/>
  <c r="AD18" i="70"/>
  <c r="O22" i="70"/>
  <c r="AD22" i="70"/>
  <c r="O26" i="70"/>
  <c r="AD26" i="70"/>
  <c r="O30" i="70"/>
  <c r="AD30" i="70"/>
  <c r="O11" i="70"/>
  <c r="AD11" i="70"/>
  <c r="O15" i="70"/>
  <c r="AD15" i="70"/>
  <c r="O19" i="70"/>
  <c r="AD19" i="70"/>
  <c r="O23" i="70"/>
  <c r="AD23" i="70"/>
  <c r="O27" i="70"/>
  <c r="AD27" i="70"/>
  <c r="O31" i="70"/>
  <c r="AD31" i="70"/>
  <c r="O16" i="70"/>
  <c r="AD16" i="70"/>
  <c r="O28" i="70"/>
  <c r="AD28" i="70"/>
  <c r="O13" i="70"/>
  <c r="AD13" i="70"/>
  <c r="O17" i="70"/>
  <c r="AD17" i="70"/>
  <c r="O21" i="70"/>
  <c r="AD21" i="70"/>
  <c r="O25" i="70"/>
  <c r="AD25" i="70"/>
  <c r="O29" i="70"/>
  <c r="AD29" i="70"/>
  <c r="O33" i="70"/>
  <c r="AD33" i="70"/>
  <c r="N11" i="70"/>
  <c r="AC11" i="70"/>
  <c r="N15" i="70"/>
  <c r="AC15" i="70"/>
  <c r="N19" i="70"/>
  <c r="AC19" i="70"/>
  <c r="N23" i="70"/>
  <c r="AC23" i="70"/>
  <c r="N27" i="70"/>
  <c r="AC27" i="70"/>
  <c r="N31" i="70"/>
  <c r="AC31" i="70"/>
  <c r="N12" i="70"/>
  <c r="AC12" i="70"/>
  <c r="N16" i="70"/>
  <c r="AC16" i="70"/>
  <c r="N20" i="70"/>
  <c r="AC20" i="70"/>
  <c r="N28" i="70"/>
  <c r="AC28" i="70"/>
  <c r="N13" i="70"/>
  <c r="AC13" i="70"/>
  <c r="N17" i="70"/>
  <c r="AC17" i="70"/>
  <c r="N21" i="70"/>
  <c r="AC21" i="70"/>
  <c r="N25" i="70"/>
  <c r="AC25" i="70"/>
  <c r="N29" i="70"/>
  <c r="AC29" i="70"/>
  <c r="N33" i="70"/>
  <c r="AC33" i="70"/>
  <c r="N10" i="70"/>
  <c r="AC10" i="70"/>
  <c r="N14" i="70"/>
  <c r="AC14" i="70"/>
  <c r="N18" i="70"/>
  <c r="AC18" i="70"/>
  <c r="N22" i="70"/>
  <c r="AC22" i="70"/>
  <c r="N26" i="70"/>
  <c r="AC26" i="70"/>
  <c r="N30" i="70"/>
  <c r="AC30" i="70"/>
  <c r="M19" i="70"/>
  <c r="AB19" i="70"/>
  <c r="M27" i="70"/>
  <c r="AB27" i="70"/>
  <c r="M16" i="70"/>
  <c r="AB16" i="70"/>
  <c r="M24" i="70"/>
  <c r="AB24" i="70"/>
  <c r="M13" i="70"/>
  <c r="AB13" i="70"/>
  <c r="M17" i="70"/>
  <c r="AB17" i="70"/>
  <c r="M21" i="70"/>
  <c r="AB21" i="70"/>
  <c r="M25" i="70"/>
  <c r="AB25" i="70"/>
  <c r="M29" i="70"/>
  <c r="AB29" i="70"/>
  <c r="M33" i="70"/>
  <c r="AB33" i="70"/>
  <c r="M11" i="70"/>
  <c r="AB11" i="70"/>
  <c r="M15" i="70"/>
  <c r="AB15" i="70"/>
  <c r="M23" i="70"/>
  <c r="AB23" i="70"/>
  <c r="M31" i="70"/>
  <c r="AB31" i="70"/>
  <c r="M12" i="70"/>
  <c r="AB12" i="70"/>
  <c r="M20" i="70"/>
  <c r="AB20" i="70"/>
  <c r="M28" i="70"/>
  <c r="AB28" i="70"/>
  <c r="M10" i="70"/>
  <c r="AB10" i="70"/>
  <c r="M14" i="70"/>
  <c r="AB14" i="70"/>
  <c r="M18" i="70"/>
  <c r="AB18" i="70"/>
  <c r="M22" i="70"/>
  <c r="AB22" i="70"/>
  <c r="M26" i="70"/>
  <c r="AB26" i="70"/>
  <c r="M30" i="70"/>
  <c r="AB30" i="70"/>
  <c r="L16" i="70"/>
  <c r="AA16" i="70"/>
  <c r="L24" i="70"/>
  <c r="AA24" i="70"/>
  <c r="L17" i="70"/>
  <c r="AA17" i="70"/>
  <c r="L29" i="70"/>
  <c r="AA29" i="70"/>
  <c r="L14" i="70"/>
  <c r="AA14" i="70"/>
  <c r="L18" i="70"/>
  <c r="AA18" i="70"/>
  <c r="L22" i="70"/>
  <c r="AA22" i="70"/>
  <c r="L26" i="70"/>
  <c r="AA26" i="70"/>
  <c r="L30" i="70"/>
  <c r="AA30" i="70"/>
  <c r="L12" i="70"/>
  <c r="AA12" i="70"/>
  <c r="L20" i="70"/>
  <c r="AA20" i="70"/>
  <c r="L28" i="70"/>
  <c r="AA28" i="70"/>
  <c r="L13" i="70"/>
  <c r="AA13" i="70"/>
  <c r="L21" i="70"/>
  <c r="AA21" i="70"/>
  <c r="L25" i="70"/>
  <c r="AA25" i="70"/>
  <c r="L33" i="70"/>
  <c r="AA33" i="70"/>
  <c r="L11" i="70"/>
  <c r="AA11" i="70"/>
  <c r="L15" i="70"/>
  <c r="AA15" i="70"/>
  <c r="L19" i="70"/>
  <c r="AA19" i="70"/>
  <c r="L23" i="70"/>
  <c r="AA23" i="70"/>
  <c r="L27" i="70"/>
  <c r="AA27" i="70"/>
  <c r="L31" i="70"/>
  <c r="AA31" i="70"/>
  <c r="L10" i="70"/>
  <c r="AA10" i="70"/>
  <c r="AN349" i="83"/>
  <c r="AR318" i="83"/>
  <c r="AP349" i="83"/>
  <c r="AT318" i="83"/>
  <c r="AU318" i="83"/>
  <c r="P318" i="83"/>
  <c r="AW63" i="83"/>
  <c r="AT63" i="83"/>
  <c r="AS63" i="83"/>
  <c r="AN63" i="83"/>
  <c r="P32" i="83"/>
  <c r="AU32" i="83"/>
  <c r="AP63" i="83"/>
  <c r="AQ63" i="83"/>
  <c r="AV63" i="83"/>
  <c r="BB63" i="83"/>
  <c r="AX63" i="83"/>
  <c r="P28" i="70"/>
  <c r="V67" i="76" s="1"/>
  <c r="P10" i="70"/>
  <c r="P14" i="70"/>
  <c r="H67" i="76" s="1"/>
  <c r="P18" i="70"/>
  <c r="L67" i="76" s="1"/>
  <c r="P22" i="70"/>
  <c r="P67" i="76" s="1"/>
  <c r="P26" i="70"/>
  <c r="T67" i="76" s="1"/>
  <c r="P30" i="70"/>
  <c r="X67" i="76" s="1"/>
  <c r="P23" i="70"/>
  <c r="Q67" i="76" s="1"/>
  <c r="P27" i="70"/>
  <c r="U67" i="76" s="1"/>
  <c r="P31" i="70"/>
  <c r="Y67" i="76" s="1"/>
  <c r="P13" i="70"/>
  <c r="G67" i="76" s="1"/>
  <c r="P17" i="70"/>
  <c r="K67" i="76" s="1"/>
  <c r="P25" i="70"/>
  <c r="S67" i="76" s="1"/>
  <c r="P29" i="70"/>
  <c r="W67" i="76" s="1"/>
  <c r="J33" i="70"/>
  <c r="P33" i="70"/>
  <c r="AA67" i="76" s="1"/>
  <c r="AH101" i="70"/>
  <c r="AG101" i="70"/>
  <c r="AF101" i="70"/>
  <c r="AE101" i="70"/>
  <c r="AH99" i="70"/>
  <c r="AG99" i="70"/>
  <c r="AF99" i="70"/>
  <c r="AE99" i="70"/>
  <c r="AH98" i="70"/>
  <c r="AG98" i="70"/>
  <c r="AF98" i="70"/>
  <c r="AE98" i="70"/>
  <c r="AH97" i="70"/>
  <c r="AG97" i="70"/>
  <c r="AF97" i="70"/>
  <c r="AE97" i="70"/>
  <c r="AH96" i="70"/>
  <c r="AG96" i="70"/>
  <c r="AF96" i="70"/>
  <c r="AE96" i="70"/>
  <c r="AH95" i="70"/>
  <c r="AG95" i="70"/>
  <c r="AF95" i="70"/>
  <c r="AE95" i="70"/>
  <c r="AH94" i="70"/>
  <c r="AG94" i="70"/>
  <c r="AF94" i="70"/>
  <c r="AE94" i="70"/>
  <c r="AH93" i="70"/>
  <c r="AG93" i="70"/>
  <c r="AF93" i="70"/>
  <c r="AE93" i="70"/>
  <c r="AH92" i="70"/>
  <c r="AF92" i="70"/>
  <c r="AE92" i="70"/>
  <c r="AH91" i="70"/>
  <c r="AG91" i="70"/>
  <c r="AF91" i="70"/>
  <c r="AE91" i="70"/>
  <c r="AH90" i="70"/>
  <c r="AG90" i="70"/>
  <c r="AF90" i="70"/>
  <c r="AE90" i="70"/>
  <c r="AH89" i="70"/>
  <c r="AG89" i="70"/>
  <c r="AF89" i="70"/>
  <c r="AE89" i="70"/>
  <c r="AH88" i="70"/>
  <c r="AG88" i="70"/>
  <c r="AF88" i="70"/>
  <c r="AE88" i="70"/>
  <c r="AH87" i="70"/>
  <c r="AG87" i="70"/>
  <c r="AF87" i="70"/>
  <c r="AE87" i="70"/>
  <c r="AH86" i="70"/>
  <c r="AG86" i="70"/>
  <c r="AF86" i="70"/>
  <c r="AE86" i="70"/>
  <c r="AH85" i="70"/>
  <c r="AG85" i="70"/>
  <c r="AF85" i="70"/>
  <c r="AE85" i="70"/>
  <c r="AH84" i="70"/>
  <c r="AG84" i="70"/>
  <c r="AF84" i="70"/>
  <c r="AE84" i="70"/>
  <c r="AH83" i="70"/>
  <c r="AG83" i="70"/>
  <c r="AF83" i="70"/>
  <c r="AE83" i="70"/>
  <c r="AH82" i="70"/>
  <c r="AG82" i="70"/>
  <c r="AF82" i="70"/>
  <c r="AE82" i="70"/>
  <c r="AH81" i="70"/>
  <c r="AG81" i="70"/>
  <c r="AF81" i="70"/>
  <c r="AE81" i="70"/>
  <c r="AH80" i="70"/>
  <c r="AG80" i="70"/>
  <c r="AF80" i="70"/>
  <c r="AE80" i="70"/>
  <c r="AH79" i="70"/>
  <c r="AG79" i="70"/>
  <c r="AF79" i="70"/>
  <c r="AE79" i="70"/>
  <c r="AH78" i="70"/>
  <c r="AG78" i="70"/>
  <c r="AF78" i="70"/>
  <c r="AE78" i="70"/>
  <c r="AC101" i="70"/>
  <c r="H279" i="83" s="1"/>
  <c r="AB101" i="70"/>
  <c r="G279" i="83" s="1"/>
  <c r="AA101" i="70"/>
  <c r="F279" i="83" s="1"/>
  <c r="Z101" i="70"/>
  <c r="E279" i="83" s="1"/>
  <c r="Y101" i="70"/>
  <c r="D279" i="83" s="1"/>
  <c r="AC99" i="70"/>
  <c r="H277" i="83" s="1"/>
  <c r="AB99" i="70"/>
  <c r="G277" i="83" s="1"/>
  <c r="AA99" i="70"/>
  <c r="F277" i="83" s="1"/>
  <c r="Z99" i="70"/>
  <c r="E277" i="83" s="1"/>
  <c r="Y99" i="70"/>
  <c r="D277" i="83" s="1"/>
  <c r="AC98" i="70"/>
  <c r="H276" i="83" s="1"/>
  <c r="AB98" i="70"/>
  <c r="G276" i="83" s="1"/>
  <c r="AA98" i="70"/>
  <c r="F276" i="83" s="1"/>
  <c r="Z98" i="70"/>
  <c r="E276" i="83" s="1"/>
  <c r="Y98" i="70"/>
  <c r="D276" i="83" s="1"/>
  <c r="AC97" i="70"/>
  <c r="H275" i="83" s="1"/>
  <c r="AB97" i="70"/>
  <c r="G275" i="83" s="1"/>
  <c r="AA97" i="70"/>
  <c r="F275" i="83" s="1"/>
  <c r="Z97" i="70"/>
  <c r="E275" i="83" s="1"/>
  <c r="Y97" i="70"/>
  <c r="D275" i="83" s="1"/>
  <c r="AC96" i="70"/>
  <c r="H274" i="83" s="1"/>
  <c r="AB96" i="70"/>
  <c r="G274" i="83" s="1"/>
  <c r="AA96" i="70"/>
  <c r="F274" i="83" s="1"/>
  <c r="Z96" i="70"/>
  <c r="E274" i="83" s="1"/>
  <c r="Y96" i="70"/>
  <c r="D274" i="83" s="1"/>
  <c r="AC95" i="70"/>
  <c r="H273" i="83" s="1"/>
  <c r="AB95" i="70"/>
  <c r="G273" i="83" s="1"/>
  <c r="AA95" i="70"/>
  <c r="F273" i="83" s="1"/>
  <c r="Z95" i="70"/>
  <c r="E273" i="83" s="1"/>
  <c r="Y95" i="70"/>
  <c r="D273" i="83" s="1"/>
  <c r="AC94" i="70"/>
  <c r="H272" i="83" s="1"/>
  <c r="AB94" i="70"/>
  <c r="G272" i="83" s="1"/>
  <c r="AA94" i="70"/>
  <c r="F272" i="83" s="1"/>
  <c r="Z94" i="70"/>
  <c r="E272" i="83" s="1"/>
  <c r="Y94" i="70"/>
  <c r="D272" i="83" s="1"/>
  <c r="AC93" i="70"/>
  <c r="H271" i="83" s="1"/>
  <c r="AB93" i="70"/>
  <c r="G271" i="83" s="1"/>
  <c r="AA93" i="70"/>
  <c r="F271" i="83" s="1"/>
  <c r="Z93" i="70"/>
  <c r="E271" i="83" s="1"/>
  <c r="Y93" i="70"/>
  <c r="D271" i="83" s="1"/>
  <c r="AC92" i="70"/>
  <c r="H270" i="83" s="1"/>
  <c r="AB92" i="70"/>
  <c r="G270" i="83" s="1"/>
  <c r="Z92" i="70"/>
  <c r="E270" i="83" s="1"/>
  <c r="Y92" i="70"/>
  <c r="D270" i="83" s="1"/>
  <c r="AC91" i="70"/>
  <c r="H269" i="83" s="1"/>
  <c r="AB91" i="70"/>
  <c r="G269" i="83" s="1"/>
  <c r="AA91" i="70"/>
  <c r="F269" i="83" s="1"/>
  <c r="Z91" i="70"/>
  <c r="E269" i="83" s="1"/>
  <c r="Y91" i="70"/>
  <c r="D269" i="83" s="1"/>
  <c r="AC90" i="70"/>
  <c r="H268" i="83" s="1"/>
  <c r="AB90" i="70"/>
  <c r="G268" i="83" s="1"/>
  <c r="AA90" i="70"/>
  <c r="F268" i="83" s="1"/>
  <c r="Z90" i="70"/>
  <c r="E268" i="83" s="1"/>
  <c r="Y90" i="70"/>
  <c r="D268" i="83" s="1"/>
  <c r="AC89" i="70"/>
  <c r="H267" i="83" s="1"/>
  <c r="AB89" i="70"/>
  <c r="G267" i="83" s="1"/>
  <c r="AA89" i="70"/>
  <c r="F267" i="83" s="1"/>
  <c r="Z89" i="70"/>
  <c r="E267" i="83" s="1"/>
  <c r="Y89" i="70"/>
  <c r="D267" i="83" s="1"/>
  <c r="AC88" i="70"/>
  <c r="H266" i="83" s="1"/>
  <c r="AB88" i="70"/>
  <c r="G266" i="83" s="1"/>
  <c r="AA88" i="70"/>
  <c r="F266" i="83" s="1"/>
  <c r="Z88" i="70"/>
  <c r="E266" i="83" s="1"/>
  <c r="Y88" i="70"/>
  <c r="D266" i="83" s="1"/>
  <c r="AC87" i="70"/>
  <c r="H265" i="83" s="1"/>
  <c r="AB87" i="70"/>
  <c r="G265" i="83" s="1"/>
  <c r="AA87" i="70"/>
  <c r="F265" i="83" s="1"/>
  <c r="Z87" i="70"/>
  <c r="E265" i="83" s="1"/>
  <c r="Y87" i="70"/>
  <c r="D265" i="83" s="1"/>
  <c r="AC86" i="70"/>
  <c r="H264" i="83" s="1"/>
  <c r="AB86" i="70"/>
  <c r="G264" i="83" s="1"/>
  <c r="AA86" i="70"/>
  <c r="F264" i="83" s="1"/>
  <c r="Z86" i="70"/>
  <c r="E264" i="83" s="1"/>
  <c r="Y86" i="70"/>
  <c r="D264" i="83" s="1"/>
  <c r="AC85" i="70"/>
  <c r="H263" i="83" s="1"/>
  <c r="AB85" i="70"/>
  <c r="G263" i="83" s="1"/>
  <c r="AA85" i="70"/>
  <c r="F263" i="83" s="1"/>
  <c r="Z85" i="70"/>
  <c r="E263" i="83" s="1"/>
  <c r="Y85" i="70"/>
  <c r="D263" i="83" s="1"/>
  <c r="AC84" i="70"/>
  <c r="H262" i="83" s="1"/>
  <c r="AB84" i="70"/>
  <c r="G262" i="83" s="1"/>
  <c r="AA84" i="70"/>
  <c r="F262" i="83" s="1"/>
  <c r="Z84" i="70"/>
  <c r="E262" i="83" s="1"/>
  <c r="Y84" i="70"/>
  <c r="D262" i="83" s="1"/>
  <c r="AC83" i="70"/>
  <c r="H261" i="83" s="1"/>
  <c r="AB83" i="70"/>
  <c r="G261" i="83" s="1"/>
  <c r="AA83" i="70"/>
  <c r="F261" i="83" s="1"/>
  <c r="Z83" i="70"/>
  <c r="E261" i="83" s="1"/>
  <c r="Y83" i="70"/>
  <c r="D261" i="83" s="1"/>
  <c r="AC82" i="70"/>
  <c r="H260" i="83" s="1"/>
  <c r="AB82" i="70"/>
  <c r="G260" i="83" s="1"/>
  <c r="AA82" i="70"/>
  <c r="F260" i="83" s="1"/>
  <c r="Z82" i="70"/>
  <c r="E260" i="83" s="1"/>
  <c r="Y82" i="70"/>
  <c r="D260" i="83" s="1"/>
  <c r="AC81" i="70"/>
  <c r="H259" i="83" s="1"/>
  <c r="AB81" i="70"/>
  <c r="G259" i="83" s="1"/>
  <c r="AA81" i="70"/>
  <c r="F259" i="83" s="1"/>
  <c r="Z81" i="70"/>
  <c r="E259" i="83" s="1"/>
  <c r="Y81" i="70"/>
  <c r="D259" i="83" s="1"/>
  <c r="AC80" i="70"/>
  <c r="H258" i="83" s="1"/>
  <c r="AB80" i="70"/>
  <c r="G258" i="83" s="1"/>
  <c r="AA80" i="70"/>
  <c r="F258" i="83" s="1"/>
  <c r="Z80" i="70"/>
  <c r="E258" i="83" s="1"/>
  <c r="Y80" i="70"/>
  <c r="D258" i="83" s="1"/>
  <c r="AC79" i="70"/>
  <c r="H257" i="83" s="1"/>
  <c r="AB79" i="70"/>
  <c r="G257" i="83" s="1"/>
  <c r="AA79" i="70"/>
  <c r="F257" i="83" s="1"/>
  <c r="Z79" i="70"/>
  <c r="E257" i="83" s="1"/>
  <c r="Y79" i="70"/>
  <c r="D257" i="83" s="1"/>
  <c r="AC78" i="70"/>
  <c r="H256" i="83" s="1"/>
  <c r="AB78" i="70"/>
  <c r="G256" i="83" s="1"/>
  <c r="AA78" i="70"/>
  <c r="F256" i="83" s="1"/>
  <c r="Z78" i="70"/>
  <c r="E256" i="83" s="1"/>
  <c r="Y78" i="70"/>
  <c r="D256" i="83" s="1"/>
  <c r="L21" i="92" l="1"/>
  <c r="AG10" i="70"/>
  <c r="D67" i="76"/>
  <c r="B21" i="92" s="1"/>
  <c r="Y32" i="70"/>
  <c r="D78" i="70"/>
  <c r="B22" i="92"/>
  <c r="G21" i="92"/>
  <c r="D21" i="92"/>
  <c r="M21" i="92"/>
  <c r="Q23" i="70"/>
  <c r="I23" i="92"/>
  <c r="C23" i="92"/>
  <c r="U23" i="92"/>
  <c r="E23" i="92"/>
  <c r="Q23" i="92"/>
  <c r="K23" i="92"/>
  <c r="P23" i="92"/>
  <c r="M23" i="92"/>
  <c r="H23" i="92"/>
  <c r="T23" i="92"/>
  <c r="L23" i="92"/>
  <c r="D23" i="92"/>
  <c r="W23" i="92"/>
  <c r="G23" i="92"/>
  <c r="J23" i="92"/>
  <c r="B23" i="92"/>
  <c r="N23" i="92"/>
  <c r="F23" i="92"/>
  <c r="AS19" i="70"/>
  <c r="I19" i="70" s="1"/>
  <c r="J19" i="70" s="1"/>
  <c r="AS25" i="70"/>
  <c r="I25" i="70" s="1"/>
  <c r="J25" i="70" s="1"/>
  <c r="AS11" i="70"/>
  <c r="I11" i="70" s="1"/>
  <c r="J11" i="70" s="1"/>
  <c r="AS14" i="70"/>
  <c r="I14" i="70" s="1"/>
  <c r="J14" i="70" s="1"/>
  <c r="AS21" i="70"/>
  <c r="I21" i="70" s="1"/>
  <c r="J21" i="70" s="1"/>
  <c r="AS17" i="70"/>
  <c r="I17" i="70" s="1"/>
  <c r="J17" i="70" s="1"/>
  <c r="Q33" i="70"/>
  <c r="AG28" i="70"/>
  <c r="Q31" i="70"/>
  <c r="AG12" i="70"/>
  <c r="Q12" i="70"/>
  <c r="Q21" i="70"/>
  <c r="AG21" i="70"/>
  <c r="Q29" i="70"/>
  <c r="AG26" i="70"/>
  <c r="Q27" i="70"/>
  <c r="Q26" i="70"/>
  <c r="Q10" i="70"/>
  <c r="AS29" i="70"/>
  <c r="I29" i="70" s="1"/>
  <c r="J29" i="70" s="1"/>
  <c r="AS15" i="70"/>
  <c r="I15" i="70" s="1"/>
  <c r="J15" i="70" s="1"/>
  <c r="Q17" i="70"/>
  <c r="AG17" i="70"/>
  <c r="AG18" i="70"/>
  <c r="Q18" i="70"/>
  <c r="AS27" i="70"/>
  <c r="I27" i="70" s="1"/>
  <c r="J27" i="70" s="1"/>
  <c r="AS13" i="70"/>
  <c r="I13" i="70" s="1"/>
  <c r="J13" i="70" s="1"/>
  <c r="Q13" i="70"/>
  <c r="AG13" i="70"/>
  <c r="Q30" i="70"/>
  <c r="AG27" i="70"/>
  <c r="AG14" i="70"/>
  <c r="Q14" i="70"/>
  <c r="AG20" i="70"/>
  <c r="Q20" i="70"/>
  <c r="Q15" i="70"/>
  <c r="AG15" i="70"/>
  <c r="AS30" i="70"/>
  <c r="I30" i="70" s="1"/>
  <c r="J30" i="70" s="1"/>
  <c r="AS23" i="70"/>
  <c r="I23" i="70" s="1"/>
  <c r="J23" i="70" s="1"/>
  <c r="Q25" i="70"/>
  <c r="AG24" i="70"/>
  <c r="AG22" i="70"/>
  <c r="Q22" i="70"/>
  <c r="Q28" i="70"/>
  <c r="AG25" i="70"/>
  <c r="Q24" i="70"/>
  <c r="AG23" i="70"/>
  <c r="AG16" i="70"/>
  <c r="Q16" i="70"/>
  <c r="Q19" i="70"/>
  <c r="AG19" i="70"/>
  <c r="Q11" i="70"/>
  <c r="AG11" i="70"/>
  <c r="AS22" i="70"/>
  <c r="I22" i="70" s="1"/>
  <c r="J22" i="70" s="1"/>
  <c r="AS10" i="70"/>
  <c r="I10" i="70" s="1"/>
  <c r="J10" i="70" s="1"/>
  <c r="AS31" i="70"/>
  <c r="I31" i="70" s="1"/>
  <c r="J31" i="70" s="1"/>
  <c r="AS18" i="70"/>
  <c r="I18" i="70" s="1"/>
  <c r="J18" i="70" s="1"/>
  <c r="AS20" i="70"/>
  <c r="I20" i="70" s="1"/>
  <c r="J20" i="70" s="1"/>
  <c r="AS16" i="70"/>
  <c r="I16" i="70" s="1"/>
  <c r="J16" i="70" s="1"/>
  <c r="AS12" i="70"/>
  <c r="I12" i="70" s="1"/>
  <c r="J12" i="70" s="1"/>
  <c r="AS26" i="70"/>
  <c r="I26" i="70" s="1"/>
  <c r="J26" i="70" s="1"/>
  <c r="AS28" i="70"/>
  <c r="I28" i="70" s="1"/>
  <c r="J28" i="70" s="1"/>
  <c r="T21" i="92"/>
  <c r="K21" i="92"/>
  <c r="P21" i="92"/>
  <c r="AE32" i="70"/>
  <c r="H21" i="92"/>
  <c r="C21" i="92"/>
  <c r="AD32" i="70"/>
  <c r="AB32" i="70"/>
  <c r="AA32" i="70"/>
  <c r="L32" i="70" s="1"/>
  <c r="V23" i="92"/>
  <c r="U21" i="92"/>
  <c r="I21" i="92"/>
  <c r="J21" i="92"/>
  <c r="V21" i="92"/>
  <c r="N21" i="92"/>
  <c r="F21" i="92"/>
  <c r="Q21" i="92"/>
  <c r="E21" i="92"/>
  <c r="W21" i="92"/>
  <c r="H78" i="70"/>
  <c r="E81" i="70"/>
  <c r="E78" i="70"/>
  <c r="D79" i="70"/>
  <c r="H79" i="70"/>
  <c r="F81" i="70"/>
  <c r="E82" i="70"/>
  <c r="D83" i="70"/>
  <c r="H83" i="70"/>
  <c r="G84" i="70"/>
  <c r="F85" i="70"/>
  <c r="E86" i="70"/>
  <c r="D87" i="70"/>
  <c r="H87" i="70"/>
  <c r="G88" i="70"/>
  <c r="F89" i="70"/>
  <c r="E90" i="70"/>
  <c r="D91" i="70"/>
  <c r="H91" i="70"/>
  <c r="G92" i="70"/>
  <c r="F93" i="70"/>
  <c r="E94" i="70"/>
  <c r="D95" i="70"/>
  <c r="H95" i="70"/>
  <c r="G96" i="70"/>
  <c r="F97" i="70"/>
  <c r="E98" i="70"/>
  <c r="D99" i="70"/>
  <c r="H99" i="70"/>
  <c r="G101" i="70"/>
  <c r="F78" i="70"/>
  <c r="E79" i="70"/>
  <c r="D80" i="70"/>
  <c r="H80" i="70"/>
  <c r="G81" i="70"/>
  <c r="F82" i="70"/>
  <c r="E83" i="70"/>
  <c r="D84" i="70"/>
  <c r="H84" i="70"/>
  <c r="G85" i="70"/>
  <c r="F86" i="70"/>
  <c r="E87" i="70"/>
  <c r="D88" i="70"/>
  <c r="H88" i="70"/>
  <c r="G89" i="70"/>
  <c r="F90" i="70"/>
  <c r="E91" i="70"/>
  <c r="D92" i="70"/>
  <c r="H92" i="70"/>
  <c r="G93" i="70"/>
  <c r="F94" i="70"/>
  <c r="E95" i="70"/>
  <c r="D96" i="70"/>
  <c r="H96" i="70"/>
  <c r="G97" i="70"/>
  <c r="F98" i="70"/>
  <c r="E99" i="70"/>
  <c r="D101" i="70"/>
  <c r="H101" i="70"/>
  <c r="G79" i="70"/>
  <c r="F80" i="70"/>
  <c r="G80" i="70"/>
  <c r="G78" i="70"/>
  <c r="F79" i="70"/>
  <c r="E80" i="70"/>
  <c r="D81" i="70"/>
  <c r="H81" i="70"/>
  <c r="G82" i="70"/>
  <c r="F83" i="70"/>
  <c r="E84" i="70"/>
  <c r="D85" i="70"/>
  <c r="H85" i="70"/>
  <c r="G86" i="70"/>
  <c r="F87" i="70"/>
  <c r="E88" i="70"/>
  <c r="D89" i="70"/>
  <c r="H89" i="70"/>
  <c r="G90" i="70"/>
  <c r="F91" i="70"/>
  <c r="E92" i="70"/>
  <c r="D93" i="70"/>
  <c r="H93" i="70"/>
  <c r="G94" i="70"/>
  <c r="F95" i="70"/>
  <c r="E96" i="70"/>
  <c r="D97" i="70"/>
  <c r="H97" i="70"/>
  <c r="G98" i="70"/>
  <c r="F99" i="70"/>
  <c r="E101" i="70"/>
  <c r="D82" i="70"/>
  <c r="H82" i="70"/>
  <c r="G83" i="70"/>
  <c r="F84" i="70"/>
  <c r="E85" i="70"/>
  <c r="D86" i="70"/>
  <c r="H86" i="70"/>
  <c r="G87" i="70"/>
  <c r="F88" i="70"/>
  <c r="E89" i="70"/>
  <c r="D90" i="70"/>
  <c r="H90" i="70"/>
  <c r="G91" i="70"/>
  <c r="E93" i="70"/>
  <c r="D94" i="70"/>
  <c r="H94" i="70"/>
  <c r="G95" i="70"/>
  <c r="F96" i="70"/>
  <c r="E97" i="70"/>
  <c r="D98" i="70"/>
  <c r="H98" i="70"/>
  <c r="G99" i="70"/>
  <c r="F101" i="70"/>
  <c r="AH28" i="70" l="1"/>
  <c r="Z23" i="92" a="1"/>
  <c r="Z23" i="92" s="1"/>
  <c r="Y23" i="92" a="1"/>
  <c r="Y23" i="92" s="1"/>
  <c r="AA23" i="92" a="1"/>
  <c r="AA23" i="92" s="1"/>
  <c r="AA21" i="92" a="1"/>
  <c r="AA21" i="92" s="1"/>
  <c r="AC42" i="70" s="1"/>
  <c r="AC43" i="70" s="1"/>
  <c r="Z21" i="92" a="1"/>
  <c r="Z21" i="92" s="1"/>
  <c r="Z43" i="70" s="1"/>
  <c r="Y21" i="92" a="1"/>
  <c r="Y21" i="92" s="1"/>
  <c r="Y43" i="70" s="1"/>
  <c r="AH19" i="70"/>
  <c r="AH12" i="70"/>
  <c r="W22" i="92"/>
  <c r="D22" i="92"/>
  <c r="E22" i="92"/>
  <c r="G22" i="92"/>
  <c r="P22" i="92"/>
  <c r="J22" i="92"/>
  <c r="U22" i="92"/>
  <c r="L22" i="92"/>
  <c r="C22" i="92"/>
  <c r="Q22" i="92"/>
  <c r="T22" i="92"/>
  <c r="N22" i="92"/>
  <c r="V22" i="92"/>
  <c r="I22" i="92"/>
  <c r="F22" i="92"/>
  <c r="K22" i="92"/>
  <c r="H22" i="92"/>
  <c r="M22" i="92"/>
  <c r="AH11" i="70"/>
  <c r="AH24" i="70"/>
  <c r="AH13" i="70"/>
  <c r="AH14" i="70"/>
  <c r="AH26" i="70"/>
  <c r="AH23" i="70"/>
  <c r="AH27" i="70"/>
  <c r="AH17" i="70"/>
  <c r="AH25" i="70"/>
  <c r="AH15" i="70"/>
  <c r="AH10" i="70"/>
  <c r="AH16" i="70"/>
  <c r="AH18" i="70"/>
  <c r="AH22" i="70"/>
  <c r="AH20" i="70"/>
  <c r="AH21" i="70"/>
  <c r="AD314" i="69"/>
  <c r="H314" i="69" s="1"/>
  <c r="AD313" i="69"/>
  <c r="H313" i="69" s="1"/>
  <c r="AD312" i="69"/>
  <c r="H312" i="69" s="1"/>
  <c r="AD311" i="69"/>
  <c r="H311" i="69" s="1"/>
  <c r="AD310" i="69"/>
  <c r="H310" i="69" s="1"/>
  <c r="AD309" i="69"/>
  <c r="H309" i="69" s="1"/>
  <c r="AD308" i="69"/>
  <c r="H308" i="69" s="1"/>
  <c r="AD307" i="69"/>
  <c r="H307" i="69" s="1"/>
  <c r="AD306" i="69"/>
  <c r="H306" i="69" s="1"/>
  <c r="AD305" i="69"/>
  <c r="H305" i="69" s="1"/>
  <c r="AD304" i="69"/>
  <c r="H304" i="69" s="1"/>
  <c r="AD303" i="69"/>
  <c r="H303" i="69" s="1"/>
  <c r="AD302" i="69"/>
  <c r="H302" i="69" s="1"/>
  <c r="AD301" i="69"/>
  <c r="H301" i="69" s="1"/>
  <c r="AD300" i="69"/>
  <c r="H300" i="69" s="1"/>
  <c r="AD299" i="69"/>
  <c r="H299" i="69" s="1"/>
  <c r="AD298" i="69"/>
  <c r="H298" i="69" s="1"/>
  <c r="AD297" i="69"/>
  <c r="H297" i="69" s="1"/>
  <c r="AD296" i="69"/>
  <c r="H296" i="69" s="1"/>
  <c r="AD295" i="69"/>
  <c r="H295" i="69" s="1"/>
  <c r="AD294" i="69"/>
  <c r="H294" i="69" s="1"/>
  <c r="AD293" i="69"/>
  <c r="H293" i="69" s="1"/>
  <c r="AD292" i="69"/>
  <c r="H292" i="69" s="1"/>
  <c r="AD291" i="69"/>
  <c r="H291" i="69" s="1"/>
  <c r="AC314" i="69"/>
  <c r="G314" i="69" s="1"/>
  <c r="AC313" i="69"/>
  <c r="G313" i="69" s="1"/>
  <c r="AC312" i="69"/>
  <c r="G312" i="69" s="1"/>
  <c r="AC311" i="69"/>
  <c r="G311" i="69" s="1"/>
  <c r="AC310" i="69"/>
  <c r="G310" i="69" s="1"/>
  <c r="AC309" i="69"/>
  <c r="G309" i="69" s="1"/>
  <c r="AC308" i="69"/>
  <c r="G308" i="69" s="1"/>
  <c r="AC307" i="69"/>
  <c r="G307" i="69" s="1"/>
  <c r="AC306" i="69"/>
  <c r="G306" i="69" s="1"/>
  <c r="AC305" i="69"/>
  <c r="G305" i="69" s="1"/>
  <c r="AC304" i="69"/>
  <c r="G304" i="69" s="1"/>
  <c r="AC303" i="69"/>
  <c r="G303" i="69" s="1"/>
  <c r="AC302" i="69"/>
  <c r="G302" i="69" s="1"/>
  <c r="AC301" i="69"/>
  <c r="G301" i="69" s="1"/>
  <c r="AC300" i="69"/>
  <c r="G300" i="69" s="1"/>
  <c r="AC299" i="69"/>
  <c r="G299" i="69" s="1"/>
  <c r="AC298" i="69"/>
  <c r="G298" i="69" s="1"/>
  <c r="AC297" i="69"/>
  <c r="G297" i="69" s="1"/>
  <c r="AC296" i="69"/>
  <c r="G296" i="69" s="1"/>
  <c r="AC295" i="69"/>
  <c r="G295" i="69" s="1"/>
  <c r="AC294" i="69"/>
  <c r="G294" i="69" s="1"/>
  <c r="AC293" i="69"/>
  <c r="G293" i="69" s="1"/>
  <c r="AC292" i="69"/>
  <c r="G292" i="69" s="1"/>
  <c r="AC291" i="69"/>
  <c r="G291" i="69" s="1"/>
  <c r="AB314" i="69"/>
  <c r="F314" i="69" s="1"/>
  <c r="AB313" i="69"/>
  <c r="F313" i="69" s="1"/>
  <c r="AB312" i="69"/>
  <c r="F312" i="69" s="1"/>
  <c r="AB311" i="69"/>
  <c r="F311" i="69" s="1"/>
  <c r="AB310" i="69"/>
  <c r="F310" i="69" s="1"/>
  <c r="AB309" i="69"/>
  <c r="F309" i="69" s="1"/>
  <c r="AB308" i="69"/>
  <c r="F308" i="69" s="1"/>
  <c r="AB307" i="69"/>
  <c r="F307" i="69" s="1"/>
  <c r="AB306" i="69"/>
  <c r="F306" i="69" s="1"/>
  <c r="AB305" i="69"/>
  <c r="F305" i="69" s="1"/>
  <c r="AB304" i="69"/>
  <c r="F304" i="69" s="1"/>
  <c r="AB303" i="69"/>
  <c r="F303" i="69" s="1"/>
  <c r="AB302" i="69"/>
  <c r="F302" i="69" s="1"/>
  <c r="AB301" i="69"/>
  <c r="F301" i="69" s="1"/>
  <c r="AB300" i="69"/>
  <c r="F300" i="69" s="1"/>
  <c r="AB299" i="69"/>
  <c r="F299" i="69" s="1"/>
  <c r="AB298" i="69"/>
  <c r="F298" i="69" s="1"/>
  <c r="AB297" i="69"/>
  <c r="F297" i="69" s="1"/>
  <c r="AB296" i="69"/>
  <c r="F296" i="69" s="1"/>
  <c r="AB295" i="69"/>
  <c r="F295" i="69" s="1"/>
  <c r="AB294" i="69"/>
  <c r="F294" i="69" s="1"/>
  <c r="AB293" i="69"/>
  <c r="F293" i="69" s="1"/>
  <c r="AB292" i="69"/>
  <c r="F292" i="69" s="1"/>
  <c r="AB291" i="69"/>
  <c r="F291" i="69" s="1"/>
  <c r="AA314" i="69"/>
  <c r="E314" i="69" s="1"/>
  <c r="AA313" i="69"/>
  <c r="E313" i="69" s="1"/>
  <c r="AA312" i="69"/>
  <c r="E312" i="69" s="1"/>
  <c r="AA311" i="69"/>
  <c r="E311" i="69" s="1"/>
  <c r="AA310" i="69"/>
  <c r="E310" i="69" s="1"/>
  <c r="AA309" i="69"/>
  <c r="E309" i="69" s="1"/>
  <c r="AA308" i="69"/>
  <c r="E308" i="69" s="1"/>
  <c r="AA307" i="69"/>
  <c r="E307" i="69" s="1"/>
  <c r="AA306" i="69"/>
  <c r="E306" i="69" s="1"/>
  <c r="AA305" i="69"/>
  <c r="E305" i="69" s="1"/>
  <c r="AA304" i="69"/>
  <c r="E304" i="69" s="1"/>
  <c r="AA303" i="69"/>
  <c r="E303" i="69" s="1"/>
  <c r="AA302" i="69"/>
  <c r="E302" i="69" s="1"/>
  <c r="AA301" i="69"/>
  <c r="E301" i="69" s="1"/>
  <c r="AA300" i="69"/>
  <c r="E300" i="69" s="1"/>
  <c r="AA299" i="69"/>
  <c r="E299" i="69" s="1"/>
  <c r="AA298" i="69"/>
  <c r="E298" i="69" s="1"/>
  <c r="AA297" i="69"/>
  <c r="E297" i="69" s="1"/>
  <c r="AA296" i="69"/>
  <c r="E296" i="69" s="1"/>
  <c r="AA295" i="69"/>
  <c r="E295" i="69" s="1"/>
  <c r="AA294" i="69"/>
  <c r="E294" i="69" s="1"/>
  <c r="AA293" i="69"/>
  <c r="E293" i="69" s="1"/>
  <c r="AA292" i="69"/>
  <c r="E292" i="69" s="1"/>
  <c r="AA291" i="69"/>
  <c r="E291" i="69" s="1"/>
  <c r="Z313" i="69"/>
  <c r="D313" i="69" s="1"/>
  <c r="Z312" i="69"/>
  <c r="D312" i="69" s="1"/>
  <c r="Z311" i="69"/>
  <c r="D311" i="69" s="1"/>
  <c r="Z310" i="69"/>
  <c r="D310" i="69" s="1"/>
  <c r="Z309" i="69"/>
  <c r="D309" i="69" s="1"/>
  <c r="Z308" i="69"/>
  <c r="D308" i="69" s="1"/>
  <c r="Z307" i="69"/>
  <c r="D307" i="69" s="1"/>
  <c r="Z306" i="69"/>
  <c r="D306" i="69" s="1"/>
  <c r="Z305" i="69"/>
  <c r="D305" i="69" s="1"/>
  <c r="Z304" i="69"/>
  <c r="D304" i="69" s="1"/>
  <c r="Z303" i="69"/>
  <c r="D303" i="69" s="1"/>
  <c r="Z302" i="69"/>
  <c r="D302" i="69" s="1"/>
  <c r="Z301" i="69"/>
  <c r="D301" i="69" s="1"/>
  <c r="Z300" i="69"/>
  <c r="D300" i="69" s="1"/>
  <c r="Z299" i="69"/>
  <c r="D299" i="69" s="1"/>
  <c r="Z298" i="69"/>
  <c r="D298" i="69" s="1"/>
  <c r="Z297" i="69"/>
  <c r="D297" i="69" s="1"/>
  <c r="Z296" i="69"/>
  <c r="D296" i="69" s="1"/>
  <c r="Z295" i="69"/>
  <c r="D295" i="69" s="1"/>
  <c r="Z294" i="69"/>
  <c r="D294" i="69" s="1"/>
  <c r="Z293" i="69"/>
  <c r="D293" i="69" s="1"/>
  <c r="Z292" i="69"/>
  <c r="D292" i="69" s="1"/>
  <c r="Z291" i="69"/>
  <c r="AB43" i="70" l="1"/>
  <c r="X43" i="70"/>
  <c r="AB42" i="70"/>
  <c r="Z22" i="92" a="1"/>
  <c r="Z22" i="92" s="1"/>
  <c r="Y22" i="92" a="1"/>
  <c r="Y22" i="92" s="1"/>
  <c r="AA22" i="92" a="1"/>
  <c r="AA22" i="92" s="1"/>
  <c r="D291" i="69"/>
  <c r="AF291" i="69"/>
  <c r="AD279" i="69"/>
  <c r="H279" i="69" s="1"/>
  <c r="AC279" i="69"/>
  <c r="G279" i="69" s="1"/>
  <c r="AB279" i="69"/>
  <c r="F279" i="69" s="1"/>
  <c r="AA279" i="69"/>
  <c r="E279" i="69" s="1"/>
  <c r="Z279" i="69"/>
  <c r="D279" i="69" s="1"/>
  <c r="AD277" i="69"/>
  <c r="AC277" i="69"/>
  <c r="AB277" i="69"/>
  <c r="AA277" i="69"/>
  <c r="Z277" i="69"/>
  <c r="AD276" i="69"/>
  <c r="AC276" i="69"/>
  <c r="AB276" i="69"/>
  <c r="AA276" i="69"/>
  <c r="Z276" i="69"/>
  <c r="AD275" i="69"/>
  <c r="AC275" i="69"/>
  <c r="AB275" i="69"/>
  <c r="AA275" i="69"/>
  <c r="Z275" i="69"/>
  <c r="AD274" i="69"/>
  <c r="AC274" i="69"/>
  <c r="AB274" i="69"/>
  <c r="AA274" i="69"/>
  <c r="Z274" i="69"/>
  <c r="AD273" i="69"/>
  <c r="AC273" i="69"/>
  <c r="AB273" i="69"/>
  <c r="AA273" i="69"/>
  <c r="Z273" i="69"/>
  <c r="AD272" i="69"/>
  <c r="AC272" i="69"/>
  <c r="AB272" i="69"/>
  <c r="AA272" i="69"/>
  <c r="Z272" i="69"/>
  <c r="AD271" i="69"/>
  <c r="AC271" i="69"/>
  <c r="AB271" i="69"/>
  <c r="AA271" i="69"/>
  <c r="Z271" i="69"/>
  <c r="AD270" i="69"/>
  <c r="AC270" i="69"/>
  <c r="AA270" i="69"/>
  <c r="Z270" i="69"/>
  <c r="AD269" i="69"/>
  <c r="AC269" i="69"/>
  <c r="AB269" i="69"/>
  <c r="AA269" i="69"/>
  <c r="Z269" i="69"/>
  <c r="AD268" i="69"/>
  <c r="AC268" i="69"/>
  <c r="AB268" i="69"/>
  <c r="AA268" i="69"/>
  <c r="Z268" i="69"/>
  <c r="AD267" i="69"/>
  <c r="AC267" i="69"/>
  <c r="AB267" i="69"/>
  <c r="AA267" i="69"/>
  <c r="Z267" i="69"/>
  <c r="AD266" i="69"/>
  <c r="AC266" i="69"/>
  <c r="AB266" i="69"/>
  <c r="AA266" i="69"/>
  <c r="Z266" i="69"/>
  <c r="AD265" i="69"/>
  <c r="AC265" i="69"/>
  <c r="AB265" i="69"/>
  <c r="AA265" i="69"/>
  <c r="Z265" i="69"/>
  <c r="AD264" i="69"/>
  <c r="AC264" i="69"/>
  <c r="AB264" i="69"/>
  <c r="AA264" i="69"/>
  <c r="Z264" i="69"/>
  <c r="AD263" i="69"/>
  <c r="AC263" i="69"/>
  <c r="AB263" i="69"/>
  <c r="AA263" i="69"/>
  <c r="Z263" i="69"/>
  <c r="AD262" i="69"/>
  <c r="AC262" i="69"/>
  <c r="AB262" i="69"/>
  <c r="AA262" i="69"/>
  <c r="Z262" i="69"/>
  <c r="AD261" i="69"/>
  <c r="AC261" i="69"/>
  <c r="AB261" i="69"/>
  <c r="AA261" i="69"/>
  <c r="Z261" i="69"/>
  <c r="AD260" i="69"/>
  <c r="AC260" i="69"/>
  <c r="AB260" i="69"/>
  <c r="AA260" i="69"/>
  <c r="Z260" i="69"/>
  <c r="AD259" i="69"/>
  <c r="AC259" i="69"/>
  <c r="AB259" i="69"/>
  <c r="AA259" i="69"/>
  <c r="Z259" i="69"/>
  <c r="AD258" i="69"/>
  <c r="AC258" i="69"/>
  <c r="AB258" i="69"/>
  <c r="AA258" i="69"/>
  <c r="Z258" i="69"/>
  <c r="AD257" i="69"/>
  <c r="AC257" i="69"/>
  <c r="AB257" i="69"/>
  <c r="AA257" i="69"/>
  <c r="Z257" i="69"/>
  <c r="AD256" i="69"/>
  <c r="AC256" i="69"/>
  <c r="AB256" i="69"/>
  <c r="AA256" i="69"/>
  <c r="Z256" i="69"/>
  <c r="AJ243" i="69"/>
  <c r="AI243" i="69"/>
  <c r="AH243" i="69"/>
  <c r="AG243" i="69"/>
  <c r="AF243" i="69"/>
  <c r="AJ241" i="69"/>
  <c r="AI241" i="69"/>
  <c r="AH241" i="69"/>
  <c r="AG241" i="69"/>
  <c r="AF241" i="69"/>
  <c r="AJ240" i="69"/>
  <c r="AI240" i="69"/>
  <c r="AH240" i="69"/>
  <c r="AG240" i="69"/>
  <c r="AF240" i="69"/>
  <c r="AJ239" i="69"/>
  <c r="AI239" i="69"/>
  <c r="AH239" i="69"/>
  <c r="AG239" i="69"/>
  <c r="AF239" i="69"/>
  <c r="AJ238" i="69"/>
  <c r="AI238" i="69"/>
  <c r="AH238" i="69"/>
  <c r="AG238" i="69"/>
  <c r="AF238" i="69"/>
  <c r="AJ237" i="69"/>
  <c r="AI237" i="69"/>
  <c r="AH237" i="69"/>
  <c r="AG237" i="69"/>
  <c r="AF237" i="69"/>
  <c r="AJ236" i="69"/>
  <c r="AI236" i="69"/>
  <c r="AH236" i="69"/>
  <c r="AG236" i="69"/>
  <c r="AF236" i="69"/>
  <c r="AJ235" i="69"/>
  <c r="AI235" i="69"/>
  <c r="AH235" i="69"/>
  <c r="AG235" i="69"/>
  <c r="AF235" i="69"/>
  <c r="AJ234" i="69"/>
  <c r="AI234" i="69"/>
  <c r="AG234" i="69"/>
  <c r="AF234" i="69"/>
  <c r="AJ233" i="69"/>
  <c r="AI233" i="69"/>
  <c r="AH233" i="69"/>
  <c r="AG233" i="69"/>
  <c r="AF233" i="69"/>
  <c r="AJ232" i="69"/>
  <c r="AI232" i="69"/>
  <c r="AH232" i="69"/>
  <c r="AG232" i="69"/>
  <c r="AF232" i="69"/>
  <c r="AJ231" i="69"/>
  <c r="AI231" i="69"/>
  <c r="AH231" i="69"/>
  <c r="AG231" i="69"/>
  <c r="AF231" i="69"/>
  <c r="AJ230" i="69"/>
  <c r="AI230" i="69"/>
  <c r="AH230" i="69"/>
  <c r="AG230" i="69"/>
  <c r="AF230" i="69"/>
  <c r="AJ229" i="69"/>
  <c r="AI229" i="69"/>
  <c r="AH229" i="69"/>
  <c r="AG229" i="69"/>
  <c r="AF229" i="69"/>
  <c r="AJ228" i="69"/>
  <c r="AI228" i="69"/>
  <c r="AH228" i="69"/>
  <c r="AG228" i="69"/>
  <c r="AF228" i="69"/>
  <c r="AJ227" i="69"/>
  <c r="AI227" i="69"/>
  <c r="AH227" i="69"/>
  <c r="AG227" i="69"/>
  <c r="AF227" i="69"/>
  <c r="AJ226" i="69"/>
  <c r="AI226" i="69"/>
  <c r="AH226" i="69"/>
  <c r="AG226" i="69"/>
  <c r="AF226" i="69"/>
  <c r="AJ225" i="69"/>
  <c r="AI225" i="69"/>
  <c r="AH225" i="69"/>
  <c r="AG225" i="69"/>
  <c r="AF225" i="69"/>
  <c r="AJ224" i="69"/>
  <c r="AI224" i="69"/>
  <c r="AH224" i="69"/>
  <c r="AG224" i="69"/>
  <c r="AF224" i="69"/>
  <c r="AJ223" i="69"/>
  <c r="AI223" i="69"/>
  <c r="AH223" i="69"/>
  <c r="AG223" i="69"/>
  <c r="AF223" i="69"/>
  <c r="AJ222" i="69"/>
  <c r="AI222" i="69"/>
  <c r="AH222" i="69"/>
  <c r="AG222" i="69"/>
  <c r="AF222" i="69"/>
  <c r="AJ221" i="69"/>
  <c r="AI221" i="69"/>
  <c r="AH221" i="69"/>
  <c r="AG221" i="69"/>
  <c r="AF221" i="69"/>
  <c r="AJ220" i="69"/>
  <c r="AI220" i="69"/>
  <c r="AH220" i="69"/>
  <c r="AG220" i="69"/>
  <c r="AF220" i="69"/>
  <c r="AD243" i="69"/>
  <c r="AC243" i="69"/>
  <c r="AB243" i="69"/>
  <c r="AA243" i="69"/>
  <c r="Z243" i="69"/>
  <c r="AD241" i="69"/>
  <c r="AC241" i="69"/>
  <c r="AB241" i="69"/>
  <c r="AA241" i="69"/>
  <c r="Z241" i="69"/>
  <c r="AD240" i="69"/>
  <c r="AC240" i="69"/>
  <c r="AB240" i="69"/>
  <c r="AA240" i="69"/>
  <c r="Z240" i="69"/>
  <c r="AD239" i="69"/>
  <c r="AC239" i="69"/>
  <c r="AB239" i="69"/>
  <c r="AA239" i="69"/>
  <c r="Z239" i="69"/>
  <c r="AD238" i="69"/>
  <c r="AC238" i="69"/>
  <c r="AB238" i="69"/>
  <c r="AA238" i="69"/>
  <c r="Z238" i="69"/>
  <c r="AD237" i="69"/>
  <c r="AC237" i="69"/>
  <c r="AB237" i="69"/>
  <c r="AA237" i="69"/>
  <c r="Z237" i="69"/>
  <c r="AD236" i="69"/>
  <c r="AC236" i="69"/>
  <c r="AB236" i="69"/>
  <c r="AA236" i="69"/>
  <c r="Z236" i="69"/>
  <c r="AD235" i="69"/>
  <c r="AC235" i="69"/>
  <c r="AB235" i="69"/>
  <c r="AA235" i="69"/>
  <c r="Z235" i="69"/>
  <c r="AD234" i="69"/>
  <c r="AC234" i="69"/>
  <c r="AA234" i="69"/>
  <c r="Z234" i="69"/>
  <c r="AD233" i="69"/>
  <c r="AC233" i="69"/>
  <c r="AB233" i="69"/>
  <c r="AA233" i="69"/>
  <c r="Z233" i="69"/>
  <c r="AD232" i="69"/>
  <c r="AC232" i="69"/>
  <c r="AB232" i="69"/>
  <c r="AA232" i="69"/>
  <c r="Z232" i="69"/>
  <c r="AD231" i="69"/>
  <c r="AC231" i="69"/>
  <c r="AB231" i="69"/>
  <c r="AA231" i="69"/>
  <c r="Z231" i="69"/>
  <c r="AD230" i="69"/>
  <c r="AC230" i="69"/>
  <c r="AB230" i="69"/>
  <c r="AA230" i="69"/>
  <c r="Z230" i="69"/>
  <c r="AD229" i="69"/>
  <c r="AC229" i="69"/>
  <c r="AB229" i="69"/>
  <c r="AA229" i="69"/>
  <c r="Z229" i="69"/>
  <c r="AD228" i="69"/>
  <c r="AC228" i="69"/>
  <c r="AB228" i="69"/>
  <c r="AA228" i="69"/>
  <c r="Z228" i="69"/>
  <c r="AD227" i="69"/>
  <c r="AC227" i="69"/>
  <c r="AB227" i="69"/>
  <c r="AA227" i="69"/>
  <c r="Z227" i="69"/>
  <c r="AD226" i="69"/>
  <c r="AC226" i="69"/>
  <c r="AB226" i="69"/>
  <c r="AA226" i="69"/>
  <c r="Z226" i="69"/>
  <c r="AD225" i="69"/>
  <c r="AC225" i="69"/>
  <c r="AB225" i="69"/>
  <c r="AA225" i="69"/>
  <c r="Z225" i="69"/>
  <c r="AD224" i="69"/>
  <c r="AC224" i="69"/>
  <c r="AB224" i="69"/>
  <c r="AA224" i="69"/>
  <c r="Z224" i="69"/>
  <c r="AD223" i="69"/>
  <c r="AC223" i="69"/>
  <c r="AB223" i="69"/>
  <c r="AA223" i="69"/>
  <c r="Z223" i="69"/>
  <c r="AD222" i="69"/>
  <c r="AC222" i="69"/>
  <c r="AB222" i="69"/>
  <c r="AA222" i="69"/>
  <c r="Z222" i="69"/>
  <c r="AD221" i="69"/>
  <c r="AC221" i="69"/>
  <c r="AB221" i="69"/>
  <c r="AA221" i="69"/>
  <c r="Z221" i="69"/>
  <c r="AD220" i="69"/>
  <c r="AC220" i="69"/>
  <c r="AB220" i="69"/>
  <c r="AA220" i="69"/>
  <c r="Z220" i="69"/>
  <c r="AD207" i="69"/>
  <c r="H207" i="69" s="1"/>
  <c r="AC207" i="69"/>
  <c r="G207" i="69" s="1"/>
  <c r="AB207" i="69"/>
  <c r="F207" i="69" s="1"/>
  <c r="AA207" i="69"/>
  <c r="E207" i="69" s="1"/>
  <c r="Z207" i="69"/>
  <c r="D207" i="69" s="1"/>
  <c r="AD205" i="69"/>
  <c r="AC205" i="69"/>
  <c r="AB205" i="69"/>
  <c r="AA205" i="69"/>
  <c r="Z205" i="69"/>
  <c r="AD204" i="69"/>
  <c r="AC204" i="69"/>
  <c r="AB204" i="69"/>
  <c r="AA204" i="69"/>
  <c r="Z204" i="69"/>
  <c r="AD203" i="69"/>
  <c r="AC203" i="69"/>
  <c r="AB203" i="69"/>
  <c r="AA203" i="69"/>
  <c r="Z203" i="69"/>
  <c r="AD202" i="69"/>
  <c r="AC202" i="69"/>
  <c r="AB202" i="69"/>
  <c r="AA202" i="69"/>
  <c r="Z202" i="69"/>
  <c r="AD201" i="69"/>
  <c r="AC201" i="69"/>
  <c r="AB201" i="69"/>
  <c r="AA201" i="69"/>
  <c r="Z201" i="69"/>
  <c r="AD200" i="69"/>
  <c r="AC200" i="69"/>
  <c r="AB200" i="69"/>
  <c r="AA200" i="69"/>
  <c r="Z200" i="69"/>
  <c r="AD199" i="69"/>
  <c r="AC199" i="69"/>
  <c r="AB199" i="69"/>
  <c r="AA199" i="69"/>
  <c r="Z199" i="69"/>
  <c r="AD198" i="69"/>
  <c r="AC198" i="69"/>
  <c r="AA198" i="69"/>
  <c r="Z198" i="69"/>
  <c r="AD197" i="69"/>
  <c r="AC197" i="69"/>
  <c r="AB197" i="69"/>
  <c r="AA197" i="69"/>
  <c r="Z197" i="69"/>
  <c r="AD196" i="69"/>
  <c r="AC196" i="69"/>
  <c r="AB196" i="69"/>
  <c r="AA196" i="69"/>
  <c r="Z196" i="69"/>
  <c r="AD195" i="69"/>
  <c r="AC195" i="69"/>
  <c r="AB195" i="69"/>
  <c r="AA195" i="69"/>
  <c r="Z195" i="69"/>
  <c r="AD194" i="69"/>
  <c r="AC194" i="69"/>
  <c r="AB194" i="69"/>
  <c r="AA194" i="69"/>
  <c r="Z194" i="69"/>
  <c r="AD193" i="69"/>
  <c r="AC193" i="69"/>
  <c r="AB193" i="69"/>
  <c r="AA193" i="69"/>
  <c r="Z193" i="69"/>
  <c r="AD192" i="69"/>
  <c r="AC192" i="69"/>
  <c r="AB192" i="69"/>
  <c r="AA192" i="69"/>
  <c r="Z192" i="69"/>
  <c r="AD191" i="69"/>
  <c r="AC191" i="69"/>
  <c r="AB191" i="69"/>
  <c r="AA191" i="69"/>
  <c r="Z191" i="69"/>
  <c r="AD190" i="69"/>
  <c r="AC190" i="69"/>
  <c r="AB190" i="69"/>
  <c r="AA190" i="69"/>
  <c r="Z190" i="69"/>
  <c r="AD189" i="69"/>
  <c r="AC189" i="69"/>
  <c r="AB189" i="69"/>
  <c r="AA189" i="69"/>
  <c r="Z189" i="69"/>
  <c r="AD188" i="69"/>
  <c r="AC188" i="69"/>
  <c r="AB188" i="69"/>
  <c r="AA188" i="69"/>
  <c r="Z188" i="69"/>
  <c r="AD187" i="69"/>
  <c r="AC187" i="69"/>
  <c r="AB187" i="69"/>
  <c r="AA187" i="69"/>
  <c r="Z187" i="69"/>
  <c r="AD186" i="69"/>
  <c r="AC186" i="69"/>
  <c r="AB186" i="69"/>
  <c r="AA186" i="69"/>
  <c r="Z186" i="69"/>
  <c r="AD185" i="69"/>
  <c r="AC185" i="69"/>
  <c r="AB185" i="69"/>
  <c r="AA185" i="69"/>
  <c r="Z185" i="69"/>
  <c r="AD184" i="69"/>
  <c r="AC184" i="69"/>
  <c r="AB184" i="69"/>
  <c r="AA184" i="69"/>
  <c r="Z184" i="69"/>
  <c r="Z242" i="69"/>
  <c r="AF242" i="69"/>
  <c r="AA242" i="69"/>
  <c r="AG242" i="69"/>
  <c r="AI242" i="69"/>
  <c r="AC242" i="69"/>
  <c r="AJ242" i="69"/>
  <c r="AD242" i="69"/>
  <c r="F184" i="69" l="1"/>
  <c r="AG184" i="69"/>
  <c r="H186" i="69"/>
  <c r="AI186" i="69"/>
  <c r="E189" i="69"/>
  <c r="AF189" i="69"/>
  <c r="D190" i="69"/>
  <c r="AE190" i="69"/>
  <c r="F192" i="69"/>
  <c r="AG192" i="69"/>
  <c r="D194" i="69"/>
  <c r="AE194" i="69"/>
  <c r="F196" i="69"/>
  <c r="AG196" i="69"/>
  <c r="H198" i="69"/>
  <c r="AI198" i="69"/>
  <c r="F200" i="69"/>
  <c r="AG200" i="69"/>
  <c r="G203" i="69"/>
  <c r="AH203" i="69"/>
  <c r="E205" i="69"/>
  <c r="AF205" i="69"/>
  <c r="H257" i="69"/>
  <c r="AI257" i="69"/>
  <c r="E260" i="69"/>
  <c r="AF260" i="69"/>
  <c r="G262" i="69"/>
  <c r="AH262" i="69"/>
  <c r="E264" i="69"/>
  <c r="AF264" i="69"/>
  <c r="H265" i="69"/>
  <c r="AI265" i="69"/>
  <c r="E268" i="69"/>
  <c r="AF268" i="69"/>
  <c r="G270" i="69"/>
  <c r="AH270" i="69"/>
  <c r="D273" i="69"/>
  <c r="AE273" i="69"/>
  <c r="G274" i="69"/>
  <c r="AH274" i="69"/>
  <c r="D277" i="69"/>
  <c r="AE277" i="69"/>
  <c r="H277" i="69"/>
  <c r="AI277" i="69"/>
  <c r="F185" i="69"/>
  <c r="AG185" i="69"/>
  <c r="D187" i="69"/>
  <c r="AE187" i="69"/>
  <c r="F189" i="69"/>
  <c r="AG189" i="69"/>
  <c r="H191" i="69"/>
  <c r="AI191" i="69"/>
  <c r="F193" i="69"/>
  <c r="AG193" i="69"/>
  <c r="D195" i="69"/>
  <c r="AE195" i="69"/>
  <c r="F197" i="69"/>
  <c r="AG197" i="69"/>
  <c r="D199" i="69"/>
  <c r="AE199" i="69"/>
  <c r="G200" i="69"/>
  <c r="AH200" i="69"/>
  <c r="H203" i="69"/>
  <c r="AI203" i="69"/>
  <c r="D184" i="69"/>
  <c r="AE184" i="69"/>
  <c r="G185" i="69"/>
  <c r="AH185" i="69"/>
  <c r="E187" i="69"/>
  <c r="AF187" i="69"/>
  <c r="G189" i="69"/>
  <c r="AH189" i="69"/>
  <c r="E191" i="69"/>
  <c r="AF191" i="69"/>
  <c r="D192" i="69"/>
  <c r="AE192" i="69"/>
  <c r="G193" i="69"/>
  <c r="AH193" i="69"/>
  <c r="D196" i="69"/>
  <c r="AE196" i="69"/>
  <c r="G197" i="69"/>
  <c r="AH197" i="69"/>
  <c r="D200" i="69"/>
  <c r="AE200" i="69"/>
  <c r="G201" i="69"/>
  <c r="AH201" i="69"/>
  <c r="E203" i="69"/>
  <c r="AF203" i="69"/>
  <c r="D204" i="69"/>
  <c r="AE204" i="69"/>
  <c r="E184" i="69"/>
  <c r="AF184" i="69"/>
  <c r="D185" i="69"/>
  <c r="AE185" i="69"/>
  <c r="H185" i="69"/>
  <c r="AI185" i="69"/>
  <c r="G186" i="69"/>
  <c r="AH186" i="69"/>
  <c r="F187" i="69"/>
  <c r="AG187" i="69"/>
  <c r="E188" i="69"/>
  <c r="AF188" i="69"/>
  <c r="D189" i="69"/>
  <c r="AE189" i="69"/>
  <c r="H189" i="69"/>
  <c r="AI189" i="69"/>
  <c r="G190" i="69"/>
  <c r="AH190" i="69"/>
  <c r="F191" i="69"/>
  <c r="AG191" i="69"/>
  <c r="E192" i="69"/>
  <c r="AF192" i="69"/>
  <c r="D193" i="69"/>
  <c r="AE193" i="69"/>
  <c r="H193" i="69"/>
  <c r="AI193" i="69"/>
  <c r="G194" i="69"/>
  <c r="AH194" i="69"/>
  <c r="F195" i="69"/>
  <c r="AG195" i="69"/>
  <c r="E196" i="69"/>
  <c r="AF196" i="69"/>
  <c r="D197" i="69"/>
  <c r="AE197" i="69"/>
  <c r="H197" i="69"/>
  <c r="AI197" i="69"/>
  <c r="G198" i="69"/>
  <c r="AH198" i="69"/>
  <c r="F199" i="69"/>
  <c r="AG199" i="69"/>
  <c r="E200" i="69"/>
  <c r="AF200" i="69"/>
  <c r="D201" i="69"/>
  <c r="AE201" i="69"/>
  <c r="H201" i="69"/>
  <c r="AI201" i="69"/>
  <c r="G202" i="69"/>
  <c r="AH202" i="69"/>
  <c r="F203" i="69"/>
  <c r="AG203" i="69"/>
  <c r="E204" i="69"/>
  <c r="AF204" i="69"/>
  <c r="D205" i="69"/>
  <c r="AE205" i="69"/>
  <c r="H205" i="69"/>
  <c r="AI205" i="69"/>
  <c r="D256" i="69"/>
  <c r="AE256" i="69"/>
  <c r="H256" i="69"/>
  <c r="AI256" i="69"/>
  <c r="G257" i="69"/>
  <c r="AH257" i="69"/>
  <c r="F258" i="69"/>
  <c r="AG258" i="69"/>
  <c r="E259" i="69"/>
  <c r="AF259" i="69"/>
  <c r="D260" i="69"/>
  <c r="AE260" i="69"/>
  <c r="H260" i="69"/>
  <c r="AI260" i="69"/>
  <c r="G261" i="69"/>
  <c r="AH261" i="69"/>
  <c r="F262" i="69"/>
  <c r="AG262" i="69"/>
  <c r="E263" i="69"/>
  <c r="AF263" i="69"/>
  <c r="D264" i="69"/>
  <c r="AE264" i="69"/>
  <c r="H264" i="69"/>
  <c r="AI264" i="69"/>
  <c r="G265" i="69"/>
  <c r="AH265" i="69"/>
  <c r="F266" i="69"/>
  <c r="AG266" i="69"/>
  <c r="E267" i="69"/>
  <c r="AF267" i="69"/>
  <c r="D268" i="69"/>
  <c r="AE268" i="69"/>
  <c r="H268" i="69"/>
  <c r="AI268" i="69"/>
  <c r="G269" i="69"/>
  <c r="AH269" i="69"/>
  <c r="E271" i="69"/>
  <c r="AF271" i="69"/>
  <c r="D272" i="69"/>
  <c r="AE272" i="69"/>
  <c r="H272" i="69"/>
  <c r="AI272" i="69"/>
  <c r="G273" i="69"/>
  <c r="AH273" i="69"/>
  <c r="F274" i="69"/>
  <c r="AG274" i="69"/>
  <c r="E275" i="69"/>
  <c r="AF275" i="69"/>
  <c r="D276" i="69"/>
  <c r="AE276" i="69"/>
  <c r="H276" i="69"/>
  <c r="AI276" i="69"/>
  <c r="G277" i="69"/>
  <c r="AH277" i="69"/>
  <c r="D186" i="69"/>
  <c r="AE186" i="69"/>
  <c r="G187" i="69"/>
  <c r="AH187" i="69"/>
  <c r="H190" i="69"/>
  <c r="AI190" i="69"/>
  <c r="E193" i="69"/>
  <c r="AF193" i="69"/>
  <c r="G195" i="69"/>
  <c r="AH195" i="69"/>
  <c r="D198" i="69"/>
  <c r="AE198" i="69"/>
  <c r="E201" i="69"/>
  <c r="AF201" i="69"/>
  <c r="D202" i="69"/>
  <c r="AE202" i="69"/>
  <c r="F204" i="69"/>
  <c r="AG204" i="69"/>
  <c r="E256" i="69"/>
  <c r="AF256" i="69"/>
  <c r="G258" i="69"/>
  <c r="AH258" i="69"/>
  <c r="D261" i="69"/>
  <c r="AE261" i="69"/>
  <c r="F263" i="69"/>
  <c r="AG263" i="69"/>
  <c r="G266" i="69"/>
  <c r="AH266" i="69"/>
  <c r="D269" i="69"/>
  <c r="AE269" i="69"/>
  <c r="F271" i="69"/>
  <c r="AG271" i="69"/>
  <c r="H273" i="69"/>
  <c r="AI273" i="69"/>
  <c r="F275" i="69"/>
  <c r="AG275" i="69"/>
  <c r="E186" i="69"/>
  <c r="AF186" i="69"/>
  <c r="G188" i="69"/>
  <c r="AH188" i="69"/>
  <c r="D191" i="69"/>
  <c r="AE191" i="69"/>
  <c r="E194" i="69"/>
  <c r="AF194" i="69"/>
  <c r="G196" i="69"/>
  <c r="AH196" i="69"/>
  <c r="E198" i="69"/>
  <c r="AF198" i="69"/>
  <c r="F201" i="69"/>
  <c r="AG201" i="69"/>
  <c r="D203" i="69"/>
  <c r="AE203" i="69"/>
  <c r="G204" i="69"/>
  <c r="AH204" i="69"/>
  <c r="F205" i="69"/>
  <c r="AG205" i="69"/>
  <c r="F256" i="69"/>
  <c r="AG256" i="69"/>
  <c r="E257" i="69"/>
  <c r="AF257" i="69"/>
  <c r="D258" i="69"/>
  <c r="AE258" i="69"/>
  <c r="H258" i="69"/>
  <c r="AI258" i="69"/>
  <c r="G259" i="69"/>
  <c r="AH259" i="69"/>
  <c r="F260" i="69"/>
  <c r="AG260" i="69"/>
  <c r="E261" i="69"/>
  <c r="AF261" i="69"/>
  <c r="D262" i="69"/>
  <c r="AE262" i="69"/>
  <c r="H262" i="69"/>
  <c r="AI262" i="69"/>
  <c r="G263" i="69"/>
  <c r="AH263" i="69"/>
  <c r="F264" i="69"/>
  <c r="AG264" i="69"/>
  <c r="E265" i="69"/>
  <c r="AF265" i="69"/>
  <c r="D266" i="69"/>
  <c r="AE266" i="69"/>
  <c r="H266" i="69"/>
  <c r="AI266" i="69"/>
  <c r="G267" i="69"/>
  <c r="AH267" i="69"/>
  <c r="F268" i="69"/>
  <c r="AG268" i="69"/>
  <c r="E269" i="69"/>
  <c r="AF269" i="69"/>
  <c r="D270" i="69"/>
  <c r="AE270" i="69"/>
  <c r="H270" i="69"/>
  <c r="AI270" i="69"/>
  <c r="G271" i="69"/>
  <c r="AH271" i="69"/>
  <c r="F272" i="69"/>
  <c r="AG272" i="69"/>
  <c r="E273" i="69"/>
  <c r="AF273" i="69"/>
  <c r="D274" i="69"/>
  <c r="AE274" i="69"/>
  <c r="H274" i="69"/>
  <c r="AI274" i="69"/>
  <c r="G275" i="69"/>
  <c r="AH275" i="69"/>
  <c r="F276" i="69"/>
  <c r="AG276" i="69"/>
  <c r="E277" i="69"/>
  <c r="AF277" i="69"/>
  <c r="E185" i="69"/>
  <c r="AF185" i="69"/>
  <c r="F188" i="69"/>
  <c r="AG188" i="69"/>
  <c r="G191" i="69"/>
  <c r="AH191" i="69"/>
  <c r="H194" i="69"/>
  <c r="AI194" i="69"/>
  <c r="E197" i="69"/>
  <c r="AF197" i="69"/>
  <c r="G199" i="69"/>
  <c r="AH199" i="69"/>
  <c r="H202" i="69"/>
  <c r="AI202" i="69"/>
  <c r="D257" i="69"/>
  <c r="AE257" i="69"/>
  <c r="F259" i="69"/>
  <c r="AG259" i="69"/>
  <c r="H261" i="69"/>
  <c r="AI261" i="69"/>
  <c r="D265" i="69"/>
  <c r="AE265" i="69"/>
  <c r="F267" i="69"/>
  <c r="AG267" i="69"/>
  <c r="H269" i="69"/>
  <c r="AI269" i="69"/>
  <c r="E272" i="69"/>
  <c r="AF272" i="69"/>
  <c r="E276" i="69"/>
  <c r="AF276" i="69"/>
  <c r="G184" i="69"/>
  <c r="AH184" i="69"/>
  <c r="H187" i="69"/>
  <c r="AI187" i="69"/>
  <c r="E190" i="69"/>
  <c r="AF190" i="69"/>
  <c r="G192" i="69"/>
  <c r="AH192" i="69"/>
  <c r="H195" i="69"/>
  <c r="AI195" i="69"/>
  <c r="H199" i="69"/>
  <c r="AI199" i="69"/>
  <c r="E202" i="69"/>
  <c r="AF202" i="69"/>
  <c r="H184" i="69"/>
  <c r="AI184" i="69"/>
  <c r="F186" i="69"/>
  <c r="AG186" i="69"/>
  <c r="D188" i="69"/>
  <c r="AE188" i="69"/>
  <c r="H188" i="69"/>
  <c r="AI188" i="69"/>
  <c r="F190" i="69"/>
  <c r="AG190" i="69"/>
  <c r="H192" i="69"/>
  <c r="AI192" i="69"/>
  <c r="F194" i="69"/>
  <c r="AG194" i="69"/>
  <c r="E195" i="69"/>
  <c r="AF195" i="69"/>
  <c r="H196" i="69"/>
  <c r="AI196" i="69"/>
  <c r="E199" i="69"/>
  <c r="AF199" i="69"/>
  <c r="H200" i="69"/>
  <c r="AI200" i="69"/>
  <c r="F202" i="69"/>
  <c r="AG202" i="69"/>
  <c r="H204" i="69"/>
  <c r="AI204" i="69"/>
  <c r="G205" i="69"/>
  <c r="AH205" i="69"/>
  <c r="G256" i="69"/>
  <c r="AH256" i="69"/>
  <c r="F257" i="69"/>
  <c r="AG257" i="69"/>
  <c r="E258" i="69"/>
  <c r="AF258" i="69"/>
  <c r="D259" i="69"/>
  <c r="AE259" i="69"/>
  <c r="H259" i="69"/>
  <c r="AI259" i="69"/>
  <c r="G260" i="69"/>
  <c r="AH260" i="69"/>
  <c r="F261" i="69"/>
  <c r="AG261" i="69"/>
  <c r="E262" i="69"/>
  <c r="AF262" i="69"/>
  <c r="D263" i="69"/>
  <c r="AE263" i="69"/>
  <c r="H263" i="69"/>
  <c r="AI263" i="69"/>
  <c r="G264" i="69"/>
  <c r="AH264" i="69"/>
  <c r="F265" i="69"/>
  <c r="AG265" i="69"/>
  <c r="E266" i="69"/>
  <c r="AF266" i="69"/>
  <c r="D267" i="69"/>
  <c r="AE267" i="69"/>
  <c r="H267" i="69"/>
  <c r="AI267" i="69"/>
  <c r="G268" i="69"/>
  <c r="AH268" i="69"/>
  <c r="F269" i="69"/>
  <c r="AG269" i="69"/>
  <c r="E270" i="69"/>
  <c r="AF270" i="69"/>
  <c r="D271" i="69"/>
  <c r="AE271" i="69"/>
  <c r="H271" i="69"/>
  <c r="AI271" i="69"/>
  <c r="G272" i="69"/>
  <c r="AH272" i="69"/>
  <c r="F273" i="69"/>
  <c r="AG273" i="69"/>
  <c r="E274" i="69"/>
  <c r="AF274" i="69"/>
  <c r="D275" i="69"/>
  <c r="AE275" i="69"/>
  <c r="H275" i="69"/>
  <c r="AI275" i="69"/>
  <c r="G276" i="69"/>
  <c r="AH276" i="69"/>
  <c r="F277" i="69"/>
  <c r="AG277" i="69"/>
  <c r="D222" i="69"/>
  <c r="D226" i="69"/>
  <c r="D230" i="69"/>
  <c r="D234" i="69"/>
  <c r="D238" i="69"/>
  <c r="D243" i="69"/>
  <c r="D242" i="69"/>
  <c r="D220" i="69"/>
  <c r="D224" i="69"/>
  <c r="D228" i="69"/>
  <c r="D232" i="69"/>
  <c r="D236" i="69"/>
  <c r="D240" i="69"/>
  <c r="D221" i="69"/>
  <c r="D225" i="69"/>
  <c r="D229" i="69"/>
  <c r="D233" i="69"/>
  <c r="D237" i="69"/>
  <c r="D241" i="69"/>
  <c r="D223" i="69"/>
  <c r="D227" i="69"/>
  <c r="D231" i="69"/>
  <c r="D235" i="69"/>
  <c r="D239" i="69"/>
  <c r="E230" i="69"/>
  <c r="E234" i="69"/>
  <c r="E238" i="69"/>
  <c r="E243" i="69"/>
  <c r="E226" i="69"/>
  <c r="E223" i="69"/>
  <c r="E227" i="69"/>
  <c r="E235" i="69"/>
  <c r="E239" i="69"/>
  <c r="H221" i="69"/>
  <c r="F223" i="69"/>
  <c r="H225" i="69"/>
  <c r="F227" i="69"/>
  <c r="F231" i="69"/>
  <c r="H233" i="69"/>
  <c r="F235" i="69"/>
  <c r="H237" i="69"/>
  <c r="F239" i="69"/>
  <c r="H241" i="69"/>
  <c r="E222" i="69"/>
  <c r="E242" i="69"/>
  <c r="F220" i="69"/>
  <c r="H222" i="69"/>
  <c r="F224" i="69"/>
  <c r="H226" i="69"/>
  <c r="F228" i="69"/>
  <c r="H230" i="69"/>
  <c r="F232" i="69"/>
  <c r="H234" i="69"/>
  <c r="F236" i="69"/>
  <c r="H238" i="69"/>
  <c r="F240" i="69"/>
  <c r="H243" i="69"/>
  <c r="H242" i="69"/>
  <c r="H229" i="69"/>
  <c r="G222" i="69"/>
  <c r="E228" i="69"/>
  <c r="G230" i="69"/>
  <c r="E232" i="69"/>
  <c r="G234" i="69"/>
  <c r="E236" i="69"/>
  <c r="G238" i="69"/>
  <c r="E240" i="69"/>
  <c r="G243" i="69"/>
  <c r="E221" i="69"/>
  <c r="E225" i="69"/>
  <c r="E229" i="69"/>
  <c r="E233" i="69"/>
  <c r="E237" i="69"/>
  <c r="E241" i="69"/>
  <c r="F221" i="69"/>
  <c r="H223" i="69"/>
  <c r="F225" i="69"/>
  <c r="H227" i="69"/>
  <c r="F229" i="69"/>
  <c r="H231" i="69"/>
  <c r="F233" i="69"/>
  <c r="H235" i="69"/>
  <c r="F237" i="69"/>
  <c r="H239" i="69"/>
  <c r="F241" i="69"/>
  <c r="E220" i="69"/>
  <c r="E224" i="69"/>
  <c r="G226" i="69"/>
  <c r="H220" i="69"/>
  <c r="F222" i="69"/>
  <c r="H224" i="69"/>
  <c r="F226" i="69"/>
  <c r="H228" i="69"/>
  <c r="F230" i="69"/>
  <c r="E231" i="69"/>
  <c r="H232" i="69"/>
  <c r="H236" i="69"/>
  <c r="F238" i="69"/>
  <c r="H240" i="69"/>
  <c r="F243" i="69"/>
  <c r="G221" i="69"/>
  <c r="G225" i="69"/>
  <c r="G229" i="69"/>
  <c r="G233" i="69"/>
  <c r="G237" i="69"/>
  <c r="G241" i="69"/>
  <c r="G224" i="69"/>
  <c r="G228" i="69"/>
  <c r="G232" i="69"/>
  <c r="G236" i="69"/>
  <c r="G240" i="69"/>
  <c r="G223" i="69"/>
  <c r="G227" i="69"/>
  <c r="G231" i="69"/>
  <c r="G235" i="69"/>
  <c r="G239" i="69"/>
  <c r="G242" i="69"/>
  <c r="G220" i="69"/>
  <c r="AA278" i="69"/>
  <c r="AA206" i="69"/>
  <c r="Z100" i="70"/>
  <c r="E278" i="83" s="1"/>
  <c r="Z278" i="69"/>
  <c r="Z206" i="69"/>
  <c r="Y100" i="70"/>
  <c r="D278" i="83" s="1"/>
  <c r="AF206" i="69" l="1"/>
  <c r="E206" i="69" s="1"/>
  <c r="AH278" i="69"/>
  <c r="AI206" i="69"/>
  <c r="AF278" i="69"/>
  <c r="E278" i="69" s="1"/>
  <c r="AH206" i="69"/>
  <c r="AE206" i="69"/>
  <c r="D206" i="69" s="1"/>
  <c r="AE278" i="69"/>
  <c r="D278" i="69" s="1"/>
  <c r="AI278" i="69"/>
  <c r="E32" i="70"/>
  <c r="AF100" i="70"/>
  <c r="AE100" i="70"/>
  <c r="D100" i="70" l="1"/>
  <c r="E100" i="70"/>
  <c r="AC100" i="70"/>
  <c r="H278" i="83" s="1"/>
  <c r="AD206" i="69"/>
  <c r="H206" i="69" s="1"/>
  <c r="AD278" i="69"/>
  <c r="H278" i="69" s="1"/>
  <c r="AC206" i="69"/>
  <c r="G206" i="69" s="1"/>
  <c r="H100" i="70" l="1"/>
  <c r="AD171" i="69"/>
  <c r="AC171" i="69"/>
  <c r="AB171" i="69"/>
  <c r="AA171" i="69"/>
  <c r="Z171" i="69"/>
  <c r="AD170" i="69"/>
  <c r="AD169" i="69"/>
  <c r="AC169" i="69"/>
  <c r="AB169" i="69"/>
  <c r="AA169" i="69"/>
  <c r="Z169" i="69"/>
  <c r="AD168" i="69"/>
  <c r="AC168" i="69"/>
  <c r="AB168" i="69"/>
  <c r="AA168" i="69"/>
  <c r="Z168" i="69"/>
  <c r="AD167" i="69"/>
  <c r="AC167" i="69"/>
  <c r="AB167" i="69"/>
  <c r="AA167" i="69"/>
  <c r="Z167" i="69"/>
  <c r="AD166" i="69"/>
  <c r="AC166" i="69"/>
  <c r="AB166" i="69"/>
  <c r="AA166" i="69"/>
  <c r="Z166" i="69"/>
  <c r="AD165" i="69"/>
  <c r="AC165" i="69"/>
  <c r="AB165" i="69"/>
  <c r="AA165" i="69"/>
  <c r="Z165" i="69"/>
  <c r="AD164" i="69"/>
  <c r="AC164" i="69"/>
  <c r="AB164" i="69"/>
  <c r="AA164" i="69"/>
  <c r="Z164" i="69"/>
  <c r="AD163" i="69"/>
  <c r="AC163" i="69"/>
  <c r="AB163" i="69"/>
  <c r="AA163" i="69"/>
  <c r="Z163" i="69"/>
  <c r="AD162" i="69"/>
  <c r="AC162" i="69"/>
  <c r="AA162" i="69"/>
  <c r="Z162" i="69"/>
  <c r="AD161" i="69"/>
  <c r="AC161" i="69"/>
  <c r="AB161" i="69"/>
  <c r="AA161" i="69"/>
  <c r="Z161" i="69"/>
  <c r="AD160" i="69"/>
  <c r="AC160" i="69"/>
  <c r="AB160" i="69"/>
  <c r="AA160" i="69"/>
  <c r="Z160" i="69"/>
  <c r="AD159" i="69"/>
  <c r="AC159" i="69"/>
  <c r="AB159" i="69"/>
  <c r="AA159" i="69"/>
  <c r="Z159" i="69"/>
  <c r="AD158" i="69"/>
  <c r="AC158" i="69"/>
  <c r="AB158" i="69"/>
  <c r="AA158" i="69"/>
  <c r="Z158" i="69"/>
  <c r="AD157" i="69"/>
  <c r="AC157" i="69"/>
  <c r="AB157" i="69"/>
  <c r="AA157" i="69"/>
  <c r="Z157" i="69"/>
  <c r="AD156" i="69"/>
  <c r="AC156" i="69"/>
  <c r="AB156" i="69"/>
  <c r="AA156" i="69"/>
  <c r="Z156" i="69"/>
  <c r="AD155" i="69"/>
  <c r="AC155" i="69"/>
  <c r="AB155" i="69"/>
  <c r="AA155" i="69"/>
  <c r="Z155" i="69"/>
  <c r="AD154" i="69"/>
  <c r="AC154" i="69"/>
  <c r="AB154" i="69"/>
  <c r="AA154" i="69"/>
  <c r="Z154" i="69"/>
  <c r="AD153" i="69"/>
  <c r="AC153" i="69"/>
  <c r="AB153" i="69"/>
  <c r="AA153" i="69"/>
  <c r="Z153" i="69"/>
  <c r="AD152" i="69"/>
  <c r="AC152" i="69"/>
  <c r="AB152" i="69"/>
  <c r="AA152" i="69"/>
  <c r="Z152" i="69"/>
  <c r="AD151" i="69"/>
  <c r="AC151" i="69"/>
  <c r="AB151" i="69"/>
  <c r="AA151" i="69"/>
  <c r="Z151" i="69"/>
  <c r="AD150" i="69"/>
  <c r="AC150" i="69"/>
  <c r="AB150" i="69"/>
  <c r="AA150" i="69"/>
  <c r="Z150" i="69"/>
  <c r="AD149" i="69"/>
  <c r="AC149" i="69"/>
  <c r="AB149" i="69"/>
  <c r="AA149" i="69"/>
  <c r="Z149" i="69"/>
  <c r="AD148" i="69"/>
  <c r="AC148" i="69"/>
  <c r="AB148" i="69"/>
  <c r="AA148" i="69"/>
  <c r="Z148" i="69"/>
  <c r="AJ135" i="69"/>
  <c r="AI135" i="69"/>
  <c r="AH135" i="69"/>
  <c r="AG135" i="69"/>
  <c r="AF135" i="69"/>
  <c r="AJ134" i="69"/>
  <c r="AJ133" i="69"/>
  <c r="AI133" i="69"/>
  <c r="AH133" i="69"/>
  <c r="AG133" i="69"/>
  <c r="AF133" i="69"/>
  <c r="AJ132" i="69"/>
  <c r="AI132" i="69"/>
  <c r="AH132" i="69"/>
  <c r="AG132" i="69"/>
  <c r="AF132" i="69"/>
  <c r="AJ131" i="69"/>
  <c r="AI131" i="69"/>
  <c r="AH131" i="69"/>
  <c r="AG131" i="69"/>
  <c r="AF131" i="69"/>
  <c r="AJ130" i="69"/>
  <c r="AI130" i="69"/>
  <c r="AH130" i="69"/>
  <c r="AG130" i="69"/>
  <c r="AF130" i="69"/>
  <c r="AJ129" i="69"/>
  <c r="AI129" i="69"/>
  <c r="AH129" i="69"/>
  <c r="AG129" i="69"/>
  <c r="AF129" i="69"/>
  <c r="AJ128" i="69"/>
  <c r="AI128" i="69"/>
  <c r="AH128" i="69"/>
  <c r="AG128" i="69"/>
  <c r="AF128" i="69"/>
  <c r="AJ127" i="69"/>
  <c r="AI127" i="69"/>
  <c r="AH127" i="69"/>
  <c r="AG127" i="69"/>
  <c r="AF127" i="69"/>
  <c r="AJ126" i="69"/>
  <c r="AI126" i="69"/>
  <c r="AG126" i="69"/>
  <c r="AF126" i="69"/>
  <c r="AJ125" i="69"/>
  <c r="AI125" i="69"/>
  <c r="AH125" i="69"/>
  <c r="AG125" i="69"/>
  <c r="AF125" i="69"/>
  <c r="AJ124" i="69"/>
  <c r="AI124" i="69"/>
  <c r="AH124" i="69"/>
  <c r="AG124" i="69"/>
  <c r="AF124" i="69"/>
  <c r="AJ123" i="69"/>
  <c r="AI123" i="69"/>
  <c r="AH123" i="69"/>
  <c r="AG123" i="69"/>
  <c r="AF123" i="69"/>
  <c r="AJ122" i="69"/>
  <c r="AI122" i="69"/>
  <c r="AH122" i="69"/>
  <c r="AG122" i="69"/>
  <c r="AF122" i="69"/>
  <c r="AJ121" i="69"/>
  <c r="AI121" i="69"/>
  <c r="AH121" i="69"/>
  <c r="AG121" i="69"/>
  <c r="AF121" i="69"/>
  <c r="AJ120" i="69"/>
  <c r="AI120" i="69"/>
  <c r="AH120" i="69"/>
  <c r="AG120" i="69"/>
  <c r="AF120" i="69"/>
  <c r="AJ119" i="69"/>
  <c r="AI119" i="69"/>
  <c r="AH119" i="69"/>
  <c r="AG119" i="69"/>
  <c r="AF119" i="69"/>
  <c r="AJ118" i="69"/>
  <c r="AI118" i="69"/>
  <c r="AH118" i="69"/>
  <c r="AG118" i="69"/>
  <c r="AF118" i="69"/>
  <c r="AJ117" i="69"/>
  <c r="AI117" i="69"/>
  <c r="AH117" i="69"/>
  <c r="AG117" i="69"/>
  <c r="AF117" i="69"/>
  <c r="AJ116" i="69"/>
  <c r="AI116" i="69"/>
  <c r="AH116" i="69"/>
  <c r="AG116" i="69"/>
  <c r="AF116" i="69"/>
  <c r="AJ115" i="69"/>
  <c r="AI115" i="69"/>
  <c r="AH115" i="69"/>
  <c r="AG115" i="69"/>
  <c r="AF115" i="69"/>
  <c r="AJ114" i="69"/>
  <c r="AI114" i="69"/>
  <c r="AH114" i="69"/>
  <c r="AG114" i="69"/>
  <c r="AF114" i="69"/>
  <c r="AJ113" i="69"/>
  <c r="AI113" i="69"/>
  <c r="AH113" i="69"/>
  <c r="AG113" i="69"/>
  <c r="AF113" i="69"/>
  <c r="AJ112" i="69"/>
  <c r="AI112" i="69"/>
  <c r="AH112" i="69"/>
  <c r="AG112" i="69"/>
  <c r="AF112" i="69"/>
  <c r="AD135" i="69"/>
  <c r="AC135" i="69"/>
  <c r="AB135" i="69"/>
  <c r="AA135" i="69"/>
  <c r="Z135" i="69"/>
  <c r="AD134" i="69"/>
  <c r="AD133" i="69"/>
  <c r="AC133" i="69"/>
  <c r="AB133" i="69"/>
  <c r="AA133" i="69"/>
  <c r="Z133" i="69"/>
  <c r="AD132" i="69"/>
  <c r="AC132" i="69"/>
  <c r="AB132" i="69"/>
  <c r="AA132" i="69"/>
  <c r="Z132" i="69"/>
  <c r="AD131" i="69"/>
  <c r="AC131" i="69"/>
  <c r="AB131" i="69"/>
  <c r="AA131" i="69"/>
  <c r="Z131" i="69"/>
  <c r="AD130" i="69"/>
  <c r="AC130" i="69"/>
  <c r="AB130" i="69"/>
  <c r="AA130" i="69"/>
  <c r="Z130" i="69"/>
  <c r="AD129" i="69"/>
  <c r="AC129" i="69"/>
  <c r="AB129" i="69"/>
  <c r="AA129" i="69"/>
  <c r="Z129" i="69"/>
  <c r="AD128" i="69"/>
  <c r="AC128" i="69"/>
  <c r="AB128" i="69"/>
  <c r="AA128" i="69"/>
  <c r="Z128" i="69"/>
  <c r="AD127" i="69"/>
  <c r="AC127" i="69"/>
  <c r="AB127" i="69"/>
  <c r="AA127" i="69"/>
  <c r="Z127" i="69"/>
  <c r="AD126" i="69"/>
  <c r="AC126" i="69"/>
  <c r="AA126" i="69"/>
  <c r="Z126" i="69"/>
  <c r="AD125" i="69"/>
  <c r="AC125" i="69"/>
  <c r="AB125" i="69"/>
  <c r="AA125" i="69"/>
  <c r="Z125" i="69"/>
  <c r="AD124" i="69"/>
  <c r="AC124" i="69"/>
  <c r="AB124" i="69"/>
  <c r="AA124" i="69"/>
  <c r="Z124" i="69"/>
  <c r="AD123" i="69"/>
  <c r="AC123" i="69"/>
  <c r="AB123" i="69"/>
  <c r="AA123" i="69"/>
  <c r="Z123" i="69"/>
  <c r="AD122" i="69"/>
  <c r="AC122" i="69"/>
  <c r="AB122" i="69"/>
  <c r="AA122" i="69"/>
  <c r="Z122" i="69"/>
  <c r="AD121" i="69"/>
  <c r="AC121" i="69"/>
  <c r="AB121" i="69"/>
  <c r="AA121" i="69"/>
  <c r="Z121" i="69"/>
  <c r="AD120" i="69"/>
  <c r="AC120" i="69"/>
  <c r="AB120" i="69"/>
  <c r="AA120" i="69"/>
  <c r="Z120" i="69"/>
  <c r="AD119" i="69"/>
  <c r="AC119" i="69"/>
  <c r="AB119" i="69"/>
  <c r="AA119" i="69"/>
  <c r="Z119" i="69"/>
  <c r="AD118" i="69"/>
  <c r="AC118" i="69"/>
  <c r="AB118" i="69"/>
  <c r="AA118" i="69"/>
  <c r="Z118" i="69"/>
  <c r="AD117" i="69"/>
  <c r="AC117" i="69"/>
  <c r="AB117" i="69"/>
  <c r="AA117" i="69"/>
  <c r="Z117" i="69"/>
  <c r="AD116" i="69"/>
  <c r="AC116" i="69"/>
  <c r="AB116" i="69"/>
  <c r="AA116" i="69"/>
  <c r="Z116" i="69"/>
  <c r="AD115" i="69"/>
  <c r="AC115" i="69"/>
  <c r="AB115" i="69"/>
  <c r="AA115" i="69"/>
  <c r="Z115" i="69"/>
  <c r="AD114" i="69"/>
  <c r="AC114" i="69"/>
  <c r="AB114" i="69"/>
  <c r="AA114" i="69"/>
  <c r="Z114" i="69"/>
  <c r="AD113" i="69"/>
  <c r="AC113" i="69"/>
  <c r="AB113" i="69"/>
  <c r="AA113" i="69"/>
  <c r="Z113" i="69"/>
  <c r="AD112" i="69"/>
  <c r="AC112" i="69"/>
  <c r="AB112" i="69"/>
  <c r="AA112" i="69"/>
  <c r="Z112" i="69"/>
  <c r="AG10" i="69"/>
  <c r="AG10" i="68"/>
  <c r="AH10" i="68" s="1"/>
  <c r="AJ207" i="67"/>
  <c r="AI207" i="67"/>
  <c r="AH207" i="67"/>
  <c r="AG207" i="67"/>
  <c r="AF207" i="67"/>
  <c r="AJ206" i="67"/>
  <c r="AJ205" i="67"/>
  <c r="AI205" i="67"/>
  <c r="AH205" i="67"/>
  <c r="AG205" i="67"/>
  <c r="AF205" i="67"/>
  <c r="AJ204" i="67"/>
  <c r="AI204" i="67"/>
  <c r="AH204" i="67"/>
  <c r="AG204" i="67"/>
  <c r="AF204" i="67"/>
  <c r="AJ203" i="67"/>
  <c r="AI203" i="67"/>
  <c r="AH203" i="67"/>
  <c r="AG203" i="67"/>
  <c r="AF203" i="67"/>
  <c r="AJ202" i="67"/>
  <c r="AI202" i="67"/>
  <c r="AH202" i="67"/>
  <c r="AG202" i="67"/>
  <c r="AF202" i="67"/>
  <c r="AJ201" i="67"/>
  <c r="AI201" i="67"/>
  <c r="AH201" i="67"/>
  <c r="AG201" i="67"/>
  <c r="AF201" i="67"/>
  <c r="AJ200" i="67"/>
  <c r="AI200" i="67"/>
  <c r="AH200" i="67"/>
  <c r="AG200" i="67"/>
  <c r="AF200" i="67"/>
  <c r="AJ199" i="67"/>
  <c r="AI199" i="67"/>
  <c r="AH199" i="67"/>
  <c r="AG199" i="67"/>
  <c r="AF199" i="67"/>
  <c r="AJ198" i="67"/>
  <c r="AI198" i="67"/>
  <c r="AF198" i="67"/>
  <c r="AJ197" i="67"/>
  <c r="AI197" i="67"/>
  <c r="AH197" i="67"/>
  <c r="AG197" i="67"/>
  <c r="AF197" i="67"/>
  <c r="AJ196" i="67"/>
  <c r="AI196" i="67"/>
  <c r="AH196" i="67"/>
  <c r="AG196" i="67"/>
  <c r="AF196" i="67"/>
  <c r="AJ195" i="67"/>
  <c r="AI195" i="67"/>
  <c r="AH195" i="67"/>
  <c r="AG195" i="67"/>
  <c r="AF195" i="67"/>
  <c r="AJ194" i="67"/>
  <c r="AI194" i="67"/>
  <c r="AH194" i="67"/>
  <c r="AG194" i="67"/>
  <c r="AF194" i="67"/>
  <c r="AJ193" i="67"/>
  <c r="AI193" i="67"/>
  <c r="AH193" i="67"/>
  <c r="AG193" i="67"/>
  <c r="AF193" i="67"/>
  <c r="AJ192" i="67"/>
  <c r="AI192" i="67"/>
  <c r="AH192" i="67"/>
  <c r="AG192" i="67"/>
  <c r="AF192" i="67"/>
  <c r="AJ191" i="67"/>
  <c r="AI191" i="67"/>
  <c r="AH191" i="67"/>
  <c r="AG191" i="67"/>
  <c r="AF191" i="67"/>
  <c r="AJ190" i="67"/>
  <c r="AI190" i="67"/>
  <c r="AH190" i="67"/>
  <c r="AG190" i="67"/>
  <c r="AF190" i="67"/>
  <c r="AJ189" i="67"/>
  <c r="AI189" i="67"/>
  <c r="AH189" i="67"/>
  <c r="AG189" i="67"/>
  <c r="AF189" i="67"/>
  <c r="AJ188" i="67"/>
  <c r="AI188" i="67"/>
  <c r="AH188" i="67"/>
  <c r="AG188" i="67"/>
  <c r="AF188" i="67"/>
  <c r="AJ187" i="67"/>
  <c r="AI187" i="67"/>
  <c r="AH187" i="67"/>
  <c r="AG187" i="67"/>
  <c r="AF187" i="67"/>
  <c r="AJ186" i="67"/>
  <c r="AI186" i="67"/>
  <c r="AH186" i="67"/>
  <c r="AG186" i="67"/>
  <c r="AF186" i="67"/>
  <c r="AJ185" i="67"/>
  <c r="AI185" i="67"/>
  <c r="AH185" i="67"/>
  <c r="AG185" i="67"/>
  <c r="AF185" i="67"/>
  <c r="AJ184" i="67"/>
  <c r="AI184" i="67"/>
  <c r="AH184" i="67"/>
  <c r="AG184" i="67"/>
  <c r="AF184" i="67"/>
  <c r="AD207" i="67"/>
  <c r="AC207" i="67"/>
  <c r="AB207" i="67"/>
  <c r="AA207" i="67"/>
  <c r="Z207" i="67"/>
  <c r="AD206" i="67"/>
  <c r="AD205" i="67"/>
  <c r="AC205" i="67"/>
  <c r="AB205" i="67"/>
  <c r="AA205" i="67"/>
  <c r="Z205" i="67"/>
  <c r="AD204" i="67"/>
  <c r="AC204" i="67"/>
  <c r="AB204" i="67"/>
  <c r="AA204" i="67"/>
  <c r="Z204" i="67"/>
  <c r="AD203" i="67"/>
  <c r="AC203" i="67"/>
  <c r="AB203" i="67"/>
  <c r="AA203" i="67"/>
  <c r="Z203" i="67"/>
  <c r="AD202" i="67"/>
  <c r="AC202" i="67"/>
  <c r="AB202" i="67"/>
  <c r="AA202" i="67"/>
  <c r="Z202" i="67"/>
  <c r="AD201" i="67"/>
  <c r="AC201" i="67"/>
  <c r="AB201" i="67"/>
  <c r="AA201" i="67"/>
  <c r="Z201" i="67"/>
  <c r="AD200" i="67"/>
  <c r="AC200" i="67"/>
  <c r="AB200" i="67"/>
  <c r="AA200" i="67"/>
  <c r="Z200" i="67"/>
  <c r="AD199" i="67"/>
  <c r="AC199" i="67"/>
  <c r="AB199" i="67"/>
  <c r="AA199" i="67"/>
  <c r="Z199" i="67"/>
  <c r="AD198" i="67"/>
  <c r="AC198" i="67"/>
  <c r="AA198" i="67"/>
  <c r="Z198" i="67"/>
  <c r="AD197" i="67"/>
  <c r="AC197" i="67"/>
  <c r="AB197" i="67"/>
  <c r="AA197" i="67"/>
  <c r="Z197" i="67"/>
  <c r="AD196" i="67"/>
  <c r="AC196" i="67"/>
  <c r="AB196" i="67"/>
  <c r="AA196" i="67"/>
  <c r="Z196" i="67"/>
  <c r="AD195" i="67"/>
  <c r="AC195" i="67"/>
  <c r="AB195" i="67"/>
  <c r="AA195" i="67"/>
  <c r="Z195" i="67"/>
  <c r="AD194" i="67"/>
  <c r="AC194" i="67"/>
  <c r="AB194" i="67"/>
  <c r="AA194" i="67"/>
  <c r="Z194" i="67"/>
  <c r="AD193" i="67"/>
  <c r="AC193" i="67"/>
  <c r="AB193" i="67"/>
  <c r="AA193" i="67"/>
  <c r="Z193" i="67"/>
  <c r="AD192" i="67"/>
  <c r="AC192" i="67"/>
  <c r="AB192" i="67"/>
  <c r="AA192" i="67"/>
  <c r="Z192" i="67"/>
  <c r="AD191" i="67"/>
  <c r="AC191" i="67"/>
  <c r="AB191" i="67"/>
  <c r="AA191" i="67"/>
  <c r="Z191" i="67"/>
  <c r="AD190" i="67"/>
  <c r="AC190" i="67"/>
  <c r="AB190" i="67"/>
  <c r="AA190" i="67"/>
  <c r="Z190" i="67"/>
  <c r="AD189" i="67"/>
  <c r="AC189" i="67"/>
  <c r="AB189" i="67"/>
  <c r="AA189" i="67"/>
  <c r="Z189" i="67"/>
  <c r="AD188" i="67"/>
  <c r="AC188" i="67"/>
  <c r="AB188" i="67"/>
  <c r="AA188" i="67"/>
  <c r="Z188" i="67"/>
  <c r="AD187" i="67"/>
  <c r="AC187" i="67"/>
  <c r="AB187" i="67"/>
  <c r="AA187" i="67"/>
  <c r="Z187" i="67"/>
  <c r="AD186" i="67"/>
  <c r="AC186" i="67"/>
  <c r="AB186" i="67"/>
  <c r="AA186" i="67"/>
  <c r="Z186" i="67"/>
  <c r="AD185" i="67"/>
  <c r="AC185" i="67"/>
  <c r="AB185" i="67"/>
  <c r="AA185" i="67"/>
  <c r="Z185" i="67"/>
  <c r="AD184" i="67"/>
  <c r="AC184" i="67"/>
  <c r="AB184" i="67"/>
  <c r="AA184" i="67"/>
  <c r="Z184" i="67"/>
  <c r="AJ279" i="67"/>
  <c r="AI279" i="67"/>
  <c r="AH279" i="67"/>
  <c r="AG279" i="67"/>
  <c r="AF279" i="67"/>
  <c r="AJ278" i="67"/>
  <c r="AJ277" i="67"/>
  <c r="AI277" i="67"/>
  <c r="AH277" i="67"/>
  <c r="AG277" i="67"/>
  <c r="AF277" i="67"/>
  <c r="AJ276" i="67"/>
  <c r="AI276" i="67"/>
  <c r="AH276" i="67"/>
  <c r="AG276" i="67"/>
  <c r="AF276" i="67"/>
  <c r="AJ275" i="67"/>
  <c r="AI275" i="67"/>
  <c r="AH275" i="67"/>
  <c r="AG275" i="67"/>
  <c r="AF275" i="67"/>
  <c r="AJ274" i="67"/>
  <c r="AI274" i="67"/>
  <c r="AH274" i="67"/>
  <c r="AG274" i="67"/>
  <c r="AF274" i="67"/>
  <c r="AJ273" i="67"/>
  <c r="AI273" i="67"/>
  <c r="AH273" i="67"/>
  <c r="AG273" i="67"/>
  <c r="AF273" i="67"/>
  <c r="AJ272" i="67"/>
  <c r="AI272" i="67"/>
  <c r="AH272" i="67"/>
  <c r="AG272" i="67"/>
  <c r="AF272" i="67"/>
  <c r="AJ271" i="67"/>
  <c r="AI271" i="67"/>
  <c r="AH271" i="67"/>
  <c r="AG271" i="67"/>
  <c r="AF271" i="67"/>
  <c r="AJ270" i="67"/>
  <c r="AI270" i="67"/>
  <c r="AG270" i="67"/>
  <c r="AF270" i="67"/>
  <c r="AJ269" i="67"/>
  <c r="AI269" i="67"/>
  <c r="AH269" i="67"/>
  <c r="AG269" i="67"/>
  <c r="AF269" i="67"/>
  <c r="AJ268" i="67"/>
  <c r="AI268" i="67"/>
  <c r="AH268" i="67"/>
  <c r="AG268" i="67"/>
  <c r="AF268" i="67"/>
  <c r="AJ267" i="67"/>
  <c r="AI267" i="67"/>
  <c r="AH267" i="67"/>
  <c r="AG267" i="67"/>
  <c r="AF267" i="67"/>
  <c r="AJ266" i="67"/>
  <c r="AI266" i="67"/>
  <c r="AH266" i="67"/>
  <c r="AG266" i="67"/>
  <c r="AF266" i="67"/>
  <c r="AJ265" i="67"/>
  <c r="AI265" i="67"/>
  <c r="AH265" i="67"/>
  <c r="AG265" i="67"/>
  <c r="AF265" i="67"/>
  <c r="AJ264" i="67"/>
  <c r="AI264" i="67"/>
  <c r="AH264" i="67"/>
  <c r="AG264" i="67"/>
  <c r="AF264" i="67"/>
  <c r="AJ263" i="67"/>
  <c r="AI263" i="67"/>
  <c r="AH263" i="67"/>
  <c r="AG263" i="67"/>
  <c r="AF263" i="67"/>
  <c r="AJ262" i="67"/>
  <c r="AI262" i="67"/>
  <c r="AH262" i="67"/>
  <c r="AG262" i="67"/>
  <c r="AF262" i="67"/>
  <c r="AJ261" i="67"/>
  <c r="AI261" i="67"/>
  <c r="AH261" i="67"/>
  <c r="AG261" i="67"/>
  <c r="AF261" i="67"/>
  <c r="AJ260" i="67"/>
  <c r="AI260" i="67"/>
  <c r="AH260" i="67"/>
  <c r="AG260" i="67"/>
  <c r="AF260" i="67"/>
  <c r="AJ259" i="67"/>
  <c r="AI259" i="67"/>
  <c r="AH259" i="67"/>
  <c r="AG259" i="67"/>
  <c r="AF259" i="67"/>
  <c r="AJ258" i="67"/>
  <c r="AI258" i="67"/>
  <c r="AH258" i="67"/>
  <c r="AG258" i="67"/>
  <c r="AF258" i="67"/>
  <c r="AJ257" i="67"/>
  <c r="AI257" i="67"/>
  <c r="AH257" i="67"/>
  <c r="AG257" i="67"/>
  <c r="AF257" i="67"/>
  <c r="AJ256" i="67"/>
  <c r="AI256" i="67"/>
  <c r="AH256" i="67"/>
  <c r="AG256" i="67"/>
  <c r="AF256" i="67"/>
  <c r="AD279" i="67"/>
  <c r="AC279" i="67"/>
  <c r="AB279" i="67"/>
  <c r="AA279" i="67"/>
  <c r="Z279" i="67"/>
  <c r="AD278" i="67"/>
  <c r="AD277" i="67"/>
  <c r="AC277" i="67"/>
  <c r="AB277" i="67"/>
  <c r="AA277" i="67"/>
  <c r="Z277" i="67"/>
  <c r="AD276" i="67"/>
  <c r="AC276" i="67"/>
  <c r="AB276" i="67"/>
  <c r="AA276" i="67"/>
  <c r="Z276" i="67"/>
  <c r="AD275" i="67"/>
  <c r="AC275" i="67"/>
  <c r="AB275" i="67"/>
  <c r="AA275" i="67"/>
  <c r="Z275" i="67"/>
  <c r="AD274" i="67"/>
  <c r="AC274" i="67"/>
  <c r="AB274" i="67"/>
  <c r="AA274" i="67"/>
  <c r="Z274" i="67"/>
  <c r="AD273" i="67"/>
  <c r="AC273" i="67"/>
  <c r="AB273" i="67"/>
  <c r="AA273" i="67"/>
  <c r="Z273" i="67"/>
  <c r="AD272" i="67"/>
  <c r="AC272" i="67"/>
  <c r="AB272" i="67"/>
  <c r="AA272" i="67"/>
  <c r="Z272" i="67"/>
  <c r="AD271" i="67"/>
  <c r="AC271" i="67"/>
  <c r="AB271" i="67"/>
  <c r="AA271" i="67"/>
  <c r="Z271" i="67"/>
  <c r="AD270" i="67"/>
  <c r="AC270" i="67"/>
  <c r="AA270" i="67"/>
  <c r="Z270" i="67"/>
  <c r="AD269" i="67"/>
  <c r="AC269" i="67"/>
  <c r="AB269" i="67"/>
  <c r="AA269" i="67"/>
  <c r="Z269" i="67"/>
  <c r="AD268" i="67"/>
  <c r="AC268" i="67"/>
  <c r="AB268" i="67"/>
  <c r="AA268" i="67"/>
  <c r="Z268" i="67"/>
  <c r="AD267" i="67"/>
  <c r="AC267" i="67"/>
  <c r="AB267" i="67"/>
  <c r="AA267" i="67"/>
  <c r="Z267" i="67"/>
  <c r="AD266" i="67"/>
  <c r="AC266" i="67"/>
  <c r="AB266" i="67"/>
  <c r="AA266" i="67"/>
  <c r="Z266" i="67"/>
  <c r="AD265" i="67"/>
  <c r="AC265" i="67"/>
  <c r="AB265" i="67"/>
  <c r="AA265" i="67"/>
  <c r="Z265" i="67"/>
  <c r="AD264" i="67"/>
  <c r="AC264" i="67"/>
  <c r="AB264" i="67"/>
  <c r="AA264" i="67"/>
  <c r="Z264" i="67"/>
  <c r="AD263" i="67"/>
  <c r="AC263" i="67"/>
  <c r="AB263" i="67"/>
  <c r="AA263" i="67"/>
  <c r="Z263" i="67"/>
  <c r="AD262" i="67"/>
  <c r="AC262" i="67"/>
  <c r="AB262" i="67"/>
  <c r="AA262" i="67"/>
  <c r="Z262" i="67"/>
  <c r="AD261" i="67"/>
  <c r="AC261" i="67"/>
  <c r="AB261" i="67"/>
  <c r="AA261" i="67"/>
  <c r="Z261" i="67"/>
  <c r="AD260" i="67"/>
  <c r="AC260" i="67"/>
  <c r="AB260" i="67"/>
  <c r="AA260" i="67"/>
  <c r="Z260" i="67"/>
  <c r="AD259" i="67"/>
  <c r="AC259" i="67"/>
  <c r="AB259" i="67"/>
  <c r="AA259" i="67"/>
  <c r="Z259" i="67"/>
  <c r="AD258" i="67"/>
  <c r="AC258" i="67"/>
  <c r="AB258" i="67"/>
  <c r="AA258" i="67"/>
  <c r="Z258" i="67"/>
  <c r="AD257" i="67"/>
  <c r="AC257" i="67"/>
  <c r="AB257" i="67"/>
  <c r="AA257" i="67"/>
  <c r="Z257" i="67"/>
  <c r="AD256" i="67"/>
  <c r="AC256" i="67"/>
  <c r="AB256" i="67"/>
  <c r="AA256" i="67"/>
  <c r="Z256" i="67"/>
  <c r="AJ243" i="67"/>
  <c r="AI243" i="67"/>
  <c r="AH243" i="67"/>
  <c r="AG243" i="67"/>
  <c r="AF243" i="67"/>
  <c r="AJ242" i="67"/>
  <c r="AJ241" i="67"/>
  <c r="AI241" i="67"/>
  <c r="AH241" i="67"/>
  <c r="AG241" i="67"/>
  <c r="AF241" i="67"/>
  <c r="AJ240" i="67"/>
  <c r="AI240" i="67"/>
  <c r="AH240" i="67"/>
  <c r="AG240" i="67"/>
  <c r="AF240" i="67"/>
  <c r="AJ239" i="67"/>
  <c r="AI239" i="67"/>
  <c r="AH239" i="67"/>
  <c r="AG239" i="67"/>
  <c r="AF239" i="67"/>
  <c r="AJ238" i="67"/>
  <c r="AI238" i="67"/>
  <c r="AH238" i="67"/>
  <c r="AG238" i="67"/>
  <c r="AF238" i="67"/>
  <c r="AJ237" i="67"/>
  <c r="AI237" i="67"/>
  <c r="AH237" i="67"/>
  <c r="AG237" i="67"/>
  <c r="AF237" i="67"/>
  <c r="AJ236" i="67"/>
  <c r="AI236" i="67"/>
  <c r="AH236" i="67"/>
  <c r="AG236" i="67"/>
  <c r="AF236" i="67"/>
  <c r="AJ235" i="67"/>
  <c r="AI235" i="67"/>
  <c r="AH235" i="67"/>
  <c r="AG235" i="67"/>
  <c r="AF235" i="67"/>
  <c r="AJ234" i="67"/>
  <c r="AI234" i="67"/>
  <c r="AG234" i="67"/>
  <c r="AF234" i="67"/>
  <c r="AJ233" i="67"/>
  <c r="AI233" i="67"/>
  <c r="AH233" i="67"/>
  <c r="AG233" i="67"/>
  <c r="AF233" i="67"/>
  <c r="AJ232" i="67"/>
  <c r="AI232" i="67"/>
  <c r="AH232" i="67"/>
  <c r="AG232" i="67"/>
  <c r="AF232" i="67"/>
  <c r="AI231" i="67"/>
  <c r="AH231" i="67"/>
  <c r="AG231" i="67"/>
  <c r="AF231" i="67"/>
  <c r="AJ230" i="67"/>
  <c r="AI230" i="67"/>
  <c r="AH230" i="67"/>
  <c r="AG230" i="67"/>
  <c r="AF230" i="67"/>
  <c r="AJ229" i="67"/>
  <c r="AI229" i="67"/>
  <c r="AH229" i="67"/>
  <c r="AG229" i="67"/>
  <c r="AF229" i="67"/>
  <c r="AJ228" i="67"/>
  <c r="AI228" i="67"/>
  <c r="AH228" i="67"/>
  <c r="AG228" i="67"/>
  <c r="AF228" i="67"/>
  <c r="AJ227" i="67"/>
  <c r="AI227" i="67"/>
  <c r="AH227" i="67"/>
  <c r="AG227" i="67"/>
  <c r="AF227" i="67"/>
  <c r="AJ226" i="67"/>
  <c r="AI226" i="67"/>
  <c r="AH226" i="67"/>
  <c r="AG226" i="67"/>
  <c r="AF226" i="67"/>
  <c r="AJ225" i="67"/>
  <c r="AI225" i="67"/>
  <c r="AH225" i="67"/>
  <c r="AG225" i="67"/>
  <c r="AF225" i="67"/>
  <c r="AJ224" i="67"/>
  <c r="AI224" i="67"/>
  <c r="AH224" i="67"/>
  <c r="AG224" i="67"/>
  <c r="AF224" i="67"/>
  <c r="AJ223" i="67"/>
  <c r="AI223" i="67"/>
  <c r="AH223" i="67"/>
  <c r="AG223" i="67"/>
  <c r="AF223" i="67"/>
  <c r="AJ222" i="67"/>
  <c r="AI222" i="67"/>
  <c r="AH222" i="67"/>
  <c r="AG222" i="67"/>
  <c r="AF222" i="67"/>
  <c r="AJ221" i="67"/>
  <c r="AI221" i="67"/>
  <c r="AH221" i="67"/>
  <c r="AG221" i="67"/>
  <c r="AF221" i="67"/>
  <c r="AJ220" i="67"/>
  <c r="AI220" i="67"/>
  <c r="AH220" i="67"/>
  <c r="AG220" i="67"/>
  <c r="AF220" i="67"/>
  <c r="AD243" i="67"/>
  <c r="AC243" i="67"/>
  <c r="AB243" i="67"/>
  <c r="AA243" i="67"/>
  <c r="Z243" i="67"/>
  <c r="AD242" i="67"/>
  <c r="AD241" i="67"/>
  <c r="AC241" i="67"/>
  <c r="AB241" i="67"/>
  <c r="AA241" i="67"/>
  <c r="Z241" i="67"/>
  <c r="AD240" i="67"/>
  <c r="AC240" i="67"/>
  <c r="AB240" i="67"/>
  <c r="AA240" i="67"/>
  <c r="Z240" i="67"/>
  <c r="AD239" i="67"/>
  <c r="AC239" i="67"/>
  <c r="AB239" i="67"/>
  <c r="AA239" i="67"/>
  <c r="Z239" i="67"/>
  <c r="AD238" i="67"/>
  <c r="AC238" i="67"/>
  <c r="AB238" i="67"/>
  <c r="AA238" i="67"/>
  <c r="Z238" i="67"/>
  <c r="AD237" i="67"/>
  <c r="AC237" i="67"/>
  <c r="AB237" i="67"/>
  <c r="AA237" i="67"/>
  <c r="Z237" i="67"/>
  <c r="AD236" i="67"/>
  <c r="AC236" i="67"/>
  <c r="AB236" i="67"/>
  <c r="AA236" i="67"/>
  <c r="Z236" i="67"/>
  <c r="AD235" i="67"/>
  <c r="AC235" i="67"/>
  <c r="AB235" i="67"/>
  <c r="AA235" i="67"/>
  <c r="Z235" i="67"/>
  <c r="AD234" i="67"/>
  <c r="AC234" i="67"/>
  <c r="AA234" i="67"/>
  <c r="Z234" i="67"/>
  <c r="AD233" i="67"/>
  <c r="AC233" i="67"/>
  <c r="AB233" i="67"/>
  <c r="AA233" i="67"/>
  <c r="Z233" i="67"/>
  <c r="AD232" i="67"/>
  <c r="AC232" i="67"/>
  <c r="AB232" i="67"/>
  <c r="AA232" i="67"/>
  <c r="Z232" i="67"/>
  <c r="AD231" i="67"/>
  <c r="AC231" i="67"/>
  <c r="AB231" i="67"/>
  <c r="AA231" i="67"/>
  <c r="Z231" i="67"/>
  <c r="AD230" i="67"/>
  <c r="AC230" i="67"/>
  <c r="AB230" i="67"/>
  <c r="AA230" i="67"/>
  <c r="Z230" i="67"/>
  <c r="AD229" i="67"/>
  <c r="AC229" i="67"/>
  <c r="AB229" i="67"/>
  <c r="AA229" i="67"/>
  <c r="Z229" i="67"/>
  <c r="AD228" i="67"/>
  <c r="AC228" i="67"/>
  <c r="AB228" i="67"/>
  <c r="AA228" i="67"/>
  <c r="Z228" i="67"/>
  <c r="AD227" i="67"/>
  <c r="AC227" i="67"/>
  <c r="AB227" i="67"/>
  <c r="AA227" i="67"/>
  <c r="Z227" i="67"/>
  <c r="AD226" i="67"/>
  <c r="AC226" i="67"/>
  <c r="AB226" i="67"/>
  <c r="AA226" i="67"/>
  <c r="Z226" i="67"/>
  <c r="AD225" i="67"/>
  <c r="AC225" i="67"/>
  <c r="AB225" i="67"/>
  <c r="AA225" i="67"/>
  <c r="Z225" i="67"/>
  <c r="AD224" i="67"/>
  <c r="AC224" i="67"/>
  <c r="AB224" i="67"/>
  <c r="AA224" i="67"/>
  <c r="Z224" i="67"/>
  <c r="AD223" i="67"/>
  <c r="AC223" i="67"/>
  <c r="AB223" i="67"/>
  <c r="AA223" i="67"/>
  <c r="Z223" i="67"/>
  <c r="AD222" i="67"/>
  <c r="AC222" i="67"/>
  <c r="AB222" i="67"/>
  <c r="AA222" i="67"/>
  <c r="Z222" i="67"/>
  <c r="AD221" i="67"/>
  <c r="AC221" i="67"/>
  <c r="AB221" i="67"/>
  <c r="AA221" i="67"/>
  <c r="Z221" i="67"/>
  <c r="AD220" i="67"/>
  <c r="AC220" i="67"/>
  <c r="AB220" i="67"/>
  <c r="AA220" i="67"/>
  <c r="Z220" i="67"/>
  <c r="AG10" i="67"/>
  <c r="H33" i="67"/>
  <c r="G33" i="67"/>
  <c r="F33" i="67"/>
  <c r="E33" i="67"/>
  <c r="D33" i="67"/>
  <c r="AB33" i="67" s="1"/>
  <c r="H32" i="67"/>
  <c r="H134" i="67" s="1"/>
  <c r="H31" i="67"/>
  <c r="AD169" i="67" s="1"/>
  <c r="H169" i="67" s="1"/>
  <c r="G31" i="67"/>
  <c r="F31" i="67"/>
  <c r="E31" i="67"/>
  <c r="D31" i="67"/>
  <c r="AB31" i="67" s="1"/>
  <c r="H30" i="67"/>
  <c r="AD168" i="67" s="1"/>
  <c r="H168" i="67" s="1"/>
  <c r="G30" i="67"/>
  <c r="AC168" i="67" s="1"/>
  <c r="G168" i="67" s="1"/>
  <c r="F30" i="67"/>
  <c r="E30" i="67"/>
  <c r="D30" i="67"/>
  <c r="AB30" i="67" s="1"/>
  <c r="H29" i="67"/>
  <c r="G29" i="67"/>
  <c r="AC167" i="67" s="1"/>
  <c r="G167" i="67" s="1"/>
  <c r="F29" i="67"/>
  <c r="AB167" i="67" s="1"/>
  <c r="F167" i="67" s="1"/>
  <c r="E29" i="67"/>
  <c r="AA167" i="67" s="1"/>
  <c r="E167" i="67" s="1"/>
  <c r="D29" i="67"/>
  <c r="H28" i="67"/>
  <c r="G28" i="67"/>
  <c r="AC166" i="67" s="1"/>
  <c r="G166" i="67" s="1"/>
  <c r="F28" i="67"/>
  <c r="AB166" i="67" s="1"/>
  <c r="F166" i="67" s="1"/>
  <c r="E28" i="67"/>
  <c r="AA166" i="67" s="1"/>
  <c r="E166" i="67" s="1"/>
  <c r="D28" i="67"/>
  <c r="H27" i="67"/>
  <c r="AD165" i="67" s="1"/>
  <c r="H165" i="67" s="1"/>
  <c r="G27" i="67"/>
  <c r="AC165" i="67" s="1"/>
  <c r="G165" i="67" s="1"/>
  <c r="F27" i="67"/>
  <c r="AB165" i="67" s="1"/>
  <c r="F165" i="67" s="1"/>
  <c r="E27" i="67"/>
  <c r="D27" i="67"/>
  <c r="AB27" i="67" s="1"/>
  <c r="H26" i="67"/>
  <c r="G26" i="67"/>
  <c r="AC164" i="67" s="1"/>
  <c r="G164" i="67" s="1"/>
  <c r="F26" i="67"/>
  <c r="AB164" i="67" s="1"/>
  <c r="F164" i="67" s="1"/>
  <c r="E26" i="67"/>
  <c r="AA164" i="67" s="1"/>
  <c r="E164" i="67" s="1"/>
  <c r="D26" i="67"/>
  <c r="H25" i="67"/>
  <c r="G25" i="67"/>
  <c r="AC163" i="67" s="1"/>
  <c r="G163" i="67" s="1"/>
  <c r="F25" i="67"/>
  <c r="AB163" i="67" s="1"/>
  <c r="F163" i="67" s="1"/>
  <c r="E25" i="67"/>
  <c r="AA163" i="67" s="1"/>
  <c r="E163" i="67" s="1"/>
  <c r="D25" i="67"/>
  <c r="H24" i="67"/>
  <c r="G24" i="67"/>
  <c r="E24" i="67"/>
  <c r="D24" i="67"/>
  <c r="AB24" i="67" s="1"/>
  <c r="H23" i="67"/>
  <c r="AD161" i="67" s="1"/>
  <c r="H161" i="67" s="1"/>
  <c r="G23" i="67"/>
  <c r="AC161" i="67" s="1"/>
  <c r="G161" i="67" s="1"/>
  <c r="F23" i="67"/>
  <c r="AB161" i="67" s="1"/>
  <c r="F161" i="67" s="1"/>
  <c r="E23" i="67"/>
  <c r="D23" i="67"/>
  <c r="AB23" i="67" s="1"/>
  <c r="H22" i="67"/>
  <c r="G22" i="67"/>
  <c r="AC160" i="67" s="1"/>
  <c r="G160" i="67" s="1"/>
  <c r="F22" i="67"/>
  <c r="AB160" i="67" s="1"/>
  <c r="F160" i="67" s="1"/>
  <c r="E22" i="67"/>
  <c r="AA160" i="67" s="1"/>
  <c r="E160" i="67" s="1"/>
  <c r="D22" i="67"/>
  <c r="H21" i="67"/>
  <c r="AD159" i="67" s="1"/>
  <c r="H159" i="67" s="1"/>
  <c r="G21" i="67"/>
  <c r="AC159" i="67" s="1"/>
  <c r="G159" i="67" s="1"/>
  <c r="F21" i="67"/>
  <c r="AB159" i="67" s="1"/>
  <c r="F159" i="67" s="1"/>
  <c r="E21" i="67"/>
  <c r="D21" i="67"/>
  <c r="H20" i="67"/>
  <c r="G20" i="67"/>
  <c r="AC158" i="67" s="1"/>
  <c r="G158" i="67" s="1"/>
  <c r="F20" i="67"/>
  <c r="AB158" i="67" s="1"/>
  <c r="F158" i="67" s="1"/>
  <c r="E20" i="67"/>
  <c r="AA158" i="67" s="1"/>
  <c r="E158" i="67" s="1"/>
  <c r="D20" i="67"/>
  <c r="H19" i="67"/>
  <c r="AD157" i="67" s="1"/>
  <c r="H157" i="67" s="1"/>
  <c r="G19" i="67"/>
  <c r="AC157" i="67" s="1"/>
  <c r="G157" i="67" s="1"/>
  <c r="F19" i="67"/>
  <c r="AB157" i="67" s="1"/>
  <c r="F157" i="67" s="1"/>
  <c r="E19" i="67"/>
  <c r="AA157" i="67" s="1"/>
  <c r="E157" i="67" s="1"/>
  <c r="D19" i="67"/>
  <c r="H18" i="67"/>
  <c r="G18" i="67"/>
  <c r="AC156" i="67" s="1"/>
  <c r="G156" i="67" s="1"/>
  <c r="F18" i="67"/>
  <c r="AB156" i="67" s="1"/>
  <c r="F156" i="67" s="1"/>
  <c r="E18" i="67"/>
  <c r="AA156" i="67" s="1"/>
  <c r="E156" i="67" s="1"/>
  <c r="D18" i="67"/>
  <c r="H17" i="67"/>
  <c r="G17" i="67"/>
  <c r="AC155" i="67" s="1"/>
  <c r="G155" i="67" s="1"/>
  <c r="F17" i="67"/>
  <c r="AB155" i="67" s="1"/>
  <c r="F155" i="67" s="1"/>
  <c r="E17" i="67"/>
  <c r="AA155" i="67" s="1"/>
  <c r="D17" i="67"/>
  <c r="H16" i="67"/>
  <c r="G16" i="67"/>
  <c r="F16" i="67"/>
  <c r="E16" i="67"/>
  <c r="D16" i="67"/>
  <c r="AB16" i="67" s="1"/>
  <c r="H15" i="67"/>
  <c r="G15" i="67"/>
  <c r="F15" i="67"/>
  <c r="E15" i="67"/>
  <c r="D15" i="67"/>
  <c r="AB15" i="67" s="1"/>
  <c r="H14" i="67"/>
  <c r="AD152" i="67" s="1"/>
  <c r="H152" i="67" s="1"/>
  <c r="G14" i="67"/>
  <c r="AC152" i="67" s="1"/>
  <c r="G152" i="67" s="1"/>
  <c r="F14" i="67"/>
  <c r="AB152" i="67" s="1"/>
  <c r="F152" i="67" s="1"/>
  <c r="E14" i="67"/>
  <c r="AA152" i="67" s="1"/>
  <c r="E152" i="67" s="1"/>
  <c r="D14" i="67"/>
  <c r="H13" i="67"/>
  <c r="G13" i="67"/>
  <c r="AC151" i="67" s="1"/>
  <c r="F13" i="67"/>
  <c r="AB151" i="67" s="1"/>
  <c r="E13" i="67"/>
  <c r="AA151" i="67" s="1"/>
  <c r="E151" i="67" s="1"/>
  <c r="D13" i="67"/>
  <c r="AB13" i="67" s="1"/>
  <c r="H12" i="67"/>
  <c r="AD150" i="67" s="1"/>
  <c r="H150" i="67" s="1"/>
  <c r="G12" i="67"/>
  <c r="AC150" i="67" s="1"/>
  <c r="G150" i="67" s="1"/>
  <c r="F12" i="67"/>
  <c r="AB150" i="67" s="1"/>
  <c r="F150" i="67" s="1"/>
  <c r="E12" i="67"/>
  <c r="AA150" i="67" s="1"/>
  <c r="E150" i="67" s="1"/>
  <c r="D12" i="67"/>
  <c r="H11" i="67"/>
  <c r="G11" i="67"/>
  <c r="F11" i="67"/>
  <c r="E11" i="67"/>
  <c r="D11" i="67"/>
  <c r="AB11" i="67" s="1"/>
  <c r="H10" i="67"/>
  <c r="G10" i="67"/>
  <c r="F10" i="67"/>
  <c r="E10" i="67"/>
  <c r="D10" i="67"/>
  <c r="AB10" i="67" s="1"/>
  <c r="AD169" i="66"/>
  <c r="AC169" i="66"/>
  <c r="AB169" i="66"/>
  <c r="AA169" i="66"/>
  <c r="AD168" i="66"/>
  <c r="AD167" i="66"/>
  <c r="AC167" i="66"/>
  <c r="AB167" i="66"/>
  <c r="AA167" i="66"/>
  <c r="Z167" i="66"/>
  <c r="AD166" i="66"/>
  <c r="AC166" i="66"/>
  <c r="AB166" i="66"/>
  <c r="AA166" i="66"/>
  <c r="Z166" i="66"/>
  <c r="AD165" i="66"/>
  <c r="AC165" i="66"/>
  <c r="AB165" i="66"/>
  <c r="AA165" i="66"/>
  <c r="Z165" i="66"/>
  <c r="AD164" i="66"/>
  <c r="AC164" i="66"/>
  <c r="AB164" i="66"/>
  <c r="AA164" i="66"/>
  <c r="Z164" i="66"/>
  <c r="AD163" i="66"/>
  <c r="AC163" i="66"/>
  <c r="AB163" i="66"/>
  <c r="AA163" i="66"/>
  <c r="Z163" i="66"/>
  <c r="AD162" i="66"/>
  <c r="AC162" i="66"/>
  <c r="AB162" i="66"/>
  <c r="AA162" i="66"/>
  <c r="Z162" i="66"/>
  <c r="AD161" i="66"/>
  <c r="AC161" i="66"/>
  <c r="AB161" i="66"/>
  <c r="AA161" i="66"/>
  <c r="Z161" i="66"/>
  <c r="AD160" i="66"/>
  <c r="AC160" i="66"/>
  <c r="AA160" i="66"/>
  <c r="Z160" i="66"/>
  <c r="AD159" i="66"/>
  <c r="AC159" i="66"/>
  <c r="AB159" i="66"/>
  <c r="AA159" i="66"/>
  <c r="Z159" i="66"/>
  <c r="AD158" i="66"/>
  <c r="AC158" i="66"/>
  <c r="AB158" i="66"/>
  <c r="AA158" i="66"/>
  <c r="Z158" i="66"/>
  <c r="AD157" i="66"/>
  <c r="AC157" i="66"/>
  <c r="AB157" i="66"/>
  <c r="AA157" i="66"/>
  <c r="Z157" i="66"/>
  <c r="AD156" i="66"/>
  <c r="AC156" i="66"/>
  <c r="AB156" i="66"/>
  <c r="AA156" i="66"/>
  <c r="Z156" i="66"/>
  <c r="AD155" i="66"/>
  <c r="AC155" i="66"/>
  <c r="AB155" i="66"/>
  <c r="AA155" i="66"/>
  <c r="Z155" i="66"/>
  <c r="AD154" i="66"/>
  <c r="AC154" i="66"/>
  <c r="AB154" i="66"/>
  <c r="AA154" i="66"/>
  <c r="Z154" i="66"/>
  <c r="AD153" i="66"/>
  <c r="AC153" i="66"/>
  <c r="AB153" i="66"/>
  <c r="AA153" i="66"/>
  <c r="Z153" i="66"/>
  <c r="AD152" i="66"/>
  <c r="AC152" i="66"/>
  <c r="AB152" i="66"/>
  <c r="AA152" i="66"/>
  <c r="Z152" i="66"/>
  <c r="AD151" i="66"/>
  <c r="AC151" i="66"/>
  <c r="AB151" i="66"/>
  <c r="AA151" i="66"/>
  <c r="Z151" i="66"/>
  <c r="AD150" i="66"/>
  <c r="AC150" i="66"/>
  <c r="AB150" i="66"/>
  <c r="AA150" i="66"/>
  <c r="Z150" i="66"/>
  <c r="AD149" i="66"/>
  <c r="AC149" i="66"/>
  <c r="AB149" i="66"/>
  <c r="AA149" i="66"/>
  <c r="Z149" i="66"/>
  <c r="AD148" i="66"/>
  <c r="AC148" i="66"/>
  <c r="AB148" i="66"/>
  <c r="AA148" i="66"/>
  <c r="Z148" i="66"/>
  <c r="AD147" i="66"/>
  <c r="AC147" i="66"/>
  <c r="AB147" i="66"/>
  <c r="AA147" i="66"/>
  <c r="Z147" i="66"/>
  <c r="AD146" i="66"/>
  <c r="AC146" i="66"/>
  <c r="AB146" i="66"/>
  <c r="AA146" i="66"/>
  <c r="Z146" i="66"/>
  <c r="AG10" i="66"/>
  <c r="H33" i="66"/>
  <c r="G33" i="66"/>
  <c r="F33" i="66"/>
  <c r="E33" i="66"/>
  <c r="D33" i="66"/>
  <c r="H32" i="66"/>
  <c r="H31" i="66"/>
  <c r="G31" i="66"/>
  <c r="F31" i="66"/>
  <c r="E31" i="66"/>
  <c r="D31" i="66"/>
  <c r="H30" i="66"/>
  <c r="G30" i="66"/>
  <c r="F30" i="66"/>
  <c r="E30" i="66"/>
  <c r="D30" i="66"/>
  <c r="H29" i="66"/>
  <c r="G29" i="66"/>
  <c r="F29" i="66"/>
  <c r="E29" i="66"/>
  <c r="D29" i="66"/>
  <c r="H28" i="66"/>
  <c r="G28" i="66"/>
  <c r="F28" i="66"/>
  <c r="E28" i="66"/>
  <c r="D28" i="66"/>
  <c r="H27" i="66"/>
  <c r="G27" i="66"/>
  <c r="F27" i="66"/>
  <c r="E27" i="66"/>
  <c r="D27" i="66"/>
  <c r="H26" i="66"/>
  <c r="G26" i="66"/>
  <c r="F26" i="66"/>
  <c r="E26" i="66"/>
  <c r="D26" i="66"/>
  <c r="H25" i="66"/>
  <c r="G25" i="66"/>
  <c r="F25" i="66"/>
  <c r="E25" i="66"/>
  <c r="D25" i="66"/>
  <c r="H24" i="66"/>
  <c r="G24" i="66"/>
  <c r="E24" i="66"/>
  <c r="D24" i="66"/>
  <c r="H23" i="66"/>
  <c r="G23" i="66"/>
  <c r="F23" i="66"/>
  <c r="E23" i="66"/>
  <c r="D23" i="66"/>
  <c r="H22" i="66"/>
  <c r="G22" i="66"/>
  <c r="F22" i="66"/>
  <c r="E22" i="66"/>
  <c r="D22" i="66"/>
  <c r="H21" i="66"/>
  <c r="G21" i="66"/>
  <c r="F21" i="66"/>
  <c r="E21" i="66"/>
  <c r="D21" i="66"/>
  <c r="H20" i="66"/>
  <c r="G20" i="66"/>
  <c r="F20" i="66"/>
  <c r="E20" i="66"/>
  <c r="D20" i="66"/>
  <c r="H19" i="66"/>
  <c r="G19" i="66"/>
  <c r="F19" i="66"/>
  <c r="E19" i="66"/>
  <c r="D19" i="66"/>
  <c r="H18" i="66"/>
  <c r="G18" i="66"/>
  <c r="F18" i="66"/>
  <c r="E18" i="66"/>
  <c r="D18" i="66"/>
  <c r="H17" i="66"/>
  <c r="G17" i="66"/>
  <c r="F17" i="66"/>
  <c r="E17" i="66"/>
  <c r="D17" i="66"/>
  <c r="H16" i="66"/>
  <c r="G16" i="66"/>
  <c r="F16" i="66"/>
  <c r="E16" i="66"/>
  <c r="D16" i="66"/>
  <c r="H15" i="66"/>
  <c r="G15" i="66"/>
  <c r="F15" i="66"/>
  <c r="E15" i="66"/>
  <c r="D15" i="66"/>
  <c r="H14" i="66"/>
  <c r="G14" i="66"/>
  <c r="F14" i="66"/>
  <c r="E14" i="66"/>
  <c r="D14" i="66"/>
  <c r="H13" i="66"/>
  <c r="G13" i="66"/>
  <c r="F13" i="66"/>
  <c r="E13" i="66"/>
  <c r="D13" i="66"/>
  <c r="H12" i="66"/>
  <c r="G12" i="66"/>
  <c r="F12" i="66"/>
  <c r="E12" i="66"/>
  <c r="D12" i="66"/>
  <c r="H11" i="66"/>
  <c r="G11" i="66"/>
  <c r="F11" i="66"/>
  <c r="E11" i="66"/>
  <c r="D11" i="66"/>
  <c r="H10" i="66"/>
  <c r="G10" i="66"/>
  <c r="F10" i="66"/>
  <c r="E10" i="66"/>
  <c r="D10" i="66"/>
  <c r="AG10" i="65"/>
  <c r="H33" i="65"/>
  <c r="AF33" i="65" s="1"/>
  <c r="G33" i="65"/>
  <c r="F33" i="65"/>
  <c r="AD33" i="65" s="1"/>
  <c r="E33" i="65"/>
  <c r="AC33" i="65" s="1"/>
  <c r="D33" i="65"/>
  <c r="AB33" i="65" s="1"/>
  <c r="H32" i="65"/>
  <c r="H31" i="65"/>
  <c r="G31" i="65"/>
  <c r="F31" i="65"/>
  <c r="AD31" i="65" s="1"/>
  <c r="E31" i="65"/>
  <c r="AC31" i="65" s="1"/>
  <c r="D31" i="65"/>
  <c r="AB31" i="65" s="1"/>
  <c r="H30" i="65"/>
  <c r="G30" i="65"/>
  <c r="F30" i="65"/>
  <c r="AD30" i="65" s="1"/>
  <c r="E30" i="65"/>
  <c r="AC30" i="65" s="1"/>
  <c r="D30" i="65"/>
  <c r="AB30" i="65" s="1"/>
  <c r="H29" i="65"/>
  <c r="G29" i="65"/>
  <c r="F29" i="65"/>
  <c r="AD29" i="65" s="1"/>
  <c r="E29" i="65"/>
  <c r="AC29" i="65" s="1"/>
  <c r="D29" i="65"/>
  <c r="AB29" i="65" s="1"/>
  <c r="H28" i="65"/>
  <c r="G28" i="65"/>
  <c r="F28" i="65"/>
  <c r="AD28" i="65" s="1"/>
  <c r="E28" i="65"/>
  <c r="AC28" i="65" s="1"/>
  <c r="D28" i="65"/>
  <c r="AB28" i="65" s="1"/>
  <c r="H27" i="65"/>
  <c r="G27" i="65"/>
  <c r="F27" i="65"/>
  <c r="AD27" i="65" s="1"/>
  <c r="E27" i="65"/>
  <c r="AC27" i="65" s="1"/>
  <c r="D27" i="65"/>
  <c r="AB27" i="65" s="1"/>
  <c r="H26" i="65"/>
  <c r="G26" i="65"/>
  <c r="F26" i="65"/>
  <c r="AD26" i="65" s="1"/>
  <c r="E26" i="65"/>
  <c r="AC26" i="65" s="1"/>
  <c r="D26" i="65"/>
  <c r="AB26" i="65" s="1"/>
  <c r="H25" i="65"/>
  <c r="G25" i="65"/>
  <c r="F25" i="65"/>
  <c r="AD25" i="65" s="1"/>
  <c r="E25" i="65"/>
  <c r="AC25" i="65" s="1"/>
  <c r="D25" i="65"/>
  <c r="AB25" i="65" s="1"/>
  <c r="H24" i="65"/>
  <c r="G24" i="65"/>
  <c r="E24" i="65"/>
  <c r="AC24" i="65" s="1"/>
  <c r="D24" i="65"/>
  <c r="AB24" i="65" s="1"/>
  <c r="H23" i="65"/>
  <c r="G23" i="65"/>
  <c r="F23" i="65"/>
  <c r="AD23" i="65" s="1"/>
  <c r="E23" i="65"/>
  <c r="AC23" i="65" s="1"/>
  <c r="D23" i="65"/>
  <c r="AB23" i="65" s="1"/>
  <c r="H22" i="65"/>
  <c r="G22" i="65"/>
  <c r="F22" i="65"/>
  <c r="AD22" i="65" s="1"/>
  <c r="E22" i="65"/>
  <c r="AC22" i="65" s="1"/>
  <c r="D22" i="65"/>
  <c r="AB22" i="65" s="1"/>
  <c r="H21" i="65"/>
  <c r="G21" i="65"/>
  <c r="AE21" i="65" s="1"/>
  <c r="F21" i="65"/>
  <c r="AD21" i="65" s="1"/>
  <c r="E21" i="65"/>
  <c r="AC21" i="65" s="1"/>
  <c r="D21" i="65"/>
  <c r="AB21" i="65" s="1"/>
  <c r="H20" i="65"/>
  <c r="G20" i="65"/>
  <c r="F20" i="65"/>
  <c r="AD20" i="65" s="1"/>
  <c r="E20" i="65"/>
  <c r="AC20" i="65" s="1"/>
  <c r="D20" i="65"/>
  <c r="AB20" i="65" s="1"/>
  <c r="H19" i="65"/>
  <c r="G19" i="65"/>
  <c r="F19" i="65"/>
  <c r="AD19" i="65" s="1"/>
  <c r="E19" i="65"/>
  <c r="AC19" i="65" s="1"/>
  <c r="D19" i="65"/>
  <c r="AB19" i="65" s="1"/>
  <c r="H18" i="65"/>
  <c r="G18" i="65"/>
  <c r="F18" i="65"/>
  <c r="AD18" i="65" s="1"/>
  <c r="E18" i="65"/>
  <c r="AC18" i="65" s="1"/>
  <c r="D18" i="65"/>
  <c r="AB18" i="65" s="1"/>
  <c r="H17" i="65"/>
  <c r="G17" i="65"/>
  <c r="F17" i="65"/>
  <c r="AD17" i="65" s="1"/>
  <c r="E17" i="65"/>
  <c r="AC17" i="65" s="1"/>
  <c r="D17" i="65"/>
  <c r="AB17" i="65" s="1"/>
  <c r="H16" i="65"/>
  <c r="G16" i="65"/>
  <c r="F16" i="65"/>
  <c r="AD16" i="65" s="1"/>
  <c r="E16" i="65"/>
  <c r="AC16" i="65" s="1"/>
  <c r="D16" i="65"/>
  <c r="AB16" i="65" s="1"/>
  <c r="H15" i="65"/>
  <c r="G15" i="65"/>
  <c r="F15" i="65"/>
  <c r="AD15" i="65" s="1"/>
  <c r="E15" i="65"/>
  <c r="AC15" i="65" s="1"/>
  <c r="D15" i="65"/>
  <c r="AB15" i="65" s="1"/>
  <c r="H14" i="65"/>
  <c r="G14" i="65"/>
  <c r="F14" i="65"/>
  <c r="AD14" i="65" s="1"/>
  <c r="E14" i="65"/>
  <c r="AC14" i="65" s="1"/>
  <c r="D14" i="65"/>
  <c r="AB14" i="65" s="1"/>
  <c r="H13" i="65"/>
  <c r="G13" i="65"/>
  <c r="F13" i="65"/>
  <c r="AD13" i="65" s="1"/>
  <c r="E13" i="65"/>
  <c r="AC13" i="65" s="1"/>
  <c r="D13" i="65"/>
  <c r="AB13" i="65" s="1"/>
  <c r="H12" i="65"/>
  <c r="G12" i="65"/>
  <c r="F12" i="65"/>
  <c r="AD12" i="65" s="1"/>
  <c r="E12" i="65"/>
  <c r="AC12" i="65" s="1"/>
  <c r="D12" i="65"/>
  <c r="AB12" i="65" s="1"/>
  <c r="H11" i="65"/>
  <c r="G11" i="65"/>
  <c r="F11" i="65"/>
  <c r="AD11" i="65" s="1"/>
  <c r="E11" i="65"/>
  <c r="AC11" i="65" s="1"/>
  <c r="D11" i="65"/>
  <c r="AB11" i="65" s="1"/>
  <c r="H10" i="65"/>
  <c r="G10" i="65"/>
  <c r="F10" i="65"/>
  <c r="AD10" i="65" s="1"/>
  <c r="E10" i="65"/>
  <c r="AC10" i="65" s="1"/>
  <c r="D10" i="65"/>
  <c r="AG10" i="64"/>
  <c r="H33" i="64"/>
  <c r="AF33" i="64" s="1"/>
  <c r="G33" i="64"/>
  <c r="AE33" i="64" s="1"/>
  <c r="F33" i="64"/>
  <c r="AD33" i="64" s="1"/>
  <c r="E33" i="64"/>
  <c r="AC33" i="64" s="1"/>
  <c r="D33" i="64"/>
  <c r="H32" i="64"/>
  <c r="H31" i="64"/>
  <c r="G31" i="64"/>
  <c r="AE31" i="64" s="1"/>
  <c r="F31" i="64"/>
  <c r="AD31" i="64" s="1"/>
  <c r="E31" i="64"/>
  <c r="AC31" i="64" s="1"/>
  <c r="D31" i="64"/>
  <c r="H30" i="64"/>
  <c r="G30" i="64"/>
  <c r="AE30" i="64" s="1"/>
  <c r="F30" i="64"/>
  <c r="AD30" i="64" s="1"/>
  <c r="E30" i="64"/>
  <c r="AC30" i="64" s="1"/>
  <c r="D30" i="64"/>
  <c r="H29" i="64"/>
  <c r="G29" i="64"/>
  <c r="AE29" i="64" s="1"/>
  <c r="F29" i="64"/>
  <c r="AD29" i="64" s="1"/>
  <c r="E29" i="64"/>
  <c r="AC29" i="64" s="1"/>
  <c r="D29" i="64"/>
  <c r="H28" i="64"/>
  <c r="G28" i="64"/>
  <c r="AE28" i="64" s="1"/>
  <c r="F28" i="64"/>
  <c r="AD28" i="64" s="1"/>
  <c r="E28" i="64"/>
  <c r="AC28" i="64" s="1"/>
  <c r="D28" i="64"/>
  <c r="H27" i="64"/>
  <c r="G27" i="64"/>
  <c r="AE27" i="64" s="1"/>
  <c r="F27" i="64"/>
  <c r="AD27" i="64" s="1"/>
  <c r="E27" i="64"/>
  <c r="AC27" i="64" s="1"/>
  <c r="D27" i="64"/>
  <c r="H26" i="64"/>
  <c r="G26" i="64"/>
  <c r="AE26" i="64" s="1"/>
  <c r="F26" i="64"/>
  <c r="AD26" i="64" s="1"/>
  <c r="E26" i="64"/>
  <c r="AC26" i="64" s="1"/>
  <c r="D26" i="64"/>
  <c r="H25" i="64"/>
  <c r="G25" i="64"/>
  <c r="AE25" i="64" s="1"/>
  <c r="F25" i="64"/>
  <c r="AD25" i="64" s="1"/>
  <c r="E25" i="64"/>
  <c r="AC25" i="64" s="1"/>
  <c r="D25" i="64"/>
  <c r="H24" i="64"/>
  <c r="G24" i="64"/>
  <c r="AE24" i="64" s="1"/>
  <c r="E24" i="64"/>
  <c r="AC24" i="64" s="1"/>
  <c r="D24" i="64"/>
  <c r="H23" i="64"/>
  <c r="G23" i="64"/>
  <c r="AE23" i="64" s="1"/>
  <c r="F23" i="64"/>
  <c r="AD23" i="64" s="1"/>
  <c r="E23" i="64"/>
  <c r="AC23" i="64" s="1"/>
  <c r="D23" i="64"/>
  <c r="H22" i="64"/>
  <c r="G22" i="64"/>
  <c r="AE22" i="64" s="1"/>
  <c r="F22" i="64"/>
  <c r="AD22" i="64" s="1"/>
  <c r="E22" i="64"/>
  <c r="AC22" i="64" s="1"/>
  <c r="D22" i="64"/>
  <c r="H21" i="64"/>
  <c r="G21" i="64"/>
  <c r="AE21" i="64" s="1"/>
  <c r="F21" i="64"/>
  <c r="AD21" i="64" s="1"/>
  <c r="E21" i="64"/>
  <c r="AC21" i="64" s="1"/>
  <c r="D21" i="64"/>
  <c r="H20" i="64"/>
  <c r="G20" i="64"/>
  <c r="AE20" i="64" s="1"/>
  <c r="F20" i="64"/>
  <c r="AD20" i="64" s="1"/>
  <c r="E20" i="64"/>
  <c r="AC20" i="64" s="1"/>
  <c r="D20" i="64"/>
  <c r="H19" i="64"/>
  <c r="G19" i="64"/>
  <c r="AE19" i="64" s="1"/>
  <c r="F19" i="64"/>
  <c r="AD19" i="64" s="1"/>
  <c r="E19" i="64"/>
  <c r="AC19" i="64" s="1"/>
  <c r="D19" i="64"/>
  <c r="H18" i="64"/>
  <c r="G18" i="64"/>
  <c r="AE18" i="64" s="1"/>
  <c r="F18" i="64"/>
  <c r="AD18" i="64" s="1"/>
  <c r="E18" i="64"/>
  <c r="AC18" i="64" s="1"/>
  <c r="D18" i="64"/>
  <c r="H17" i="64"/>
  <c r="G17" i="64"/>
  <c r="AE17" i="64" s="1"/>
  <c r="F17" i="64"/>
  <c r="AD17" i="64" s="1"/>
  <c r="E17" i="64"/>
  <c r="AC17" i="64" s="1"/>
  <c r="D17" i="64"/>
  <c r="H16" i="64"/>
  <c r="G16" i="64"/>
  <c r="AE16" i="64" s="1"/>
  <c r="F16" i="64"/>
  <c r="AD16" i="64" s="1"/>
  <c r="E16" i="64"/>
  <c r="AC16" i="64" s="1"/>
  <c r="D16" i="64"/>
  <c r="H15" i="64"/>
  <c r="G15" i="64"/>
  <c r="AE15" i="64" s="1"/>
  <c r="F15" i="64"/>
  <c r="AD15" i="64" s="1"/>
  <c r="E15" i="64"/>
  <c r="AC15" i="64" s="1"/>
  <c r="D15" i="64"/>
  <c r="H14" i="64"/>
  <c r="G14" i="64"/>
  <c r="AE14" i="64" s="1"/>
  <c r="F14" i="64"/>
  <c r="AD14" i="64" s="1"/>
  <c r="E14" i="64"/>
  <c r="AC14" i="64" s="1"/>
  <c r="D14" i="64"/>
  <c r="H13" i="64"/>
  <c r="G13" i="64"/>
  <c r="AE13" i="64" s="1"/>
  <c r="F13" i="64"/>
  <c r="AD13" i="64" s="1"/>
  <c r="E13" i="64"/>
  <c r="AC13" i="64" s="1"/>
  <c r="D13" i="64"/>
  <c r="H12" i="64"/>
  <c r="G12" i="64"/>
  <c r="AE12" i="64" s="1"/>
  <c r="F12" i="64"/>
  <c r="AD12" i="64" s="1"/>
  <c r="E12" i="64"/>
  <c r="AC12" i="64" s="1"/>
  <c r="D12" i="64"/>
  <c r="H11" i="64"/>
  <c r="G11" i="64"/>
  <c r="AE11" i="64" s="1"/>
  <c r="F11" i="64"/>
  <c r="AD11" i="64" s="1"/>
  <c r="E11" i="64"/>
  <c r="AC11" i="64" s="1"/>
  <c r="D11" i="64"/>
  <c r="H10" i="64"/>
  <c r="G10" i="64"/>
  <c r="AE10" i="64" s="1"/>
  <c r="F10" i="64"/>
  <c r="AD10" i="64" s="1"/>
  <c r="E10" i="64"/>
  <c r="AC10" i="64" s="1"/>
  <c r="D10" i="64"/>
  <c r="AI135" i="63"/>
  <c r="AH135" i="63"/>
  <c r="AG135" i="63"/>
  <c r="AF135" i="63"/>
  <c r="AE135" i="63"/>
  <c r="AA135" i="63"/>
  <c r="Z135" i="63"/>
  <c r="AI134" i="63"/>
  <c r="AI133" i="63"/>
  <c r="AI132" i="63"/>
  <c r="AI131" i="63"/>
  <c r="AI130" i="63"/>
  <c r="AI129" i="63"/>
  <c r="AI128" i="63"/>
  <c r="AI127" i="63"/>
  <c r="AI126" i="63"/>
  <c r="AI125" i="63"/>
  <c r="AI124" i="63"/>
  <c r="AI123" i="63"/>
  <c r="AI122" i="63"/>
  <c r="AI121" i="63"/>
  <c r="AI120" i="63"/>
  <c r="AI119" i="63"/>
  <c r="AI118" i="63"/>
  <c r="AI117" i="63"/>
  <c r="AI116" i="63"/>
  <c r="AI115" i="63"/>
  <c r="AI114" i="63"/>
  <c r="AI113" i="63"/>
  <c r="AI112" i="63"/>
  <c r="Y135" i="63"/>
  <c r="AD169" i="63"/>
  <c r="AC169" i="63"/>
  <c r="AB169" i="63"/>
  <c r="AA169" i="63"/>
  <c r="Z169" i="63"/>
  <c r="AD168" i="63"/>
  <c r="AC168" i="63"/>
  <c r="AB168" i="63"/>
  <c r="AA168" i="63"/>
  <c r="Z168" i="63"/>
  <c r="AD167" i="63"/>
  <c r="AB167" i="63"/>
  <c r="AA167" i="63"/>
  <c r="Z167" i="63"/>
  <c r="AD166" i="63"/>
  <c r="AC166" i="63"/>
  <c r="AB166" i="63"/>
  <c r="AA166" i="63"/>
  <c r="Z166" i="63"/>
  <c r="AD165" i="63"/>
  <c r="AC165" i="63"/>
  <c r="AB165" i="63"/>
  <c r="AA165" i="63"/>
  <c r="Z165" i="63"/>
  <c r="AD164" i="63"/>
  <c r="AC164" i="63"/>
  <c r="AB164" i="63"/>
  <c r="AA164" i="63"/>
  <c r="Z164" i="63"/>
  <c r="AD163" i="63"/>
  <c r="AC163" i="63"/>
  <c r="AB163" i="63"/>
  <c r="AA163" i="63"/>
  <c r="Z163" i="63"/>
  <c r="AD162" i="63"/>
  <c r="AC162" i="63"/>
  <c r="AB162" i="63"/>
  <c r="AA162" i="63"/>
  <c r="Z162" i="63"/>
  <c r="AD161" i="63"/>
  <c r="AC161" i="63"/>
  <c r="AB161" i="63"/>
  <c r="AA161" i="63"/>
  <c r="Z161" i="63"/>
  <c r="AD160" i="63"/>
  <c r="AC160" i="63"/>
  <c r="AB160" i="63"/>
  <c r="AA160" i="63"/>
  <c r="Z160" i="63"/>
  <c r="AD159" i="63"/>
  <c r="AC159" i="63"/>
  <c r="AB159" i="63"/>
  <c r="AA159" i="63"/>
  <c r="Z159" i="63"/>
  <c r="AD158" i="63"/>
  <c r="AC158" i="63"/>
  <c r="AB158" i="63"/>
  <c r="AA158" i="63"/>
  <c r="Z158" i="63"/>
  <c r="AD157" i="63"/>
  <c r="AC157" i="63"/>
  <c r="AB157" i="63"/>
  <c r="AA157" i="63"/>
  <c r="Z157" i="63"/>
  <c r="AD156" i="63"/>
  <c r="AC156" i="63"/>
  <c r="AB156" i="63"/>
  <c r="AA156" i="63"/>
  <c r="Z156" i="63"/>
  <c r="AD155" i="63"/>
  <c r="AC155" i="63"/>
  <c r="AB155" i="63"/>
  <c r="AA155" i="63"/>
  <c r="Z155" i="63"/>
  <c r="AD154" i="63"/>
  <c r="AC154" i="63"/>
  <c r="AB154" i="63"/>
  <c r="AA154" i="63"/>
  <c r="Z154" i="63"/>
  <c r="AD153" i="63"/>
  <c r="AC153" i="63"/>
  <c r="AB153" i="63"/>
  <c r="AA153" i="63"/>
  <c r="Z153" i="63"/>
  <c r="AD152" i="63"/>
  <c r="AC152" i="63"/>
  <c r="AB152" i="63"/>
  <c r="AA152" i="63"/>
  <c r="Z152" i="63"/>
  <c r="AD151" i="63"/>
  <c r="AC151" i="63"/>
  <c r="AB151" i="63"/>
  <c r="AA151" i="63"/>
  <c r="Z151" i="63"/>
  <c r="AD150" i="63"/>
  <c r="AC150" i="63"/>
  <c r="AB150" i="63"/>
  <c r="AA150" i="63"/>
  <c r="Z150" i="63"/>
  <c r="AD149" i="63"/>
  <c r="AC149" i="63"/>
  <c r="AB149" i="63"/>
  <c r="AA149" i="63"/>
  <c r="Z149" i="63"/>
  <c r="AD148" i="63"/>
  <c r="AC148" i="63"/>
  <c r="AB148" i="63"/>
  <c r="AA148" i="63"/>
  <c r="Z148" i="63"/>
  <c r="AD147" i="63"/>
  <c r="AC147" i="63"/>
  <c r="AB147" i="63"/>
  <c r="AA147" i="63"/>
  <c r="Z147" i="63"/>
  <c r="AG10" i="63"/>
  <c r="H33" i="63"/>
  <c r="AF33" i="63" s="1"/>
  <c r="G33" i="63"/>
  <c r="AE33" i="63" s="1"/>
  <c r="F33" i="63"/>
  <c r="AD33" i="63" s="1"/>
  <c r="E33" i="63"/>
  <c r="AC33" i="63" s="1"/>
  <c r="D33" i="63"/>
  <c r="H32" i="63"/>
  <c r="H31" i="63"/>
  <c r="G31" i="63"/>
  <c r="AE31" i="63" s="1"/>
  <c r="F31" i="63"/>
  <c r="AD31" i="63" s="1"/>
  <c r="E31" i="63"/>
  <c r="AC31" i="63" s="1"/>
  <c r="D31" i="63"/>
  <c r="H30" i="63"/>
  <c r="G30" i="63"/>
  <c r="AE30" i="63" s="1"/>
  <c r="F30" i="63"/>
  <c r="AD30" i="63" s="1"/>
  <c r="E30" i="63"/>
  <c r="AC30" i="63" s="1"/>
  <c r="D30" i="63"/>
  <c r="H29" i="63"/>
  <c r="G29" i="63"/>
  <c r="AE29" i="63" s="1"/>
  <c r="F29" i="63"/>
  <c r="AD29" i="63" s="1"/>
  <c r="E29" i="63"/>
  <c r="AC29" i="63" s="1"/>
  <c r="D29" i="63"/>
  <c r="H28" i="63"/>
  <c r="G28" i="63"/>
  <c r="AE28" i="63" s="1"/>
  <c r="F28" i="63"/>
  <c r="AD28" i="63" s="1"/>
  <c r="E28" i="63"/>
  <c r="AC28" i="63" s="1"/>
  <c r="D28" i="63"/>
  <c r="H27" i="63"/>
  <c r="G27" i="63"/>
  <c r="AE27" i="63" s="1"/>
  <c r="F27" i="63"/>
  <c r="AD27" i="63" s="1"/>
  <c r="E27" i="63"/>
  <c r="AC27" i="63" s="1"/>
  <c r="D27" i="63"/>
  <c r="H26" i="63"/>
  <c r="G26" i="63"/>
  <c r="AE26" i="63" s="1"/>
  <c r="F26" i="63"/>
  <c r="AD26" i="63" s="1"/>
  <c r="E26" i="63"/>
  <c r="AC26" i="63" s="1"/>
  <c r="D26" i="63"/>
  <c r="H25" i="63"/>
  <c r="G25" i="63"/>
  <c r="AE25" i="63" s="1"/>
  <c r="F25" i="63"/>
  <c r="AD25" i="63" s="1"/>
  <c r="E25" i="63"/>
  <c r="AC25" i="63" s="1"/>
  <c r="D25" i="63"/>
  <c r="H24" i="63"/>
  <c r="G24" i="63"/>
  <c r="AE24" i="63" s="1"/>
  <c r="E24" i="63"/>
  <c r="AC24" i="63" s="1"/>
  <c r="D24" i="63"/>
  <c r="H23" i="63"/>
  <c r="G23" i="63"/>
  <c r="AE23" i="63" s="1"/>
  <c r="F23" i="63"/>
  <c r="AD23" i="63" s="1"/>
  <c r="E23" i="63"/>
  <c r="AC23" i="63" s="1"/>
  <c r="D23" i="63"/>
  <c r="H22" i="63"/>
  <c r="G22" i="63"/>
  <c r="AE22" i="63" s="1"/>
  <c r="F22" i="63"/>
  <c r="AD22" i="63" s="1"/>
  <c r="E22" i="63"/>
  <c r="AC22" i="63" s="1"/>
  <c r="D22" i="63"/>
  <c r="H21" i="63"/>
  <c r="G21" i="63"/>
  <c r="AE21" i="63" s="1"/>
  <c r="F21" i="63"/>
  <c r="AD21" i="63" s="1"/>
  <c r="E21" i="63"/>
  <c r="AC21" i="63" s="1"/>
  <c r="D21" i="63"/>
  <c r="H20" i="63"/>
  <c r="G20" i="63"/>
  <c r="AE20" i="63" s="1"/>
  <c r="F20" i="63"/>
  <c r="AD20" i="63" s="1"/>
  <c r="E20" i="63"/>
  <c r="AC20" i="63" s="1"/>
  <c r="D20" i="63"/>
  <c r="H19" i="63"/>
  <c r="G19" i="63"/>
  <c r="AE19" i="63" s="1"/>
  <c r="F19" i="63"/>
  <c r="AD19" i="63" s="1"/>
  <c r="E19" i="63"/>
  <c r="AC19" i="63" s="1"/>
  <c r="D19" i="63"/>
  <c r="H18" i="63"/>
  <c r="G18" i="63"/>
  <c r="AE18" i="63" s="1"/>
  <c r="F18" i="63"/>
  <c r="AD18" i="63" s="1"/>
  <c r="E18" i="63"/>
  <c r="AC18" i="63" s="1"/>
  <c r="D18" i="63"/>
  <c r="H17" i="63"/>
  <c r="G17" i="63"/>
  <c r="AE17" i="63" s="1"/>
  <c r="F17" i="63"/>
  <c r="AD17" i="63" s="1"/>
  <c r="E17" i="63"/>
  <c r="AC17" i="63" s="1"/>
  <c r="D17" i="63"/>
  <c r="H16" i="63"/>
  <c r="G16" i="63"/>
  <c r="AE16" i="63" s="1"/>
  <c r="F16" i="63"/>
  <c r="AD16" i="63" s="1"/>
  <c r="E16" i="63"/>
  <c r="AC16" i="63" s="1"/>
  <c r="D16" i="63"/>
  <c r="H15" i="63"/>
  <c r="G15" i="63"/>
  <c r="AE15" i="63" s="1"/>
  <c r="F15" i="63"/>
  <c r="AD15" i="63" s="1"/>
  <c r="E15" i="63"/>
  <c r="AC15" i="63" s="1"/>
  <c r="D15" i="63"/>
  <c r="H14" i="63"/>
  <c r="G14" i="63"/>
  <c r="AE14" i="63" s="1"/>
  <c r="F14" i="63"/>
  <c r="AD14" i="63" s="1"/>
  <c r="E14" i="63"/>
  <c r="AC14" i="63" s="1"/>
  <c r="D14" i="63"/>
  <c r="H13" i="63"/>
  <c r="G13" i="63"/>
  <c r="AE13" i="63" s="1"/>
  <c r="F13" i="63"/>
  <c r="AD13" i="63" s="1"/>
  <c r="E13" i="63"/>
  <c r="AC13" i="63" s="1"/>
  <c r="D13" i="63"/>
  <c r="H12" i="63"/>
  <c r="G12" i="63"/>
  <c r="AE12" i="63" s="1"/>
  <c r="F12" i="63"/>
  <c r="AD12" i="63" s="1"/>
  <c r="E12" i="63"/>
  <c r="AC12" i="63" s="1"/>
  <c r="D12" i="63"/>
  <c r="H11" i="63"/>
  <c r="G11" i="63"/>
  <c r="AE11" i="63" s="1"/>
  <c r="F11" i="63"/>
  <c r="AD11" i="63" s="1"/>
  <c r="E11" i="63"/>
  <c r="AC11" i="63" s="1"/>
  <c r="D11" i="63"/>
  <c r="H10" i="63"/>
  <c r="G10" i="63"/>
  <c r="AE10" i="63" s="1"/>
  <c r="F10" i="63"/>
  <c r="AD10" i="63" s="1"/>
  <c r="E10" i="63"/>
  <c r="AC10" i="63" s="1"/>
  <c r="D10" i="63"/>
  <c r="AG10" i="62"/>
  <c r="H33" i="62"/>
  <c r="G33" i="62"/>
  <c r="F33" i="62"/>
  <c r="E33" i="62"/>
  <c r="D33" i="62"/>
  <c r="AB33" i="62" s="1"/>
  <c r="H31" i="62"/>
  <c r="G31" i="62"/>
  <c r="AE31" i="62" s="1"/>
  <c r="F31" i="62"/>
  <c r="AD31" i="62" s="1"/>
  <c r="E31" i="62"/>
  <c r="AC31" i="62" s="1"/>
  <c r="D31" i="62"/>
  <c r="AB31" i="62" s="1"/>
  <c r="H30" i="62"/>
  <c r="G30" i="62"/>
  <c r="AE30" i="62" s="1"/>
  <c r="F30" i="62"/>
  <c r="AD30" i="62" s="1"/>
  <c r="E30" i="62"/>
  <c r="AC30" i="62" s="1"/>
  <c r="D30" i="62"/>
  <c r="AB30" i="62" s="1"/>
  <c r="H29" i="62"/>
  <c r="G29" i="62"/>
  <c r="AE29" i="62" s="1"/>
  <c r="F29" i="62"/>
  <c r="AD29" i="62" s="1"/>
  <c r="E29" i="62"/>
  <c r="AC29" i="62" s="1"/>
  <c r="D29" i="62"/>
  <c r="AB29" i="62" s="1"/>
  <c r="H28" i="62"/>
  <c r="G28" i="62"/>
  <c r="AE28" i="62" s="1"/>
  <c r="F28" i="62"/>
  <c r="AD28" i="62" s="1"/>
  <c r="E28" i="62"/>
  <c r="AC28" i="62" s="1"/>
  <c r="D28" i="62"/>
  <c r="AB28" i="62" s="1"/>
  <c r="H27" i="62"/>
  <c r="G27" i="62"/>
  <c r="AE27" i="62" s="1"/>
  <c r="F27" i="62"/>
  <c r="AD27" i="62" s="1"/>
  <c r="E27" i="62"/>
  <c r="AC27" i="62" s="1"/>
  <c r="D27" i="62"/>
  <c r="AB27" i="62" s="1"/>
  <c r="H26" i="62"/>
  <c r="G26" i="62"/>
  <c r="AE26" i="62" s="1"/>
  <c r="F26" i="62"/>
  <c r="AD26" i="62" s="1"/>
  <c r="E26" i="62"/>
  <c r="AC26" i="62" s="1"/>
  <c r="D26" i="62"/>
  <c r="AB26" i="62" s="1"/>
  <c r="H25" i="62"/>
  <c r="G25" i="62"/>
  <c r="AE25" i="62" s="1"/>
  <c r="F25" i="62"/>
  <c r="AD25" i="62" s="1"/>
  <c r="E25" i="62"/>
  <c r="AC25" i="62" s="1"/>
  <c r="D25" i="62"/>
  <c r="AB25" i="62" s="1"/>
  <c r="H24" i="62"/>
  <c r="G24" i="62"/>
  <c r="AE24" i="62" s="1"/>
  <c r="E24" i="62"/>
  <c r="AC24" i="62" s="1"/>
  <c r="D24" i="62"/>
  <c r="AB24" i="62" s="1"/>
  <c r="H23" i="62"/>
  <c r="G23" i="62"/>
  <c r="AE23" i="62" s="1"/>
  <c r="F23" i="62"/>
  <c r="AD23" i="62" s="1"/>
  <c r="E23" i="62"/>
  <c r="AC23" i="62" s="1"/>
  <c r="D23" i="62"/>
  <c r="AB23" i="62" s="1"/>
  <c r="H22" i="62"/>
  <c r="G22" i="62"/>
  <c r="AE22" i="62" s="1"/>
  <c r="F22" i="62"/>
  <c r="AD22" i="62" s="1"/>
  <c r="E22" i="62"/>
  <c r="AC22" i="62" s="1"/>
  <c r="D22" i="62"/>
  <c r="AB22" i="62" s="1"/>
  <c r="H21" i="62"/>
  <c r="G21" i="62"/>
  <c r="AE21" i="62" s="1"/>
  <c r="F21" i="62"/>
  <c r="AD21" i="62" s="1"/>
  <c r="E21" i="62"/>
  <c r="AC21" i="62" s="1"/>
  <c r="D21" i="62"/>
  <c r="AB21" i="62" s="1"/>
  <c r="H20" i="62"/>
  <c r="G20" i="62"/>
  <c r="AE20" i="62" s="1"/>
  <c r="F20" i="62"/>
  <c r="AD20" i="62" s="1"/>
  <c r="E20" i="62"/>
  <c r="AC20" i="62" s="1"/>
  <c r="D20" i="62"/>
  <c r="AB20" i="62" s="1"/>
  <c r="H19" i="62"/>
  <c r="G19" i="62"/>
  <c r="AE19" i="62" s="1"/>
  <c r="F19" i="62"/>
  <c r="AD19" i="62" s="1"/>
  <c r="E19" i="62"/>
  <c r="AC19" i="62" s="1"/>
  <c r="D19" i="62"/>
  <c r="AB19" i="62" s="1"/>
  <c r="H18" i="62"/>
  <c r="G18" i="62"/>
  <c r="AE18" i="62" s="1"/>
  <c r="F18" i="62"/>
  <c r="AD18" i="62" s="1"/>
  <c r="E18" i="62"/>
  <c r="AC18" i="62" s="1"/>
  <c r="D18" i="62"/>
  <c r="AB18" i="62" s="1"/>
  <c r="H17" i="62"/>
  <c r="G17" i="62"/>
  <c r="AE17" i="62" s="1"/>
  <c r="F17" i="62"/>
  <c r="AD17" i="62" s="1"/>
  <c r="E17" i="62"/>
  <c r="AC17" i="62" s="1"/>
  <c r="D17" i="62"/>
  <c r="AB17" i="62" s="1"/>
  <c r="H16" i="62"/>
  <c r="G16" i="62"/>
  <c r="AE16" i="62" s="1"/>
  <c r="F16" i="62"/>
  <c r="AD16" i="62" s="1"/>
  <c r="E16" i="62"/>
  <c r="AC16" i="62" s="1"/>
  <c r="D16" i="62"/>
  <c r="AB16" i="62" s="1"/>
  <c r="H15" i="62"/>
  <c r="G15" i="62"/>
  <c r="AE15" i="62" s="1"/>
  <c r="F15" i="62"/>
  <c r="AD15" i="62" s="1"/>
  <c r="E15" i="62"/>
  <c r="AC15" i="62" s="1"/>
  <c r="D15" i="62"/>
  <c r="AB15" i="62" s="1"/>
  <c r="H14" i="62"/>
  <c r="G14" i="62"/>
  <c r="AE14" i="62" s="1"/>
  <c r="F14" i="62"/>
  <c r="AD14" i="62" s="1"/>
  <c r="E14" i="62"/>
  <c r="AC14" i="62" s="1"/>
  <c r="D14" i="62"/>
  <c r="AB14" i="62" s="1"/>
  <c r="H13" i="62"/>
  <c r="G13" i="62"/>
  <c r="AE13" i="62" s="1"/>
  <c r="F13" i="62"/>
  <c r="AD13" i="62" s="1"/>
  <c r="E13" i="62"/>
  <c r="AC13" i="62" s="1"/>
  <c r="D13" i="62"/>
  <c r="AB13" i="62" s="1"/>
  <c r="H12" i="62"/>
  <c r="G12" i="62"/>
  <c r="AE12" i="62" s="1"/>
  <c r="F12" i="62"/>
  <c r="AD12" i="62" s="1"/>
  <c r="E12" i="62"/>
  <c r="AC12" i="62" s="1"/>
  <c r="D12" i="62"/>
  <c r="AB12" i="62" s="1"/>
  <c r="H11" i="62"/>
  <c r="G11" i="62"/>
  <c r="AE11" i="62" s="1"/>
  <c r="F11" i="62"/>
  <c r="AD11" i="62" s="1"/>
  <c r="E11" i="62"/>
  <c r="AC11" i="62" s="1"/>
  <c r="D11" i="62"/>
  <c r="AB11" i="62" s="1"/>
  <c r="H10" i="62"/>
  <c r="G10" i="62"/>
  <c r="AE10" i="62" s="1"/>
  <c r="F10" i="62"/>
  <c r="AD10" i="62" s="1"/>
  <c r="E10" i="62"/>
  <c r="AC10" i="62" s="1"/>
  <c r="D10" i="62"/>
  <c r="AB10" i="62" s="1"/>
  <c r="AB12" i="67" l="1"/>
  <c r="Z150" i="67"/>
  <c r="D150" i="67" s="1"/>
  <c r="AB20" i="67"/>
  <c r="Z158" i="67"/>
  <c r="D158" i="67" s="1"/>
  <c r="AB29" i="67"/>
  <c r="Z167" i="67"/>
  <c r="D167" i="67" s="1"/>
  <c r="AB19" i="67"/>
  <c r="Z157" i="67"/>
  <c r="D157" i="67" s="1"/>
  <c r="AB28" i="67"/>
  <c r="Z166" i="67"/>
  <c r="D166" i="67" s="1"/>
  <c r="AB21" i="67"/>
  <c r="Z159" i="67"/>
  <c r="D159" i="67" s="1"/>
  <c r="AB26" i="67"/>
  <c r="Z164" i="67"/>
  <c r="D164" i="67" s="1"/>
  <c r="AB18" i="67"/>
  <c r="Z156" i="67"/>
  <c r="D156" i="67" s="1"/>
  <c r="AB14" i="67"/>
  <c r="Z152" i="67"/>
  <c r="D152" i="67" s="1"/>
  <c r="AC21" i="67"/>
  <c r="AA159" i="67"/>
  <c r="E159" i="67" s="1"/>
  <c r="AB17" i="67"/>
  <c r="Z155" i="67"/>
  <c r="D155" i="67" s="1"/>
  <c r="AB25" i="67"/>
  <c r="Z163" i="67"/>
  <c r="D163" i="67" s="1"/>
  <c r="G123" i="66"/>
  <c r="AF21" i="62"/>
  <c r="Z21" i="62"/>
  <c r="AF21" i="63"/>
  <c r="Z21" i="63"/>
  <c r="AF25" i="63"/>
  <c r="Z25" i="63"/>
  <c r="AF10" i="64"/>
  <c r="Z10" i="64"/>
  <c r="AF14" i="64"/>
  <c r="Z14" i="64"/>
  <c r="AF18" i="64"/>
  <c r="AA18" i="64"/>
  <c r="Z18" i="64"/>
  <c r="AF26" i="64"/>
  <c r="AA26" i="64"/>
  <c r="Z26" i="64"/>
  <c r="AF13" i="65"/>
  <c r="Z13" i="65"/>
  <c r="AF21" i="65"/>
  <c r="Z21" i="65"/>
  <c r="AD158" i="67"/>
  <c r="H158" i="67" s="1"/>
  <c r="Z20" i="67"/>
  <c r="AF11" i="62"/>
  <c r="AA11" i="62"/>
  <c r="Z11" i="62"/>
  <c r="AF15" i="62"/>
  <c r="Z15" i="62"/>
  <c r="AF19" i="62"/>
  <c r="AA19" i="62"/>
  <c r="Z19" i="62"/>
  <c r="AF23" i="62"/>
  <c r="Z23" i="62"/>
  <c r="AF11" i="63"/>
  <c r="Z11" i="63"/>
  <c r="AF19" i="63"/>
  <c r="AA19" i="63"/>
  <c r="Z19" i="63"/>
  <c r="AF23" i="63"/>
  <c r="Z23" i="63"/>
  <c r="AF12" i="62"/>
  <c r="Z12" i="62"/>
  <c r="AF16" i="62"/>
  <c r="Z16" i="62"/>
  <c r="AF20" i="62"/>
  <c r="Z20" i="62"/>
  <c r="AF24" i="62"/>
  <c r="AA24" i="62"/>
  <c r="Z24" i="62"/>
  <c r="AF28" i="62"/>
  <c r="Z28" i="62"/>
  <c r="AF12" i="63"/>
  <c r="Z12" i="63"/>
  <c r="AF16" i="63"/>
  <c r="Z16" i="63"/>
  <c r="AF20" i="63"/>
  <c r="Z20" i="63"/>
  <c r="AF24" i="63"/>
  <c r="Z24" i="63"/>
  <c r="AA24" i="63"/>
  <c r="AF28" i="63"/>
  <c r="Z28" i="63"/>
  <c r="AF13" i="64"/>
  <c r="Z13" i="64"/>
  <c r="AF17" i="64"/>
  <c r="Z17" i="64"/>
  <c r="AF21" i="64"/>
  <c r="Z21" i="64"/>
  <c r="AF25" i="64"/>
  <c r="Z25" i="64"/>
  <c r="AF29" i="64"/>
  <c r="Z29" i="64"/>
  <c r="AF12" i="65"/>
  <c r="Z12" i="65"/>
  <c r="AF16" i="65"/>
  <c r="Z16" i="65"/>
  <c r="AF20" i="65"/>
  <c r="Z20" i="65"/>
  <c r="AF24" i="65"/>
  <c r="Z24" i="65"/>
  <c r="AA24" i="65"/>
  <c r="AF28" i="65"/>
  <c r="Z28" i="65"/>
  <c r="Z11" i="66"/>
  <c r="Z15" i="66"/>
  <c r="AA19" i="66"/>
  <c r="Z19" i="66"/>
  <c r="Z23" i="66"/>
  <c r="AA27" i="66"/>
  <c r="Z27" i="66"/>
  <c r="AA31" i="66"/>
  <c r="Z31" i="66"/>
  <c r="Z11" i="67"/>
  <c r="Z15" i="67"/>
  <c r="AA19" i="67"/>
  <c r="Z19" i="67"/>
  <c r="Z23" i="67"/>
  <c r="AA27" i="67"/>
  <c r="Z27" i="67"/>
  <c r="AA31" i="67"/>
  <c r="Z31" i="67"/>
  <c r="AF25" i="62"/>
  <c r="Z25" i="62"/>
  <c r="AF13" i="63"/>
  <c r="Z13" i="63"/>
  <c r="AF22" i="64"/>
  <c r="AA22" i="64"/>
  <c r="Z22" i="64"/>
  <c r="Z12" i="66"/>
  <c r="Z20" i="66"/>
  <c r="Z28" i="66"/>
  <c r="Z12" i="67"/>
  <c r="AF10" i="62"/>
  <c r="Z10" i="62"/>
  <c r="AF14" i="62"/>
  <c r="Z14" i="62"/>
  <c r="AF18" i="62"/>
  <c r="AA18" i="62"/>
  <c r="Z18" i="62"/>
  <c r="AF22" i="62"/>
  <c r="AA22" i="62"/>
  <c r="Z22" i="62"/>
  <c r="AF26" i="62"/>
  <c r="AA26" i="62"/>
  <c r="Z26" i="62"/>
  <c r="AF30" i="62"/>
  <c r="Z30" i="62"/>
  <c r="AF10" i="63"/>
  <c r="Z10" i="63"/>
  <c r="AF14" i="63"/>
  <c r="Z14" i="63"/>
  <c r="AF18" i="63"/>
  <c r="Z18" i="63"/>
  <c r="AA18" i="63"/>
  <c r="AF22" i="63"/>
  <c r="Z22" i="63"/>
  <c r="AA22" i="63"/>
  <c r="AF26" i="63"/>
  <c r="Z26" i="63"/>
  <c r="AA26" i="63"/>
  <c r="Z30" i="63"/>
  <c r="AF11" i="64"/>
  <c r="Z11" i="64"/>
  <c r="AF15" i="64"/>
  <c r="Z15" i="64"/>
  <c r="AF19" i="64"/>
  <c r="Z19" i="64"/>
  <c r="AA19" i="64"/>
  <c r="AF23" i="64"/>
  <c r="Z23" i="64"/>
  <c r="AF27" i="64"/>
  <c r="Z27" i="64"/>
  <c r="AA27" i="64"/>
  <c r="AF31" i="64"/>
  <c r="Z31" i="64"/>
  <c r="AA31" i="64"/>
  <c r="AF10" i="65"/>
  <c r="Z10" i="65"/>
  <c r="AF14" i="65"/>
  <c r="Z14" i="65"/>
  <c r="AF18" i="65"/>
  <c r="Z18" i="65"/>
  <c r="AA18" i="65"/>
  <c r="AF22" i="65"/>
  <c r="Z22" i="65"/>
  <c r="AA22" i="65"/>
  <c r="AF26" i="65"/>
  <c r="Z26" i="65"/>
  <c r="AA26" i="65"/>
  <c r="AF30" i="65"/>
  <c r="Z30" i="65"/>
  <c r="Z13" i="66"/>
  <c r="Z17" i="66"/>
  <c r="Z21" i="66"/>
  <c r="Z25" i="66"/>
  <c r="Z29" i="66"/>
  <c r="Z13" i="67"/>
  <c r="AD155" i="67"/>
  <c r="H155" i="67" s="1"/>
  <c r="Z17" i="67"/>
  <c r="Z21" i="67"/>
  <c r="AD163" i="67"/>
  <c r="H163" i="67" s="1"/>
  <c r="Z25" i="67"/>
  <c r="AD167" i="67"/>
  <c r="H167" i="67" s="1"/>
  <c r="Z29" i="67"/>
  <c r="AF13" i="62"/>
  <c r="Z13" i="62"/>
  <c r="AF17" i="62"/>
  <c r="Z17" i="62"/>
  <c r="AF29" i="62"/>
  <c r="Z29" i="62"/>
  <c r="AF17" i="63"/>
  <c r="Z17" i="63"/>
  <c r="AF29" i="63"/>
  <c r="Z29" i="63"/>
  <c r="AF30" i="64"/>
  <c r="Z30" i="64"/>
  <c r="AF17" i="65"/>
  <c r="Z17" i="65"/>
  <c r="AF25" i="65"/>
  <c r="Z25" i="65"/>
  <c r="AF29" i="65"/>
  <c r="Z29" i="65"/>
  <c r="Z16" i="66"/>
  <c r="AA24" i="66"/>
  <c r="Z24" i="66"/>
  <c r="Z16" i="67"/>
  <c r="AA24" i="67"/>
  <c r="Z24" i="67"/>
  <c r="Z28" i="67"/>
  <c r="AF27" i="62"/>
  <c r="AA27" i="62"/>
  <c r="Z27" i="62"/>
  <c r="AF31" i="62"/>
  <c r="AA31" i="62"/>
  <c r="Z31" i="62"/>
  <c r="AF15" i="63"/>
  <c r="Z15" i="63"/>
  <c r="AF27" i="63"/>
  <c r="AA27" i="63"/>
  <c r="Z27" i="63"/>
  <c r="AF31" i="63"/>
  <c r="AA31" i="63"/>
  <c r="Z31" i="63"/>
  <c r="AF12" i="64"/>
  <c r="Z12" i="64"/>
  <c r="AF16" i="64"/>
  <c r="Z16" i="64"/>
  <c r="AF20" i="64"/>
  <c r="Z20" i="64"/>
  <c r="AF24" i="64"/>
  <c r="AA24" i="64"/>
  <c r="Z24" i="64"/>
  <c r="AF28" i="64"/>
  <c r="Z28" i="64"/>
  <c r="AF11" i="65"/>
  <c r="Z11" i="65"/>
  <c r="AF15" i="65"/>
  <c r="Z15" i="65"/>
  <c r="AF19" i="65"/>
  <c r="Z19" i="65"/>
  <c r="AA19" i="65"/>
  <c r="AF23" i="65"/>
  <c r="Z23" i="65"/>
  <c r="AF27" i="65"/>
  <c r="Z27" i="65"/>
  <c r="AA27" i="65"/>
  <c r="AF31" i="65"/>
  <c r="Z31" i="65"/>
  <c r="AA31" i="65"/>
  <c r="Z10" i="66"/>
  <c r="Z14" i="66"/>
  <c r="AA18" i="66"/>
  <c r="Z18" i="66"/>
  <c r="AA22" i="66"/>
  <c r="Z22" i="66"/>
  <c r="AA26" i="66"/>
  <c r="Z26" i="66"/>
  <c r="Z30" i="66"/>
  <c r="AF10" i="67"/>
  <c r="Z10" i="67"/>
  <c r="AF14" i="67"/>
  <c r="Z14" i="67"/>
  <c r="AA18" i="67"/>
  <c r="Z18" i="67"/>
  <c r="AA22" i="67"/>
  <c r="Z22" i="67"/>
  <c r="AF26" i="67"/>
  <c r="AA26" i="67"/>
  <c r="Z26" i="67"/>
  <c r="AF30" i="67"/>
  <c r="Z30" i="67"/>
  <c r="Q32" i="69"/>
  <c r="Q23" i="69"/>
  <c r="Q26" i="69"/>
  <c r="Q33" i="69"/>
  <c r="Q27" i="69"/>
  <c r="AH10" i="69"/>
  <c r="Q139" i="68"/>
  <c r="Q129" i="68"/>
  <c r="Q133" i="68"/>
  <c r="Q132" i="68"/>
  <c r="Q138" i="68"/>
  <c r="Q26" i="68"/>
  <c r="Q23" i="68"/>
  <c r="Q33" i="68"/>
  <c r="Q32" i="68"/>
  <c r="Q27" i="68"/>
  <c r="AI25" i="68"/>
  <c r="Q27" i="66"/>
  <c r="Q33" i="66"/>
  <c r="Q23" i="66"/>
  <c r="Q32" i="66"/>
  <c r="Q26" i="66"/>
  <c r="Q33" i="62"/>
  <c r="Q23" i="62"/>
  <c r="Q27" i="62"/>
  <c r="Q32" i="62"/>
  <c r="Q26" i="62"/>
  <c r="AC11" i="66"/>
  <c r="E149" i="66"/>
  <c r="E113" i="66"/>
  <c r="AF12" i="66"/>
  <c r="H114" i="66"/>
  <c r="H150" i="66"/>
  <c r="AD14" i="66"/>
  <c r="F116" i="66"/>
  <c r="F152" i="66"/>
  <c r="AC15" i="66"/>
  <c r="E117" i="66"/>
  <c r="E153" i="66"/>
  <c r="AF16" i="66"/>
  <c r="H118" i="66"/>
  <c r="H154" i="66"/>
  <c r="AD18" i="66"/>
  <c r="F120" i="66"/>
  <c r="F156" i="66"/>
  <c r="D122" i="66"/>
  <c r="D158" i="66"/>
  <c r="AC23" i="66"/>
  <c r="E125" i="66"/>
  <c r="E161" i="66"/>
  <c r="AF24" i="66"/>
  <c r="H126" i="66"/>
  <c r="H162" i="66"/>
  <c r="AD26" i="66"/>
  <c r="F164" i="66"/>
  <c r="F128" i="66"/>
  <c r="D130" i="66"/>
  <c r="D166" i="66"/>
  <c r="AE29" i="66"/>
  <c r="G167" i="66"/>
  <c r="AC31" i="66"/>
  <c r="E133" i="66"/>
  <c r="E169" i="66"/>
  <c r="AE33" i="66"/>
  <c r="G171" i="66"/>
  <c r="D148" i="66"/>
  <c r="D112" i="66"/>
  <c r="AF10" i="66"/>
  <c r="H148" i="66"/>
  <c r="H112" i="66"/>
  <c r="AE11" i="66"/>
  <c r="G149" i="66"/>
  <c r="AD12" i="66"/>
  <c r="F114" i="66"/>
  <c r="F150" i="66"/>
  <c r="AC13" i="66"/>
  <c r="E151" i="66"/>
  <c r="E115" i="66"/>
  <c r="D116" i="66"/>
  <c r="D152" i="66"/>
  <c r="AF14" i="66"/>
  <c r="H152" i="66"/>
  <c r="H116" i="66"/>
  <c r="AE15" i="66"/>
  <c r="G153" i="66"/>
  <c r="AD16" i="66"/>
  <c r="F154" i="66"/>
  <c r="F118" i="66"/>
  <c r="AC17" i="66"/>
  <c r="E155" i="66"/>
  <c r="E119" i="66"/>
  <c r="D120" i="66"/>
  <c r="D156" i="66"/>
  <c r="AF18" i="66"/>
  <c r="H156" i="66"/>
  <c r="H120" i="66"/>
  <c r="AE19" i="66"/>
  <c r="G157" i="66"/>
  <c r="AD20" i="66"/>
  <c r="F158" i="66"/>
  <c r="F122" i="66"/>
  <c r="AC21" i="66"/>
  <c r="E159" i="66"/>
  <c r="E123" i="66"/>
  <c r="D124" i="66"/>
  <c r="D160" i="66"/>
  <c r="AF22" i="66"/>
  <c r="H124" i="66"/>
  <c r="H160" i="66"/>
  <c r="AE23" i="66"/>
  <c r="G161" i="66"/>
  <c r="AC25" i="66"/>
  <c r="E163" i="66"/>
  <c r="E127" i="66"/>
  <c r="D128" i="66"/>
  <c r="D164" i="66"/>
  <c r="AF26" i="66"/>
  <c r="H128" i="66"/>
  <c r="H164" i="66"/>
  <c r="AE27" i="66"/>
  <c r="G165" i="66"/>
  <c r="AD28" i="66"/>
  <c r="F166" i="66"/>
  <c r="F130" i="66"/>
  <c r="AC29" i="66"/>
  <c r="E167" i="66"/>
  <c r="E131" i="66"/>
  <c r="D132" i="66"/>
  <c r="D168" i="66"/>
  <c r="AF30" i="66"/>
  <c r="H132" i="66"/>
  <c r="H168" i="66"/>
  <c r="AE31" i="66"/>
  <c r="G169" i="66"/>
  <c r="AC33" i="66"/>
  <c r="E135" i="66"/>
  <c r="E171" i="66"/>
  <c r="E155" i="67"/>
  <c r="AF18" i="67"/>
  <c r="AD156" i="67"/>
  <c r="H156" i="67" s="1"/>
  <c r="AB22" i="67"/>
  <c r="Z160" i="67"/>
  <c r="AF22" i="67"/>
  <c r="AD160" i="67"/>
  <c r="H160" i="67" s="1"/>
  <c r="AD10" i="66"/>
  <c r="F112" i="66"/>
  <c r="F148" i="66"/>
  <c r="D150" i="66"/>
  <c r="D114" i="66"/>
  <c r="D118" i="66"/>
  <c r="D154" i="66"/>
  <c r="AE17" i="66"/>
  <c r="G155" i="66"/>
  <c r="AC19" i="66"/>
  <c r="E121" i="66"/>
  <c r="E157" i="66"/>
  <c r="AF20" i="66"/>
  <c r="H122" i="66"/>
  <c r="H158" i="66"/>
  <c r="AD22" i="66"/>
  <c r="F124" i="66"/>
  <c r="F160" i="66"/>
  <c r="D126" i="66"/>
  <c r="D162" i="66"/>
  <c r="AE25" i="66"/>
  <c r="G163" i="66"/>
  <c r="AC27" i="66"/>
  <c r="E129" i="66"/>
  <c r="E165" i="66"/>
  <c r="AF28" i="66"/>
  <c r="H130" i="66"/>
  <c r="H166" i="66"/>
  <c r="AD30" i="66"/>
  <c r="F168" i="66"/>
  <c r="F132" i="66"/>
  <c r="H170" i="66"/>
  <c r="H134" i="66"/>
  <c r="AC10" i="66"/>
  <c r="E112" i="66"/>
  <c r="E148" i="66"/>
  <c r="D149" i="66"/>
  <c r="D113" i="66"/>
  <c r="AF11" i="66"/>
  <c r="H113" i="66"/>
  <c r="H149" i="66"/>
  <c r="AE12" i="66"/>
  <c r="G150" i="66"/>
  <c r="AC14" i="66"/>
  <c r="E116" i="66"/>
  <c r="E152" i="66"/>
  <c r="D117" i="66"/>
  <c r="D153" i="66"/>
  <c r="AF15" i="66"/>
  <c r="H117" i="66"/>
  <c r="H153" i="66"/>
  <c r="AE16" i="66"/>
  <c r="G154" i="66"/>
  <c r="AD17" i="66"/>
  <c r="F155" i="66"/>
  <c r="F119" i="66"/>
  <c r="AC18" i="66"/>
  <c r="E120" i="66"/>
  <c r="E156" i="66"/>
  <c r="D121" i="66"/>
  <c r="D157" i="66"/>
  <c r="AF19" i="66"/>
  <c r="H121" i="66"/>
  <c r="H157" i="66"/>
  <c r="AE20" i="66"/>
  <c r="G158" i="66"/>
  <c r="AD21" i="66"/>
  <c r="F159" i="66"/>
  <c r="F123" i="66"/>
  <c r="AC22" i="66"/>
  <c r="E160" i="66"/>
  <c r="E124" i="66"/>
  <c r="D125" i="66"/>
  <c r="D161" i="66"/>
  <c r="AF23" i="66"/>
  <c r="H161" i="66"/>
  <c r="H125" i="66"/>
  <c r="AE24" i="66"/>
  <c r="G162" i="66"/>
  <c r="AD25" i="66"/>
  <c r="F163" i="66"/>
  <c r="F127" i="66"/>
  <c r="AC26" i="66"/>
  <c r="E164" i="66"/>
  <c r="E128" i="66"/>
  <c r="D129" i="66"/>
  <c r="D165" i="66"/>
  <c r="AF27" i="66"/>
  <c r="H165" i="66"/>
  <c r="H129" i="66"/>
  <c r="AE28" i="66"/>
  <c r="G166" i="66"/>
  <c r="AD29" i="66"/>
  <c r="F167" i="66"/>
  <c r="F131" i="66"/>
  <c r="AC30" i="66"/>
  <c r="E168" i="66"/>
  <c r="E132" i="66"/>
  <c r="D133" i="66"/>
  <c r="D169" i="66"/>
  <c r="AF31" i="66"/>
  <c r="H169" i="66"/>
  <c r="H133" i="66"/>
  <c r="AD33" i="66"/>
  <c r="F135" i="66"/>
  <c r="F171" i="66"/>
  <c r="AE10" i="66"/>
  <c r="G148" i="66"/>
  <c r="AD11" i="66"/>
  <c r="F113" i="66"/>
  <c r="F149" i="66"/>
  <c r="AC12" i="66"/>
  <c r="E114" i="66"/>
  <c r="E150" i="66"/>
  <c r="D115" i="66"/>
  <c r="D151" i="66"/>
  <c r="AF13" i="66"/>
  <c r="H115" i="66"/>
  <c r="H151" i="66"/>
  <c r="AE14" i="66"/>
  <c r="G152" i="66"/>
  <c r="AD15" i="66"/>
  <c r="F153" i="66"/>
  <c r="F117" i="66"/>
  <c r="AC16" i="66"/>
  <c r="E118" i="66"/>
  <c r="E154" i="66"/>
  <c r="D119" i="66"/>
  <c r="D155" i="66"/>
  <c r="AF17" i="66"/>
  <c r="H119" i="66"/>
  <c r="H155" i="66"/>
  <c r="AE18" i="66"/>
  <c r="G156" i="66"/>
  <c r="AD19" i="66"/>
  <c r="F157" i="66"/>
  <c r="F121" i="66"/>
  <c r="AC20" i="66"/>
  <c r="E122" i="66"/>
  <c r="E158" i="66"/>
  <c r="D123" i="66"/>
  <c r="D159" i="66"/>
  <c r="AF21" i="66"/>
  <c r="H123" i="66"/>
  <c r="H159" i="66"/>
  <c r="AE22" i="66"/>
  <c r="G160" i="66"/>
  <c r="AD23" i="66"/>
  <c r="F125" i="66"/>
  <c r="F161" i="66"/>
  <c r="AC24" i="66"/>
  <c r="E126" i="66"/>
  <c r="E162" i="66"/>
  <c r="D127" i="66"/>
  <c r="D163" i="66"/>
  <c r="AF25" i="66"/>
  <c r="H127" i="66"/>
  <c r="H163" i="66"/>
  <c r="AE26" i="66"/>
  <c r="G164" i="66"/>
  <c r="AD27" i="66"/>
  <c r="F129" i="66"/>
  <c r="F165" i="66"/>
  <c r="AC28" i="66"/>
  <c r="E166" i="66"/>
  <c r="E130" i="66"/>
  <c r="D131" i="66"/>
  <c r="D167" i="66"/>
  <c r="AF29" i="66"/>
  <c r="H131" i="66"/>
  <c r="H167" i="66"/>
  <c r="AE30" i="66"/>
  <c r="G168" i="66"/>
  <c r="AD31" i="66"/>
  <c r="F133" i="66"/>
  <c r="F169" i="66"/>
  <c r="D171" i="66"/>
  <c r="D135" i="66"/>
  <c r="AF33" i="66"/>
  <c r="H171" i="66"/>
  <c r="H135" i="66"/>
  <c r="AE13" i="66"/>
  <c r="G151" i="66"/>
  <c r="AC170" i="67"/>
  <c r="G170" i="67" s="1"/>
  <c r="G151" i="67"/>
  <c r="AD13" i="66"/>
  <c r="F151" i="66"/>
  <c r="F115" i="66"/>
  <c r="F151" i="67"/>
  <c r="AE12" i="65"/>
  <c r="G114" i="66"/>
  <c r="AE16" i="65"/>
  <c r="G118" i="66"/>
  <c r="AE20" i="65"/>
  <c r="G122" i="66"/>
  <c r="AE24" i="65"/>
  <c r="G126" i="66"/>
  <c r="AE28" i="65"/>
  <c r="G130" i="66"/>
  <c r="AE13" i="65"/>
  <c r="G115" i="66"/>
  <c r="AE17" i="65"/>
  <c r="G119" i="66"/>
  <c r="AE25" i="65"/>
  <c r="G127" i="66"/>
  <c r="AE29" i="65"/>
  <c r="G131" i="66"/>
  <c r="AE33" i="65"/>
  <c r="G135" i="66"/>
  <c r="AE10" i="65"/>
  <c r="G112" i="66"/>
  <c r="AE14" i="65"/>
  <c r="G116" i="66"/>
  <c r="AE18" i="65"/>
  <c r="G120" i="66"/>
  <c r="AE22" i="65"/>
  <c r="G124" i="66"/>
  <c r="AE26" i="65"/>
  <c r="G128" i="66"/>
  <c r="AE30" i="65"/>
  <c r="G132" i="66"/>
  <c r="AE21" i="66"/>
  <c r="G159" i="66"/>
  <c r="AE11" i="65"/>
  <c r="G113" i="66"/>
  <c r="AE15" i="65"/>
  <c r="G117" i="66"/>
  <c r="AE19" i="65"/>
  <c r="G121" i="66"/>
  <c r="AE23" i="65"/>
  <c r="G125" i="66"/>
  <c r="AE27" i="65"/>
  <c r="G129" i="66"/>
  <c r="AE31" i="65"/>
  <c r="G133" i="66"/>
  <c r="AF30" i="63"/>
  <c r="AE167" i="63"/>
  <c r="E167" i="63" s="1"/>
  <c r="H113" i="67"/>
  <c r="AF11" i="67"/>
  <c r="H117" i="67"/>
  <c r="AF15" i="67"/>
  <c r="H121" i="67"/>
  <c r="AF19" i="67"/>
  <c r="H125" i="67"/>
  <c r="AF23" i="67"/>
  <c r="H129" i="67"/>
  <c r="AF27" i="67"/>
  <c r="H133" i="67"/>
  <c r="AF31" i="67"/>
  <c r="H135" i="62"/>
  <c r="AF33" i="62"/>
  <c r="H114" i="67"/>
  <c r="AF12" i="67"/>
  <c r="H118" i="67"/>
  <c r="AF16" i="67"/>
  <c r="H122" i="67"/>
  <c r="AF20" i="67"/>
  <c r="H126" i="67"/>
  <c r="AF24" i="67"/>
  <c r="H130" i="67"/>
  <c r="AF28" i="67"/>
  <c r="H115" i="67"/>
  <c r="AF13" i="67"/>
  <c r="H119" i="67"/>
  <c r="AF17" i="67"/>
  <c r="H123" i="67"/>
  <c r="AF21" i="67"/>
  <c r="H127" i="67"/>
  <c r="AF25" i="67"/>
  <c r="H131" i="67"/>
  <c r="AF29" i="67"/>
  <c r="H135" i="67"/>
  <c r="AF33" i="67"/>
  <c r="G113" i="67"/>
  <c r="AE11" i="67"/>
  <c r="G117" i="67"/>
  <c r="AE15" i="67"/>
  <c r="G121" i="67"/>
  <c r="AE19" i="67"/>
  <c r="G125" i="67"/>
  <c r="AE23" i="67"/>
  <c r="G129" i="67"/>
  <c r="AE27" i="67"/>
  <c r="G133" i="67"/>
  <c r="AE31" i="67"/>
  <c r="AE32" i="63"/>
  <c r="AE32" i="64"/>
  <c r="G114" i="67"/>
  <c r="AE12" i="67"/>
  <c r="G118" i="67"/>
  <c r="AE16" i="67"/>
  <c r="G122" i="67"/>
  <c r="AE20" i="67"/>
  <c r="G126" i="67"/>
  <c r="AE24" i="67"/>
  <c r="G130" i="67"/>
  <c r="AE28" i="67"/>
  <c r="G115" i="67"/>
  <c r="AE13" i="67"/>
  <c r="G119" i="67"/>
  <c r="AE17" i="67"/>
  <c r="G123" i="67"/>
  <c r="AE21" i="67"/>
  <c r="G127" i="67"/>
  <c r="AE25" i="67"/>
  <c r="G131" i="67"/>
  <c r="AE29" i="67"/>
  <c r="G135" i="67"/>
  <c r="AE33" i="67"/>
  <c r="G112" i="67"/>
  <c r="AE10" i="67"/>
  <c r="G116" i="67"/>
  <c r="AE14" i="67"/>
  <c r="G120" i="67"/>
  <c r="AE18" i="67"/>
  <c r="G124" i="67"/>
  <c r="AE22" i="67"/>
  <c r="G128" i="67"/>
  <c r="AE26" i="67"/>
  <c r="G132" i="67"/>
  <c r="AE30" i="67"/>
  <c r="F118" i="67"/>
  <c r="AD16" i="67"/>
  <c r="F115" i="67"/>
  <c r="AD13" i="67"/>
  <c r="F123" i="67"/>
  <c r="AD21" i="67"/>
  <c r="F127" i="67"/>
  <c r="AD25" i="67"/>
  <c r="F135" i="67"/>
  <c r="AD33" i="67"/>
  <c r="F112" i="67"/>
  <c r="AD10" i="67"/>
  <c r="F116" i="67"/>
  <c r="AD14" i="67"/>
  <c r="F120" i="67"/>
  <c r="AD18" i="67"/>
  <c r="F124" i="67"/>
  <c r="AD22" i="67"/>
  <c r="F128" i="67"/>
  <c r="AD26" i="67"/>
  <c r="F132" i="67"/>
  <c r="AD30" i="67"/>
  <c r="F114" i="67"/>
  <c r="AD12" i="67"/>
  <c r="F122" i="67"/>
  <c r="AD20" i="67"/>
  <c r="F130" i="67"/>
  <c r="AD28" i="67"/>
  <c r="F119" i="67"/>
  <c r="AD17" i="67"/>
  <c r="F131" i="67"/>
  <c r="AD29" i="67"/>
  <c r="F113" i="67"/>
  <c r="AD11" i="67"/>
  <c r="F117" i="67"/>
  <c r="AD15" i="67"/>
  <c r="F121" i="67"/>
  <c r="AD19" i="67"/>
  <c r="F125" i="67"/>
  <c r="AD23" i="67"/>
  <c r="F129" i="67"/>
  <c r="AD27" i="67"/>
  <c r="F133" i="67"/>
  <c r="AD31" i="67"/>
  <c r="AC32" i="65"/>
  <c r="E115" i="67"/>
  <c r="AC13" i="67"/>
  <c r="E119" i="67"/>
  <c r="AC17" i="67"/>
  <c r="E127" i="67"/>
  <c r="AC25" i="67"/>
  <c r="E131" i="67"/>
  <c r="AC29" i="67"/>
  <c r="E135" i="67"/>
  <c r="AC33" i="67"/>
  <c r="E112" i="67"/>
  <c r="AC10" i="67"/>
  <c r="E116" i="67"/>
  <c r="AC14" i="67"/>
  <c r="E120" i="67"/>
  <c r="AC18" i="67"/>
  <c r="E124" i="67"/>
  <c r="AC22" i="67"/>
  <c r="E128" i="67"/>
  <c r="AC26" i="67"/>
  <c r="E132" i="67"/>
  <c r="AC30" i="67"/>
  <c r="E113" i="67"/>
  <c r="AC11" i="67"/>
  <c r="E117" i="67"/>
  <c r="AC15" i="67"/>
  <c r="E121" i="67"/>
  <c r="AC19" i="67"/>
  <c r="E125" i="67"/>
  <c r="AC23" i="67"/>
  <c r="E129" i="67"/>
  <c r="AC27" i="67"/>
  <c r="E133" i="67"/>
  <c r="AC31" i="67"/>
  <c r="AC32" i="63"/>
  <c r="AC32" i="64"/>
  <c r="E114" i="67"/>
  <c r="AC12" i="67"/>
  <c r="E118" i="67"/>
  <c r="AC16" i="67"/>
  <c r="E122" i="67"/>
  <c r="AC20" i="67"/>
  <c r="E126" i="67"/>
  <c r="AC24" i="67"/>
  <c r="E130" i="67"/>
  <c r="AC28" i="67"/>
  <c r="K12" i="63"/>
  <c r="AB12" i="63"/>
  <c r="K16" i="63"/>
  <c r="AB16" i="63"/>
  <c r="K20" i="63"/>
  <c r="AB20" i="63"/>
  <c r="K24" i="63"/>
  <c r="AB24" i="63"/>
  <c r="K28" i="63"/>
  <c r="AB28" i="63"/>
  <c r="K12" i="64"/>
  <c r="AB12" i="64"/>
  <c r="K16" i="64"/>
  <c r="AB16" i="64"/>
  <c r="K20" i="64"/>
  <c r="AB20" i="64"/>
  <c r="K24" i="64"/>
  <c r="AB24" i="64"/>
  <c r="K28" i="64"/>
  <c r="AB28" i="64"/>
  <c r="K14" i="66"/>
  <c r="AB14" i="66"/>
  <c r="K18" i="66"/>
  <c r="AB18" i="66"/>
  <c r="K22" i="66"/>
  <c r="AB22" i="66"/>
  <c r="K26" i="66"/>
  <c r="AB26" i="66"/>
  <c r="K30" i="66"/>
  <c r="AB30" i="66"/>
  <c r="K13" i="63"/>
  <c r="AB13" i="63"/>
  <c r="K17" i="63"/>
  <c r="AB17" i="63"/>
  <c r="K21" i="63"/>
  <c r="AB21" i="63"/>
  <c r="K25" i="63"/>
  <c r="AB25" i="63"/>
  <c r="K29" i="63"/>
  <c r="AB29" i="63"/>
  <c r="K33" i="63"/>
  <c r="AB33" i="63"/>
  <c r="K13" i="64"/>
  <c r="AB13" i="64"/>
  <c r="K17" i="64"/>
  <c r="AB17" i="64"/>
  <c r="K21" i="64"/>
  <c r="AB21" i="64"/>
  <c r="K25" i="64"/>
  <c r="AB25" i="64"/>
  <c r="K29" i="64"/>
  <c r="AB29" i="64"/>
  <c r="K33" i="64"/>
  <c r="AB33" i="64"/>
  <c r="K11" i="66"/>
  <c r="AB11" i="66"/>
  <c r="K15" i="66"/>
  <c r="AB15" i="66"/>
  <c r="K19" i="66"/>
  <c r="AB19" i="66"/>
  <c r="K23" i="66"/>
  <c r="AB23" i="66"/>
  <c r="K27" i="66"/>
  <c r="AB27" i="66"/>
  <c r="K31" i="66"/>
  <c r="AB31" i="66"/>
  <c r="K14" i="63"/>
  <c r="AB14" i="63"/>
  <c r="K18" i="63"/>
  <c r="AB18" i="63"/>
  <c r="K22" i="63"/>
  <c r="AB22" i="63"/>
  <c r="K26" i="63"/>
  <c r="AB26" i="63"/>
  <c r="K30" i="63"/>
  <c r="AB30" i="63"/>
  <c r="K14" i="64"/>
  <c r="AB14" i="64"/>
  <c r="K18" i="64"/>
  <c r="AB18" i="64"/>
  <c r="K22" i="64"/>
  <c r="AB22" i="64"/>
  <c r="K26" i="64"/>
  <c r="AB26" i="64"/>
  <c r="K30" i="64"/>
  <c r="AB30" i="64"/>
  <c r="K12" i="66"/>
  <c r="AB12" i="66"/>
  <c r="K16" i="66"/>
  <c r="AB16" i="66"/>
  <c r="K20" i="66"/>
  <c r="AB20" i="66"/>
  <c r="K24" i="66"/>
  <c r="AB24" i="66"/>
  <c r="K28" i="66"/>
  <c r="AB28" i="66"/>
  <c r="K11" i="63"/>
  <c r="AB11" i="63"/>
  <c r="K15" i="63"/>
  <c r="AB15" i="63"/>
  <c r="K19" i="63"/>
  <c r="AB19" i="63"/>
  <c r="K23" i="63"/>
  <c r="AB23" i="63"/>
  <c r="K27" i="63"/>
  <c r="AB27" i="63"/>
  <c r="K31" i="63"/>
  <c r="AB31" i="63"/>
  <c r="K11" i="64"/>
  <c r="AB11" i="64"/>
  <c r="K15" i="64"/>
  <c r="AB15" i="64"/>
  <c r="K19" i="64"/>
  <c r="AB19" i="64"/>
  <c r="K23" i="64"/>
  <c r="AB23" i="64"/>
  <c r="K27" i="64"/>
  <c r="AB27" i="64"/>
  <c r="K31" i="64"/>
  <c r="AB31" i="64"/>
  <c r="K13" i="66"/>
  <c r="AB13" i="66"/>
  <c r="K17" i="66"/>
  <c r="AB17" i="66"/>
  <c r="K21" i="66"/>
  <c r="AB21" i="66"/>
  <c r="K25" i="66"/>
  <c r="AB25" i="66"/>
  <c r="K29" i="66"/>
  <c r="AB29" i="66"/>
  <c r="K33" i="66"/>
  <c r="AB33" i="66"/>
  <c r="K10" i="66"/>
  <c r="AB10" i="66"/>
  <c r="K10" i="63"/>
  <c r="AB10" i="63"/>
  <c r="K10" i="64"/>
  <c r="AB10" i="64"/>
  <c r="K10" i="65"/>
  <c r="AB10" i="65"/>
  <c r="AB32" i="65" s="1"/>
  <c r="AB32" i="62"/>
  <c r="AE32" i="62"/>
  <c r="G135" i="62"/>
  <c r="AE33" i="62"/>
  <c r="E135" i="62"/>
  <c r="AC33" i="62"/>
  <c r="AC32" i="62"/>
  <c r="F135" i="62"/>
  <c r="AD33" i="62"/>
  <c r="AO12" i="64"/>
  <c r="AO16" i="64"/>
  <c r="AO20" i="64"/>
  <c r="AO24" i="64"/>
  <c r="AO28" i="64"/>
  <c r="AO11" i="65"/>
  <c r="AN12" i="65"/>
  <c r="AM13" i="65"/>
  <c r="AL14" i="65"/>
  <c r="AO15" i="65"/>
  <c r="AN16" i="65"/>
  <c r="AM17" i="65"/>
  <c r="AL18" i="65"/>
  <c r="AO19" i="65"/>
  <c r="AM21" i="65"/>
  <c r="AL22" i="65"/>
  <c r="AO23" i="65"/>
  <c r="AM25" i="65"/>
  <c r="AL26" i="65"/>
  <c r="AO27" i="65"/>
  <c r="AM29" i="65"/>
  <c r="AL30" i="65"/>
  <c r="AO31" i="65"/>
  <c r="AM33" i="65"/>
  <c r="AO10" i="66"/>
  <c r="AO14" i="66"/>
  <c r="AO18" i="66"/>
  <c r="AL21" i="66"/>
  <c r="AO22" i="66"/>
  <c r="AO26" i="66"/>
  <c r="AO30" i="66"/>
  <c r="G184" i="67"/>
  <c r="D184" i="67"/>
  <c r="H184" i="67"/>
  <c r="E184" i="67"/>
  <c r="F184" i="67"/>
  <c r="AN20" i="65"/>
  <c r="AN28" i="65"/>
  <c r="K15" i="67"/>
  <c r="D117" i="67"/>
  <c r="K23" i="67"/>
  <c r="D125" i="67"/>
  <c r="K31" i="67"/>
  <c r="D133" i="67"/>
  <c r="K16" i="67"/>
  <c r="D118" i="67"/>
  <c r="K24" i="67"/>
  <c r="D126" i="67"/>
  <c r="K28" i="67"/>
  <c r="D130" i="67"/>
  <c r="K10" i="67"/>
  <c r="D112" i="67"/>
  <c r="AO10" i="67"/>
  <c r="H112" i="67"/>
  <c r="K14" i="67"/>
  <c r="D116" i="67"/>
  <c r="AO14" i="67"/>
  <c r="H116" i="67"/>
  <c r="K18" i="67"/>
  <c r="D120" i="67"/>
  <c r="AO18" i="67"/>
  <c r="H120" i="67"/>
  <c r="AL21" i="67"/>
  <c r="E123" i="67"/>
  <c r="K22" i="67"/>
  <c r="D124" i="67"/>
  <c r="AO22" i="67"/>
  <c r="H124" i="67"/>
  <c r="K26" i="67"/>
  <c r="D128" i="67"/>
  <c r="AO26" i="67"/>
  <c r="H128" i="67"/>
  <c r="K30" i="67"/>
  <c r="D132" i="67"/>
  <c r="AO30" i="67"/>
  <c r="H132" i="67"/>
  <c r="K11" i="67"/>
  <c r="D113" i="67"/>
  <c r="K19" i="67"/>
  <c r="D121" i="67"/>
  <c r="K27" i="67"/>
  <c r="D129" i="67"/>
  <c r="K12" i="67"/>
  <c r="D114" i="67"/>
  <c r="K20" i="67"/>
  <c r="D122" i="67"/>
  <c r="K13" i="67"/>
  <c r="D115" i="67"/>
  <c r="K17" i="67"/>
  <c r="D119" i="67"/>
  <c r="K21" i="67"/>
  <c r="D123" i="67"/>
  <c r="K25" i="67"/>
  <c r="D127" i="67"/>
  <c r="K29" i="67"/>
  <c r="D131" i="67"/>
  <c r="K33" i="67"/>
  <c r="D135" i="67"/>
  <c r="AO11" i="63"/>
  <c r="AO15" i="63"/>
  <c r="AO19" i="63"/>
  <c r="AO23" i="63"/>
  <c r="AO27" i="63"/>
  <c r="AO31" i="63"/>
  <c r="AL10" i="64"/>
  <c r="AO13" i="67"/>
  <c r="AO17" i="67"/>
  <c r="AO25" i="67"/>
  <c r="AO29" i="67"/>
  <c r="L10" i="65"/>
  <c r="AL10" i="65"/>
  <c r="N11" i="67"/>
  <c r="AN11" i="67"/>
  <c r="M12" i="67"/>
  <c r="AM12" i="67"/>
  <c r="N15" i="67"/>
  <c r="AN15" i="67"/>
  <c r="L17" i="67"/>
  <c r="AL17" i="67"/>
  <c r="N27" i="67"/>
  <c r="AN27" i="67"/>
  <c r="M28" i="67"/>
  <c r="AM28" i="67"/>
  <c r="L29" i="67"/>
  <c r="AL29" i="67"/>
  <c r="L33" i="67"/>
  <c r="AL33" i="67"/>
  <c r="M10" i="65"/>
  <c r="AM10" i="65"/>
  <c r="AN13" i="65"/>
  <c r="AL15" i="65"/>
  <c r="AO16" i="65"/>
  <c r="AL19" i="65"/>
  <c r="AO20" i="65"/>
  <c r="AM22" i="65"/>
  <c r="AN25" i="65"/>
  <c r="AM26" i="65"/>
  <c r="AN29" i="65"/>
  <c r="AL31" i="65"/>
  <c r="AN33" i="65"/>
  <c r="N12" i="67"/>
  <c r="AN12" i="67"/>
  <c r="L14" i="67"/>
  <c r="AL14" i="67"/>
  <c r="AO15" i="67"/>
  <c r="M17" i="67"/>
  <c r="AM17" i="67"/>
  <c r="N20" i="67"/>
  <c r="AN20" i="67"/>
  <c r="L22" i="67"/>
  <c r="AL22" i="67"/>
  <c r="AO23" i="67"/>
  <c r="N24" i="67"/>
  <c r="N28" i="67"/>
  <c r="AN28" i="67"/>
  <c r="L30" i="67"/>
  <c r="AL30" i="67"/>
  <c r="AO31" i="67"/>
  <c r="N10" i="65"/>
  <c r="AN10" i="65"/>
  <c r="AM11" i="65"/>
  <c r="AL12" i="65"/>
  <c r="AO13" i="65"/>
  <c r="AN14" i="65"/>
  <c r="AM15" i="65"/>
  <c r="AL16" i="65"/>
  <c r="AO17" i="65"/>
  <c r="AN18" i="65"/>
  <c r="AM19" i="65"/>
  <c r="AL20" i="65"/>
  <c r="O21" i="65"/>
  <c r="AO21" i="65"/>
  <c r="AN22" i="65"/>
  <c r="AM23" i="65"/>
  <c r="AL24" i="65"/>
  <c r="AO25" i="65"/>
  <c r="AN26" i="65"/>
  <c r="AM27" i="65"/>
  <c r="AL28" i="65"/>
  <c r="AO29" i="65"/>
  <c r="AN30" i="65"/>
  <c r="AM31" i="65"/>
  <c r="AO33" i="65"/>
  <c r="AO12" i="66"/>
  <c r="AO16" i="66"/>
  <c r="M10" i="67"/>
  <c r="AM10" i="67"/>
  <c r="L11" i="67"/>
  <c r="AL11" i="67"/>
  <c r="AO12" i="67"/>
  <c r="N13" i="67"/>
  <c r="AN13" i="67"/>
  <c r="M14" i="67"/>
  <c r="AM14" i="67"/>
  <c r="L15" i="67"/>
  <c r="AL15" i="67"/>
  <c r="AO16" i="67"/>
  <c r="N17" i="67"/>
  <c r="AN17" i="67"/>
  <c r="M18" i="67"/>
  <c r="AM18" i="67"/>
  <c r="L19" i="67"/>
  <c r="AL19" i="67"/>
  <c r="AO20" i="67"/>
  <c r="N21" i="67"/>
  <c r="AN21" i="67"/>
  <c r="M22" i="67"/>
  <c r="AM22" i="67"/>
  <c r="L23" i="67"/>
  <c r="AL23" i="67"/>
  <c r="AO24" i="67"/>
  <c r="N25" i="67"/>
  <c r="AN25" i="67"/>
  <c r="M26" i="67"/>
  <c r="AM26" i="67"/>
  <c r="L27" i="67"/>
  <c r="AL27" i="67"/>
  <c r="AO28" i="67"/>
  <c r="N29" i="67"/>
  <c r="AN29" i="67"/>
  <c r="M30" i="67"/>
  <c r="AM30" i="67"/>
  <c r="L31" i="67"/>
  <c r="AL31" i="67"/>
  <c r="N33" i="67"/>
  <c r="AN33" i="67"/>
  <c r="L13" i="67"/>
  <c r="AL13" i="67"/>
  <c r="M16" i="67"/>
  <c r="AM16" i="67"/>
  <c r="N19" i="67"/>
  <c r="AN19" i="67"/>
  <c r="M20" i="67"/>
  <c r="AM20" i="67"/>
  <c r="N23" i="67"/>
  <c r="AN23" i="67"/>
  <c r="L25" i="67"/>
  <c r="AL25" i="67"/>
  <c r="N31" i="67"/>
  <c r="AN31" i="67"/>
  <c r="AL11" i="65"/>
  <c r="AO12" i="65"/>
  <c r="AM14" i="65"/>
  <c r="AN17" i="65"/>
  <c r="AM18" i="65"/>
  <c r="AN21" i="65"/>
  <c r="AL23" i="65"/>
  <c r="AO24" i="65"/>
  <c r="AL27" i="65"/>
  <c r="AO28" i="65"/>
  <c r="AM30" i="65"/>
  <c r="L10" i="67"/>
  <c r="AL10" i="67"/>
  <c r="AO11" i="67"/>
  <c r="M13" i="67"/>
  <c r="AM13" i="67"/>
  <c r="N16" i="67"/>
  <c r="AN16" i="67"/>
  <c r="L18" i="67"/>
  <c r="AL18" i="67"/>
  <c r="AO19" i="67"/>
  <c r="M21" i="67"/>
  <c r="AM21" i="67"/>
  <c r="M25" i="67"/>
  <c r="AM25" i="67"/>
  <c r="L26" i="67"/>
  <c r="AL26" i="67"/>
  <c r="AO27" i="67"/>
  <c r="M29" i="67"/>
  <c r="AM29" i="67"/>
  <c r="M33" i="67"/>
  <c r="AM33" i="67"/>
  <c r="AO10" i="65"/>
  <c r="AN11" i="65"/>
  <c r="AM12" i="65"/>
  <c r="AL13" i="65"/>
  <c r="AO14" i="65"/>
  <c r="AN15" i="65"/>
  <c r="AM16" i="65"/>
  <c r="AL17" i="65"/>
  <c r="AO18" i="65"/>
  <c r="AN19" i="65"/>
  <c r="AM20" i="65"/>
  <c r="AL21" i="65"/>
  <c r="AO22" i="65"/>
  <c r="AN23" i="65"/>
  <c r="AL25" i="65"/>
  <c r="AO26" i="65"/>
  <c r="AN27" i="65"/>
  <c r="AM28" i="65"/>
  <c r="AL29" i="65"/>
  <c r="AO30" i="65"/>
  <c r="AN31" i="65"/>
  <c r="AL33" i="65"/>
  <c r="N10" i="67"/>
  <c r="AN10" i="67"/>
  <c r="M11" i="67"/>
  <c r="AM11" i="67"/>
  <c r="L12" i="67"/>
  <c r="AL12" i="67"/>
  <c r="N14" i="67"/>
  <c r="AN14" i="67"/>
  <c r="M15" i="67"/>
  <c r="AM15" i="67"/>
  <c r="L16" i="67"/>
  <c r="AL16" i="67"/>
  <c r="N18" i="67"/>
  <c r="AN18" i="67"/>
  <c r="M19" i="67"/>
  <c r="AM19" i="67"/>
  <c r="L20" i="67"/>
  <c r="AL20" i="67"/>
  <c r="O21" i="67"/>
  <c r="AO21" i="67"/>
  <c r="N22" i="67"/>
  <c r="AN22" i="67"/>
  <c r="M23" i="67"/>
  <c r="AM23" i="67"/>
  <c r="L24" i="67"/>
  <c r="AL24" i="67"/>
  <c r="N26" i="67"/>
  <c r="AN26" i="67"/>
  <c r="M27" i="67"/>
  <c r="AM27" i="67"/>
  <c r="L28" i="67"/>
  <c r="AL28" i="67"/>
  <c r="N30" i="67"/>
  <c r="AN30" i="67"/>
  <c r="M31" i="67"/>
  <c r="AM31" i="67"/>
  <c r="AO33" i="67"/>
  <c r="AO25" i="66"/>
  <c r="AO29" i="66"/>
  <c r="AO33" i="66"/>
  <c r="M12" i="66"/>
  <c r="AS12" i="66" s="1"/>
  <c r="AM12" i="66"/>
  <c r="N15" i="66"/>
  <c r="AT15" i="66" s="1"/>
  <c r="AN15" i="66"/>
  <c r="L17" i="66"/>
  <c r="AR17" i="66" s="1"/>
  <c r="AL17" i="66"/>
  <c r="N19" i="66"/>
  <c r="AT19" i="66" s="1"/>
  <c r="AN19" i="66"/>
  <c r="M20" i="66"/>
  <c r="AS20" i="66" s="1"/>
  <c r="AM20" i="66"/>
  <c r="N23" i="66"/>
  <c r="AT23" i="66" s="1"/>
  <c r="AN23" i="66"/>
  <c r="L25" i="66"/>
  <c r="AR25" i="66" s="1"/>
  <c r="AL25" i="66"/>
  <c r="M28" i="66"/>
  <c r="AS28" i="66" s="1"/>
  <c r="AM28" i="66"/>
  <c r="L33" i="66"/>
  <c r="AR33" i="66" s="1"/>
  <c r="AL33" i="66"/>
  <c r="L10" i="66"/>
  <c r="AR10" i="66" s="1"/>
  <c r="AL10" i="66"/>
  <c r="AO11" i="66"/>
  <c r="N12" i="66"/>
  <c r="AT12" i="66" s="1"/>
  <c r="AN12" i="66"/>
  <c r="M13" i="66"/>
  <c r="AS13" i="66" s="1"/>
  <c r="AM13" i="66"/>
  <c r="L14" i="66"/>
  <c r="AR14" i="66" s="1"/>
  <c r="AL14" i="66"/>
  <c r="AO15" i="66"/>
  <c r="N16" i="66"/>
  <c r="AT16" i="66" s="1"/>
  <c r="AN16" i="66"/>
  <c r="M17" i="66"/>
  <c r="AS17" i="66" s="1"/>
  <c r="AM17" i="66"/>
  <c r="L18" i="66"/>
  <c r="AR18" i="66" s="1"/>
  <c r="AL18" i="66"/>
  <c r="AO19" i="66"/>
  <c r="N20" i="66"/>
  <c r="AT20" i="66" s="1"/>
  <c r="AN20" i="66"/>
  <c r="M21" i="66"/>
  <c r="AS21" i="66" s="1"/>
  <c r="AM21" i="66"/>
  <c r="L22" i="66"/>
  <c r="AR22" i="66" s="1"/>
  <c r="AL22" i="66"/>
  <c r="AO23" i="66"/>
  <c r="N24" i="66"/>
  <c r="AT24" i="66" s="1"/>
  <c r="M25" i="66"/>
  <c r="AS25" i="66" s="1"/>
  <c r="AM25" i="66"/>
  <c r="L26" i="66"/>
  <c r="AR26" i="66" s="1"/>
  <c r="AL26" i="66"/>
  <c r="AO27" i="66"/>
  <c r="N28" i="66"/>
  <c r="AT28" i="66" s="1"/>
  <c r="AN28" i="66"/>
  <c r="M29" i="66"/>
  <c r="AS29" i="66" s="1"/>
  <c r="AM29" i="66"/>
  <c r="L30" i="66"/>
  <c r="AR30" i="66" s="1"/>
  <c r="AL30" i="66"/>
  <c r="AO31" i="66"/>
  <c r="M33" i="66"/>
  <c r="AS33" i="66" s="1"/>
  <c r="AM33" i="66"/>
  <c r="AO24" i="66"/>
  <c r="N25" i="66"/>
  <c r="AT25" i="66" s="1"/>
  <c r="AN25" i="66"/>
  <c r="M26" i="66"/>
  <c r="AS26" i="66" s="1"/>
  <c r="AM26" i="66"/>
  <c r="L27" i="66"/>
  <c r="AR27" i="66" s="1"/>
  <c r="AL27" i="66"/>
  <c r="AO28" i="66"/>
  <c r="N29" i="66"/>
  <c r="AT29" i="66" s="1"/>
  <c r="AN29" i="66"/>
  <c r="M30" i="66"/>
  <c r="AS30" i="66" s="1"/>
  <c r="AM30" i="66"/>
  <c r="L31" i="66"/>
  <c r="AR31" i="66" s="1"/>
  <c r="AL31" i="66"/>
  <c r="N33" i="66"/>
  <c r="AT33" i="66" s="1"/>
  <c r="AN33" i="66"/>
  <c r="N11" i="66"/>
  <c r="AT11" i="66" s="1"/>
  <c r="AN11" i="66"/>
  <c r="L13" i="66"/>
  <c r="AR13" i="66" s="1"/>
  <c r="AL13" i="66"/>
  <c r="M16" i="66"/>
  <c r="AS16" i="66" s="1"/>
  <c r="AM16" i="66"/>
  <c r="N27" i="66"/>
  <c r="AT27" i="66" s="1"/>
  <c r="AN27" i="66"/>
  <c r="L29" i="66"/>
  <c r="AR29" i="66" s="1"/>
  <c r="AL29" i="66"/>
  <c r="N31" i="66"/>
  <c r="AT31" i="66" s="1"/>
  <c r="AN31" i="66"/>
  <c r="M10" i="66"/>
  <c r="AS10" i="66" s="1"/>
  <c r="AM10" i="66"/>
  <c r="L11" i="66"/>
  <c r="AR11" i="66" s="1"/>
  <c r="AL11" i="66"/>
  <c r="N13" i="66"/>
  <c r="AT13" i="66" s="1"/>
  <c r="AN13" i="66"/>
  <c r="M14" i="66"/>
  <c r="AS14" i="66" s="1"/>
  <c r="AM14" i="66"/>
  <c r="L15" i="66"/>
  <c r="AR15" i="66" s="1"/>
  <c r="AL15" i="66"/>
  <c r="N17" i="66"/>
  <c r="AT17" i="66" s="1"/>
  <c r="AN17" i="66"/>
  <c r="M18" i="66"/>
  <c r="AS18" i="66" s="1"/>
  <c r="AM18" i="66"/>
  <c r="L19" i="66"/>
  <c r="AR19" i="66" s="1"/>
  <c r="AL19" i="66"/>
  <c r="AO20" i="66"/>
  <c r="N21" i="66"/>
  <c r="AT21" i="66" s="1"/>
  <c r="AN21" i="66"/>
  <c r="M22" i="66"/>
  <c r="AS22" i="66" s="1"/>
  <c r="AM22" i="66"/>
  <c r="L23" i="66"/>
  <c r="AR23" i="66" s="1"/>
  <c r="AL23" i="66"/>
  <c r="N10" i="66"/>
  <c r="AT10" i="66" s="1"/>
  <c r="AN10" i="66"/>
  <c r="M11" i="66"/>
  <c r="AS11" i="66" s="1"/>
  <c r="AM11" i="66"/>
  <c r="L12" i="66"/>
  <c r="AR12" i="66" s="1"/>
  <c r="AL12" i="66"/>
  <c r="AO13" i="66"/>
  <c r="N14" i="66"/>
  <c r="AT14" i="66" s="1"/>
  <c r="AN14" i="66"/>
  <c r="M15" i="66"/>
  <c r="AS15" i="66" s="1"/>
  <c r="AM15" i="66"/>
  <c r="L16" i="66"/>
  <c r="AR16" i="66" s="1"/>
  <c r="AL16" i="66"/>
  <c r="AO17" i="66"/>
  <c r="N18" i="66"/>
  <c r="AT18" i="66" s="1"/>
  <c r="AN18" i="66"/>
  <c r="M19" i="66"/>
  <c r="AS19" i="66" s="1"/>
  <c r="AM19" i="66"/>
  <c r="L20" i="66"/>
  <c r="AR20" i="66" s="1"/>
  <c r="AL20" i="66"/>
  <c r="O21" i="66"/>
  <c r="AO21" i="66"/>
  <c r="N22" i="66"/>
  <c r="AT22" i="66" s="1"/>
  <c r="AN22" i="66"/>
  <c r="M23" i="66"/>
  <c r="AS23" i="66" s="1"/>
  <c r="AM23" i="66"/>
  <c r="L24" i="66"/>
  <c r="AR24" i="66" s="1"/>
  <c r="AL24" i="66"/>
  <c r="N26" i="66"/>
  <c r="AT26" i="66" s="1"/>
  <c r="AN26" i="66"/>
  <c r="M27" i="66"/>
  <c r="AS27" i="66" s="1"/>
  <c r="AM27" i="66"/>
  <c r="L28" i="66"/>
  <c r="AR28" i="66" s="1"/>
  <c r="AL28" i="66"/>
  <c r="N30" i="66"/>
  <c r="AT30" i="66" s="1"/>
  <c r="AN30" i="66"/>
  <c r="M31" i="66"/>
  <c r="AS31" i="66" s="1"/>
  <c r="AM31" i="66"/>
  <c r="Q32" i="65"/>
  <c r="Q33" i="65"/>
  <c r="Q23" i="65"/>
  <c r="Q27" i="65"/>
  <c r="Q26" i="65"/>
  <c r="M12" i="65"/>
  <c r="N15" i="65"/>
  <c r="K11" i="65"/>
  <c r="N12" i="65"/>
  <c r="M13" i="65"/>
  <c r="L14" i="65"/>
  <c r="K15" i="65"/>
  <c r="N16" i="65"/>
  <c r="M17" i="65"/>
  <c r="L18" i="65"/>
  <c r="K19" i="65"/>
  <c r="N20" i="65"/>
  <c r="M21" i="65"/>
  <c r="L22" i="65"/>
  <c r="K23" i="65"/>
  <c r="N24" i="65"/>
  <c r="M25" i="65"/>
  <c r="L26" i="65"/>
  <c r="K27" i="65"/>
  <c r="N28" i="65"/>
  <c r="M29" i="65"/>
  <c r="L30" i="65"/>
  <c r="K31" i="65"/>
  <c r="M33" i="65"/>
  <c r="L13" i="65"/>
  <c r="L11" i="65"/>
  <c r="K12" i="65"/>
  <c r="N13" i="65"/>
  <c r="M14" i="65"/>
  <c r="L15" i="65"/>
  <c r="K16" i="65"/>
  <c r="N17" i="65"/>
  <c r="M18" i="65"/>
  <c r="L19" i="65"/>
  <c r="K20" i="65"/>
  <c r="N21" i="65"/>
  <c r="M22" i="65"/>
  <c r="L23" i="65"/>
  <c r="K24" i="65"/>
  <c r="N25" i="65"/>
  <c r="M26" i="65"/>
  <c r="L27" i="65"/>
  <c r="K28" i="65"/>
  <c r="N29" i="65"/>
  <c r="M30" i="65"/>
  <c r="L31" i="65"/>
  <c r="N33" i="65"/>
  <c r="N11" i="65"/>
  <c r="K14" i="65"/>
  <c r="M11" i="65"/>
  <c r="L12" i="65"/>
  <c r="K13" i="65"/>
  <c r="N14" i="65"/>
  <c r="M15" i="65"/>
  <c r="L16" i="65"/>
  <c r="K17" i="65"/>
  <c r="N18" i="65"/>
  <c r="M19" i="65"/>
  <c r="L20" i="65"/>
  <c r="K21" i="65"/>
  <c r="N22" i="65"/>
  <c r="M23" i="65"/>
  <c r="L24" i="65"/>
  <c r="K25" i="65"/>
  <c r="N26" i="65"/>
  <c r="M27" i="65"/>
  <c r="L28" i="65"/>
  <c r="K29" i="65"/>
  <c r="N30" i="65"/>
  <c r="M31" i="65"/>
  <c r="K33" i="65"/>
  <c r="M16" i="65"/>
  <c r="L17" i="65"/>
  <c r="K18" i="65"/>
  <c r="N19" i="65"/>
  <c r="M20" i="65"/>
  <c r="K22" i="65"/>
  <c r="N23" i="65"/>
  <c r="L25" i="65"/>
  <c r="K26" i="65"/>
  <c r="N27" i="65"/>
  <c r="M28" i="65"/>
  <c r="L29" i="65"/>
  <c r="K30" i="65"/>
  <c r="N31" i="65"/>
  <c r="L33" i="65"/>
  <c r="Q33" i="64"/>
  <c r="Q23" i="64"/>
  <c r="Q27" i="64"/>
  <c r="Q26" i="64"/>
  <c r="Q32" i="64"/>
  <c r="AO11" i="64"/>
  <c r="AO15" i="64"/>
  <c r="AO19" i="64"/>
  <c r="AO23" i="64"/>
  <c r="AO27" i="64"/>
  <c r="AO31" i="64"/>
  <c r="M10" i="64"/>
  <c r="AM10" i="64"/>
  <c r="N13" i="64"/>
  <c r="AN13" i="64"/>
  <c r="L15" i="64"/>
  <c r="AL15" i="64"/>
  <c r="M18" i="64"/>
  <c r="AM18" i="64"/>
  <c r="N21" i="64"/>
  <c r="AN21" i="64"/>
  <c r="L23" i="64"/>
  <c r="AL23" i="64"/>
  <c r="M26" i="64"/>
  <c r="AM26" i="64"/>
  <c r="N29" i="64"/>
  <c r="AN29" i="64"/>
  <c r="L31" i="64"/>
  <c r="AL31" i="64"/>
  <c r="N33" i="64"/>
  <c r="AN33" i="64"/>
  <c r="N10" i="64"/>
  <c r="AN10" i="64"/>
  <c r="L12" i="64"/>
  <c r="AL12" i="64"/>
  <c r="AO13" i="64"/>
  <c r="M15" i="64"/>
  <c r="AM15" i="64"/>
  <c r="N18" i="64"/>
  <c r="AN18" i="64"/>
  <c r="L20" i="64"/>
  <c r="AL20" i="64"/>
  <c r="O21" i="64"/>
  <c r="AO21" i="64"/>
  <c r="M23" i="64"/>
  <c r="AM23" i="64"/>
  <c r="N26" i="64"/>
  <c r="AN26" i="64"/>
  <c r="L28" i="64"/>
  <c r="AL28" i="64"/>
  <c r="AO29" i="64"/>
  <c r="M31" i="64"/>
  <c r="AM31" i="64"/>
  <c r="AO33" i="64"/>
  <c r="AO10" i="64"/>
  <c r="N11" i="64"/>
  <c r="AN11" i="64"/>
  <c r="M12" i="64"/>
  <c r="AM12" i="64"/>
  <c r="L13" i="64"/>
  <c r="AL13" i="64"/>
  <c r="AO14" i="64"/>
  <c r="N15" i="64"/>
  <c r="AN15" i="64"/>
  <c r="M16" i="64"/>
  <c r="AM16" i="64"/>
  <c r="L17" i="64"/>
  <c r="AL17" i="64"/>
  <c r="AO18" i="64"/>
  <c r="N19" i="64"/>
  <c r="AN19" i="64"/>
  <c r="M20" i="64"/>
  <c r="AM20" i="64"/>
  <c r="AL21" i="64"/>
  <c r="AO22" i="64"/>
  <c r="N23" i="64"/>
  <c r="AN23" i="64"/>
  <c r="L25" i="64"/>
  <c r="AL25" i="64"/>
  <c r="AO26" i="64"/>
  <c r="N27" i="64"/>
  <c r="AN27" i="64"/>
  <c r="M28" i="64"/>
  <c r="AM28" i="64"/>
  <c r="L29" i="64"/>
  <c r="AL29" i="64"/>
  <c r="AO30" i="64"/>
  <c r="N31" i="64"/>
  <c r="AN31" i="64"/>
  <c r="L33" i="64"/>
  <c r="AL33" i="64"/>
  <c r="L11" i="64"/>
  <c r="AL11" i="64"/>
  <c r="M14" i="64"/>
  <c r="AM14" i="64"/>
  <c r="N17" i="64"/>
  <c r="AN17" i="64"/>
  <c r="L19" i="64"/>
  <c r="AL19" i="64"/>
  <c r="M22" i="64"/>
  <c r="AM22" i="64"/>
  <c r="N25" i="64"/>
  <c r="AN25" i="64"/>
  <c r="L27" i="64"/>
  <c r="AL27" i="64"/>
  <c r="M30" i="64"/>
  <c r="AM30" i="64"/>
  <c r="M11" i="64"/>
  <c r="AM11" i="64"/>
  <c r="N14" i="64"/>
  <c r="AN14" i="64"/>
  <c r="L16" i="64"/>
  <c r="AL16" i="64"/>
  <c r="AO17" i="64"/>
  <c r="M19" i="64"/>
  <c r="AM19" i="64"/>
  <c r="N22" i="64"/>
  <c r="AN22" i="64"/>
  <c r="L24" i="64"/>
  <c r="AL24" i="64"/>
  <c r="AO25" i="64"/>
  <c r="M27" i="64"/>
  <c r="AM27" i="64"/>
  <c r="N30" i="64"/>
  <c r="AN30" i="64"/>
  <c r="L10" i="64"/>
  <c r="N12" i="64"/>
  <c r="AN12" i="64"/>
  <c r="M13" i="64"/>
  <c r="AM13" i="64"/>
  <c r="L14" i="64"/>
  <c r="AL14" i="64"/>
  <c r="N16" i="64"/>
  <c r="AN16" i="64"/>
  <c r="M17" i="64"/>
  <c r="AM17" i="64"/>
  <c r="L18" i="64"/>
  <c r="AL18" i="64"/>
  <c r="N20" i="64"/>
  <c r="AN20" i="64"/>
  <c r="M21" i="64"/>
  <c r="AM21" i="64"/>
  <c r="L22" i="64"/>
  <c r="AL22" i="64"/>
  <c r="N24" i="64"/>
  <c r="M25" i="64"/>
  <c r="AM25" i="64"/>
  <c r="L26" i="64"/>
  <c r="AL26" i="64"/>
  <c r="N28" i="64"/>
  <c r="AN28" i="64"/>
  <c r="M29" i="64"/>
  <c r="AM29" i="64"/>
  <c r="L30" i="64"/>
  <c r="AL30" i="64"/>
  <c r="M33" i="64"/>
  <c r="AM33" i="64"/>
  <c r="L10" i="63"/>
  <c r="AL10" i="63"/>
  <c r="N12" i="63"/>
  <c r="AN12" i="63"/>
  <c r="L22" i="63"/>
  <c r="AL22" i="63"/>
  <c r="N24" i="63"/>
  <c r="AO12" i="63"/>
  <c r="L23" i="63"/>
  <c r="AL23" i="63"/>
  <c r="M26" i="63"/>
  <c r="AM26" i="63"/>
  <c r="M30" i="63"/>
  <c r="AM30" i="63"/>
  <c r="N33" i="63"/>
  <c r="AN33" i="63"/>
  <c r="M13" i="63"/>
  <c r="AM13" i="63"/>
  <c r="M17" i="63"/>
  <c r="AM17" i="63"/>
  <c r="L18" i="63"/>
  <c r="AL18" i="63"/>
  <c r="N20" i="63"/>
  <c r="AN20" i="63"/>
  <c r="M25" i="63"/>
  <c r="AM25" i="63"/>
  <c r="M10" i="63"/>
  <c r="AM10" i="63"/>
  <c r="L11" i="63"/>
  <c r="AL11" i="63"/>
  <c r="N13" i="63"/>
  <c r="AN13" i="63"/>
  <c r="M14" i="63"/>
  <c r="AM14" i="63"/>
  <c r="AO16" i="63"/>
  <c r="M18" i="63"/>
  <c r="AM18" i="63"/>
  <c r="AO20" i="63"/>
  <c r="M22" i="63"/>
  <c r="AM22" i="63"/>
  <c r="N25" i="63"/>
  <c r="AN25" i="63"/>
  <c r="L27" i="63"/>
  <c r="AL27" i="63"/>
  <c r="AO28" i="63"/>
  <c r="N18" i="63"/>
  <c r="AN18" i="63"/>
  <c r="L20" i="63"/>
  <c r="AL20" i="63"/>
  <c r="O21" i="63"/>
  <c r="AO21" i="63"/>
  <c r="N22" i="63"/>
  <c r="AN22" i="63"/>
  <c r="M23" i="63"/>
  <c r="AM23" i="63"/>
  <c r="L24" i="63"/>
  <c r="AL24" i="63"/>
  <c r="AO25" i="63"/>
  <c r="N26" i="63"/>
  <c r="AN26" i="63"/>
  <c r="M27" i="63"/>
  <c r="AM27" i="63"/>
  <c r="L28" i="63"/>
  <c r="AL28" i="63"/>
  <c r="AO29" i="63"/>
  <c r="N30" i="63"/>
  <c r="AN30" i="63"/>
  <c r="M31" i="63"/>
  <c r="AM31" i="63"/>
  <c r="AO33" i="63"/>
  <c r="L14" i="63"/>
  <c r="AL14" i="63"/>
  <c r="N16" i="63"/>
  <c r="AN16" i="63"/>
  <c r="M21" i="63"/>
  <c r="AM21" i="63"/>
  <c r="L26" i="63"/>
  <c r="AL26" i="63"/>
  <c r="N28" i="63"/>
  <c r="AN28" i="63"/>
  <c r="L15" i="63"/>
  <c r="AL15" i="63"/>
  <c r="N17" i="63"/>
  <c r="AN17" i="63"/>
  <c r="L19" i="63"/>
  <c r="AL19" i="63"/>
  <c r="N21" i="63"/>
  <c r="AN21" i="63"/>
  <c r="AO24" i="63"/>
  <c r="N29" i="63"/>
  <c r="AN29" i="63"/>
  <c r="L31" i="63"/>
  <c r="AL31" i="63"/>
  <c r="N10" i="63"/>
  <c r="AN10" i="63"/>
  <c r="M11" i="63"/>
  <c r="AM11" i="63"/>
  <c r="L12" i="63"/>
  <c r="AL12" i="63"/>
  <c r="AO13" i="63"/>
  <c r="N14" i="63"/>
  <c r="AN14" i="63"/>
  <c r="M15" i="63"/>
  <c r="AM15" i="63"/>
  <c r="L16" i="63"/>
  <c r="AL16" i="63"/>
  <c r="AO17" i="63"/>
  <c r="M19" i="63"/>
  <c r="AM19" i="63"/>
  <c r="AO10" i="63"/>
  <c r="N11" i="63"/>
  <c r="AN11" i="63"/>
  <c r="M12" i="63"/>
  <c r="AM12" i="63"/>
  <c r="L13" i="63"/>
  <c r="AL13" i="63"/>
  <c r="AO14" i="63"/>
  <c r="N15" i="63"/>
  <c r="AN15" i="63"/>
  <c r="M16" i="63"/>
  <c r="AM16" i="63"/>
  <c r="L17" i="63"/>
  <c r="AL17" i="63"/>
  <c r="AO18" i="63"/>
  <c r="N19" i="63"/>
  <c r="AN19" i="63"/>
  <c r="M20" i="63"/>
  <c r="AM20" i="63"/>
  <c r="AL21" i="63"/>
  <c r="AO22" i="63"/>
  <c r="N23" i="63"/>
  <c r="AN23" i="63"/>
  <c r="L25" i="63"/>
  <c r="AL25" i="63"/>
  <c r="AO26" i="63"/>
  <c r="N27" i="63"/>
  <c r="AN27" i="63"/>
  <c r="M28" i="63"/>
  <c r="AM28" i="63"/>
  <c r="L29" i="63"/>
  <c r="AL29" i="63"/>
  <c r="AO30" i="63"/>
  <c r="N31" i="63"/>
  <c r="AN31" i="63"/>
  <c r="L33" i="63"/>
  <c r="AL33" i="63"/>
  <c r="M29" i="63"/>
  <c r="AM29" i="63"/>
  <c r="L30" i="63"/>
  <c r="AL30" i="63"/>
  <c r="M33" i="63"/>
  <c r="AM33" i="63"/>
  <c r="K16" i="62"/>
  <c r="K24" i="62"/>
  <c r="K17" i="62"/>
  <c r="K25" i="62"/>
  <c r="K10" i="62"/>
  <c r="K14" i="62"/>
  <c r="K18" i="62"/>
  <c r="K22" i="62"/>
  <c r="K26" i="62"/>
  <c r="K30" i="62"/>
  <c r="K12" i="62"/>
  <c r="K20" i="62"/>
  <c r="K28" i="62"/>
  <c r="K33" i="62"/>
  <c r="D135" i="62"/>
  <c r="K13" i="62"/>
  <c r="K21" i="62"/>
  <c r="K29" i="62"/>
  <c r="AL10" i="62"/>
  <c r="K11" i="62"/>
  <c r="K15" i="62"/>
  <c r="K19" i="62"/>
  <c r="K23" i="62"/>
  <c r="K27" i="62"/>
  <c r="K31" i="62"/>
  <c r="AN10" i="62"/>
  <c r="AM11" i="62"/>
  <c r="AL12" i="62"/>
  <c r="AO13" i="62"/>
  <c r="AN14" i="62"/>
  <c r="AM15" i="62"/>
  <c r="AL16" i="62"/>
  <c r="AO17" i="62"/>
  <c r="AN18" i="62"/>
  <c r="AM19" i="62"/>
  <c r="AL20" i="62"/>
  <c r="AO21" i="62"/>
  <c r="AN22" i="62"/>
  <c r="AM23" i="62"/>
  <c r="AL24" i="62"/>
  <c r="AO25" i="62"/>
  <c r="AN26" i="62"/>
  <c r="AM27" i="62"/>
  <c r="AL28" i="62"/>
  <c r="AO29" i="62"/>
  <c r="AN30" i="62"/>
  <c r="AM31" i="62"/>
  <c r="AL33" i="62"/>
  <c r="AO11" i="62"/>
  <c r="AN12" i="62"/>
  <c r="AM13" i="62"/>
  <c r="AL14" i="62"/>
  <c r="AO15" i="62"/>
  <c r="AN16" i="62"/>
  <c r="AM17" i="62"/>
  <c r="AL18" i="62"/>
  <c r="AO19" i="62"/>
  <c r="AN20" i="62"/>
  <c r="AM21" i="62"/>
  <c r="AL22" i="62"/>
  <c r="AO23" i="62"/>
  <c r="AM25" i="62"/>
  <c r="AL26" i="62"/>
  <c r="AO27" i="62"/>
  <c r="AN28" i="62"/>
  <c r="AM29" i="62"/>
  <c r="AL30" i="62"/>
  <c r="AO31" i="62"/>
  <c r="AN33" i="62"/>
  <c r="AM10" i="62"/>
  <c r="AL11" i="62"/>
  <c r="AO12" i="62"/>
  <c r="AN13" i="62"/>
  <c r="AM14" i="62"/>
  <c r="AL15" i="62"/>
  <c r="AO16" i="62"/>
  <c r="AN17" i="62"/>
  <c r="AM18" i="62"/>
  <c r="AL19" i="62"/>
  <c r="AO20" i="62"/>
  <c r="AN21" i="62"/>
  <c r="AM22" i="62"/>
  <c r="AL23" i="62"/>
  <c r="AO24" i="62"/>
  <c r="AN25" i="62"/>
  <c r="AM26" i="62"/>
  <c r="AL27" i="62"/>
  <c r="AO28" i="62"/>
  <c r="AN29" i="62"/>
  <c r="AM30" i="62"/>
  <c r="AL31" i="62"/>
  <c r="AO33" i="62"/>
  <c r="AO10" i="62"/>
  <c r="AN11" i="62"/>
  <c r="AM12" i="62"/>
  <c r="AL13" i="62"/>
  <c r="AO14" i="62"/>
  <c r="AN15" i="62"/>
  <c r="AM16" i="62"/>
  <c r="AL17" i="62"/>
  <c r="AO18" i="62"/>
  <c r="AN19" i="62"/>
  <c r="AM20" i="62"/>
  <c r="AL21" i="62"/>
  <c r="AO22" i="62"/>
  <c r="AN23" i="62"/>
  <c r="AL25" i="62"/>
  <c r="AO26" i="62"/>
  <c r="AN27" i="62"/>
  <c r="AM28" i="62"/>
  <c r="AL29" i="62"/>
  <c r="AO30" i="62"/>
  <c r="AN31" i="62"/>
  <c r="AM33" i="62"/>
  <c r="M12" i="62"/>
  <c r="L13" i="62"/>
  <c r="N15" i="62"/>
  <c r="L17" i="62"/>
  <c r="N27" i="62"/>
  <c r="L29" i="62"/>
  <c r="M33" i="62"/>
  <c r="N12" i="62"/>
  <c r="L14" i="62"/>
  <c r="N16" i="62"/>
  <c r="L18" i="62"/>
  <c r="M21" i="62"/>
  <c r="N24" i="62"/>
  <c r="L26" i="62"/>
  <c r="N28" i="62"/>
  <c r="L30" i="62"/>
  <c r="M10" i="62"/>
  <c r="L11" i="62"/>
  <c r="N13" i="62"/>
  <c r="M14" i="62"/>
  <c r="L15" i="62"/>
  <c r="N17" i="62"/>
  <c r="M18" i="62"/>
  <c r="L19" i="62"/>
  <c r="N21" i="62"/>
  <c r="M22" i="62"/>
  <c r="L23" i="62"/>
  <c r="N25" i="62"/>
  <c r="M26" i="62"/>
  <c r="L27" i="62"/>
  <c r="N29" i="62"/>
  <c r="M30" i="62"/>
  <c r="L31" i="62"/>
  <c r="N10" i="62"/>
  <c r="M11" i="62"/>
  <c r="L12" i="62"/>
  <c r="N14" i="62"/>
  <c r="M15" i="62"/>
  <c r="L16" i="62"/>
  <c r="N18" i="62"/>
  <c r="M19" i="62"/>
  <c r="L20" i="62"/>
  <c r="O21" i="62"/>
  <c r="N22" i="62"/>
  <c r="M23" i="62"/>
  <c r="L24" i="62"/>
  <c r="N26" i="62"/>
  <c r="M27" i="62"/>
  <c r="L28" i="62"/>
  <c r="N30" i="62"/>
  <c r="M31" i="62"/>
  <c r="L33" i="62"/>
  <c r="N11" i="62"/>
  <c r="M16" i="62"/>
  <c r="N19" i="62"/>
  <c r="M20" i="62"/>
  <c r="N23" i="62"/>
  <c r="L25" i="62"/>
  <c r="M28" i="62"/>
  <c r="N31" i="62"/>
  <c r="L10" i="62"/>
  <c r="M13" i="62"/>
  <c r="M17" i="62"/>
  <c r="N20" i="62"/>
  <c r="L22" i="62"/>
  <c r="M25" i="62"/>
  <c r="M29" i="62"/>
  <c r="N33" i="62"/>
  <c r="Q33" i="67"/>
  <c r="Q23" i="67"/>
  <c r="Q32" i="67"/>
  <c r="Q27" i="67"/>
  <c r="Q26" i="67"/>
  <c r="Q33" i="63"/>
  <c r="Q23" i="63"/>
  <c r="Q26" i="63"/>
  <c r="Q32" i="63"/>
  <c r="Q27" i="63"/>
  <c r="F199" i="67"/>
  <c r="F203" i="67"/>
  <c r="F207" i="67"/>
  <c r="D201" i="67"/>
  <c r="D205" i="67"/>
  <c r="E200" i="67"/>
  <c r="E204" i="67"/>
  <c r="G198" i="67"/>
  <c r="G202" i="67"/>
  <c r="H201" i="67"/>
  <c r="H205" i="67"/>
  <c r="H171" i="69"/>
  <c r="H198" i="67"/>
  <c r="G199" i="67"/>
  <c r="F200" i="67"/>
  <c r="E201" i="67"/>
  <c r="D202" i="67"/>
  <c r="H202" i="67"/>
  <c r="G203" i="67"/>
  <c r="F204" i="67"/>
  <c r="E205" i="67"/>
  <c r="G207" i="67"/>
  <c r="H206" i="67"/>
  <c r="O12" i="62"/>
  <c r="O16" i="62"/>
  <c r="O24" i="62"/>
  <c r="O28" i="62"/>
  <c r="O33" i="62"/>
  <c r="O20" i="63"/>
  <c r="O28" i="63"/>
  <c r="O17" i="64"/>
  <c r="O33" i="64"/>
  <c r="O12" i="65"/>
  <c r="O16" i="65"/>
  <c r="O28" i="65"/>
  <c r="D220" i="67"/>
  <c r="H220" i="67"/>
  <c r="F222" i="67"/>
  <c r="D224" i="67"/>
  <c r="H224" i="67"/>
  <c r="F226" i="67"/>
  <c r="D228" i="67"/>
  <c r="H228" i="67"/>
  <c r="G229" i="67"/>
  <c r="D232" i="67"/>
  <c r="G233" i="67"/>
  <c r="D236" i="67"/>
  <c r="H236" i="67"/>
  <c r="F238" i="67"/>
  <c r="D240" i="67"/>
  <c r="H240" i="67"/>
  <c r="E243" i="67"/>
  <c r="D256" i="67"/>
  <c r="G257" i="67"/>
  <c r="F258" i="67"/>
  <c r="D260" i="67"/>
  <c r="H260" i="67"/>
  <c r="F262" i="67"/>
  <c r="D264" i="67"/>
  <c r="H264" i="67"/>
  <c r="F266" i="67"/>
  <c r="D268" i="67"/>
  <c r="G269" i="67"/>
  <c r="D272" i="67"/>
  <c r="H272" i="67"/>
  <c r="F274" i="67"/>
  <c r="D276" i="67"/>
  <c r="H276" i="67"/>
  <c r="E279" i="67"/>
  <c r="F185" i="67"/>
  <c r="D187" i="67"/>
  <c r="H187" i="67"/>
  <c r="F189" i="67"/>
  <c r="E190" i="67"/>
  <c r="H191" i="67"/>
  <c r="F193" i="67"/>
  <c r="E194" i="67"/>
  <c r="H195" i="67"/>
  <c r="F197" i="67"/>
  <c r="F113" i="69"/>
  <c r="D115" i="69"/>
  <c r="G116" i="69"/>
  <c r="F117" i="69"/>
  <c r="D119" i="69"/>
  <c r="G120" i="69"/>
  <c r="F121" i="69"/>
  <c r="D123" i="69"/>
  <c r="H123" i="69"/>
  <c r="F125" i="69"/>
  <c r="D127" i="69"/>
  <c r="H127" i="69"/>
  <c r="F129" i="69"/>
  <c r="E130" i="69"/>
  <c r="H131" i="69"/>
  <c r="G132" i="69"/>
  <c r="D135" i="69"/>
  <c r="H135" i="69"/>
  <c r="F149" i="69"/>
  <c r="D151" i="69"/>
  <c r="H151" i="69"/>
  <c r="F153" i="69"/>
  <c r="E154" i="69"/>
  <c r="H155" i="69"/>
  <c r="G156" i="69"/>
  <c r="E158" i="69"/>
  <c r="D159" i="69"/>
  <c r="G160" i="69"/>
  <c r="F161" i="69"/>
  <c r="D163" i="69"/>
  <c r="H163" i="69"/>
  <c r="G164" i="69"/>
  <c r="F165" i="69"/>
  <c r="E166" i="69"/>
  <c r="D167" i="69"/>
  <c r="H167" i="69"/>
  <c r="G168" i="69"/>
  <c r="D171" i="69"/>
  <c r="O13" i="62"/>
  <c r="O17" i="62"/>
  <c r="O33" i="63"/>
  <c r="AA29" i="76" s="1"/>
  <c r="O10" i="64"/>
  <c r="O14" i="64"/>
  <c r="O18" i="64"/>
  <c r="O22" i="64"/>
  <c r="O26" i="64"/>
  <c r="O30" i="64"/>
  <c r="O13" i="65"/>
  <c r="O17" i="65"/>
  <c r="O25" i="65"/>
  <c r="O29" i="65"/>
  <c r="O33" i="65"/>
  <c r="O12" i="66"/>
  <c r="O16" i="66"/>
  <c r="O20" i="66"/>
  <c r="O24" i="66"/>
  <c r="O28" i="66"/>
  <c r="O12" i="67"/>
  <c r="O16" i="67"/>
  <c r="O20" i="67"/>
  <c r="O24" i="67"/>
  <c r="O28" i="67"/>
  <c r="E220" i="67"/>
  <c r="D221" i="67"/>
  <c r="H221" i="67"/>
  <c r="G222" i="67"/>
  <c r="F223" i="67"/>
  <c r="E224" i="67"/>
  <c r="D225" i="67"/>
  <c r="H225" i="67"/>
  <c r="G226" i="67"/>
  <c r="F227" i="67"/>
  <c r="E228" i="67"/>
  <c r="D229" i="67"/>
  <c r="H229" i="67"/>
  <c r="F231" i="67"/>
  <c r="E232" i="67"/>
  <c r="D233" i="67"/>
  <c r="H233" i="67"/>
  <c r="G234" i="67"/>
  <c r="F235" i="67"/>
  <c r="E236" i="67"/>
  <c r="D237" i="67"/>
  <c r="H237" i="67"/>
  <c r="G238" i="67"/>
  <c r="F239" i="67"/>
  <c r="E240" i="67"/>
  <c r="D241" i="67"/>
  <c r="H241" i="67"/>
  <c r="F243" i="67"/>
  <c r="E256" i="67"/>
  <c r="D257" i="67"/>
  <c r="H257" i="67"/>
  <c r="G258" i="67"/>
  <c r="F259" i="67"/>
  <c r="E260" i="67"/>
  <c r="D261" i="67"/>
  <c r="H261" i="67"/>
  <c r="G262" i="67"/>
  <c r="F263" i="67"/>
  <c r="E264" i="67"/>
  <c r="D265" i="67"/>
  <c r="H265" i="67"/>
  <c r="F267" i="67"/>
  <c r="E268" i="67"/>
  <c r="D269" i="67"/>
  <c r="H269" i="67"/>
  <c r="G270" i="67"/>
  <c r="F271" i="67"/>
  <c r="E272" i="67"/>
  <c r="D273" i="67"/>
  <c r="H273" i="67"/>
  <c r="G274" i="67"/>
  <c r="F275" i="67"/>
  <c r="E276" i="67"/>
  <c r="D277" i="67"/>
  <c r="H277" i="67"/>
  <c r="F279" i="67"/>
  <c r="G185" i="67"/>
  <c r="F186" i="67"/>
  <c r="E187" i="67"/>
  <c r="D188" i="67"/>
  <c r="H188" i="67"/>
  <c r="G189" i="67"/>
  <c r="F190" i="67"/>
  <c r="E191" i="67"/>
  <c r="D192" i="67"/>
  <c r="H192" i="67"/>
  <c r="G193" i="67"/>
  <c r="F194" i="67"/>
  <c r="D196" i="67"/>
  <c r="H196" i="67"/>
  <c r="G197" i="67"/>
  <c r="D112" i="69"/>
  <c r="H112" i="69"/>
  <c r="G113" i="69"/>
  <c r="F114" i="69"/>
  <c r="E115" i="69"/>
  <c r="D116" i="69"/>
  <c r="H116" i="69"/>
  <c r="G117" i="69"/>
  <c r="F118" i="69"/>
  <c r="E119" i="69"/>
  <c r="D120" i="69"/>
  <c r="H120" i="69"/>
  <c r="G121" i="69"/>
  <c r="F122" i="69"/>
  <c r="D124" i="69"/>
  <c r="H124" i="69"/>
  <c r="G125" i="69"/>
  <c r="E127" i="69"/>
  <c r="D128" i="69"/>
  <c r="H128" i="69"/>
  <c r="G129" i="69"/>
  <c r="F130" i="69"/>
  <c r="E131" i="69"/>
  <c r="D132" i="69"/>
  <c r="H132" i="69"/>
  <c r="G133" i="69"/>
  <c r="E135" i="69"/>
  <c r="D148" i="69"/>
  <c r="H148" i="69"/>
  <c r="G149" i="69"/>
  <c r="F150" i="69"/>
  <c r="E151" i="69"/>
  <c r="D152" i="69"/>
  <c r="H152" i="69"/>
  <c r="G153" i="69"/>
  <c r="F154" i="69"/>
  <c r="E155" i="69"/>
  <c r="D156" i="69"/>
  <c r="H156" i="69"/>
  <c r="G157" i="69"/>
  <c r="F158" i="69"/>
  <c r="D160" i="69"/>
  <c r="H160" i="69"/>
  <c r="G161" i="69"/>
  <c r="E163" i="69"/>
  <c r="D164" i="69"/>
  <c r="H164" i="69"/>
  <c r="G165" i="69"/>
  <c r="F166" i="69"/>
  <c r="E167" i="69"/>
  <c r="D168" i="69"/>
  <c r="H168" i="69"/>
  <c r="G169" i="69"/>
  <c r="E171" i="69"/>
  <c r="O10" i="62"/>
  <c r="O14" i="62"/>
  <c r="O18" i="62"/>
  <c r="O22" i="62"/>
  <c r="O26" i="62"/>
  <c r="O30" i="62"/>
  <c r="O10" i="63"/>
  <c r="O14" i="63"/>
  <c r="O18" i="63"/>
  <c r="O22" i="63"/>
  <c r="O26" i="63"/>
  <c r="O30" i="63"/>
  <c r="O11" i="64"/>
  <c r="O15" i="64"/>
  <c r="O19" i="64"/>
  <c r="O23" i="64"/>
  <c r="O27" i="64"/>
  <c r="O31" i="64"/>
  <c r="O10" i="65"/>
  <c r="U10" i="65" s="1"/>
  <c r="O14" i="65"/>
  <c r="O18" i="65"/>
  <c r="O22" i="65"/>
  <c r="O26" i="65"/>
  <c r="O30" i="65"/>
  <c r="O13" i="66"/>
  <c r="O17" i="66"/>
  <c r="O25" i="66"/>
  <c r="O29" i="66"/>
  <c r="O33" i="66"/>
  <c r="O13" i="67"/>
  <c r="O17" i="67"/>
  <c r="O25" i="67"/>
  <c r="O29" i="67"/>
  <c r="O33" i="67"/>
  <c r="F220" i="67"/>
  <c r="E221" i="67"/>
  <c r="D222" i="67"/>
  <c r="H222" i="67"/>
  <c r="G223" i="67"/>
  <c r="F224" i="67"/>
  <c r="E225" i="67"/>
  <c r="D226" i="67"/>
  <c r="H226" i="67"/>
  <c r="G227" i="67"/>
  <c r="F228" i="67"/>
  <c r="E229" i="67"/>
  <c r="D230" i="67"/>
  <c r="H230" i="67"/>
  <c r="G231" i="67"/>
  <c r="F232" i="67"/>
  <c r="E233" i="67"/>
  <c r="D234" i="67"/>
  <c r="H234" i="67"/>
  <c r="G235" i="67"/>
  <c r="F236" i="67"/>
  <c r="E237" i="67"/>
  <c r="D238" i="67"/>
  <c r="H238" i="67"/>
  <c r="G239" i="67"/>
  <c r="F240" i="67"/>
  <c r="E241" i="67"/>
  <c r="H242" i="67"/>
  <c r="G243" i="67"/>
  <c r="F256" i="67"/>
  <c r="E257" i="67"/>
  <c r="D258" i="67"/>
  <c r="H258" i="67"/>
  <c r="G259" i="67"/>
  <c r="F260" i="67"/>
  <c r="E261" i="67"/>
  <c r="D262" i="67"/>
  <c r="H262" i="67"/>
  <c r="G263" i="67"/>
  <c r="F264" i="67"/>
  <c r="E265" i="67"/>
  <c r="D266" i="67"/>
  <c r="H266" i="67"/>
  <c r="G267" i="67"/>
  <c r="F268" i="67"/>
  <c r="E269" i="67"/>
  <c r="D270" i="67"/>
  <c r="H270" i="67"/>
  <c r="G271" i="67"/>
  <c r="F272" i="67"/>
  <c r="E273" i="67"/>
  <c r="D274" i="67"/>
  <c r="H274" i="67"/>
  <c r="G275" i="67"/>
  <c r="F276" i="67"/>
  <c r="E277" i="67"/>
  <c r="H278" i="67"/>
  <c r="G279" i="67"/>
  <c r="D185" i="67"/>
  <c r="H185" i="67"/>
  <c r="G186" i="67"/>
  <c r="F187" i="67"/>
  <c r="E188" i="67"/>
  <c r="D189" i="67"/>
  <c r="H189" i="67"/>
  <c r="G190" i="67"/>
  <c r="F191" i="67"/>
  <c r="E192" i="67"/>
  <c r="D193" i="67"/>
  <c r="H193" i="67"/>
  <c r="F195" i="67"/>
  <c r="E196" i="67"/>
  <c r="D197" i="67"/>
  <c r="H197" i="67"/>
  <c r="D199" i="67"/>
  <c r="H199" i="67"/>
  <c r="G200" i="67"/>
  <c r="F201" i="67"/>
  <c r="E202" i="67"/>
  <c r="D203" i="67"/>
  <c r="H203" i="67"/>
  <c r="G204" i="67"/>
  <c r="F205" i="67"/>
  <c r="D207" i="67"/>
  <c r="H207" i="67"/>
  <c r="E112" i="69"/>
  <c r="D113" i="69"/>
  <c r="H113" i="69"/>
  <c r="G114" i="69"/>
  <c r="F115" i="69"/>
  <c r="E116" i="69"/>
  <c r="D117" i="69"/>
  <c r="H117" i="69"/>
  <c r="G118" i="69"/>
  <c r="F119" i="69"/>
  <c r="E120" i="69"/>
  <c r="D121" i="69"/>
  <c r="H121" i="69"/>
  <c r="F123" i="69"/>
  <c r="E124" i="69"/>
  <c r="D125" i="69"/>
  <c r="H125" i="69"/>
  <c r="G126" i="69"/>
  <c r="F127" i="69"/>
  <c r="E128" i="69"/>
  <c r="D129" i="69"/>
  <c r="H129" i="69"/>
  <c r="G130" i="69"/>
  <c r="F131" i="69"/>
  <c r="E132" i="69"/>
  <c r="D133" i="69"/>
  <c r="H133" i="69"/>
  <c r="F135" i="69"/>
  <c r="E148" i="69"/>
  <c r="D149" i="69"/>
  <c r="H149" i="69"/>
  <c r="G150" i="69"/>
  <c r="F151" i="69"/>
  <c r="E152" i="69"/>
  <c r="D153" i="69"/>
  <c r="H153" i="69"/>
  <c r="G154" i="69"/>
  <c r="F155" i="69"/>
  <c r="E156" i="69"/>
  <c r="D157" i="69"/>
  <c r="H157" i="69"/>
  <c r="F159" i="69"/>
  <c r="E160" i="69"/>
  <c r="D161" i="69"/>
  <c r="H161" i="69"/>
  <c r="G162" i="69"/>
  <c r="F163" i="69"/>
  <c r="E164" i="69"/>
  <c r="D165" i="69"/>
  <c r="H165" i="69"/>
  <c r="G166" i="69"/>
  <c r="F167" i="69"/>
  <c r="E168" i="69"/>
  <c r="D169" i="69"/>
  <c r="H169" i="69"/>
  <c r="F171" i="69"/>
  <c r="O20" i="62"/>
  <c r="O12" i="63"/>
  <c r="O16" i="63"/>
  <c r="O13" i="64"/>
  <c r="O25" i="64"/>
  <c r="O29" i="64"/>
  <c r="O20" i="65"/>
  <c r="O24" i="65"/>
  <c r="O11" i="66"/>
  <c r="O15" i="66"/>
  <c r="O19" i="66"/>
  <c r="O23" i="66"/>
  <c r="O27" i="66"/>
  <c r="O31" i="66"/>
  <c r="O11" i="67"/>
  <c r="O15" i="67"/>
  <c r="O19" i="67"/>
  <c r="O23" i="67"/>
  <c r="O27" i="67"/>
  <c r="O31" i="67"/>
  <c r="G221" i="67"/>
  <c r="E223" i="67"/>
  <c r="G225" i="67"/>
  <c r="E227" i="67"/>
  <c r="F230" i="67"/>
  <c r="H232" i="67"/>
  <c r="E235" i="67"/>
  <c r="G237" i="67"/>
  <c r="E239" i="67"/>
  <c r="G241" i="67"/>
  <c r="H256" i="67"/>
  <c r="E259" i="67"/>
  <c r="G261" i="67"/>
  <c r="E263" i="67"/>
  <c r="G265" i="67"/>
  <c r="H268" i="67"/>
  <c r="E271" i="67"/>
  <c r="G273" i="67"/>
  <c r="E275" i="67"/>
  <c r="G277" i="67"/>
  <c r="E186" i="67"/>
  <c r="G188" i="67"/>
  <c r="D191" i="67"/>
  <c r="G192" i="67"/>
  <c r="D195" i="67"/>
  <c r="G196" i="67"/>
  <c r="E114" i="69"/>
  <c r="H115" i="69"/>
  <c r="E118" i="69"/>
  <c r="H119" i="69"/>
  <c r="E122" i="69"/>
  <c r="G124" i="69"/>
  <c r="E126" i="69"/>
  <c r="G128" i="69"/>
  <c r="D131" i="69"/>
  <c r="F133" i="69"/>
  <c r="E150" i="69"/>
  <c r="G152" i="69"/>
  <c r="D155" i="69"/>
  <c r="F157" i="69"/>
  <c r="H159" i="69"/>
  <c r="E162" i="69"/>
  <c r="F169" i="69"/>
  <c r="O25" i="62"/>
  <c r="O29" i="62"/>
  <c r="O13" i="63"/>
  <c r="O17" i="63"/>
  <c r="O25" i="63"/>
  <c r="O29" i="63"/>
  <c r="O11" i="62"/>
  <c r="O15" i="62"/>
  <c r="O19" i="62"/>
  <c r="O23" i="62"/>
  <c r="O27" i="62"/>
  <c r="O31" i="62"/>
  <c r="O11" i="63"/>
  <c r="O15" i="63"/>
  <c r="O19" i="63"/>
  <c r="O23" i="63"/>
  <c r="O27" i="63"/>
  <c r="O31" i="63"/>
  <c r="O12" i="64"/>
  <c r="O16" i="64"/>
  <c r="O20" i="64"/>
  <c r="O24" i="64"/>
  <c r="O28" i="64"/>
  <c r="O11" i="65"/>
  <c r="O15" i="65"/>
  <c r="O19" i="65"/>
  <c r="O23" i="65"/>
  <c r="O27" i="65"/>
  <c r="O31" i="65"/>
  <c r="O10" i="66"/>
  <c r="O14" i="66"/>
  <c r="O18" i="66"/>
  <c r="O22" i="66"/>
  <c r="O26" i="66"/>
  <c r="O30" i="66"/>
  <c r="O10" i="67"/>
  <c r="O14" i="67"/>
  <c r="O18" i="67"/>
  <c r="O22" i="67"/>
  <c r="O26" i="67"/>
  <c r="O30" i="67"/>
  <c r="F221" i="67"/>
  <c r="E222" i="67"/>
  <c r="D223" i="67"/>
  <c r="H223" i="67"/>
  <c r="G224" i="67"/>
  <c r="F225" i="67"/>
  <c r="E226" i="67"/>
  <c r="D227" i="67"/>
  <c r="H227" i="67"/>
  <c r="G228" i="67"/>
  <c r="F229" i="67"/>
  <c r="E230" i="67"/>
  <c r="D231" i="67"/>
  <c r="H231" i="67"/>
  <c r="G232" i="67"/>
  <c r="F233" i="67"/>
  <c r="E234" i="67"/>
  <c r="D235" i="67"/>
  <c r="H235" i="67"/>
  <c r="G236" i="67"/>
  <c r="F237" i="67"/>
  <c r="E238" i="67"/>
  <c r="D239" i="67"/>
  <c r="H239" i="67"/>
  <c r="G240" i="67"/>
  <c r="F241" i="67"/>
  <c r="D243" i="67"/>
  <c r="H243" i="67"/>
  <c r="F257" i="67"/>
  <c r="E258" i="67"/>
  <c r="D259" i="67"/>
  <c r="H259" i="67"/>
  <c r="G260" i="67"/>
  <c r="F261" i="67"/>
  <c r="E262" i="67"/>
  <c r="D263" i="67"/>
  <c r="H263" i="67"/>
  <c r="G264" i="67"/>
  <c r="F265" i="67"/>
  <c r="E266" i="67"/>
  <c r="D267" i="67"/>
  <c r="H267" i="67"/>
  <c r="G268" i="67"/>
  <c r="F269" i="67"/>
  <c r="E270" i="67"/>
  <c r="D271" i="67"/>
  <c r="H271" i="67"/>
  <c r="G272" i="67"/>
  <c r="F273" i="67"/>
  <c r="E274" i="67"/>
  <c r="D275" i="67"/>
  <c r="H275" i="67"/>
  <c r="G276" i="67"/>
  <c r="F277" i="67"/>
  <c r="D279" i="67"/>
  <c r="H279" i="67"/>
  <c r="E185" i="67"/>
  <c r="D186" i="67"/>
  <c r="H186" i="67"/>
  <c r="G187" i="67"/>
  <c r="F188" i="67"/>
  <c r="E189" i="67"/>
  <c r="D190" i="67"/>
  <c r="H190" i="67"/>
  <c r="G191" i="67"/>
  <c r="F192" i="67"/>
  <c r="E193" i="67"/>
  <c r="D194" i="67"/>
  <c r="H194" i="67"/>
  <c r="G195" i="67"/>
  <c r="F196" i="67"/>
  <c r="E197" i="67"/>
  <c r="D198" i="67"/>
  <c r="E199" i="67"/>
  <c r="D200" i="67"/>
  <c r="H200" i="67"/>
  <c r="G201" i="67"/>
  <c r="F202" i="67"/>
  <c r="E203" i="67"/>
  <c r="D204" i="67"/>
  <c r="H204" i="67"/>
  <c r="G205" i="67"/>
  <c r="E207" i="67"/>
  <c r="F112" i="69"/>
  <c r="E113" i="69"/>
  <c r="D114" i="69"/>
  <c r="H114" i="69"/>
  <c r="G115" i="69"/>
  <c r="F116" i="69"/>
  <c r="E117" i="69"/>
  <c r="D118" i="69"/>
  <c r="H118" i="69"/>
  <c r="G119" i="69"/>
  <c r="F120" i="69"/>
  <c r="E121" i="69"/>
  <c r="D122" i="69"/>
  <c r="H122" i="69"/>
  <c r="G123" i="69"/>
  <c r="F124" i="69"/>
  <c r="E125" i="69"/>
  <c r="D126" i="69"/>
  <c r="H126" i="69"/>
  <c r="G127" i="69"/>
  <c r="F128" i="69"/>
  <c r="E129" i="69"/>
  <c r="D130" i="69"/>
  <c r="H130" i="69"/>
  <c r="G131" i="69"/>
  <c r="F132" i="69"/>
  <c r="E133" i="69"/>
  <c r="H134" i="69"/>
  <c r="G135" i="69"/>
  <c r="F148" i="69"/>
  <c r="E149" i="69"/>
  <c r="D150" i="69"/>
  <c r="H150" i="69"/>
  <c r="G151" i="69"/>
  <c r="F152" i="69"/>
  <c r="E153" i="69"/>
  <c r="D154" i="69"/>
  <c r="H154" i="69"/>
  <c r="G155" i="69"/>
  <c r="F156" i="69"/>
  <c r="E157" i="69"/>
  <c r="D158" i="69"/>
  <c r="H158" i="69"/>
  <c r="G159" i="69"/>
  <c r="F160" i="69"/>
  <c r="E161" i="69"/>
  <c r="D162" i="69"/>
  <c r="H162" i="69"/>
  <c r="G163" i="69"/>
  <c r="F164" i="69"/>
  <c r="E165" i="69"/>
  <c r="D166" i="69"/>
  <c r="H166" i="69"/>
  <c r="G167" i="69"/>
  <c r="F168" i="69"/>
  <c r="E169" i="69"/>
  <c r="H170" i="69"/>
  <c r="G171" i="69"/>
  <c r="L21" i="64"/>
  <c r="E195" i="67"/>
  <c r="E123" i="69"/>
  <c r="E159" i="69"/>
  <c r="L21" i="62"/>
  <c r="L21" i="63"/>
  <c r="L21" i="65"/>
  <c r="L21" i="66"/>
  <c r="AR21" i="66" s="1"/>
  <c r="L21" i="67"/>
  <c r="E231" i="67"/>
  <c r="E267" i="67"/>
  <c r="G230" i="67"/>
  <c r="G266" i="67"/>
  <c r="G194" i="67"/>
  <c r="G122" i="69"/>
  <c r="G158" i="69"/>
  <c r="G220" i="67"/>
  <c r="G256" i="67"/>
  <c r="G112" i="69"/>
  <c r="G148" i="69"/>
  <c r="O24" i="63"/>
  <c r="AE169" i="63"/>
  <c r="E169" i="63" s="1"/>
  <c r="H135" i="63"/>
  <c r="F135" i="63"/>
  <c r="G135" i="63"/>
  <c r="E135" i="63"/>
  <c r="D135" i="63"/>
  <c r="AI15" i="68"/>
  <c r="AE147" i="63"/>
  <c r="D147" i="63" s="1"/>
  <c r="Q29" i="76" l="1"/>
  <c r="T29" i="76"/>
  <c r="M29" i="76"/>
  <c r="K9" i="92" s="1"/>
  <c r="P29" i="76"/>
  <c r="N9" i="92" s="1"/>
  <c r="L29" i="76"/>
  <c r="J9" i="92" s="1"/>
  <c r="V29" i="76"/>
  <c r="T9" i="92" s="1"/>
  <c r="K29" i="76"/>
  <c r="I9" i="92" s="1"/>
  <c r="F29" i="76"/>
  <c r="D9" i="92" s="1"/>
  <c r="D29" i="76"/>
  <c r="B9" i="92" s="1"/>
  <c r="G29" i="76"/>
  <c r="E9" i="92" s="1"/>
  <c r="O29" i="76"/>
  <c r="M9" i="92" s="1"/>
  <c r="R29" i="76"/>
  <c r="P9" i="92" s="1"/>
  <c r="Y29" i="76"/>
  <c r="W9" i="92" s="1"/>
  <c r="I29" i="76"/>
  <c r="G9" i="92" s="1"/>
  <c r="W29" i="76"/>
  <c r="U9" i="92" s="1"/>
  <c r="U29" i="76"/>
  <c r="E29" i="76"/>
  <c r="C9" i="92" s="1"/>
  <c r="S29" i="76"/>
  <c r="Q9" i="92" s="1"/>
  <c r="J29" i="76"/>
  <c r="H9" i="92" s="1"/>
  <c r="X29" i="76"/>
  <c r="V9" i="92" s="1"/>
  <c r="H29" i="76"/>
  <c r="F9" i="92" s="1"/>
  <c r="N29" i="76"/>
  <c r="L9" i="92" s="1"/>
  <c r="AA170" i="67"/>
  <c r="E170" i="67" s="1"/>
  <c r="AB32" i="67"/>
  <c r="AM65" i="67"/>
  <c r="AF32" i="62"/>
  <c r="AF32" i="63"/>
  <c r="AF32" i="64"/>
  <c r="AF32" i="65"/>
  <c r="O32" i="65" s="1"/>
  <c r="Z32" i="65"/>
  <c r="Z32" i="62"/>
  <c r="Z32" i="66"/>
  <c r="AH10" i="62"/>
  <c r="Z32" i="63"/>
  <c r="AI16" i="68"/>
  <c r="Q16" i="68" s="1"/>
  <c r="AI21" i="68"/>
  <c r="Q21" i="68" s="1"/>
  <c r="AI22" i="68"/>
  <c r="Q22" i="68" s="1"/>
  <c r="AI18" i="68"/>
  <c r="Q124" i="68" s="1"/>
  <c r="AI23" i="68"/>
  <c r="Q130" i="68" s="1"/>
  <c r="AI20" i="68"/>
  <c r="Q20" i="68" s="1"/>
  <c r="AI13" i="68"/>
  <c r="Q13" i="68" s="1"/>
  <c r="AI10" i="68"/>
  <c r="Q10" i="68" s="1"/>
  <c r="AI28" i="68"/>
  <c r="Q137" i="68" s="1"/>
  <c r="AI12" i="68"/>
  <c r="Q12" i="68" s="1"/>
  <c r="AI14" i="68"/>
  <c r="Q120" i="68" s="1"/>
  <c r="AI17" i="68"/>
  <c r="Q17" i="68" s="1"/>
  <c r="AI24" i="68"/>
  <c r="Q131" i="68" s="1"/>
  <c r="AI26" i="68"/>
  <c r="Q29" i="68" s="1"/>
  <c r="AI11" i="68"/>
  <c r="Q11" i="68" s="1"/>
  <c r="AI19" i="68"/>
  <c r="Q19" i="68" s="1"/>
  <c r="AI27" i="68"/>
  <c r="Q136" i="68" s="1"/>
  <c r="O37" i="76"/>
  <c r="M12" i="92" s="1"/>
  <c r="AD170" i="67"/>
  <c r="H170" i="67" s="1"/>
  <c r="AC32" i="66"/>
  <c r="AE32" i="66"/>
  <c r="AF32" i="67"/>
  <c r="H147" i="63"/>
  <c r="O44" i="76"/>
  <c r="M13" i="92" s="1"/>
  <c r="AF32" i="66"/>
  <c r="Z170" i="67"/>
  <c r="D170" i="67" s="1"/>
  <c r="D160" i="67"/>
  <c r="Q15" i="68"/>
  <c r="Q121" i="68"/>
  <c r="Q28" i="68"/>
  <c r="Q134" i="68"/>
  <c r="AE32" i="65"/>
  <c r="D167" i="63"/>
  <c r="H167" i="63"/>
  <c r="G147" i="63"/>
  <c r="E147" i="63"/>
  <c r="AF167" i="63"/>
  <c r="G167" i="63"/>
  <c r="F167" i="63"/>
  <c r="F147" i="63"/>
  <c r="H169" i="63"/>
  <c r="D169" i="63"/>
  <c r="F169" i="63"/>
  <c r="G169" i="63"/>
  <c r="AE32" i="67"/>
  <c r="AC32" i="67"/>
  <c r="AB32" i="64"/>
  <c r="AB32" i="66"/>
  <c r="AB32" i="63"/>
  <c r="AP33" i="65"/>
  <c r="I33" i="65" s="1"/>
  <c r="AP30" i="65"/>
  <c r="I30" i="65" s="1"/>
  <c r="AP15" i="65"/>
  <c r="I15" i="65" s="1"/>
  <c r="AP11" i="65"/>
  <c r="I11" i="65" s="1"/>
  <c r="AP26" i="65"/>
  <c r="I26" i="65" s="1"/>
  <c r="AP27" i="65"/>
  <c r="I27" i="65" s="1"/>
  <c r="AP22" i="65"/>
  <c r="I22" i="65" s="1"/>
  <c r="AP18" i="67"/>
  <c r="I18" i="67" s="1"/>
  <c r="AP30" i="67"/>
  <c r="I30" i="67" s="1"/>
  <c r="AP27" i="64"/>
  <c r="I27" i="64" s="1"/>
  <c r="AP17" i="64"/>
  <c r="I17" i="64" s="1"/>
  <c r="AP31" i="64"/>
  <c r="I31" i="64" s="1"/>
  <c r="AP33" i="64"/>
  <c r="I33" i="64" s="1"/>
  <c r="AP23" i="64"/>
  <c r="I23" i="64" s="1"/>
  <c r="AP16" i="66"/>
  <c r="I16" i="66" s="1"/>
  <c r="AP28" i="67"/>
  <c r="I28" i="67" s="1"/>
  <c r="AP21" i="67"/>
  <c r="I21" i="67" s="1"/>
  <c r="AP16" i="67"/>
  <c r="I16" i="67" s="1"/>
  <c r="AP15" i="67"/>
  <c r="I15" i="67" s="1"/>
  <c r="AP14" i="65"/>
  <c r="I14" i="65" s="1"/>
  <c r="AP18" i="65"/>
  <c r="I18" i="65" s="1"/>
  <c r="AP31" i="65"/>
  <c r="I31" i="65" s="1"/>
  <c r="P23" i="63"/>
  <c r="AH28" i="62"/>
  <c r="P31" i="62"/>
  <c r="AH17" i="63"/>
  <c r="Q44" i="76"/>
  <c r="P23" i="67"/>
  <c r="P13" i="64"/>
  <c r="AH13" i="64"/>
  <c r="AH27" i="65"/>
  <c r="P30" i="65"/>
  <c r="AH22" i="65"/>
  <c r="P22" i="65"/>
  <c r="U35" i="76"/>
  <c r="P27" i="64"/>
  <c r="AH11" i="64"/>
  <c r="P11" i="64"/>
  <c r="AH18" i="63"/>
  <c r="P26" i="62"/>
  <c r="P10" i="62"/>
  <c r="P13" i="65"/>
  <c r="AH13" i="65"/>
  <c r="AH16" i="65"/>
  <c r="P16" i="65"/>
  <c r="AH12" i="62"/>
  <c r="P12" i="62"/>
  <c r="AH21" i="63"/>
  <c r="AP11" i="64"/>
  <c r="I11" i="64" s="1"/>
  <c r="P21" i="64"/>
  <c r="AH21" i="64"/>
  <c r="AP29" i="67"/>
  <c r="I29" i="67" s="1"/>
  <c r="AH23" i="63"/>
  <c r="P14" i="67"/>
  <c r="AH14" i="67"/>
  <c r="AH28" i="65"/>
  <c r="P31" i="65"/>
  <c r="Q36" i="76"/>
  <c r="P23" i="65"/>
  <c r="AH25" i="64"/>
  <c r="P28" i="64"/>
  <c r="AH19" i="63"/>
  <c r="P27" i="62"/>
  <c r="AH13" i="63"/>
  <c r="AH13" i="67"/>
  <c r="P13" i="67"/>
  <c r="Q35" i="76"/>
  <c r="P23" i="64"/>
  <c r="AH14" i="63"/>
  <c r="AH17" i="64"/>
  <c r="P17" i="64"/>
  <c r="AH21" i="62"/>
  <c r="P21" i="62"/>
  <c r="AH21" i="67"/>
  <c r="P21" i="67"/>
  <c r="AP19" i="67"/>
  <c r="I19" i="67" s="1"/>
  <c r="AP28" i="65"/>
  <c r="I28" i="65" s="1"/>
  <c r="P21" i="65"/>
  <c r="AH21" i="65"/>
  <c r="AP17" i="67"/>
  <c r="I17" i="67" s="1"/>
  <c r="T44" i="76"/>
  <c r="P26" i="67"/>
  <c r="AH10" i="67"/>
  <c r="P10" i="67"/>
  <c r="P24" i="64"/>
  <c r="AH23" i="64"/>
  <c r="AH28" i="63"/>
  <c r="AH15" i="63"/>
  <c r="P23" i="62"/>
  <c r="AH26" i="63"/>
  <c r="P29" i="62"/>
  <c r="AH26" i="62"/>
  <c r="P31" i="67"/>
  <c r="AH28" i="67"/>
  <c r="AH15" i="67"/>
  <c r="P15" i="67"/>
  <c r="AH23" i="65"/>
  <c r="P24" i="65"/>
  <c r="AH26" i="64"/>
  <c r="P29" i="64"/>
  <c r="AH12" i="63"/>
  <c r="AH26" i="67"/>
  <c r="P29" i="67"/>
  <c r="T36" i="76"/>
  <c r="P26" i="65"/>
  <c r="P18" i="65"/>
  <c r="AH18" i="65"/>
  <c r="P10" i="65"/>
  <c r="AH10" i="65"/>
  <c r="P19" i="64"/>
  <c r="AH19" i="64"/>
  <c r="P26" i="63"/>
  <c r="AH10" i="63"/>
  <c r="P18" i="62"/>
  <c r="AH18" i="62"/>
  <c r="AH25" i="67"/>
  <c r="P28" i="67"/>
  <c r="AH12" i="67"/>
  <c r="P12" i="67"/>
  <c r="P29" i="65"/>
  <c r="AH26" i="65"/>
  <c r="AH17" i="65"/>
  <c r="P17" i="65"/>
  <c r="AH27" i="64"/>
  <c r="P30" i="64"/>
  <c r="AH14" i="64"/>
  <c r="P14" i="64"/>
  <c r="P13" i="62"/>
  <c r="AH13" i="62"/>
  <c r="AH25" i="65"/>
  <c r="P28" i="65"/>
  <c r="AH12" i="65"/>
  <c r="P12" i="65"/>
  <c r="AH25" i="63"/>
  <c r="P24" i="62"/>
  <c r="AH23" i="62"/>
  <c r="AP20" i="67"/>
  <c r="I20" i="67" s="1"/>
  <c r="AP12" i="67"/>
  <c r="I12" i="67" s="1"/>
  <c r="AP23" i="65"/>
  <c r="I23" i="65" s="1"/>
  <c r="AP23" i="67"/>
  <c r="I23" i="67" s="1"/>
  <c r="AP20" i="65"/>
  <c r="I20" i="65" s="1"/>
  <c r="AP16" i="65"/>
  <c r="I16" i="65" s="1"/>
  <c r="AP12" i="65"/>
  <c r="I12" i="65" s="1"/>
  <c r="AP19" i="65"/>
  <c r="I19" i="65" s="1"/>
  <c r="AP33" i="67"/>
  <c r="I33" i="67" s="1"/>
  <c r="P18" i="67"/>
  <c r="AH18" i="67"/>
  <c r="AH16" i="64"/>
  <c r="P16" i="64"/>
  <c r="P15" i="62"/>
  <c r="AH15" i="62"/>
  <c r="AH20" i="65"/>
  <c r="P20" i="65"/>
  <c r="AH17" i="67"/>
  <c r="P17" i="67"/>
  <c r="AH14" i="65"/>
  <c r="P14" i="65"/>
  <c r="AH20" i="67"/>
  <c r="P20" i="67"/>
  <c r="AH24" i="65"/>
  <c r="P25" i="65"/>
  <c r="AH22" i="64"/>
  <c r="P22" i="64"/>
  <c r="AP31" i="67"/>
  <c r="I31" i="67" s="1"/>
  <c r="AP22" i="67"/>
  <c r="I22" i="67" s="1"/>
  <c r="AH27" i="67"/>
  <c r="P30" i="67"/>
  <c r="AH15" i="65"/>
  <c r="P15" i="65"/>
  <c r="P12" i="64"/>
  <c r="AH12" i="64"/>
  <c r="AH11" i="62"/>
  <c r="P11" i="62"/>
  <c r="AH19" i="67"/>
  <c r="P19" i="67"/>
  <c r="AH16" i="63"/>
  <c r="AA44" i="76"/>
  <c r="AH27" i="63"/>
  <c r="AH22" i="62"/>
  <c r="P22" i="62"/>
  <c r="AH16" i="67"/>
  <c r="P16" i="67"/>
  <c r="AH18" i="64"/>
  <c r="P18" i="64"/>
  <c r="AH17" i="62"/>
  <c r="P17" i="62"/>
  <c r="AH25" i="62"/>
  <c r="P28" i="62"/>
  <c r="AP15" i="64"/>
  <c r="I15" i="64" s="1"/>
  <c r="AP26" i="67"/>
  <c r="I26" i="67" s="1"/>
  <c r="AP13" i="67"/>
  <c r="I13" i="67" s="1"/>
  <c r="P22" i="67"/>
  <c r="AH22" i="67"/>
  <c r="U36" i="76"/>
  <c r="P27" i="65"/>
  <c r="AH19" i="65"/>
  <c r="P19" i="65"/>
  <c r="AH11" i="65"/>
  <c r="P11" i="65"/>
  <c r="AH20" i="64"/>
  <c r="P20" i="64"/>
  <c r="P27" i="63"/>
  <c r="AH11" i="63"/>
  <c r="P19" i="62"/>
  <c r="AH19" i="62"/>
  <c r="AH24" i="63"/>
  <c r="AH24" i="62"/>
  <c r="P25" i="62"/>
  <c r="U44" i="76"/>
  <c r="P27" i="67"/>
  <c r="AH11" i="67"/>
  <c r="P11" i="67"/>
  <c r="AH24" i="64"/>
  <c r="P25" i="64"/>
  <c r="P20" i="62"/>
  <c r="AH20" i="62"/>
  <c r="AH24" i="67"/>
  <c r="P25" i="67"/>
  <c r="P31" i="64"/>
  <c r="AH28" i="64"/>
  <c r="P15" i="64"/>
  <c r="AH15" i="64"/>
  <c r="AH22" i="63"/>
  <c r="P30" i="62"/>
  <c r="AH27" i="62"/>
  <c r="AH14" i="62"/>
  <c r="P14" i="62"/>
  <c r="AH23" i="67"/>
  <c r="P24" i="67"/>
  <c r="T35" i="76"/>
  <c r="P26" i="64"/>
  <c r="P10" i="64"/>
  <c r="AH10" i="64"/>
  <c r="AH20" i="63"/>
  <c r="AH16" i="62"/>
  <c r="P16" i="62"/>
  <c r="O36" i="76"/>
  <c r="M11" i="92" s="1"/>
  <c r="AP26" i="64"/>
  <c r="I26" i="64" s="1"/>
  <c r="AP12" i="66"/>
  <c r="I12" i="66" s="1"/>
  <c r="AP29" i="65"/>
  <c r="I29" i="65" s="1"/>
  <c r="AP25" i="65"/>
  <c r="I25" i="65" s="1"/>
  <c r="AP21" i="65"/>
  <c r="I21" i="65" s="1"/>
  <c r="AP17" i="65"/>
  <c r="I17" i="65" s="1"/>
  <c r="AP13" i="65"/>
  <c r="I13" i="65" s="1"/>
  <c r="AP10" i="67"/>
  <c r="I10" i="67" s="1"/>
  <c r="AP25" i="67"/>
  <c r="I25" i="67" s="1"/>
  <c r="AP27" i="67"/>
  <c r="I27" i="67" s="1"/>
  <c r="AP11" i="67"/>
  <c r="I11" i="67" s="1"/>
  <c r="AP14" i="67"/>
  <c r="I14" i="67" s="1"/>
  <c r="AP10" i="65"/>
  <c r="I10" i="65" s="1"/>
  <c r="AP31" i="66"/>
  <c r="I31" i="66" s="1"/>
  <c r="AP26" i="66"/>
  <c r="I26" i="66" s="1"/>
  <c r="AP30" i="66"/>
  <c r="I30" i="66" s="1"/>
  <c r="AP21" i="66"/>
  <c r="I21" i="66" s="1"/>
  <c r="AP14" i="66"/>
  <c r="I14" i="66" s="1"/>
  <c r="AP29" i="66"/>
  <c r="I29" i="66" s="1"/>
  <c r="U37" i="76"/>
  <c r="P27" i="66"/>
  <c r="AU27" i="66"/>
  <c r="AW27" i="66" s="1"/>
  <c r="AP10" i="66"/>
  <c r="I10" i="66" s="1"/>
  <c r="T37" i="76"/>
  <c r="P26" i="66"/>
  <c r="AU26" i="66"/>
  <c r="AW26" i="66" s="1"/>
  <c r="AH24" i="66"/>
  <c r="P25" i="66"/>
  <c r="AU25" i="66"/>
  <c r="AW25" i="66" s="1"/>
  <c r="P20" i="66"/>
  <c r="AH20" i="66"/>
  <c r="AU20" i="66"/>
  <c r="AW20" i="66" s="1"/>
  <c r="P21" i="66"/>
  <c r="AH21" i="66"/>
  <c r="AU21" i="66"/>
  <c r="AV21" i="66" s="1"/>
  <c r="AP19" i="66"/>
  <c r="I19" i="66" s="1"/>
  <c r="AP11" i="66"/>
  <c r="I11" i="66" s="1"/>
  <c r="AP18" i="66"/>
  <c r="I18" i="66" s="1"/>
  <c r="AP33" i="66"/>
  <c r="I33" i="66" s="1"/>
  <c r="AP25" i="66"/>
  <c r="I25" i="66" s="1"/>
  <c r="AP17" i="66"/>
  <c r="I17" i="66" s="1"/>
  <c r="P30" i="66"/>
  <c r="AH27" i="66"/>
  <c r="AU30" i="66"/>
  <c r="AV30" i="66" s="1"/>
  <c r="AH14" i="66"/>
  <c r="P14" i="66"/>
  <c r="AU14" i="66"/>
  <c r="AW14" i="66" s="1"/>
  <c r="AH11" i="66"/>
  <c r="P11" i="66"/>
  <c r="AU11" i="66"/>
  <c r="AV11" i="66" s="1"/>
  <c r="AH26" i="66"/>
  <c r="P29" i="66"/>
  <c r="AU29" i="66"/>
  <c r="AW29" i="66" s="1"/>
  <c r="P28" i="66"/>
  <c r="AU28" i="66"/>
  <c r="AW28" i="66" s="1"/>
  <c r="AH25" i="66"/>
  <c r="P12" i="66"/>
  <c r="AH12" i="66"/>
  <c r="AU12" i="66"/>
  <c r="AV12" i="66" s="1"/>
  <c r="AP15" i="66"/>
  <c r="I15" i="66" s="1"/>
  <c r="AH10" i="66"/>
  <c r="P10" i="66"/>
  <c r="AU10" i="66"/>
  <c r="AV10" i="66" s="1"/>
  <c r="Q37" i="76"/>
  <c r="P23" i="66"/>
  <c r="AU23" i="66"/>
  <c r="AV23" i="66" s="1"/>
  <c r="P24" i="66"/>
  <c r="AH23" i="66"/>
  <c r="AU24" i="66"/>
  <c r="AP28" i="66"/>
  <c r="I28" i="66" s="1"/>
  <c r="AP13" i="66"/>
  <c r="I13" i="66" s="1"/>
  <c r="AH22" i="66"/>
  <c r="P22" i="66"/>
  <c r="AU22" i="66"/>
  <c r="AV22" i="66" s="1"/>
  <c r="AH19" i="66"/>
  <c r="P19" i="66"/>
  <c r="AU19" i="66"/>
  <c r="AW19" i="66" s="1"/>
  <c r="AA37" i="76"/>
  <c r="AU33" i="66"/>
  <c r="AW33" i="66" s="1"/>
  <c r="AH17" i="66"/>
  <c r="P17" i="66"/>
  <c r="AU17" i="66"/>
  <c r="AV17" i="66" s="1"/>
  <c r="AH18" i="66"/>
  <c r="P18" i="66"/>
  <c r="AU18" i="66"/>
  <c r="AV18" i="66" s="1"/>
  <c r="P31" i="66"/>
  <c r="AH28" i="66"/>
  <c r="AU31" i="66"/>
  <c r="AW31" i="66" s="1"/>
  <c r="AH15" i="66"/>
  <c r="P15" i="66"/>
  <c r="AU15" i="66"/>
  <c r="AV15" i="66" s="1"/>
  <c r="AH13" i="66"/>
  <c r="P13" i="66"/>
  <c r="AU13" i="66"/>
  <c r="AV13" i="66" s="1"/>
  <c r="P16" i="66"/>
  <c r="AH16" i="66"/>
  <c r="AU16" i="66"/>
  <c r="AV16" i="66" s="1"/>
  <c r="AP20" i="66"/>
  <c r="I20" i="66" s="1"/>
  <c r="AP23" i="66"/>
  <c r="I23" i="66" s="1"/>
  <c r="AP27" i="66"/>
  <c r="I27" i="66" s="1"/>
  <c r="AP22" i="66"/>
  <c r="I22" i="66" s="1"/>
  <c r="AP19" i="64"/>
  <c r="I19" i="64" s="1"/>
  <c r="AP22" i="64"/>
  <c r="I22" i="64" s="1"/>
  <c r="AP20" i="64"/>
  <c r="I20" i="64" s="1"/>
  <c r="P13" i="63"/>
  <c r="P15" i="63"/>
  <c r="P29" i="63"/>
  <c r="P22" i="63"/>
  <c r="P17" i="63"/>
  <c r="P30" i="63"/>
  <c r="P14" i="63"/>
  <c r="P20" i="63"/>
  <c r="AP33" i="63"/>
  <c r="I33" i="63" s="1"/>
  <c r="P21" i="63"/>
  <c r="AP13" i="63"/>
  <c r="I13" i="63" s="1"/>
  <c r="P19" i="63"/>
  <c r="P16" i="63"/>
  <c r="P10" i="63"/>
  <c r="P31" i="63"/>
  <c r="P12" i="63"/>
  <c r="P24" i="63"/>
  <c r="P11" i="63"/>
  <c r="P25" i="63"/>
  <c r="P18" i="63"/>
  <c r="P28" i="63"/>
  <c r="AP29" i="64"/>
  <c r="I29" i="64" s="1"/>
  <c r="AP13" i="64"/>
  <c r="I13" i="64" s="1"/>
  <c r="AP10" i="64"/>
  <c r="I10" i="64" s="1"/>
  <c r="O35" i="76"/>
  <c r="M10" i="92" s="1"/>
  <c r="AP30" i="64"/>
  <c r="I30" i="64" s="1"/>
  <c r="AP28" i="64"/>
  <c r="I28" i="64" s="1"/>
  <c r="AP14" i="64"/>
  <c r="I14" i="64" s="1"/>
  <c r="AP12" i="64"/>
  <c r="I12" i="64" s="1"/>
  <c r="AP25" i="64"/>
  <c r="I25" i="64" s="1"/>
  <c r="AP21" i="64"/>
  <c r="I21" i="64" s="1"/>
  <c r="AP18" i="64"/>
  <c r="I18" i="64" s="1"/>
  <c r="AP16" i="64"/>
  <c r="I16" i="64" s="1"/>
  <c r="AP31" i="63"/>
  <c r="I31" i="63" s="1"/>
  <c r="AP15" i="63"/>
  <c r="I15" i="63" s="1"/>
  <c r="AP23" i="63"/>
  <c r="I23" i="63" s="1"/>
  <c r="AP10" i="62"/>
  <c r="I10" i="62" s="1"/>
  <c r="AP25" i="63"/>
  <c r="I25" i="63" s="1"/>
  <c r="AP29" i="63"/>
  <c r="I29" i="63" s="1"/>
  <c r="AP19" i="63"/>
  <c r="I19" i="63" s="1"/>
  <c r="AP26" i="63"/>
  <c r="I26" i="63" s="1"/>
  <c r="AP16" i="63"/>
  <c r="I16" i="63" s="1"/>
  <c r="AP12" i="63"/>
  <c r="I12" i="63" s="1"/>
  <c r="AP11" i="63"/>
  <c r="I11" i="63" s="1"/>
  <c r="AP30" i="63"/>
  <c r="I30" i="63" s="1"/>
  <c r="AP28" i="63"/>
  <c r="I28" i="63" s="1"/>
  <c r="AP21" i="63"/>
  <c r="I21" i="63" s="1"/>
  <c r="AP18" i="63"/>
  <c r="I18" i="63" s="1"/>
  <c r="AP10" i="63"/>
  <c r="I10" i="63" s="1"/>
  <c r="AP14" i="63"/>
  <c r="I14" i="63" s="1"/>
  <c r="AP27" i="63"/>
  <c r="I27" i="63" s="1"/>
  <c r="AP22" i="63"/>
  <c r="I22" i="63" s="1"/>
  <c r="AP20" i="63"/>
  <c r="I20" i="63" s="1"/>
  <c r="AP17" i="63"/>
  <c r="I17" i="63" s="1"/>
  <c r="AP33" i="62"/>
  <c r="I33" i="62" s="1"/>
  <c r="AP20" i="62"/>
  <c r="I20" i="62" s="1"/>
  <c r="AP16" i="62"/>
  <c r="I16" i="62" s="1"/>
  <c r="AP12" i="62"/>
  <c r="I12" i="62" s="1"/>
  <c r="O27" i="76"/>
  <c r="M8" i="92" s="1"/>
  <c r="AP22" i="62"/>
  <c r="I22" i="62" s="1"/>
  <c r="AP18" i="62"/>
  <c r="I18" i="62" s="1"/>
  <c r="AP14" i="62"/>
  <c r="I14" i="62" s="1"/>
  <c r="AP23" i="62"/>
  <c r="I23" i="62" s="1"/>
  <c r="AP29" i="62"/>
  <c r="I29" i="62" s="1"/>
  <c r="AP25" i="62"/>
  <c r="I25" i="62" s="1"/>
  <c r="AP21" i="62"/>
  <c r="I21" i="62" s="1"/>
  <c r="AP17" i="62"/>
  <c r="I17" i="62" s="1"/>
  <c r="AP13" i="62"/>
  <c r="I13" i="62" s="1"/>
  <c r="AP31" i="62"/>
  <c r="I31" i="62" s="1"/>
  <c r="AP27" i="62"/>
  <c r="I27" i="62" s="1"/>
  <c r="AP28" i="62"/>
  <c r="I28" i="62" s="1"/>
  <c r="AP30" i="62"/>
  <c r="I30" i="62" s="1"/>
  <c r="AP26" i="62"/>
  <c r="I26" i="62" s="1"/>
  <c r="AP19" i="62"/>
  <c r="I19" i="62" s="1"/>
  <c r="AP15" i="62"/>
  <c r="I15" i="62" s="1"/>
  <c r="AP11" i="62"/>
  <c r="I11" i="62" s="1"/>
  <c r="T27" i="76"/>
  <c r="U27" i="76"/>
  <c r="Q27" i="76"/>
  <c r="M27" i="76"/>
  <c r="K8" i="92" s="1"/>
  <c r="E27" i="76"/>
  <c r="C8" i="92" s="1"/>
  <c r="S44" i="76"/>
  <c r="Q13" i="92" s="1"/>
  <c r="R44" i="76"/>
  <c r="P13" i="92" s="1"/>
  <c r="V37" i="76"/>
  <c r="T12" i="92" s="1"/>
  <c r="F37" i="76"/>
  <c r="D12" i="92" s="1"/>
  <c r="K36" i="76"/>
  <c r="I11" i="92" s="1"/>
  <c r="P35" i="76"/>
  <c r="N10" i="92" s="1"/>
  <c r="AA27" i="76"/>
  <c r="R27" i="76"/>
  <c r="P8" i="92" s="1"/>
  <c r="F27" i="76"/>
  <c r="D8" i="92" s="1"/>
  <c r="L44" i="76"/>
  <c r="J13" i="92" s="1"/>
  <c r="D44" i="76"/>
  <c r="B13" i="92" s="1"/>
  <c r="E36" i="76"/>
  <c r="C11" i="92" s="1"/>
  <c r="J35" i="76"/>
  <c r="H10" i="92" s="1"/>
  <c r="M44" i="76"/>
  <c r="K13" i="92" s="1"/>
  <c r="E44" i="76"/>
  <c r="C13" i="92" s="1"/>
  <c r="M37" i="76"/>
  <c r="K12" i="92" s="1"/>
  <c r="W37" i="76"/>
  <c r="U12" i="92" s="1"/>
  <c r="X36" i="76"/>
  <c r="V11" i="92" s="1"/>
  <c r="G27" i="76"/>
  <c r="E8" i="92" s="1"/>
  <c r="V36" i="76"/>
  <c r="T11" i="92" s="1"/>
  <c r="X44" i="76"/>
  <c r="V13" i="92" s="1"/>
  <c r="P44" i="76"/>
  <c r="N13" i="92" s="1"/>
  <c r="H44" i="76"/>
  <c r="F13" i="92" s="1"/>
  <c r="X37" i="76"/>
  <c r="V12" i="92" s="1"/>
  <c r="P37" i="76"/>
  <c r="N12" i="92" s="1"/>
  <c r="H37" i="76"/>
  <c r="F12" i="92" s="1"/>
  <c r="Y36" i="76"/>
  <c r="W11" i="92" s="1"/>
  <c r="I36" i="76"/>
  <c r="G11" i="92" s="1"/>
  <c r="V35" i="76"/>
  <c r="T10" i="92" s="1"/>
  <c r="N35" i="76"/>
  <c r="L10" i="92" s="1"/>
  <c r="F35" i="76"/>
  <c r="D10" i="92" s="1"/>
  <c r="Y44" i="76"/>
  <c r="W13" i="92" s="1"/>
  <c r="I44" i="76"/>
  <c r="G13" i="92" s="1"/>
  <c r="Y37" i="76"/>
  <c r="W12" i="92" s="1"/>
  <c r="I37" i="76"/>
  <c r="G12" i="92" s="1"/>
  <c r="R36" i="76"/>
  <c r="P11" i="92" s="1"/>
  <c r="W35" i="76"/>
  <c r="U10" i="92" s="1"/>
  <c r="G35" i="76"/>
  <c r="E10" i="92" s="1"/>
  <c r="S37" i="76"/>
  <c r="Q12" i="92" s="1"/>
  <c r="G37" i="76"/>
  <c r="E12" i="92" s="1"/>
  <c r="L36" i="76"/>
  <c r="J11" i="92" s="1"/>
  <c r="D36" i="76"/>
  <c r="B11" i="92" s="1"/>
  <c r="M35" i="76"/>
  <c r="K10" i="92" s="1"/>
  <c r="E35" i="76"/>
  <c r="C10" i="92" s="1"/>
  <c r="K27" i="76"/>
  <c r="I8" i="92" s="1"/>
  <c r="J36" i="76"/>
  <c r="H11" i="92" s="1"/>
  <c r="AA35" i="76"/>
  <c r="S27" i="76"/>
  <c r="Q8" i="92" s="1"/>
  <c r="G44" i="76"/>
  <c r="E13" i="92" s="1"/>
  <c r="L27" i="76"/>
  <c r="J8" i="92" s="1"/>
  <c r="D27" i="76"/>
  <c r="B8" i="92" s="1"/>
  <c r="J44" i="76"/>
  <c r="H13" i="92" s="1"/>
  <c r="N37" i="76"/>
  <c r="L12" i="92" s="1"/>
  <c r="W36" i="76"/>
  <c r="U11" i="92" s="1"/>
  <c r="X35" i="76"/>
  <c r="V10" i="92" s="1"/>
  <c r="H35" i="76"/>
  <c r="F10" i="92" s="1"/>
  <c r="L37" i="76"/>
  <c r="J12" i="92" s="1"/>
  <c r="D37" i="76"/>
  <c r="B12" i="92" s="1"/>
  <c r="M36" i="76"/>
  <c r="K11" i="92" s="1"/>
  <c r="R35" i="76"/>
  <c r="P10" i="92" s="1"/>
  <c r="E37" i="76"/>
  <c r="C12" i="92" s="1"/>
  <c r="N36" i="76"/>
  <c r="L11" i="92" s="1"/>
  <c r="S35" i="76"/>
  <c r="Q10" i="92" s="1"/>
  <c r="K37" i="76"/>
  <c r="I12" i="92" s="1"/>
  <c r="P36" i="76"/>
  <c r="N11" i="92" s="1"/>
  <c r="H36" i="76"/>
  <c r="F11" i="92" s="1"/>
  <c r="Y35" i="76"/>
  <c r="W10" i="92" s="1"/>
  <c r="I35" i="76"/>
  <c r="G10" i="92" s="1"/>
  <c r="F36" i="76"/>
  <c r="D11" i="92" s="1"/>
  <c r="K35" i="76"/>
  <c r="I10" i="92" s="1"/>
  <c r="Y27" i="76"/>
  <c r="W8" i="92" s="1"/>
  <c r="I27" i="76"/>
  <c r="G8" i="92" s="1"/>
  <c r="W27" i="76"/>
  <c r="U8" i="92" s="1"/>
  <c r="N27" i="76"/>
  <c r="L8" i="92" s="1"/>
  <c r="W44" i="76"/>
  <c r="U13" i="92" s="1"/>
  <c r="K44" i="76"/>
  <c r="I13" i="92" s="1"/>
  <c r="X27" i="76"/>
  <c r="V8" i="92" s="1"/>
  <c r="P27" i="76"/>
  <c r="N8" i="92" s="1"/>
  <c r="H27" i="76"/>
  <c r="F8" i="92" s="1"/>
  <c r="V44" i="76"/>
  <c r="T13" i="92" s="1"/>
  <c r="N44" i="76"/>
  <c r="L13" i="92" s="1"/>
  <c r="F44" i="76"/>
  <c r="D13" i="92" s="1"/>
  <c r="R37" i="76"/>
  <c r="P12" i="92" s="1"/>
  <c r="J37" i="76"/>
  <c r="H12" i="92" s="1"/>
  <c r="AA36" i="76"/>
  <c r="S36" i="76"/>
  <c r="Q11" i="92" s="1"/>
  <c r="G36" i="76"/>
  <c r="E11" i="92" s="1"/>
  <c r="L35" i="76"/>
  <c r="J10" i="92" s="1"/>
  <c r="D35" i="76"/>
  <c r="B10" i="92" s="1"/>
  <c r="V27" i="76"/>
  <c r="T8" i="92" s="1"/>
  <c r="J27" i="76"/>
  <c r="H8" i="92" s="1"/>
  <c r="AO33" i="49"/>
  <c r="AD171" i="49"/>
  <c r="AC171" i="49"/>
  <c r="G171" i="49" s="1"/>
  <c r="AB171" i="49"/>
  <c r="AA171" i="49"/>
  <c r="Z171" i="49"/>
  <c r="AD165" i="49"/>
  <c r="AC165" i="49"/>
  <c r="AB165" i="49"/>
  <c r="AA165" i="49"/>
  <c r="Z165" i="49"/>
  <c r="AD128" i="49"/>
  <c r="AC128" i="49"/>
  <c r="AB128" i="49"/>
  <c r="AA128" i="49"/>
  <c r="Z128" i="49"/>
  <c r="H27" i="49"/>
  <c r="G27" i="49"/>
  <c r="F27" i="49"/>
  <c r="E27" i="49"/>
  <c r="D27" i="49"/>
  <c r="AD169" i="49"/>
  <c r="AC169" i="49"/>
  <c r="AB169" i="49"/>
  <c r="AA169" i="49"/>
  <c r="Z169" i="49"/>
  <c r="AD168" i="49"/>
  <c r="AC168" i="49"/>
  <c r="AB168" i="49"/>
  <c r="AA168" i="49"/>
  <c r="Z168" i="49"/>
  <c r="AD167" i="49"/>
  <c r="AC167" i="49"/>
  <c r="AB167" i="49"/>
  <c r="AA167" i="49"/>
  <c r="Z167" i="49"/>
  <c r="AD166" i="49"/>
  <c r="AC166" i="49"/>
  <c r="AB166" i="49"/>
  <c r="AA166" i="49"/>
  <c r="Z166" i="49"/>
  <c r="AD164" i="49"/>
  <c r="AC164" i="49"/>
  <c r="AB164" i="49"/>
  <c r="AA164" i="49"/>
  <c r="Z164" i="49"/>
  <c r="AD163" i="49"/>
  <c r="AC163" i="49"/>
  <c r="AB163" i="49"/>
  <c r="AA163" i="49"/>
  <c r="Z163" i="49"/>
  <c r="AD162" i="49"/>
  <c r="AC162" i="49"/>
  <c r="AB162" i="49"/>
  <c r="AA162" i="49"/>
  <c r="Z162" i="49"/>
  <c r="AD161" i="49"/>
  <c r="AC161" i="49"/>
  <c r="AB161" i="49"/>
  <c r="AA161" i="49"/>
  <c r="Z161" i="49"/>
  <c r="AD160" i="49"/>
  <c r="AC160" i="49"/>
  <c r="AB160" i="49"/>
  <c r="AA160" i="49"/>
  <c r="Z160" i="49"/>
  <c r="AD159" i="49"/>
  <c r="AC159" i="49"/>
  <c r="AB159" i="49"/>
  <c r="AA159" i="49"/>
  <c r="Z159" i="49"/>
  <c r="AD158" i="49"/>
  <c r="AC158" i="49"/>
  <c r="AB158" i="49"/>
  <c r="AA158" i="49"/>
  <c r="Z158" i="49"/>
  <c r="AD157" i="49"/>
  <c r="AC157" i="49"/>
  <c r="AB157" i="49"/>
  <c r="AA157" i="49"/>
  <c r="Z157" i="49"/>
  <c r="AD156" i="49"/>
  <c r="AC156" i="49"/>
  <c r="AB156" i="49"/>
  <c r="AA156" i="49"/>
  <c r="Z156" i="49"/>
  <c r="AD155" i="49"/>
  <c r="AC155" i="49"/>
  <c r="AB155" i="49"/>
  <c r="AA155" i="49"/>
  <c r="Z155" i="49"/>
  <c r="AD154" i="49"/>
  <c r="AC154" i="49"/>
  <c r="AB154" i="49"/>
  <c r="AA154" i="49"/>
  <c r="Z154" i="49"/>
  <c r="AD153" i="49"/>
  <c r="AC153" i="49"/>
  <c r="AB153" i="49"/>
  <c r="AA153" i="49"/>
  <c r="AD152" i="49"/>
  <c r="AC152" i="49"/>
  <c r="AB152" i="49"/>
  <c r="AA152" i="49"/>
  <c r="Z152" i="49"/>
  <c r="AD151" i="49"/>
  <c r="AC151" i="49"/>
  <c r="AB151" i="49"/>
  <c r="AA151" i="49"/>
  <c r="Z151" i="49"/>
  <c r="AD150" i="49"/>
  <c r="AC150" i="49"/>
  <c r="AB150" i="49"/>
  <c r="AA150" i="49"/>
  <c r="Z150" i="49"/>
  <c r="AD149" i="49"/>
  <c r="AC149" i="49"/>
  <c r="AB149" i="49"/>
  <c r="AA149" i="49"/>
  <c r="Z149" i="49"/>
  <c r="AD148" i="49"/>
  <c r="AC148" i="49"/>
  <c r="AB148" i="49"/>
  <c r="AA148" i="49"/>
  <c r="Z148" i="49"/>
  <c r="AD132" i="49"/>
  <c r="AC132" i="49"/>
  <c r="AB132" i="49"/>
  <c r="AA132" i="49"/>
  <c r="Z132" i="49"/>
  <c r="AD131" i="49"/>
  <c r="AC131" i="49"/>
  <c r="AB131" i="49"/>
  <c r="AA131" i="49"/>
  <c r="Z131" i="49"/>
  <c r="AD130" i="49"/>
  <c r="AC130" i="49"/>
  <c r="AB130" i="49"/>
  <c r="AA130" i="49"/>
  <c r="Z130" i="49"/>
  <c r="AD129" i="49"/>
  <c r="AC129" i="49"/>
  <c r="AB129" i="49"/>
  <c r="AA129" i="49"/>
  <c r="Z129" i="49"/>
  <c r="AD127" i="49"/>
  <c r="AC127" i="49"/>
  <c r="AB127" i="49"/>
  <c r="AA127" i="49"/>
  <c r="Z127" i="49"/>
  <c r="AD126" i="49"/>
  <c r="AC126" i="49"/>
  <c r="AB126" i="49"/>
  <c r="AA126" i="49"/>
  <c r="Z126" i="49"/>
  <c r="AD125" i="49"/>
  <c r="AC125" i="49"/>
  <c r="AA125" i="49"/>
  <c r="Z125" i="49"/>
  <c r="AD124" i="49"/>
  <c r="AC124" i="49"/>
  <c r="AB124" i="49"/>
  <c r="AA124" i="49"/>
  <c r="Z124" i="49"/>
  <c r="AD123" i="49"/>
  <c r="AC123" i="49"/>
  <c r="AB123" i="49"/>
  <c r="AA123" i="49"/>
  <c r="Z123" i="49"/>
  <c r="AD122" i="49"/>
  <c r="AC122" i="49"/>
  <c r="AB122" i="49"/>
  <c r="AA122" i="49"/>
  <c r="Z122" i="49"/>
  <c r="AD121" i="49"/>
  <c r="AC121" i="49"/>
  <c r="AB121" i="49"/>
  <c r="AA121" i="49"/>
  <c r="Z121" i="49"/>
  <c r="AD120" i="49"/>
  <c r="AC120" i="49"/>
  <c r="AB120" i="49"/>
  <c r="AA120" i="49"/>
  <c r="Z120" i="49"/>
  <c r="AD119" i="49"/>
  <c r="AC119" i="49"/>
  <c r="AB119" i="49"/>
  <c r="AA119" i="49"/>
  <c r="Z119" i="49"/>
  <c r="AD118" i="49"/>
  <c r="AC118" i="49"/>
  <c r="AB118" i="49"/>
  <c r="AA118" i="49"/>
  <c r="Z118" i="49"/>
  <c r="AD117" i="49"/>
  <c r="AC117" i="49"/>
  <c r="AB117" i="49"/>
  <c r="AA117" i="49"/>
  <c r="Z117" i="49"/>
  <c r="AD116" i="49"/>
  <c r="AC116" i="49"/>
  <c r="AB116" i="49"/>
  <c r="AA116" i="49"/>
  <c r="Z116" i="49"/>
  <c r="AD115" i="49"/>
  <c r="AC115" i="49"/>
  <c r="AB115" i="49"/>
  <c r="AA115" i="49"/>
  <c r="Z115" i="49"/>
  <c r="AD114" i="49"/>
  <c r="AC114" i="49"/>
  <c r="AB114" i="49"/>
  <c r="AA114" i="49"/>
  <c r="Z114" i="49"/>
  <c r="AD113" i="49"/>
  <c r="AC113" i="49"/>
  <c r="AB113" i="49"/>
  <c r="AA113" i="49"/>
  <c r="Z113" i="49"/>
  <c r="AD112" i="49"/>
  <c r="AC112" i="49"/>
  <c r="AB112" i="49"/>
  <c r="AA112" i="49"/>
  <c r="Z112" i="49"/>
  <c r="AD111" i="49"/>
  <c r="AC111" i="49"/>
  <c r="AB111" i="49"/>
  <c r="AA111" i="49"/>
  <c r="Z111" i="49"/>
  <c r="AG10" i="49"/>
  <c r="Q33" i="49" s="1"/>
  <c r="H31" i="49"/>
  <c r="G31" i="49"/>
  <c r="F31" i="49"/>
  <c r="E31" i="49"/>
  <c r="D31" i="49"/>
  <c r="H30" i="49"/>
  <c r="G30" i="49"/>
  <c r="F30" i="49"/>
  <c r="E30" i="49"/>
  <c r="D30" i="49"/>
  <c r="H29" i="49"/>
  <c r="G29" i="49"/>
  <c r="F29" i="49"/>
  <c r="E29" i="49"/>
  <c r="D29" i="49"/>
  <c r="H28" i="49"/>
  <c r="G28" i="49"/>
  <c r="F28" i="49"/>
  <c r="E28" i="49"/>
  <c r="D28" i="49"/>
  <c r="H26" i="49"/>
  <c r="G26" i="49"/>
  <c r="F26" i="49"/>
  <c r="E26" i="49"/>
  <c r="D26" i="49"/>
  <c r="H25" i="49"/>
  <c r="G25" i="49"/>
  <c r="F25" i="49"/>
  <c r="E25" i="49"/>
  <c r="D25" i="49"/>
  <c r="H24" i="49"/>
  <c r="G24" i="49"/>
  <c r="E24" i="49"/>
  <c r="D24" i="49"/>
  <c r="H23" i="49"/>
  <c r="G23" i="49"/>
  <c r="F23" i="49"/>
  <c r="E23" i="49"/>
  <c r="D23" i="49"/>
  <c r="H22" i="49"/>
  <c r="G22" i="49"/>
  <c r="F22" i="49"/>
  <c r="E22" i="49"/>
  <c r="D22" i="49"/>
  <c r="H21" i="49"/>
  <c r="G21" i="49"/>
  <c r="F21" i="49"/>
  <c r="E21" i="49"/>
  <c r="D21" i="49"/>
  <c r="H20" i="49"/>
  <c r="G20" i="49"/>
  <c r="F20" i="49"/>
  <c r="E20" i="49"/>
  <c r="D20" i="49"/>
  <c r="H19" i="49"/>
  <c r="G19" i="49"/>
  <c r="F19" i="49"/>
  <c r="E19" i="49"/>
  <c r="D19" i="49"/>
  <c r="H18" i="49"/>
  <c r="G18" i="49"/>
  <c r="F18" i="49"/>
  <c r="E18" i="49"/>
  <c r="D18" i="49"/>
  <c r="H17" i="49"/>
  <c r="G17" i="49"/>
  <c r="F17" i="49"/>
  <c r="E17" i="49"/>
  <c r="D17" i="49"/>
  <c r="H16" i="49"/>
  <c r="G16" i="49"/>
  <c r="F16" i="49"/>
  <c r="E16" i="49"/>
  <c r="D16" i="49"/>
  <c r="H15" i="49"/>
  <c r="G15" i="49"/>
  <c r="F15" i="49"/>
  <c r="E15" i="49"/>
  <c r="D15" i="49"/>
  <c r="H14" i="49"/>
  <c r="G14" i="49"/>
  <c r="F14" i="49"/>
  <c r="E14" i="49"/>
  <c r="D14" i="49"/>
  <c r="H13" i="49"/>
  <c r="G13" i="49"/>
  <c r="F13" i="49"/>
  <c r="E13" i="49"/>
  <c r="D13" i="49"/>
  <c r="H12" i="49"/>
  <c r="G12" i="49"/>
  <c r="F12" i="49"/>
  <c r="E12" i="49"/>
  <c r="D12" i="49"/>
  <c r="H11" i="49"/>
  <c r="G11" i="49"/>
  <c r="F11" i="49"/>
  <c r="E11" i="49"/>
  <c r="D11" i="49"/>
  <c r="H10" i="49"/>
  <c r="G10" i="49"/>
  <c r="F10" i="49"/>
  <c r="E10" i="49"/>
  <c r="D10" i="49"/>
  <c r="V5" i="92"/>
  <c r="T5" i="92"/>
  <c r="P5" i="92"/>
  <c r="N5" i="92"/>
  <c r="M5" i="92"/>
  <c r="L5" i="92"/>
  <c r="K5" i="92"/>
  <c r="J5" i="92"/>
  <c r="H5" i="92"/>
  <c r="G5" i="92"/>
  <c r="F5" i="92"/>
  <c r="E5" i="92"/>
  <c r="D5" i="92"/>
  <c r="C5" i="92"/>
  <c r="B5" i="92"/>
  <c r="AV27" i="66" l="1"/>
  <c r="AV26" i="66"/>
  <c r="AV20" i="66"/>
  <c r="Y8" i="92" a="1"/>
  <c r="Y8" i="92" s="1"/>
  <c r="Z42" i="62" s="1"/>
  <c r="Y12" i="92" a="1"/>
  <c r="Y12" i="92" s="1"/>
  <c r="Z42" i="66" s="1"/>
  <c r="Z12" i="92" a="1"/>
  <c r="Z12" i="92" s="1"/>
  <c r="AA42" i="66" s="1"/>
  <c r="AA12" i="92" a="1"/>
  <c r="AA12" i="92" s="1"/>
  <c r="AD41" i="66" s="1"/>
  <c r="AD42" i="66" s="1"/>
  <c r="AA11" i="92" a="1"/>
  <c r="AA11" i="92" s="1"/>
  <c r="AD41" i="65" s="1"/>
  <c r="AD42" i="65" s="1"/>
  <c r="Z11" i="92" a="1"/>
  <c r="Z11" i="92" s="1"/>
  <c r="AA42" i="65" s="1"/>
  <c r="Y11" i="92" a="1"/>
  <c r="Y11" i="92" s="1"/>
  <c r="Z42" i="65" s="1"/>
  <c r="AA10" i="92" a="1"/>
  <c r="AA10" i="92" s="1"/>
  <c r="AD41" i="64" s="1"/>
  <c r="AD42" i="64" s="1"/>
  <c r="Y10" i="92" a="1"/>
  <c r="Y10" i="92" s="1"/>
  <c r="Z42" i="64" s="1"/>
  <c r="Z10" i="92" a="1"/>
  <c r="Z10" i="92" s="1"/>
  <c r="AA42" i="64" s="1"/>
  <c r="Z8" i="92" a="1"/>
  <c r="Z8" i="92" s="1"/>
  <c r="AA42" i="62" s="1"/>
  <c r="AA8" i="92" a="1"/>
  <c r="AA8" i="92" s="1"/>
  <c r="AD41" i="62" s="1"/>
  <c r="AD42" i="62" s="1"/>
  <c r="AA13" i="92" a="1"/>
  <c r="AA13" i="92" s="1"/>
  <c r="AD41" i="67" s="1"/>
  <c r="AD42" i="67" s="1"/>
  <c r="Z13" i="92" a="1"/>
  <c r="Z13" i="92" s="1"/>
  <c r="AA42" i="67" s="1"/>
  <c r="Y13" i="92" a="1"/>
  <c r="Y13" i="92" s="1"/>
  <c r="Z42" i="67" s="1"/>
  <c r="AA9" i="92" a="1"/>
  <c r="AA9" i="92" s="1"/>
  <c r="AD41" i="63" s="1"/>
  <c r="AD42" i="63" s="1"/>
  <c r="Y9" i="92" a="1"/>
  <c r="Y9" i="92" s="1"/>
  <c r="Z42" i="63" s="1"/>
  <c r="Z9" i="92" a="1"/>
  <c r="Z9" i="92" s="1"/>
  <c r="AA42" i="63" s="1"/>
  <c r="Q127" i="68"/>
  <c r="Q135" i="68"/>
  <c r="I5" i="92"/>
  <c r="Q5" i="92"/>
  <c r="U5" i="92"/>
  <c r="Q122" i="68"/>
  <c r="Q18" i="68"/>
  <c r="Z10" i="49"/>
  <c r="Z14" i="49"/>
  <c r="AA18" i="49"/>
  <c r="Z18" i="49"/>
  <c r="AA22" i="49"/>
  <c r="Z22" i="49"/>
  <c r="AA26" i="49"/>
  <c r="Z26" i="49"/>
  <c r="AA31" i="49"/>
  <c r="Z31" i="49"/>
  <c r="Z11" i="49"/>
  <c r="Z15" i="49"/>
  <c r="AA19" i="49"/>
  <c r="Z19" i="49"/>
  <c r="Z12" i="49"/>
  <c r="Z16" i="49"/>
  <c r="Z20" i="49"/>
  <c r="AA24" i="49"/>
  <c r="Z24" i="49"/>
  <c r="Z29" i="49"/>
  <c r="Z23" i="49"/>
  <c r="Z28" i="49"/>
  <c r="Z13" i="49"/>
  <c r="Z17" i="49"/>
  <c r="Z21" i="49"/>
  <c r="Z25" i="49"/>
  <c r="AA30" i="49"/>
  <c r="Z30" i="49"/>
  <c r="AA27" i="49"/>
  <c r="Z27" i="49"/>
  <c r="Q25" i="68"/>
  <c r="Q128" i="68"/>
  <c r="Q24" i="68"/>
  <c r="Q31" i="68"/>
  <c r="Q117" i="68"/>
  <c r="Q119" i="68"/>
  <c r="Q126" i="68"/>
  <c r="Q118" i="68"/>
  <c r="Q30" i="68"/>
  <c r="Q14" i="68"/>
  <c r="Q125" i="68"/>
  <c r="Q123" i="68"/>
  <c r="AW12" i="66"/>
  <c r="AX12" i="66" s="1"/>
  <c r="H115" i="62"/>
  <c r="AF13" i="49"/>
  <c r="H119" i="62"/>
  <c r="AF17" i="49"/>
  <c r="H123" i="62"/>
  <c r="AF21" i="49"/>
  <c r="H127" i="62"/>
  <c r="AF25" i="49"/>
  <c r="H132" i="62"/>
  <c r="AF30" i="49"/>
  <c r="H129" i="62"/>
  <c r="AF27" i="49"/>
  <c r="H112" i="62"/>
  <c r="AF10" i="49"/>
  <c r="H116" i="62"/>
  <c r="AF14" i="49"/>
  <c r="H120" i="62"/>
  <c r="AF18" i="49"/>
  <c r="H124" i="62"/>
  <c r="AF22" i="49"/>
  <c r="H128" i="62"/>
  <c r="AF26" i="49"/>
  <c r="H133" i="62"/>
  <c r="AF31" i="49"/>
  <c r="H113" i="62"/>
  <c r="AF11" i="49"/>
  <c r="H117" i="62"/>
  <c r="AF15" i="49"/>
  <c r="H121" i="62"/>
  <c r="AF19" i="49"/>
  <c r="H125" i="62"/>
  <c r="AF23" i="49"/>
  <c r="H130" i="62"/>
  <c r="AF28" i="49"/>
  <c r="H114" i="62"/>
  <c r="AF12" i="49"/>
  <c r="H118" i="62"/>
  <c r="AF16" i="49"/>
  <c r="H122" i="62"/>
  <c r="AF20" i="49"/>
  <c r="H126" i="62"/>
  <c r="AF24" i="49"/>
  <c r="H131" i="62"/>
  <c r="AF29" i="49"/>
  <c r="F114" i="62"/>
  <c r="AD12" i="49"/>
  <c r="F122" i="62"/>
  <c r="AD20" i="49"/>
  <c r="F115" i="62"/>
  <c r="AD13" i="49"/>
  <c r="F123" i="62"/>
  <c r="AD21" i="49"/>
  <c r="F127" i="62"/>
  <c r="AD25" i="49"/>
  <c r="F132" i="62"/>
  <c r="AD30" i="49"/>
  <c r="F112" i="62"/>
  <c r="AD10" i="49"/>
  <c r="F120" i="62"/>
  <c r="AD18" i="49"/>
  <c r="F128" i="62"/>
  <c r="AD26" i="49"/>
  <c r="F118" i="62"/>
  <c r="AD16" i="49"/>
  <c r="F131" i="62"/>
  <c r="AD29" i="49"/>
  <c r="F119" i="62"/>
  <c r="AD17" i="49"/>
  <c r="F129" i="62"/>
  <c r="AD27" i="49"/>
  <c r="F116" i="62"/>
  <c r="AD14" i="49"/>
  <c r="F124" i="62"/>
  <c r="AD22" i="49"/>
  <c r="F133" i="62"/>
  <c r="AD31" i="49"/>
  <c r="F113" i="62"/>
  <c r="AD11" i="49"/>
  <c r="F117" i="62"/>
  <c r="AD15" i="49"/>
  <c r="F121" i="62"/>
  <c r="AD19" i="49"/>
  <c r="F125" i="62"/>
  <c r="AD23" i="49"/>
  <c r="F130" i="62"/>
  <c r="AD28" i="49"/>
  <c r="G115" i="62"/>
  <c r="AE13" i="49"/>
  <c r="G127" i="62"/>
  <c r="AE25" i="49"/>
  <c r="G120" i="62"/>
  <c r="AE18" i="49"/>
  <c r="G128" i="62"/>
  <c r="AE26" i="49"/>
  <c r="G114" i="62"/>
  <c r="AE12" i="49"/>
  <c r="G118" i="62"/>
  <c r="AE16" i="49"/>
  <c r="G122" i="62"/>
  <c r="AE20" i="49"/>
  <c r="G126" i="62"/>
  <c r="AE24" i="49"/>
  <c r="G131" i="62"/>
  <c r="AE29" i="49"/>
  <c r="G119" i="62"/>
  <c r="AE17" i="49"/>
  <c r="G123" i="62"/>
  <c r="AE21" i="49"/>
  <c r="G132" i="62"/>
  <c r="AE30" i="49"/>
  <c r="G129" i="62"/>
  <c r="AE27" i="49"/>
  <c r="G116" i="62"/>
  <c r="AE14" i="49"/>
  <c r="G124" i="62"/>
  <c r="AE22" i="49"/>
  <c r="G133" i="62"/>
  <c r="AE31" i="49"/>
  <c r="G113" i="62"/>
  <c r="AE11" i="49"/>
  <c r="G117" i="62"/>
  <c r="AE15" i="49"/>
  <c r="G121" i="62"/>
  <c r="AE19" i="49"/>
  <c r="G125" i="62"/>
  <c r="AE23" i="49"/>
  <c r="G130" i="62"/>
  <c r="AE28" i="49"/>
  <c r="G112" i="62"/>
  <c r="AE10" i="49"/>
  <c r="D118" i="62"/>
  <c r="AB16" i="49"/>
  <c r="D122" i="62"/>
  <c r="AB20" i="49"/>
  <c r="D131" i="62"/>
  <c r="AB29" i="49"/>
  <c r="AF115" i="49"/>
  <c r="D116" i="49" s="1"/>
  <c r="AF123" i="49"/>
  <c r="D124" i="49" s="1"/>
  <c r="AF132" i="49"/>
  <c r="D133" i="49" s="1"/>
  <c r="D115" i="62"/>
  <c r="AB13" i="49"/>
  <c r="D123" i="62"/>
  <c r="AB21" i="49"/>
  <c r="D132" i="62"/>
  <c r="AB30" i="49"/>
  <c r="AF116" i="49"/>
  <c r="D117" i="49" s="1"/>
  <c r="AF124" i="49"/>
  <c r="D125" i="49" s="1"/>
  <c r="D113" i="62"/>
  <c r="AB11" i="49"/>
  <c r="D117" i="62"/>
  <c r="AB15" i="49"/>
  <c r="D121" i="62"/>
  <c r="AB19" i="49"/>
  <c r="D125" i="62"/>
  <c r="AB23" i="49"/>
  <c r="D130" i="62"/>
  <c r="AB28" i="49"/>
  <c r="AF114" i="49"/>
  <c r="D115" i="49" s="1"/>
  <c r="AF118" i="49"/>
  <c r="D119" i="49" s="1"/>
  <c r="AF122" i="49"/>
  <c r="D123" i="49" s="1"/>
  <c r="AF126" i="49"/>
  <c r="D127" i="49" s="1"/>
  <c r="AF131" i="49"/>
  <c r="D132" i="49" s="1"/>
  <c r="D114" i="62"/>
  <c r="AB12" i="49"/>
  <c r="D126" i="62"/>
  <c r="AB24" i="49"/>
  <c r="AF111" i="49"/>
  <c r="D112" i="49" s="1"/>
  <c r="AF119" i="49"/>
  <c r="D120" i="49" s="1"/>
  <c r="AF127" i="49"/>
  <c r="D128" i="49" s="1"/>
  <c r="D119" i="62"/>
  <c r="AB17" i="49"/>
  <c r="D127" i="62"/>
  <c r="AB25" i="49"/>
  <c r="AF112" i="49"/>
  <c r="D113" i="49" s="1"/>
  <c r="AF120" i="49"/>
  <c r="D121" i="49" s="1"/>
  <c r="AF129" i="49"/>
  <c r="D130" i="49" s="1"/>
  <c r="D129" i="62"/>
  <c r="AB27" i="49"/>
  <c r="D112" i="62"/>
  <c r="AB10" i="49"/>
  <c r="D116" i="62"/>
  <c r="AB14" i="49"/>
  <c r="D120" i="62"/>
  <c r="AB18" i="49"/>
  <c r="D124" i="62"/>
  <c r="AB22" i="49"/>
  <c r="D128" i="62"/>
  <c r="AB26" i="49"/>
  <c r="D133" i="62"/>
  <c r="AB31" i="49"/>
  <c r="AF113" i="49"/>
  <c r="D114" i="49" s="1"/>
  <c r="AF117" i="49"/>
  <c r="D118" i="49" s="1"/>
  <c r="AF121" i="49"/>
  <c r="D122" i="49" s="1"/>
  <c r="AF125" i="49"/>
  <c r="D126" i="49" s="1"/>
  <c r="AF130" i="49"/>
  <c r="D131" i="49" s="1"/>
  <c r="AF128" i="49"/>
  <c r="D129" i="49" s="1"/>
  <c r="E112" i="62"/>
  <c r="AC10" i="49"/>
  <c r="E116" i="62"/>
  <c r="AC14" i="49"/>
  <c r="E120" i="62"/>
  <c r="AC18" i="49"/>
  <c r="E124" i="62"/>
  <c r="AC22" i="49"/>
  <c r="E128" i="62"/>
  <c r="AC26" i="49"/>
  <c r="E133" i="62"/>
  <c r="AC31" i="49"/>
  <c r="E113" i="62"/>
  <c r="AC11" i="49"/>
  <c r="E117" i="62"/>
  <c r="AC15" i="49"/>
  <c r="E121" i="62"/>
  <c r="AC19" i="49"/>
  <c r="E125" i="62"/>
  <c r="AC23" i="49"/>
  <c r="E130" i="62"/>
  <c r="AC28" i="49"/>
  <c r="E114" i="62"/>
  <c r="AC12" i="49"/>
  <c r="E118" i="62"/>
  <c r="AC16" i="49"/>
  <c r="E122" i="62"/>
  <c r="AC20" i="49"/>
  <c r="E126" i="62"/>
  <c r="AC24" i="49"/>
  <c r="E131" i="62"/>
  <c r="AC29" i="49"/>
  <c r="E115" i="62"/>
  <c r="AC13" i="49"/>
  <c r="E119" i="62"/>
  <c r="AC17" i="49"/>
  <c r="E123" i="62"/>
  <c r="AC21" i="49"/>
  <c r="E127" i="62"/>
  <c r="AC25" i="49"/>
  <c r="E132" i="62"/>
  <c r="AC30" i="49"/>
  <c r="E129" i="62"/>
  <c r="AC27" i="49"/>
  <c r="AG113" i="49"/>
  <c r="E114" i="49" s="1"/>
  <c r="AG121" i="49"/>
  <c r="E122" i="49" s="1"/>
  <c r="AG130" i="49"/>
  <c r="E131" i="49" s="1"/>
  <c r="AG118" i="49"/>
  <c r="E119" i="49" s="1"/>
  <c r="AG126" i="49"/>
  <c r="E127" i="49" s="1"/>
  <c r="AG111" i="49"/>
  <c r="E112" i="49" s="1"/>
  <c r="AG115" i="49"/>
  <c r="E116" i="49" s="1"/>
  <c r="AG119" i="49"/>
  <c r="E120" i="49" s="1"/>
  <c r="AG123" i="49"/>
  <c r="E124" i="49" s="1"/>
  <c r="AG127" i="49"/>
  <c r="E128" i="49" s="1"/>
  <c r="AG132" i="49"/>
  <c r="E133" i="49" s="1"/>
  <c r="AG117" i="49"/>
  <c r="E118" i="49" s="1"/>
  <c r="AG125" i="49"/>
  <c r="E126" i="49" s="1"/>
  <c r="AG128" i="49"/>
  <c r="E129" i="49" s="1"/>
  <c r="AG114" i="49"/>
  <c r="E115" i="49" s="1"/>
  <c r="AG122" i="49"/>
  <c r="E123" i="49" s="1"/>
  <c r="AG131" i="49"/>
  <c r="E132" i="49" s="1"/>
  <c r="AG112" i="49"/>
  <c r="E113" i="49" s="1"/>
  <c r="AG120" i="49"/>
  <c r="E121" i="49" s="1"/>
  <c r="AG124" i="49"/>
  <c r="E125" i="49" s="1"/>
  <c r="AG129" i="49"/>
  <c r="E130" i="49" s="1"/>
  <c r="AG116" i="49"/>
  <c r="AH118" i="49"/>
  <c r="F119" i="49" s="1"/>
  <c r="AH112" i="49"/>
  <c r="F113" i="49" s="1"/>
  <c r="AH120" i="49"/>
  <c r="F121" i="49" s="1"/>
  <c r="AH124" i="49"/>
  <c r="F125" i="49" s="1"/>
  <c r="AH129" i="49"/>
  <c r="F130" i="49" s="1"/>
  <c r="AH113" i="49"/>
  <c r="F114" i="49" s="1"/>
  <c r="AH117" i="49"/>
  <c r="F118" i="49" s="1"/>
  <c r="AH121" i="49"/>
  <c r="F122" i="49" s="1"/>
  <c r="AH130" i="49"/>
  <c r="F131" i="49" s="1"/>
  <c r="AH128" i="49"/>
  <c r="F129" i="49" s="1"/>
  <c r="AH114" i="49"/>
  <c r="F115" i="49" s="1"/>
  <c r="AH122" i="49"/>
  <c r="F123" i="49" s="1"/>
  <c r="AH126" i="49"/>
  <c r="F127" i="49" s="1"/>
  <c r="AH131" i="49"/>
  <c r="F132" i="49" s="1"/>
  <c r="AH111" i="49"/>
  <c r="F112" i="49" s="1"/>
  <c r="AH115" i="49"/>
  <c r="F116" i="49" s="1"/>
  <c r="AH119" i="49"/>
  <c r="F120" i="49" s="1"/>
  <c r="AH123" i="49"/>
  <c r="F124" i="49" s="1"/>
  <c r="AH127" i="49"/>
  <c r="F128" i="49" s="1"/>
  <c r="AH132" i="49"/>
  <c r="F133" i="49" s="1"/>
  <c r="AH116" i="49"/>
  <c r="F117" i="49" s="1"/>
  <c r="AJ114" i="49"/>
  <c r="H115" i="49" s="1"/>
  <c r="AJ118" i="49"/>
  <c r="H119" i="49" s="1"/>
  <c r="AJ122" i="49"/>
  <c r="H123" i="49" s="1"/>
  <c r="AJ126" i="49"/>
  <c r="H127" i="49" s="1"/>
  <c r="AJ131" i="49"/>
  <c r="H132" i="49" s="1"/>
  <c r="AJ111" i="49"/>
  <c r="H112" i="49" s="1"/>
  <c r="AJ115" i="49"/>
  <c r="H116" i="49" s="1"/>
  <c r="AJ119" i="49"/>
  <c r="H120" i="49" s="1"/>
  <c r="AJ123" i="49"/>
  <c r="H124" i="49" s="1"/>
  <c r="AJ127" i="49"/>
  <c r="H128" i="49" s="1"/>
  <c r="AJ132" i="49"/>
  <c r="H133" i="49" s="1"/>
  <c r="AJ112" i="49"/>
  <c r="H113" i="49" s="1"/>
  <c r="AJ116" i="49"/>
  <c r="H117" i="49" s="1"/>
  <c r="AJ120" i="49"/>
  <c r="H121" i="49" s="1"/>
  <c r="AJ124" i="49"/>
  <c r="H125" i="49" s="1"/>
  <c r="AJ129" i="49"/>
  <c r="H130" i="49" s="1"/>
  <c r="AJ113" i="49"/>
  <c r="H114" i="49" s="1"/>
  <c r="AJ117" i="49"/>
  <c r="H118" i="49" s="1"/>
  <c r="AJ121" i="49"/>
  <c r="H122" i="49" s="1"/>
  <c r="AJ125" i="49"/>
  <c r="H126" i="49" s="1"/>
  <c r="AJ130" i="49"/>
  <c r="H131" i="49" s="1"/>
  <c r="AJ128" i="49"/>
  <c r="H129" i="49" s="1"/>
  <c r="AI111" i="49"/>
  <c r="G112" i="49" s="1"/>
  <c r="AI115" i="49"/>
  <c r="G116" i="49" s="1"/>
  <c r="AI119" i="49"/>
  <c r="G120" i="49" s="1"/>
  <c r="AI123" i="49"/>
  <c r="G124" i="49" s="1"/>
  <c r="AI127" i="49"/>
  <c r="G128" i="49" s="1"/>
  <c r="AI132" i="49"/>
  <c r="G133" i="49" s="1"/>
  <c r="AI112" i="49"/>
  <c r="G113" i="49" s="1"/>
  <c r="AI116" i="49"/>
  <c r="G117" i="49" s="1"/>
  <c r="AI120" i="49"/>
  <c r="G121" i="49" s="1"/>
  <c r="AI124" i="49"/>
  <c r="G125" i="49" s="1"/>
  <c r="AI129" i="49"/>
  <c r="G130" i="49" s="1"/>
  <c r="AI113" i="49"/>
  <c r="G114" i="49" s="1"/>
  <c r="AI117" i="49"/>
  <c r="G118" i="49" s="1"/>
  <c r="AI121" i="49"/>
  <c r="G122" i="49" s="1"/>
  <c r="AI125" i="49"/>
  <c r="G126" i="49" s="1"/>
  <c r="AI130" i="49"/>
  <c r="G131" i="49" s="1"/>
  <c r="AI128" i="49"/>
  <c r="G129" i="49" s="1"/>
  <c r="AI114" i="49"/>
  <c r="G115" i="49" s="1"/>
  <c r="AI118" i="49"/>
  <c r="G119" i="49" s="1"/>
  <c r="AI122" i="49"/>
  <c r="G123" i="49" s="1"/>
  <c r="AI126" i="49"/>
  <c r="G127" i="49" s="1"/>
  <c r="AI131" i="49"/>
  <c r="G132" i="49" s="1"/>
  <c r="AW18" i="66"/>
  <c r="AX18" i="66" s="1"/>
  <c r="AW11" i="66"/>
  <c r="AX11" i="66" s="1"/>
  <c r="AV19" i="66"/>
  <c r="AX19" i="66" s="1"/>
  <c r="AW21" i="66"/>
  <c r="AX21" i="66" s="1"/>
  <c r="AW16" i="66"/>
  <c r="AX16" i="66" s="1"/>
  <c r="AV25" i="66"/>
  <c r="AX25" i="66" s="1"/>
  <c r="AW10" i="66"/>
  <c r="AX10" i="66" s="1"/>
  <c r="AW23" i="66"/>
  <c r="AX23" i="66" s="1"/>
  <c r="AV14" i="66"/>
  <c r="AX14" i="66" s="1"/>
  <c r="AW22" i="66"/>
  <c r="AX22" i="66" s="1"/>
  <c r="AV28" i="66"/>
  <c r="AX28" i="66" s="1"/>
  <c r="AW13" i="66"/>
  <c r="AX13" i="66" s="1"/>
  <c r="AV29" i="66"/>
  <c r="AX29" i="66" s="1"/>
  <c r="AW17" i="66"/>
  <c r="AX17" i="66" s="1"/>
  <c r="AV33" i="66"/>
  <c r="AX33" i="66" s="1"/>
  <c r="AV31" i="66"/>
  <c r="AX31" i="66" s="1"/>
  <c r="AW30" i="66"/>
  <c r="AX30" i="66" s="1"/>
  <c r="AW15" i="66"/>
  <c r="AX15" i="66" s="1"/>
  <c r="AX26" i="66"/>
  <c r="AX27" i="66"/>
  <c r="AX20" i="66"/>
  <c r="AN10" i="49"/>
  <c r="AM11" i="49"/>
  <c r="AN14" i="49"/>
  <c r="AM15" i="49"/>
  <c r="AN18" i="49"/>
  <c r="AM19" i="49"/>
  <c r="AN22" i="49"/>
  <c r="AM23" i="49"/>
  <c r="AN26" i="49"/>
  <c r="AM28" i="49"/>
  <c r="AN31" i="49"/>
  <c r="C6" i="92"/>
  <c r="G6" i="92"/>
  <c r="K6" i="92"/>
  <c r="W6" i="92"/>
  <c r="AM10" i="49"/>
  <c r="AO12" i="49"/>
  <c r="AN13" i="49"/>
  <c r="AM14" i="49"/>
  <c r="AO16" i="49"/>
  <c r="AN17" i="49"/>
  <c r="AM18" i="49"/>
  <c r="AO20" i="49"/>
  <c r="AN21" i="49"/>
  <c r="AM22" i="49"/>
  <c r="AO24" i="49"/>
  <c r="AN25" i="49"/>
  <c r="AO29" i="49"/>
  <c r="AN30" i="49"/>
  <c r="AN27" i="49"/>
  <c r="L6" i="92"/>
  <c r="P6" i="92"/>
  <c r="T6" i="92"/>
  <c r="E6" i="92"/>
  <c r="I6" i="92"/>
  <c r="M6" i="92"/>
  <c r="Q6" i="92"/>
  <c r="U6" i="92"/>
  <c r="D6" i="92"/>
  <c r="H6" i="92"/>
  <c r="F6" i="92"/>
  <c r="J6" i="92"/>
  <c r="N6" i="92"/>
  <c r="V6" i="92"/>
  <c r="B6" i="92"/>
  <c r="AO14" i="49"/>
  <c r="AO26" i="49"/>
  <c r="AO31" i="49"/>
  <c r="AO10" i="49"/>
  <c r="AO18" i="49"/>
  <c r="AO22" i="49"/>
  <c r="AM16" i="49"/>
  <c r="AM13" i="49"/>
  <c r="AL15" i="49"/>
  <c r="AM17" i="49"/>
  <c r="AM21" i="49"/>
  <c r="AM25" i="49"/>
  <c r="AM30" i="49"/>
  <c r="AM27" i="49"/>
  <c r="AM12" i="49"/>
  <c r="AM20" i="49"/>
  <c r="AM29" i="49"/>
  <c r="AM33" i="49"/>
  <c r="AM26" i="49"/>
  <c r="AM31" i="49"/>
  <c r="AN15" i="49"/>
  <c r="AN23" i="49"/>
  <c r="AN12" i="49"/>
  <c r="AN16" i="49"/>
  <c r="AN20" i="49"/>
  <c r="AN29" i="49"/>
  <c r="AN33" i="49"/>
  <c r="AN11" i="49"/>
  <c r="AN19" i="49"/>
  <c r="AN28" i="49"/>
  <c r="AO13" i="49"/>
  <c r="AO17" i="49"/>
  <c r="AO21" i="49"/>
  <c r="AO25" i="49"/>
  <c r="AO30" i="49"/>
  <c r="AO27" i="49"/>
  <c r="AO11" i="49"/>
  <c r="AO15" i="49"/>
  <c r="AO19" i="49"/>
  <c r="AO23" i="49"/>
  <c r="AO28" i="49"/>
  <c r="K12" i="49"/>
  <c r="AL12" i="49"/>
  <c r="K20" i="49"/>
  <c r="AL20" i="49"/>
  <c r="K29" i="49"/>
  <c r="AL29" i="49"/>
  <c r="K17" i="49"/>
  <c r="AL17" i="49"/>
  <c r="K25" i="49"/>
  <c r="AL25" i="49"/>
  <c r="AL33" i="49"/>
  <c r="K10" i="49"/>
  <c r="AL10" i="49"/>
  <c r="K14" i="49"/>
  <c r="AL14" i="49"/>
  <c r="K18" i="49"/>
  <c r="AL18" i="49"/>
  <c r="K22" i="49"/>
  <c r="AL22" i="49"/>
  <c r="K26" i="49"/>
  <c r="AL26" i="49"/>
  <c r="K31" i="49"/>
  <c r="AL31" i="49"/>
  <c r="K16" i="49"/>
  <c r="AL16" i="49"/>
  <c r="K24" i="49"/>
  <c r="AL24" i="49"/>
  <c r="K13" i="49"/>
  <c r="AL13" i="49"/>
  <c r="K21" i="49"/>
  <c r="AL21" i="49"/>
  <c r="K30" i="49"/>
  <c r="AL30" i="49"/>
  <c r="K27" i="49"/>
  <c r="AL27" i="49"/>
  <c r="K11" i="49"/>
  <c r="AL11" i="49"/>
  <c r="K19" i="49"/>
  <c r="AL19" i="49"/>
  <c r="K23" i="49"/>
  <c r="AL23" i="49"/>
  <c r="K28" i="49"/>
  <c r="AL28" i="49"/>
  <c r="M10" i="49"/>
  <c r="L11" i="49"/>
  <c r="M14" i="49"/>
  <c r="L15" i="49"/>
  <c r="M18" i="49"/>
  <c r="N21" i="49"/>
  <c r="L23" i="49"/>
  <c r="M26" i="49"/>
  <c r="N30" i="49"/>
  <c r="N27" i="49"/>
  <c r="N12" i="49"/>
  <c r="N16" i="49"/>
  <c r="L18" i="49"/>
  <c r="M21" i="49"/>
  <c r="N24" i="49"/>
  <c r="L26" i="49"/>
  <c r="M30" i="49"/>
  <c r="M27" i="49"/>
  <c r="N10" i="49"/>
  <c r="M11" i="49"/>
  <c r="L12" i="49"/>
  <c r="N14" i="49"/>
  <c r="M15" i="49"/>
  <c r="L16" i="49"/>
  <c r="N18" i="49"/>
  <c r="M19" i="49"/>
  <c r="L20" i="49"/>
  <c r="O21" i="49"/>
  <c r="N22" i="49"/>
  <c r="M23" i="49"/>
  <c r="L24" i="49"/>
  <c r="N26" i="49"/>
  <c r="M28" i="49"/>
  <c r="L29" i="49"/>
  <c r="N31" i="49"/>
  <c r="L10" i="49"/>
  <c r="M13" i="49"/>
  <c r="L14" i="49"/>
  <c r="M17" i="49"/>
  <c r="N20" i="49"/>
  <c r="L22" i="49"/>
  <c r="M25" i="49"/>
  <c r="N29" i="49"/>
  <c r="L31" i="49"/>
  <c r="N13" i="49"/>
  <c r="N17" i="49"/>
  <c r="L19" i="49"/>
  <c r="M22" i="49"/>
  <c r="N25" i="49"/>
  <c r="L28" i="49"/>
  <c r="M31" i="49"/>
  <c r="N11" i="49"/>
  <c r="M12" i="49"/>
  <c r="L13" i="49"/>
  <c r="N15" i="49"/>
  <c r="M16" i="49"/>
  <c r="L17" i="49"/>
  <c r="N19" i="49"/>
  <c r="M20" i="49"/>
  <c r="N23" i="49"/>
  <c r="L25" i="49"/>
  <c r="N28" i="49"/>
  <c r="M29" i="49"/>
  <c r="L30" i="49"/>
  <c r="L27" i="49"/>
  <c r="F148" i="49"/>
  <c r="D148" i="49"/>
  <c r="H148" i="49"/>
  <c r="E148" i="49"/>
  <c r="G148" i="49"/>
  <c r="Q23" i="49"/>
  <c r="Q27" i="49"/>
  <c r="Q32" i="49"/>
  <c r="Q26" i="49"/>
  <c r="W5" i="92"/>
  <c r="E149" i="49"/>
  <c r="D150" i="49"/>
  <c r="H150" i="49"/>
  <c r="G151" i="49"/>
  <c r="F152" i="49"/>
  <c r="F153" i="49"/>
  <c r="E154" i="49"/>
  <c r="D155" i="49"/>
  <c r="G156" i="49"/>
  <c r="F157" i="49"/>
  <c r="E158" i="49"/>
  <c r="D159" i="49"/>
  <c r="G160" i="49"/>
  <c r="F161" i="49"/>
  <c r="E162" i="49"/>
  <c r="D163" i="49"/>
  <c r="G164" i="49"/>
  <c r="F166" i="49"/>
  <c r="E167" i="49"/>
  <c r="D168" i="49"/>
  <c r="G169" i="49"/>
  <c r="D165" i="49"/>
  <c r="D149" i="49"/>
  <c r="G150" i="49"/>
  <c r="F151" i="49"/>
  <c r="E152" i="49"/>
  <c r="E153" i="49"/>
  <c r="D154" i="49"/>
  <c r="G155" i="49"/>
  <c r="F156" i="49"/>
  <c r="E157" i="49"/>
  <c r="D158" i="49"/>
  <c r="G159" i="49"/>
  <c r="F160" i="49"/>
  <c r="E161" i="49"/>
  <c r="D162" i="49"/>
  <c r="G163" i="49"/>
  <c r="F164" i="49"/>
  <c r="E166" i="49"/>
  <c r="D167" i="49"/>
  <c r="G168" i="49"/>
  <c r="F169" i="49"/>
  <c r="G165" i="49"/>
  <c r="O10" i="49"/>
  <c r="O14" i="49"/>
  <c r="O26" i="49"/>
  <c r="O31" i="49"/>
  <c r="O11" i="49"/>
  <c r="D153" i="49"/>
  <c r="K15" i="49"/>
  <c r="O15" i="49"/>
  <c r="O19" i="49"/>
  <c r="O23" i="49"/>
  <c r="O28" i="49"/>
  <c r="O12" i="49"/>
  <c r="O16" i="49"/>
  <c r="O20" i="49"/>
  <c r="O24" i="49"/>
  <c r="O29" i="49"/>
  <c r="F149" i="49"/>
  <c r="E150" i="49"/>
  <c r="D151" i="49"/>
  <c r="G152" i="49"/>
  <c r="G153" i="49"/>
  <c r="F154" i="49"/>
  <c r="E155" i="49"/>
  <c r="D156" i="49"/>
  <c r="G157" i="49"/>
  <c r="F158" i="49"/>
  <c r="D160" i="49"/>
  <c r="G161" i="49"/>
  <c r="E163" i="49"/>
  <c r="D164" i="49"/>
  <c r="G166" i="49"/>
  <c r="F167" i="49"/>
  <c r="E168" i="49"/>
  <c r="D169" i="49"/>
  <c r="E165" i="49"/>
  <c r="O18" i="49"/>
  <c r="O22" i="49"/>
  <c r="O13" i="49"/>
  <c r="O17" i="49"/>
  <c r="O25" i="49"/>
  <c r="O30" i="49"/>
  <c r="G149" i="49"/>
  <c r="F150" i="49"/>
  <c r="E151" i="49"/>
  <c r="D152" i="49"/>
  <c r="H152" i="49"/>
  <c r="G154" i="49"/>
  <c r="F155" i="49"/>
  <c r="E156" i="49"/>
  <c r="D157" i="49"/>
  <c r="F159" i="49"/>
  <c r="E160" i="49"/>
  <c r="D161" i="49"/>
  <c r="G162" i="49"/>
  <c r="F163" i="49"/>
  <c r="E164" i="49"/>
  <c r="D166" i="49"/>
  <c r="G167" i="49"/>
  <c r="F168" i="49"/>
  <c r="E169" i="49"/>
  <c r="O27" i="49"/>
  <c r="F165" i="49"/>
  <c r="E171" i="49"/>
  <c r="E159" i="49"/>
  <c r="L21" i="49"/>
  <c r="G158" i="49"/>
  <c r="D171" i="49"/>
  <c r="F171" i="49"/>
  <c r="H155" i="49"/>
  <c r="H159" i="49"/>
  <c r="H163" i="49"/>
  <c r="H168" i="49"/>
  <c r="H165" i="49"/>
  <c r="H151" i="49"/>
  <c r="H156" i="49"/>
  <c r="H160" i="49"/>
  <c r="H164" i="49"/>
  <c r="H169" i="49"/>
  <c r="H171" i="49"/>
  <c r="H153" i="49"/>
  <c r="H157" i="49"/>
  <c r="H161" i="49"/>
  <c r="H166" i="49"/>
  <c r="H149" i="49"/>
  <c r="H154" i="49"/>
  <c r="H158" i="49"/>
  <c r="H162" i="49"/>
  <c r="H167" i="49"/>
  <c r="Y5" i="92" l="1" a="1"/>
  <c r="Y5" i="92" s="1"/>
  <c r="Y6" i="92" a="1"/>
  <c r="Y6" i="92" s="1"/>
  <c r="Y42" i="64"/>
  <c r="AC41" i="64"/>
  <c r="AC42" i="64"/>
  <c r="AC42" i="67"/>
  <c r="Y42" i="67"/>
  <c r="AC41" i="67"/>
  <c r="AC41" i="62"/>
  <c r="Y42" i="62"/>
  <c r="AC42" i="62"/>
  <c r="Y42" i="65"/>
  <c r="AC41" i="65"/>
  <c r="AC42" i="65"/>
  <c r="AC41" i="66"/>
  <c r="Y42" i="63"/>
  <c r="AC41" i="63"/>
  <c r="AC42" i="63"/>
  <c r="Y42" i="66"/>
  <c r="AC42" i="66"/>
  <c r="AA5" i="92" a="1"/>
  <c r="AA5" i="92" s="1"/>
  <c r="Z5" i="92" a="1"/>
  <c r="Z5" i="92" s="1"/>
  <c r="AA6" i="92" a="1"/>
  <c r="AA6" i="92" s="1"/>
  <c r="Z6" i="92" a="1"/>
  <c r="Z6" i="92" s="1"/>
  <c r="Z32" i="49"/>
  <c r="AF32" i="49"/>
  <c r="AB32" i="49"/>
  <c r="AE32" i="49"/>
  <c r="AF133" i="49"/>
  <c r="D134" i="49" s="1"/>
  <c r="AG133" i="49"/>
  <c r="E134" i="49" s="1"/>
  <c r="AC32" i="49"/>
  <c r="E117" i="49"/>
  <c r="AJ133" i="49"/>
  <c r="H134" i="49" s="1"/>
  <c r="AI133" i="49"/>
  <c r="G134" i="49" s="1"/>
  <c r="P22" i="49"/>
  <c r="P20" i="49"/>
  <c r="P11" i="49"/>
  <c r="AH25" i="49"/>
  <c r="AH28" i="49"/>
  <c r="AH16" i="49"/>
  <c r="P18" i="49"/>
  <c r="AH19" i="49"/>
  <c r="AH14" i="49"/>
  <c r="AH23" i="49"/>
  <c r="P24" i="49"/>
  <c r="P31" i="49"/>
  <c r="AH11" i="49"/>
  <c r="AH20" i="49"/>
  <c r="P21" i="49"/>
  <c r="AH21" i="49"/>
  <c r="P17" i="49"/>
  <c r="P19" i="49"/>
  <c r="P26" i="49"/>
  <c r="AH15" i="49"/>
  <c r="AH26" i="49"/>
  <c r="AH10" i="49"/>
  <c r="AH27" i="49"/>
  <c r="P13" i="49"/>
  <c r="P16" i="49"/>
  <c r="P15" i="49"/>
  <c r="P14" i="49"/>
  <c r="AH17" i="49"/>
  <c r="AH12" i="49"/>
  <c r="P30" i="49"/>
  <c r="P12" i="49"/>
  <c r="P10" i="49"/>
  <c r="AH24" i="49"/>
  <c r="AH13" i="49"/>
  <c r="AH22" i="49"/>
  <c r="AH18" i="49"/>
  <c r="AP10" i="49"/>
  <c r="I10" i="49" s="1"/>
  <c r="AP19" i="49"/>
  <c r="I19" i="49" s="1"/>
  <c r="AP22" i="49"/>
  <c r="I22" i="49" s="1"/>
  <c r="P25" i="49"/>
  <c r="P27" i="49"/>
  <c r="P23" i="49"/>
  <c r="P29" i="49"/>
  <c r="P28" i="49"/>
  <c r="AP13" i="49"/>
  <c r="I13" i="49" s="1"/>
  <c r="Z80" i="49" s="1"/>
  <c r="AP18" i="49"/>
  <c r="I18" i="49" s="1"/>
  <c r="AP17" i="49"/>
  <c r="I17" i="49" s="1"/>
  <c r="AP20" i="49"/>
  <c r="I20" i="49" s="1"/>
  <c r="N4" i="92"/>
  <c r="W4" i="92"/>
  <c r="E4" i="92"/>
  <c r="I4" i="92"/>
  <c r="U4" i="92"/>
  <c r="AP11" i="49"/>
  <c r="I11" i="49" s="1"/>
  <c r="AP16" i="49"/>
  <c r="I16" i="49" s="1"/>
  <c r="Z83" i="49" s="1"/>
  <c r="AP23" i="49"/>
  <c r="I23" i="49" s="1"/>
  <c r="AP30" i="49"/>
  <c r="I30" i="49" s="1"/>
  <c r="Z97" i="49" s="1"/>
  <c r="AP26" i="49"/>
  <c r="I26" i="49" s="1"/>
  <c r="AP28" i="49"/>
  <c r="I28" i="49" s="1"/>
  <c r="Z95" i="49" s="1"/>
  <c r="AP27" i="49"/>
  <c r="I27" i="49" s="1"/>
  <c r="AP21" i="49"/>
  <c r="I21" i="49" s="1"/>
  <c r="AP31" i="49"/>
  <c r="I31" i="49" s="1"/>
  <c r="AP14" i="49"/>
  <c r="I14" i="49" s="1"/>
  <c r="AP33" i="49"/>
  <c r="I33" i="49" s="1"/>
  <c r="AP15" i="49"/>
  <c r="I15" i="49" s="1"/>
  <c r="AP25" i="49"/>
  <c r="I25" i="49" s="1"/>
  <c r="AP29" i="49"/>
  <c r="I29" i="49" s="1"/>
  <c r="AP12" i="49"/>
  <c r="I12" i="49" s="1"/>
  <c r="Z79" i="49" s="1"/>
  <c r="X15" i="76"/>
  <c r="V7" i="92" s="1"/>
  <c r="W15" i="76"/>
  <c r="U7" i="92" s="1"/>
  <c r="I15" i="76"/>
  <c r="G7" i="92" s="1"/>
  <c r="H15" i="76"/>
  <c r="F7" i="92" s="1"/>
  <c r="R15" i="76"/>
  <c r="P7" i="92" s="1"/>
  <c r="V15" i="76"/>
  <c r="T7" i="92" s="1"/>
  <c r="O15" i="76"/>
  <c r="M7" i="92" s="1"/>
  <c r="K15" i="76"/>
  <c r="I7" i="92" s="1"/>
  <c r="P15" i="76"/>
  <c r="N7" i="92" s="1"/>
  <c r="N15" i="76"/>
  <c r="L7" i="92" s="1"/>
  <c r="Q15" i="76"/>
  <c r="Y15" i="76"/>
  <c r="W7" i="92" s="1"/>
  <c r="S15" i="76"/>
  <c r="Q7" i="92" s="1"/>
  <c r="F15" i="76"/>
  <c r="D7" i="92" s="1"/>
  <c r="U15" i="76"/>
  <c r="G15" i="76"/>
  <c r="E7" i="92" s="1"/>
  <c r="L15" i="76"/>
  <c r="J7" i="92" s="1"/>
  <c r="J15" i="76"/>
  <c r="H7" i="92" s="1"/>
  <c r="M15" i="76"/>
  <c r="K7" i="92" s="1"/>
  <c r="E15" i="76"/>
  <c r="C7" i="92" s="1"/>
  <c r="T15" i="76"/>
  <c r="V4" i="92"/>
  <c r="L4" i="92"/>
  <c r="P4" i="92"/>
  <c r="T4" i="92"/>
  <c r="AA15" i="76"/>
  <c r="D15" i="76"/>
  <c r="B7" i="92" s="1"/>
  <c r="F4" i="92"/>
  <c r="D4" i="92"/>
  <c r="H4" i="92"/>
  <c r="M4" i="92"/>
  <c r="Q4" i="92"/>
  <c r="B4" i="92"/>
  <c r="J4" i="92"/>
  <c r="C4" i="92"/>
  <c r="G4" i="92"/>
  <c r="K4" i="92"/>
  <c r="AD133" i="63"/>
  <c r="H133" i="63" s="1"/>
  <c r="AD132" i="63"/>
  <c r="H132" i="63" s="1"/>
  <c r="AD131" i="63"/>
  <c r="H131" i="63" s="1"/>
  <c r="AD130" i="63"/>
  <c r="H130" i="63" s="1"/>
  <c r="AD129" i="63"/>
  <c r="H129" i="63" s="1"/>
  <c r="AD128" i="63"/>
  <c r="H128" i="63" s="1"/>
  <c r="AD127" i="63"/>
  <c r="H127" i="63" s="1"/>
  <c r="AD126" i="63"/>
  <c r="H126" i="63" s="1"/>
  <c r="AD125" i="63"/>
  <c r="H125" i="63" s="1"/>
  <c r="AD124" i="63"/>
  <c r="H124" i="63" s="1"/>
  <c r="AD123" i="63"/>
  <c r="H123" i="63" s="1"/>
  <c r="AD122" i="63"/>
  <c r="H122" i="63" s="1"/>
  <c r="AD121" i="63"/>
  <c r="H121" i="63" s="1"/>
  <c r="AD120" i="63"/>
  <c r="H120" i="63" s="1"/>
  <c r="AD119" i="63"/>
  <c r="H119" i="63" s="1"/>
  <c r="AD118" i="63"/>
  <c r="H118" i="63" s="1"/>
  <c r="AD117" i="63"/>
  <c r="H117" i="63" s="1"/>
  <c r="AD116" i="63"/>
  <c r="H116" i="63" s="1"/>
  <c r="AD115" i="63"/>
  <c r="H115" i="63" s="1"/>
  <c r="AD114" i="63"/>
  <c r="H114" i="63" s="1"/>
  <c r="AD113" i="63"/>
  <c r="H113" i="63" s="1"/>
  <c r="H32" i="62"/>
  <c r="O32" i="62" s="1"/>
  <c r="AD170" i="49"/>
  <c r="H32" i="49"/>
  <c r="AH133" i="63"/>
  <c r="AH132" i="63"/>
  <c r="AH131" i="63"/>
  <c r="AH130" i="63"/>
  <c r="AH129" i="63"/>
  <c r="AH128" i="63"/>
  <c r="AH127" i="63"/>
  <c r="AH126" i="63"/>
  <c r="AH125" i="63"/>
  <c r="AH124" i="63"/>
  <c r="AH123" i="63"/>
  <c r="AH122" i="63"/>
  <c r="AH121" i="63"/>
  <c r="AH120" i="63"/>
  <c r="AH119" i="63"/>
  <c r="AH118" i="63"/>
  <c r="AH117" i="63"/>
  <c r="AH116" i="63"/>
  <c r="AH115" i="63"/>
  <c r="AH114" i="63"/>
  <c r="AH113" i="63"/>
  <c r="AC133" i="63"/>
  <c r="AC132" i="63"/>
  <c r="AC131" i="63"/>
  <c r="AC130" i="63"/>
  <c r="AC129" i="63"/>
  <c r="AC128" i="63"/>
  <c r="AC127" i="63"/>
  <c r="AC126" i="63"/>
  <c r="AC125" i="63"/>
  <c r="AC124" i="63"/>
  <c r="AC123" i="63"/>
  <c r="AC122" i="63"/>
  <c r="AC121" i="63"/>
  <c r="AC120" i="63"/>
  <c r="AC119" i="63"/>
  <c r="AC118" i="63"/>
  <c r="AC117" i="63"/>
  <c r="AC116" i="63"/>
  <c r="AC115" i="63"/>
  <c r="AC114" i="63"/>
  <c r="AC113" i="63"/>
  <c r="AB100" i="70"/>
  <c r="G278" i="83" s="1"/>
  <c r="AC278" i="69"/>
  <c r="G278" i="69" s="1"/>
  <c r="AC170" i="69"/>
  <c r="AI134" i="69"/>
  <c r="AC134" i="69"/>
  <c r="AI278" i="67"/>
  <c r="AI242" i="67"/>
  <c r="AC242" i="67"/>
  <c r="AI206" i="67"/>
  <c r="AC206" i="67"/>
  <c r="G32" i="67"/>
  <c r="G134" i="67" s="1"/>
  <c r="AC168" i="66"/>
  <c r="G32" i="66"/>
  <c r="G32" i="65"/>
  <c r="G32" i="64"/>
  <c r="G32" i="63"/>
  <c r="G32" i="62"/>
  <c r="N32" i="62" s="1"/>
  <c r="AC170" i="49"/>
  <c r="G32" i="49"/>
  <c r="AG133" i="63"/>
  <c r="AG132" i="63"/>
  <c r="AG131" i="63"/>
  <c r="AG130" i="63"/>
  <c r="AG129" i="63"/>
  <c r="AG128" i="63"/>
  <c r="AG127" i="63"/>
  <c r="AG125" i="63"/>
  <c r="AG124" i="63"/>
  <c r="AG123" i="63"/>
  <c r="AG122" i="63"/>
  <c r="AG121" i="63"/>
  <c r="AG120" i="63"/>
  <c r="AG119" i="63"/>
  <c r="AG118" i="63"/>
  <c r="AG117" i="63"/>
  <c r="AG116" i="63"/>
  <c r="AG115" i="63"/>
  <c r="AG114" i="63"/>
  <c r="AG113" i="63"/>
  <c r="AB133" i="63"/>
  <c r="AB132" i="63"/>
  <c r="AB131" i="63"/>
  <c r="AB130" i="63"/>
  <c r="AB129" i="63"/>
  <c r="AB128" i="63"/>
  <c r="AB127" i="63"/>
  <c r="AB125" i="63"/>
  <c r="AB124" i="63"/>
  <c r="AB123" i="63"/>
  <c r="AB122" i="63"/>
  <c r="AB121" i="63"/>
  <c r="AB120" i="63"/>
  <c r="AB119" i="63"/>
  <c r="AB118" i="63"/>
  <c r="AB117" i="63"/>
  <c r="AB116" i="63"/>
  <c r="AB115" i="63"/>
  <c r="AB114" i="63"/>
  <c r="AB113" i="63"/>
  <c r="AB170" i="49"/>
  <c r="AF133" i="63"/>
  <c r="AF132" i="63"/>
  <c r="AF131" i="63"/>
  <c r="AF130" i="63"/>
  <c r="AF129" i="63"/>
  <c r="AF128" i="63"/>
  <c r="AF127" i="63"/>
  <c r="AF126" i="63"/>
  <c r="AF125" i="63"/>
  <c r="AF124" i="63"/>
  <c r="AF123" i="63"/>
  <c r="AF122" i="63"/>
  <c r="AF121" i="63"/>
  <c r="AF120" i="63"/>
  <c r="AF119" i="63"/>
  <c r="AF118" i="63"/>
  <c r="AF117" i="63"/>
  <c r="AF116" i="63"/>
  <c r="AF115" i="63"/>
  <c r="AF114" i="63"/>
  <c r="AA133" i="63"/>
  <c r="AA132" i="63"/>
  <c r="AA131" i="63"/>
  <c r="AA130" i="63"/>
  <c r="AA129" i="63"/>
  <c r="AA128" i="63"/>
  <c r="AA127" i="63"/>
  <c r="AA126" i="63"/>
  <c r="AA125" i="63"/>
  <c r="AA124" i="63"/>
  <c r="AA123" i="63"/>
  <c r="AA122" i="63"/>
  <c r="AA121" i="63"/>
  <c r="AA120" i="63"/>
  <c r="AA119" i="63"/>
  <c r="AA118" i="63"/>
  <c r="AA117" i="63"/>
  <c r="AA116" i="63"/>
  <c r="AA115" i="63"/>
  <c r="AA114" i="63"/>
  <c r="AA113" i="63"/>
  <c r="AA170" i="69"/>
  <c r="AG134" i="69"/>
  <c r="AA134" i="69"/>
  <c r="AG278" i="67"/>
  <c r="AG242" i="67"/>
  <c r="AA242" i="67"/>
  <c r="AG198" i="67"/>
  <c r="E198" i="67" s="1"/>
  <c r="AA206" i="67"/>
  <c r="E32" i="67"/>
  <c r="E134" i="67" s="1"/>
  <c r="AA168" i="66"/>
  <c r="E32" i="66"/>
  <c r="E32" i="65"/>
  <c r="E32" i="64"/>
  <c r="E32" i="63"/>
  <c r="E32" i="62"/>
  <c r="L32" i="62" s="1"/>
  <c r="AA170" i="49"/>
  <c r="E32" i="49"/>
  <c r="AE133" i="63"/>
  <c r="D133" i="63" s="1"/>
  <c r="AE132" i="63"/>
  <c r="AE131" i="63"/>
  <c r="AE130" i="63"/>
  <c r="AE129" i="63"/>
  <c r="AE128" i="63"/>
  <c r="AE127" i="63"/>
  <c r="AE126" i="63"/>
  <c r="AE125" i="63"/>
  <c r="AE124" i="63"/>
  <c r="AE123" i="63"/>
  <c r="AE122" i="63"/>
  <c r="AE121" i="63"/>
  <c r="AE120" i="63"/>
  <c r="AE119" i="63"/>
  <c r="AE118" i="63"/>
  <c r="AE117" i="63"/>
  <c r="AE116" i="63"/>
  <c r="AE115" i="63"/>
  <c r="AE113" i="63"/>
  <c r="AE112" i="63"/>
  <c r="Z132" i="63"/>
  <c r="Z131" i="63"/>
  <c r="Z130" i="63"/>
  <c r="Z129" i="63"/>
  <c r="Z128" i="63"/>
  <c r="Z127" i="63"/>
  <c r="Z126" i="63"/>
  <c r="Z125" i="63"/>
  <c r="Z124" i="63"/>
  <c r="Z123" i="63"/>
  <c r="Z122" i="63"/>
  <c r="Z121" i="63"/>
  <c r="Z120" i="63"/>
  <c r="Z119" i="63"/>
  <c r="Z118" i="63"/>
  <c r="Z117" i="63"/>
  <c r="Z116" i="63"/>
  <c r="Z115" i="63"/>
  <c r="Z114" i="63"/>
  <c r="Z113" i="63"/>
  <c r="Z112" i="63"/>
  <c r="Z170" i="69"/>
  <c r="AF134" i="69"/>
  <c r="Z134" i="69"/>
  <c r="AF278" i="67"/>
  <c r="AF242" i="67"/>
  <c r="Z242" i="67"/>
  <c r="AF206" i="67"/>
  <c r="Z206" i="67"/>
  <c r="D32" i="67"/>
  <c r="D134" i="67" s="1"/>
  <c r="D32" i="66"/>
  <c r="D32" i="65"/>
  <c r="K32" i="65" s="1"/>
  <c r="D32" i="64"/>
  <c r="D32" i="63"/>
  <c r="D32" i="62"/>
  <c r="K32" i="62" s="1"/>
  <c r="Z170" i="49"/>
  <c r="D32" i="49"/>
  <c r="Y4" i="92" l="1" a="1"/>
  <c r="Y4" i="92" s="1"/>
  <c r="Z4" i="92" a="1"/>
  <c r="Z4" i="92" s="1"/>
  <c r="AA4" i="92" a="1"/>
  <c r="AA4" i="92" s="1"/>
  <c r="Y7" i="92" a="1"/>
  <c r="Y7" i="92" s="1"/>
  <c r="Z42" i="49" s="1"/>
  <c r="AA7" i="92" a="1"/>
  <c r="AA7" i="92" s="1"/>
  <c r="AD41" i="49" s="1"/>
  <c r="AD42" i="49" s="1"/>
  <c r="Z7" i="92" a="1"/>
  <c r="Z7" i="92" s="1"/>
  <c r="AA42" i="49" s="1"/>
  <c r="D134" i="66"/>
  <c r="D170" i="66"/>
  <c r="E134" i="66"/>
  <c r="E170" i="66"/>
  <c r="G134" i="66"/>
  <c r="G170" i="66"/>
  <c r="D131" i="63"/>
  <c r="AL32" i="62"/>
  <c r="AO32" i="62"/>
  <c r="D124" i="63"/>
  <c r="K32" i="49"/>
  <c r="E134" i="62"/>
  <c r="D134" i="62"/>
  <c r="G134" i="62"/>
  <c r="H134" i="62"/>
  <c r="G124" i="63"/>
  <c r="G128" i="63"/>
  <c r="G133" i="63"/>
  <c r="D170" i="69"/>
  <c r="D206" i="67"/>
  <c r="D170" i="49"/>
  <c r="G170" i="69"/>
  <c r="D242" i="67"/>
  <c r="D134" i="69"/>
  <c r="E242" i="67"/>
  <c r="E134" i="69"/>
  <c r="E170" i="69"/>
  <c r="G206" i="67"/>
  <c r="G170" i="49"/>
  <c r="G242" i="67"/>
  <c r="G134" i="69"/>
  <c r="E170" i="49"/>
  <c r="H170" i="49"/>
  <c r="E124" i="63"/>
  <c r="E133" i="63"/>
  <c r="AF112" i="63"/>
  <c r="AF134" i="63"/>
  <c r="AA134" i="63"/>
  <c r="F124" i="63"/>
  <c r="F133" i="63"/>
  <c r="G132" i="63"/>
  <c r="G32" i="70"/>
  <c r="AH100" i="70"/>
  <c r="AG206" i="67"/>
  <c r="E206" i="67" s="1"/>
  <c r="AD134" i="63"/>
  <c r="H134" i="63" s="1"/>
  <c r="AD112" i="63"/>
  <c r="H112" i="63" s="1"/>
  <c r="G115" i="63"/>
  <c r="G119" i="63"/>
  <c r="G123" i="63"/>
  <c r="G127" i="63"/>
  <c r="G131" i="63"/>
  <c r="AC278" i="67"/>
  <c r="G278" i="67" s="1"/>
  <c r="G113" i="63"/>
  <c r="G117" i="63"/>
  <c r="G121" i="63"/>
  <c r="G125" i="63"/>
  <c r="G129" i="63"/>
  <c r="AH134" i="63"/>
  <c r="AH112" i="63"/>
  <c r="AC134" i="63"/>
  <c r="AC112" i="63"/>
  <c r="G116" i="63"/>
  <c r="G120" i="63"/>
  <c r="G114" i="63"/>
  <c r="G118" i="63"/>
  <c r="G122" i="63"/>
  <c r="G126" i="63"/>
  <c r="G130" i="63"/>
  <c r="F113" i="63"/>
  <c r="F117" i="63"/>
  <c r="F121" i="63"/>
  <c r="F125" i="63"/>
  <c r="F129" i="63"/>
  <c r="F116" i="63"/>
  <c r="F120" i="63"/>
  <c r="F128" i="63"/>
  <c r="F132" i="63"/>
  <c r="AB112" i="63"/>
  <c r="F114" i="63"/>
  <c r="F118" i="63"/>
  <c r="F122" i="63"/>
  <c r="F130" i="63"/>
  <c r="AG112" i="63"/>
  <c r="F115" i="63"/>
  <c r="F119" i="63"/>
  <c r="F123" i="63"/>
  <c r="F127" i="63"/>
  <c r="F131" i="63"/>
  <c r="E114" i="63"/>
  <c r="E118" i="63"/>
  <c r="E122" i="63"/>
  <c r="E126" i="63"/>
  <c r="E130" i="63"/>
  <c r="E115" i="63"/>
  <c r="E119" i="63"/>
  <c r="E123" i="63"/>
  <c r="E127" i="63"/>
  <c r="E131" i="63"/>
  <c r="AA112" i="63"/>
  <c r="E116" i="63"/>
  <c r="E120" i="63"/>
  <c r="E128" i="63"/>
  <c r="E132" i="63"/>
  <c r="AA278" i="67"/>
  <c r="E278" i="67" s="1"/>
  <c r="AF113" i="63"/>
  <c r="E113" i="63" s="1"/>
  <c r="E117" i="63"/>
  <c r="E121" i="63"/>
  <c r="E125" i="63"/>
  <c r="E129" i="63"/>
  <c r="D113" i="63"/>
  <c r="D117" i="63"/>
  <c r="D121" i="63"/>
  <c r="D125" i="63"/>
  <c r="D129" i="63"/>
  <c r="D118" i="63"/>
  <c r="D122" i="63"/>
  <c r="D126" i="63"/>
  <c r="D130" i="63"/>
  <c r="AE134" i="63"/>
  <c r="AE114" i="63"/>
  <c r="D114" i="63" s="1"/>
  <c r="D115" i="63"/>
  <c r="D119" i="63"/>
  <c r="D123" i="63"/>
  <c r="D127" i="63"/>
  <c r="D112" i="63"/>
  <c r="D116" i="63"/>
  <c r="D120" i="63"/>
  <c r="D128" i="63"/>
  <c r="D132" i="63"/>
  <c r="Z278" i="67"/>
  <c r="D278" i="67" s="1"/>
  <c r="Z134" i="63"/>
  <c r="Y349" i="69"/>
  <c r="Y170" i="63"/>
  <c r="AC42" i="49" l="1"/>
  <c r="AC41" i="49"/>
  <c r="AA97" i="49"/>
  <c r="G100" i="70"/>
  <c r="E112" i="63"/>
  <c r="G134" i="63"/>
  <c r="G112" i="63"/>
  <c r="F112" i="63"/>
  <c r="E134" i="63"/>
  <c r="D134" i="63"/>
  <c r="B113" i="49" l="1"/>
  <c r="B114" i="49"/>
  <c r="Y113" i="49" s="1"/>
  <c r="B115" i="49"/>
  <c r="Y114" i="49" s="1"/>
  <c r="B116" i="49"/>
  <c r="Y115" i="49" s="1"/>
  <c r="B117" i="49"/>
  <c r="Y116" i="49" s="1"/>
  <c r="B118" i="49"/>
  <c r="Y117" i="49" s="1"/>
  <c r="B119" i="49"/>
  <c r="Y118" i="49" s="1"/>
  <c r="B120" i="49"/>
  <c r="Y119" i="49" s="1"/>
  <c r="B121" i="49"/>
  <c r="Y120" i="49" s="1"/>
  <c r="B122" i="49"/>
  <c r="Y121" i="49" s="1"/>
  <c r="B123" i="49"/>
  <c r="Y122" i="49" s="1"/>
  <c r="B124" i="49"/>
  <c r="Y123" i="49" s="1"/>
  <c r="B125" i="49"/>
  <c r="Y124" i="49" s="1"/>
  <c r="B126" i="49"/>
  <c r="Y125" i="49" s="1"/>
  <c r="B127" i="49"/>
  <c r="Y126" i="49" s="1"/>
  <c r="B128" i="49"/>
  <c r="Y127" i="49" s="1"/>
  <c r="B129" i="49"/>
  <c r="B130" i="49"/>
  <c r="Y129" i="49" s="1"/>
  <c r="B131" i="49"/>
  <c r="Y130" i="49" s="1"/>
  <c r="B132" i="49"/>
  <c r="Y131" i="49" s="1"/>
  <c r="B133" i="49"/>
  <c r="Y132" i="49" s="1"/>
  <c r="B134" i="49"/>
  <c r="Y133" i="49" s="1"/>
  <c r="B112" i="49"/>
  <c r="AY65" i="49" l="1"/>
  <c r="Y111" i="49"/>
  <c r="BA65" i="49"/>
  <c r="AZ65" i="49"/>
  <c r="AX65" i="49"/>
  <c r="BB65" i="49"/>
  <c r="Y112" i="49"/>
  <c r="Y128" i="49"/>
  <c r="B113" i="63" l="1"/>
  <c r="B114" i="63"/>
  <c r="Y114" i="63" s="1"/>
  <c r="B115" i="63"/>
  <c r="Y115" i="63" s="1"/>
  <c r="B116" i="63"/>
  <c r="B117" i="63"/>
  <c r="Y117" i="63" s="1"/>
  <c r="B118" i="63"/>
  <c r="Y118" i="63" s="1"/>
  <c r="B119" i="63"/>
  <c r="Y119" i="63" s="1"/>
  <c r="B120" i="63"/>
  <c r="Y120" i="63" s="1"/>
  <c r="B121" i="63"/>
  <c r="B122" i="63"/>
  <c r="Y122" i="63" s="1"/>
  <c r="B123" i="63"/>
  <c r="Y123" i="63" s="1"/>
  <c r="B124" i="63"/>
  <c r="B125" i="63"/>
  <c r="Y125" i="63" s="1"/>
  <c r="B126" i="63"/>
  <c r="B127" i="63"/>
  <c r="Y127" i="63" s="1"/>
  <c r="B128" i="63"/>
  <c r="B129" i="63"/>
  <c r="Y129" i="63" s="1"/>
  <c r="B130" i="63"/>
  <c r="Y130" i="63" s="1"/>
  <c r="B131" i="63"/>
  <c r="B132" i="63"/>
  <c r="Y132" i="63" s="1"/>
  <c r="B133" i="63"/>
  <c r="Y133" i="63" s="1"/>
  <c r="B134" i="63"/>
  <c r="Y134" i="63" s="1"/>
  <c r="B112" i="63"/>
  <c r="Y124" i="63" l="1"/>
  <c r="Y116" i="63"/>
  <c r="Y112" i="63"/>
  <c r="Y121" i="63"/>
  <c r="Y113" i="63"/>
  <c r="Y128" i="63"/>
  <c r="Y131" i="63"/>
  <c r="Y126" i="63"/>
  <c r="D326" i="69" l="1"/>
  <c r="A29" i="50" l="1"/>
  <c r="A132" i="49"/>
  <c r="A132" i="63"/>
  <c r="A30" i="49"/>
  <c r="A30" i="63"/>
  <c r="A30" i="64"/>
  <c r="A30" i="68"/>
  <c r="A30" i="70"/>
  <c r="A30" i="69"/>
  <c r="A30" i="66"/>
  <c r="A30" i="67"/>
  <c r="A30" i="65"/>
  <c r="A30" i="62"/>
  <c r="A29" i="44"/>
  <c r="A30" i="22"/>
  <c r="A24" i="50" l="1"/>
  <c r="A11" i="50"/>
  <c r="A13" i="50"/>
  <c r="A16" i="50"/>
  <c r="A19" i="50"/>
  <c r="A26" i="50"/>
  <c r="A10" i="50"/>
  <c r="A25" i="50"/>
  <c r="A28" i="50"/>
  <c r="A12" i="50"/>
  <c r="A15" i="50"/>
  <c r="A22" i="50"/>
  <c r="A21" i="50"/>
  <c r="A27" i="50"/>
  <c r="A18" i="50"/>
  <c r="A9" i="50"/>
  <c r="A17" i="50"/>
  <c r="A20" i="50"/>
  <c r="A23" i="50"/>
  <c r="A30" i="50"/>
  <c r="A14" i="50"/>
  <c r="A116" i="63"/>
  <c r="A116" i="49"/>
  <c r="A119" i="63"/>
  <c r="A119" i="49"/>
  <c r="A122" i="63"/>
  <c r="A122" i="49"/>
  <c r="A129" i="63"/>
  <c r="A129" i="49"/>
  <c r="A113" i="63"/>
  <c r="A113" i="49"/>
  <c r="A112" i="49"/>
  <c r="A128" i="63"/>
  <c r="A128" i="49"/>
  <c r="A131" i="63"/>
  <c r="A131" i="49"/>
  <c r="A115" i="63"/>
  <c r="A115" i="49"/>
  <c r="A118" i="63"/>
  <c r="A118" i="49"/>
  <c r="A125" i="63"/>
  <c r="A125" i="49"/>
  <c r="A10" i="67"/>
  <c r="A124" i="63"/>
  <c r="A124" i="49"/>
  <c r="A127" i="63"/>
  <c r="A127" i="49"/>
  <c r="A130" i="63"/>
  <c r="A130" i="49"/>
  <c r="A114" i="63"/>
  <c r="A114" i="49"/>
  <c r="A121" i="63"/>
  <c r="A121" i="49"/>
  <c r="A120" i="63"/>
  <c r="A120" i="49"/>
  <c r="A123" i="63"/>
  <c r="A123" i="49"/>
  <c r="A126" i="63"/>
  <c r="A126" i="49"/>
  <c r="A133" i="63"/>
  <c r="A133" i="49"/>
  <c r="A117" i="63"/>
  <c r="A117" i="49"/>
  <c r="A112" i="63"/>
  <c r="A10" i="64"/>
  <c r="A10" i="22"/>
  <c r="A10" i="66"/>
  <c r="A10" i="63"/>
  <c r="A9" i="44"/>
  <c r="A10" i="62"/>
  <c r="A10" i="69"/>
  <c r="A10" i="70"/>
  <c r="A10" i="49"/>
  <c r="A10" i="65"/>
  <c r="A10" i="68"/>
  <c r="A12" i="67"/>
  <c r="A12" i="70"/>
  <c r="A12" i="66"/>
  <c r="A12" i="64"/>
  <c r="A12" i="63"/>
  <c r="A12" i="69"/>
  <c r="A12" i="49"/>
  <c r="A12" i="68"/>
  <c r="A12" i="62"/>
  <c r="A12" i="65"/>
  <c r="A12" i="22"/>
  <c r="A11" i="44"/>
  <c r="A28" i="68"/>
  <c r="A28" i="67"/>
  <c r="A28" i="70"/>
  <c r="A28" i="69"/>
  <c r="A28" i="64"/>
  <c r="A28" i="63"/>
  <c r="A28" i="49"/>
  <c r="A28" i="66"/>
  <c r="A28" i="65"/>
  <c r="A28" i="22"/>
  <c r="A27" i="44"/>
  <c r="A28" i="62"/>
  <c r="A18" i="70"/>
  <c r="A18" i="69"/>
  <c r="A18" i="68"/>
  <c r="A18" i="65"/>
  <c r="A18" i="62"/>
  <c r="A18" i="22"/>
  <c r="A17" i="44"/>
  <c r="A18" i="63"/>
  <c r="A18" i="66"/>
  <c r="A18" i="67"/>
  <c r="A18" i="64"/>
  <c r="A18" i="49"/>
  <c r="A24" i="68"/>
  <c r="A24" i="67"/>
  <c r="A24" i="70"/>
  <c r="A24" i="69"/>
  <c r="A24" i="66"/>
  <c r="A24" i="64"/>
  <c r="A24" i="63"/>
  <c r="A24" i="62"/>
  <c r="A24" i="49"/>
  <c r="A24" i="22"/>
  <c r="A23" i="44"/>
  <c r="A24" i="65"/>
  <c r="A31" i="70"/>
  <c r="A31" i="69"/>
  <c r="A31" i="68"/>
  <c r="A31" i="67"/>
  <c r="A31" i="65"/>
  <c r="A31" i="62"/>
  <c r="A31" i="66"/>
  <c r="A31" i="64"/>
  <c r="A31" i="63"/>
  <c r="A31" i="49"/>
  <c r="A30" i="44"/>
  <c r="A31" i="22"/>
  <c r="A15" i="70"/>
  <c r="A15" i="69"/>
  <c r="A15" i="67"/>
  <c r="A15" i="65"/>
  <c r="A15" i="62"/>
  <c r="A15" i="68"/>
  <c r="A15" i="66"/>
  <c r="A15" i="64"/>
  <c r="A15" i="63"/>
  <c r="A15" i="49"/>
  <c r="A14" i="44"/>
  <c r="A15" i="22"/>
  <c r="A25" i="70"/>
  <c r="A25" i="69"/>
  <c r="A25" i="66"/>
  <c r="A25" i="67"/>
  <c r="A25" i="64"/>
  <c r="A25" i="63"/>
  <c r="A25" i="68"/>
  <c r="A25" i="65"/>
  <c r="A25" i="62"/>
  <c r="A25" i="22"/>
  <c r="A25" i="49"/>
  <c r="A24" i="44"/>
  <c r="A21" i="69"/>
  <c r="A21" i="68"/>
  <c r="A21" i="66"/>
  <c r="A21" i="64"/>
  <c r="A21" i="63"/>
  <c r="A21" i="70"/>
  <c r="A21" i="67"/>
  <c r="A21" i="65"/>
  <c r="A21" i="62"/>
  <c r="A21" i="22"/>
  <c r="A21" i="49"/>
  <c r="A20" i="44"/>
  <c r="A14" i="70"/>
  <c r="A14" i="69"/>
  <c r="A14" i="68"/>
  <c r="A14" i="67"/>
  <c r="A14" i="65"/>
  <c r="A14" i="62"/>
  <c r="A14" i="66"/>
  <c r="A14" i="22"/>
  <c r="A13" i="44"/>
  <c r="A14" i="63"/>
  <c r="A14" i="49"/>
  <c r="A14" i="64"/>
  <c r="A17" i="70"/>
  <c r="A17" i="68"/>
  <c r="A17" i="69"/>
  <c r="A17" i="67"/>
  <c r="A17" i="66"/>
  <c r="A17" i="64"/>
  <c r="A17" i="63"/>
  <c r="A17" i="65"/>
  <c r="A17" i="62"/>
  <c r="A17" i="22"/>
  <c r="A17" i="49"/>
  <c r="A16" i="44"/>
  <c r="A20" i="67"/>
  <c r="A20" i="69"/>
  <c r="A20" i="66"/>
  <c r="A20" i="64"/>
  <c r="A20" i="63"/>
  <c r="A20" i="70"/>
  <c r="A20" i="68"/>
  <c r="A20" i="65"/>
  <c r="A20" i="49"/>
  <c r="A20" i="62"/>
  <c r="A20" i="22"/>
  <c r="A19" i="44"/>
  <c r="A27" i="70"/>
  <c r="A27" i="69"/>
  <c r="A27" i="68"/>
  <c r="A27" i="67"/>
  <c r="A27" i="66"/>
  <c r="A27" i="65"/>
  <c r="A27" i="62"/>
  <c r="A27" i="64"/>
  <c r="A27" i="63"/>
  <c r="A27" i="49"/>
  <c r="A26" i="44"/>
  <c r="A27" i="22"/>
  <c r="A11" i="70"/>
  <c r="A11" i="69"/>
  <c r="A11" i="67"/>
  <c r="A11" i="68"/>
  <c r="A11" i="65"/>
  <c r="A11" i="62"/>
  <c r="A11" i="66"/>
  <c r="A11" i="64"/>
  <c r="A11" i="63"/>
  <c r="A11" i="49"/>
  <c r="A10" i="44"/>
  <c r="A11" i="22"/>
  <c r="A22" i="70"/>
  <c r="A22" i="69"/>
  <c r="A22" i="68"/>
  <c r="A22" i="67"/>
  <c r="A22" i="65"/>
  <c r="A22" i="62"/>
  <c r="A22" i="63"/>
  <c r="A22" i="22"/>
  <c r="A21" i="44"/>
  <c r="A22" i="64"/>
  <c r="A22" i="66"/>
  <c r="A22" i="49"/>
  <c r="A19" i="70"/>
  <c r="A19" i="67"/>
  <c r="A19" i="68"/>
  <c r="A19" i="65"/>
  <c r="A19" i="62"/>
  <c r="A19" i="66"/>
  <c r="A19" i="64"/>
  <c r="A19" i="63"/>
  <c r="A19" i="49"/>
  <c r="A18" i="44"/>
  <c r="A19" i="69"/>
  <c r="A19" i="22"/>
  <c r="A26" i="70"/>
  <c r="A26" i="69"/>
  <c r="A26" i="66"/>
  <c r="A26" i="68"/>
  <c r="A26" i="65"/>
  <c r="A26" i="62"/>
  <c r="A26" i="64"/>
  <c r="A26" i="22"/>
  <c r="A25" i="44"/>
  <c r="A26" i="67"/>
  <c r="A26" i="49"/>
  <c r="A26" i="63"/>
  <c r="A29" i="66"/>
  <c r="A29" i="68"/>
  <c r="A29" i="64"/>
  <c r="A29" i="63"/>
  <c r="A29" i="67"/>
  <c r="A29" i="65"/>
  <c r="A29" i="62"/>
  <c r="A29" i="69"/>
  <c r="A29" i="22"/>
  <c r="A28" i="44"/>
  <c r="A29" i="70"/>
  <c r="A29" i="49"/>
  <c r="A13" i="68"/>
  <c r="A13" i="66"/>
  <c r="A13" i="64"/>
  <c r="A13" i="63"/>
  <c r="A13" i="69"/>
  <c r="A13" i="67"/>
  <c r="A13" i="65"/>
  <c r="A13" i="62"/>
  <c r="A13" i="22"/>
  <c r="A13" i="70"/>
  <c r="A13" i="49"/>
  <c r="A12" i="44"/>
  <c r="A16" i="69"/>
  <c r="A16" i="67"/>
  <c r="A16" i="70"/>
  <c r="A16" i="68"/>
  <c r="A16" i="66"/>
  <c r="A16" i="64"/>
  <c r="A16" i="63"/>
  <c r="A16" i="49"/>
  <c r="A16" i="65"/>
  <c r="A16" i="62"/>
  <c r="A16" i="22"/>
  <c r="A15" i="44"/>
  <c r="A23" i="70"/>
  <c r="A23" i="67"/>
  <c r="A23" i="65"/>
  <c r="A23" i="62"/>
  <c r="A23" i="69"/>
  <c r="A23" i="68"/>
  <c r="A23" i="66"/>
  <c r="A23" i="64"/>
  <c r="A23" i="63"/>
  <c r="A23" i="49"/>
  <c r="A22" i="44"/>
  <c r="A23" i="22"/>
  <c r="AE148" i="63" l="1"/>
  <c r="AE149" i="63"/>
  <c r="AE150" i="63"/>
  <c r="AE151" i="63"/>
  <c r="AE152" i="63"/>
  <c r="AE153" i="63"/>
  <c r="AE154" i="63"/>
  <c r="AE155" i="63"/>
  <c r="AE156" i="63"/>
  <c r="AE157" i="63"/>
  <c r="AE158" i="63"/>
  <c r="AE159" i="63"/>
  <c r="AE161" i="63"/>
  <c r="AE162" i="63"/>
  <c r="AE163" i="63"/>
  <c r="AE164" i="63"/>
  <c r="AE165" i="63"/>
  <c r="AE166" i="63"/>
  <c r="AE168" i="63"/>
  <c r="G165" i="63" l="1"/>
  <c r="H165" i="63"/>
  <c r="E165" i="63"/>
  <c r="F165" i="63"/>
  <c r="D165" i="63"/>
  <c r="F161" i="63"/>
  <c r="D161" i="63"/>
  <c r="H161" i="63"/>
  <c r="E161" i="63"/>
  <c r="G161" i="63"/>
  <c r="D156" i="63"/>
  <c r="F156" i="63"/>
  <c r="H156" i="63"/>
  <c r="G156" i="63"/>
  <c r="E156" i="63"/>
  <c r="H152" i="63"/>
  <c r="D152" i="63"/>
  <c r="F152" i="63"/>
  <c r="G152" i="63"/>
  <c r="E152" i="63"/>
  <c r="H148" i="63"/>
  <c r="E148" i="63"/>
  <c r="G148" i="63"/>
  <c r="D148" i="63"/>
  <c r="F148" i="63"/>
  <c r="G164" i="63"/>
  <c r="E164" i="63"/>
  <c r="D164" i="63"/>
  <c r="F164" i="63"/>
  <c r="H164" i="63"/>
  <c r="D155" i="63"/>
  <c r="F155" i="63"/>
  <c r="H155" i="63"/>
  <c r="E155" i="63"/>
  <c r="G155" i="63"/>
  <c r="D168" i="63"/>
  <c r="F168" i="63"/>
  <c r="E168" i="63"/>
  <c r="G168" i="63"/>
  <c r="H168" i="63"/>
  <c r="E163" i="63"/>
  <c r="D163" i="63"/>
  <c r="H163" i="63"/>
  <c r="F163" i="63"/>
  <c r="G163" i="63"/>
  <c r="E158" i="63"/>
  <c r="D158" i="63"/>
  <c r="F158" i="63"/>
  <c r="H158" i="63"/>
  <c r="G158" i="63"/>
  <c r="G154" i="63"/>
  <c r="D154" i="63"/>
  <c r="F154" i="63"/>
  <c r="H154" i="63"/>
  <c r="E154" i="63"/>
  <c r="E150" i="63"/>
  <c r="G150" i="63"/>
  <c r="F150" i="63"/>
  <c r="H150" i="63"/>
  <c r="D150" i="63"/>
  <c r="E159" i="63"/>
  <c r="G159" i="63"/>
  <c r="H159" i="63"/>
  <c r="F159" i="63"/>
  <c r="D159" i="63"/>
  <c r="D166" i="63"/>
  <c r="E166" i="63"/>
  <c r="G166" i="63"/>
  <c r="F166" i="63"/>
  <c r="H166" i="63"/>
  <c r="F162" i="63"/>
  <c r="H162" i="63"/>
  <c r="E162" i="63"/>
  <c r="G162" i="63"/>
  <c r="D162" i="63"/>
  <c r="H157" i="63"/>
  <c r="G157" i="63"/>
  <c r="F157" i="63"/>
  <c r="D157" i="63"/>
  <c r="E157" i="63"/>
  <c r="E153" i="63"/>
  <c r="F153" i="63"/>
  <c r="D153" i="63"/>
  <c r="H153" i="63"/>
  <c r="G153" i="63"/>
  <c r="E149" i="63"/>
  <c r="G149" i="63"/>
  <c r="D149" i="63"/>
  <c r="F149" i="63"/>
  <c r="H149" i="63"/>
  <c r="D151" i="63"/>
  <c r="G151" i="63"/>
  <c r="E151" i="63"/>
  <c r="H151" i="63"/>
  <c r="F151" i="63"/>
  <c r="AE160" i="63" l="1"/>
  <c r="F160" i="63" l="1"/>
  <c r="H160" i="63"/>
  <c r="G160" i="63"/>
  <c r="E160" i="63"/>
  <c r="D160" i="63"/>
  <c r="Z183" i="67"/>
  <c r="AF183" i="67" s="1"/>
  <c r="Z255" i="67" l="1"/>
  <c r="AF255" i="67" s="1"/>
  <c r="S10" i="49" l="1"/>
  <c r="T10" i="49" s="1"/>
  <c r="U10" i="49" s="1"/>
  <c r="D328" i="69" l="1"/>
  <c r="E328" i="69"/>
  <c r="F328" i="69"/>
  <c r="G328" i="69"/>
  <c r="H328" i="69"/>
  <c r="D329" i="69"/>
  <c r="E329" i="69"/>
  <c r="F329" i="69"/>
  <c r="G329" i="69"/>
  <c r="H329" i="69"/>
  <c r="D330" i="69"/>
  <c r="E330" i="69"/>
  <c r="F330" i="69"/>
  <c r="G330" i="69"/>
  <c r="H330" i="69"/>
  <c r="D331" i="69"/>
  <c r="E331" i="69"/>
  <c r="F331" i="69"/>
  <c r="G331" i="69"/>
  <c r="H331" i="69"/>
  <c r="D332" i="69"/>
  <c r="E332" i="69"/>
  <c r="F332" i="69"/>
  <c r="G332" i="69"/>
  <c r="H332" i="69"/>
  <c r="D333" i="69"/>
  <c r="E333" i="69"/>
  <c r="F333" i="69"/>
  <c r="G333" i="69"/>
  <c r="H333" i="69"/>
  <c r="D334" i="69"/>
  <c r="E334" i="69"/>
  <c r="F334" i="69"/>
  <c r="G334" i="69"/>
  <c r="H334" i="69"/>
  <c r="D335" i="69"/>
  <c r="E335" i="69"/>
  <c r="F335" i="69"/>
  <c r="G335" i="69"/>
  <c r="H335" i="69"/>
  <c r="D336" i="69"/>
  <c r="E336" i="69"/>
  <c r="F336" i="69"/>
  <c r="G336" i="69"/>
  <c r="H336" i="69"/>
  <c r="D337" i="69"/>
  <c r="E337" i="69"/>
  <c r="F337" i="69"/>
  <c r="G337" i="69"/>
  <c r="H337" i="69"/>
  <c r="D338" i="69"/>
  <c r="E338" i="69"/>
  <c r="F338" i="69"/>
  <c r="G338" i="69"/>
  <c r="H338" i="69"/>
  <c r="D339" i="69"/>
  <c r="E339" i="69"/>
  <c r="F339" i="69"/>
  <c r="G339" i="69"/>
  <c r="H339" i="69"/>
  <c r="D340" i="69"/>
  <c r="E340" i="69"/>
  <c r="F340" i="69"/>
  <c r="G340" i="69"/>
  <c r="H340" i="69"/>
  <c r="D341" i="69"/>
  <c r="E341" i="69"/>
  <c r="F341" i="69"/>
  <c r="G341" i="69"/>
  <c r="H341" i="69"/>
  <c r="D342" i="69"/>
  <c r="E342" i="69"/>
  <c r="F342" i="69"/>
  <c r="G342" i="69"/>
  <c r="H342" i="69"/>
  <c r="D343" i="69"/>
  <c r="E343" i="69"/>
  <c r="F343" i="69"/>
  <c r="G343" i="69"/>
  <c r="H343" i="69"/>
  <c r="D344" i="69"/>
  <c r="E344" i="69"/>
  <c r="F344" i="69"/>
  <c r="G344" i="69"/>
  <c r="H344" i="69"/>
  <c r="D345" i="69"/>
  <c r="E345" i="69"/>
  <c r="F345" i="69"/>
  <c r="G345" i="69"/>
  <c r="H345" i="69"/>
  <c r="D346" i="69"/>
  <c r="E346" i="69"/>
  <c r="F346" i="69"/>
  <c r="G346" i="69"/>
  <c r="H346" i="69"/>
  <c r="D347" i="69"/>
  <c r="E347" i="69"/>
  <c r="F347" i="69"/>
  <c r="G347" i="69"/>
  <c r="H347" i="69"/>
  <c r="D348" i="69"/>
  <c r="E348" i="69"/>
  <c r="F348" i="69"/>
  <c r="G348" i="69"/>
  <c r="H348" i="69"/>
  <c r="D349" i="69"/>
  <c r="E349" i="69"/>
  <c r="F349" i="69"/>
  <c r="G349" i="69"/>
  <c r="H349" i="69"/>
  <c r="D327" i="69"/>
  <c r="E327" i="69"/>
  <c r="F327" i="69"/>
  <c r="G327" i="69"/>
  <c r="H327" i="69"/>
  <c r="E326" i="69"/>
  <c r="F326" i="69"/>
  <c r="G326" i="69"/>
  <c r="H326" i="69"/>
  <c r="AF292" i="69"/>
  <c r="J292" i="69" s="1"/>
  <c r="AF293" i="69"/>
  <c r="L293" i="69" s="1"/>
  <c r="AF294" i="69"/>
  <c r="M294" i="69" s="1"/>
  <c r="AF295" i="69"/>
  <c r="N295" i="69" s="1"/>
  <c r="AF296" i="69"/>
  <c r="J296" i="69" s="1"/>
  <c r="AF297" i="69"/>
  <c r="L297" i="69" s="1"/>
  <c r="AF298" i="69"/>
  <c r="M298" i="69" s="1"/>
  <c r="AF299" i="69"/>
  <c r="N299" i="69" s="1"/>
  <c r="AF300" i="69"/>
  <c r="J300" i="69" s="1"/>
  <c r="AF301" i="69"/>
  <c r="L301" i="69" s="1"/>
  <c r="AF302" i="69"/>
  <c r="M302" i="69" s="1"/>
  <c r="AF303" i="69"/>
  <c r="N303" i="69" s="1"/>
  <c r="AF304" i="69"/>
  <c r="J304" i="69" s="1"/>
  <c r="AF305" i="69"/>
  <c r="L305" i="69" s="1"/>
  <c r="AF306" i="69"/>
  <c r="M306" i="69" s="1"/>
  <c r="AF307" i="69"/>
  <c r="N307" i="69" s="1"/>
  <c r="AF308" i="69"/>
  <c r="J308" i="69" s="1"/>
  <c r="AF309" i="69"/>
  <c r="L309" i="69" s="1"/>
  <c r="AF310" i="69"/>
  <c r="M310" i="69" s="1"/>
  <c r="AF311" i="69"/>
  <c r="N311" i="69" s="1"/>
  <c r="AF312" i="69"/>
  <c r="J312" i="69" s="1"/>
  <c r="AF314" i="69"/>
  <c r="M314" i="69" s="1"/>
  <c r="L291" i="69"/>
  <c r="I314" i="69" l="1"/>
  <c r="I310" i="69"/>
  <c r="I306" i="69"/>
  <c r="I302" i="69"/>
  <c r="I298" i="69"/>
  <c r="I294" i="69"/>
  <c r="J293" i="69"/>
  <c r="J297" i="69"/>
  <c r="J301" i="69"/>
  <c r="J305" i="69"/>
  <c r="J309" i="69"/>
  <c r="N291" i="69"/>
  <c r="L314" i="69"/>
  <c r="N312" i="69"/>
  <c r="M311" i="69"/>
  <c r="L310" i="69"/>
  <c r="N308" i="69"/>
  <c r="M307" i="69"/>
  <c r="L306" i="69"/>
  <c r="N304" i="69"/>
  <c r="M303" i="69"/>
  <c r="L302" i="69"/>
  <c r="N300" i="69"/>
  <c r="M299" i="69"/>
  <c r="L298" i="69"/>
  <c r="N296" i="69"/>
  <c r="M295" i="69"/>
  <c r="L294" i="69"/>
  <c r="N292" i="69"/>
  <c r="I309" i="69"/>
  <c r="I305" i="69"/>
  <c r="I301" i="69"/>
  <c r="I297" i="69"/>
  <c r="I293" i="69"/>
  <c r="J294" i="69"/>
  <c r="J298" i="69"/>
  <c r="J302" i="69"/>
  <c r="J306" i="69"/>
  <c r="J310" i="69"/>
  <c r="J314" i="69"/>
  <c r="M291" i="69"/>
  <c r="M312" i="69"/>
  <c r="L311" i="69"/>
  <c r="N309" i="69"/>
  <c r="M308" i="69"/>
  <c r="L307" i="69"/>
  <c r="N305" i="69"/>
  <c r="M304" i="69"/>
  <c r="L303" i="69"/>
  <c r="N301" i="69"/>
  <c r="M300" i="69"/>
  <c r="L299" i="69"/>
  <c r="N297" i="69"/>
  <c r="M296" i="69"/>
  <c r="L295" i="69"/>
  <c r="N293" i="69"/>
  <c r="M292" i="69"/>
  <c r="I312" i="69"/>
  <c r="I308" i="69"/>
  <c r="I304" i="69"/>
  <c r="I300" i="69"/>
  <c r="I296" i="69"/>
  <c r="I292" i="69"/>
  <c r="J295" i="69"/>
  <c r="J299" i="69"/>
  <c r="J303" i="69"/>
  <c r="J307" i="69"/>
  <c r="J311" i="69"/>
  <c r="J291" i="69"/>
  <c r="N314" i="69"/>
  <c r="L312" i="69"/>
  <c r="N310" i="69"/>
  <c r="M309" i="69"/>
  <c r="L308" i="69"/>
  <c r="N306" i="69"/>
  <c r="M305" i="69"/>
  <c r="L304" i="69"/>
  <c r="N302" i="69"/>
  <c r="M301" i="69"/>
  <c r="L300" i="69"/>
  <c r="N298" i="69"/>
  <c r="M297" i="69"/>
  <c r="L296" i="69"/>
  <c r="N294" i="69"/>
  <c r="M293" i="69"/>
  <c r="L292" i="69"/>
  <c r="I291" i="69"/>
  <c r="I311" i="69"/>
  <c r="I307" i="69"/>
  <c r="I303" i="69"/>
  <c r="I299" i="69"/>
  <c r="I295" i="69"/>
  <c r="AD219" i="69" l="1"/>
  <c r="AJ219" i="69" s="1"/>
  <c r="AC219" i="69"/>
  <c r="AI219" i="69" s="1"/>
  <c r="AB219" i="69"/>
  <c r="AH219" i="69" s="1"/>
  <c r="AA219" i="69"/>
  <c r="AG219" i="69" s="1"/>
  <c r="Z219" i="69"/>
  <c r="AF219" i="69" s="1"/>
  <c r="AD255" i="69" l="1"/>
  <c r="AC255" i="69"/>
  <c r="AB255" i="69"/>
  <c r="AA255" i="69"/>
  <c r="Z255" i="69"/>
  <c r="B101" i="70" l="1"/>
  <c r="B243" i="83" s="1"/>
  <c r="B100" i="70"/>
  <c r="B242" i="83" s="1"/>
  <c r="B99" i="70"/>
  <c r="B241" i="83" s="1"/>
  <c r="B277" i="83" s="1"/>
  <c r="B98" i="70"/>
  <c r="B240" i="83" s="1"/>
  <c r="B276" i="83" s="1"/>
  <c r="B97" i="70"/>
  <c r="B239" i="83" s="1"/>
  <c r="B275" i="83" s="1"/>
  <c r="B96" i="70"/>
  <c r="B238" i="83" s="1"/>
  <c r="B274" i="83" s="1"/>
  <c r="B95" i="70"/>
  <c r="B237" i="83" s="1"/>
  <c r="B273" i="83" s="1"/>
  <c r="B94" i="70"/>
  <c r="B236" i="83" s="1"/>
  <c r="B272" i="83" s="1"/>
  <c r="B93" i="70"/>
  <c r="B235" i="83" s="1"/>
  <c r="B271" i="83" s="1"/>
  <c r="B92" i="70"/>
  <c r="B234" i="83" s="1"/>
  <c r="B270" i="83" s="1"/>
  <c r="B91" i="70"/>
  <c r="B233" i="83" s="1"/>
  <c r="B269" i="83" s="1"/>
  <c r="B90" i="70"/>
  <c r="B232" i="83" s="1"/>
  <c r="B268" i="83" s="1"/>
  <c r="B89" i="70"/>
  <c r="B231" i="83" s="1"/>
  <c r="B267" i="83" s="1"/>
  <c r="B88" i="70"/>
  <c r="B230" i="83" s="1"/>
  <c r="B266" i="83" s="1"/>
  <c r="B87" i="70"/>
  <c r="B229" i="83" s="1"/>
  <c r="B265" i="83" s="1"/>
  <c r="B86" i="70"/>
  <c r="B228" i="83" s="1"/>
  <c r="B264" i="83" s="1"/>
  <c r="B85" i="70"/>
  <c r="B227" i="83" s="1"/>
  <c r="B263" i="83" s="1"/>
  <c r="B84" i="70"/>
  <c r="B226" i="83" s="1"/>
  <c r="B262" i="83" s="1"/>
  <c r="B83" i="70"/>
  <c r="B225" i="83" s="1"/>
  <c r="B261" i="83" s="1"/>
  <c r="B82" i="70"/>
  <c r="B224" i="83" s="1"/>
  <c r="B260" i="83" s="1"/>
  <c r="B81" i="70"/>
  <c r="B223" i="83" s="1"/>
  <c r="B259" i="83" s="1"/>
  <c r="B80" i="70"/>
  <c r="B222" i="83" s="1"/>
  <c r="B258" i="83" s="1"/>
  <c r="B79" i="70"/>
  <c r="B221" i="83" s="1"/>
  <c r="B257" i="83" s="1"/>
  <c r="B78" i="70"/>
  <c r="B220" i="83" s="1"/>
  <c r="B256" i="83" s="1"/>
  <c r="AO65" i="70"/>
  <c r="AO64" i="70"/>
  <c r="AO63" i="70"/>
  <c r="AO62" i="70"/>
  <c r="AO61" i="70"/>
  <c r="AO60" i="70"/>
  <c r="AO59" i="70"/>
  <c r="AO58" i="70"/>
  <c r="AO57" i="70"/>
  <c r="AO56" i="70"/>
  <c r="AO55" i="70"/>
  <c r="AO54" i="70"/>
  <c r="AO53" i="70"/>
  <c r="AO52" i="70"/>
  <c r="AO51" i="70"/>
  <c r="AO50" i="70"/>
  <c r="AO49" i="70"/>
  <c r="AO48" i="70"/>
  <c r="AO47" i="70"/>
  <c r="AO46" i="70"/>
  <c r="AO45" i="70"/>
  <c r="AO44" i="70"/>
  <c r="AO43" i="70"/>
  <c r="AO42" i="70"/>
  <c r="AT42" i="70" s="1"/>
  <c r="X33" i="70"/>
  <c r="X32" i="70"/>
  <c r="M32" i="70"/>
  <c r="X31" i="70"/>
  <c r="T31" i="70"/>
  <c r="R31" i="70"/>
  <c r="X30" i="70"/>
  <c r="T30" i="70"/>
  <c r="X29" i="70"/>
  <c r="T29" i="70"/>
  <c r="X28" i="70"/>
  <c r="T28" i="70"/>
  <c r="X27" i="70"/>
  <c r="T27" i="70"/>
  <c r="X26" i="70"/>
  <c r="T26" i="70"/>
  <c r="X25" i="70"/>
  <c r="T25" i="70"/>
  <c r="X24" i="70"/>
  <c r="T24" i="70"/>
  <c r="X23" i="70"/>
  <c r="T23" i="70"/>
  <c r="X22" i="70"/>
  <c r="T22" i="70"/>
  <c r="X21" i="70"/>
  <c r="T21" i="70"/>
  <c r="X20" i="70"/>
  <c r="T20" i="70"/>
  <c r="X19" i="70"/>
  <c r="T19" i="70"/>
  <c r="X18" i="70"/>
  <c r="T18" i="70"/>
  <c r="X17" i="70"/>
  <c r="T17" i="70"/>
  <c r="X16" i="70"/>
  <c r="T16" i="70"/>
  <c r="X15" i="70"/>
  <c r="T15" i="70"/>
  <c r="R15" i="70"/>
  <c r="X14" i="70"/>
  <c r="T14" i="70"/>
  <c r="X13" i="70"/>
  <c r="T13" i="70"/>
  <c r="X12" i="70"/>
  <c r="T12" i="70"/>
  <c r="X11" i="70"/>
  <c r="T11" i="70"/>
  <c r="X10" i="70"/>
  <c r="T10" i="70"/>
  <c r="R10" i="70"/>
  <c r="Y256" i="83" l="1"/>
  <c r="A256" i="83"/>
  <c r="BG159" i="83"/>
  <c r="BF160" i="83"/>
  <c r="BD163" i="83"/>
  <c r="BD159" i="83"/>
  <c r="BD158" i="83"/>
  <c r="BF154" i="83"/>
  <c r="BF167" i="83"/>
  <c r="BE148" i="83"/>
  <c r="BD161" i="83"/>
  <c r="BC168" i="83"/>
  <c r="BE158" i="83"/>
  <c r="BD160" i="83"/>
  <c r="BG148" i="83"/>
  <c r="BF155" i="83"/>
  <c r="BF168" i="83"/>
  <c r="BD162" i="83"/>
  <c r="BG160" i="83"/>
  <c r="BD156" i="83"/>
  <c r="BC150" i="83"/>
  <c r="BF169" i="83"/>
  <c r="BG161" i="83"/>
  <c r="BD157" i="83"/>
  <c r="BC152" i="83"/>
  <c r="BD155" i="83"/>
  <c r="BE150" i="83"/>
  <c r="BD169" i="83"/>
  <c r="BC163" i="83"/>
  <c r="BF166" i="83"/>
  <c r="BC165" i="83"/>
  <c r="BC164" i="83"/>
  <c r="BE149" i="83"/>
  <c r="BF162" i="83"/>
  <c r="BF161" i="83"/>
  <c r="BG157" i="83"/>
  <c r="BF151" i="83"/>
  <c r="BF164" i="83"/>
  <c r="BC155" i="83"/>
  <c r="BC149" i="83"/>
  <c r="BF163" i="83"/>
  <c r="BD168" i="83"/>
  <c r="BG158" i="83"/>
  <c r="BF152" i="83"/>
  <c r="BF165" i="83"/>
  <c r="BD151" i="83"/>
  <c r="BD164" i="83"/>
  <c r="BC148" i="83"/>
  <c r="BE159" i="83"/>
  <c r="BD150" i="83"/>
  <c r="BD153" i="83"/>
  <c r="BD166" i="83"/>
  <c r="BF153" i="83"/>
  <c r="BD152" i="83"/>
  <c r="BD165" i="83"/>
  <c r="BF150" i="83"/>
  <c r="BE160" i="83"/>
  <c r="BD154" i="83"/>
  <c r="BD167" i="83"/>
  <c r="BG152" i="83"/>
  <c r="BG165" i="83"/>
  <c r="BD148" i="83"/>
  <c r="BC161" i="83"/>
  <c r="BG164" i="83"/>
  <c r="BG154" i="83"/>
  <c r="BG167" i="83"/>
  <c r="BE163" i="83"/>
  <c r="BG153" i="83"/>
  <c r="BG166" i="83"/>
  <c r="BD149" i="83"/>
  <c r="BC162" i="83"/>
  <c r="BE165" i="83"/>
  <c r="BG155" i="83"/>
  <c r="BG168" i="83"/>
  <c r="BE154" i="83"/>
  <c r="BE167" i="83"/>
  <c r="BG149" i="83"/>
  <c r="BG162" i="83"/>
  <c r="BG156" i="83"/>
  <c r="BE156" i="83"/>
  <c r="BE169" i="83"/>
  <c r="BG169" i="83"/>
  <c r="BE155" i="83"/>
  <c r="BE168" i="83"/>
  <c r="BG150" i="83"/>
  <c r="BG163" i="83"/>
  <c r="BF148" i="83"/>
  <c r="BE152" i="83"/>
  <c r="BE157" i="83"/>
  <c r="BC156" i="83"/>
  <c r="BC169" i="83"/>
  <c r="BE151" i="83"/>
  <c r="BE164" i="83"/>
  <c r="BC151" i="83"/>
  <c r="BC158" i="83"/>
  <c r="BE153" i="83"/>
  <c r="BC157" i="83"/>
  <c r="BC159" i="83"/>
  <c r="BG151" i="83"/>
  <c r="BF157" i="83"/>
  <c r="BC153" i="83"/>
  <c r="BC166" i="83"/>
  <c r="BF149" i="83"/>
  <c r="BF159" i="83"/>
  <c r="BE161" i="83"/>
  <c r="BE166" i="83"/>
  <c r="BF158" i="83"/>
  <c r="BF156" i="83"/>
  <c r="BC154" i="83"/>
  <c r="BC167" i="83"/>
  <c r="BC160" i="83"/>
  <c r="Y264" i="83"/>
  <c r="A264" i="83"/>
  <c r="Y272" i="83"/>
  <c r="A272" i="83"/>
  <c r="Y257" i="83"/>
  <c r="A257" i="83"/>
  <c r="Y265" i="83"/>
  <c r="A265" i="83"/>
  <c r="Y273" i="83"/>
  <c r="A273" i="83"/>
  <c r="Y258" i="83"/>
  <c r="A258" i="83"/>
  <c r="Y266" i="83"/>
  <c r="A266" i="83"/>
  <c r="Y274" i="83"/>
  <c r="A274" i="83"/>
  <c r="A259" i="83"/>
  <c r="Y259" i="83"/>
  <c r="A267" i="83"/>
  <c r="Y267" i="83"/>
  <c r="A275" i="83"/>
  <c r="Y275" i="83"/>
  <c r="A260" i="83"/>
  <c r="Y260" i="83"/>
  <c r="A268" i="83"/>
  <c r="Y268" i="83"/>
  <c r="A276" i="83"/>
  <c r="Y276" i="83"/>
  <c r="A261" i="83"/>
  <c r="Y261" i="83"/>
  <c r="A269" i="83"/>
  <c r="Y269" i="83"/>
  <c r="Y277" i="83"/>
  <c r="A277" i="83"/>
  <c r="Y262" i="83"/>
  <c r="A262" i="83"/>
  <c r="A270" i="83"/>
  <c r="Y270" i="83"/>
  <c r="Y242" i="83"/>
  <c r="B278" i="83"/>
  <c r="Y278" i="83" s="1"/>
  <c r="A263" i="83"/>
  <c r="Y263" i="83"/>
  <c r="Y271" i="83"/>
  <c r="A271" i="83"/>
  <c r="Y243" i="83"/>
  <c r="B279" i="83"/>
  <c r="Y279" i="83" s="1"/>
  <c r="Y228" i="83"/>
  <c r="A228" i="83"/>
  <c r="A221" i="83"/>
  <c r="Y221" i="83"/>
  <c r="A229" i="83"/>
  <c r="Y229" i="83"/>
  <c r="A237" i="83"/>
  <c r="Y237" i="83"/>
  <c r="Y222" i="83"/>
  <c r="A222" i="83"/>
  <c r="Y230" i="83"/>
  <c r="A230" i="83"/>
  <c r="Y238" i="83"/>
  <c r="A238" i="83"/>
  <c r="Y223" i="83"/>
  <c r="A223" i="83"/>
  <c r="Y231" i="83"/>
  <c r="A231" i="83"/>
  <c r="Y239" i="83"/>
  <c r="A239" i="83"/>
  <c r="Y236" i="83"/>
  <c r="A236" i="83"/>
  <c r="A224" i="83"/>
  <c r="Y224" i="83"/>
  <c r="A232" i="83"/>
  <c r="Y232" i="83"/>
  <c r="A240" i="83"/>
  <c r="Y240" i="83"/>
  <c r="Y220" i="83"/>
  <c r="A220" i="83"/>
  <c r="AY160" i="83"/>
  <c r="AY153" i="83"/>
  <c r="AX169" i="83"/>
  <c r="AX168" i="83"/>
  <c r="AY152" i="83"/>
  <c r="AY155" i="83"/>
  <c r="BA171" i="83"/>
  <c r="BB148" i="83"/>
  <c r="BB164" i="83"/>
  <c r="AX157" i="83"/>
  <c r="BA165" i="83"/>
  <c r="BB158" i="83"/>
  <c r="AY166" i="83"/>
  <c r="AZ151" i="83"/>
  <c r="AX167" i="83"/>
  <c r="AZ160" i="83"/>
  <c r="AZ153" i="83"/>
  <c r="BA169" i="83"/>
  <c r="AX154" i="83"/>
  <c r="BA162" i="83"/>
  <c r="AZ152" i="83"/>
  <c r="AX155" i="83"/>
  <c r="BB171" i="83"/>
  <c r="AX156" i="83"/>
  <c r="AZ164" i="83"/>
  <c r="AY157" i="83"/>
  <c r="BB165" i="83"/>
  <c r="AZ158" i="83"/>
  <c r="AX172" i="83"/>
  <c r="BA151" i="83"/>
  <c r="AY167" i="83"/>
  <c r="BA160" i="83"/>
  <c r="BB161" i="83"/>
  <c r="AY169" i="83"/>
  <c r="AY154" i="83"/>
  <c r="BB162" i="83"/>
  <c r="BA152" i="83"/>
  <c r="AZ163" i="83"/>
  <c r="AY171" i="83"/>
  <c r="AY156" i="83"/>
  <c r="BA164" i="83"/>
  <c r="AZ157" i="83"/>
  <c r="BA150" i="83"/>
  <c r="AX158" i="83"/>
  <c r="AY172" i="83"/>
  <c r="BB151" i="83"/>
  <c r="AZ167" i="83"/>
  <c r="BB160" i="83"/>
  <c r="AX161" i="83"/>
  <c r="AZ169" i="83"/>
  <c r="AZ154" i="83"/>
  <c r="AX170" i="83"/>
  <c r="BB152" i="83"/>
  <c r="BA163" i="83"/>
  <c r="AX171" i="83"/>
  <c r="AZ156" i="83"/>
  <c r="AX149" i="83"/>
  <c r="BA157" i="83"/>
  <c r="BB150" i="83"/>
  <c r="AY158" i="83"/>
  <c r="AZ172" i="83"/>
  <c r="AX159" i="83"/>
  <c r="BA167" i="83"/>
  <c r="AX160" i="83"/>
  <c r="AY161" i="83"/>
  <c r="AY168" i="83"/>
  <c r="BA154" i="83"/>
  <c r="AY170" i="83"/>
  <c r="AX152" i="83"/>
  <c r="BB163" i="83"/>
  <c r="AY148" i="83"/>
  <c r="BB156" i="83"/>
  <c r="AY149" i="83"/>
  <c r="BB157" i="83"/>
  <c r="AX150" i="83"/>
  <c r="BA166" i="83"/>
  <c r="BA172" i="83"/>
  <c r="AY159" i="83"/>
  <c r="BB167" i="83"/>
  <c r="BB153" i="83"/>
  <c r="BA161" i="83"/>
  <c r="AZ168" i="83"/>
  <c r="BB154" i="83"/>
  <c r="AZ155" i="83"/>
  <c r="AY163" i="83"/>
  <c r="AX148" i="83"/>
  <c r="BA156" i="83"/>
  <c r="AZ149" i="83"/>
  <c r="AX165" i="83"/>
  <c r="AZ150" i="83"/>
  <c r="BB166" i="83"/>
  <c r="BB172" i="83"/>
  <c r="AZ159" i="83"/>
  <c r="AX153" i="83"/>
  <c r="AZ161" i="83"/>
  <c r="BA168" i="83"/>
  <c r="AX162" i="83"/>
  <c r="BA170" i="83"/>
  <c r="BA155" i="83"/>
  <c r="AX163" i="83"/>
  <c r="AZ148" i="83"/>
  <c r="AX164" i="83"/>
  <c r="BA149" i="83"/>
  <c r="AY165" i="83"/>
  <c r="AY150" i="83"/>
  <c r="AX166" i="83"/>
  <c r="AX151" i="83"/>
  <c r="BA159" i="83"/>
  <c r="BA153" i="83"/>
  <c r="BB169" i="83"/>
  <c r="BB168" i="83"/>
  <c r="AY162" i="83"/>
  <c r="BB170" i="83"/>
  <c r="BB155" i="83"/>
  <c r="AZ171" i="83"/>
  <c r="BA148" i="83"/>
  <c r="AY164" i="83"/>
  <c r="BB149" i="83"/>
  <c r="AZ165" i="83"/>
  <c r="BA158" i="83"/>
  <c r="AZ166" i="83"/>
  <c r="AY151" i="83"/>
  <c r="BB159" i="83"/>
  <c r="A225" i="83"/>
  <c r="Y225" i="83"/>
  <c r="Y233" i="83"/>
  <c r="A233" i="83"/>
  <c r="A241" i="83"/>
  <c r="Y241" i="83"/>
  <c r="A226" i="83"/>
  <c r="Y226" i="83"/>
  <c r="A234" i="83"/>
  <c r="Y234" i="83"/>
  <c r="A227" i="83"/>
  <c r="Y227" i="83"/>
  <c r="Y235" i="83"/>
  <c r="A235" i="83"/>
  <c r="AU42" i="70"/>
  <c r="AU46" i="70"/>
  <c r="AU50" i="70"/>
  <c r="AU43" i="70"/>
  <c r="AU45" i="70"/>
  <c r="AU63" i="70"/>
  <c r="AU54" i="70"/>
  <c r="AU58" i="70"/>
  <c r="AU47" i="70"/>
  <c r="AU49" i="70"/>
  <c r="AU51" i="70"/>
  <c r="AU53" i="70"/>
  <c r="AU55" i="70"/>
  <c r="AU57" i="70"/>
  <c r="AU59" i="70"/>
  <c r="AU61" i="70"/>
  <c r="AU44" i="70"/>
  <c r="AU48" i="70"/>
  <c r="AU52" i="70"/>
  <c r="AU56" i="70"/>
  <c r="AU60" i="70"/>
  <c r="AU62" i="70"/>
  <c r="AU66" i="70"/>
  <c r="AO32" i="70"/>
  <c r="D64" i="76"/>
  <c r="L68" i="76"/>
  <c r="M68" i="76"/>
  <c r="J68" i="76"/>
  <c r="K68" i="76"/>
  <c r="F68" i="76"/>
  <c r="P68" i="76"/>
  <c r="Q68" i="76"/>
  <c r="O68" i="76"/>
  <c r="U68" i="76"/>
  <c r="R68" i="76"/>
  <c r="V68" i="76"/>
  <c r="H68" i="76"/>
  <c r="X68" i="76"/>
  <c r="G68" i="76"/>
  <c r="Y68" i="76"/>
  <c r="D68" i="76"/>
  <c r="E68" i="76"/>
  <c r="W68" i="76"/>
  <c r="S68" i="76"/>
  <c r="N68" i="76"/>
  <c r="AA68" i="76"/>
  <c r="T68" i="76"/>
  <c r="I68" i="76"/>
  <c r="Z68" i="76"/>
  <c r="R25" i="70"/>
  <c r="R22" i="70"/>
  <c r="R30" i="70"/>
  <c r="R29" i="70"/>
  <c r="R28" i="70"/>
  <c r="R24" i="70"/>
  <c r="R21" i="70"/>
  <c r="R20" i="70"/>
  <c r="R19" i="70"/>
  <c r="R18" i="70"/>
  <c r="R17" i="70"/>
  <c r="R16" i="70"/>
  <c r="R14" i="70"/>
  <c r="R13" i="70"/>
  <c r="R12" i="70"/>
  <c r="R11" i="70"/>
  <c r="A79" i="70"/>
  <c r="A95" i="70"/>
  <c r="A85" i="70"/>
  <c r="A89" i="70"/>
  <c r="A91" i="70"/>
  <c r="X100" i="70"/>
  <c r="AD100" i="70" s="1"/>
  <c r="X78" i="70"/>
  <c r="AD78" i="70" s="1"/>
  <c r="A78" i="70"/>
  <c r="X86" i="70"/>
  <c r="AD86" i="70" s="1"/>
  <c r="A86" i="70"/>
  <c r="X94" i="70"/>
  <c r="AD94" i="70" s="1"/>
  <c r="A94" i="70"/>
  <c r="A87" i="70"/>
  <c r="A99" i="70"/>
  <c r="A80" i="70"/>
  <c r="A84" i="70"/>
  <c r="X88" i="70"/>
  <c r="AD88" i="70" s="1"/>
  <c r="A88" i="70"/>
  <c r="X92" i="70"/>
  <c r="AD92" i="70" s="1"/>
  <c r="A92" i="70"/>
  <c r="A96" i="70"/>
  <c r="X82" i="70"/>
  <c r="AD82" i="70" s="1"/>
  <c r="A82" i="70"/>
  <c r="X90" i="70"/>
  <c r="AD90" i="70" s="1"/>
  <c r="A90" i="70"/>
  <c r="X98" i="70"/>
  <c r="AD98" i="70" s="1"/>
  <c r="A98" i="70"/>
  <c r="BE57" i="70"/>
  <c r="A83" i="70"/>
  <c r="P32" i="70"/>
  <c r="Z67" i="76" s="1"/>
  <c r="A81" i="70"/>
  <c r="A93" i="70"/>
  <c r="A97" i="70"/>
  <c r="AX43" i="70"/>
  <c r="AY51" i="70"/>
  <c r="X87" i="70"/>
  <c r="AD87" i="70" s="1"/>
  <c r="BA66" i="70"/>
  <c r="BC44" i="70"/>
  <c r="BB52" i="70"/>
  <c r="AX53" i="70"/>
  <c r="BD54" i="70"/>
  <c r="BD55" i="70"/>
  <c r="AS65" i="70"/>
  <c r="AX44" i="70"/>
  <c r="BD56" i="70"/>
  <c r="X84" i="70"/>
  <c r="AD84" i="70" s="1"/>
  <c r="BE58" i="70"/>
  <c r="X81" i="70"/>
  <c r="AD81" i="70" s="1"/>
  <c r="X97" i="70"/>
  <c r="AD97" i="70" s="1"/>
  <c r="AP42" i="70"/>
  <c r="BB43" i="70"/>
  <c r="AX48" i="70"/>
  <c r="BB50" i="70"/>
  <c r="BC51" i="70"/>
  <c r="AY55" i="70"/>
  <c r="BB45" i="70"/>
  <c r="BB47" i="70"/>
  <c r="BC48" i="70"/>
  <c r="AQ43" i="70"/>
  <c r="AS51" i="70"/>
  <c r="AP52" i="70"/>
  <c r="AS55" i="70"/>
  <c r="AP56" i="70"/>
  <c r="AT56" i="70"/>
  <c r="AP60" i="70"/>
  <c r="AT60" i="70"/>
  <c r="AQ61" i="70"/>
  <c r="AQ63" i="70"/>
  <c r="BC52" i="70"/>
  <c r="AS42" i="70"/>
  <c r="AP43" i="70"/>
  <c r="AT43" i="70"/>
  <c r="AS46" i="70"/>
  <c r="AP47" i="70"/>
  <c r="AT47" i="70"/>
  <c r="AQ48" i="70"/>
  <c r="AQ52" i="70"/>
  <c r="AQ56" i="70"/>
  <c r="AQ60" i="70"/>
  <c r="AP62" i="70"/>
  <c r="AR63" i="70"/>
  <c r="AS45" i="70"/>
  <c r="BC53" i="70"/>
  <c r="AQ47" i="70"/>
  <c r="AS49" i="70"/>
  <c r="AQ51" i="70"/>
  <c r="AR52" i="70"/>
  <c r="AS53" i="70"/>
  <c r="AR60" i="70"/>
  <c r="AP45" i="70"/>
  <c r="AT45" i="70"/>
  <c r="AR51" i="70"/>
  <c r="AT57" i="70"/>
  <c r="AP61" i="70"/>
  <c r="AR62" i="70"/>
  <c r="BC43" i="70"/>
  <c r="BC47" i="70"/>
  <c r="AT52" i="70"/>
  <c r="AY56" i="70"/>
  <c r="AY43" i="70"/>
  <c r="AX45" i="70"/>
  <c r="AW50" i="70"/>
  <c r="BD52" i="70"/>
  <c r="AZ56" i="70"/>
  <c r="AR43" i="70"/>
  <c r="AZ43" i="70"/>
  <c r="AP44" i="70"/>
  <c r="BB44" i="70"/>
  <c r="AR47" i="70"/>
  <c r="AZ47" i="70"/>
  <c r="AP48" i="70"/>
  <c r="BB48" i="70"/>
  <c r="AY52" i="70"/>
  <c r="AT53" i="70"/>
  <c r="AX54" i="70"/>
  <c r="X80" i="70"/>
  <c r="AD80" i="70" s="1"/>
  <c r="X83" i="70"/>
  <c r="AD83" i="70" s="1"/>
  <c r="X96" i="70"/>
  <c r="AD96" i="70" s="1"/>
  <c r="X99" i="70"/>
  <c r="AD99" i="70" s="1"/>
  <c r="BD43" i="70"/>
  <c r="AY44" i="70"/>
  <c r="AY47" i="70"/>
  <c r="BD47" i="70"/>
  <c r="AY48" i="70"/>
  <c r="AX52" i="70"/>
  <c r="AS54" i="70"/>
  <c r="AT44" i="70"/>
  <c r="AR50" i="70"/>
  <c r="BD42" i="70"/>
  <c r="AQ44" i="70"/>
  <c r="BD46" i="70"/>
  <c r="AT48" i="70"/>
  <c r="AW51" i="70"/>
  <c r="BD51" i="70"/>
  <c r="X93" i="70"/>
  <c r="AD93" i="70" s="1"/>
  <c r="BB66" i="70"/>
  <c r="AX66" i="70"/>
  <c r="AT66" i="70"/>
  <c r="AP66" i="70"/>
  <c r="AV66" i="70"/>
  <c r="AQ66" i="70"/>
  <c r="BD66" i="70"/>
  <c r="AS66" i="70"/>
  <c r="BE66" i="70"/>
  <c r="AZ66" i="70"/>
  <c r="AY66" i="70"/>
  <c r="AT58" i="70"/>
  <c r="AW66" i="70"/>
  <c r="X89" i="70"/>
  <c r="AD89" i="70" s="1"/>
  <c r="BD60" i="70"/>
  <c r="BC63" i="70"/>
  <c r="BB61" i="70"/>
  <c r="BD64" i="70"/>
  <c r="BC60" i="70"/>
  <c r="BB56" i="70"/>
  <c r="BB62" i="70"/>
  <c r="BB60" i="70"/>
  <c r="X91" i="70"/>
  <c r="AD91" i="70" s="1"/>
  <c r="X101" i="70"/>
  <c r="AD101" i="70" s="1"/>
  <c r="Z4" i="70"/>
  <c r="AT49" i="70"/>
  <c r="BB49" i="70"/>
  <c r="BC50" i="70"/>
  <c r="AY50" i="70"/>
  <c r="AQ50" i="70"/>
  <c r="BE50" i="70"/>
  <c r="AZ50" i="70"/>
  <c r="AT50" i="70"/>
  <c r="AP50" i="70"/>
  <c r="AX50" i="70"/>
  <c r="BE53" i="70"/>
  <c r="AT54" i="70"/>
  <c r="BE54" i="70"/>
  <c r="BE55" i="70"/>
  <c r="AX65" i="70"/>
  <c r="BC66" i="70"/>
  <c r="AW62" i="70"/>
  <c r="AW63" i="70"/>
  <c r="AW61" i="70"/>
  <c r="BC42" i="70"/>
  <c r="AY42" i="70"/>
  <c r="AQ42" i="70"/>
  <c r="BB42" i="70"/>
  <c r="AX42" i="70"/>
  <c r="AW42" i="70"/>
  <c r="BE42" i="70"/>
  <c r="BC46" i="70"/>
  <c r="AY46" i="70"/>
  <c r="AQ46" i="70"/>
  <c r="BB46" i="70"/>
  <c r="AX46" i="70"/>
  <c r="AT46" i="70"/>
  <c r="AP46" i="70"/>
  <c r="AW46" i="70"/>
  <c r="BE46" i="70"/>
  <c r="BD49" i="70"/>
  <c r="AZ49" i="70"/>
  <c r="AR49" i="70"/>
  <c r="BC49" i="70"/>
  <c r="AY49" i="70"/>
  <c r="AQ49" i="70"/>
  <c r="AW49" i="70"/>
  <c r="BE49" i="70"/>
  <c r="BD57" i="70"/>
  <c r="AZ57" i="70"/>
  <c r="AR57" i="70"/>
  <c r="BC57" i="70"/>
  <c r="AX57" i="70"/>
  <c r="AS57" i="70"/>
  <c r="BB57" i="70"/>
  <c r="AW57" i="70"/>
  <c r="AQ57" i="70"/>
  <c r="AY57" i="70"/>
  <c r="BC58" i="70"/>
  <c r="AY58" i="70"/>
  <c r="AQ58" i="70"/>
  <c r="BD58" i="70"/>
  <c r="AX58" i="70"/>
  <c r="AS58" i="70"/>
  <c r="BB58" i="70"/>
  <c r="AW58" i="70"/>
  <c r="AR58" i="70"/>
  <c r="AZ58" i="70"/>
  <c r="BB59" i="70"/>
  <c r="AX59" i="70"/>
  <c r="AT59" i="70"/>
  <c r="AP59" i="70"/>
  <c r="BD59" i="70"/>
  <c r="AY59" i="70"/>
  <c r="AS59" i="70"/>
  <c r="BC59" i="70"/>
  <c r="AW59" i="70"/>
  <c r="AR59" i="70"/>
  <c r="AZ59" i="70"/>
  <c r="BC65" i="70"/>
  <c r="O32" i="70"/>
  <c r="AR42" i="70"/>
  <c r="AZ42" i="70"/>
  <c r="BD45" i="70"/>
  <c r="AZ45" i="70"/>
  <c r="AR45" i="70"/>
  <c r="BC45" i="70"/>
  <c r="AY45" i="70"/>
  <c r="AQ45" i="70"/>
  <c r="AW45" i="70"/>
  <c r="BE45" i="70"/>
  <c r="AR46" i="70"/>
  <c r="AZ46" i="70"/>
  <c r="AP49" i="70"/>
  <c r="AX49" i="70"/>
  <c r="AS50" i="70"/>
  <c r="BD50" i="70"/>
  <c r="BD53" i="70"/>
  <c r="AZ53" i="70"/>
  <c r="AR53" i="70"/>
  <c r="BB53" i="70"/>
  <c r="AW53" i="70"/>
  <c r="AQ53" i="70"/>
  <c r="AP53" i="70"/>
  <c r="AY53" i="70"/>
  <c r="BC54" i="70"/>
  <c r="AY54" i="70"/>
  <c r="AQ54" i="70"/>
  <c r="BB54" i="70"/>
  <c r="AW54" i="70"/>
  <c r="AR54" i="70"/>
  <c r="AP54" i="70"/>
  <c r="AZ54" i="70"/>
  <c r="BB55" i="70"/>
  <c r="AX55" i="70"/>
  <c r="AT55" i="70"/>
  <c r="AP55" i="70"/>
  <c r="BC55" i="70"/>
  <c r="AW55" i="70"/>
  <c r="AR55" i="70"/>
  <c r="AQ55" i="70"/>
  <c r="AZ55" i="70"/>
  <c r="AP57" i="70"/>
  <c r="AP58" i="70"/>
  <c r="AQ59" i="70"/>
  <c r="BE59" i="70"/>
  <c r="AZ60" i="70"/>
  <c r="BB64" i="70"/>
  <c r="AR66" i="70"/>
  <c r="AT65" i="70"/>
  <c r="BE65" i="70"/>
  <c r="AS43" i="70"/>
  <c r="AW43" i="70"/>
  <c r="BE43" i="70"/>
  <c r="AR44" i="70"/>
  <c r="AZ44" i="70"/>
  <c r="BD44" i="70"/>
  <c r="AS47" i="70"/>
  <c r="AW47" i="70"/>
  <c r="BE47" i="70"/>
  <c r="AR48" i="70"/>
  <c r="AZ48" i="70"/>
  <c r="BD48" i="70"/>
  <c r="BB51" i="70"/>
  <c r="AX51" i="70"/>
  <c r="AT51" i="70"/>
  <c r="AP51" i="70"/>
  <c r="AZ51" i="70"/>
  <c r="BE51" i="70"/>
  <c r="AZ52" i="70"/>
  <c r="AX60" i="70"/>
  <c r="AS61" i="70"/>
  <c r="AX61" i="70"/>
  <c r="BC61" i="70"/>
  <c r="AS62" i="70"/>
  <c r="AX62" i="70"/>
  <c r="BD62" i="70"/>
  <c r="AS63" i="70"/>
  <c r="AY63" i="70"/>
  <c r="BD63" i="70"/>
  <c r="AP65" i="70"/>
  <c r="X79" i="70"/>
  <c r="AD79" i="70" s="1"/>
  <c r="X85" i="70"/>
  <c r="AD85" i="70" s="1"/>
  <c r="X95" i="70"/>
  <c r="AD95" i="70" s="1"/>
  <c r="BD65" i="70"/>
  <c r="AZ65" i="70"/>
  <c r="AR65" i="70"/>
  <c r="AY65" i="70"/>
  <c r="AS44" i="70"/>
  <c r="AW44" i="70"/>
  <c r="BE44" i="70"/>
  <c r="AX47" i="70"/>
  <c r="AS48" i="70"/>
  <c r="AW48" i="70"/>
  <c r="BE48" i="70"/>
  <c r="AY60" i="70"/>
  <c r="BD61" i="70"/>
  <c r="AZ61" i="70"/>
  <c r="AR61" i="70"/>
  <c r="AT61" i="70"/>
  <c r="AY61" i="70"/>
  <c r="BE61" i="70"/>
  <c r="BC62" i="70"/>
  <c r="AY62" i="70"/>
  <c r="AQ62" i="70"/>
  <c r="AT62" i="70"/>
  <c r="AZ62" i="70"/>
  <c r="BE62" i="70"/>
  <c r="BB63" i="70"/>
  <c r="AX63" i="70"/>
  <c r="AT63" i="70"/>
  <c r="AP63" i="70"/>
  <c r="AZ63" i="70"/>
  <c r="BE63" i="70"/>
  <c r="AZ64" i="70"/>
  <c r="AQ65" i="70"/>
  <c r="AW65" i="70"/>
  <c r="BB65" i="70"/>
  <c r="AS52" i="70"/>
  <c r="AW52" i="70"/>
  <c r="BE52" i="70"/>
  <c r="AS56" i="70"/>
  <c r="AW56" i="70"/>
  <c r="BE56" i="70"/>
  <c r="AS60" i="70"/>
  <c r="AW60" i="70"/>
  <c r="BE60" i="70"/>
  <c r="AW64" i="70"/>
  <c r="BE64" i="70"/>
  <c r="BC172" i="83" l="1"/>
  <c r="BF171" i="83"/>
  <c r="BE172" i="83"/>
  <c r="BF170" i="83"/>
  <c r="BF172" i="83"/>
  <c r="BG170" i="83"/>
  <c r="BD171" i="83"/>
  <c r="BD172" i="83"/>
  <c r="BC170" i="83"/>
  <c r="BG171" i="83"/>
  <c r="BD170" i="83"/>
  <c r="BC171" i="83"/>
  <c r="BG172" i="83"/>
  <c r="BE171" i="83"/>
  <c r="Q32" i="70"/>
  <c r="AR32" i="70"/>
  <c r="AS64" i="70"/>
  <c r="W64" i="76"/>
  <c r="S64" i="76"/>
  <c r="E64" i="76"/>
  <c r="K64" i="76"/>
  <c r="D65" i="76"/>
  <c r="T65" i="76"/>
  <c r="N65" i="76"/>
  <c r="X65" i="76"/>
  <c r="I65" i="76"/>
  <c r="S65" i="76"/>
  <c r="P65" i="76"/>
  <c r="W65" i="76"/>
  <c r="M65" i="76"/>
  <c r="Y65" i="76"/>
  <c r="AA65" i="76"/>
  <c r="R65" i="76"/>
  <c r="H65" i="76"/>
  <c r="V65" i="76"/>
  <c r="L65" i="76"/>
  <c r="Q65" i="76"/>
  <c r="J65" i="76"/>
  <c r="U65" i="76"/>
  <c r="K65" i="76"/>
  <c r="F65" i="76"/>
  <c r="G65" i="76"/>
  <c r="O65" i="76"/>
  <c r="E65" i="76"/>
  <c r="Z65" i="76"/>
  <c r="T64" i="76"/>
  <c r="N64" i="76"/>
  <c r="Z64" i="76"/>
  <c r="O64" i="76"/>
  <c r="M64" i="76"/>
  <c r="X64" i="76"/>
  <c r="AA64" i="76"/>
  <c r="U64" i="76"/>
  <c r="L64" i="76"/>
  <c r="F64" i="76"/>
  <c r="P64" i="76"/>
  <c r="I64" i="76"/>
  <c r="H64" i="76"/>
  <c r="Q64" i="76"/>
  <c r="R64" i="76"/>
  <c r="G64" i="76"/>
  <c r="J64" i="76"/>
  <c r="Y64" i="76"/>
  <c r="V64" i="76"/>
  <c r="AV65" i="70"/>
  <c r="BA65" i="70"/>
  <c r="AV53" i="70"/>
  <c r="BA53" i="70"/>
  <c r="AV57" i="70"/>
  <c r="BA57" i="70"/>
  <c r="AV60" i="70"/>
  <c r="BA60" i="70"/>
  <c r="AV45" i="70"/>
  <c r="BA45" i="70"/>
  <c r="AV54" i="70"/>
  <c r="BA54" i="70"/>
  <c r="AV43" i="70"/>
  <c r="BA43" i="70"/>
  <c r="AV55" i="70"/>
  <c r="BA55" i="70"/>
  <c r="AV47" i="70"/>
  <c r="BA47" i="70"/>
  <c r="AV52" i="70"/>
  <c r="BA52" i="70"/>
  <c r="AV58" i="70"/>
  <c r="BA58" i="70"/>
  <c r="AV42" i="70"/>
  <c r="BA42" i="70"/>
  <c r="AV64" i="70"/>
  <c r="BA64" i="70"/>
  <c r="AV44" i="70"/>
  <c r="BA44" i="70"/>
  <c r="AV62" i="70"/>
  <c r="BA62" i="70"/>
  <c r="AV46" i="70"/>
  <c r="BA46" i="70"/>
  <c r="AV59" i="70"/>
  <c r="BA59" i="70"/>
  <c r="AV63" i="70"/>
  <c r="BA63" i="70"/>
  <c r="AV61" i="70"/>
  <c r="BA61" i="70"/>
  <c r="AV48" i="70"/>
  <c r="BA48" i="70"/>
  <c r="AV51" i="70"/>
  <c r="BA51" i="70"/>
  <c r="AV56" i="70"/>
  <c r="BA56" i="70"/>
  <c r="AV50" i="70"/>
  <c r="BA50" i="70"/>
  <c r="AV49" i="70"/>
  <c r="BA49" i="70"/>
  <c r="AY64" i="70"/>
  <c r="AQ64" i="70"/>
  <c r="AP64" i="70"/>
  <c r="AT64" i="70"/>
  <c r="AO66" i="70"/>
  <c r="M66" i="70"/>
  <c r="AD325" i="69"/>
  <c r="AC325" i="69"/>
  <c r="AB325" i="69"/>
  <c r="AA325" i="69"/>
  <c r="Z325" i="69"/>
  <c r="AD290" i="69" l="1"/>
  <c r="AC290" i="69"/>
  <c r="AB290" i="69"/>
  <c r="AA290" i="69"/>
  <c r="Z290" i="69"/>
  <c r="AF313" i="69" l="1"/>
  <c r="L313" i="69" l="1"/>
  <c r="M313" i="69"/>
  <c r="N313" i="69"/>
  <c r="I313" i="69"/>
  <c r="J313" i="69"/>
  <c r="B171" i="69"/>
  <c r="B170" i="69"/>
  <c r="B169" i="69"/>
  <c r="A169" i="69" s="1"/>
  <c r="B168" i="69"/>
  <c r="A168" i="69" s="1"/>
  <c r="B167" i="69"/>
  <c r="A167" i="69" s="1"/>
  <c r="B166" i="69"/>
  <c r="A166" i="69" s="1"/>
  <c r="B165" i="69"/>
  <c r="A165" i="69" s="1"/>
  <c r="B164" i="69"/>
  <c r="A164" i="69" s="1"/>
  <c r="B163" i="69"/>
  <c r="A163" i="69" s="1"/>
  <c r="B162" i="69"/>
  <c r="A162" i="69" s="1"/>
  <c r="B161" i="69"/>
  <c r="A161" i="69" s="1"/>
  <c r="B160" i="69"/>
  <c r="A160" i="69" s="1"/>
  <c r="B159" i="69"/>
  <c r="A159" i="69" s="1"/>
  <c r="B158" i="69"/>
  <c r="A158" i="69" s="1"/>
  <c r="B157" i="69"/>
  <c r="A157" i="69" s="1"/>
  <c r="B156" i="69"/>
  <c r="A156" i="69" s="1"/>
  <c r="B155" i="69"/>
  <c r="A155" i="69" s="1"/>
  <c r="B154" i="69"/>
  <c r="A154" i="69" s="1"/>
  <c r="B153" i="69"/>
  <c r="A153" i="69" s="1"/>
  <c r="B152" i="69"/>
  <c r="A152" i="69" s="1"/>
  <c r="B151" i="69"/>
  <c r="A151" i="69" s="1"/>
  <c r="B150" i="69"/>
  <c r="A150" i="69" s="1"/>
  <c r="B149" i="69"/>
  <c r="A149" i="69" s="1"/>
  <c r="B148" i="69"/>
  <c r="B135" i="69"/>
  <c r="Y135" i="69" s="1"/>
  <c r="AE135" i="69" s="1"/>
  <c r="B134" i="69"/>
  <c r="Y134" i="69" s="1"/>
  <c r="AE134" i="69" s="1"/>
  <c r="B133" i="69"/>
  <c r="B132" i="69"/>
  <c r="B131" i="69"/>
  <c r="B130" i="69"/>
  <c r="B129" i="69"/>
  <c r="B128" i="69"/>
  <c r="B127" i="69"/>
  <c r="B126" i="69"/>
  <c r="B125" i="69"/>
  <c r="B124" i="69"/>
  <c r="B123" i="69"/>
  <c r="B122" i="69"/>
  <c r="B121" i="69"/>
  <c r="B120" i="69"/>
  <c r="B119" i="69"/>
  <c r="B118" i="69"/>
  <c r="B117" i="69"/>
  <c r="B116" i="69"/>
  <c r="B115" i="69"/>
  <c r="B114" i="69"/>
  <c r="B113" i="69"/>
  <c r="B112" i="69"/>
  <c r="D52" i="76" s="1"/>
  <c r="Y100" i="69"/>
  <c r="Y99" i="69"/>
  <c r="Y98" i="69"/>
  <c r="Y97" i="69"/>
  <c r="Y96" i="69"/>
  <c r="Y95" i="69"/>
  <c r="Y94" i="69"/>
  <c r="Y93" i="69"/>
  <c r="Y92" i="69"/>
  <c r="Y91" i="69"/>
  <c r="Y90" i="69"/>
  <c r="Y89" i="69"/>
  <c r="Y88" i="69"/>
  <c r="Y87" i="69"/>
  <c r="Y86" i="69"/>
  <c r="Y85" i="69"/>
  <c r="Y84" i="69"/>
  <c r="Y83" i="69"/>
  <c r="Y82" i="69"/>
  <c r="Y81" i="69"/>
  <c r="Y80" i="69"/>
  <c r="Y79" i="69"/>
  <c r="Y78" i="69"/>
  <c r="Y77" i="69"/>
  <c r="Z77" i="69" s="1"/>
  <c r="Y44" i="69"/>
  <c r="AL64" i="69"/>
  <c r="AL63" i="69"/>
  <c r="AL62" i="69"/>
  <c r="AL61" i="69"/>
  <c r="AL60" i="69"/>
  <c r="AL59" i="69"/>
  <c r="AL58" i="69"/>
  <c r="AL57" i="69"/>
  <c r="AL56" i="69"/>
  <c r="AL55" i="69"/>
  <c r="AL54" i="69"/>
  <c r="AL53" i="69"/>
  <c r="AL52" i="69"/>
  <c r="AL51" i="69"/>
  <c r="AL50" i="69"/>
  <c r="AL49" i="69"/>
  <c r="AL48" i="69"/>
  <c r="AL47" i="69"/>
  <c r="AL46" i="69"/>
  <c r="AL45" i="69"/>
  <c r="AL44" i="69"/>
  <c r="AL43" i="69"/>
  <c r="AL42" i="69"/>
  <c r="AL41" i="69"/>
  <c r="AN41" i="69" s="1"/>
  <c r="AW40" i="69"/>
  <c r="BB40" i="69" s="1"/>
  <c r="BG40" i="69" s="1"/>
  <c r="BL40" i="69" s="1"/>
  <c r="BQ40" i="69" s="1"/>
  <c r="AV40" i="69"/>
  <c r="BA40" i="69" s="1"/>
  <c r="BF40" i="69" s="1"/>
  <c r="BK40" i="69" s="1"/>
  <c r="BP40" i="69" s="1"/>
  <c r="AU40" i="69"/>
  <c r="AZ40" i="69" s="1"/>
  <c r="BE40" i="69" s="1"/>
  <c r="BJ40" i="69" s="1"/>
  <c r="BO40" i="69" s="1"/>
  <c r="AT40" i="69"/>
  <c r="AY40" i="69" s="1"/>
  <c r="BD40" i="69" s="1"/>
  <c r="BI40" i="69" s="1"/>
  <c r="BN40" i="69" s="1"/>
  <c r="AS40" i="69"/>
  <c r="AX40" i="69" s="1"/>
  <c r="BC40" i="69" s="1"/>
  <c r="BH40" i="69" s="1"/>
  <c r="BM40" i="69" s="1"/>
  <c r="AQ40" i="69"/>
  <c r="AP40" i="69"/>
  <c r="AO40" i="69"/>
  <c r="AN40" i="69"/>
  <c r="AM40" i="69"/>
  <c r="Y33" i="69"/>
  <c r="Y32" i="69"/>
  <c r="N32" i="69"/>
  <c r="Y31" i="69"/>
  <c r="S31" i="69"/>
  <c r="AI28" i="69"/>
  <c r="Q31" i="69" s="1"/>
  <c r="Y30" i="69"/>
  <c r="S30" i="69"/>
  <c r="Y29" i="69"/>
  <c r="S29" i="69"/>
  <c r="T29" i="69" s="1"/>
  <c r="U29" i="69" s="1"/>
  <c r="Y28" i="69"/>
  <c r="S28" i="69"/>
  <c r="T28" i="69" s="1"/>
  <c r="U28" i="69" s="1"/>
  <c r="Y27" i="69"/>
  <c r="S27" i="69"/>
  <c r="T27" i="69" s="1"/>
  <c r="U27" i="69" s="1"/>
  <c r="Y26" i="69"/>
  <c r="S26" i="69"/>
  <c r="T26" i="69" s="1"/>
  <c r="U26" i="69" s="1"/>
  <c r="Y25" i="69"/>
  <c r="S25" i="69"/>
  <c r="T25" i="69" s="1"/>
  <c r="U25" i="69" s="1"/>
  <c r="Y24" i="69"/>
  <c r="S24" i="69"/>
  <c r="T24" i="69" s="1"/>
  <c r="U24" i="69" s="1"/>
  <c r="Y23" i="69"/>
  <c r="S23" i="69"/>
  <c r="T23" i="69" s="1"/>
  <c r="U23" i="69" s="1"/>
  <c r="Y22" i="69"/>
  <c r="S22" i="69"/>
  <c r="T22" i="69" s="1"/>
  <c r="U22" i="69" s="1"/>
  <c r="Y21" i="69"/>
  <c r="S21" i="69"/>
  <c r="Y20" i="69"/>
  <c r="S20" i="69"/>
  <c r="T20" i="69" s="1"/>
  <c r="U20" i="69" s="1"/>
  <c r="Y19" i="69"/>
  <c r="S19" i="69"/>
  <c r="T19" i="69" s="1"/>
  <c r="U19" i="69" s="1"/>
  <c r="Y18" i="69"/>
  <c r="S18" i="69"/>
  <c r="T18" i="69" s="1"/>
  <c r="U18" i="69" s="1"/>
  <c r="Y17" i="69"/>
  <c r="S17" i="69"/>
  <c r="Y16" i="69"/>
  <c r="S16" i="69"/>
  <c r="T16" i="69" s="1"/>
  <c r="U16" i="69" s="1"/>
  <c r="Y15" i="69"/>
  <c r="S15" i="69"/>
  <c r="T15" i="69" s="1"/>
  <c r="U15" i="69" s="1"/>
  <c r="Y14" i="69"/>
  <c r="S14" i="69"/>
  <c r="T14" i="69" s="1"/>
  <c r="U14" i="69" s="1"/>
  <c r="Y13" i="69"/>
  <c r="S13" i="69"/>
  <c r="Y12" i="69"/>
  <c r="S12" i="69"/>
  <c r="T12" i="69" s="1"/>
  <c r="U12" i="69" s="1"/>
  <c r="Y11" i="69"/>
  <c r="S11" i="69"/>
  <c r="T11" i="69" s="1"/>
  <c r="U11" i="69" s="1"/>
  <c r="Y10" i="69"/>
  <c r="S10" i="69"/>
  <c r="T10" i="69" s="1"/>
  <c r="U10" i="69" s="1"/>
  <c r="AR41" i="69" l="1"/>
  <c r="AR45" i="69"/>
  <c r="AR49" i="69"/>
  <c r="AR53" i="69"/>
  <c r="AR57" i="69"/>
  <c r="AR61" i="69"/>
  <c r="AR44" i="69"/>
  <c r="AR52" i="69"/>
  <c r="AR60" i="69"/>
  <c r="L52" i="76"/>
  <c r="T52" i="76"/>
  <c r="U52" i="76"/>
  <c r="AA52" i="76"/>
  <c r="E52" i="76"/>
  <c r="J52" i="76"/>
  <c r="N52" i="76"/>
  <c r="R52" i="76"/>
  <c r="G52" i="76"/>
  <c r="M52" i="76"/>
  <c r="W52" i="76"/>
  <c r="S52" i="76"/>
  <c r="K52" i="76"/>
  <c r="Z52" i="76"/>
  <c r="P52" i="76"/>
  <c r="Y52" i="76"/>
  <c r="O52" i="76"/>
  <c r="X52" i="76"/>
  <c r="V52" i="76"/>
  <c r="Q52" i="76"/>
  <c r="I52" i="76"/>
  <c r="H52" i="76"/>
  <c r="F52" i="76"/>
  <c r="AM44" i="69"/>
  <c r="AQ44" i="69"/>
  <c r="T30" i="69"/>
  <c r="AR65" i="69"/>
  <c r="AR42" i="69"/>
  <c r="AR46" i="69"/>
  <c r="AR50" i="69"/>
  <c r="AR54" i="69"/>
  <c r="AR58" i="69"/>
  <c r="AR62" i="69"/>
  <c r="AR48" i="69"/>
  <c r="AR56" i="69"/>
  <c r="AR43" i="69"/>
  <c r="AR47" i="69"/>
  <c r="AR51" i="69"/>
  <c r="AR55" i="69"/>
  <c r="AR59" i="69"/>
  <c r="A148" i="69"/>
  <c r="R53" i="76"/>
  <c r="E53" i="76"/>
  <c r="F53" i="76"/>
  <c r="M53" i="76"/>
  <c r="I53" i="76"/>
  <c r="AA53" i="76"/>
  <c r="H53" i="76"/>
  <c r="J53" i="76"/>
  <c r="W53" i="76"/>
  <c r="S53" i="76"/>
  <c r="N53" i="76"/>
  <c r="K53" i="76"/>
  <c r="Z53" i="76"/>
  <c r="L53" i="76"/>
  <c r="G53" i="76"/>
  <c r="O53" i="76"/>
  <c r="P53" i="76"/>
  <c r="V53" i="76"/>
  <c r="Q53" i="76"/>
  <c r="T53" i="76"/>
  <c r="U53" i="76"/>
  <c r="X53" i="76"/>
  <c r="Y53" i="76"/>
  <c r="D53" i="76"/>
  <c r="AI22" i="69"/>
  <c r="Q22" i="69" s="1"/>
  <c r="AI27" i="69"/>
  <c r="Q30" i="69" s="1"/>
  <c r="AI10" i="69"/>
  <c r="Q10" i="69" s="1"/>
  <c r="AI12" i="69"/>
  <c r="Q12" i="69" s="1"/>
  <c r="AI25" i="69"/>
  <c r="Q28" i="69" s="1"/>
  <c r="AI11" i="69"/>
  <c r="Q11" i="69" s="1"/>
  <c r="AI13" i="69"/>
  <c r="Q13" i="69" s="1"/>
  <c r="AI15" i="69"/>
  <c r="Q15" i="69" s="1"/>
  <c r="AI17" i="69"/>
  <c r="Q17" i="69" s="1"/>
  <c r="AI19" i="69"/>
  <c r="Q19" i="69" s="1"/>
  <c r="AI26" i="69"/>
  <c r="Q29" i="69" s="1"/>
  <c r="AI14" i="69"/>
  <c r="Q14" i="69" s="1"/>
  <c r="AI16" i="69"/>
  <c r="Q16" i="69" s="1"/>
  <c r="AI18" i="69"/>
  <c r="Q18" i="69" s="1"/>
  <c r="AI20" i="69"/>
  <c r="Q20" i="69" s="1"/>
  <c r="AI23" i="69"/>
  <c r="Q24" i="69" s="1"/>
  <c r="AI21" i="69"/>
  <c r="Q21" i="69" s="1"/>
  <c r="AI24" i="69"/>
  <c r="Q25" i="69" s="1"/>
  <c r="Y114" i="69"/>
  <c r="AE114" i="69" s="1"/>
  <c r="A114" i="69"/>
  <c r="Y116" i="69"/>
  <c r="AE116" i="69" s="1"/>
  <c r="A116" i="69"/>
  <c r="Y118" i="69"/>
  <c r="AE118" i="69" s="1"/>
  <c r="A118" i="69"/>
  <c r="Y122" i="69"/>
  <c r="AE122" i="69" s="1"/>
  <c r="A122" i="69"/>
  <c r="Y126" i="69"/>
  <c r="AE126" i="69" s="1"/>
  <c r="A126" i="69"/>
  <c r="Y130" i="69"/>
  <c r="AE130" i="69" s="1"/>
  <c r="A130" i="69"/>
  <c r="AO42" i="69"/>
  <c r="Y113" i="69"/>
  <c r="AE113" i="69" s="1"/>
  <c r="A113" i="69"/>
  <c r="Y115" i="69"/>
  <c r="AE115" i="69" s="1"/>
  <c r="A115" i="69"/>
  <c r="Y117" i="69"/>
  <c r="AE117" i="69" s="1"/>
  <c r="A117" i="69"/>
  <c r="Y119" i="69"/>
  <c r="AE119" i="69" s="1"/>
  <c r="A119" i="69"/>
  <c r="Y121" i="69"/>
  <c r="AE121" i="69" s="1"/>
  <c r="A121" i="69"/>
  <c r="Y123" i="69"/>
  <c r="AE123" i="69" s="1"/>
  <c r="A123" i="69"/>
  <c r="Y125" i="69"/>
  <c r="AE125" i="69" s="1"/>
  <c r="A125" i="69"/>
  <c r="Y127" i="69"/>
  <c r="AE127" i="69" s="1"/>
  <c r="A127" i="69"/>
  <c r="Y129" i="69"/>
  <c r="AE129" i="69" s="1"/>
  <c r="A129" i="69"/>
  <c r="Y131" i="69"/>
  <c r="AE131" i="69" s="1"/>
  <c r="A131" i="69"/>
  <c r="Y112" i="69"/>
  <c r="AE112" i="69" s="1"/>
  <c r="A112" i="69"/>
  <c r="Y120" i="69"/>
  <c r="AE120" i="69" s="1"/>
  <c r="A120" i="69"/>
  <c r="Y124" i="69"/>
  <c r="AE124" i="69" s="1"/>
  <c r="A124" i="69"/>
  <c r="Y128" i="69"/>
  <c r="AE128" i="69" s="1"/>
  <c r="A128" i="69"/>
  <c r="Y133" i="69"/>
  <c r="AE133" i="69" s="1"/>
  <c r="A133" i="69"/>
  <c r="Y132" i="69"/>
  <c r="AE132" i="69" s="1"/>
  <c r="A132" i="69"/>
  <c r="AO44" i="69"/>
  <c r="AP45" i="69"/>
  <c r="AM46" i="69"/>
  <c r="AO48" i="69"/>
  <c r="AP49" i="69"/>
  <c r="AM50" i="69"/>
  <c r="AO52" i="69"/>
  <c r="AP53" i="69"/>
  <c r="AM54" i="69"/>
  <c r="AM58" i="69"/>
  <c r="AQ58" i="69"/>
  <c r="AO62" i="69"/>
  <c r="AN61" i="69"/>
  <c r="AX41" i="69"/>
  <c r="AS41" i="69"/>
  <c r="AU44" i="69"/>
  <c r="AO43" i="69"/>
  <c r="BA64" i="69"/>
  <c r="AN44" i="69"/>
  <c r="BA50" i="69"/>
  <c r="BA52" i="69"/>
  <c r="AX53" i="69"/>
  <c r="BA60" i="69"/>
  <c r="AV61" i="69"/>
  <c r="AM48" i="69"/>
  <c r="AQ48" i="69"/>
  <c r="AN49" i="69"/>
  <c r="AO50" i="69"/>
  <c r="AM52" i="69"/>
  <c r="AN53" i="69"/>
  <c r="AO54" i="69"/>
  <c r="AO64" i="69"/>
  <c r="AW62" i="69"/>
  <c r="AV54" i="69"/>
  <c r="AP61" i="69"/>
  <c r="AY41" i="69"/>
  <c r="AV44" i="69"/>
  <c r="BB56" i="69"/>
  <c r="AS44" i="69"/>
  <c r="AW44" i="69"/>
  <c r="AS54" i="69"/>
  <c r="BA44" i="69"/>
  <c r="AX45" i="69"/>
  <c r="AU46" i="69"/>
  <c r="AN64" i="69"/>
  <c r="AV53" i="69"/>
  <c r="BA54" i="69"/>
  <c r="AQ55" i="69"/>
  <c r="BA46" i="69"/>
  <c r="AW48" i="69"/>
  <c r="AX49" i="69"/>
  <c r="AU50" i="69"/>
  <c r="AW58" i="69"/>
  <c r="BA48" i="69"/>
  <c r="BA58" i="69"/>
  <c r="AZ62" i="69"/>
  <c r="AS46" i="69"/>
  <c r="AS48" i="69"/>
  <c r="AS50" i="69"/>
  <c r="AW50" i="69"/>
  <c r="AS52" i="69"/>
  <c r="AW52" i="69"/>
  <c r="AU59" i="69"/>
  <c r="AS61" i="69"/>
  <c r="AY42" i="69"/>
  <c r="AY44" i="69"/>
  <c r="AY48" i="69"/>
  <c r="AY50" i="69"/>
  <c r="AY52" i="69"/>
  <c r="AY54" i="69"/>
  <c r="AY58" i="69"/>
  <c r="BA61" i="69"/>
  <c r="AY62" i="69"/>
  <c r="AM45" i="69"/>
  <c r="AN58" i="69"/>
  <c r="AP60" i="69"/>
  <c r="AU45" i="69"/>
  <c r="AU48" i="69"/>
  <c r="AV49" i="69"/>
  <c r="AU52" i="69"/>
  <c r="AS58" i="69"/>
  <c r="AU60" i="69"/>
  <c r="AS62" i="69"/>
  <c r="BA62" i="69"/>
  <c r="AT41" i="69"/>
  <c r="AT42" i="69"/>
  <c r="AT43" i="69"/>
  <c r="AU58" i="69"/>
  <c r="AS60" i="69"/>
  <c r="AU62" i="69"/>
  <c r="AS64" i="69"/>
  <c r="AW64" i="69"/>
  <c r="AZ44" i="69"/>
  <c r="AZ48" i="69"/>
  <c r="AZ52" i="69"/>
  <c r="BB55" i="69"/>
  <c r="BB57" i="69"/>
  <c r="AZ58" i="69"/>
  <c r="AX59" i="69"/>
  <c r="AX61" i="69"/>
  <c r="AQ52" i="69"/>
  <c r="AO58" i="69"/>
  <c r="AP59" i="69"/>
  <c r="AM60" i="69"/>
  <c r="AM62" i="69"/>
  <c r="AQ62" i="69"/>
  <c r="AV48" i="69"/>
  <c r="AV52" i="69"/>
  <c r="AV58" i="69"/>
  <c r="AX60" i="69"/>
  <c r="AV62" i="69"/>
  <c r="AP46" i="69"/>
  <c r="AN48" i="69"/>
  <c r="AN52" i="69"/>
  <c r="AM59" i="69"/>
  <c r="AN62" i="69"/>
  <c r="AZ43" i="69"/>
  <c r="AZ45" i="69"/>
  <c r="AX46" i="69"/>
  <c r="AZ49" i="69"/>
  <c r="AZ53" i="69"/>
  <c r="AZ59" i="69"/>
  <c r="T17" i="69"/>
  <c r="T31" i="69"/>
  <c r="U31" i="69" s="1"/>
  <c r="T13" i="69"/>
  <c r="T21" i="69"/>
  <c r="U21" i="69" s="1"/>
  <c r="AZ47" i="69"/>
  <c r="AZ51" i="69"/>
  <c r="AP63" i="69"/>
  <c r="L32" i="69"/>
  <c r="AQ54" i="69"/>
  <c r="AQ50" i="69"/>
  <c r="AQ56" i="69"/>
  <c r="AZ65" i="69"/>
  <c r="AV65" i="69"/>
  <c r="AN65" i="69"/>
  <c r="BA65" i="69"/>
  <c r="AW65" i="69"/>
  <c r="AS65" i="69"/>
  <c r="AO65" i="69"/>
  <c r="AA93" i="69"/>
  <c r="AA89" i="69"/>
  <c r="AA85" i="69"/>
  <c r="AA81" i="69"/>
  <c r="AA77" i="69"/>
  <c r="BB65" i="69"/>
  <c r="AT65" i="69"/>
  <c r="Z97" i="69"/>
  <c r="AA90" i="69"/>
  <c r="Z88" i="69"/>
  <c r="Z81" i="69"/>
  <c r="AQ65" i="69"/>
  <c r="AA98" i="69"/>
  <c r="Z96" i="69"/>
  <c r="Z89" i="69"/>
  <c r="AA82" i="69"/>
  <c r="Z80" i="69"/>
  <c r="AX65" i="69"/>
  <c r="AM65" i="69"/>
  <c r="O32" i="69"/>
  <c r="BA41" i="69"/>
  <c r="AW41" i="69"/>
  <c r="AO41" i="69"/>
  <c r="AQ41" i="69"/>
  <c r="AV41" i="69"/>
  <c r="BB41" i="69"/>
  <c r="AZ42" i="69"/>
  <c r="AV42" i="69"/>
  <c r="AN42" i="69"/>
  <c r="AQ42" i="69"/>
  <c r="AW42" i="69"/>
  <c r="BB42" i="69"/>
  <c r="AY43" i="69"/>
  <c r="AU43" i="69"/>
  <c r="AQ43" i="69"/>
  <c r="AM43" i="69"/>
  <c r="AW43" i="69"/>
  <c r="BB43" i="69"/>
  <c r="AP47" i="69"/>
  <c r="AX47" i="69"/>
  <c r="AP51" i="69"/>
  <c r="AX51" i="69"/>
  <c r="BA55" i="69"/>
  <c r="AW55" i="69"/>
  <c r="AS55" i="69"/>
  <c r="AP55" i="69"/>
  <c r="AX55" i="69"/>
  <c r="AM55" i="69"/>
  <c r="AV55" i="69"/>
  <c r="AZ56" i="69"/>
  <c r="AV56" i="69"/>
  <c r="AN56" i="69"/>
  <c r="BA56" i="69"/>
  <c r="AU56" i="69"/>
  <c r="AP56" i="69"/>
  <c r="AX56" i="69"/>
  <c r="AS56" i="69"/>
  <c r="AM56" i="69"/>
  <c r="AW56" i="69"/>
  <c r="AY57" i="69"/>
  <c r="AU57" i="69"/>
  <c r="AQ57" i="69"/>
  <c r="AM57" i="69"/>
  <c r="BA57" i="69"/>
  <c r="AV57" i="69"/>
  <c r="AP57" i="69"/>
  <c r="AX57" i="69"/>
  <c r="AS57" i="69"/>
  <c r="AN57" i="69"/>
  <c r="AW57" i="69"/>
  <c r="AS63" i="69"/>
  <c r="AP65" i="69"/>
  <c r="AA78" i="69"/>
  <c r="Z82" i="69"/>
  <c r="Z91" i="69"/>
  <c r="AA91" i="69"/>
  <c r="Z93" i="69"/>
  <c r="AA4" i="69"/>
  <c r="M65" i="69" s="1"/>
  <c r="K32" i="69"/>
  <c r="AM63" i="69" s="1"/>
  <c r="AM41" i="69"/>
  <c r="AM42" i="69"/>
  <c r="AS42" i="69"/>
  <c r="AX42" i="69"/>
  <c r="AN43" i="69"/>
  <c r="AS43" i="69"/>
  <c r="AX43" i="69"/>
  <c r="AN45" i="69"/>
  <c r="AT45" i="69"/>
  <c r="AY45" i="69"/>
  <c r="AO46" i="69"/>
  <c r="AT46" i="69"/>
  <c r="AY46" i="69"/>
  <c r="AY49" i="69"/>
  <c r="AU49" i="69"/>
  <c r="AQ49" i="69"/>
  <c r="AM49" i="69"/>
  <c r="BA49" i="69"/>
  <c r="AW49" i="69"/>
  <c r="AS49" i="69"/>
  <c r="AO49" i="69"/>
  <c r="AT49" i="69"/>
  <c r="BB49" i="69"/>
  <c r="AY53" i="69"/>
  <c r="AU53" i="69"/>
  <c r="AQ53" i="69"/>
  <c r="AM53" i="69"/>
  <c r="BA53" i="69"/>
  <c r="AW53" i="69"/>
  <c r="AS53" i="69"/>
  <c r="AO53" i="69"/>
  <c r="AT53" i="69"/>
  <c r="BB53" i="69"/>
  <c r="AN55" i="69"/>
  <c r="AY55" i="69"/>
  <c r="AO56" i="69"/>
  <c r="AY56" i="69"/>
  <c r="AO57" i="69"/>
  <c r="AZ57" i="69"/>
  <c r="AU65" i="69"/>
  <c r="Z83" i="69"/>
  <c r="AA83" i="69"/>
  <c r="Z85" i="69"/>
  <c r="Z100" i="69"/>
  <c r="BA47" i="69"/>
  <c r="AW47" i="69"/>
  <c r="AS47" i="69"/>
  <c r="AO47" i="69"/>
  <c r="AY47" i="69"/>
  <c r="AU47" i="69"/>
  <c r="AQ47" i="69"/>
  <c r="AM47" i="69"/>
  <c r="AT47" i="69"/>
  <c r="BB47" i="69"/>
  <c r="BA51" i="69"/>
  <c r="AW51" i="69"/>
  <c r="AS51" i="69"/>
  <c r="AO51" i="69"/>
  <c r="AY51" i="69"/>
  <c r="AU51" i="69"/>
  <c r="AQ51" i="69"/>
  <c r="AM51" i="69"/>
  <c r="AT51" i="69"/>
  <c r="BB51" i="69"/>
  <c r="AV63" i="69"/>
  <c r="BA63" i="69"/>
  <c r="BB63" i="69"/>
  <c r="AT63" i="69"/>
  <c r="AX63" i="69"/>
  <c r="AY63" i="69"/>
  <c r="AY65" i="69"/>
  <c r="Z92" i="69"/>
  <c r="Z98" i="69"/>
  <c r="AA94" i="69"/>
  <c r="AP41" i="69"/>
  <c r="AU41" i="69"/>
  <c r="AZ41" i="69"/>
  <c r="AP42" i="69"/>
  <c r="AU42" i="69"/>
  <c r="BA42" i="69"/>
  <c r="AP43" i="69"/>
  <c r="AV43" i="69"/>
  <c r="BA43" i="69"/>
  <c r="BA45" i="69"/>
  <c r="AW45" i="69"/>
  <c r="AS45" i="69"/>
  <c r="AO45" i="69"/>
  <c r="AQ45" i="69"/>
  <c r="AV45" i="69"/>
  <c r="BB45" i="69"/>
  <c r="AZ46" i="69"/>
  <c r="AV46" i="69"/>
  <c r="AN46" i="69"/>
  <c r="AQ46" i="69"/>
  <c r="AW46" i="69"/>
  <c r="BB46" i="69"/>
  <c r="AN47" i="69"/>
  <c r="AV47" i="69"/>
  <c r="AN51" i="69"/>
  <c r="AV51" i="69"/>
  <c r="AT55" i="69"/>
  <c r="AT56" i="69"/>
  <c r="AT57" i="69"/>
  <c r="Z84" i="69"/>
  <c r="AA86" i="69"/>
  <c r="Z90" i="69"/>
  <c r="Z99" i="69"/>
  <c r="AA99" i="69"/>
  <c r="AP44" i="69"/>
  <c r="AT44" i="69"/>
  <c r="AX44" i="69"/>
  <c r="BB44" i="69"/>
  <c r="AP48" i="69"/>
  <c r="AT48" i="69"/>
  <c r="AX48" i="69"/>
  <c r="BB48" i="69"/>
  <c r="AN50" i="69"/>
  <c r="AV50" i="69"/>
  <c r="AZ50" i="69"/>
  <c r="AP52" i="69"/>
  <c r="AT52" i="69"/>
  <c r="AX52" i="69"/>
  <c r="BB52" i="69"/>
  <c r="AN54" i="69"/>
  <c r="AW54" i="69"/>
  <c r="AN59" i="69"/>
  <c r="AT59" i="69"/>
  <c r="AY59" i="69"/>
  <c r="AO60" i="69"/>
  <c r="AT60" i="69"/>
  <c r="AY60" i="69"/>
  <c r="AO61" i="69"/>
  <c r="AT61" i="69"/>
  <c r="AZ61" i="69"/>
  <c r="BB64" i="69"/>
  <c r="AX64" i="69"/>
  <c r="AT64" i="69"/>
  <c r="AP64" i="69"/>
  <c r="AY64" i="69"/>
  <c r="AU64" i="69"/>
  <c r="AQ64" i="69"/>
  <c r="AM64" i="69"/>
  <c r="AZ64" i="69"/>
  <c r="AV64" i="69"/>
  <c r="Z78" i="69"/>
  <c r="Z87" i="69"/>
  <c r="AA87" i="69"/>
  <c r="Z94" i="69"/>
  <c r="AW63" i="69"/>
  <c r="Y149" i="69"/>
  <c r="B185" i="69"/>
  <c r="A185" i="69" s="1"/>
  <c r="Y151" i="69"/>
  <c r="B187" i="69"/>
  <c r="A187" i="69" s="1"/>
  <c r="Y153" i="69"/>
  <c r="B189" i="69"/>
  <c r="A189" i="69" s="1"/>
  <c r="Y155" i="69"/>
  <c r="B191" i="69"/>
  <c r="A191" i="69" s="1"/>
  <c r="Y157" i="69"/>
  <c r="B193" i="69"/>
  <c r="A193" i="69" s="1"/>
  <c r="Y159" i="69"/>
  <c r="B195" i="69"/>
  <c r="A195" i="69" s="1"/>
  <c r="Y161" i="69"/>
  <c r="B197" i="69"/>
  <c r="A197" i="69" s="1"/>
  <c r="Y163" i="69"/>
  <c r="B199" i="69"/>
  <c r="A199" i="69" s="1"/>
  <c r="Y165" i="69"/>
  <c r="B201" i="69"/>
  <c r="A201" i="69" s="1"/>
  <c r="Y167" i="69"/>
  <c r="B203" i="69"/>
  <c r="A203" i="69" s="1"/>
  <c r="Y169" i="69"/>
  <c r="B205" i="69"/>
  <c r="A205" i="69" s="1"/>
  <c r="AP50" i="69"/>
  <c r="AT50" i="69"/>
  <c r="AX50" i="69"/>
  <c r="BB50" i="69"/>
  <c r="BB54" i="69"/>
  <c r="AX54" i="69"/>
  <c r="AT54" i="69"/>
  <c r="AP54" i="69"/>
  <c r="AU54" i="69"/>
  <c r="AZ54" i="69"/>
  <c r="BA59" i="69"/>
  <c r="AW59" i="69"/>
  <c r="AS59" i="69"/>
  <c r="AO59" i="69"/>
  <c r="AQ59" i="69"/>
  <c r="AV59" i="69"/>
  <c r="BB59" i="69"/>
  <c r="AZ60" i="69"/>
  <c r="AV60" i="69"/>
  <c r="AN60" i="69"/>
  <c r="AQ60" i="69"/>
  <c r="AW60" i="69"/>
  <c r="BB60" i="69"/>
  <c r="AY61" i="69"/>
  <c r="AU61" i="69"/>
  <c r="AQ61" i="69"/>
  <c r="AM61" i="69"/>
  <c r="AW61" i="69"/>
  <c r="BB61" i="69"/>
  <c r="Z79" i="69"/>
  <c r="AA79" i="69"/>
  <c r="Z86" i="69"/>
  <c r="Z95" i="69"/>
  <c r="AA95" i="69"/>
  <c r="Y148" i="69"/>
  <c r="B184" i="69"/>
  <c r="Y150" i="69"/>
  <c r="B186" i="69"/>
  <c r="A186" i="69" s="1"/>
  <c r="Y152" i="69"/>
  <c r="B188" i="69"/>
  <c r="A188" i="69" s="1"/>
  <c r="Y154" i="69"/>
  <c r="B190" i="69"/>
  <c r="A190" i="69" s="1"/>
  <c r="Y156" i="69"/>
  <c r="B192" i="69"/>
  <c r="A192" i="69" s="1"/>
  <c r="Y158" i="69"/>
  <c r="B194" i="69"/>
  <c r="A194" i="69" s="1"/>
  <c r="Y160" i="69"/>
  <c r="B196" i="69"/>
  <c r="A196" i="69" s="1"/>
  <c r="Y162" i="69"/>
  <c r="B198" i="69"/>
  <c r="A198" i="69" s="1"/>
  <c r="Y164" i="69"/>
  <c r="B200" i="69"/>
  <c r="A200" i="69" s="1"/>
  <c r="Y166" i="69"/>
  <c r="B202" i="69"/>
  <c r="A202" i="69" s="1"/>
  <c r="Y168" i="69"/>
  <c r="B204" i="69"/>
  <c r="A204" i="69" s="1"/>
  <c r="Y170" i="69"/>
  <c r="B206" i="69"/>
  <c r="B207" i="69"/>
  <c r="Y171" i="69"/>
  <c r="AP58" i="69"/>
  <c r="AT58" i="69"/>
  <c r="AX58" i="69"/>
  <c r="BB58" i="69"/>
  <c r="AP62" i="69"/>
  <c r="AT62" i="69"/>
  <c r="AX62" i="69"/>
  <c r="BB62" i="69"/>
  <c r="AA88" i="69"/>
  <c r="AA92" i="69"/>
  <c r="AA96" i="69"/>
  <c r="AA100" i="69"/>
  <c r="U30" i="69" l="1"/>
  <c r="AA97" i="69" s="1"/>
  <c r="AA84" i="69"/>
  <c r="U17" i="69"/>
  <c r="U13" i="69"/>
  <c r="AA80" i="69" s="1"/>
  <c r="AL32" i="69"/>
  <c r="AO32" i="69"/>
  <c r="F54" i="76"/>
  <c r="W54" i="76"/>
  <c r="H54" i="76"/>
  <c r="X54" i="76"/>
  <c r="AA54" i="76"/>
  <c r="K54" i="76"/>
  <c r="Q54" i="76"/>
  <c r="R54" i="76"/>
  <c r="G54" i="76"/>
  <c r="N54" i="76"/>
  <c r="Y54" i="76"/>
  <c r="D54" i="76"/>
  <c r="T54" i="76"/>
  <c r="V54" i="76"/>
  <c r="J54" i="76"/>
  <c r="L54" i="76"/>
  <c r="S54" i="76"/>
  <c r="E54" i="76"/>
  <c r="U54" i="76"/>
  <c r="P54" i="76"/>
  <c r="I54" i="76"/>
  <c r="O54" i="76"/>
  <c r="M54" i="76"/>
  <c r="Z54" i="76"/>
  <c r="P32" i="69"/>
  <c r="AN63" i="69"/>
  <c r="AQ63" i="69"/>
  <c r="Z51" i="76"/>
  <c r="B220" i="69"/>
  <c r="A184" i="69"/>
  <c r="B273" i="69"/>
  <c r="B237" i="69"/>
  <c r="B265" i="69"/>
  <c r="B229" i="69"/>
  <c r="B257" i="69"/>
  <c r="B221" i="69"/>
  <c r="B276" i="69"/>
  <c r="B240" i="69"/>
  <c r="B268" i="69"/>
  <c r="B232" i="69"/>
  <c r="B279" i="69"/>
  <c r="B243" i="69"/>
  <c r="B275" i="69"/>
  <c r="B239" i="69"/>
  <c r="B271" i="69"/>
  <c r="B235" i="69"/>
  <c r="B267" i="69"/>
  <c r="B231" i="69"/>
  <c r="B263" i="69"/>
  <c r="B227" i="69"/>
  <c r="B259" i="69"/>
  <c r="B223" i="69"/>
  <c r="B277" i="69"/>
  <c r="B241" i="69"/>
  <c r="B269" i="69"/>
  <c r="B233" i="69"/>
  <c r="B261" i="69"/>
  <c r="B225" i="69"/>
  <c r="B272" i="69"/>
  <c r="B236" i="69"/>
  <c r="B264" i="69"/>
  <c r="B228" i="69"/>
  <c r="B260" i="69"/>
  <c r="B224" i="69"/>
  <c r="B278" i="69"/>
  <c r="Y278" i="69" s="1"/>
  <c r="B242" i="69"/>
  <c r="Y242" i="69" s="1"/>
  <c r="AE242" i="69" s="1"/>
  <c r="B274" i="69"/>
  <c r="B238" i="69"/>
  <c r="B270" i="69"/>
  <c r="B234" i="69"/>
  <c r="B266" i="69"/>
  <c r="B230" i="69"/>
  <c r="B262" i="69"/>
  <c r="B226" i="69"/>
  <c r="B258" i="69"/>
  <c r="B222" i="69"/>
  <c r="B291" i="69"/>
  <c r="B326" i="69" s="1"/>
  <c r="B256" i="69"/>
  <c r="BC41" i="69"/>
  <c r="BE46" i="69"/>
  <c r="BG56" i="69"/>
  <c r="BD56" i="69"/>
  <c r="BD63" i="69"/>
  <c r="BC53" i="69"/>
  <c r="BC49" i="69"/>
  <c r="BC43" i="69"/>
  <c r="Y205" i="69"/>
  <c r="B312" i="69"/>
  <c r="A312" i="69" s="1"/>
  <c r="Y201" i="69"/>
  <c r="B308" i="69"/>
  <c r="A308" i="69" s="1"/>
  <c r="Y197" i="69"/>
  <c r="B304" i="69"/>
  <c r="A304" i="69" s="1"/>
  <c r="Y193" i="69"/>
  <c r="B300" i="69"/>
  <c r="A300" i="69" s="1"/>
  <c r="Y189" i="69"/>
  <c r="B296" i="69"/>
  <c r="A296" i="69" s="1"/>
  <c r="Y185" i="69"/>
  <c r="B292" i="69"/>
  <c r="A292" i="69" s="1"/>
  <c r="BE60" i="69"/>
  <c r="BF46" i="69"/>
  <c r="BF44" i="69"/>
  <c r="BC47" i="69"/>
  <c r="Y207" i="69"/>
  <c r="Y203" i="69"/>
  <c r="B310" i="69"/>
  <c r="A310" i="69" s="1"/>
  <c r="Y199" i="69"/>
  <c r="B306" i="69"/>
  <c r="A306" i="69" s="1"/>
  <c r="Y195" i="69"/>
  <c r="B302" i="69"/>
  <c r="A302" i="69" s="1"/>
  <c r="Y191" i="69"/>
  <c r="B298" i="69"/>
  <c r="A298" i="69" s="1"/>
  <c r="Y187" i="69"/>
  <c r="B294" i="69"/>
  <c r="A294" i="69" s="1"/>
  <c r="BF50" i="69"/>
  <c r="Y206" i="69"/>
  <c r="B313" i="69"/>
  <c r="Y202" i="69"/>
  <c r="B309" i="69"/>
  <c r="A309" i="69" s="1"/>
  <c r="Y198" i="69"/>
  <c r="B305" i="69"/>
  <c r="A305" i="69" s="1"/>
  <c r="Y194" i="69"/>
  <c r="B301" i="69"/>
  <c r="A301" i="69" s="1"/>
  <c r="Y190" i="69"/>
  <c r="B297" i="69"/>
  <c r="A297" i="69" s="1"/>
  <c r="Y186" i="69"/>
  <c r="B293" i="69"/>
  <c r="A293" i="69" s="1"/>
  <c r="BG61" i="69"/>
  <c r="BG59" i="69"/>
  <c r="BE59" i="69"/>
  <c r="BF54" i="69"/>
  <c r="BC63" i="69"/>
  <c r="BE57" i="69"/>
  <c r="BD55" i="69"/>
  <c r="BC57" i="69"/>
  <c r="BF51" i="69"/>
  <c r="BF48" i="69"/>
  <c r="BG42" i="69"/>
  <c r="BD42" i="69"/>
  <c r="BG65" i="69"/>
  <c r="Y204" i="69"/>
  <c r="B311" i="69"/>
  <c r="A311" i="69" s="1"/>
  <c r="Y200" i="69"/>
  <c r="B307" i="69"/>
  <c r="A307" i="69" s="1"/>
  <c r="Y196" i="69"/>
  <c r="B303" i="69"/>
  <c r="A303" i="69" s="1"/>
  <c r="Y192" i="69"/>
  <c r="B299" i="69"/>
  <c r="A299" i="69" s="1"/>
  <c r="Y188" i="69"/>
  <c r="B295" i="69"/>
  <c r="A295" i="69" s="1"/>
  <c r="BF62" i="69"/>
  <c r="BE56" i="69"/>
  <c r="BC54" i="69"/>
  <c r="BG51" i="69"/>
  <c r="BE47" i="69"/>
  <c r="BC55" i="69"/>
  <c r="BF55" i="69"/>
  <c r="BE65" i="69"/>
  <c r="BE64" i="69"/>
  <c r="BC64" i="69"/>
  <c r="AL65" i="69"/>
  <c r="Y184" i="69"/>
  <c r="BC62" i="69"/>
  <c r="BG58" i="69"/>
  <c r="BD52" i="69"/>
  <c r="BD48" i="69"/>
  <c r="BE62" i="69"/>
  <c r="BD58" i="69"/>
  <c r="BF61" i="69"/>
  <c r="BF60" i="69"/>
  <c r="BF59" i="69"/>
  <c r="BE58" i="69"/>
  <c r="BD54" i="69"/>
  <c r="BF53" i="69"/>
  <c r="BC52" i="69"/>
  <c r="BF49" i="69"/>
  <c r="BC48" i="69"/>
  <c r="BG44" i="69"/>
  <c r="BG62" i="69"/>
  <c r="BD61" i="69"/>
  <c r="BC60" i="69"/>
  <c r="BC59" i="69"/>
  <c r="BC58" i="69"/>
  <c r="BD53" i="69"/>
  <c r="BG50" i="69"/>
  <c r="BD49" i="69"/>
  <c r="BG46" i="69"/>
  <c r="BF45" i="69"/>
  <c r="BE44" i="69"/>
  <c r="BE43" i="69"/>
  <c r="BE42" i="69"/>
  <c r="BD41" i="69"/>
  <c r="BD62" i="69"/>
  <c r="BG52" i="69"/>
  <c r="BE50" i="69"/>
  <c r="BG48" i="69"/>
  <c r="BD44" i="69"/>
  <c r="BD64" i="69"/>
  <c r="BG54" i="69"/>
  <c r="BE52" i="69"/>
  <c r="BC50" i="69"/>
  <c r="BE48" i="69"/>
  <c r="BC46" i="69"/>
  <c r="BC45" i="69"/>
  <c r="BC44" i="69"/>
  <c r="BG60" i="69"/>
  <c r="BD60" i="69"/>
  <c r="BE54" i="69"/>
  <c r="BG64" i="69"/>
  <c r="BF65" i="69"/>
  <c r="BE61" i="69"/>
  <c r="BD46" i="69"/>
  <c r="BF43" i="69"/>
  <c r="BF42" i="69"/>
  <c r="BF41" i="69"/>
  <c r="BF63" i="69"/>
  <c r="BE51" i="69"/>
  <c r="BG47" i="69"/>
  <c r="BE53" i="69"/>
  <c r="BG49" i="69"/>
  <c r="BD43" i="69"/>
  <c r="BC42" i="69"/>
  <c r="BD57" i="69"/>
  <c r="BF57" i="69"/>
  <c r="BC56" i="69"/>
  <c r="BF56" i="69"/>
  <c r="BF47" i="69"/>
  <c r="BG43" i="69"/>
  <c r="BD65" i="69"/>
  <c r="BF64" i="69"/>
  <c r="BC61" i="69"/>
  <c r="BF58" i="69"/>
  <c r="BD50" i="69"/>
  <c r="BD59" i="69"/>
  <c r="BD51" i="69"/>
  <c r="BD47" i="69"/>
  <c r="BG45" i="69"/>
  <c r="BE45" i="69"/>
  <c r="BC51" i="69"/>
  <c r="BG53" i="69"/>
  <c r="BE49" i="69"/>
  <c r="BG63" i="69"/>
  <c r="BG57" i="69"/>
  <c r="BG55" i="69"/>
  <c r="BF52" i="69"/>
  <c r="BG41" i="69"/>
  <c r="BE41" i="69"/>
  <c r="BC65" i="69"/>
  <c r="BD45" i="69"/>
  <c r="D58" i="76" l="1"/>
  <c r="D57" i="76"/>
  <c r="D60" i="76"/>
  <c r="D56" i="76"/>
  <c r="D59" i="76"/>
  <c r="A256" i="69"/>
  <c r="M55" i="76"/>
  <c r="S55" i="76"/>
  <c r="R55" i="76"/>
  <c r="H55" i="76"/>
  <c r="X55" i="76"/>
  <c r="V55" i="76"/>
  <c r="K55" i="76"/>
  <c r="Q55" i="76"/>
  <c r="F55" i="76"/>
  <c r="I55" i="76"/>
  <c r="O55" i="76"/>
  <c r="N55" i="76"/>
  <c r="D55" i="76"/>
  <c r="U55" i="76"/>
  <c r="J55" i="76"/>
  <c r="G55" i="76"/>
  <c r="W55" i="76"/>
  <c r="E55" i="76"/>
  <c r="L55" i="76"/>
  <c r="P55" i="76"/>
  <c r="Y55" i="76"/>
  <c r="T55" i="76"/>
  <c r="Z55" i="76"/>
  <c r="Y243" i="69"/>
  <c r="AE243" i="69" s="1"/>
  <c r="Y279" i="69"/>
  <c r="AA55" i="76"/>
  <c r="Y258" i="69"/>
  <c r="A258" i="69"/>
  <c r="Y274" i="69"/>
  <c r="A274" i="69"/>
  <c r="Y272" i="69"/>
  <c r="A272" i="69"/>
  <c r="Y223" i="69"/>
  <c r="AE223" i="69" s="1"/>
  <c r="A223" i="69"/>
  <c r="Y239" i="69"/>
  <c r="AE239" i="69" s="1"/>
  <c r="A239" i="69"/>
  <c r="Y221" i="69"/>
  <c r="AE221" i="69" s="1"/>
  <c r="A221" i="69"/>
  <c r="Y228" i="69"/>
  <c r="AE228" i="69" s="1"/>
  <c r="A228" i="69"/>
  <c r="Y225" i="69"/>
  <c r="AE225" i="69" s="1"/>
  <c r="A225" i="69"/>
  <c r="Y241" i="69"/>
  <c r="AE241" i="69" s="1"/>
  <c r="A241" i="69"/>
  <c r="Y267" i="69"/>
  <c r="A267" i="69"/>
  <c r="Y275" i="69"/>
  <c r="A275" i="69"/>
  <c r="Y268" i="69"/>
  <c r="A268" i="69"/>
  <c r="Y257" i="69"/>
  <c r="A257" i="69"/>
  <c r="Y273" i="69"/>
  <c r="A273" i="69"/>
  <c r="Y291" i="69"/>
  <c r="AE291" i="69" s="1"/>
  <c r="A291" i="69"/>
  <c r="Y262" i="69"/>
  <c r="A262" i="69"/>
  <c r="Y270" i="69"/>
  <c r="A270" i="69"/>
  <c r="Y264" i="69"/>
  <c r="A264" i="69"/>
  <c r="Y261" i="69"/>
  <c r="A261" i="69"/>
  <c r="Y277" i="69"/>
  <c r="A277" i="69"/>
  <c r="Y227" i="69"/>
  <c r="AE227" i="69" s="1"/>
  <c r="A227" i="69"/>
  <c r="Y235" i="69"/>
  <c r="AE235" i="69" s="1"/>
  <c r="A235" i="69"/>
  <c r="Y240" i="69"/>
  <c r="AE240" i="69" s="1"/>
  <c r="A240" i="69"/>
  <c r="Y229" i="69"/>
  <c r="AE229" i="69" s="1"/>
  <c r="A229" i="69"/>
  <c r="Y326" i="69"/>
  <c r="A326" i="69"/>
  <c r="Y266" i="69"/>
  <c r="A266" i="69"/>
  <c r="Y260" i="69"/>
  <c r="A260" i="69"/>
  <c r="Y269" i="69"/>
  <c r="A269" i="69"/>
  <c r="Y231" i="69"/>
  <c r="AE231" i="69" s="1"/>
  <c r="A231" i="69"/>
  <c r="Y232" i="69"/>
  <c r="AE232" i="69" s="1"/>
  <c r="A232" i="69"/>
  <c r="Y237" i="69"/>
  <c r="AE237" i="69" s="1"/>
  <c r="A237" i="69"/>
  <c r="Y226" i="69"/>
  <c r="AE226" i="69" s="1"/>
  <c r="A226" i="69"/>
  <c r="Y234" i="69"/>
  <c r="AE234" i="69" s="1"/>
  <c r="A234" i="69"/>
  <c r="Y259" i="69"/>
  <c r="A259" i="69"/>
  <c r="Y222" i="69"/>
  <c r="AE222" i="69" s="1"/>
  <c r="A222" i="69"/>
  <c r="Y230" i="69"/>
  <c r="AE230" i="69" s="1"/>
  <c r="A230" i="69"/>
  <c r="Y238" i="69"/>
  <c r="AE238" i="69" s="1"/>
  <c r="A238" i="69"/>
  <c r="Y224" i="69"/>
  <c r="AE224" i="69" s="1"/>
  <c r="A224" i="69"/>
  <c r="Y236" i="69"/>
  <c r="AE236" i="69" s="1"/>
  <c r="A236" i="69"/>
  <c r="Y233" i="69"/>
  <c r="AE233" i="69" s="1"/>
  <c r="A233" i="69"/>
  <c r="BL63" i="69"/>
  <c r="Y263" i="69"/>
  <c r="A263" i="69"/>
  <c r="Y271" i="69"/>
  <c r="A271" i="69"/>
  <c r="Y276" i="69"/>
  <c r="A276" i="69"/>
  <c r="Y265" i="69"/>
  <c r="A265" i="69"/>
  <c r="Y220" i="69"/>
  <c r="AE220" i="69" s="1"/>
  <c r="A220" i="69"/>
  <c r="BM43" i="69"/>
  <c r="BO43" i="69"/>
  <c r="BM47" i="69"/>
  <c r="BO52" i="69"/>
  <c r="BN58" i="69"/>
  <c r="BM63" i="69"/>
  <c r="BQ61" i="69"/>
  <c r="BM41" i="69"/>
  <c r="BO45" i="69"/>
  <c r="BP45" i="69"/>
  <c r="BO49" i="69"/>
  <c r="BO60" i="69"/>
  <c r="BO64" i="69"/>
  <c r="BQ64" i="69"/>
  <c r="BQ51" i="69"/>
  <c r="BP57" i="69"/>
  <c r="BQ62" i="69"/>
  <c r="BQ42" i="69"/>
  <c r="BO42" i="69"/>
  <c r="BP46" i="69"/>
  <c r="BO50" i="69"/>
  <c r="BM56" i="69"/>
  <c r="BM44" i="69"/>
  <c r="BQ48" i="69"/>
  <c r="BP53" i="69"/>
  <c r="BO53" i="69"/>
  <c r="BQ54" i="69"/>
  <c r="BN59" i="69"/>
  <c r="BM65" i="69"/>
  <c r="BP65" i="69"/>
  <c r="BQ50" i="69"/>
  <c r="BN44" i="69"/>
  <c r="BM48" i="69"/>
  <c r="BN54" i="69"/>
  <c r="BQ43" i="69"/>
  <c r="BN47" i="69"/>
  <c r="BQ47" i="69"/>
  <c r="BP52" i="69"/>
  <c r="BO58" i="69"/>
  <c r="BN63" i="69"/>
  <c r="BN61" i="69"/>
  <c r="BO61" i="69"/>
  <c r="BQ41" i="69"/>
  <c r="BN45" i="69"/>
  <c r="BQ49" i="69"/>
  <c r="BM49" i="69"/>
  <c r="BQ55" i="69"/>
  <c r="BP60" i="69"/>
  <c r="BP64" i="69"/>
  <c r="BM51" i="69"/>
  <c r="BP51" i="69"/>
  <c r="BO57" i="69"/>
  <c r="BM62" i="69"/>
  <c r="BP42" i="69"/>
  <c r="BN46" i="69"/>
  <c r="BO46" i="69"/>
  <c r="BN50" i="69"/>
  <c r="BQ56" i="69"/>
  <c r="BP44" i="69"/>
  <c r="BN48" i="69"/>
  <c r="BQ53" i="69"/>
  <c r="BO54" i="69"/>
  <c r="BP54" i="69"/>
  <c r="BM59" i="69"/>
  <c r="BN65" i="69"/>
  <c r="BP43" i="69"/>
  <c r="BP47" i="69"/>
  <c r="BQ52" i="69"/>
  <c r="BM52" i="69"/>
  <c r="BM58" i="69"/>
  <c r="BQ63" i="69"/>
  <c r="BP61" i="69"/>
  <c r="BP41" i="69"/>
  <c r="BM45" i="69"/>
  <c r="BP49" i="69"/>
  <c r="BP55" i="69"/>
  <c r="BM55" i="69"/>
  <c r="BM60" i="69"/>
  <c r="BM64" i="69"/>
  <c r="BN51" i="69"/>
  <c r="BN57" i="69"/>
  <c r="BQ57" i="69"/>
  <c r="BN62" i="69"/>
  <c r="BN42" i="69"/>
  <c r="BQ46" i="69"/>
  <c r="BM50" i="69"/>
  <c r="BP56" i="69"/>
  <c r="BO44" i="69"/>
  <c r="BM53" i="69"/>
  <c r="BO59" i="69"/>
  <c r="BN43" i="69"/>
  <c r="BQ58" i="69"/>
  <c r="BN41" i="69"/>
  <c r="BN55" i="69"/>
  <c r="BO51" i="69"/>
  <c r="BM42" i="69"/>
  <c r="BO56" i="69"/>
  <c r="BO48" i="69"/>
  <c r="BP59" i="69"/>
  <c r="BM61" i="69"/>
  <c r="BQ60" i="69"/>
  <c r="BO62" i="69"/>
  <c r="BP50" i="69"/>
  <c r="BP58" i="69"/>
  <c r="BN49" i="69"/>
  <c r="BN64" i="69"/>
  <c r="BP62" i="69"/>
  <c r="BM54" i="69"/>
  <c r="BO47" i="69"/>
  <c r="BP63" i="69"/>
  <c r="BO41" i="69"/>
  <c r="BN60" i="69"/>
  <c r="BM57" i="69"/>
  <c r="BM46" i="69"/>
  <c r="BP48" i="69"/>
  <c r="BQ59" i="69"/>
  <c r="BN52" i="69"/>
  <c r="BQ45" i="69"/>
  <c r="BN53" i="69"/>
  <c r="BO65" i="69"/>
  <c r="BN56" i="69"/>
  <c r="BQ44" i="69"/>
  <c r="BQ65" i="69"/>
  <c r="Y256" i="69"/>
  <c r="BL42" i="69"/>
  <c r="BK42" i="69"/>
  <c r="BK44" i="69"/>
  <c r="BJ46" i="69"/>
  <c r="BL48" i="69"/>
  <c r="BI50" i="69"/>
  <c r="BH50" i="69"/>
  <c r="BH52" i="69"/>
  <c r="BJ54" i="69"/>
  <c r="BI55" i="69"/>
  <c r="BH57" i="69"/>
  <c r="BK57" i="69"/>
  <c r="BJ59" i="69"/>
  <c r="BI61" i="69"/>
  <c r="BH63" i="69"/>
  <c r="BL65" i="69"/>
  <c r="BK64" i="69"/>
  <c r="BH64" i="69"/>
  <c r="BK41" i="69"/>
  <c r="BJ43" i="69"/>
  <c r="BH45" i="69"/>
  <c r="BL47" i="69"/>
  <c r="BK47" i="69"/>
  <c r="BJ49" i="69"/>
  <c r="BH51" i="69"/>
  <c r="BI53" i="69"/>
  <c r="BI56" i="69"/>
  <c r="BJ56" i="69"/>
  <c r="BH58" i="69"/>
  <c r="BK60" i="69"/>
  <c r="BL62" i="69"/>
  <c r="BJ47" i="69"/>
  <c r="BK51" i="69"/>
  <c r="BH56" i="69"/>
  <c r="BI60" i="69"/>
  <c r="BL44" i="69"/>
  <c r="BL46" i="69"/>
  <c r="BH48" i="69"/>
  <c r="BJ52" i="69"/>
  <c r="BL55" i="69"/>
  <c r="BJ57" i="69"/>
  <c r="BH61" i="69"/>
  <c r="BH65" i="69"/>
  <c r="BI64" i="69"/>
  <c r="BL41" i="69"/>
  <c r="BL43" i="69"/>
  <c r="BJ45" i="69"/>
  <c r="BH49" i="69"/>
  <c r="BL53" i="69"/>
  <c r="BK56" i="69"/>
  <c r="BL60" i="69"/>
  <c r="BH62" i="69"/>
  <c r="BI42" i="69"/>
  <c r="BI44" i="69"/>
  <c r="BJ44" i="69"/>
  <c r="BK46" i="69"/>
  <c r="BK48" i="69"/>
  <c r="BL50" i="69"/>
  <c r="BI52" i="69"/>
  <c r="BK52" i="69"/>
  <c r="BH54" i="69"/>
  <c r="BK55" i="69"/>
  <c r="BI57" i="69"/>
  <c r="BL59" i="69"/>
  <c r="BK59" i="69"/>
  <c r="BJ61" i="69"/>
  <c r="BI65" i="69"/>
  <c r="BJ64" i="69"/>
  <c r="BI41" i="69"/>
  <c r="BJ41" i="69"/>
  <c r="BK43" i="69"/>
  <c r="BI45" i="69"/>
  <c r="BI47" i="69"/>
  <c r="BL49" i="69"/>
  <c r="BK49" i="69"/>
  <c r="BJ51" i="69"/>
  <c r="BH53" i="69"/>
  <c r="BL56" i="69"/>
  <c r="BI58" i="69"/>
  <c r="BJ58" i="69"/>
  <c r="BJ60" i="69"/>
  <c r="BJ62" i="69"/>
  <c r="BH42" i="69"/>
  <c r="BH44" i="69"/>
  <c r="BI46" i="69"/>
  <c r="BH46" i="69"/>
  <c r="BJ48" i="69"/>
  <c r="BK50" i="69"/>
  <c r="BL52" i="69"/>
  <c r="BI54" i="69"/>
  <c r="BK54" i="69"/>
  <c r="BH55" i="69"/>
  <c r="BL57" i="69"/>
  <c r="BI59" i="69"/>
  <c r="BL61" i="69"/>
  <c r="BK61" i="69"/>
  <c r="BI63" i="69"/>
  <c r="BK65" i="69"/>
  <c r="BL64" i="69"/>
  <c r="BH41" i="69"/>
  <c r="BI43" i="69"/>
  <c r="BH43" i="69"/>
  <c r="BK45" i="69"/>
  <c r="BI49" i="69"/>
  <c r="BL51" i="69"/>
  <c r="BK53" i="69"/>
  <c r="BL58" i="69"/>
  <c r="BH60" i="69"/>
  <c r="BK62" i="69"/>
  <c r="BJ42" i="69"/>
  <c r="BI48" i="69"/>
  <c r="BJ50" i="69"/>
  <c r="BL54" i="69"/>
  <c r="BH59" i="69"/>
  <c r="BK63" i="69"/>
  <c r="BJ65" i="69"/>
  <c r="BL45" i="69"/>
  <c r="BH47" i="69"/>
  <c r="BI51" i="69"/>
  <c r="BJ53" i="69"/>
  <c r="BK58" i="69"/>
  <c r="BI62" i="69"/>
  <c r="B329" i="69"/>
  <c r="Y294" i="69"/>
  <c r="AE294" i="69" s="1"/>
  <c r="B337" i="69"/>
  <c r="Y302" i="69"/>
  <c r="AE302" i="69" s="1"/>
  <c r="B345" i="69"/>
  <c r="Y310" i="69"/>
  <c r="AE310" i="69" s="1"/>
  <c r="Y292" i="69"/>
  <c r="AE292" i="69" s="1"/>
  <c r="B327" i="69"/>
  <c r="E56" i="76" s="1"/>
  <c r="Y300" i="69"/>
  <c r="AE300" i="69" s="1"/>
  <c r="B335" i="69"/>
  <c r="Y308" i="69"/>
  <c r="AE308" i="69" s="1"/>
  <c r="B343" i="69"/>
  <c r="Y299" i="69"/>
  <c r="AE299" i="69" s="1"/>
  <c r="B334" i="69"/>
  <c r="Y307" i="69"/>
  <c r="AE307" i="69" s="1"/>
  <c r="B342" i="69"/>
  <c r="B332" i="69"/>
  <c r="Y297" i="69"/>
  <c r="AE297" i="69" s="1"/>
  <c r="B340" i="69"/>
  <c r="Y305" i="69"/>
  <c r="AE305" i="69" s="1"/>
  <c r="B348" i="69"/>
  <c r="Y348" i="69" s="1"/>
  <c r="Y313" i="69"/>
  <c r="AE313" i="69" s="1"/>
  <c r="B333" i="69"/>
  <c r="Y298" i="69"/>
  <c r="AE298" i="69" s="1"/>
  <c r="B341" i="69"/>
  <c r="Y306" i="69"/>
  <c r="AE306" i="69" s="1"/>
  <c r="Y314" i="69"/>
  <c r="AE314" i="69" s="1"/>
  <c r="Y296" i="69"/>
  <c r="AE296" i="69" s="1"/>
  <c r="B331" i="69"/>
  <c r="Y304" i="69"/>
  <c r="AE304" i="69" s="1"/>
  <c r="B339" i="69"/>
  <c r="Y312" i="69"/>
  <c r="AE312" i="69" s="1"/>
  <c r="B347" i="69"/>
  <c r="Y295" i="69"/>
  <c r="AE295" i="69" s="1"/>
  <c r="B330" i="69"/>
  <c r="Y303" i="69"/>
  <c r="AE303" i="69" s="1"/>
  <c r="B338" i="69"/>
  <c r="Y311" i="69"/>
  <c r="AE311" i="69" s="1"/>
  <c r="B346" i="69"/>
  <c r="B328" i="69"/>
  <c r="Y293" i="69"/>
  <c r="AE293" i="69" s="1"/>
  <c r="B336" i="69"/>
  <c r="Y301" i="69"/>
  <c r="AE301" i="69" s="1"/>
  <c r="B344" i="69"/>
  <c r="Y309" i="69"/>
  <c r="AE309" i="69" s="1"/>
  <c r="L57" i="76" l="1"/>
  <c r="G57" i="76"/>
  <c r="F59" i="76"/>
  <c r="E59" i="76"/>
  <c r="G59" i="76"/>
  <c r="S59" i="76"/>
  <c r="E57" i="76"/>
  <c r="F60" i="76"/>
  <c r="R59" i="76"/>
  <c r="I58" i="76"/>
  <c r="R60" i="76"/>
  <c r="AA57" i="76"/>
  <c r="U60" i="76"/>
  <c r="P60" i="76"/>
  <c r="W59" i="76"/>
  <c r="N58" i="76"/>
  <c r="P58" i="76"/>
  <c r="Q60" i="76"/>
  <c r="S58" i="76"/>
  <c r="J57" i="76"/>
  <c r="J59" i="76"/>
  <c r="O56" i="76"/>
  <c r="J60" i="76"/>
  <c r="S57" i="76"/>
  <c r="N56" i="76"/>
  <c r="M60" i="76"/>
  <c r="L60" i="76"/>
  <c r="Z58" i="76"/>
  <c r="J58" i="76"/>
  <c r="Q57" i="76"/>
  <c r="X56" i="76"/>
  <c r="H56" i="76"/>
  <c r="G60" i="76"/>
  <c r="U58" i="76"/>
  <c r="U59" i="76"/>
  <c r="H58" i="76"/>
  <c r="V56" i="76"/>
  <c r="I60" i="76"/>
  <c r="H59" i="76"/>
  <c r="O58" i="76"/>
  <c r="V57" i="76"/>
  <c r="F57" i="76"/>
  <c r="M56" i="76"/>
  <c r="K60" i="76"/>
  <c r="Y58" i="76"/>
  <c r="P57" i="76"/>
  <c r="G56" i="76"/>
  <c r="Y59" i="76"/>
  <c r="T58" i="76"/>
  <c r="K57" i="76"/>
  <c r="F56" i="76"/>
  <c r="E60" i="76"/>
  <c r="X60" i="76"/>
  <c r="H60" i="76"/>
  <c r="O59" i="76"/>
  <c r="V58" i="76"/>
  <c r="F58" i="76"/>
  <c r="M57" i="76"/>
  <c r="T56" i="76"/>
  <c r="V59" i="76"/>
  <c r="M58" i="76"/>
  <c r="AA56" i="76"/>
  <c r="V60" i="76"/>
  <c r="M59" i="76"/>
  <c r="W57" i="76"/>
  <c r="J56" i="76"/>
  <c r="X59" i="76"/>
  <c r="AA58" i="76"/>
  <c r="K58" i="76"/>
  <c r="R57" i="76"/>
  <c r="Y56" i="76"/>
  <c r="I56" i="76"/>
  <c r="AA60" i="76"/>
  <c r="W56" i="76"/>
  <c r="I59" i="76"/>
  <c r="R56" i="76"/>
  <c r="U57" i="76"/>
  <c r="L56" i="76"/>
  <c r="O60" i="76"/>
  <c r="T57" i="76"/>
  <c r="K56" i="76"/>
  <c r="L59" i="76"/>
  <c r="Z57" i="76"/>
  <c r="Q56" i="76"/>
  <c r="S60" i="76"/>
  <c r="X57" i="76"/>
  <c r="Z59" i="76"/>
  <c r="Q58" i="76"/>
  <c r="H57" i="76"/>
  <c r="Z60" i="76"/>
  <c r="Q59" i="76"/>
  <c r="L58" i="76"/>
  <c r="Z56" i="76"/>
  <c r="T59" i="76"/>
  <c r="T60" i="76"/>
  <c r="AA59" i="76"/>
  <c r="K59" i="76"/>
  <c r="R58" i="76"/>
  <c r="Y57" i="76"/>
  <c r="I57" i="76"/>
  <c r="P56" i="76"/>
  <c r="W60" i="76"/>
  <c r="N59" i="76"/>
  <c r="E58" i="76"/>
  <c r="S56" i="76"/>
  <c r="N60" i="76"/>
  <c r="X58" i="76"/>
  <c r="O57" i="76"/>
  <c r="Y60" i="76"/>
  <c r="P59" i="76"/>
  <c r="W58" i="76"/>
  <c r="G58" i="76"/>
  <c r="N57" i="76"/>
  <c r="U56" i="76"/>
  <c r="Y337" i="69"/>
  <c r="A337" i="69"/>
  <c r="Y338" i="69"/>
  <c r="A338" i="69"/>
  <c r="Y331" i="69"/>
  <c r="A331" i="69"/>
  <c r="Y334" i="69"/>
  <c r="A334" i="69"/>
  <c r="Y328" i="69"/>
  <c r="A328" i="69"/>
  <c r="Y341" i="69"/>
  <c r="A341" i="69"/>
  <c r="AF348" i="69"/>
  <c r="AI348" i="69"/>
  <c r="AG348" i="69"/>
  <c r="AH348" i="69"/>
  <c r="AE348" i="69"/>
  <c r="Y332" i="69"/>
  <c r="A332" i="69"/>
  <c r="Y345" i="69"/>
  <c r="A345" i="69"/>
  <c r="Y329" i="69"/>
  <c r="A329" i="69"/>
  <c r="Y336" i="69"/>
  <c r="A336" i="69"/>
  <c r="Y333" i="69"/>
  <c r="A333" i="69"/>
  <c r="Y340" i="69"/>
  <c r="A340" i="69"/>
  <c r="Y347" i="69"/>
  <c r="A347" i="69"/>
  <c r="Y335" i="69"/>
  <c r="A335" i="69"/>
  <c r="Y344" i="69"/>
  <c r="A344" i="69"/>
  <c r="Y346" i="69"/>
  <c r="A346" i="69"/>
  <c r="Y330" i="69"/>
  <c r="A330" i="69"/>
  <c r="Y339" i="69"/>
  <c r="A339" i="69"/>
  <c r="Y342" i="69"/>
  <c r="A342" i="69"/>
  <c r="Y343" i="69"/>
  <c r="A343" i="69"/>
  <c r="Y327" i="69"/>
  <c r="A327" i="69"/>
  <c r="AH326" i="69"/>
  <c r="AE326" i="69"/>
  <c r="AG326" i="69"/>
  <c r="AI326" i="69"/>
  <c r="AF326" i="69"/>
  <c r="AI349" i="69"/>
  <c r="AG349" i="69"/>
  <c r="AE349" i="69"/>
  <c r="AF349" i="69"/>
  <c r="AH349" i="69"/>
  <c r="Y100" i="68"/>
  <c r="Y99" i="68"/>
  <c r="Y98" i="68"/>
  <c r="Y97" i="68"/>
  <c r="Y96" i="68"/>
  <c r="Y95" i="68"/>
  <c r="Y94" i="68"/>
  <c r="Y93" i="68"/>
  <c r="Y92" i="68"/>
  <c r="Y91" i="68"/>
  <c r="Y90" i="68"/>
  <c r="Y89" i="68"/>
  <c r="Y88" i="68"/>
  <c r="Y87" i="68"/>
  <c r="Y86" i="68"/>
  <c r="Y85" i="68"/>
  <c r="Y84" i="68"/>
  <c r="Y83" i="68"/>
  <c r="Y82" i="68"/>
  <c r="Y81" i="68"/>
  <c r="Y80" i="68"/>
  <c r="Y79" i="68"/>
  <c r="Y78" i="68"/>
  <c r="Y77" i="68"/>
  <c r="Y44" i="68"/>
  <c r="AA33" i="68"/>
  <c r="Z33" i="68"/>
  <c r="AL64" i="68"/>
  <c r="AN64" i="68" s="1"/>
  <c r="AL63" i="68"/>
  <c r="Z31" i="68"/>
  <c r="AL62" i="68"/>
  <c r="Z30" i="68"/>
  <c r="AL61" i="68"/>
  <c r="AM61" i="68" s="1"/>
  <c r="Z29" i="68"/>
  <c r="AL60" i="68"/>
  <c r="AQ60" i="68" s="1"/>
  <c r="Z28" i="68"/>
  <c r="AL59" i="68"/>
  <c r="AM59" i="68" s="1"/>
  <c r="Z27" i="68"/>
  <c r="AL58" i="68"/>
  <c r="Z26" i="68"/>
  <c r="AL57" i="68"/>
  <c r="AN57" i="68" s="1"/>
  <c r="Z25" i="68"/>
  <c r="AL56" i="68"/>
  <c r="AN56" i="68" s="1"/>
  <c r="Z24" i="68"/>
  <c r="AL55" i="68"/>
  <c r="AP55" i="68" s="1"/>
  <c r="Z23" i="68"/>
  <c r="AL54" i="68"/>
  <c r="Z22" i="68"/>
  <c r="AL53" i="68"/>
  <c r="AN53" i="68" s="1"/>
  <c r="Z21" i="68"/>
  <c r="AL52" i="68"/>
  <c r="AN52" i="68" s="1"/>
  <c r="Z20" i="68"/>
  <c r="AL51" i="68"/>
  <c r="Z19" i="68"/>
  <c r="AL50" i="68"/>
  <c r="AP50" i="68" s="1"/>
  <c r="Z18" i="68"/>
  <c r="AL49" i="68"/>
  <c r="AQ49" i="68" s="1"/>
  <c r="Z17" i="68"/>
  <c r="AL48" i="68"/>
  <c r="AN48" i="68" s="1"/>
  <c r="Z16" i="68"/>
  <c r="AL47" i="68"/>
  <c r="AQ47" i="68" s="1"/>
  <c r="Z15" i="68"/>
  <c r="AL46" i="68"/>
  <c r="Z14" i="68"/>
  <c r="AL45" i="68"/>
  <c r="AN45" i="68" s="1"/>
  <c r="Z13" i="68"/>
  <c r="AL44" i="68"/>
  <c r="AM44" i="68" s="1"/>
  <c r="Z12" i="68"/>
  <c r="AL43" i="68"/>
  <c r="AM43" i="68" s="1"/>
  <c r="Z11" i="68"/>
  <c r="AL42" i="68"/>
  <c r="AL41" i="68"/>
  <c r="AM41" i="68" s="1"/>
  <c r="Y33" i="68"/>
  <c r="Y32" i="68"/>
  <c r="O32" i="68"/>
  <c r="M32" i="68"/>
  <c r="L32" i="68"/>
  <c r="Y31" i="68"/>
  <c r="S31" i="68"/>
  <c r="Y30" i="68"/>
  <c r="S30" i="68"/>
  <c r="Y29" i="68"/>
  <c r="S29" i="68"/>
  <c r="Y28" i="68"/>
  <c r="S28" i="68"/>
  <c r="Y27" i="68"/>
  <c r="S27" i="68"/>
  <c r="Y26" i="68"/>
  <c r="S26" i="68"/>
  <c r="Y25" i="68"/>
  <c r="S25" i="68"/>
  <c r="Y24" i="68"/>
  <c r="S24" i="68"/>
  <c r="Y23" i="68"/>
  <c r="S23" i="68"/>
  <c r="Y22" i="68"/>
  <c r="S22" i="68"/>
  <c r="Y21" i="68"/>
  <c r="S21" i="68"/>
  <c r="Y20" i="68"/>
  <c r="S20" i="68"/>
  <c r="Y19" i="68"/>
  <c r="S19" i="68"/>
  <c r="Y18" i="68"/>
  <c r="S18" i="68"/>
  <c r="Y17" i="68"/>
  <c r="S17" i="68"/>
  <c r="Y16" i="68"/>
  <c r="S16" i="68"/>
  <c r="Y15" i="68"/>
  <c r="S15" i="68"/>
  <c r="Y14" i="68"/>
  <c r="S14" i="68"/>
  <c r="Y13" i="68"/>
  <c r="S13" i="68"/>
  <c r="Y12" i="68"/>
  <c r="S12" i="68"/>
  <c r="Y11" i="68"/>
  <c r="S11" i="68"/>
  <c r="Y10" i="68"/>
  <c r="S10" i="68"/>
  <c r="S126" i="68" l="1"/>
  <c r="T126" i="68" s="1"/>
  <c r="U126" i="68" s="1"/>
  <c r="T20" i="68"/>
  <c r="U20" i="68" s="1"/>
  <c r="S131" i="68"/>
  <c r="T131" i="68" s="1"/>
  <c r="U131" i="68" s="1"/>
  <c r="T25" i="68"/>
  <c r="U25" i="68" s="1"/>
  <c r="S122" i="68"/>
  <c r="T122" i="68" s="1"/>
  <c r="U122" i="68" s="1"/>
  <c r="T16" i="68"/>
  <c r="U16" i="68" s="1"/>
  <c r="S134" i="68"/>
  <c r="T134" i="68" s="1"/>
  <c r="U134" i="68" s="1"/>
  <c r="T28" i="68"/>
  <c r="U28" i="68" s="1"/>
  <c r="S127" i="68"/>
  <c r="T127" i="68" s="1"/>
  <c r="U127" i="68" s="1"/>
  <c r="T21" i="68"/>
  <c r="U21" i="68" s="1"/>
  <c r="S124" i="68"/>
  <c r="T124" i="68" s="1"/>
  <c r="U124" i="68" s="1"/>
  <c r="T18" i="68"/>
  <c r="U18" i="68" s="1"/>
  <c r="S136" i="68"/>
  <c r="T30" i="68"/>
  <c r="U30" i="68" s="1"/>
  <c r="S128" i="68"/>
  <c r="T128" i="68" s="1"/>
  <c r="U128" i="68" s="1"/>
  <c r="T22" i="68"/>
  <c r="U22" i="68" s="1"/>
  <c r="S119" i="68"/>
  <c r="T119" i="68" s="1"/>
  <c r="U119" i="68" s="1"/>
  <c r="T13" i="68"/>
  <c r="U13" i="68" s="1"/>
  <c r="S123" i="68"/>
  <c r="T123" i="68" s="1"/>
  <c r="U123" i="68" s="1"/>
  <c r="T17" i="68"/>
  <c r="U17" i="68" s="1"/>
  <c r="S135" i="68"/>
  <c r="T135" i="68" s="1"/>
  <c r="U135" i="68" s="1"/>
  <c r="T29" i="68"/>
  <c r="U29" i="68" s="1"/>
  <c r="S116" i="68"/>
  <c r="T116" i="68" s="1"/>
  <c r="U116" i="68" s="1"/>
  <c r="T10" i="68"/>
  <c r="U10" i="68" s="1"/>
  <c r="S117" i="68"/>
  <c r="T117" i="68" s="1"/>
  <c r="U117" i="68" s="1"/>
  <c r="T11" i="68"/>
  <c r="U11" i="68" s="1"/>
  <c r="S121" i="68"/>
  <c r="T121" i="68" s="1"/>
  <c r="U121" i="68" s="1"/>
  <c r="T15" i="68"/>
  <c r="U15" i="68" s="1"/>
  <c r="S125" i="68"/>
  <c r="T125" i="68" s="1"/>
  <c r="U125" i="68" s="1"/>
  <c r="T19" i="68"/>
  <c r="U19" i="68" s="1"/>
  <c r="S129" i="68"/>
  <c r="T129" i="68" s="1"/>
  <c r="U129" i="68" s="1"/>
  <c r="T23" i="68"/>
  <c r="U23" i="68" s="1"/>
  <c r="S133" i="68"/>
  <c r="T133" i="68" s="1"/>
  <c r="U133" i="68" s="1"/>
  <c r="T27" i="68"/>
  <c r="U27" i="68" s="1"/>
  <c r="S137" i="68"/>
  <c r="T137" i="68" s="1"/>
  <c r="U137" i="68" s="1"/>
  <c r="T31" i="68"/>
  <c r="U31" i="68" s="1"/>
  <c r="S118" i="68"/>
  <c r="T118" i="68" s="1"/>
  <c r="U118" i="68" s="1"/>
  <c r="T12" i="68"/>
  <c r="U12" i="68" s="1"/>
  <c r="S130" i="68"/>
  <c r="T130" i="68" s="1"/>
  <c r="U130" i="68" s="1"/>
  <c r="T24" i="68"/>
  <c r="U24" i="68" s="1"/>
  <c r="S120" i="68"/>
  <c r="T120" i="68" s="1"/>
  <c r="U120" i="68" s="1"/>
  <c r="T14" i="68"/>
  <c r="U14" i="68" s="1"/>
  <c r="S132" i="68"/>
  <c r="T132" i="68" s="1"/>
  <c r="U132" i="68" s="1"/>
  <c r="T26" i="68"/>
  <c r="U26" i="68" s="1"/>
  <c r="AQ61" i="68"/>
  <c r="AO41" i="68"/>
  <c r="AM49" i="68"/>
  <c r="AM52" i="68"/>
  <c r="AN44" i="68"/>
  <c r="AM48" i="68"/>
  <c r="AO49" i="68"/>
  <c r="AQ41" i="68"/>
  <c r="Z32" i="68"/>
  <c r="AO50" i="68"/>
  <c r="AQ48" i="68"/>
  <c r="AQ52" i="68"/>
  <c r="AM55" i="68"/>
  <c r="AM56" i="68"/>
  <c r="AN60" i="68"/>
  <c r="AQ44" i="68"/>
  <c r="AM60" i="68"/>
  <c r="AQ59" i="68"/>
  <c r="AP59" i="68"/>
  <c r="AR159" i="68"/>
  <c r="AR53" i="68"/>
  <c r="AR152" i="68"/>
  <c r="AR46" i="68"/>
  <c r="AR166" i="68"/>
  <c r="AR60" i="68"/>
  <c r="AR167" i="68"/>
  <c r="AR61" i="68"/>
  <c r="AR65" i="68"/>
  <c r="AR32" i="68"/>
  <c r="AR147" i="68"/>
  <c r="AR41" i="68"/>
  <c r="AR155" i="68"/>
  <c r="AR49" i="68"/>
  <c r="AR156" i="68"/>
  <c r="AR50" i="68"/>
  <c r="AR160" i="68"/>
  <c r="AR54" i="68"/>
  <c r="AR161" i="68"/>
  <c r="AR55" i="68"/>
  <c r="AR162" i="68"/>
  <c r="AR56" i="68"/>
  <c r="AS32" i="68"/>
  <c r="AM32" i="68"/>
  <c r="AR148" i="68"/>
  <c r="AR42" i="68"/>
  <c r="AR150" i="68"/>
  <c r="AR44" i="68"/>
  <c r="AR153" i="68"/>
  <c r="AR47" i="68"/>
  <c r="AR157" i="68"/>
  <c r="AR51" i="68"/>
  <c r="AR165" i="68"/>
  <c r="AR59" i="68"/>
  <c r="AR154" i="68"/>
  <c r="AR48" i="68"/>
  <c r="AR158" i="68"/>
  <c r="AR52" i="68"/>
  <c r="AR163" i="68"/>
  <c r="AR57" i="68"/>
  <c r="AR149" i="68"/>
  <c r="AR43" i="68"/>
  <c r="AR151" i="68"/>
  <c r="AR45" i="68"/>
  <c r="AR164" i="68"/>
  <c r="AR58" i="68"/>
  <c r="AR168" i="68"/>
  <c r="AR62" i="68"/>
  <c r="Z49" i="76"/>
  <c r="P32" i="68"/>
  <c r="AU32" i="68"/>
  <c r="AH343" i="69"/>
  <c r="AE343" i="69"/>
  <c r="AI343" i="69"/>
  <c r="AG343" i="69"/>
  <c r="AF343" i="69"/>
  <c r="AG335" i="69"/>
  <c r="AH335" i="69"/>
  <c r="AE335" i="69"/>
  <c r="AI335" i="69"/>
  <c r="AF335" i="69"/>
  <c r="AH341" i="69"/>
  <c r="AI341" i="69"/>
  <c r="AF341" i="69"/>
  <c r="AG341" i="69"/>
  <c r="AE341" i="69"/>
  <c r="AI334" i="69"/>
  <c r="AH334" i="69"/>
  <c r="AG334" i="69"/>
  <c r="AE334" i="69"/>
  <c r="AF334" i="69"/>
  <c r="AG338" i="69"/>
  <c r="AF338" i="69"/>
  <c r="AH338" i="69"/>
  <c r="AE338" i="69"/>
  <c r="AI338" i="69"/>
  <c r="AI327" i="69"/>
  <c r="AH327" i="69"/>
  <c r="AG327" i="69"/>
  <c r="AE327" i="69"/>
  <c r="AF327" i="69"/>
  <c r="AH342" i="69"/>
  <c r="AE342" i="69"/>
  <c r="AI342" i="69"/>
  <c r="AF342" i="69"/>
  <c r="AG342" i="69"/>
  <c r="AG330" i="69"/>
  <c r="AH330" i="69"/>
  <c r="AI330" i="69"/>
  <c r="AE330" i="69"/>
  <c r="AF330" i="69"/>
  <c r="AF344" i="69"/>
  <c r="AI344" i="69"/>
  <c r="AH344" i="69"/>
  <c r="AE344" i="69"/>
  <c r="AG344" i="69"/>
  <c r="AG347" i="69"/>
  <c r="AE347" i="69"/>
  <c r="AF347" i="69"/>
  <c r="AH347" i="69"/>
  <c r="AI347" i="69"/>
  <c r="AG333" i="69"/>
  <c r="AI333" i="69"/>
  <c r="AE333" i="69"/>
  <c r="AF333" i="69"/>
  <c r="AH333" i="69"/>
  <c r="AI329" i="69"/>
  <c r="AF329" i="69"/>
  <c r="AH329" i="69"/>
  <c r="AG329" i="69"/>
  <c r="AE329" i="69"/>
  <c r="AH332" i="69"/>
  <c r="AF332" i="69"/>
  <c r="AE332" i="69"/>
  <c r="AI332" i="69"/>
  <c r="AG332" i="69"/>
  <c r="AI339" i="69"/>
  <c r="AE339" i="69"/>
  <c r="AH339" i="69"/>
  <c r="AF339" i="69"/>
  <c r="AG339" i="69"/>
  <c r="AH346" i="69"/>
  <c r="AF346" i="69"/>
  <c r="AE346" i="69"/>
  <c r="AI346" i="69"/>
  <c r="AG346" i="69"/>
  <c r="AE340" i="69"/>
  <c r="AF340" i="69"/>
  <c r="AG340" i="69"/>
  <c r="AI340" i="69"/>
  <c r="AH340" i="69"/>
  <c r="AF336" i="69"/>
  <c r="AE336" i="69"/>
  <c r="AG336" i="69"/>
  <c r="AH336" i="69"/>
  <c r="AI336" i="69"/>
  <c r="AG345" i="69"/>
  <c r="AF345" i="69"/>
  <c r="AH345" i="69"/>
  <c r="AE345" i="69"/>
  <c r="AI345" i="69"/>
  <c r="AF328" i="69"/>
  <c r="AH328" i="69"/>
  <c r="AE328" i="69"/>
  <c r="AI328" i="69"/>
  <c r="AG328" i="69"/>
  <c r="AE331" i="69"/>
  <c r="AG331" i="69"/>
  <c r="AI331" i="69"/>
  <c r="AH331" i="69"/>
  <c r="AF331" i="69"/>
  <c r="AF337" i="69"/>
  <c r="AI337" i="69"/>
  <c r="AE337" i="69"/>
  <c r="AG337" i="69"/>
  <c r="AH337" i="69"/>
  <c r="AO61" i="68"/>
  <c r="AN41" i="68"/>
  <c r="AM45" i="68"/>
  <c r="AQ45" i="68"/>
  <c r="AM53" i="68"/>
  <c r="AQ53" i="68"/>
  <c r="AM57" i="68"/>
  <c r="AQ57" i="68"/>
  <c r="AM64" i="68"/>
  <c r="AQ64" i="68"/>
  <c r="AP43" i="68"/>
  <c r="AO45" i="68"/>
  <c r="AN49" i="68"/>
  <c r="AO53" i="68"/>
  <c r="AO57" i="68"/>
  <c r="AN61" i="68"/>
  <c r="AP54" i="68"/>
  <c r="AO54" i="68"/>
  <c r="AA79" i="68"/>
  <c r="Z81" i="68"/>
  <c r="Z85" i="68"/>
  <c r="Z89" i="68"/>
  <c r="Z93" i="68"/>
  <c r="Z97" i="68"/>
  <c r="AA78" i="68"/>
  <c r="AA82" i="68"/>
  <c r="AA86" i="68"/>
  <c r="AA90" i="68"/>
  <c r="AA94" i="68"/>
  <c r="AA98" i="68"/>
  <c r="Z77" i="68"/>
  <c r="Z82" i="68"/>
  <c r="Z90" i="68"/>
  <c r="Z98" i="68"/>
  <c r="AA91" i="68"/>
  <c r="Z79" i="68"/>
  <c r="Z83" i="68"/>
  <c r="Z87" i="68"/>
  <c r="Z91" i="68"/>
  <c r="Z95" i="68"/>
  <c r="Z99" i="68"/>
  <c r="AA80" i="68"/>
  <c r="AA88" i="68"/>
  <c r="AA92" i="68"/>
  <c r="AA96" i="68"/>
  <c r="AA100" i="68"/>
  <c r="Z80" i="68"/>
  <c r="Z84" i="68"/>
  <c r="Z88" i="68"/>
  <c r="Z92" i="68"/>
  <c r="Z96" i="68"/>
  <c r="Z100" i="68"/>
  <c r="AA81" i="68"/>
  <c r="AA85" i="68"/>
  <c r="AA89" i="68"/>
  <c r="AA93" i="68"/>
  <c r="AA77" i="68"/>
  <c r="Z78" i="68"/>
  <c r="Z86" i="68"/>
  <c r="Z94" i="68"/>
  <c r="AA87" i="68"/>
  <c r="AA99" i="68"/>
  <c r="AA4" i="68"/>
  <c r="AN65" i="68"/>
  <c r="AQ55" i="68"/>
  <c r="AN63" i="68"/>
  <c r="AO63" i="68"/>
  <c r="AQ56" i="68"/>
  <c r="AA83" i="68"/>
  <c r="AA95" i="68"/>
  <c r="AN46" i="68"/>
  <c r="AQ46" i="68"/>
  <c r="AM46" i="68"/>
  <c r="AO51" i="68"/>
  <c r="AN51" i="68"/>
  <c r="AN62" i="68"/>
  <c r="AQ62" i="68"/>
  <c r="AM62" i="68"/>
  <c r="AN42" i="68"/>
  <c r="AQ42" i="68"/>
  <c r="AM42" i="68"/>
  <c r="AQ43" i="68"/>
  <c r="AO46" i="68"/>
  <c r="AO47" i="68"/>
  <c r="AN47" i="68"/>
  <c r="AM51" i="68"/>
  <c r="AN58" i="68"/>
  <c r="AQ58" i="68"/>
  <c r="AM58" i="68"/>
  <c r="AO62" i="68"/>
  <c r="AQ65" i="68"/>
  <c r="AO42" i="68"/>
  <c r="AO43" i="68"/>
  <c r="AN43" i="68"/>
  <c r="AP46" i="68"/>
  <c r="AM47" i="68"/>
  <c r="AP51" i="68"/>
  <c r="AN54" i="68"/>
  <c r="AQ54" i="68"/>
  <c r="AM54" i="68"/>
  <c r="AO58" i="68"/>
  <c r="AO59" i="68"/>
  <c r="AN59" i="68"/>
  <c r="AP62" i="68"/>
  <c r="N32" i="68"/>
  <c r="AO32" i="68" s="1"/>
  <c r="AP65" i="68"/>
  <c r="AO65" i="68"/>
  <c r="K32" i="68"/>
  <c r="AL32" i="68" s="1"/>
  <c r="AP42" i="68"/>
  <c r="AP47" i="68"/>
  <c r="AN50" i="68"/>
  <c r="AQ50" i="68"/>
  <c r="AM50" i="68"/>
  <c r="AQ51" i="68"/>
  <c r="AO55" i="68"/>
  <c r="AN55" i="68"/>
  <c r="AP58" i="68"/>
  <c r="AM65" i="68"/>
  <c r="AP41" i="68"/>
  <c r="AO44" i="68"/>
  <c r="AP45" i="68"/>
  <c r="AO48" i="68"/>
  <c r="AP49" i="68"/>
  <c r="AO52" i="68"/>
  <c r="AP53" i="68"/>
  <c r="AO56" i="68"/>
  <c r="AP57" i="68"/>
  <c r="AO60" i="68"/>
  <c r="AP61" i="68"/>
  <c r="AO64" i="68"/>
  <c r="AP44" i="68"/>
  <c r="AP48" i="68"/>
  <c r="AP52" i="68"/>
  <c r="AP56" i="68"/>
  <c r="AP60" i="68"/>
  <c r="AP64" i="68"/>
  <c r="AA203" i="68" l="1"/>
  <c r="T136" i="68"/>
  <c r="U136" i="68" s="1"/>
  <c r="M171" i="68"/>
  <c r="AL171" i="68"/>
  <c r="AA84" i="68"/>
  <c r="AM63" i="68"/>
  <c r="AN32" i="68"/>
  <c r="AP32" i="68" s="1"/>
  <c r="I32" i="68" s="1"/>
  <c r="AL65" i="68"/>
  <c r="M65" i="68"/>
  <c r="AA97" i="68"/>
  <c r="AP63" i="68"/>
  <c r="AT32" i="68"/>
  <c r="AQ63" i="68"/>
  <c r="AA219" i="67"/>
  <c r="AG219" i="67" s="1"/>
  <c r="AB219" i="67"/>
  <c r="AH219" i="67" s="1"/>
  <c r="AC219" i="67"/>
  <c r="AI219" i="67" s="1"/>
  <c r="AD219" i="67"/>
  <c r="AJ219" i="67" s="1"/>
  <c r="Z219" i="67"/>
  <c r="AF219" i="67" s="1"/>
  <c r="AA255" i="67"/>
  <c r="AG255" i="67" s="1"/>
  <c r="AB255" i="67"/>
  <c r="AH255" i="67" s="1"/>
  <c r="AC255" i="67"/>
  <c r="AI255" i="67" s="1"/>
  <c r="AD255" i="67"/>
  <c r="AJ255" i="67" s="1"/>
  <c r="AA183" i="67"/>
  <c r="AG183" i="67" s="1"/>
  <c r="AB183" i="67"/>
  <c r="AH183" i="67" s="1"/>
  <c r="AC183" i="67"/>
  <c r="AI183" i="67" s="1"/>
  <c r="AD183" i="67"/>
  <c r="AJ183" i="67" s="1"/>
  <c r="AV32" i="68" l="1"/>
  <c r="AW32" i="68"/>
  <c r="B279" i="67"/>
  <c r="B278" i="67"/>
  <c r="B277" i="67"/>
  <c r="A277" i="67" s="1"/>
  <c r="B276" i="67"/>
  <c r="A276" i="67" s="1"/>
  <c r="B275" i="67"/>
  <c r="A275" i="67" s="1"/>
  <c r="B274" i="67"/>
  <c r="A274" i="67" s="1"/>
  <c r="B273" i="67"/>
  <c r="A273" i="67" s="1"/>
  <c r="B272" i="67"/>
  <c r="A272" i="67" s="1"/>
  <c r="B271" i="67"/>
  <c r="A271" i="67" s="1"/>
  <c r="B270" i="67"/>
  <c r="A270" i="67" s="1"/>
  <c r="B269" i="67"/>
  <c r="A269" i="67" s="1"/>
  <c r="B268" i="67"/>
  <c r="A268" i="67" s="1"/>
  <c r="B267" i="67"/>
  <c r="A267" i="67" s="1"/>
  <c r="B266" i="67"/>
  <c r="A266" i="67" s="1"/>
  <c r="B265" i="67"/>
  <c r="A265" i="67" s="1"/>
  <c r="B264" i="67"/>
  <c r="A264" i="67" s="1"/>
  <c r="B263" i="67"/>
  <c r="A263" i="67" s="1"/>
  <c r="B262" i="67"/>
  <c r="A262" i="67" s="1"/>
  <c r="B261" i="67"/>
  <c r="A261" i="67" s="1"/>
  <c r="B260" i="67"/>
  <c r="A260" i="67" s="1"/>
  <c r="B259" i="67"/>
  <c r="A259" i="67" s="1"/>
  <c r="B258" i="67"/>
  <c r="A258" i="67" s="1"/>
  <c r="B257" i="67"/>
  <c r="A257" i="67" s="1"/>
  <c r="B256" i="67"/>
  <c r="B184" i="67" s="1"/>
  <c r="B243" i="67"/>
  <c r="B242" i="67"/>
  <c r="B241" i="67"/>
  <c r="B169" i="67" s="1"/>
  <c r="B240" i="67"/>
  <c r="B168" i="67" s="1"/>
  <c r="B239" i="67"/>
  <c r="B167" i="67" s="1"/>
  <c r="B238" i="67"/>
  <c r="B166" i="67" s="1"/>
  <c r="B237" i="67"/>
  <c r="B165" i="67" s="1"/>
  <c r="B236" i="67"/>
  <c r="B164" i="67" s="1"/>
  <c r="B235" i="67"/>
  <c r="B163" i="67" s="1"/>
  <c r="B234" i="67"/>
  <c r="B162" i="67" s="1"/>
  <c r="B233" i="67"/>
  <c r="B161" i="67" s="1"/>
  <c r="B232" i="67"/>
  <c r="B160" i="67" s="1"/>
  <c r="B231" i="67"/>
  <c r="B159" i="67" s="1"/>
  <c r="B230" i="67"/>
  <c r="B158" i="67" s="1"/>
  <c r="B229" i="67"/>
  <c r="B157" i="67" s="1"/>
  <c r="B228" i="67"/>
  <c r="B156" i="67" s="1"/>
  <c r="B227" i="67"/>
  <c r="B155" i="67" s="1"/>
  <c r="B226" i="67"/>
  <c r="B154" i="67" s="1"/>
  <c r="B225" i="67"/>
  <c r="B153" i="67" s="1"/>
  <c r="B224" i="67"/>
  <c r="B152" i="67" s="1"/>
  <c r="B223" i="67"/>
  <c r="B151" i="67" s="1"/>
  <c r="B222" i="67"/>
  <c r="B150" i="67" s="1"/>
  <c r="B221" i="67"/>
  <c r="B149" i="67" s="1"/>
  <c r="B220" i="67"/>
  <c r="Y100" i="67"/>
  <c r="Y99" i="67"/>
  <c r="Y98" i="67"/>
  <c r="Y97" i="67"/>
  <c r="Y96" i="67"/>
  <c r="Y95" i="67"/>
  <c r="Y94" i="67"/>
  <c r="Y93" i="67"/>
  <c r="Y92" i="67"/>
  <c r="Y91" i="67"/>
  <c r="Y90" i="67"/>
  <c r="Y89" i="67"/>
  <c r="Y88" i="67"/>
  <c r="Y87" i="67"/>
  <c r="Y86" i="67"/>
  <c r="Y85" i="67"/>
  <c r="Y84" i="67"/>
  <c r="Y83" i="67"/>
  <c r="Y82" i="67"/>
  <c r="Y81" i="67"/>
  <c r="Y80" i="67"/>
  <c r="Y79" i="67"/>
  <c r="Y78" i="67"/>
  <c r="Y77" i="67"/>
  <c r="Y44" i="67"/>
  <c r="AA33" i="67"/>
  <c r="Z33" i="67"/>
  <c r="AL64" i="67"/>
  <c r="AL63" i="67"/>
  <c r="AL62" i="67"/>
  <c r="AL61" i="67"/>
  <c r="AL60" i="67"/>
  <c r="AL59" i="67"/>
  <c r="AL58" i="67"/>
  <c r="AP58" i="67" s="1"/>
  <c r="AL57" i="67"/>
  <c r="AP57" i="67" s="1"/>
  <c r="AL56" i="67"/>
  <c r="AL55" i="67"/>
  <c r="AL54" i="67"/>
  <c r="AL53" i="67"/>
  <c r="AN53" i="67" s="1"/>
  <c r="AL52" i="67"/>
  <c r="AL51" i="67"/>
  <c r="AL50" i="67"/>
  <c r="AL49" i="67"/>
  <c r="AL48" i="67"/>
  <c r="AL47" i="67"/>
  <c r="AL46" i="67"/>
  <c r="AL45" i="67"/>
  <c r="AL44" i="67"/>
  <c r="AL43" i="67"/>
  <c r="AL42" i="67"/>
  <c r="AL41" i="67"/>
  <c r="BR41" i="67" s="1"/>
  <c r="Y33" i="67"/>
  <c r="L32" i="67"/>
  <c r="Y32" i="67"/>
  <c r="N32" i="67"/>
  <c r="Y31" i="67"/>
  <c r="S31" i="67"/>
  <c r="T31" i="67" s="1"/>
  <c r="U31" i="67" s="1"/>
  <c r="Y30" i="67"/>
  <c r="S30" i="67"/>
  <c r="AR65" i="67" s="1"/>
  <c r="Y29" i="67"/>
  <c r="S29" i="67"/>
  <c r="T29" i="67" s="1"/>
  <c r="U29" i="67" s="1"/>
  <c r="Y28" i="67"/>
  <c r="S28" i="67"/>
  <c r="Y27" i="67"/>
  <c r="S27" i="67"/>
  <c r="Y26" i="67"/>
  <c r="S26" i="67"/>
  <c r="Y25" i="67"/>
  <c r="S25" i="67"/>
  <c r="Y24" i="67"/>
  <c r="S24" i="67"/>
  <c r="Y23" i="67"/>
  <c r="S23" i="67"/>
  <c r="Y22" i="67"/>
  <c r="S22" i="67"/>
  <c r="Y21" i="67"/>
  <c r="S21" i="67"/>
  <c r="Y20" i="67"/>
  <c r="S20" i="67"/>
  <c r="T20" i="67" s="1"/>
  <c r="U20" i="67" s="1"/>
  <c r="Y19" i="67"/>
  <c r="S19" i="67"/>
  <c r="T19" i="67" s="1"/>
  <c r="U19" i="67" s="1"/>
  <c r="Y18" i="67"/>
  <c r="S18" i="67"/>
  <c r="T18" i="67" s="1"/>
  <c r="U18" i="67" s="1"/>
  <c r="Y17" i="67"/>
  <c r="S17" i="67"/>
  <c r="T17" i="67" s="1"/>
  <c r="U17" i="67" s="1"/>
  <c r="Y16" i="67"/>
  <c r="S16" i="67"/>
  <c r="T16" i="67" s="1"/>
  <c r="U16" i="67" s="1"/>
  <c r="Y15" i="67"/>
  <c r="S15" i="67"/>
  <c r="T15" i="67" s="1"/>
  <c r="U15" i="67" s="1"/>
  <c r="Y14" i="67"/>
  <c r="S14" i="67"/>
  <c r="T14" i="67" s="1"/>
  <c r="U14" i="67" s="1"/>
  <c r="Y13" i="67"/>
  <c r="S13" i="67"/>
  <c r="T13" i="67" s="1"/>
  <c r="U13" i="67" s="1"/>
  <c r="Y12" i="67"/>
  <c r="S12" i="67"/>
  <c r="T12" i="67" s="1"/>
  <c r="U12" i="67" s="1"/>
  <c r="Y11" i="67"/>
  <c r="S11" i="67"/>
  <c r="T11" i="67" s="1"/>
  <c r="U11" i="67" s="1"/>
  <c r="Y10" i="67"/>
  <c r="S10" i="67"/>
  <c r="B113" i="66"/>
  <c r="A113" i="66" s="1"/>
  <c r="B114" i="66"/>
  <c r="A114" i="66" s="1"/>
  <c r="B115" i="66"/>
  <c r="A115" i="66" s="1"/>
  <c r="B116" i="66"/>
  <c r="A116" i="66" s="1"/>
  <c r="B117" i="66"/>
  <c r="A117" i="66" s="1"/>
  <c r="B118" i="66"/>
  <c r="A118" i="66" s="1"/>
  <c r="B119" i="66"/>
  <c r="A119" i="66" s="1"/>
  <c r="B120" i="66"/>
  <c r="A120" i="66" s="1"/>
  <c r="B121" i="66"/>
  <c r="A121" i="66" s="1"/>
  <c r="B122" i="66"/>
  <c r="A122" i="66" s="1"/>
  <c r="B123" i="66"/>
  <c r="A123" i="66" s="1"/>
  <c r="B124" i="66"/>
  <c r="A124" i="66" s="1"/>
  <c r="B125" i="66"/>
  <c r="A125" i="66" s="1"/>
  <c r="B126" i="66"/>
  <c r="A126" i="66" s="1"/>
  <c r="B127" i="66"/>
  <c r="A127" i="66" s="1"/>
  <c r="B128" i="66"/>
  <c r="A128" i="66" s="1"/>
  <c r="B129" i="66"/>
  <c r="A129" i="66" s="1"/>
  <c r="B130" i="66"/>
  <c r="A130" i="66" s="1"/>
  <c r="B131" i="66"/>
  <c r="A131" i="66" s="1"/>
  <c r="B132" i="66"/>
  <c r="A132" i="66" s="1"/>
  <c r="B133" i="66"/>
  <c r="A133" i="66" s="1"/>
  <c r="B134" i="66"/>
  <c r="B135" i="66"/>
  <c r="B112" i="66"/>
  <c r="D38" i="76" s="1"/>
  <c r="B171" i="66"/>
  <c r="B170" i="66"/>
  <c r="Y169" i="66"/>
  <c r="B169" i="66"/>
  <c r="A169" i="66" s="1"/>
  <c r="Y168" i="66"/>
  <c r="B168" i="66"/>
  <c r="A168" i="66" s="1"/>
  <c r="Y167" i="66"/>
  <c r="B167" i="66"/>
  <c r="A167" i="66" s="1"/>
  <c r="Y166" i="66"/>
  <c r="B166" i="66"/>
  <c r="A166" i="66" s="1"/>
  <c r="Y165" i="66"/>
  <c r="B165" i="66"/>
  <c r="A165" i="66" s="1"/>
  <c r="Y164" i="66"/>
  <c r="B164" i="66"/>
  <c r="A164" i="66" s="1"/>
  <c r="Y163" i="66"/>
  <c r="B163" i="66"/>
  <c r="A163" i="66" s="1"/>
  <c r="Y162" i="66"/>
  <c r="B162" i="66"/>
  <c r="A162" i="66" s="1"/>
  <c r="Y161" i="66"/>
  <c r="B161" i="66"/>
  <c r="A161" i="66" s="1"/>
  <c r="Y160" i="66"/>
  <c r="B160" i="66"/>
  <c r="A160" i="66" s="1"/>
  <c r="Y159" i="66"/>
  <c r="B159" i="66"/>
  <c r="A159" i="66" s="1"/>
  <c r="Y158" i="66"/>
  <c r="B158" i="66"/>
  <c r="A158" i="66" s="1"/>
  <c r="Y157" i="66"/>
  <c r="B157" i="66"/>
  <c r="A157" i="66" s="1"/>
  <c r="Y156" i="66"/>
  <c r="B156" i="66"/>
  <c r="A156" i="66" s="1"/>
  <c r="Y155" i="66"/>
  <c r="B155" i="66"/>
  <c r="A155" i="66" s="1"/>
  <c r="Y154" i="66"/>
  <c r="B154" i="66"/>
  <c r="A154" i="66" s="1"/>
  <c r="Y153" i="66"/>
  <c r="B153" i="66"/>
  <c r="A153" i="66" s="1"/>
  <c r="Y152" i="66"/>
  <c r="B152" i="66"/>
  <c r="A152" i="66" s="1"/>
  <c r="Y151" i="66"/>
  <c r="B151" i="66"/>
  <c r="A151" i="66" s="1"/>
  <c r="Y150" i="66"/>
  <c r="B150" i="66"/>
  <c r="A150" i="66" s="1"/>
  <c r="Y149" i="66"/>
  <c r="B149" i="66"/>
  <c r="A149" i="66" s="1"/>
  <c r="Y148" i="66"/>
  <c r="B148" i="66"/>
  <c r="Y147" i="66"/>
  <c r="Y146" i="66"/>
  <c r="AD145" i="66"/>
  <c r="AC145" i="66"/>
  <c r="AB145" i="66"/>
  <c r="AA145" i="66"/>
  <c r="Z145" i="66"/>
  <c r="Y100" i="66"/>
  <c r="Y99" i="66"/>
  <c r="Y98" i="66"/>
  <c r="Y97" i="66"/>
  <c r="Y96" i="66"/>
  <c r="Y95" i="66"/>
  <c r="Y94" i="66"/>
  <c r="Y93" i="66"/>
  <c r="Y92" i="66"/>
  <c r="Y91" i="66"/>
  <c r="Y90" i="66"/>
  <c r="Y89" i="66"/>
  <c r="Y88" i="66"/>
  <c r="Y87" i="66"/>
  <c r="Y86" i="66"/>
  <c r="Y85" i="66"/>
  <c r="Y84" i="66"/>
  <c r="Y83" i="66"/>
  <c r="Y82" i="66"/>
  <c r="Y81" i="66"/>
  <c r="Y80" i="66"/>
  <c r="Y79" i="66"/>
  <c r="Y78" i="66"/>
  <c r="Y77" i="66"/>
  <c r="Y44" i="66"/>
  <c r="AA33" i="66"/>
  <c r="Z33" i="66"/>
  <c r="AL64" i="66"/>
  <c r="AL63" i="66"/>
  <c r="AL62" i="66"/>
  <c r="AL61" i="66"/>
  <c r="AL60" i="66"/>
  <c r="AN60" i="66" s="1"/>
  <c r="AL59" i="66"/>
  <c r="AL58" i="66"/>
  <c r="AP58" i="66" s="1"/>
  <c r="AL57" i="66"/>
  <c r="AL56" i="66"/>
  <c r="AL55" i="66"/>
  <c r="AL54" i="66"/>
  <c r="AL53" i="66"/>
  <c r="AM53" i="66" s="1"/>
  <c r="AL52" i="66"/>
  <c r="AQ52" i="66" s="1"/>
  <c r="AL51" i="66"/>
  <c r="AM51" i="66" s="1"/>
  <c r="AL50" i="66"/>
  <c r="AN50" i="66" s="1"/>
  <c r="AL49" i="66"/>
  <c r="AL48" i="66"/>
  <c r="AL47" i="66"/>
  <c r="AO47" i="66" s="1"/>
  <c r="AL46" i="66"/>
  <c r="AO46" i="66" s="1"/>
  <c r="AL45" i="66"/>
  <c r="AL44" i="66"/>
  <c r="AN44" i="66" s="1"/>
  <c r="AL43" i="66"/>
  <c r="AO43" i="66" s="1"/>
  <c r="AL42" i="66"/>
  <c r="AN42" i="66" s="1"/>
  <c r="AL41" i="66"/>
  <c r="AW40" i="66"/>
  <c r="BB40" i="66" s="1"/>
  <c r="AV40" i="66"/>
  <c r="BA40" i="66" s="1"/>
  <c r="AU40" i="66"/>
  <c r="AZ40" i="66" s="1"/>
  <c r="AT40" i="66"/>
  <c r="AY40" i="66" s="1"/>
  <c r="AS40" i="66"/>
  <c r="AX40" i="66" s="1"/>
  <c r="AQ40" i="66"/>
  <c r="AP40" i="66"/>
  <c r="AO40" i="66"/>
  <c r="AN40" i="66"/>
  <c r="AM40" i="66"/>
  <c r="Y33" i="66"/>
  <c r="Y32" i="66"/>
  <c r="Y31" i="66"/>
  <c r="S31" i="66"/>
  <c r="T31" i="66" s="1"/>
  <c r="U31" i="66" s="1"/>
  <c r="Y30" i="66"/>
  <c r="S30" i="66"/>
  <c r="T30" i="66" s="1"/>
  <c r="U30" i="66" s="1"/>
  <c r="Y29" i="66"/>
  <c r="S29" i="66"/>
  <c r="T29" i="66" s="1"/>
  <c r="U29" i="66" s="1"/>
  <c r="Y28" i="66"/>
  <c r="S28" i="66"/>
  <c r="T28" i="66" s="1"/>
  <c r="U28" i="66" s="1"/>
  <c r="Y27" i="66"/>
  <c r="S27" i="66"/>
  <c r="T27" i="66" s="1"/>
  <c r="U27" i="66" s="1"/>
  <c r="Y26" i="66"/>
  <c r="S26" i="66"/>
  <c r="T26" i="66" s="1"/>
  <c r="U26" i="66" s="1"/>
  <c r="Y25" i="66"/>
  <c r="S25" i="66"/>
  <c r="T25" i="66" s="1"/>
  <c r="U25" i="66" s="1"/>
  <c r="Y24" i="66"/>
  <c r="S24" i="66"/>
  <c r="T24" i="66" s="1"/>
  <c r="U24" i="66" s="1"/>
  <c r="Y23" i="66"/>
  <c r="S23" i="66"/>
  <c r="T23" i="66" s="1"/>
  <c r="U23" i="66" s="1"/>
  <c r="Y22" i="66"/>
  <c r="S22" i="66"/>
  <c r="T22" i="66" s="1"/>
  <c r="U22" i="66" s="1"/>
  <c r="Y21" i="66"/>
  <c r="S21" i="66"/>
  <c r="T21" i="66" s="1"/>
  <c r="U21" i="66" s="1"/>
  <c r="Y20" i="66"/>
  <c r="S20" i="66"/>
  <c r="T20" i="66" s="1"/>
  <c r="U20" i="66" s="1"/>
  <c r="Y19" i="66"/>
  <c r="S19" i="66"/>
  <c r="T19" i="66" s="1"/>
  <c r="U19" i="66" s="1"/>
  <c r="Y18" i="66"/>
  <c r="S18" i="66"/>
  <c r="T18" i="66" s="1"/>
  <c r="U18" i="66" s="1"/>
  <c r="Y17" i="66"/>
  <c r="S17" i="66"/>
  <c r="T17" i="66" s="1"/>
  <c r="U17" i="66" s="1"/>
  <c r="Y16" i="66"/>
  <c r="S16" i="66"/>
  <c r="T16" i="66" s="1"/>
  <c r="U16" i="66" s="1"/>
  <c r="Y15" i="66"/>
  <c r="S15" i="66"/>
  <c r="T15" i="66" s="1"/>
  <c r="U15" i="66" s="1"/>
  <c r="Y14" i="66"/>
  <c r="S14" i="66"/>
  <c r="T14" i="66" s="1"/>
  <c r="U14" i="66" s="1"/>
  <c r="Y13" i="66"/>
  <c r="S13" i="66"/>
  <c r="T13" i="66" s="1"/>
  <c r="U13" i="66" s="1"/>
  <c r="Y12" i="66"/>
  <c r="S12" i="66"/>
  <c r="T12" i="66" s="1"/>
  <c r="U12" i="66" s="1"/>
  <c r="Y11" i="66"/>
  <c r="S11" i="66"/>
  <c r="T11" i="66" s="1"/>
  <c r="U11" i="66" s="1"/>
  <c r="Y10" i="66"/>
  <c r="S10" i="66"/>
  <c r="T10" i="66" s="1"/>
  <c r="U10" i="66" s="1"/>
  <c r="AM43" i="66" l="1"/>
  <c r="AO42" i="66"/>
  <c r="AN57" i="67"/>
  <c r="AX32" i="68"/>
  <c r="AP54" i="67"/>
  <c r="AR44" i="67"/>
  <c r="AR48" i="67"/>
  <c r="AR52" i="67"/>
  <c r="AN60" i="67"/>
  <c r="AR60" i="67"/>
  <c r="Y150" i="67"/>
  <c r="AE150" i="67" s="1"/>
  <c r="A150" i="67"/>
  <c r="Y158" i="67"/>
  <c r="AE158" i="67" s="1"/>
  <c r="A158" i="67"/>
  <c r="Y166" i="67"/>
  <c r="AE166" i="67" s="1"/>
  <c r="A166" i="67"/>
  <c r="Y242" i="67"/>
  <c r="AE242" i="67" s="1"/>
  <c r="B170" i="67"/>
  <c r="Y170" i="67" s="1"/>
  <c r="AE170" i="67" s="1"/>
  <c r="AR55" i="67"/>
  <c r="Y151" i="67"/>
  <c r="AE151" i="67" s="1"/>
  <c r="A151" i="67"/>
  <c r="Y159" i="67"/>
  <c r="AE159" i="67" s="1"/>
  <c r="A159" i="67"/>
  <c r="Y167" i="67"/>
  <c r="AE167" i="67" s="1"/>
  <c r="A167" i="67"/>
  <c r="Y243" i="67"/>
  <c r="AE243" i="67" s="1"/>
  <c r="B171" i="67"/>
  <c r="Y171" i="67" s="1"/>
  <c r="AE171" i="67" s="1"/>
  <c r="AR42" i="67"/>
  <c r="AO46" i="67"/>
  <c r="AR46" i="67"/>
  <c r="AR50" i="67"/>
  <c r="AN54" i="67"/>
  <c r="AR54" i="67"/>
  <c r="AN58" i="67"/>
  <c r="AR58" i="67"/>
  <c r="AN62" i="67"/>
  <c r="AR62" i="67"/>
  <c r="D47" i="76"/>
  <c r="B148" i="67"/>
  <c r="Y152" i="67"/>
  <c r="AE152" i="67" s="1"/>
  <c r="A152" i="67"/>
  <c r="Y156" i="67"/>
  <c r="AE156" i="67" s="1"/>
  <c r="A156" i="67"/>
  <c r="Y160" i="67"/>
  <c r="AE160" i="67" s="1"/>
  <c r="A160" i="67"/>
  <c r="Y164" i="67"/>
  <c r="AE164" i="67" s="1"/>
  <c r="A164" i="67"/>
  <c r="Y168" i="67"/>
  <c r="AE168" i="67" s="1"/>
  <c r="A168" i="67"/>
  <c r="AR56" i="67"/>
  <c r="Y154" i="67"/>
  <c r="AE154" i="67" s="1"/>
  <c r="A154" i="67"/>
  <c r="Y162" i="67"/>
  <c r="AE162" i="67" s="1"/>
  <c r="A162" i="67"/>
  <c r="AO43" i="67"/>
  <c r="AR43" i="67"/>
  <c r="AO47" i="67"/>
  <c r="AR47" i="67"/>
  <c r="AR51" i="67"/>
  <c r="AN59" i="67"/>
  <c r="AR59" i="67"/>
  <c r="Y155" i="67"/>
  <c r="AE155" i="67" s="1"/>
  <c r="A155" i="67"/>
  <c r="Y163" i="67"/>
  <c r="AE163" i="67" s="1"/>
  <c r="A163" i="67"/>
  <c r="BC41" i="67"/>
  <c r="AR41" i="67"/>
  <c r="AR45" i="67"/>
  <c r="AR49" i="67"/>
  <c r="AR53" i="67"/>
  <c r="AR57" i="67"/>
  <c r="AR61" i="67"/>
  <c r="Y149" i="67"/>
  <c r="AE149" i="67" s="1"/>
  <c r="A149" i="67"/>
  <c r="Y153" i="67"/>
  <c r="AE153" i="67" s="1"/>
  <c r="A153" i="67"/>
  <c r="Y157" i="67"/>
  <c r="AE157" i="67" s="1"/>
  <c r="A157" i="67"/>
  <c r="Y161" i="67"/>
  <c r="AE161" i="67" s="1"/>
  <c r="A161" i="67"/>
  <c r="Y165" i="67"/>
  <c r="AE165" i="67" s="1"/>
  <c r="A165" i="67"/>
  <c r="Y169" i="67"/>
  <c r="AE169" i="67" s="1"/>
  <c r="A169" i="67"/>
  <c r="AR49" i="66"/>
  <c r="AR53" i="66"/>
  <c r="AR57" i="66"/>
  <c r="AR61" i="66"/>
  <c r="AR48" i="66"/>
  <c r="AR56" i="66"/>
  <c r="AR60" i="66"/>
  <c r="AQ41" i="66"/>
  <c r="AP41" i="66"/>
  <c r="AM41" i="66"/>
  <c r="AR41" i="66"/>
  <c r="AR45" i="66"/>
  <c r="W39" i="76"/>
  <c r="AR52" i="66"/>
  <c r="R39" i="76"/>
  <c r="W38" i="76"/>
  <c r="AO45" i="66"/>
  <c r="AN52" i="66"/>
  <c r="AR42" i="66"/>
  <c r="AR46" i="66"/>
  <c r="AR50" i="66"/>
  <c r="AR54" i="66"/>
  <c r="AR58" i="66"/>
  <c r="AR62" i="66"/>
  <c r="D39" i="76"/>
  <c r="H39" i="76"/>
  <c r="L39" i="76"/>
  <c r="P39" i="76"/>
  <c r="T39" i="76"/>
  <c r="X39" i="76"/>
  <c r="Y38" i="76"/>
  <c r="U38" i="76"/>
  <c r="Q38" i="76"/>
  <c r="M38" i="76"/>
  <c r="I38" i="76"/>
  <c r="E38" i="76"/>
  <c r="G39" i="76"/>
  <c r="K39" i="76"/>
  <c r="O39" i="76"/>
  <c r="S39" i="76"/>
  <c r="X38" i="76"/>
  <c r="T38" i="76"/>
  <c r="P38" i="76"/>
  <c r="L38" i="76"/>
  <c r="H38" i="76"/>
  <c r="AN41" i="66"/>
  <c r="AO53" i="66"/>
  <c r="AR44" i="66"/>
  <c r="F39" i="76"/>
  <c r="J39" i="76"/>
  <c r="N39" i="76"/>
  <c r="V39" i="76"/>
  <c r="S38" i="76"/>
  <c r="O38" i="76"/>
  <c r="K38" i="76"/>
  <c r="G38" i="76"/>
  <c r="AO49" i="66"/>
  <c r="AM52" i="66"/>
  <c r="AN57" i="66"/>
  <c r="AQ60" i="66"/>
  <c r="AA97" i="66"/>
  <c r="AR65" i="66"/>
  <c r="AR43" i="66"/>
  <c r="AR47" i="66"/>
  <c r="AR51" i="66"/>
  <c r="AR55" i="66"/>
  <c r="AR59" i="66"/>
  <c r="A148" i="66"/>
  <c r="AA39" i="76"/>
  <c r="E39" i="76"/>
  <c r="I39" i="76"/>
  <c r="M39" i="76"/>
  <c r="Q39" i="76"/>
  <c r="U39" i="76"/>
  <c r="Y39" i="76"/>
  <c r="AA38" i="76"/>
  <c r="V38" i="76"/>
  <c r="R38" i="76"/>
  <c r="N38" i="76"/>
  <c r="J38" i="76"/>
  <c r="F38" i="76"/>
  <c r="Q47" i="76"/>
  <c r="L47" i="76"/>
  <c r="W47" i="76"/>
  <c r="Y47" i="76"/>
  <c r="F47" i="76"/>
  <c r="H47" i="76"/>
  <c r="S47" i="76"/>
  <c r="X47" i="76"/>
  <c r="I47" i="76"/>
  <c r="E47" i="76"/>
  <c r="Z47" i="76"/>
  <c r="O47" i="76"/>
  <c r="R47" i="76"/>
  <c r="M47" i="76"/>
  <c r="G47" i="76"/>
  <c r="K47" i="76"/>
  <c r="AA47" i="76"/>
  <c r="U47" i="76"/>
  <c r="P47" i="76"/>
  <c r="T47" i="76"/>
  <c r="J47" i="76"/>
  <c r="V47" i="76"/>
  <c r="N47" i="76"/>
  <c r="A256" i="67"/>
  <c r="E48" i="76"/>
  <c r="O48" i="76"/>
  <c r="N48" i="76"/>
  <c r="K48" i="76"/>
  <c r="X48" i="76"/>
  <c r="F48" i="76"/>
  <c r="S48" i="76"/>
  <c r="U48" i="76"/>
  <c r="P48" i="76"/>
  <c r="T48" i="76"/>
  <c r="G48" i="76"/>
  <c r="Y48" i="76"/>
  <c r="AA48" i="76"/>
  <c r="V48" i="76"/>
  <c r="Z48" i="76"/>
  <c r="L48" i="76"/>
  <c r="H48" i="76"/>
  <c r="D48" i="76"/>
  <c r="Q48" i="76"/>
  <c r="W48" i="76"/>
  <c r="R48" i="76"/>
  <c r="J48" i="76"/>
  <c r="I48" i="76"/>
  <c r="M48" i="76"/>
  <c r="AP51" i="66"/>
  <c r="AP42" i="66"/>
  <c r="AP50" i="66"/>
  <c r="AP59" i="66"/>
  <c r="AN55" i="67"/>
  <c r="AO44" i="67"/>
  <c r="AO48" i="67"/>
  <c r="AP48" i="67"/>
  <c r="AP59" i="67"/>
  <c r="AO45" i="67"/>
  <c r="AO49" i="67"/>
  <c r="AP52" i="67"/>
  <c r="AP60" i="67"/>
  <c r="AP56" i="67"/>
  <c r="AP62" i="67"/>
  <c r="AP44" i="67"/>
  <c r="AP46" i="67"/>
  <c r="AP47" i="67"/>
  <c r="AP53" i="67"/>
  <c r="AP55" i="67"/>
  <c r="AN41" i="67"/>
  <c r="AP45" i="67"/>
  <c r="AP49" i="67"/>
  <c r="AN61" i="67"/>
  <c r="BD44" i="67"/>
  <c r="AO41" i="67"/>
  <c r="AN56" i="67"/>
  <c r="AP61" i="67"/>
  <c r="AU60" i="66"/>
  <c r="AV55" i="66"/>
  <c r="A112" i="66"/>
  <c r="BA55" i="66"/>
  <c r="BA41" i="66"/>
  <c r="AP44" i="66"/>
  <c r="AM45" i="66"/>
  <c r="AQ45" i="66"/>
  <c r="AM49" i="66"/>
  <c r="AQ49" i="66"/>
  <c r="BA59" i="66"/>
  <c r="AM44" i="66"/>
  <c r="AN45" i="66"/>
  <c r="AN49" i="66"/>
  <c r="O32" i="66"/>
  <c r="BR46" i="67"/>
  <c r="BR50" i="67"/>
  <c r="BR54" i="67"/>
  <c r="BR62" i="67"/>
  <c r="BR42" i="67"/>
  <c r="BR51" i="67"/>
  <c r="BR55" i="67"/>
  <c r="BR63" i="67"/>
  <c r="BR48" i="67"/>
  <c r="BR52" i="67"/>
  <c r="BR56" i="67"/>
  <c r="BR60" i="67"/>
  <c r="BR64" i="67"/>
  <c r="BR45" i="67"/>
  <c r="BR49" i="67"/>
  <c r="BR53" i="67"/>
  <c r="BR57" i="67"/>
  <c r="BL64" i="67"/>
  <c r="BP64" i="67"/>
  <c r="BM64" i="67"/>
  <c r="BO64" i="67"/>
  <c r="BN64" i="67"/>
  <c r="BQ64" i="67"/>
  <c r="Y226" i="67"/>
  <c r="AE226" i="67" s="1"/>
  <c r="A226" i="67"/>
  <c r="Y234" i="67"/>
  <c r="AE234" i="67" s="1"/>
  <c r="A234" i="67"/>
  <c r="BO41" i="67"/>
  <c r="BM41" i="67"/>
  <c r="BN41" i="67"/>
  <c r="BQ41" i="67"/>
  <c r="BP41" i="67"/>
  <c r="BK43" i="67"/>
  <c r="BM43" i="67"/>
  <c r="BP43" i="67"/>
  <c r="BO43" i="67"/>
  <c r="BN43" i="67"/>
  <c r="BQ43" i="67"/>
  <c r="BR43" i="67" s="1"/>
  <c r="Y223" i="67"/>
  <c r="AE223" i="67" s="1"/>
  <c r="A223" i="67"/>
  <c r="Y227" i="67"/>
  <c r="AE227" i="67" s="1"/>
  <c r="A227" i="67"/>
  <c r="Y231" i="67"/>
  <c r="AE231" i="67" s="1"/>
  <c r="A231" i="67"/>
  <c r="Y235" i="67"/>
  <c r="AE235" i="67" s="1"/>
  <c r="A235" i="67"/>
  <c r="O32" i="67"/>
  <c r="AO42" i="67"/>
  <c r="AP43" i="67"/>
  <c r="BM45" i="67"/>
  <c r="BP45" i="67"/>
  <c r="BQ45" i="67"/>
  <c r="BO45" i="67"/>
  <c r="BN45" i="67"/>
  <c r="BQ46" i="67"/>
  <c r="BM46" i="67"/>
  <c r="BN46" i="67"/>
  <c r="BO46" i="67"/>
  <c r="BP46" i="67"/>
  <c r="BN47" i="67"/>
  <c r="BM47" i="67"/>
  <c r="BO47" i="67"/>
  <c r="BP47" i="67"/>
  <c r="BQ47" i="67"/>
  <c r="BR47" i="67" s="1"/>
  <c r="BK48" i="67"/>
  <c r="BN48" i="67"/>
  <c r="BO48" i="67"/>
  <c r="BQ48" i="67"/>
  <c r="BM48" i="67"/>
  <c r="BP48" i="67"/>
  <c r="BN49" i="67"/>
  <c r="BP49" i="67"/>
  <c r="BQ49" i="67"/>
  <c r="BM49" i="67"/>
  <c r="BO49" i="67"/>
  <c r="BK50" i="67"/>
  <c r="BQ50" i="67"/>
  <c r="BP50" i="67"/>
  <c r="BO50" i="67"/>
  <c r="BM50" i="67"/>
  <c r="BN50" i="67"/>
  <c r="BJ51" i="67"/>
  <c r="BP51" i="67"/>
  <c r="BN51" i="67"/>
  <c r="BQ51" i="67"/>
  <c r="BO51" i="67"/>
  <c r="BM51" i="67"/>
  <c r="BM52" i="67"/>
  <c r="BO52" i="67"/>
  <c r="BN52" i="67"/>
  <c r="BP52" i="67"/>
  <c r="BQ52" i="67"/>
  <c r="BF53" i="67"/>
  <c r="BO53" i="67"/>
  <c r="BM53" i="67"/>
  <c r="BP53" i="67"/>
  <c r="BN53" i="67"/>
  <c r="BQ53" i="67"/>
  <c r="BM54" i="67"/>
  <c r="BN54" i="67"/>
  <c r="BP54" i="67"/>
  <c r="BO54" i="67"/>
  <c r="BQ54" i="67"/>
  <c r="BF55" i="67"/>
  <c r="BQ55" i="67"/>
  <c r="BP55" i="67"/>
  <c r="BN55" i="67"/>
  <c r="BM55" i="67"/>
  <c r="BO56" i="67"/>
  <c r="BQ56" i="67"/>
  <c r="BP56" i="67"/>
  <c r="BN56" i="67"/>
  <c r="BM56" i="67"/>
  <c r="BP57" i="67"/>
  <c r="BN57" i="67"/>
  <c r="BQ57" i="67"/>
  <c r="BO57" i="67"/>
  <c r="BM57" i="67"/>
  <c r="BO58" i="67"/>
  <c r="BN58" i="67"/>
  <c r="BP58" i="67"/>
  <c r="BM58" i="67"/>
  <c r="BQ58" i="67"/>
  <c r="BR58" i="67" s="1"/>
  <c r="BP59" i="67"/>
  <c r="BQ59" i="67"/>
  <c r="BR59" i="67" s="1"/>
  <c r="BN59" i="67"/>
  <c r="BM59" i="67"/>
  <c r="BO59" i="67"/>
  <c r="BO60" i="67"/>
  <c r="BQ60" i="67"/>
  <c r="BN60" i="67"/>
  <c r="BP60" i="67"/>
  <c r="BM60" i="67"/>
  <c r="BF61" i="67"/>
  <c r="BN61" i="67"/>
  <c r="BM61" i="67"/>
  <c r="BO61" i="67"/>
  <c r="BQ61" i="67"/>
  <c r="BR61" i="67" s="1"/>
  <c r="BP61" i="67"/>
  <c r="BQ62" i="67"/>
  <c r="BP62" i="67"/>
  <c r="BM62" i="67"/>
  <c r="BO62" i="67"/>
  <c r="BN62" i="67"/>
  <c r="BQ63" i="67"/>
  <c r="BM63" i="67"/>
  <c r="BP63" i="67"/>
  <c r="BN63" i="67"/>
  <c r="Y220" i="67"/>
  <c r="AE220" i="67" s="1"/>
  <c r="A220" i="67"/>
  <c r="Y224" i="67"/>
  <c r="AE224" i="67" s="1"/>
  <c r="A224" i="67"/>
  <c r="Y228" i="67"/>
  <c r="AE228" i="67" s="1"/>
  <c r="A228" i="67"/>
  <c r="Y232" i="67"/>
  <c r="AE232" i="67" s="1"/>
  <c r="A232" i="67"/>
  <c r="Y236" i="67"/>
  <c r="AE236" i="67" s="1"/>
  <c r="A236" i="67"/>
  <c r="Y240" i="67"/>
  <c r="AE240" i="67" s="1"/>
  <c r="A240" i="67"/>
  <c r="Y222" i="67"/>
  <c r="AE222" i="67" s="1"/>
  <c r="A222" i="67"/>
  <c r="Y230" i="67"/>
  <c r="AE230" i="67" s="1"/>
  <c r="A230" i="67"/>
  <c r="Y238" i="67"/>
  <c r="AE238" i="67" s="1"/>
  <c r="A238" i="67"/>
  <c r="BD42" i="67"/>
  <c r="BM42" i="67"/>
  <c r="BQ42" i="67"/>
  <c r="BN42" i="67"/>
  <c r="BP42" i="67"/>
  <c r="BO42" i="67"/>
  <c r="BP44" i="67"/>
  <c r="BO44" i="67"/>
  <c r="BQ44" i="67"/>
  <c r="BR44" i="67" s="1"/>
  <c r="BN44" i="67"/>
  <c r="BM44" i="67"/>
  <c r="Y239" i="67"/>
  <c r="AE239" i="67" s="1"/>
  <c r="A239" i="67"/>
  <c r="AP42" i="67"/>
  <c r="Y221" i="67"/>
  <c r="AE221" i="67" s="1"/>
  <c r="A221" i="67"/>
  <c r="Y225" i="67"/>
  <c r="AE225" i="67" s="1"/>
  <c r="A225" i="67"/>
  <c r="Y229" i="67"/>
  <c r="AE229" i="67" s="1"/>
  <c r="A229" i="67"/>
  <c r="Y233" i="67"/>
  <c r="AE233" i="67" s="1"/>
  <c r="A233" i="67"/>
  <c r="Y237" i="67"/>
  <c r="AE237" i="67" s="1"/>
  <c r="A237" i="67"/>
  <c r="Y241" i="67"/>
  <c r="AE241" i="67" s="1"/>
  <c r="A241" i="67"/>
  <c r="BC65" i="67"/>
  <c r="BM65" i="67"/>
  <c r="BO65" i="67"/>
  <c r="BQ65" i="67"/>
  <c r="BN65" i="67"/>
  <c r="BP65" i="67"/>
  <c r="BE65" i="67"/>
  <c r="BL65" i="67"/>
  <c r="BE43" i="67"/>
  <c r="BD48" i="67"/>
  <c r="BJ41" i="67"/>
  <c r="BJ59" i="67"/>
  <c r="BG41" i="67"/>
  <c r="BE46" i="67"/>
  <c r="BK42" i="67"/>
  <c r="B187" i="67"/>
  <c r="B115" i="67" s="1"/>
  <c r="Y259" i="67"/>
  <c r="AE259" i="67" s="1"/>
  <c r="BI45" i="67"/>
  <c r="BK46" i="67"/>
  <c r="B191" i="67"/>
  <c r="B119" i="67" s="1"/>
  <c r="Y263" i="67"/>
  <c r="AE263" i="67" s="1"/>
  <c r="Y265" i="67"/>
  <c r="AE265" i="67" s="1"/>
  <c r="B193" i="67"/>
  <c r="B121" i="67" s="1"/>
  <c r="B196" i="67"/>
  <c r="B124" i="67" s="1"/>
  <c r="Y268" i="67"/>
  <c r="AE268" i="67" s="1"/>
  <c r="BH54" i="67"/>
  <c r="B200" i="67"/>
  <c r="B128" i="67" s="1"/>
  <c r="Y272" i="67"/>
  <c r="AE272" i="67" s="1"/>
  <c r="BH58" i="67"/>
  <c r="B203" i="67"/>
  <c r="B131" i="67" s="1"/>
  <c r="Y275" i="67"/>
  <c r="AE275" i="67" s="1"/>
  <c r="BH61" i="67"/>
  <c r="B206" i="67"/>
  <c r="Y278" i="67"/>
  <c r="AE278" i="67" s="1"/>
  <c r="BE48" i="67"/>
  <c r="B112" i="67"/>
  <c r="Y256" i="67"/>
  <c r="AE256" i="67" s="1"/>
  <c r="B186" i="67"/>
  <c r="B114" i="67" s="1"/>
  <c r="Y258" i="67"/>
  <c r="AE258" i="67" s="1"/>
  <c r="BI44" i="67"/>
  <c r="BK45" i="67"/>
  <c r="B190" i="67"/>
  <c r="B118" i="67" s="1"/>
  <c r="Y262" i="67"/>
  <c r="AE262" i="67" s="1"/>
  <c r="BI48" i="67"/>
  <c r="B194" i="67"/>
  <c r="B122" i="67" s="1"/>
  <c r="Y266" i="67"/>
  <c r="AE266" i="67" s="1"/>
  <c r="BH53" i="67"/>
  <c r="BJ54" i="67"/>
  <c r="B199" i="67"/>
  <c r="B127" i="67" s="1"/>
  <c r="Y271" i="67"/>
  <c r="AE271" i="67" s="1"/>
  <c r="BH57" i="67"/>
  <c r="BJ58" i="67"/>
  <c r="BH60" i="67"/>
  <c r="BJ61" i="67"/>
  <c r="B207" i="67"/>
  <c r="Y279" i="67"/>
  <c r="AE279" i="67" s="1"/>
  <c r="BI41" i="67"/>
  <c r="BE42" i="67"/>
  <c r="BD45" i="67"/>
  <c r="BF49" i="67"/>
  <c r="BF57" i="67"/>
  <c r="BH62" i="67"/>
  <c r="BE45" i="67"/>
  <c r="BD47" i="67"/>
  <c r="BK41" i="67"/>
  <c r="BI43" i="67"/>
  <c r="BK44" i="67"/>
  <c r="Y261" i="67"/>
  <c r="AE261" i="67" s="1"/>
  <c r="B189" i="67"/>
  <c r="B117" i="67" s="1"/>
  <c r="BI47" i="67"/>
  <c r="B192" i="67"/>
  <c r="B120" i="67" s="1"/>
  <c r="Y264" i="67"/>
  <c r="AE264" i="67" s="1"/>
  <c r="B195" i="67"/>
  <c r="B123" i="67" s="1"/>
  <c r="Y267" i="67"/>
  <c r="AE267" i="67" s="1"/>
  <c r="BJ53" i="67"/>
  <c r="B198" i="67"/>
  <c r="B126" i="67" s="1"/>
  <c r="Y270" i="67"/>
  <c r="AE270" i="67" s="1"/>
  <c r="BH56" i="67"/>
  <c r="BJ57" i="67"/>
  <c r="B202" i="67"/>
  <c r="B130" i="67" s="1"/>
  <c r="Y274" i="67"/>
  <c r="AE274" i="67" s="1"/>
  <c r="BJ60" i="67"/>
  <c r="Y277" i="67"/>
  <c r="AE277" i="67" s="1"/>
  <c r="B205" i="67"/>
  <c r="B133" i="67" s="1"/>
  <c r="BJ64" i="67"/>
  <c r="BF41" i="67"/>
  <c r="BI42" i="67"/>
  <c r="BD46" i="67"/>
  <c r="BF59" i="67"/>
  <c r="BD43" i="67"/>
  <c r="BE47" i="67"/>
  <c r="BG49" i="67"/>
  <c r="BD64" i="67"/>
  <c r="Y257" i="67"/>
  <c r="AE257" i="67" s="1"/>
  <c r="B185" i="67"/>
  <c r="B113" i="67" s="1"/>
  <c r="B188" i="67"/>
  <c r="B116" i="67" s="1"/>
  <c r="Y260" i="67"/>
  <c r="AE260" i="67" s="1"/>
  <c r="BI46" i="67"/>
  <c r="BK47" i="67"/>
  <c r="BL49" i="67"/>
  <c r="BJ52" i="67"/>
  <c r="Y269" i="67"/>
  <c r="AE269" i="67" s="1"/>
  <c r="B197" i="67"/>
  <c r="B125" i="67" s="1"/>
  <c r="BH55" i="67"/>
  <c r="BJ56" i="67"/>
  <c r="Y273" i="67"/>
  <c r="AE273" i="67" s="1"/>
  <c r="B201" i="67"/>
  <c r="B129" i="67" s="1"/>
  <c r="BH59" i="67"/>
  <c r="B204" i="67"/>
  <c r="B132" i="67" s="1"/>
  <c r="Y276" i="67"/>
  <c r="AE276" i="67" s="1"/>
  <c r="BJ62" i="67"/>
  <c r="AA83" i="67"/>
  <c r="T30" i="67"/>
  <c r="U30" i="67" s="1"/>
  <c r="AY43" i="66"/>
  <c r="AU42" i="66"/>
  <c r="Z85" i="67"/>
  <c r="AA77" i="67"/>
  <c r="Z95" i="67"/>
  <c r="AA99" i="67"/>
  <c r="AA93" i="67"/>
  <c r="Z79" i="67"/>
  <c r="AP63" i="67"/>
  <c r="T21" i="67"/>
  <c r="U21" i="67" s="1"/>
  <c r="T22" i="67"/>
  <c r="U22" i="67" s="1"/>
  <c r="Z77" i="67"/>
  <c r="Z93" i="67"/>
  <c r="AA80" i="67"/>
  <c r="AA85" i="67"/>
  <c r="Z87" i="67"/>
  <c r="AA91" i="67"/>
  <c r="T10" i="67"/>
  <c r="U10" i="67" s="1"/>
  <c r="T25" i="67"/>
  <c r="U25" i="67" s="1"/>
  <c r="T26" i="67"/>
  <c r="U26" i="67" s="1"/>
  <c r="BF62" i="67"/>
  <c r="BE44" i="67"/>
  <c r="BD50" i="67"/>
  <c r="T23" i="67"/>
  <c r="U23" i="67" s="1"/>
  <c r="T27" i="67"/>
  <c r="U27" i="67" s="1"/>
  <c r="BH63" i="67"/>
  <c r="K32" i="67"/>
  <c r="AM63" i="67" s="1"/>
  <c r="BG63" i="67"/>
  <c r="BI50" i="67"/>
  <c r="BE50" i="67"/>
  <c r="AQ50" i="67"/>
  <c r="AM50" i="67"/>
  <c r="BH50" i="67"/>
  <c r="BC50" i="67"/>
  <c r="AN50" i="67"/>
  <c r="BJ50" i="67"/>
  <c r="BL50" i="67"/>
  <c r="BF50" i="67"/>
  <c r="AO50" i="67"/>
  <c r="BG50" i="67"/>
  <c r="AP50" i="67"/>
  <c r="BI63" i="67"/>
  <c r="BD63" i="67"/>
  <c r="AN63" i="67"/>
  <c r="Z32" i="67"/>
  <c r="BI51" i="67"/>
  <c r="BE51" i="67"/>
  <c r="AQ51" i="67"/>
  <c r="AM51" i="67"/>
  <c r="BH51" i="67"/>
  <c r="BC51" i="67"/>
  <c r="AN51" i="67"/>
  <c r="BD51" i="67"/>
  <c r="BK51" i="67"/>
  <c r="BJ65" i="67"/>
  <c r="BF65" i="67"/>
  <c r="AN65" i="67"/>
  <c r="BH65" i="67"/>
  <c r="BD65" i="67"/>
  <c r="AP65" i="67"/>
  <c r="AA100" i="67"/>
  <c r="AA98" i="67"/>
  <c r="AA96" i="67"/>
  <c r="AA92" i="67"/>
  <c r="AA90" i="67"/>
  <c r="AA88" i="67"/>
  <c r="AA86" i="67"/>
  <c r="AA84" i="67"/>
  <c r="AA82" i="67"/>
  <c r="AA78" i="67"/>
  <c r="BI65" i="67"/>
  <c r="AQ65" i="67"/>
  <c r="BG65" i="67"/>
  <c r="AO65" i="67"/>
  <c r="AP41" i="67"/>
  <c r="BD41" i="67"/>
  <c r="BH41" i="67"/>
  <c r="BL41" i="67"/>
  <c r="BJ42" i="67"/>
  <c r="BF42" i="67"/>
  <c r="AN42" i="67"/>
  <c r="AQ42" i="67"/>
  <c r="BG42" i="67"/>
  <c r="BL42" i="67"/>
  <c r="BJ43" i="67"/>
  <c r="BF43" i="67"/>
  <c r="AN43" i="67"/>
  <c r="AQ43" i="67"/>
  <c r="BG43" i="67"/>
  <c r="BL43" i="67"/>
  <c r="BJ44" i="67"/>
  <c r="BF44" i="67"/>
  <c r="AN44" i="67"/>
  <c r="AQ44" i="67"/>
  <c r="BG44" i="67"/>
  <c r="BL44" i="67"/>
  <c r="BJ45" i="67"/>
  <c r="BF45" i="67"/>
  <c r="AN45" i="67"/>
  <c r="AQ45" i="67"/>
  <c r="BG45" i="67"/>
  <c r="BL45" i="67"/>
  <c r="BJ46" i="67"/>
  <c r="BF46" i="67"/>
  <c r="AN46" i="67"/>
  <c r="AQ46" i="67"/>
  <c r="BG46" i="67"/>
  <c r="BL46" i="67"/>
  <c r="BJ47" i="67"/>
  <c r="BF47" i="67"/>
  <c r="AN47" i="67"/>
  <c r="AQ47" i="67"/>
  <c r="BG47" i="67"/>
  <c r="BL47" i="67"/>
  <c r="BJ48" i="67"/>
  <c r="BF48" i="67"/>
  <c r="AN48" i="67"/>
  <c r="AQ48" i="67"/>
  <c r="BG48" i="67"/>
  <c r="BL48" i="67"/>
  <c r="BI49" i="67"/>
  <c r="BE49" i="67"/>
  <c r="AQ49" i="67"/>
  <c r="BH49" i="67"/>
  <c r="BC49" i="67"/>
  <c r="AN49" i="67"/>
  <c r="BJ49" i="67"/>
  <c r="AO51" i="67"/>
  <c r="BF51" i="67"/>
  <c r="BL51" i="67"/>
  <c r="BK52" i="67"/>
  <c r="BG52" i="67"/>
  <c r="BC52" i="67"/>
  <c r="BI52" i="67"/>
  <c r="BE52" i="67"/>
  <c r="AQ52" i="67"/>
  <c r="AM52" i="67"/>
  <c r="BL52" i="67"/>
  <c r="BD52" i="67"/>
  <c r="AN52" i="67"/>
  <c r="BF52" i="67"/>
  <c r="BF54" i="67"/>
  <c r="BF56" i="67"/>
  <c r="BF58" i="67"/>
  <c r="BF60" i="67"/>
  <c r="BK65" i="67"/>
  <c r="AA81" i="67"/>
  <c r="Z83" i="67"/>
  <c r="AA89" i="67"/>
  <c r="Z91" i="67"/>
  <c r="Z99" i="67"/>
  <c r="AA4" i="67"/>
  <c r="M65" i="67" s="1"/>
  <c r="T24" i="67"/>
  <c r="U24" i="67" s="1"/>
  <c r="T28" i="67"/>
  <c r="U28" i="67" s="1"/>
  <c r="BK63" i="67"/>
  <c r="BF63" i="67"/>
  <c r="AM41" i="67"/>
  <c r="AQ41" i="67"/>
  <c r="BE41" i="67"/>
  <c r="AM42" i="67"/>
  <c r="BC42" i="67"/>
  <c r="BH42" i="67"/>
  <c r="AM43" i="67"/>
  <c r="BC43" i="67"/>
  <c r="BH43" i="67"/>
  <c r="AM44" i="67"/>
  <c r="BC44" i="67"/>
  <c r="BH44" i="67"/>
  <c r="AM45" i="67"/>
  <c r="BC45" i="67"/>
  <c r="BH45" i="67"/>
  <c r="AM46" i="67"/>
  <c r="BC46" i="67"/>
  <c r="BH46" i="67"/>
  <c r="AM47" i="67"/>
  <c r="BC47" i="67"/>
  <c r="BH47" i="67"/>
  <c r="AM48" i="67"/>
  <c r="BC48" i="67"/>
  <c r="BH48" i="67"/>
  <c r="AM49" i="67"/>
  <c r="BD49" i="67"/>
  <c r="BK49" i="67"/>
  <c r="AP51" i="67"/>
  <c r="BG51" i="67"/>
  <c r="AO52" i="67"/>
  <c r="BH52" i="67"/>
  <c r="BK64" i="67"/>
  <c r="BG64" i="67"/>
  <c r="BC64" i="67"/>
  <c r="AO64" i="67"/>
  <c r="BI64" i="67"/>
  <c r="BE64" i="67"/>
  <c r="AQ64" i="67"/>
  <c r="AM64" i="67"/>
  <c r="BH64" i="67"/>
  <c r="AP64" i="67"/>
  <c r="BF64" i="67"/>
  <c r="AN64" i="67"/>
  <c r="AA79" i="67"/>
  <c r="Z81" i="67"/>
  <c r="AA87" i="67"/>
  <c r="Z89" i="67"/>
  <c r="Z97" i="67"/>
  <c r="BK53" i="67"/>
  <c r="BG53" i="67"/>
  <c r="BC53" i="67"/>
  <c r="AO53" i="67"/>
  <c r="BI53" i="67"/>
  <c r="BE53" i="67"/>
  <c r="AQ53" i="67"/>
  <c r="AM53" i="67"/>
  <c r="BD53" i="67"/>
  <c r="BL53" i="67"/>
  <c r="BK54" i="67"/>
  <c r="BG54" i="67"/>
  <c r="BC54" i="67"/>
  <c r="AO54" i="67"/>
  <c r="BI54" i="67"/>
  <c r="BE54" i="67"/>
  <c r="AQ54" i="67"/>
  <c r="AM54" i="67"/>
  <c r="BD54" i="67"/>
  <c r="BL54" i="67"/>
  <c r="BK55" i="67"/>
  <c r="BG55" i="67"/>
  <c r="BC55" i="67"/>
  <c r="BI55" i="67"/>
  <c r="AQ55" i="67"/>
  <c r="AM55" i="67"/>
  <c r="BD55" i="67"/>
  <c r="BL55" i="67"/>
  <c r="BK56" i="67"/>
  <c r="BG56" i="67"/>
  <c r="BC56" i="67"/>
  <c r="AO56" i="67"/>
  <c r="BI56" i="67"/>
  <c r="BE56" i="67"/>
  <c r="AQ56" i="67"/>
  <c r="AM56" i="67"/>
  <c r="BD56" i="67"/>
  <c r="BL56" i="67"/>
  <c r="BK57" i="67"/>
  <c r="BG57" i="67"/>
  <c r="BC57" i="67"/>
  <c r="AO57" i="67"/>
  <c r="BI57" i="67"/>
  <c r="BE57" i="67"/>
  <c r="AQ57" i="67"/>
  <c r="AM57" i="67"/>
  <c r="BD57" i="67"/>
  <c r="BL57" i="67"/>
  <c r="BK58" i="67"/>
  <c r="BG58" i="67"/>
  <c r="BC58" i="67"/>
  <c r="AO58" i="67"/>
  <c r="BI58" i="67"/>
  <c r="BE58" i="67"/>
  <c r="AQ58" i="67"/>
  <c r="AM58" i="67"/>
  <c r="BD58" i="67"/>
  <c r="BL58" i="67"/>
  <c r="BK59" i="67"/>
  <c r="BG59" i="67"/>
  <c r="BC59" i="67"/>
  <c r="AO59" i="67"/>
  <c r="BI59" i="67"/>
  <c r="BE59" i="67"/>
  <c r="AQ59" i="67"/>
  <c r="AM59" i="67"/>
  <c r="BD59" i="67"/>
  <c r="BL59" i="67"/>
  <c r="BK60" i="67"/>
  <c r="BG60" i="67"/>
  <c r="BC60" i="67"/>
  <c r="AO60" i="67"/>
  <c r="BI60" i="67"/>
  <c r="BE60" i="67"/>
  <c r="AQ60" i="67"/>
  <c r="AM60" i="67"/>
  <c r="BD60" i="67"/>
  <c r="BL60" i="67"/>
  <c r="BK61" i="67"/>
  <c r="BG61" i="67"/>
  <c r="BC61" i="67"/>
  <c r="AO61" i="67"/>
  <c r="BI61" i="67"/>
  <c r="BE61" i="67"/>
  <c r="AQ61" i="67"/>
  <c r="AM61" i="67"/>
  <c r="BD61" i="67"/>
  <c r="BL61" i="67"/>
  <c r="BK62" i="67"/>
  <c r="BG62" i="67"/>
  <c r="BC62" i="67"/>
  <c r="AO62" i="67"/>
  <c r="BI62" i="67"/>
  <c r="BE62" i="67"/>
  <c r="AQ62" i="67"/>
  <c r="AM62" i="67"/>
  <c r="BD62" i="67"/>
  <c r="BL62" i="67"/>
  <c r="BC63" i="67"/>
  <c r="BL63" i="67"/>
  <c r="Z78" i="67"/>
  <c r="Z80" i="67"/>
  <c r="Z82" i="67"/>
  <c r="Z84" i="67"/>
  <c r="Z86" i="67"/>
  <c r="Z88" i="67"/>
  <c r="Z90" i="67"/>
  <c r="Z92" i="67"/>
  <c r="Z94" i="67"/>
  <c r="Z96" i="67"/>
  <c r="Z98" i="67"/>
  <c r="Z100" i="67"/>
  <c r="BA58" i="66"/>
  <c r="BA54" i="66"/>
  <c r="BA52" i="66"/>
  <c r="AS58" i="66"/>
  <c r="AW54" i="66"/>
  <c r="AS50" i="66"/>
  <c r="AU48" i="66"/>
  <c r="AV43" i="66"/>
  <c r="AT57" i="66"/>
  <c r="AU44" i="66"/>
  <c r="AW65" i="66"/>
  <c r="AU41" i="66"/>
  <c r="AT49" i="66"/>
  <c r="AW42" i="66"/>
  <c r="AX56" i="66"/>
  <c r="BA56" i="66"/>
  <c r="BA48" i="66"/>
  <c r="BA44" i="66"/>
  <c r="AY41" i="66"/>
  <c r="BB41" i="66"/>
  <c r="BB42" i="66"/>
  <c r="BB43" i="66"/>
  <c r="BB44" i="66"/>
  <c r="BB45" i="66"/>
  <c r="BB46" i="66"/>
  <c r="AZ47" i="66"/>
  <c r="AZ48" i="66"/>
  <c r="BB49" i="66"/>
  <c r="BB50" i="66"/>
  <c r="BB51" i="66"/>
  <c r="BB52" i="66"/>
  <c r="AW41" i="66"/>
  <c r="AS54" i="66"/>
  <c r="AV47" i="66"/>
  <c r="AU65" i="66"/>
  <c r="AX52" i="66"/>
  <c r="BA51" i="66"/>
  <c r="BA47" i="66"/>
  <c r="BA43" i="66"/>
  <c r="AV59" i="66"/>
  <c r="AU56" i="66"/>
  <c r="AT53" i="66"/>
  <c r="AV51" i="66"/>
  <c r="AW46" i="66"/>
  <c r="AT45" i="66"/>
  <c r="AS42" i="66"/>
  <c r="AW50" i="66"/>
  <c r="AX60" i="66"/>
  <c r="AX44" i="66"/>
  <c r="BA57" i="66"/>
  <c r="BA53" i="66"/>
  <c r="BA49" i="66"/>
  <c r="BA45" i="66"/>
  <c r="BA60" i="66"/>
  <c r="AT61" i="66"/>
  <c r="AY62" i="66"/>
  <c r="AV63" i="66"/>
  <c r="AW58" i="66"/>
  <c r="AU52" i="66"/>
  <c r="AS46" i="66"/>
  <c r="AX48" i="66"/>
  <c r="BA50" i="66"/>
  <c r="BA46" i="66"/>
  <c r="BA42" i="66"/>
  <c r="AQ53" i="66"/>
  <c r="AA95" i="66"/>
  <c r="BB64" i="66"/>
  <c r="AV64" i="66"/>
  <c r="AZ64" i="66"/>
  <c r="AT64" i="66"/>
  <c r="AU64" i="66"/>
  <c r="AW62" i="66"/>
  <c r="AX64" i="66"/>
  <c r="BA64" i="66"/>
  <c r="BA62" i="66"/>
  <c r="BB53" i="66"/>
  <c r="AX53" i="66"/>
  <c r="AU53" i="66"/>
  <c r="AZ53" i="66"/>
  <c r="AS53" i="66"/>
  <c r="AW53" i="66"/>
  <c r="BB54" i="66"/>
  <c r="AT54" i="66"/>
  <c r="AZ54" i="66"/>
  <c r="AV54" i="66"/>
  <c r="BB55" i="66"/>
  <c r="AS55" i="66"/>
  <c r="AW55" i="66"/>
  <c r="AX55" i="66"/>
  <c r="AQ56" i="66"/>
  <c r="BB56" i="66"/>
  <c r="AV56" i="66"/>
  <c r="AZ56" i="66"/>
  <c r="AT56" i="66"/>
  <c r="AM56" i="66"/>
  <c r="BB57" i="66"/>
  <c r="BB58" i="66"/>
  <c r="BB59" i="66"/>
  <c r="AA78" i="66"/>
  <c r="AS64" i="66"/>
  <c r="AU62" i="66"/>
  <c r="AW60" i="66"/>
  <c r="AT59" i="66"/>
  <c r="AV57" i="66"/>
  <c r="AS56" i="66"/>
  <c r="AU54" i="66"/>
  <c r="AW52" i="66"/>
  <c r="AT51" i="66"/>
  <c r="AV49" i="66"/>
  <c r="AS48" i="66"/>
  <c r="AU46" i="66"/>
  <c r="AW44" i="66"/>
  <c r="AT43" i="66"/>
  <c r="AX62" i="66"/>
  <c r="AX54" i="66"/>
  <c r="AX46" i="66"/>
  <c r="AY64" i="66"/>
  <c r="AY60" i="66"/>
  <c r="AY58" i="66"/>
  <c r="AY56" i="66"/>
  <c r="AY54" i="66"/>
  <c r="AY52" i="66"/>
  <c r="AY50" i="66"/>
  <c r="AY48" i="66"/>
  <c r="AY46" i="66"/>
  <c r="AY44" i="66"/>
  <c r="AY42" i="66"/>
  <c r="AN61" i="66"/>
  <c r="BB61" i="66"/>
  <c r="AX61" i="66"/>
  <c r="AU61" i="66"/>
  <c r="AZ61" i="66"/>
  <c r="AS61" i="66"/>
  <c r="AW61" i="66"/>
  <c r="AO62" i="66"/>
  <c r="BB62" i="66"/>
  <c r="AT62" i="66"/>
  <c r="AZ62" i="66"/>
  <c r="AV62" i="66"/>
  <c r="AS63" i="66"/>
  <c r="AS62" i="66"/>
  <c r="BA63" i="66"/>
  <c r="BA61" i="66"/>
  <c r="AA90" i="66"/>
  <c r="AY65" i="66"/>
  <c r="AX65" i="66"/>
  <c r="AV65" i="66"/>
  <c r="AZ65" i="66"/>
  <c r="BA65" i="66"/>
  <c r="AT65" i="66"/>
  <c r="AS65" i="66"/>
  <c r="BB65" i="66"/>
  <c r="AT63" i="66"/>
  <c r="AW64" i="66"/>
  <c r="AV61" i="66"/>
  <c r="AS60" i="66"/>
  <c r="AU58" i="66"/>
  <c r="AW56" i="66"/>
  <c r="AT55" i="66"/>
  <c r="AV53" i="66"/>
  <c r="AS52" i="66"/>
  <c r="AU50" i="66"/>
  <c r="AW48" i="66"/>
  <c r="AT47" i="66"/>
  <c r="AV45" i="66"/>
  <c r="AS44" i="66"/>
  <c r="AX58" i="66"/>
  <c r="AX50" i="66"/>
  <c r="AX42" i="66"/>
  <c r="AY63" i="66"/>
  <c r="AY61" i="66"/>
  <c r="AY59" i="66"/>
  <c r="AY57" i="66"/>
  <c r="AY55" i="66"/>
  <c r="AY53" i="66"/>
  <c r="AY51" i="66"/>
  <c r="AY49" i="66"/>
  <c r="AY47" i="66"/>
  <c r="AY45" i="66"/>
  <c r="AN53" i="66"/>
  <c r="AN56" i="66"/>
  <c r="AO61" i="66"/>
  <c r="AM60" i="66"/>
  <c r="AS41" i="66"/>
  <c r="AT41" i="66"/>
  <c r="AT60" i="66"/>
  <c r="AU59" i="66"/>
  <c r="AV58" i="66"/>
  <c r="AW57" i="66"/>
  <c r="AS57" i="66"/>
  <c r="AT52" i="66"/>
  <c r="AU51" i="66"/>
  <c r="AV50" i="66"/>
  <c r="AW49" i="66"/>
  <c r="AS49" i="66"/>
  <c r="AT48" i="66"/>
  <c r="AU47" i="66"/>
  <c r="AV46" i="66"/>
  <c r="AW45" i="66"/>
  <c r="AS45" i="66"/>
  <c r="AT44" i="66"/>
  <c r="AU43" i="66"/>
  <c r="AV42" i="66"/>
  <c r="AX59" i="66"/>
  <c r="AX51" i="66"/>
  <c r="AX47" i="66"/>
  <c r="AX43" i="66"/>
  <c r="AZ60" i="66"/>
  <c r="AZ59" i="66"/>
  <c r="AZ58" i="66"/>
  <c r="AZ57" i="66"/>
  <c r="AZ52" i="66"/>
  <c r="AZ51" i="66"/>
  <c r="AZ50" i="66"/>
  <c r="AZ49" i="66"/>
  <c r="AZ46" i="66"/>
  <c r="AZ45" i="66"/>
  <c r="AZ44" i="66"/>
  <c r="AZ43" i="66"/>
  <c r="AZ42" i="66"/>
  <c r="AZ41" i="66"/>
  <c r="AA79" i="66"/>
  <c r="AA83" i="66"/>
  <c r="AP55" i="66"/>
  <c r="AM61" i="66"/>
  <c r="AQ61" i="66"/>
  <c r="AM64" i="66"/>
  <c r="AQ47" i="66"/>
  <c r="AQ48" i="66"/>
  <c r="AV41" i="66"/>
  <c r="AV60" i="66"/>
  <c r="AW59" i="66"/>
  <c r="AS59" i="66"/>
  <c r="AT58" i="66"/>
  <c r="AU57" i="66"/>
  <c r="AV52" i="66"/>
  <c r="AW51" i="66"/>
  <c r="AS51" i="66"/>
  <c r="AT50" i="66"/>
  <c r="AU49" i="66"/>
  <c r="AV48" i="66"/>
  <c r="AW47" i="66"/>
  <c r="AS47" i="66"/>
  <c r="AT46" i="66"/>
  <c r="AU45" i="66"/>
  <c r="AV44" i="66"/>
  <c r="AW43" i="66"/>
  <c r="AS43" i="66"/>
  <c r="AT42" i="66"/>
  <c r="AX41" i="66"/>
  <c r="AX57" i="66"/>
  <c r="AX49" i="66"/>
  <c r="AX45" i="66"/>
  <c r="BB60" i="66"/>
  <c r="BB48" i="66"/>
  <c r="BB47" i="66"/>
  <c r="AO41" i="66"/>
  <c r="AP43" i="66"/>
  <c r="AM57" i="66"/>
  <c r="AQ57" i="66"/>
  <c r="AQ64" i="66"/>
  <c r="AN48" i="66"/>
  <c r="AO54" i="66"/>
  <c r="AO57" i="66"/>
  <c r="AO58" i="66"/>
  <c r="AN64" i="66"/>
  <c r="AM65" i="66"/>
  <c r="L32" i="66"/>
  <c r="AA81" i="66"/>
  <c r="Z81" i="66"/>
  <c r="AA94" i="66"/>
  <c r="K32" i="66"/>
  <c r="AM63" i="66" s="1"/>
  <c r="AX63" i="66"/>
  <c r="AA85" i="66"/>
  <c r="Z85" i="66"/>
  <c r="AP65" i="66"/>
  <c r="AO65" i="66"/>
  <c r="AN65" i="66"/>
  <c r="AA4" i="66"/>
  <c r="M65" i="66" s="1"/>
  <c r="Z98" i="66"/>
  <c r="Z94" i="66"/>
  <c r="Z90" i="66"/>
  <c r="Z86" i="66"/>
  <c r="Z82" i="66"/>
  <c r="Z78" i="66"/>
  <c r="AA99" i="66"/>
  <c r="AA91" i="66"/>
  <c r="AA87" i="66"/>
  <c r="AQ65" i="66"/>
  <c r="AQ46" i="66"/>
  <c r="AM46" i="66"/>
  <c r="AN46" i="66"/>
  <c r="AP46" i="66"/>
  <c r="AN47" i="66"/>
  <c r="AM47" i="66"/>
  <c r="AP47" i="66"/>
  <c r="AO48" i="66"/>
  <c r="AM48" i="66"/>
  <c r="AP48" i="66"/>
  <c r="AO59" i="66"/>
  <c r="AN59" i="66"/>
  <c r="AM59" i="66"/>
  <c r="AQ59" i="66"/>
  <c r="AP62" i="66"/>
  <c r="AA82" i="66"/>
  <c r="AA89" i="66"/>
  <c r="Z89" i="66"/>
  <c r="AA98" i="66"/>
  <c r="AP54" i="66"/>
  <c r="Z97" i="66"/>
  <c r="AN55" i="66"/>
  <c r="AQ55" i="66"/>
  <c r="AM55" i="66"/>
  <c r="AA77" i="66"/>
  <c r="Z77" i="66"/>
  <c r="AA86" i="66"/>
  <c r="AA93" i="66"/>
  <c r="Z93" i="66"/>
  <c r="N32" i="66"/>
  <c r="AQ42" i="66"/>
  <c r="AM42" i="66"/>
  <c r="AN43" i="66"/>
  <c r="AQ43" i="66"/>
  <c r="AO44" i="66"/>
  <c r="AQ44" i="66"/>
  <c r="AO50" i="66"/>
  <c r="AO51" i="66"/>
  <c r="AN58" i="66"/>
  <c r="AQ58" i="66"/>
  <c r="AM58" i="66"/>
  <c r="Z80" i="66"/>
  <c r="AA84" i="66"/>
  <c r="Z84" i="66"/>
  <c r="AA88" i="66"/>
  <c r="Z88" i="66"/>
  <c r="AA92" i="66"/>
  <c r="Z92" i="66"/>
  <c r="AA96" i="66"/>
  <c r="Z96" i="66"/>
  <c r="AA100" i="66"/>
  <c r="Z100" i="66"/>
  <c r="AQ50" i="66"/>
  <c r="AM50" i="66"/>
  <c r="AN51" i="66"/>
  <c r="AQ51" i="66"/>
  <c r="AN54" i="66"/>
  <c r="AQ54" i="66"/>
  <c r="AM54" i="66"/>
  <c r="AN62" i="66"/>
  <c r="AQ62" i="66"/>
  <c r="AM62" i="66"/>
  <c r="Z79" i="66"/>
  <c r="Z83" i="66"/>
  <c r="Z87" i="66"/>
  <c r="Z91" i="66"/>
  <c r="Z95" i="66"/>
  <c r="Z99" i="66"/>
  <c r="AP45" i="66"/>
  <c r="AP49" i="66"/>
  <c r="AO52" i="66"/>
  <c r="AP53" i="66"/>
  <c r="AO56" i="66"/>
  <c r="AP57" i="66"/>
  <c r="AO60" i="66"/>
  <c r="AP61" i="66"/>
  <c r="AO64" i="66"/>
  <c r="AP52" i="66"/>
  <c r="AP56" i="66"/>
  <c r="AP60" i="66"/>
  <c r="AP64" i="66"/>
  <c r="H45" i="76" l="1"/>
  <c r="M45" i="76"/>
  <c r="L45" i="76"/>
  <c r="U45" i="76"/>
  <c r="K45" i="76"/>
  <c r="Y45" i="76"/>
  <c r="W45" i="76"/>
  <c r="X45" i="76"/>
  <c r="D45" i="76"/>
  <c r="E45" i="76"/>
  <c r="V45" i="76"/>
  <c r="Q45" i="76"/>
  <c r="G45" i="76"/>
  <c r="T45" i="76"/>
  <c r="O45" i="76"/>
  <c r="N45" i="76"/>
  <c r="I45" i="76"/>
  <c r="J45" i="76"/>
  <c r="P45" i="76"/>
  <c r="R45" i="76"/>
  <c r="S45" i="76"/>
  <c r="F45" i="76"/>
  <c r="AX43" i="67"/>
  <c r="AO32" i="67"/>
  <c r="AL32" i="66"/>
  <c r="AL32" i="67"/>
  <c r="AO32" i="66"/>
  <c r="AX64" i="67"/>
  <c r="BA57" i="67"/>
  <c r="BB53" i="67"/>
  <c r="AY45" i="67"/>
  <c r="AY41" i="67"/>
  <c r="BB54" i="67"/>
  <c r="BA50" i="67"/>
  <c r="AY55" i="67"/>
  <c r="AX60" i="67"/>
  <c r="BA56" i="67"/>
  <c r="BB48" i="67"/>
  <c r="AY44" i="67"/>
  <c r="AX46" i="67"/>
  <c r="BA43" i="67"/>
  <c r="BA64" i="67"/>
  <c r="AZ57" i="67"/>
  <c r="AY53" i="67"/>
  <c r="BB49" i="67"/>
  <c r="BA45" i="67"/>
  <c r="AZ41" i="67"/>
  <c r="AZ62" i="67"/>
  <c r="AX50" i="67"/>
  <c r="BA42" i="67"/>
  <c r="AY47" i="67"/>
  <c r="AZ56" i="67"/>
  <c r="AX52" i="67"/>
  <c r="AZ44" i="67"/>
  <c r="BA58" i="67"/>
  <c r="BA63" i="67"/>
  <c r="AY43" i="67"/>
  <c r="AZ64" i="67"/>
  <c r="BA61" i="67"/>
  <c r="AX61" i="67"/>
  <c r="BB57" i="67"/>
  <c r="AZ53" i="67"/>
  <c r="AY49" i="67"/>
  <c r="AZ45" i="67"/>
  <c r="AX45" i="67"/>
  <c r="AX41" i="67"/>
  <c r="BB62" i="67"/>
  <c r="AY54" i="67"/>
  <c r="BA54" i="67"/>
  <c r="AY50" i="67"/>
  <c r="BB42" i="67"/>
  <c r="BA55" i="67"/>
  <c r="BB47" i="67"/>
  <c r="AZ47" i="67"/>
  <c r="BB60" i="67"/>
  <c r="AX56" i="67"/>
  <c r="AZ52" i="67"/>
  <c r="AZ48" i="67"/>
  <c r="AY48" i="67"/>
  <c r="AX44" i="67"/>
  <c r="AZ58" i="67"/>
  <c r="BB46" i="67"/>
  <c r="AY63" i="67"/>
  <c r="BB59" i="67"/>
  <c r="AY51" i="67"/>
  <c r="AY65" i="67"/>
  <c r="AZ65" i="67"/>
  <c r="AX65" i="67"/>
  <c r="BA65" i="67"/>
  <c r="BB65" i="67"/>
  <c r="AY61" i="67"/>
  <c r="AX57" i="67"/>
  <c r="BA49" i="67"/>
  <c r="BA41" i="67"/>
  <c r="AX62" i="67"/>
  <c r="BB50" i="67"/>
  <c r="AX42" i="67"/>
  <c r="BA47" i="67"/>
  <c r="AY60" i="67"/>
  <c r="BB52" i="67"/>
  <c r="BA44" i="67"/>
  <c r="AY58" i="67"/>
  <c r="BB63" i="67"/>
  <c r="AX59" i="67"/>
  <c r="AZ59" i="67"/>
  <c r="BB51" i="67"/>
  <c r="AZ61" i="67"/>
  <c r="AX53" i="67"/>
  <c r="AX54" i="67"/>
  <c r="AZ42" i="67"/>
  <c r="AX55" i="67"/>
  <c r="BA60" i="67"/>
  <c r="AY56" i="67"/>
  <c r="AX48" i="67"/>
  <c r="BB58" i="67"/>
  <c r="AZ46" i="67"/>
  <c r="BA59" i="67"/>
  <c r="AX51" i="67"/>
  <c r="AZ51" i="67"/>
  <c r="BB64" i="67"/>
  <c r="AY64" i="67"/>
  <c r="BB61" i="67"/>
  <c r="AY57" i="67"/>
  <c r="BA53" i="67"/>
  <c r="AZ49" i="67"/>
  <c r="AX49" i="67"/>
  <c r="BB45" i="67"/>
  <c r="BB41" i="67"/>
  <c r="AY62" i="67"/>
  <c r="BA62" i="67"/>
  <c r="AZ54" i="67"/>
  <c r="AZ50" i="67"/>
  <c r="AY42" i="67"/>
  <c r="BB55" i="67"/>
  <c r="AX47" i="67"/>
  <c r="AZ60" i="67"/>
  <c r="BB56" i="67"/>
  <c r="BA52" i="67"/>
  <c r="AY52" i="67"/>
  <c r="BA48" i="67"/>
  <c r="BB44" i="67"/>
  <c r="AX58" i="67"/>
  <c r="AY46" i="67"/>
  <c r="BA46" i="67"/>
  <c r="AX63" i="67"/>
  <c r="AY59" i="67"/>
  <c r="BA51" i="67"/>
  <c r="BB43" i="67"/>
  <c r="AZ43" i="67"/>
  <c r="AT48" i="67"/>
  <c r="AS41" i="67"/>
  <c r="AT44" i="67"/>
  <c r="AV45" i="67"/>
  <c r="AT43" i="67"/>
  <c r="AU48" i="67"/>
  <c r="AS45" i="67"/>
  <c r="AU41" i="67"/>
  <c r="AU43" i="67"/>
  <c r="AA97" i="67"/>
  <c r="AT53" i="67"/>
  <c r="AU59" i="67"/>
  <c r="AS47" i="67"/>
  <c r="AU47" i="67"/>
  <c r="AV56" i="67"/>
  <c r="AS50" i="67"/>
  <c r="AV46" i="67"/>
  <c r="AW48" i="67"/>
  <c r="AT61" i="67"/>
  <c r="AS57" i="67"/>
  <c r="AS53" i="67"/>
  <c r="AU45" i="67"/>
  <c r="AT41" i="67"/>
  <c r="AT47" i="67"/>
  <c r="AU56" i="67"/>
  <c r="AS62" i="67"/>
  <c r="AT62" i="67"/>
  <c r="AS58" i="67"/>
  <c r="AT55" i="67"/>
  <c r="AV44" i="67"/>
  <c r="AS61" i="67"/>
  <c r="AU57" i="67"/>
  <c r="AW57" i="67"/>
  <c r="AW53" i="67"/>
  <c r="AU49" i="67"/>
  <c r="AW49" i="67"/>
  <c r="AT45" i="67"/>
  <c r="AW59" i="67"/>
  <c r="AV59" i="67"/>
  <c r="AT51" i="67"/>
  <c r="AU51" i="67"/>
  <c r="AV47" i="67"/>
  <c r="AS43" i="67"/>
  <c r="AV43" i="67"/>
  <c r="AW56" i="67"/>
  <c r="AW62" i="67"/>
  <c r="AU58" i="67"/>
  <c r="AW58" i="67"/>
  <c r="AS54" i="67"/>
  <c r="AT54" i="67"/>
  <c r="AT50" i="67"/>
  <c r="AU46" i="67"/>
  <c r="AW46" i="67"/>
  <c r="AU42" i="67"/>
  <c r="AS42" i="67"/>
  <c r="AV60" i="67"/>
  <c r="AV48" i="67"/>
  <c r="AU61" i="67"/>
  <c r="AV53" i="67"/>
  <c r="AT59" i="67"/>
  <c r="AV62" i="67"/>
  <c r="AT58" i="67"/>
  <c r="AU54" i="67"/>
  <c r="AS55" i="67"/>
  <c r="AV55" i="67"/>
  <c r="AU60" i="67"/>
  <c r="AU52" i="67"/>
  <c r="AA94" i="67"/>
  <c r="AW61" i="67"/>
  <c r="AU53" i="67"/>
  <c r="AS49" i="67"/>
  <c r="AV51" i="67"/>
  <c r="AW47" i="67"/>
  <c r="AW54" i="67"/>
  <c r="AW50" i="67"/>
  <c r="AT46" i="67"/>
  <c r="AW42" i="67"/>
  <c r="AT60" i="67"/>
  <c r="AS52" i="67"/>
  <c r="AT52" i="67"/>
  <c r="AU44" i="67"/>
  <c r="AA95" i="67"/>
  <c r="AV61" i="67"/>
  <c r="AV57" i="67"/>
  <c r="AT57" i="67"/>
  <c r="AV49" i="67"/>
  <c r="AT49" i="67"/>
  <c r="AW45" i="67"/>
  <c r="AW41" i="67"/>
  <c r="AV41" i="67"/>
  <c r="AS59" i="67"/>
  <c r="AS51" i="67"/>
  <c r="AW51" i="67"/>
  <c r="AW43" i="67"/>
  <c r="AS56" i="67"/>
  <c r="AT56" i="67"/>
  <c r="Y148" i="67"/>
  <c r="AE148" i="67" s="1"/>
  <c r="A148" i="67"/>
  <c r="AU62" i="67"/>
  <c r="AV58" i="67"/>
  <c r="AV54" i="67"/>
  <c r="AV50" i="67"/>
  <c r="AU50" i="67"/>
  <c r="AS46" i="67"/>
  <c r="AT42" i="67"/>
  <c r="AV42" i="67"/>
  <c r="AW55" i="67"/>
  <c r="AS60" i="67"/>
  <c r="AW60" i="67"/>
  <c r="AW52" i="67"/>
  <c r="AV52" i="67"/>
  <c r="AS48" i="67"/>
  <c r="AW44" i="67"/>
  <c r="AS44" i="67"/>
  <c r="Z44" i="76"/>
  <c r="P32" i="67"/>
  <c r="AN63" i="66"/>
  <c r="AR32" i="66"/>
  <c r="AA80" i="66"/>
  <c r="AP63" i="66"/>
  <c r="AT32" i="66"/>
  <c r="Z37" i="76"/>
  <c r="P32" i="66"/>
  <c r="AU32" i="66"/>
  <c r="Y132" i="67"/>
  <c r="A132" i="67"/>
  <c r="A118" i="67"/>
  <c r="Y118" i="67"/>
  <c r="A114" i="67"/>
  <c r="Y114" i="67"/>
  <c r="A131" i="67"/>
  <c r="Y131" i="67"/>
  <c r="Y121" i="67"/>
  <c r="A121" i="67"/>
  <c r="Y116" i="67"/>
  <c r="A116" i="67"/>
  <c r="A123" i="67"/>
  <c r="Y123" i="67"/>
  <c r="Y117" i="67"/>
  <c r="A117" i="67"/>
  <c r="A127" i="67"/>
  <c r="Y127" i="67"/>
  <c r="A122" i="67"/>
  <c r="Y122" i="67"/>
  <c r="Y206" i="67"/>
  <c r="AE206" i="67" s="1"/>
  <c r="B134" i="67"/>
  <c r="Y134" i="67" s="1"/>
  <c r="Y129" i="67"/>
  <c r="A129" i="67"/>
  <c r="Y125" i="67"/>
  <c r="A125" i="67"/>
  <c r="Y113" i="67"/>
  <c r="A113" i="67"/>
  <c r="Y133" i="67"/>
  <c r="A133" i="67"/>
  <c r="A130" i="67"/>
  <c r="Y130" i="67"/>
  <c r="A126" i="67"/>
  <c r="Y126" i="67"/>
  <c r="Y112" i="67"/>
  <c r="A112" i="67"/>
  <c r="Y120" i="67"/>
  <c r="A120" i="67"/>
  <c r="Y207" i="67"/>
  <c r="AE207" i="67" s="1"/>
  <c r="B135" i="67"/>
  <c r="Y135" i="67" s="1"/>
  <c r="Y128" i="67"/>
  <c r="A128" i="67"/>
  <c r="Y124" i="67"/>
  <c r="A124" i="67"/>
  <c r="A119" i="67"/>
  <c r="Y119" i="67"/>
  <c r="A115" i="67"/>
  <c r="Y115" i="67"/>
  <c r="BV44" i="67"/>
  <c r="X46" i="76"/>
  <c r="AA46" i="76"/>
  <c r="E46" i="76"/>
  <c r="P46" i="76"/>
  <c r="H46" i="76"/>
  <c r="Q46" i="76"/>
  <c r="V46" i="76"/>
  <c r="R46" i="76"/>
  <c r="K46" i="76"/>
  <c r="M46" i="76"/>
  <c r="J46" i="76"/>
  <c r="F46" i="76"/>
  <c r="Z46" i="76"/>
  <c r="N46" i="76"/>
  <c r="T46" i="76"/>
  <c r="D46" i="76"/>
  <c r="L46" i="76"/>
  <c r="G46" i="76"/>
  <c r="O46" i="76"/>
  <c r="W46" i="76"/>
  <c r="U46" i="76"/>
  <c r="S46" i="76"/>
  <c r="Y46" i="76"/>
  <c r="I46" i="76"/>
  <c r="BB63" i="66"/>
  <c r="Z39" i="76"/>
  <c r="AI22" i="67"/>
  <c r="Q22" i="67" s="1"/>
  <c r="AI27" i="67"/>
  <c r="Q30" i="67" s="1"/>
  <c r="AI28" i="67"/>
  <c r="Q31" i="67" s="1"/>
  <c r="AI22" i="66"/>
  <c r="Q22" i="66" s="1"/>
  <c r="AI27" i="66"/>
  <c r="Q30" i="66" s="1"/>
  <c r="AI28" i="66"/>
  <c r="Q31" i="66" s="1"/>
  <c r="AI15" i="66"/>
  <c r="Q15" i="66" s="1"/>
  <c r="AI14" i="66"/>
  <c r="Q14" i="66" s="1"/>
  <c r="AI13" i="66"/>
  <c r="Q13" i="66" s="1"/>
  <c r="AI24" i="66"/>
  <c r="Q25" i="66" s="1"/>
  <c r="AI23" i="66"/>
  <c r="Q24" i="66" s="1"/>
  <c r="AI18" i="66"/>
  <c r="Q18" i="66" s="1"/>
  <c r="AI21" i="66"/>
  <c r="Q21" i="66" s="1"/>
  <c r="AI26" i="66"/>
  <c r="Q29" i="66" s="1"/>
  <c r="AI19" i="66"/>
  <c r="Q19" i="66" s="1"/>
  <c r="AI20" i="66"/>
  <c r="Q20" i="66" s="1"/>
  <c r="AI25" i="66"/>
  <c r="Q28" i="66" s="1"/>
  <c r="AI12" i="66"/>
  <c r="Q12" i="66" s="1"/>
  <c r="AI11" i="66"/>
  <c r="Q11" i="66" s="1"/>
  <c r="AI10" i="66"/>
  <c r="Q10" i="66" s="1"/>
  <c r="AI17" i="66"/>
  <c r="Q17" i="66" s="1"/>
  <c r="AI16" i="66"/>
  <c r="Q16" i="66" s="1"/>
  <c r="AI10" i="67"/>
  <c r="Q10" i="67" s="1"/>
  <c r="AI14" i="67"/>
  <c r="Q14" i="67" s="1"/>
  <c r="AI23" i="67"/>
  <c r="Q24" i="67" s="1"/>
  <c r="AI19" i="67"/>
  <c r="Q19" i="67" s="1"/>
  <c r="AI18" i="67"/>
  <c r="Q18" i="67" s="1"/>
  <c r="AI24" i="67"/>
  <c r="Q25" i="67" s="1"/>
  <c r="AI16" i="67"/>
  <c r="Q16" i="67" s="1"/>
  <c r="AI12" i="67"/>
  <c r="Q12" i="67" s="1"/>
  <c r="AI13" i="67"/>
  <c r="Q13" i="67" s="1"/>
  <c r="AI26" i="67"/>
  <c r="Q29" i="67" s="1"/>
  <c r="AI17" i="67"/>
  <c r="Q17" i="67" s="1"/>
  <c r="AI15" i="67"/>
  <c r="Q15" i="67" s="1"/>
  <c r="AI20" i="67"/>
  <c r="Q20" i="67" s="1"/>
  <c r="AI21" i="67"/>
  <c r="Q21" i="67" s="1"/>
  <c r="AI25" i="67"/>
  <c r="Q28" i="67" s="1"/>
  <c r="AI11" i="67"/>
  <c r="Q11" i="67" s="1"/>
  <c r="Y189" i="67"/>
  <c r="AE189" i="67" s="1"/>
  <c r="A189" i="67"/>
  <c r="Y194" i="67"/>
  <c r="AE194" i="67" s="1"/>
  <c r="A194" i="67"/>
  <c r="Y205" i="67"/>
  <c r="AE205" i="67" s="1"/>
  <c r="A205" i="67"/>
  <c r="Y184" i="67"/>
  <c r="AE184" i="67" s="1"/>
  <c r="A184" i="67"/>
  <c r="BW65" i="67"/>
  <c r="Y192" i="67"/>
  <c r="AE192" i="67" s="1"/>
  <c r="A192" i="67"/>
  <c r="Y200" i="67"/>
  <c r="AE200" i="67" s="1"/>
  <c r="A200" i="67"/>
  <c r="Y196" i="67"/>
  <c r="AE196" i="67" s="1"/>
  <c r="A196" i="67"/>
  <c r="Y191" i="67"/>
  <c r="AE191" i="67" s="1"/>
  <c r="A191" i="67"/>
  <c r="Y187" i="67"/>
  <c r="AE187" i="67" s="1"/>
  <c r="A187" i="67"/>
  <c r="Y188" i="67"/>
  <c r="AE188" i="67" s="1"/>
  <c r="A188" i="67"/>
  <c r="Y195" i="67"/>
  <c r="AE195" i="67" s="1"/>
  <c r="A195" i="67"/>
  <c r="Y199" i="67"/>
  <c r="AE199" i="67" s="1"/>
  <c r="A199" i="67"/>
  <c r="Y201" i="67"/>
  <c r="AE201" i="67" s="1"/>
  <c r="A201" i="67"/>
  <c r="Y197" i="67"/>
  <c r="AE197" i="67" s="1"/>
  <c r="A197" i="67"/>
  <c r="Y185" i="67"/>
  <c r="AE185" i="67" s="1"/>
  <c r="A185" i="67"/>
  <c r="Y202" i="67"/>
  <c r="AE202" i="67" s="1"/>
  <c r="A202" i="67"/>
  <c r="Y198" i="67"/>
  <c r="AE198" i="67" s="1"/>
  <c r="A198" i="67"/>
  <c r="BW41" i="67"/>
  <c r="Y204" i="67"/>
  <c r="AE204" i="67" s="1"/>
  <c r="A204" i="67"/>
  <c r="Y190" i="67"/>
  <c r="AE190" i="67" s="1"/>
  <c r="A190" i="67"/>
  <c r="Y186" i="67"/>
  <c r="AE186" i="67" s="1"/>
  <c r="A186" i="67"/>
  <c r="Y203" i="67"/>
  <c r="AE203" i="67" s="1"/>
  <c r="A203" i="67"/>
  <c r="Y193" i="67"/>
  <c r="AE193" i="67" s="1"/>
  <c r="A193" i="67"/>
  <c r="BU58" i="67"/>
  <c r="BW44" i="67"/>
  <c r="BW55" i="67"/>
  <c r="BS65" i="67"/>
  <c r="BV65" i="67"/>
  <c r="BV62" i="67"/>
  <c r="BV52" i="67"/>
  <c r="BV41" i="67"/>
  <c r="BU52" i="67"/>
  <c r="BW61" i="67"/>
  <c r="BS49" i="67"/>
  <c r="BU54" i="67"/>
  <c r="BU61" i="67"/>
  <c r="BV48" i="67"/>
  <c r="BT53" i="67"/>
  <c r="BS61" i="67"/>
  <c r="BS48" i="67"/>
  <c r="BU50" i="67"/>
  <c r="BU57" i="67"/>
  <c r="BT43" i="67"/>
  <c r="BT47" i="67"/>
  <c r="BT48" i="67"/>
  <c r="BV50" i="67"/>
  <c r="BS56" i="67"/>
  <c r="BS63" i="67"/>
  <c r="BT50" i="67"/>
  <c r="BS42" i="67"/>
  <c r="BV61" i="67"/>
  <c r="BS57" i="67"/>
  <c r="BT46" i="67"/>
  <c r="BW54" i="67"/>
  <c r="BT65" i="67"/>
  <c r="BU65" i="67"/>
  <c r="BU59" i="67"/>
  <c r="BT62" i="67"/>
  <c r="BU49" i="67"/>
  <c r="BU56" i="67"/>
  <c r="BV58" i="67"/>
  <c r="BS64" i="67"/>
  <c r="BT51" i="67"/>
  <c r="BT58" i="67"/>
  <c r="BT44" i="67"/>
  <c r="BS41" i="67"/>
  <c r="BW45" i="67"/>
  <c r="BU64" i="67"/>
  <c r="BW57" i="67"/>
  <c r="BS60" i="67"/>
  <c r="BV46" i="67"/>
  <c r="BT54" i="67"/>
  <c r="BS46" i="67"/>
  <c r="BT57" i="67"/>
  <c r="BW62" i="67"/>
  <c r="BS47" i="67"/>
  <c r="BW52" i="67"/>
  <c r="BW59" i="67"/>
  <c r="BU46" i="67"/>
  <c r="BS44" i="67"/>
  <c r="BT63" i="67"/>
  <c r="BU60" i="67"/>
  <c r="BT56" i="67"/>
  <c r="BU45" i="67"/>
  <c r="BS53" i="67"/>
  <c r="BS58" i="67"/>
  <c r="BW49" i="67"/>
  <c r="BS59" i="67"/>
  <c r="BU44" i="67"/>
  <c r="BU43" i="67"/>
  <c r="BW43" i="67"/>
  <c r="BW60" i="67"/>
  <c r="BW47" i="67"/>
  <c r="BS55" i="67"/>
  <c r="BW46" i="67"/>
  <c r="BU41" i="67"/>
  <c r="BS54" i="67"/>
  <c r="BV51" i="67"/>
  <c r="BV54" i="67"/>
  <c r="BW56" i="67"/>
  <c r="BW63" i="67"/>
  <c r="BS51" i="67"/>
  <c r="BW42" i="67"/>
  <c r="BW50" i="67"/>
  <c r="BS50" i="67"/>
  <c r="BT60" i="67"/>
  <c r="BU62" i="67"/>
  <c r="BV49" i="67"/>
  <c r="BV56" i="67"/>
  <c r="BU48" i="67"/>
  <c r="BT42" i="67"/>
  <c r="BS62" i="67"/>
  <c r="BV59" i="67"/>
  <c r="BW48" i="67"/>
  <c r="BW64" i="67"/>
  <c r="BS52" i="67"/>
  <c r="BU42" i="67"/>
  <c r="BS43" i="67"/>
  <c r="BT52" i="67"/>
  <c r="BV57" i="67"/>
  <c r="BV64" i="67"/>
  <c r="BW51" i="67"/>
  <c r="BV43" i="67"/>
  <c r="BV63" i="67"/>
  <c r="BS45" i="67"/>
  <c r="BT64" i="67"/>
  <c r="BU51" i="67"/>
  <c r="BV53" i="67"/>
  <c r="BV60" i="67"/>
  <c r="BU47" i="67"/>
  <c r="BV55" i="67"/>
  <c r="BT61" i="67"/>
  <c r="BW53" i="67"/>
  <c r="BT59" i="67"/>
  <c r="BV45" i="67"/>
  <c r="BU53" i="67"/>
  <c r="BT45" i="67"/>
  <c r="BV42" i="67"/>
  <c r="BT41" i="67"/>
  <c r="BW58" i="67"/>
  <c r="BV47" i="67"/>
  <c r="BT55" i="67"/>
  <c r="BT49" i="67"/>
  <c r="AQ63" i="66"/>
  <c r="AQ63" i="67"/>
  <c r="AL65" i="67"/>
  <c r="AL65" i="66"/>
  <c r="AA45" i="76" l="1"/>
  <c r="Z45" i="76"/>
  <c r="AV65" i="67"/>
  <c r="AW65" i="67"/>
  <c r="AS65" i="67"/>
  <c r="AU65" i="67"/>
  <c r="AT65" i="67"/>
  <c r="AW63" i="67"/>
  <c r="AU64" i="67"/>
  <c r="AW64" i="67"/>
  <c r="AT63" i="67"/>
  <c r="AV63" i="67"/>
  <c r="AT64" i="67"/>
  <c r="AS64" i="67"/>
  <c r="AV64" i="67"/>
  <c r="AS63" i="67"/>
  <c r="BR65" i="67"/>
  <c r="Y100" i="65" l="1"/>
  <c r="Y99" i="65"/>
  <c r="Y98" i="65"/>
  <c r="Y97" i="65"/>
  <c r="Y96" i="65"/>
  <c r="Y95" i="65"/>
  <c r="Y94" i="65"/>
  <c r="Y93" i="65"/>
  <c r="Y92" i="65"/>
  <c r="Y91" i="65"/>
  <c r="Y90" i="65"/>
  <c r="Y89" i="65"/>
  <c r="Y88" i="65"/>
  <c r="Y87" i="65"/>
  <c r="Y86" i="65"/>
  <c r="Y85" i="65"/>
  <c r="Y84" i="65"/>
  <c r="Y83" i="65"/>
  <c r="Y82" i="65"/>
  <c r="Y81" i="65"/>
  <c r="Y80" i="65"/>
  <c r="Y79" i="65"/>
  <c r="Y78" i="65"/>
  <c r="Y77" i="65"/>
  <c r="Y44" i="65"/>
  <c r="AA33" i="65"/>
  <c r="Z33" i="65"/>
  <c r="AL64" i="65"/>
  <c r="AL63" i="65"/>
  <c r="AL62" i="65"/>
  <c r="AL61" i="65"/>
  <c r="AL60" i="65"/>
  <c r="AL59" i="65"/>
  <c r="AL58" i="65"/>
  <c r="AL57" i="65"/>
  <c r="AL56" i="65"/>
  <c r="AL55" i="65"/>
  <c r="AR55" i="65" s="1"/>
  <c r="AL54" i="65"/>
  <c r="AO54" i="65" s="1"/>
  <c r="AL53" i="65"/>
  <c r="AL52" i="65"/>
  <c r="AL51" i="65"/>
  <c r="AR51" i="65" s="1"/>
  <c r="AL50" i="65"/>
  <c r="AL49" i="65"/>
  <c r="AL48" i="65"/>
  <c r="AL47" i="65"/>
  <c r="AR47" i="65" s="1"/>
  <c r="AL46" i="65"/>
  <c r="AL45" i="65"/>
  <c r="AL44" i="65"/>
  <c r="AL43" i="65"/>
  <c r="AR43" i="65" s="1"/>
  <c r="AL42" i="65"/>
  <c r="AL41" i="65"/>
  <c r="Y33" i="65"/>
  <c r="Y32" i="65"/>
  <c r="Y31" i="65"/>
  <c r="S31" i="65"/>
  <c r="T31" i="65" s="1"/>
  <c r="U31" i="65" s="1"/>
  <c r="Y30" i="65"/>
  <c r="S30" i="65"/>
  <c r="T30" i="65" s="1"/>
  <c r="U30" i="65" s="1"/>
  <c r="Y29" i="65"/>
  <c r="S29" i="65"/>
  <c r="T29" i="65" s="1"/>
  <c r="U29" i="65" s="1"/>
  <c r="AQ60" i="65"/>
  <c r="Y28" i="65"/>
  <c r="S28" i="65"/>
  <c r="T28" i="65" s="1"/>
  <c r="U28" i="65" s="1"/>
  <c r="Y27" i="65"/>
  <c r="S27" i="65"/>
  <c r="T27" i="65" s="1"/>
  <c r="U27" i="65" s="1"/>
  <c r="Y26" i="65"/>
  <c r="S26" i="65"/>
  <c r="T26" i="65" s="1"/>
  <c r="U26" i="65" s="1"/>
  <c r="Y25" i="65"/>
  <c r="S25" i="65"/>
  <c r="T25" i="65" s="1"/>
  <c r="U25" i="65" s="1"/>
  <c r="Y24" i="65"/>
  <c r="S24" i="65"/>
  <c r="T24" i="65" s="1"/>
  <c r="U24" i="65" s="1"/>
  <c r="Y23" i="65"/>
  <c r="S23" i="65"/>
  <c r="T23" i="65" s="1"/>
  <c r="U23" i="65" s="1"/>
  <c r="Y22" i="65"/>
  <c r="S22" i="65"/>
  <c r="T22" i="65" s="1"/>
  <c r="U22" i="65" s="1"/>
  <c r="Y21" i="65"/>
  <c r="S21" i="65"/>
  <c r="T21" i="65" s="1"/>
  <c r="U21" i="65" s="1"/>
  <c r="Y20" i="65"/>
  <c r="S20" i="65"/>
  <c r="T20" i="65" s="1"/>
  <c r="U20" i="65" s="1"/>
  <c r="Y19" i="65"/>
  <c r="S19" i="65"/>
  <c r="T19" i="65" s="1"/>
  <c r="U19" i="65" s="1"/>
  <c r="Y18" i="65"/>
  <c r="S18" i="65"/>
  <c r="T18" i="65" s="1"/>
  <c r="U18" i="65" s="1"/>
  <c r="Y17" i="65"/>
  <c r="S17" i="65"/>
  <c r="T17" i="65" s="1"/>
  <c r="U17" i="65" s="1"/>
  <c r="Y16" i="65"/>
  <c r="S16" i="65"/>
  <c r="T16" i="65" s="1"/>
  <c r="U16" i="65" s="1"/>
  <c r="Y15" i="65"/>
  <c r="S15" i="65"/>
  <c r="T15" i="65" s="1"/>
  <c r="U15" i="65" s="1"/>
  <c r="Y14" i="65"/>
  <c r="S14" i="65"/>
  <c r="T14" i="65" s="1"/>
  <c r="U14" i="65" s="1"/>
  <c r="Y13" i="65"/>
  <c r="S13" i="65"/>
  <c r="T13" i="65" s="1"/>
  <c r="U13" i="65" s="1"/>
  <c r="Y12" i="65"/>
  <c r="S12" i="65"/>
  <c r="T12" i="65" s="1"/>
  <c r="U12" i="65" s="1"/>
  <c r="Y11" i="65"/>
  <c r="S11" i="65"/>
  <c r="T11" i="65" s="1"/>
  <c r="U11" i="65" s="1"/>
  <c r="Y10" i="65"/>
  <c r="AR42" i="65" l="1"/>
  <c r="AR58" i="65"/>
  <c r="AR59" i="65"/>
  <c r="AR44" i="65"/>
  <c r="AR52" i="65"/>
  <c r="AR60" i="65"/>
  <c r="AR61" i="65"/>
  <c r="AR45" i="65"/>
  <c r="AR48" i="65"/>
  <c r="AR56" i="65"/>
  <c r="AR57" i="65"/>
  <c r="AN45" i="65"/>
  <c r="AO48" i="65"/>
  <c r="AM60" i="65"/>
  <c r="AM52" i="65"/>
  <c r="AM48" i="65"/>
  <c r="AQ52" i="65"/>
  <c r="AO60" i="65"/>
  <c r="AO44" i="65"/>
  <c r="AQ48" i="65"/>
  <c r="AO56" i="65"/>
  <c r="AO50" i="65"/>
  <c r="AR50" i="65"/>
  <c r="AM54" i="65"/>
  <c r="AR54" i="65"/>
  <c r="AN41" i="65"/>
  <c r="AR41" i="65"/>
  <c r="AN49" i="65"/>
  <c r="AR49" i="65"/>
  <c r="AN53" i="65"/>
  <c r="AR53" i="65"/>
  <c r="AQ64" i="65"/>
  <c r="AQ46" i="65"/>
  <c r="AR46" i="65"/>
  <c r="AO62" i="65"/>
  <c r="AR62" i="65"/>
  <c r="AM46" i="65"/>
  <c r="AQ54" i="65"/>
  <c r="AP55" i="65"/>
  <c r="AI23" i="65"/>
  <c r="Q24" i="65" s="1"/>
  <c r="AM42" i="65"/>
  <c r="AQ42" i="65"/>
  <c r="AN57" i="65"/>
  <c r="AO58" i="65"/>
  <c r="AO42" i="65"/>
  <c r="AP49" i="65"/>
  <c r="AP57" i="65"/>
  <c r="AM58" i="65"/>
  <c r="AQ58" i="65"/>
  <c r="AP41" i="65"/>
  <c r="AO46" i="65"/>
  <c r="AM50" i="65"/>
  <c r="AQ50" i="65"/>
  <c r="AO52" i="65"/>
  <c r="AM56" i="65"/>
  <c r="AQ56" i="65"/>
  <c r="AN61" i="65"/>
  <c r="AM62" i="65"/>
  <c r="AQ62" i="65"/>
  <c r="AM64" i="65"/>
  <c r="AP47" i="65"/>
  <c r="AO64" i="65"/>
  <c r="Z95" i="65"/>
  <c r="Z77" i="65"/>
  <c r="Z85" i="65"/>
  <c r="Z93" i="65"/>
  <c r="AA98" i="65"/>
  <c r="Z79" i="65"/>
  <c r="Z83" i="65"/>
  <c r="Z87" i="65"/>
  <c r="Z91" i="65"/>
  <c r="Z99" i="65"/>
  <c r="Z81" i="65"/>
  <c r="Z89" i="65"/>
  <c r="Z97" i="65"/>
  <c r="AA4" i="65"/>
  <c r="M65" i="65" s="1"/>
  <c r="AQ65" i="65"/>
  <c r="AA88" i="65"/>
  <c r="AA92" i="65"/>
  <c r="AA96" i="65"/>
  <c r="AA100" i="65"/>
  <c r="AA80" i="65"/>
  <c r="AA84" i="65"/>
  <c r="AQ44" i="65"/>
  <c r="AM63" i="65"/>
  <c r="AA97" i="65"/>
  <c r="L32" i="65"/>
  <c r="N32" i="65"/>
  <c r="AO32" i="65" s="1"/>
  <c r="AO43" i="65"/>
  <c r="AQ43" i="65"/>
  <c r="AM43" i="65"/>
  <c r="AN43" i="65"/>
  <c r="AP43" i="65"/>
  <c r="AA79" i="65"/>
  <c r="AM65" i="65"/>
  <c r="AM44" i="65"/>
  <c r="AA95" i="65"/>
  <c r="AO47" i="65"/>
  <c r="AQ47" i="65"/>
  <c r="AM47" i="65"/>
  <c r="AP51" i="65"/>
  <c r="AQ55" i="65"/>
  <c r="AM55" i="65"/>
  <c r="AP59" i="65"/>
  <c r="AP65" i="65"/>
  <c r="AA94" i="65"/>
  <c r="AA90" i="65"/>
  <c r="AA86" i="65"/>
  <c r="AA82" i="65"/>
  <c r="AA78" i="65"/>
  <c r="AN65" i="65"/>
  <c r="AQ45" i="65"/>
  <c r="AM45" i="65"/>
  <c r="AO45" i="65"/>
  <c r="AN47" i="65"/>
  <c r="AQ53" i="65"/>
  <c r="AM53" i="65"/>
  <c r="AO53" i="65"/>
  <c r="AN55" i="65"/>
  <c r="AQ61" i="65"/>
  <c r="AM61" i="65"/>
  <c r="AO61" i="65"/>
  <c r="Z78" i="65"/>
  <c r="Z80" i="65"/>
  <c r="Z82" i="65"/>
  <c r="Z84" i="65"/>
  <c r="Z86" i="65"/>
  <c r="Z88" i="65"/>
  <c r="Z90" i="65"/>
  <c r="Z92" i="65"/>
  <c r="Z94" i="65"/>
  <c r="Z96" i="65"/>
  <c r="Z98" i="65"/>
  <c r="Z100" i="65"/>
  <c r="AO51" i="65"/>
  <c r="AQ51" i="65"/>
  <c r="AM51" i="65"/>
  <c r="AO59" i="65"/>
  <c r="AQ59" i="65"/>
  <c r="AM59" i="65"/>
  <c r="AQ41" i="65"/>
  <c r="AM41" i="65"/>
  <c r="AO41" i="65"/>
  <c r="AP45" i="65"/>
  <c r="AQ49" i="65"/>
  <c r="AM49" i="65"/>
  <c r="AO49" i="65"/>
  <c r="AN51" i="65"/>
  <c r="AP53" i="65"/>
  <c r="AQ57" i="65"/>
  <c r="AM57" i="65"/>
  <c r="AO57" i="65"/>
  <c r="AN59" i="65"/>
  <c r="AP61" i="65"/>
  <c r="AO65" i="65"/>
  <c r="AA77" i="65"/>
  <c r="AA81" i="65"/>
  <c r="AA83" i="65"/>
  <c r="AA85" i="65"/>
  <c r="AA87" i="65"/>
  <c r="AA89" i="65"/>
  <c r="AA91" i="65"/>
  <c r="AA93" i="65"/>
  <c r="AA99" i="65"/>
  <c r="AP42" i="65"/>
  <c r="AN44" i="65"/>
  <c r="AP46" i="65"/>
  <c r="AN48" i="65"/>
  <c r="AP50" i="65"/>
  <c r="AN52" i="65"/>
  <c r="AP54" i="65"/>
  <c r="AN56" i="65"/>
  <c r="AP58" i="65"/>
  <c r="AN60" i="65"/>
  <c r="AP62" i="65"/>
  <c r="AN64" i="65"/>
  <c r="AN42" i="65"/>
  <c r="AP44" i="65"/>
  <c r="AN46" i="65"/>
  <c r="AP48" i="65"/>
  <c r="AN50" i="65"/>
  <c r="AP52" i="65"/>
  <c r="AN54" i="65"/>
  <c r="AP56" i="65"/>
  <c r="AN58" i="65"/>
  <c r="AP60" i="65"/>
  <c r="AN62" i="65"/>
  <c r="AP64" i="65"/>
  <c r="AL32" i="65" l="1"/>
  <c r="AP63" i="65"/>
  <c r="AN63" i="65"/>
  <c r="AW63" i="66"/>
  <c r="Z38" i="76"/>
  <c r="AI28" i="65"/>
  <c r="Q31" i="65" s="1"/>
  <c r="AI22" i="65"/>
  <c r="Q22" i="65" s="1"/>
  <c r="AI27" i="65"/>
  <c r="Q30" i="65" s="1"/>
  <c r="AI26" i="65"/>
  <c r="Q29" i="65" s="1"/>
  <c r="AI11" i="65"/>
  <c r="Q11" i="65" s="1"/>
  <c r="AI19" i="65"/>
  <c r="Q19" i="65" s="1"/>
  <c r="AI17" i="65"/>
  <c r="Q17" i="65" s="1"/>
  <c r="AI18" i="65"/>
  <c r="Q18" i="65" s="1"/>
  <c r="AI21" i="65"/>
  <c r="Q21" i="65" s="1"/>
  <c r="AI15" i="65"/>
  <c r="Q15" i="65" s="1"/>
  <c r="AI14" i="65"/>
  <c r="Q14" i="65" s="1"/>
  <c r="AI24" i="65"/>
  <c r="Q25" i="65" s="1"/>
  <c r="AI16" i="65"/>
  <c r="Q16" i="65" s="1"/>
  <c r="AI25" i="65"/>
  <c r="Q28" i="65" s="1"/>
  <c r="AI13" i="65"/>
  <c r="Q13" i="65" s="1"/>
  <c r="AI10" i="65"/>
  <c r="Q10" i="65" s="1"/>
  <c r="AI20" i="65"/>
  <c r="Q20" i="65" s="1"/>
  <c r="AI12" i="65"/>
  <c r="Q12" i="65" s="1"/>
  <c r="AL65" i="65"/>
  <c r="P32" i="65" l="1"/>
  <c r="AQ63" i="65"/>
  <c r="Z36" i="76"/>
  <c r="Y100" i="64"/>
  <c r="Y99" i="64"/>
  <c r="Y98" i="64"/>
  <c r="Y97" i="64"/>
  <c r="Y96" i="64"/>
  <c r="Y95" i="64"/>
  <c r="Y94" i="64"/>
  <c r="Y93" i="64"/>
  <c r="Y92" i="64"/>
  <c r="Y91" i="64"/>
  <c r="Y90" i="64"/>
  <c r="Y89" i="64"/>
  <c r="Y88" i="64"/>
  <c r="Y87" i="64"/>
  <c r="Y86" i="64"/>
  <c r="Y85" i="64"/>
  <c r="Y84" i="64"/>
  <c r="Y83" i="64"/>
  <c r="Y82" i="64"/>
  <c r="Y81" i="64"/>
  <c r="Y80" i="64"/>
  <c r="Y79" i="64"/>
  <c r="Y78" i="64"/>
  <c r="Y77" i="64"/>
  <c r="Y44" i="64"/>
  <c r="AA33" i="64"/>
  <c r="Z33" i="64"/>
  <c r="AL64" i="64"/>
  <c r="AL63" i="64"/>
  <c r="AL62" i="64"/>
  <c r="AL61" i="64"/>
  <c r="AL60" i="64"/>
  <c r="AL59" i="64"/>
  <c r="AL58" i="64"/>
  <c r="AL57" i="64"/>
  <c r="AR57" i="64" s="1"/>
  <c r="AL56" i="64"/>
  <c r="AL55" i="64"/>
  <c r="AL54" i="64"/>
  <c r="AL53" i="64"/>
  <c r="AL52" i="64"/>
  <c r="AL51" i="64"/>
  <c r="AL50" i="64"/>
  <c r="AL49" i="64"/>
  <c r="AR49" i="64" s="1"/>
  <c r="AL48" i="64"/>
  <c r="AL47" i="64"/>
  <c r="AL46" i="64"/>
  <c r="AL45" i="64"/>
  <c r="AL44" i="64"/>
  <c r="AL43" i="64"/>
  <c r="AL42" i="64"/>
  <c r="AL41" i="64"/>
  <c r="Y33" i="64"/>
  <c r="Y32" i="64"/>
  <c r="N32" i="64"/>
  <c r="Y31" i="64"/>
  <c r="S31" i="64"/>
  <c r="T31" i="64" s="1"/>
  <c r="U31" i="64" s="1"/>
  <c r="Y30" i="64"/>
  <c r="S30" i="64"/>
  <c r="Y29" i="64"/>
  <c r="S29" i="64"/>
  <c r="Y28" i="64"/>
  <c r="S28" i="64"/>
  <c r="T28" i="64" s="1"/>
  <c r="U28" i="64" s="1"/>
  <c r="Y27" i="64"/>
  <c r="S27" i="64"/>
  <c r="T27" i="64" s="1"/>
  <c r="U27" i="64" s="1"/>
  <c r="Y26" i="64"/>
  <c r="S26" i="64"/>
  <c r="T26" i="64" s="1"/>
  <c r="U26" i="64" s="1"/>
  <c r="Y25" i="64"/>
  <c r="S25" i="64"/>
  <c r="T25" i="64" s="1"/>
  <c r="U25" i="64" s="1"/>
  <c r="Y24" i="64"/>
  <c r="S24" i="64"/>
  <c r="T24" i="64" s="1"/>
  <c r="U24" i="64" s="1"/>
  <c r="Y23" i="64"/>
  <c r="S23" i="64"/>
  <c r="T23" i="64" s="1"/>
  <c r="U23" i="64" s="1"/>
  <c r="Y22" i="64"/>
  <c r="S22" i="64"/>
  <c r="T22" i="64" s="1"/>
  <c r="U22" i="64" s="1"/>
  <c r="Y21" i="64"/>
  <c r="S21" i="64"/>
  <c r="Y20" i="64"/>
  <c r="S20" i="64"/>
  <c r="T20" i="64" s="1"/>
  <c r="U20" i="64" s="1"/>
  <c r="Y19" i="64"/>
  <c r="S19" i="64"/>
  <c r="T19" i="64" s="1"/>
  <c r="U19" i="64" s="1"/>
  <c r="Y18" i="64"/>
  <c r="S18" i="64"/>
  <c r="T18" i="64" s="1"/>
  <c r="U18" i="64" s="1"/>
  <c r="Y17" i="64"/>
  <c r="S17" i="64"/>
  <c r="Y16" i="64"/>
  <c r="S16" i="64"/>
  <c r="T16" i="64" s="1"/>
  <c r="U16" i="64" s="1"/>
  <c r="Y15" i="64"/>
  <c r="S15" i="64"/>
  <c r="T15" i="64" s="1"/>
  <c r="U15" i="64" s="1"/>
  <c r="Y14" i="64"/>
  <c r="S14" i="64"/>
  <c r="T14" i="64" s="1"/>
  <c r="U14" i="64" s="1"/>
  <c r="Y13" i="64"/>
  <c r="S13" i="64"/>
  <c r="Y12" i="64"/>
  <c r="S12" i="64"/>
  <c r="T12" i="64" s="1"/>
  <c r="U12" i="64" s="1"/>
  <c r="Y11" i="64"/>
  <c r="S11" i="64"/>
  <c r="T11" i="64" s="1"/>
  <c r="U11" i="64" s="1"/>
  <c r="Y10" i="64"/>
  <c r="S10" i="64"/>
  <c r="T10" i="64" s="1"/>
  <c r="U10" i="64" s="1"/>
  <c r="AR47" i="64" l="1"/>
  <c r="AR48" i="64"/>
  <c r="AR56" i="64"/>
  <c r="AR42" i="64"/>
  <c r="AR58" i="64"/>
  <c r="AR43" i="64"/>
  <c r="AR59" i="64"/>
  <c r="AR44" i="64"/>
  <c r="AR52" i="64"/>
  <c r="AR60" i="64"/>
  <c r="AR45" i="64"/>
  <c r="AR53" i="64"/>
  <c r="AR61" i="64"/>
  <c r="AR46" i="64"/>
  <c r="AR62" i="64"/>
  <c r="AN60" i="64"/>
  <c r="AN44" i="64"/>
  <c r="AM48" i="64"/>
  <c r="AO48" i="64"/>
  <c r="AM44" i="64"/>
  <c r="AN48" i="64"/>
  <c r="AO60" i="64"/>
  <c r="AO44" i="64"/>
  <c r="AO52" i="64"/>
  <c r="AO53" i="64"/>
  <c r="AR41" i="64"/>
  <c r="AM41" i="64"/>
  <c r="AQ41" i="64"/>
  <c r="AN53" i="64"/>
  <c r="AO64" i="64"/>
  <c r="AN51" i="64"/>
  <c r="AR51" i="64"/>
  <c r="AM55" i="64"/>
  <c r="AR55" i="64"/>
  <c r="AN55" i="64"/>
  <c r="AM50" i="64"/>
  <c r="AR50" i="64"/>
  <c r="AO54" i="64"/>
  <c r="AR54" i="64"/>
  <c r="AP45" i="64"/>
  <c r="AP47" i="64"/>
  <c r="AP49" i="64"/>
  <c r="AN49" i="64"/>
  <c r="AM52" i="64"/>
  <c r="AQ52" i="64"/>
  <c r="AO61" i="64"/>
  <c r="AO49" i="64"/>
  <c r="AN52" i="64"/>
  <c r="T17" i="64"/>
  <c r="AA81" i="64"/>
  <c r="AA85" i="64"/>
  <c r="AA87" i="64"/>
  <c r="AA89" i="64"/>
  <c r="AA91" i="64"/>
  <c r="AA93" i="64"/>
  <c r="AA99" i="64"/>
  <c r="Z77" i="64"/>
  <c r="Z78" i="64"/>
  <c r="Z82" i="64"/>
  <c r="Z84" i="64"/>
  <c r="Z88" i="64"/>
  <c r="Z92" i="64"/>
  <c r="Z96" i="64"/>
  <c r="Z100" i="64"/>
  <c r="AA78" i="64"/>
  <c r="AA82" i="64"/>
  <c r="AA86" i="64"/>
  <c r="AA88" i="64"/>
  <c r="AA90" i="64"/>
  <c r="AA92" i="64"/>
  <c r="AA96" i="64"/>
  <c r="AA98" i="64"/>
  <c r="AA100" i="64"/>
  <c r="Z79" i="64"/>
  <c r="Z81" i="64"/>
  <c r="Z83" i="64"/>
  <c r="Z85" i="64"/>
  <c r="Z87" i="64"/>
  <c r="Z89" i="64"/>
  <c r="Z91" i="64"/>
  <c r="Z93" i="64"/>
  <c r="Z95" i="64"/>
  <c r="Z97" i="64"/>
  <c r="Z99" i="64"/>
  <c r="AA77" i="64"/>
  <c r="Z80" i="64"/>
  <c r="Z86" i="64"/>
  <c r="Z90" i="64"/>
  <c r="Z94" i="64"/>
  <c r="Z98" i="64"/>
  <c r="AM56" i="64"/>
  <c r="AA4" i="64"/>
  <c r="T13" i="64"/>
  <c r="AO50" i="64"/>
  <c r="AP51" i="64"/>
  <c r="T21" i="64"/>
  <c r="U21" i="64" s="1"/>
  <c r="AM54" i="64"/>
  <c r="AN56" i="64"/>
  <c r="T29" i="64"/>
  <c r="U29" i="64" s="1"/>
  <c r="AM64" i="64"/>
  <c r="AQ64" i="64"/>
  <c r="AP46" i="64"/>
  <c r="AA83" i="64"/>
  <c r="T30" i="64"/>
  <c r="AA79" i="64"/>
  <c r="AP50" i="64"/>
  <c r="AM51" i="64"/>
  <c r="AO56" i="64"/>
  <c r="AA95" i="64"/>
  <c r="AM60" i="64"/>
  <c r="AQ60" i="64"/>
  <c r="AN61" i="64"/>
  <c r="AN64" i="64"/>
  <c r="AQ44" i="64"/>
  <c r="AP63" i="64"/>
  <c r="L32" i="64"/>
  <c r="AN65" i="64"/>
  <c r="AP59" i="64"/>
  <c r="Z32" i="64"/>
  <c r="AA94" i="64"/>
  <c r="AQ59" i="64"/>
  <c r="K32" i="64"/>
  <c r="AM63" i="64" s="1"/>
  <c r="AP41" i="64"/>
  <c r="AP42" i="64"/>
  <c r="AP43" i="64"/>
  <c r="AO45" i="64"/>
  <c r="AO46" i="64"/>
  <c r="AN47" i="64"/>
  <c r="AQ53" i="64"/>
  <c r="AM53" i="64"/>
  <c r="AN54" i="64"/>
  <c r="AQ54" i="64"/>
  <c r="AQ55" i="64"/>
  <c r="AQ56" i="64"/>
  <c r="AP57" i="64"/>
  <c r="AO43" i="64"/>
  <c r="AQ57" i="64"/>
  <c r="AM57" i="64"/>
  <c r="AN41" i="64"/>
  <c r="AM42" i="64"/>
  <c r="AM43" i="64"/>
  <c r="AQ45" i="64"/>
  <c r="AM45" i="64"/>
  <c r="AN46" i="64"/>
  <c r="AQ46" i="64"/>
  <c r="AO47" i="64"/>
  <c r="AQ47" i="64"/>
  <c r="AQ48" i="64"/>
  <c r="AN57" i="64"/>
  <c r="AO58" i="64"/>
  <c r="AO59" i="64"/>
  <c r="AN59" i="64"/>
  <c r="AN62" i="64"/>
  <c r="AQ62" i="64"/>
  <c r="AM62" i="64"/>
  <c r="AO62" i="64"/>
  <c r="AN42" i="64"/>
  <c r="AQ42" i="64"/>
  <c r="AQ43" i="64"/>
  <c r="AN58" i="64"/>
  <c r="AQ58" i="64"/>
  <c r="AM58" i="64"/>
  <c r="AP65" i="64"/>
  <c r="AO65" i="64"/>
  <c r="AQ65" i="64"/>
  <c r="AM65" i="64"/>
  <c r="AO41" i="64"/>
  <c r="AO42" i="64"/>
  <c r="AN43" i="64"/>
  <c r="AN45" i="64"/>
  <c r="AM46" i="64"/>
  <c r="AM47" i="64"/>
  <c r="AQ49" i="64"/>
  <c r="AM49" i="64"/>
  <c r="AN50" i="64"/>
  <c r="AQ50" i="64"/>
  <c r="AO51" i="64"/>
  <c r="AQ51" i="64"/>
  <c r="AP53" i="64"/>
  <c r="AP54" i="64"/>
  <c r="AP55" i="64"/>
  <c r="AO57" i="64"/>
  <c r="AP58" i="64"/>
  <c r="AM59" i="64"/>
  <c r="AP62" i="64"/>
  <c r="AP61" i="64"/>
  <c r="AP44" i="64"/>
  <c r="AP48" i="64"/>
  <c r="AP52" i="64"/>
  <c r="AP56" i="64"/>
  <c r="AP60" i="64"/>
  <c r="AM61" i="64"/>
  <c r="AQ61" i="64"/>
  <c r="AP64" i="64"/>
  <c r="AL65" i="64" l="1"/>
  <c r="M65" i="64"/>
  <c r="U13" i="64"/>
  <c r="AA80" i="64" s="1"/>
  <c r="U30" i="64"/>
  <c r="AA97" i="64" s="1"/>
  <c r="AA84" i="64"/>
  <c r="U17" i="64"/>
  <c r="AL32" i="64"/>
  <c r="AN63" i="64"/>
  <c r="O32" i="64"/>
  <c r="AI27" i="64"/>
  <c r="Q30" i="64" s="1"/>
  <c r="AI22" i="64"/>
  <c r="Q22" i="64" s="1"/>
  <c r="AI28" i="64"/>
  <c r="Q31" i="64" s="1"/>
  <c r="AI16" i="64"/>
  <c r="Q16" i="64" s="1"/>
  <c r="AI24" i="64"/>
  <c r="Q25" i="64" s="1"/>
  <c r="AI19" i="64"/>
  <c r="Q19" i="64" s="1"/>
  <c r="AI23" i="64"/>
  <c r="Q24" i="64" s="1"/>
  <c r="AI25" i="64"/>
  <c r="Q28" i="64" s="1"/>
  <c r="AI20" i="64"/>
  <c r="Q20" i="64" s="1"/>
  <c r="AI17" i="64"/>
  <c r="Q17" i="64" s="1"/>
  <c r="AI18" i="64"/>
  <c r="Q18" i="64" s="1"/>
  <c r="AI14" i="64"/>
  <c r="Q14" i="64" s="1"/>
  <c r="AI15" i="64"/>
  <c r="Q15" i="64" s="1"/>
  <c r="AI21" i="64"/>
  <c r="Q21" i="64" s="1"/>
  <c r="AI26" i="64"/>
  <c r="Q29" i="64" s="1"/>
  <c r="AI12" i="64"/>
  <c r="Q12" i="64" s="1"/>
  <c r="AI10" i="64"/>
  <c r="Q10" i="64" s="1"/>
  <c r="AI13" i="64"/>
  <c r="Q13" i="64" s="1"/>
  <c r="AI11" i="64"/>
  <c r="Q11" i="64" s="1"/>
  <c r="AO32" i="64" l="1"/>
  <c r="P32" i="64"/>
  <c r="AQ63" i="64"/>
  <c r="Z35" i="76"/>
  <c r="Y77" i="63" l="1"/>
  <c r="AA146" i="63" l="1"/>
  <c r="AB146" i="63"/>
  <c r="AC146" i="63"/>
  <c r="AD146" i="63"/>
  <c r="Z146" i="63"/>
  <c r="AF148" i="63"/>
  <c r="AF149" i="63"/>
  <c r="AF150" i="63"/>
  <c r="AF151" i="63"/>
  <c r="AF152" i="63"/>
  <c r="AF153" i="63"/>
  <c r="AF154" i="63"/>
  <c r="AF155" i="63"/>
  <c r="AF156" i="63"/>
  <c r="AF157" i="63"/>
  <c r="AF158" i="63"/>
  <c r="AF159" i="63"/>
  <c r="AF160" i="63"/>
  <c r="AF161" i="63"/>
  <c r="AF162" i="63"/>
  <c r="AF163" i="63"/>
  <c r="AF164" i="63"/>
  <c r="AF165" i="63"/>
  <c r="AF166" i="63"/>
  <c r="AF168" i="63"/>
  <c r="AF147" i="63" l="1"/>
  <c r="AF170" i="63"/>
  <c r="AF169" i="63" l="1"/>
  <c r="B169" i="63"/>
  <c r="B168" i="63"/>
  <c r="A168" i="63" s="1"/>
  <c r="B167" i="63"/>
  <c r="A167" i="63" s="1"/>
  <c r="B166" i="63"/>
  <c r="A166" i="63" s="1"/>
  <c r="B165" i="63"/>
  <c r="A165" i="63" s="1"/>
  <c r="B164" i="63"/>
  <c r="A164" i="63" s="1"/>
  <c r="B163" i="63"/>
  <c r="A163" i="63" s="1"/>
  <c r="B162" i="63"/>
  <c r="A162" i="63" s="1"/>
  <c r="B161" i="63"/>
  <c r="A161" i="63" s="1"/>
  <c r="B160" i="63"/>
  <c r="A160" i="63" s="1"/>
  <c r="B159" i="63"/>
  <c r="A159" i="63" s="1"/>
  <c r="B158" i="63"/>
  <c r="A158" i="63" s="1"/>
  <c r="B157" i="63"/>
  <c r="A157" i="63" s="1"/>
  <c r="B156" i="63"/>
  <c r="A156" i="63" s="1"/>
  <c r="B155" i="63"/>
  <c r="A155" i="63" s="1"/>
  <c r="B154" i="63"/>
  <c r="A154" i="63" s="1"/>
  <c r="B153" i="63"/>
  <c r="A153" i="63" s="1"/>
  <c r="B152" i="63"/>
  <c r="A152" i="63" s="1"/>
  <c r="B151" i="63"/>
  <c r="A151" i="63" s="1"/>
  <c r="B150" i="63"/>
  <c r="A150" i="63" s="1"/>
  <c r="B149" i="63"/>
  <c r="A149" i="63" s="1"/>
  <c r="B148" i="63"/>
  <c r="A148" i="63" s="1"/>
  <c r="B147" i="63"/>
  <c r="D32" i="76" s="1"/>
  <c r="Y100" i="63"/>
  <c r="Y99" i="63"/>
  <c r="Y98" i="63"/>
  <c r="Y97" i="63"/>
  <c r="Y96" i="63"/>
  <c r="Y95" i="63"/>
  <c r="Y94" i="63"/>
  <c r="Y93" i="63"/>
  <c r="Y92" i="63"/>
  <c r="Y91" i="63"/>
  <c r="Y90" i="63"/>
  <c r="Y89" i="63"/>
  <c r="Y88" i="63"/>
  <c r="Y87" i="63"/>
  <c r="Y86" i="63"/>
  <c r="Y85" i="63"/>
  <c r="Y84" i="63"/>
  <c r="Y83" i="63"/>
  <c r="Y82" i="63"/>
  <c r="Y81" i="63"/>
  <c r="Y80" i="63"/>
  <c r="Y79" i="63"/>
  <c r="Y78" i="63"/>
  <c r="Y44" i="63"/>
  <c r="AA33" i="63"/>
  <c r="Z33" i="63"/>
  <c r="AL64" i="63"/>
  <c r="AL63" i="63"/>
  <c r="AL62" i="63"/>
  <c r="AN62" i="63" s="1"/>
  <c r="AL61" i="63"/>
  <c r="AL60" i="63"/>
  <c r="AL59" i="63"/>
  <c r="AL58" i="63"/>
  <c r="AL57" i="63"/>
  <c r="AL56" i="63"/>
  <c r="AL55" i="63"/>
  <c r="AL54" i="63"/>
  <c r="AL53" i="63"/>
  <c r="AL52" i="63"/>
  <c r="AO52" i="63" s="1"/>
  <c r="AL51" i="63"/>
  <c r="AL50" i="63"/>
  <c r="AL49" i="63"/>
  <c r="AL48" i="63"/>
  <c r="AL47" i="63"/>
  <c r="AN47" i="63" s="1"/>
  <c r="AL46" i="63"/>
  <c r="AL45" i="63"/>
  <c r="AL44" i="63"/>
  <c r="AL43" i="63"/>
  <c r="AL42" i="63"/>
  <c r="AL41" i="63"/>
  <c r="Y33" i="63"/>
  <c r="Y32" i="63"/>
  <c r="Y31" i="63"/>
  <c r="S31" i="63"/>
  <c r="T31" i="63" s="1"/>
  <c r="U31" i="63" s="1"/>
  <c r="Y30" i="63"/>
  <c r="S30" i="63"/>
  <c r="Y29" i="63"/>
  <c r="S29" i="63"/>
  <c r="T29" i="63" s="1"/>
  <c r="U29" i="63" s="1"/>
  <c r="Y28" i="63"/>
  <c r="S28" i="63"/>
  <c r="T28" i="63" s="1"/>
  <c r="U28" i="63" s="1"/>
  <c r="Y27" i="63"/>
  <c r="S27" i="63"/>
  <c r="T27" i="63" s="1"/>
  <c r="U27" i="63" s="1"/>
  <c r="Y26" i="63"/>
  <c r="S26" i="63"/>
  <c r="T26" i="63" s="1"/>
  <c r="U26" i="63" s="1"/>
  <c r="Y25" i="63"/>
  <c r="S25" i="63"/>
  <c r="T25" i="63" s="1"/>
  <c r="U25" i="63" s="1"/>
  <c r="Y24" i="63"/>
  <c r="S24" i="63"/>
  <c r="T24" i="63" s="1"/>
  <c r="U24" i="63" s="1"/>
  <c r="Y23" i="63"/>
  <c r="S23" i="63"/>
  <c r="T23" i="63" s="1"/>
  <c r="U23" i="63" s="1"/>
  <c r="Y22" i="63"/>
  <c r="S22" i="63"/>
  <c r="T22" i="63" s="1"/>
  <c r="U22" i="63" s="1"/>
  <c r="Y21" i="63"/>
  <c r="S21" i="63"/>
  <c r="T21" i="63" s="1"/>
  <c r="U21" i="63" s="1"/>
  <c r="Y20" i="63"/>
  <c r="S20" i="63"/>
  <c r="T20" i="63" s="1"/>
  <c r="U20" i="63" s="1"/>
  <c r="Y19" i="63"/>
  <c r="S19" i="63"/>
  <c r="T19" i="63" s="1"/>
  <c r="U19" i="63" s="1"/>
  <c r="Y18" i="63"/>
  <c r="S18" i="63"/>
  <c r="T18" i="63" s="1"/>
  <c r="U18" i="63" s="1"/>
  <c r="Y17" i="63"/>
  <c r="S17" i="63"/>
  <c r="T17" i="63" s="1"/>
  <c r="U17" i="63" s="1"/>
  <c r="Y16" i="63"/>
  <c r="S16" i="63"/>
  <c r="T16" i="63" s="1"/>
  <c r="U16" i="63" s="1"/>
  <c r="Y15" i="63"/>
  <c r="S15" i="63"/>
  <c r="T15" i="63" s="1"/>
  <c r="U15" i="63" s="1"/>
  <c r="Y14" i="63"/>
  <c r="S14" i="63"/>
  <c r="T14" i="63" s="1"/>
  <c r="U14" i="63" s="1"/>
  <c r="Y13" i="63"/>
  <c r="S13" i="63"/>
  <c r="T13" i="63" s="1"/>
  <c r="U13" i="63" s="1"/>
  <c r="Y12" i="63"/>
  <c r="S12" i="63"/>
  <c r="T12" i="63" s="1"/>
  <c r="U12" i="63" s="1"/>
  <c r="Y11" i="63"/>
  <c r="S11" i="63"/>
  <c r="T11" i="63" s="1"/>
  <c r="U11" i="63" s="1"/>
  <c r="Y10" i="63"/>
  <c r="S10" i="63"/>
  <c r="T10" i="63" s="1"/>
  <c r="U10" i="63" s="1"/>
  <c r="Y44" i="62"/>
  <c r="Y44" i="49"/>
  <c r="Y42" i="49"/>
  <c r="AR49" i="63" l="1"/>
  <c r="AR65" i="63"/>
  <c r="T30" i="63"/>
  <c r="U30" i="63" s="1"/>
  <c r="AR47" i="63"/>
  <c r="AR51" i="63"/>
  <c r="AR41" i="63"/>
  <c r="AR45" i="63"/>
  <c r="AR57" i="63"/>
  <c r="AR43" i="63"/>
  <c r="AR55" i="63"/>
  <c r="AR59" i="63"/>
  <c r="AR42" i="63"/>
  <c r="AM46" i="63"/>
  <c r="AR46" i="63"/>
  <c r="AQ50" i="63"/>
  <c r="AR50" i="63"/>
  <c r="AR54" i="63"/>
  <c r="AR58" i="63"/>
  <c r="AR62" i="63"/>
  <c r="AR53" i="63"/>
  <c r="AR61" i="63"/>
  <c r="AO44" i="63"/>
  <c r="AR44" i="63"/>
  <c r="AR48" i="63"/>
  <c r="AR52" i="63"/>
  <c r="AR56" i="63"/>
  <c r="AR60" i="63"/>
  <c r="E33" i="76"/>
  <c r="F31" i="76"/>
  <c r="Z31" i="76"/>
  <c r="G34" i="76"/>
  <c r="T34" i="76"/>
  <c r="M31" i="76"/>
  <c r="T33" i="76"/>
  <c r="G32" i="76"/>
  <c r="R30" i="76"/>
  <c r="P34" i="76"/>
  <c r="Q32" i="76"/>
  <c r="Q31" i="76"/>
  <c r="I34" i="76"/>
  <c r="W30" i="76"/>
  <c r="G30" i="76"/>
  <c r="K32" i="76"/>
  <c r="W31" i="76"/>
  <c r="V33" i="76"/>
  <c r="AM50" i="63"/>
  <c r="A147" i="63"/>
  <c r="O31" i="76"/>
  <c r="S31" i="76"/>
  <c r="AA32" i="76"/>
  <c r="AA31" i="76"/>
  <c r="W34" i="76"/>
  <c r="I33" i="76"/>
  <c r="M33" i="76"/>
  <c r="D33" i="76"/>
  <c r="X34" i="76"/>
  <c r="Z33" i="76"/>
  <c r="H33" i="76"/>
  <c r="V34" i="76"/>
  <c r="J30" i="76"/>
  <c r="U32" i="76"/>
  <c r="Q33" i="76"/>
  <c r="K33" i="76"/>
  <c r="H34" i="76"/>
  <c r="I32" i="76"/>
  <c r="U34" i="76"/>
  <c r="Y32" i="76"/>
  <c r="N33" i="76"/>
  <c r="AQ46" i="63"/>
  <c r="X32" i="76"/>
  <c r="Z30" i="76"/>
  <c r="Z32" i="76"/>
  <c r="O34" i="76"/>
  <c r="H31" i="76"/>
  <c r="N31" i="76"/>
  <c r="P32" i="76"/>
  <c r="I30" i="76"/>
  <c r="O30" i="76"/>
  <c r="R34" i="76"/>
  <c r="O32" i="76"/>
  <c r="P33" i="76"/>
  <c r="Y31" i="76"/>
  <c r="R33" i="76"/>
  <c r="L30" i="76"/>
  <c r="S30" i="76"/>
  <c r="F32" i="76"/>
  <c r="T32" i="76"/>
  <c r="G33" i="76"/>
  <c r="M34" i="76"/>
  <c r="F34" i="76"/>
  <c r="E30" i="76"/>
  <c r="Y33" i="76"/>
  <c r="V30" i="76"/>
  <c r="S32" i="76"/>
  <c r="K34" i="76"/>
  <c r="J31" i="76"/>
  <c r="AA30" i="76"/>
  <c r="X30" i="76"/>
  <c r="AA34" i="76"/>
  <c r="L32" i="76"/>
  <c r="L31" i="76"/>
  <c r="J33" i="76"/>
  <c r="K30" i="76"/>
  <c r="AA33" i="76"/>
  <c r="O33" i="76"/>
  <c r="U31" i="76"/>
  <c r="X31" i="76"/>
  <c r="G31" i="76"/>
  <c r="V32" i="76"/>
  <c r="Y30" i="76"/>
  <c r="F30" i="76"/>
  <c r="T31" i="76"/>
  <c r="D30" i="76"/>
  <c r="T30" i="76"/>
  <c r="N30" i="76"/>
  <c r="E34" i="76"/>
  <c r="Q30" i="76"/>
  <c r="R32" i="76"/>
  <c r="I31" i="76"/>
  <c r="D34" i="76"/>
  <c r="U33" i="76"/>
  <c r="N34" i="76"/>
  <c r="X33" i="76"/>
  <c r="H30" i="76"/>
  <c r="P31" i="76"/>
  <c r="V31" i="76"/>
  <c r="S33" i="76"/>
  <c r="U30" i="76"/>
  <c r="Y34" i="76"/>
  <c r="E32" i="76"/>
  <c r="W32" i="76"/>
  <c r="S34" i="76"/>
  <c r="R31" i="76"/>
  <c r="E31" i="76"/>
  <c r="K31" i="76"/>
  <c r="L33" i="76"/>
  <c r="Z34" i="76"/>
  <c r="W33" i="76"/>
  <c r="J34" i="76"/>
  <c r="Q34" i="76"/>
  <c r="D31" i="76"/>
  <c r="M30" i="76"/>
  <c r="L34" i="76"/>
  <c r="M32" i="76"/>
  <c r="N32" i="76"/>
  <c r="P30" i="76"/>
  <c r="J32" i="76"/>
  <c r="H32" i="76"/>
  <c r="F33" i="76"/>
  <c r="AI27" i="63"/>
  <c r="Q30" i="63" s="1"/>
  <c r="AI22" i="63"/>
  <c r="Q22" i="63" s="1"/>
  <c r="AI28" i="63"/>
  <c r="Q31" i="63" s="1"/>
  <c r="AI10" i="63"/>
  <c r="Q10" i="63" s="1"/>
  <c r="AI12" i="63"/>
  <c r="Q12" i="63" s="1"/>
  <c r="AI21" i="63"/>
  <c r="Q21" i="63" s="1"/>
  <c r="BE45" i="63"/>
  <c r="BG45" i="63"/>
  <c r="BC45" i="63"/>
  <c r="BD45" i="63"/>
  <c r="BF45" i="63"/>
  <c r="BF49" i="63"/>
  <c r="BE49" i="63"/>
  <c r="BG49" i="63"/>
  <c r="BD49" i="63"/>
  <c r="BC49" i="63"/>
  <c r="BG56" i="63"/>
  <c r="BF56" i="63"/>
  <c r="BC56" i="63"/>
  <c r="BD56" i="63"/>
  <c r="BE56" i="63"/>
  <c r="AI23" i="63"/>
  <c r="Q24" i="63" s="1"/>
  <c r="BF48" i="63"/>
  <c r="BD48" i="63"/>
  <c r="BG48" i="63"/>
  <c r="BE48" i="63"/>
  <c r="BC48" i="63"/>
  <c r="BF60" i="63"/>
  <c r="BE60" i="63"/>
  <c r="BC60" i="63"/>
  <c r="BD60" i="63"/>
  <c r="BG60" i="63"/>
  <c r="BD64" i="63"/>
  <c r="BC64" i="63"/>
  <c r="BE64" i="63"/>
  <c r="BF64" i="63"/>
  <c r="BG64" i="63"/>
  <c r="AI11" i="63"/>
  <c r="Q11" i="63" s="1"/>
  <c r="AI13" i="63"/>
  <c r="Q13" i="63" s="1"/>
  <c r="AI15" i="63"/>
  <c r="Q15" i="63" s="1"/>
  <c r="AI17" i="63"/>
  <c r="Q17" i="63" s="1"/>
  <c r="AI19" i="63"/>
  <c r="Q19" i="63" s="1"/>
  <c r="AI24" i="63"/>
  <c r="Q25" i="63" s="1"/>
  <c r="BF43" i="63"/>
  <c r="BG43" i="63"/>
  <c r="BE43" i="63"/>
  <c r="BD43" i="63"/>
  <c r="BC43" i="63"/>
  <c r="BG47" i="63"/>
  <c r="BF47" i="63"/>
  <c r="BD47" i="63"/>
  <c r="BC47" i="63"/>
  <c r="BE47" i="63"/>
  <c r="BD53" i="63"/>
  <c r="BF53" i="63"/>
  <c r="BG53" i="63"/>
  <c r="BC53" i="63"/>
  <c r="BE53" i="63"/>
  <c r="BD54" i="63"/>
  <c r="BF54" i="63"/>
  <c r="BC54" i="63"/>
  <c r="BG54" i="63"/>
  <c r="BE54" i="63"/>
  <c r="BF59" i="63"/>
  <c r="BD59" i="63"/>
  <c r="BE59" i="63"/>
  <c r="BG59" i="63"/>
  <c r="BC59" i="63"/>
  <c r="AI14" i="63"/>
  <c r="Q14" i="63" s="1"/>
  <c r="AI16" i="63"/>
  <c r="Q16" i="63" s="1"/>
  <c r="AI18" i="63"/>
  <c r="Q18" i="63" s="1"/>
  <c r="AI26" i="63"/>
  <c r="Q29" i="63" s="1"/>
  <c r="BF41" i="63"/>
  <c r="BC41" i="63"/>
  <c r="BD41" i="63"/>
  <c r="BE41" i="63"/>
  <c r="BG41" i="63"/>
  <c r="BE61" i="63"/>
  <c r="BC61" i="63"/>
  <c r="BF61" i="63"/>
  <c r="BD61" i="63"/>
  <c r="BG61" i="63"/>
  <c r="AI20" i="63"/>
  <c r="Q20" i="63" s="1"/>
  <c r="BF44" i="63"/>
  <c r="BC44" i="63"/>
  <c r="BE44" i="63"/>
  <c r="BG44" i="63"/>
  <c r="BD44" i="63"/>
  <c r="BC55" i="63"/>
  <c r="BD55" i="63"/>
  <c r="BG55" i="63"/>
  <c r="BF55" i="63"/>
  <c r="BD65" i="63"/>
  <c r="BC65" i="63"/>
  <c r="BF65" i="63"/>
  <c r="BE65" i="63"/>
  <c r="BG65" i="63"/>
  <c r="AI25" i="63"/>
  <c r="Q28" i="63" s="1"/>
  <c r="BD42" i="63"/>
  <c r="BF42" i="63"/>
  <c r="BE42" i="63"/>
  <c r="BG42" i="63"/>
  <c r="BC42" i="63"/>
  <c r="BF46" i="63"/>
  <c r="BG46" i="63"/>
  <c r="BC46" i="63"/>
  <c r="BE46" i="63"/>
  <c r="BD46" i="63"/>
  <c r="BE50" i="63"/>
  <c r="BD50" i="63"/>
  <c r="BG50" i="63"/>
  <c r="BF50" i="63"/>
  <c r="BC50" i="63"/>
  <c r="BC51" i="63"/>
  <c r="BG51" i="63"/>
  <c r="BE51" i="63"/>
  <c r="BD51" i="63"/>
  <c r="BF51" i="63"/>
  <c r="BE52" i="63"/>
  <c r="BD52" i="63"/>
  <c r="BG52" i="63"/>
  <c r="BC52" i="63"/>
  <c r="BF52" i="63"/>
  <c r="BE57" i="63"/>
  <c r="BG57" i="63"/>
  <c r="BF57" i="63"/>
  <c r="BD57" i="63"/>
  <c r="BC57" i="63"/>
  <c r="BD58" i="63"/>
  <c r="BG58" i="63"/>
  <c r="BC58" i="63"/>
  <c r="BE58" i="63"/>
  <c r="BF58" i="63"/>
  <c r="BF62" i="63"/>
  <c r="BC62" i="63"/>
  <c r="BG62" i="63"/>
  <c r="BE62" i="63"/>
  <c r="BD62" i="63"/>
  <c r="BG63" i="63"/>
  <c r="BC63" i="63"/>
  <c r="BF63" i="63"/>
  <c r="BD63" i="63"/>
  <c r="AZ45" i="63"/>
  <c r="BA45" i="63"/>
  <c r="AX45" i="63"/>
  <c r="BB45" i="63"/>
  <c r="AY45" i="63"/>
  <c r="AZ49" i="63"/>
  <c r="BA49" i="63"/>
  <c r="AX49" i="63"/>
  <c r="BB49" i="63"/>
  <c r="AY49" i="63"/>
  <c r="BA56" i="63"/>
  <c r="AX56" i="63"/>
  <c r="BB56" i="63"/>
  <c r="AY56" i="63"/>
  <c r="AZ56" i="63"/>
  <c r="AZ61" i="63"/>
  <c r="AY61" i="63"/>
  <c r="BA61" i="63"/>
  <c r="AX61" i="63"/>
  <c r="BB61" i="63"/>
  <c r="BA44" i="63"/>
  <c r="AX44" i="63"/>
  <c r="BB44" i="63"/>
  <c r="AY44" i="63"/>
  <c r="AZ44" i="63"/>
  <c r="BA48" i="63"/>
  <c r="AX48" i="63"/>
  <c r="BB48" i="63"/>
  <c r="AY48" i="63"/>
  <c r="AZ48" i="63"/>
  <c r="AX55" i="63"/>
  <c r="BB55" i="63"/>
  <c r="BA55" i="63"/>
  <c r="AY55" i="63"/>
  <c r="BA60" i="63"/>
  <c r="AX60" i="63"/>
  <c r="BB60" i="63"/>
  <c r="AY60" i="63"/>
  <c r="AZ60" i="63"/>
  <c r="AX64" i="63"/>
  <c r="BB64" i="63"/>
  <c r="BA64" i="63"/>
  <c r="AY64" i="63"/>
  <c r="AZ64" i="63"/>
  <c r="AX43" i="63"/>
  <c r="BB43" i="63"/>
  <c r="AY43" i="63"/>
  <c r="AZ43" i="63"/>
  <c r="BA43" i="63"/>
  <c r="AX47" i="63"/>
  <c r="BB47" i="63"/>
  <c r="AY47" i="63"/>
  <c r="AZ47" i="63"/>
  <c r="BA47" i="63"/>
  <c r="AZ53" i="63"/>
  <c r="BA53" i="63"/>
  <c r="AX53" i="63"/>
  <c r="BB53" i="63"/>
  <c r="AY53" i="63"/>
  <c r="AY54" i="63"/>
  <c r="AX54" i="63"/>
  <c r="AZ54" i="63"/>
  <c r="BA54" i="63"/>
  <c r="BB54" i="63"/>
  <c r="AX59" i="63"/>
  <c r="BB59" i="63"/>
  <c r="BA59" i="63"/>
  <c r="AY59" i="63"/>
  <c r="AZ59" i="63"/>
  <c r="AY42" i="63"/>
  <c r="AZ42" i="63"/>
  <c r="BA42" i="63"/>
  <c r="AX42" i="63"/>
  <c r="BB42" i="63"/>
  <c r="AY46" i="63"/>
  <c r="AZ46" i="63"/>
  <c r="BA46" i="63"/>
  <c r="AX46" i="63"/>
  <c r="BB46" i="63"/>
  <c r="AY50" i="63"/>
  <c r="AZ50" i="63"/>
  <c r="BA50" i="63"/>
  <c r="AX50" i="63"/>
  <c r="BB50" i="63"/>
  <c r="AX51" i="63"/>
  <c r="BB51" i="63"/>
  <c r="BA51" i="63"/>
  <c r="AY51" i="63"/>
  <c r="AZ51" i="63"/>
  <c r="BA52" i="63"/>
  <c r="AX52" i="63"/>
  <c r="BB52" i="63"/>
  <c r="AY52" i="63"/>
  <c r="AZ52" i="63"/>
  <c r="AZ57" i="63"/>
  <c r="AY57" i="63"/>
  <c r="BA57" i="63"/>
  <c r="AX57" i="63"/>
  <c r="BB57" i="63"/>
  <c r="AY58" i="63"/>
  <c r="AZ58" i="63"/>
  <c r="BA58" i="63"/>
  <c r="AX58" i="63"/>
  <c r="BB58" i="63"/>
  <c r="AY62" i="63"/>
  <c r="BB62" i="63"/>
  <c r="AZ62" i="63"/>
  <c r="BA62" i="63"/>
  <c r="AX62" i="63"/>
  <c r="AX63" i="63"/>
  <c r="AY63" i="63"/>
  <c r="BA63" i="63"/>
  <c r="BB63" i="63"/>
  <c r="O32" i="63"/>
  <c r="Z29" i="76" s="1"/>
  <c r="AY65" i="63"/>
  <c r="AX65" i="63"/>
  <c r="AZ65" i="63"/>
  <c r="BA65" i="63"/>
  <c r="BB65" i="63"/>
  <c r="Z80" i="63"/>
  <c r="AT44" i="63"/>
  <c r="AW58" i="63"/>
  <c r="AP41" i="63"/>
  <c r="AS41" i="63"/>
  <c r="AM41" i="63"/>
  <c r="AN50" i="63"/>
  <c r="AA85" i="63"/>
  <c r="Z85" i="63"/>
  <c r="AA93" i="63"/>
  <c r="Z93" i="63"/>
  <c r="Z97" i="63"/>
  <c r="AA4" i="63"/>
  <c r="M65" i="63" s="1"/>
  <c r="AA77" i="63"/>
  <c r="Z77" i="63"/>
  <c r="AO46" i="63"/>
  <c r="AP47" i="63"/>
  <c r="AM48" i="63"/>
  <c r="AO50" i="63"/>
  <c r="AN53" i="63"/>
  <c r="Z78" i="63"/>
  <c r="AA78" i="63"/>
  <c r="Z82" i="63"/>
  <c r="AA82" i="63"/>
  <c r="Z86" i="63"/>
  <c r="AA86" i="63"/>
  <c r="Z90" i="63"/>
  <c r="AA90" i="63"/>
  <c r="Z94" i="63"/>
  <c r="Z98" i="63"/>
  <c r="AA98" i="63"/>
  <c r="AT53" i="63"/>
  <c r="Z84" i="63"/>
  <c r="Z88" i="63"/>
  <c r="AA88" i="63"/>
  <c r="Z92" i="63"/>
  <c r="AA92" i="63"/>
  <c r="Z96" i="63"/>
  <c r="AA96" i="63"/>
  <c r="Z100" i="63"/>
  <c r="AA100" i="63"/>
  <c r="AN46" i="63"/>
  <c r="AP48" i="63"/>
  <c r="AA81" i="63"/>
  <c r="Z81" i="63"/>
  <c r="AA89" i="63"/>
  <c r="Z89" i="63"/>
  <c r="AO58" i="63"/>
  <c r="AP59" i="63"/>
  <c r="AM62" i="63"/>
  <c r="AQ62" i="63"/>
  <c r="Z79" i="63"/>
  <c r="Z83" i="63"/>
  <c r="Z87" i="63"/>
  <c r="AA87" i="63"/>
  <c r="Z91" i="63"/>
  <c r="AA91" i="63"/>
  <c r="Z95" i="63"/>
  <c r="Z99" i="63"/>
  <c r="AA99" i="63"/>
  <c r="Y151" i="63"/>
  <c r="AQ54" i="63"/>
  <c r="AW42" i="63"/>
  <c r="Y164" i="63"/>
  <c r="AO42" i="63"/>
  <c r="AM58" i="63"/>
  <c r="AQ58" i="63"/>
  <c r="AO62" i="63"/>
  <c r="AT45" i="63"/>
  <c r="Y149" i="63"/>
  <c r="Y153" i="63"/>
  <c r="Y157" i="63"/>
  <c r="Y161" i="63"/>
  <c r="Y165" i="63"/>
  <c r="Y169" i="63"/>
  <c r="AW54" i="63"/>
  <c r="AW50" i="63"/>
  <c r="Y147" i="63"/>
  <c r="AM54" i="63"/>
  <c r="AU60" i="63"/>
  <c r="Y148" i="63"/>
  <c r="Y152" i="63"/>
  <c r="Y156" i="63"/>
  <c r="Y160" i="63"/>
  <c r="Y168" i="63"/>
  <c r="AN41" i="63"/>
  <c r="AN58" i="63"/>
  <c r="AN61" i="63"/>
  <c r="AS48" i="63"/>
  <c r="AT64" i="63"/>
  <c r="Y150" i="63"/>
  <c r="Y154" i="63"/>
  <c r="Y158" i="63"/>
  <c r="Y162" i="63"/>
  <c r="Y166" i="63"/>
  <c r="Y155" i="63"/>
  <c r="Y159" i="63"/>
  <c r="Y163" i="63"/>
  <c r="Y167" i="63"/>
  <c r="AW63" i="63"/>
  <c r="AT43" i="63"/>
  <c r="AU65" i="63"/>
  <c r="AS46" i="63"/>
  <c r="AU48" i="63"/>
  <c r="AU56" i="63"/>
  <c r="AV57" i="63"/>
  <c r="AS58" i="63"/>
  <c r="AV61" i="63"/>
  <c r="AM65" i="63"/>
  <c r="AQ65" i="63"/>
  <c r="AN45" i="63"/>
  <c r="AP49" i="63"/>
  <c r="AN54" i="63"/>
  <c r="AO56" i="63"/>
  <c r="AP57" i="63"/>
  <c r="AM60" i="63"/>
  <c r="AQ60" i="63"/>
  <c r="AO64" i="63"/>
  <c r="AU42" i="63"/>
  <c r="AS54" i="63"/>
  <c r="AS62" i="63"/>
  <c r="AS64" i="63"/>
  <c r="AW64" i="63"/>
  <c r="AM42" i="63"/>
  <c r="AQ42" i="63"/>
  <c r="AM49" i="63"/>
  <c r="AO54" i="63"/>
  <c r="AS47" i="63"/>
  <c r="AU50" i="63"/>
  <c r="AW62" i="63"/>
  <c r="AN42" i="63"/>
  <c r="AO43" i="63"/>
  <c r="AM56" i="63"/>
  <c r="AQ56" i="63"/>
  <c r="AN57" i="63"/>
  <c r="AO60" i="63"/>
  <c r="AM64" i="63"/>
  <c r="AV47" i="63"/>
  <c r="AU41" i="63"/>
  <c r="AV46" i="63"/>
  <c r="AU49" i="63"/>
  <c r="AT52" i="63"/>
  <c r="AT62" i="63"/>
  <c r="AT51" i="63"/>
  <c r="AU52" i="63"/>
  <c r="AT54" i="63"/>
  <c r="AA83" i="63"/>
  <c r="AA84" i="63"/>
  <c r="AA79" i="63"/>
  <c r="AA95" i="63"/>
  <c r="AU64" i="63"/>
  <c r="K32" i="63"/>
  <c r="AM63" i="63" s="1"/>
  <c r="AQ45" i="63"/>
  <c r="AU53" i="63"/>
  <c r="AT46" i="63"/>
  <c r="AT58" i="63"/>
  <c r="AA80" i="63"/>
  <c r="N32" i="63"/>
  <c r="AU43" i="63"/>
  <c r="AQ43" i="63"/>
  <c r="AM43" i="63"/>
  <c r="AV43" i="63"/>
  <c r="AP43" i="63"/>
  <c r="AS43" i="63"/>
  <c r="AN43" i="63"/>
  <c r="AW43" i="63"/>
  <c r="AV44" i="63"/>
  <c r="AN44" i="63"/>
  <c r="AU44" i="63"/>
  <c r="AP44" i="63"/>
  <c r="AS44" i="63"/>
  <c r="AM44" i="63"/>
  <c r="AW44" i="63"/>
  <c r="AW45" i="63"/>
  <c r="AS45" i="63"/>
  <c r="AO45" i="63"/>
  <c r="AU45" i="63"/>
  <c r="AP45" i="63"/>
  <c r="AM45" i="63"/>
  <c r="AV45" i="63"/>
  <c r="AU51" i="63"/>
  <c r="AQ51" i="63"/>
  <c r="AM51" i="63"/>
  <c r="AS51" i="63"/>
  <c r="AN51" i="63"/>
  <c r="AW51" i="63"/>
  <c r="AV51" i="63"/>
  <c r="AP51" i="63"/>
  <c r="L32" i="63"/>
  <c r="AQ64" i="63"/>
  <c r="AQ44" i="63"/>
  <c r="AO51" i="63"/>
  <c r="AW55" i="63"/>
  <c r="AS55" i="63"/>
  <c r="AU55" i="63"/>
  <c r="AQ55" i="63"/>
  <c r="AM55" i="63"/>
  <c r="AT55" i="63"/>
  <c r="AS63" i="63"/>
  <c r="AU63" i="63"/>
  <c r="AT63" i="63"/>
  <c r="AT65" i="63"/>
  <c r="AP65" i="63"/>
  <c r="AV65" i="63"/>
  <c r="AN65" i="63"/>
  <c r="AT41" i="63"/>
  <c r="AS42" i="63"/>
  <c r="AW46" i="63"/>
  <c r="AU47" i="63"/>
  <c r="AQ47" i="63"/>
  <c r="AM47" i="63"/>
  <c r="AW47" i="63"/>
  <c r="AV48" i="63"/>
  <c r="AN48" i="63"/>
  <c r="AQ48" i="63"/>
  <c r="AW48" i="63"/>
  <c r="AW49" i="63"/>
  <c r="AS49" i="63"/>
  <c r="AO49" i="63"/>
  <c r="AQ49" i="63"/>
  <c r="AV49" i="63"/>
  <c r="AT50" i="63"/>
  <c r="AV50" i="63"/>
  <c r="AP52" i="63"/>
  <c r="AP53" i="63"/>
  <c r="AN55" i="63"/>
  <c r="AV55" i="63"/>
  <c r="AT56" i="63"/>
  <c r="AS56" i="63"/>
  <c r="AU58" i="63"/>
  <c r="AW60" i="63"/>
  <c r="AU61" i="63"/>
  <c r="AQ61" i="63"/>
  <c r="AM61" i="63"/>
  <c r="AW61" i="63"/>
  <c r="AS61" i="63"/>
  <c r="AO61" i="63"/>
  <c r="AT61" i="63"/>
  <c r="AV63" i="63"/>
  <c r="AS65" i="63"/>
  <c r="AV52" i="63"/>
  <c r="AN52" i="63"/>
  <c r="AQ52" i="63"/>
  <c r="AW52" i="63"/>
  <c r="AW53" i="63"/>
  <c r="AS53" i="63"/>
  <c r="AO53" i="63"/>
  <c r="AQ53" i="63"/>
  <c r="AV53" i="63"/>
  <c r="AP55" i="63"/>
  <c r="AW59" i="63"/>
  <c r="AS59" i="63"/>
  <c r="AO59" i="63"/>
  <c r="AU59" i="63"/>
  <c r="AQ59" i="63"/>
  <c r="AM59" i="63"/>
  <c r="AT59" i="63"/>
  <c r="AV62" i="63"/>
  <c r="AV58" i="63"/>
  <c r="AV54" i="63"/>
  <c r="AW41" i="63"/>
  <c r="AO41" i="63"/>
  <c r="AQ41" i="63"/>
  <c r="AV41" i="63"/>
  <c r="AT42" i="63"/>
  <c r="AV42" i="63"/>
  <c r="AU46" i="63"/>
  <c r="AO47" i="63"/>
  <c r="AT47" i="63"/>
  <c r="AO48" i="63"/>
  <c r="AT48" i="63"/>
  <c r="AN49" i="63"/>
  <c r="AT49" i="63"/>
  <c r="AS50" i="63"/>
  <c r="AM52" i="63"/>
  <c r="AS52" i="63"/>
  <c r="AM53" i="63"/>
  <c r="AU54" i="63"/>
  <c r="AW56" i="63"/>
  <c r="AU57" i="63"/>
  <c r="AQ57" i="63"/>
  <c r="AM57" i="63"/>
  <c r="AW57" i="63"/>
  <c r="AS57" i="63"/>
  <c r="AO57" i="63"/>
  <c r="AT57" i="63"/>
  <c r="AN59" i="63"/>
  <c r="AV59" i="63"/>
  <c r="AT60" i="63"/>
  <c r="AS60" i="63"/>
  <c r="AP61" i="63"/>
  <c r="AU62" i="63"/>
  <c r="AO65" i="63"/>
  <c r="AW65" i="63"/>
  <c r="AP42" i="63"/>
  <c r="AP46" i="63"/>
  <c r="AP50" i="63"/>
  <c r="AP54" i="63"/>
  <c r="AN56" i="63"/>
  <c r="AV56" i="63"/>
  <c r="AP58" i="63"/>
  <c r="AN60" i="63"/>
  <c r="AV60" i="63"/>
  <c r="AP62" i="63"/>
  <c r="AN64" i="63"/>
  <c r="AV64" i="63"/>
  <c r="AP56" i="63"/>
  <c r="AP60" i="63"/>
  <c r="AP64" i="63"/>
  <c r="BK42" i="63" l="1"/>
  <c r="AO32" i="63"/>
  <c r="AL32" i="63"/>
  <c r="AA94" i="63"/>
  <c r="AA97" i="63"/>
  <c r="AP63" i="63"/>
  <c r="P32" i="63"/>
  <c r="AN63" i="63"/>
  <c r="BL47" i="63"/>
  <c r="BI60" i="63"/>
  <c r="BK50" i="63"/>
  <c r="BH46" i="63"/>
  <c r="BH43" i="63"/>
  <c r="BH53" i="63"/>
  <c r="BL42" i="63"/>
  <c r="BK45" i="63"/>
  <c r="BH50" i="63"/>
  <c r="BJ41" i="63"/>
  <c r="BI41" i="63"/>
  <c r="BJ43" i="63"/>
  <c r="BK48" i="63"/>
  <c r="BK49" i="63"/>
  <c r="BK63" i="63"/>
  <c r="BL58" i="63"/>
  <c r="BH58" i="63"/>
  <c r="BJ57" i="63"/>
  <c r="BL52" i="63"/>
  <c r="BH65" i="63"/>
  <c r="BH55" i="63"/>
  <c r="BK55" i="63"/>
  <c r="BL59" i="63"/>
  <c r="BI54" i="63"/>
  <c r="BK53" i="63"/>
  <c r="BH64" i="63"/>
  <c r="BI56" i="63"/>
  <c r="BL56" i="63"/>
  <c r="BI63" i="63"/>
  <c r="BJ62" i="63"/>
  <c r="BK58" i="63"/>
  <c r="BL51" i="63"/>
  <c r="BK51" i="63"/>
  <c r="BJ46" i="63"/>
  <c r="BL55" i="63"/>
  <c r="BJ59" i="63"/>
  <c r="BJ54" i="63"/>
  <c r="BK47" i="63"/>
  <c r="BI64" i="63"/>
  <c r="BH60" i="63"/>
  <c r="BL48" i="63"/>
  <c r="BJ48" i="63"/>
  <c r="BH56" i="63"/>
  <c r="BK56" i="63"/>
  <c r="BJ56" i="63"/>
  <c r="BJ49" i="63"/>
  <c r="BI45" i="63"/>
  <c r="BL63" i="63"/>
  <c r="BI62" i="63"/>
  <c r="BL62" i="63"/>
  <c r="BH57" i="63"/>
  <c r="BJ52" i="63"/>
  <c r="BJ51" i="63"/>
  <c r="BI50" i="63"/>
  <c r="BI46" i="63"/>
  <c r="BL46" i="63"/>
  <c r="BJ42" i="63"/>
  <c r="BL65" i="63"/>
  <c r="BJ65" i="63"/>
  <c r="BJ44" i="63"/>
  <c r="BL44" i="63"/>
  <c r="BL61" i="63"/>
  <c r="BH41" i="63"/>
  <c r="BI59" i="63"/>
  <c r="BK59" i="63"/>
  <c r="BH54" i="63"/>
  <c r="BL53" i="63"/>
  <c r="BI53" i="63"/>
  <c r="BI47" i="63"/>
  <c r="BH47" i="63"/>
  <c r="BL43" i="63"/>
  <c r="BI43" i="63"/>
  <c r="BK43" i="63"/>
  <c r="BJ64" i="63"/>
  <c r="BK64" i="63"/>
  <c r="BK60" i="63"/>
  <c r="BH48" i="63"/>
  <c r="BL49" i="63"/>
  <c r="BH49" i="63"/>
  <c r="BH45" i="63"/>
  <c r="BL45" i="63"/>
  <c r="BH62" i="63"/>
  <c r="BJ58" i="63"/>
  <c r="BL57" i="63"/>
  <c r="BH52" i="63"/>
  <c r="BI65" i="63"/>
  <c r="BI55" i="63"/>
  <c r="BH61" i="63"/>
  <c r="BH59" i="63"/>
  <c r="BJ60" i="63"/>
  <c r="BK62" i="63"/>
  <c r="BI57" i="63"/>
  <c r="BH51" i="63"/>
  <c r="BJ50" i="63"/>
  <c r="BH44" i="63"/>
  <c r="BK44" i="63"/>
  <c r="BJ61" i="63"/>
  <c r="BI61" i="63"/>
  <c r="BK54" i="63"/>
  <c r="BH63" i="63"/>
  <c r="BI58" i="63"/>
  <c r="BK57" i="63"/>
  <c r="BK52" i="63"/>
  <c r="BI52" i="63"/>
  <c r="BI51" i="63"/>
  <c r="BL50" i="63"/>
  <c r="BK46" i="63"/>
  <c r="BI42" i="63"/>
  <c r="BH42" i="63"/>
  <c r="BK65" i="63"/>
  <c r="BI44" i="63"/>
  <c r="BK61" i="63"/>
  <c r="BK41" i="63"/>
  <c r="BL41" i="63"/>
  <c r="BL54" i="63"/>
  <c r="BJ53" i="63"/>
  <c r="BJ47" i="63"/>
  <c r="BL64" i="63"/>
  <c r="BL60" i="63"/>
  <c r="BI48" i="63"/>
  <c r="BI49" i="63"/>
  <c r="BJ45" i="63"/>
  <c r="AL65" i="63"/>
  <c r="AQ63" i="63"/>
  <c r="B135" i="62" l="1"/>
  <c r="B134" i="62"/>
  <c r="B133" i="62"/>
  <c r="A133" i="62" s="1"/>
  <c r="B132" i="62"/>
  <c r="A132" i="62" s="1"/>
  <c r="B131" i="62"/>
  <c r="A131" i="62" s="1"/>
  <c r="B130" i="62"/>
  <c r="A130" i="62" s="1"/>
  <c r="B129" i="62"/>
  <c r="A129" i="62" s="1"/>
  <c r="B128" i="62"/>
  <c r="A128" i="62" s="1"/>
  <c r="B127" i="62"/>
  <c r="A127" i="62" s="1"/>
  <c r="B126" i="62"/>
  <c r="A126" i="62" s="1"/>
  <c r="B125" i="62"/>
  <c r="A125" i="62" s="1"/>
  <c r="B124" i="62"/>
  <c r="A124" i="62" s="1"/>
  <c r="B123" i="62"/>
  <c r="A123" i="62" s="1"/>
  <c r="B122" i="62"/>
  <c r="A122" i="62" s="1"/>
  <c r="B121" i="62"/>
  <c r="A121" i="62" s="1"/>
  <c r="B120" i="62"/>
  <c r="A120" i="62" s="1"/>
  <c r="B119" i="62"/>
  <c r="A119" i="62" s="1"/>
  <c r="B118" i="62"/>
  <c r="A118" i="62" s="1"/>
  <c r="B117" i="62"/>
  <c r="A117" i="62" s="1"/>
  <c r="B116" i="62"/>
  <c r="A116" i="62" s="1"/>
  <c r="B115" i="62"/>
  <c r="A115" i="62" s="1"/>
  <c r="B114" i="62"/>
  <c r="A114" i="62" s="1"/>
  <c r="B113" i="62"/>
  <c r="A113" i="62" s="1"/>
  <c r="B112" i="62"/>
  <c r="Y100" i="62"/>
  <c r="Y99" i="62"/>
  <c r="Y98" i="62"/>
  <c r="Y97" i="62"/>
  <c r="Y96" i="62"/>
  <c r="Y95" i="62"/>
  <c r="Y94" i="62"/>
  <c r="Y93" i="62"/>
  <c r="Y92" i="62"/>
  <c r="Y91" i="62"/>
  <c r="Y90" i="62"/>
  <c r="Y89" i="62"/>
  <c r="Y88" i="62"/>
  <c r="Y87" i="62"/>
  <c r="Y86" i="62"/>
  <c r="Y85" i="62"/>
  <c r="Y84" i="62"/>
  <c r="Y83" i="62"/>
  <c r="Y82" i="62"/>
  <c r="Y81" i="62"/>
  <c r="Y80" i="62"/>
  <c r="Y79" i="62"/>
  <c r="Y78" i="62"/>
  <c r="Y77" i="62"/>
  <c r="AA33" i="62"/>
  <c r="Z33" i="62"/>
  <c r="AL64" i="62"/>
  <c r="AL63" i="62"/>
  <c r="AL62" i="62"/>
  <c r="AL61" i="62"/>
  <c r="AL60" i="62"/>
  <c r="AL59" i="62"/>
  <c r="AR59" i="62" s="1"/>
  <c r="AL58" i="62"/>
  <c r="AL57" i="62"/>
  <c r="AL56" i="62"/>
  <c r="AL55" i="62"/>
  <c r="AL54" i="62"/>
  <c r="AL53" i="62"/>
  <c r="AL52" i="62"/>
  <c r="AL51" i="62"/>
  <c r="AR51" i="62" s="1"/>
  <c r="AL50" i="62"/>
  <c r="AL49" i="62"/>
  <c r="AL48" i="62"/>
  <c r="AL47" i="62"/>
  <c r="AL46" i="62"/>
  <c r="AL45" i="62"/>
  <c r="AL44" i="62"/>
  <c r="AL43" i="62"/>
  <c r="AR43" i="62" s="1"/>
  <c r="AL42" i="62"/>
  <c r="AL41" i="62"/>
  <c r="AW40" i="62"/>
  <c r="AV40" i="62"/>
  <c r="AU40" i="62"/>
  <c r="AT40" i="62"/>
  <c r="AS40" i="62"/>
  <c r="AQ40" i="62"/>
  <c r="AP40" i="62"/>
  <c r="AO40" i="62"/>
  <c r="AN40" i="62"/>
  <c r="AM40" i="62"/>
  <c r="Y33" i="62"/>
  <c r="Y32" i="62"/>
  <c r="Y31" i="62"/>
  <c r="S31" i="62"/>
  <c r="T31" i="62" s="1"/>
  <c r="U31" i="62" s="1"/>
  <c r="AO62" i="62"/>
  <c r="Y30" i="62"/>
  <c r="S30" i="62"/>
  <c r="T30" i="62" s="1"/>
  <c r="U30" i="62" s="1"/>
  <c r="Y29" i="62"/>
  <c r="S29" i="62"/>
  <c r="T29" i="62" s="1"/>
  <c r="U29" i="62" s="1"/>
  <c r="Y28" i="62"/>
  <c r="S28" i="62"/>
  <c r="T28" i="62" s="1"/>
  <c r="U28" i="62" s="1"/>
  <c r="Y27" i="62"/>
  <c r="S27" i="62"/>
  <c r="T27" i="62" s="1"/>
  <c r="U27" i="62" s="1"/>
  <c r="Y26" i="62"/>
  <c r="S26" i="62"/>
  <c r="T26" i="62" s="1"/>
  <c r="U26" i="62" s="1"/>
  <c r="Y25" i="62"/>
  <c r="S25" i="62"/>
  <c r="T25" i="62" s="1"/>
  <c r="U25" i="62" s="1"/>
  <c r="Y24" i="62"/>
  <c r="S24" i="62"/>
  <c r="T24" i="62" s="1"/>
  <c r="U24" i="62" s="1"/>
  <c r="Y23" i="62"/>
  <c r="S23" i="62"/>
  <c r="T23" i="62" s="1"/>
  <c r="U23" i="62" s="1"/>
  <c r="Y22" i="62"/>
  <c r="S22" i="62"/>
  <c r="T22" i="62" s="1"/>
  <c r="U22" i="62" s="1"/>
  <c r="Y21" i="62"/>
  <c r="S21" i="62"/>
  <c r="T21" i="62" s="1"/>
  <c r="U21" i="62" s="1"/>
  <c r="Y20" i="62"/>
  <c r="S20" i="62"/>
  <c r="T20" i="62" s="1"/>
  <c r="U20" i="62" s="1"/>
  <c r="Y19" i="62"/>
  <c r="S19" i="62"/>
  <c r="T19" i="62" s="1"/>
  <c r="U19" i="62" s="1"/>
  <c r="Y18" i="62"/>
  <c r="S18" i="62"/>
  <c r="T18" i="62" s="1"/>
  <c r="U18" i="62" s="1"/>
  <c r="Y17" i="62"/>
  <c r="S17" i="62"/>
  <c r="T17" i="62" s="1"/>
  <c r="U17" i="62" s="1"/>
  <c r="Y16" i="62"/>
  <c r="S16" i="62"/>
  <c r="T16" i="62" s="1"/>
  <c r="U16" i="62" s="1"/>
  <c r="Y15" i="62"/>
  <c r="S15" i="62"/>
  <c r="T15" i="62" s="1"/>
  <c r="U15" i="62" s="1"/>
  <c r="Y14" i="62"/>
  <c r="S14" i="62"/>
  <c r="T14" i="62" s="1"/>
  <c r="U14" i="62" s="1"/>
  <c r="Y13" i="62"/>
  <c r="S13" i="62"/>
  <c r="T13" i="62" s="1"/>
  <c r="U13" i="62" s="1"/>
  <c r="Y12" i="62"/>
  <c r="S12" i="62"/>
  <c r="T12" i="62" s="1"/>
  <c r="U12" i="62" s="1"/>
  <c r="Y11" i="62"/>
  <c r="S11" i="62"/>
  <c r="T11" i="62" s="1"/>
  <c r="U11" i="62" s="1"/>
  <c r="Y10" i="62"/>
  <c r="S10" i="62"/>
  <c r="T10" i="62" s="1"/>
  <c r="U10" i="62" s="1"/>
  <c r="AR44" i="62" l="1"/>
  <c r="AR52" i="62"/>
  <c r="AR60" i="62"/>
  <c r="AR45" i="62"/>
  <c r="AR53" i="62"/>
  <c r="AR61" i="62"/>
  <c r="AR46" i="62"/>
  <c r="AR54" i="62"/>
  <c r="AR62" i="62"/>
  <c r="AR47" i="62"/>
  <c r="AR55" i="62"/>
  <c r="AR48" i="62"/>
  <c r="AR56" i="62"/>
  <c r="AR49" i="62"/>
  <c r="AR57" i="62"/>
  <c r="AR42" i="62"/>
  <c r="AR50" i="62"/>
  <c r="AR58" i="62"/>
  <c r="AN49" i="62"/>
  <c r="AO61" i="62"/>
  <c r="AN57" i="62"/>
  <c r="AM56" i="62"/>
  <c r="AM51" i="62"/>
  <c r="AM50" i="62"/>
  <c r="AN61" i="62"/>
  <c r="A112" i="62"/>
  <c r="AA28" i="76"/>
  <c r="F28" i="76"/>
  <c r="K28" i="76"/>
  <c r="M28" i="76"/>
  <c r="D28" i="76"/>
  <c r="N28" i="76"/>
  <c r="S28" i="76"/>
  <c r="I28" i="76"/>
  <c r="R28" i="76"/>
  <c r="E28" i="76"/>
  <c r="X28" i="76"/>
  <c r="Q28" i="76"/>
  <c r="P28" i="76"/>
  <c r="J28" i="76"/>
  <c r="T28" i="76"/>
  <c r="O28" i="76"/>
  <c r="Y28" i="76"/>
  <c r="W28" i="76"/>
  <c r="U28" i="76"/>
  <c r="V28" i="76"/>
  <c r="L28" i="76"/>
  <c r="G28" i="76"/>
  <c r="H28" i="76"/>
  <c r="Z28" i="76"/>
  <c r="AN56" i="62"/>
  <c r="AO48" i="62"/>
  <c r="AO49" i="62"/>
  <c r="AO56" i="62"/>
  <c r="AO52" i="62"/>
  <c r="AQ56" i="62"/>
  <c r="AR41" i="62"/>
  <c r="AQ41" i="62"/>
  <c r="AO53" i="62"/>
  <c r="AN52" i="62"/>
  <c r="AP54" i="62"/>
  <c r="AS52" i="62"/>
  <c r="AU46" i="62"/>
  <c r="AV45" i="62"/>
  <c r="AO50" i="62"/>
  <c r="AN51" i="62"/>
  <c r="AM52" i="62"/>
  <c r="AQ52" i="62"/>
  <c r="AO57" i="62"/>
  <c r="AP50" i="62"/>
  <c r="AP62" i="62"/>
  <c r="AM44" i="62"/>
  <c r="AP49" i="62"/>
  <c r="AP51" i="62"/>
  <c r="AN44" i="62"/>
  <c r="AM60" i="62"/>
  <c r="AT50" i="62"/>
  <c r="AV44" i="62"/>
  <c r="AO44" i="62"/>
  <c r="AP47" i="62"/>
  <c r="AM48" i="62"/>
  <c r="AQ48" i="62"/>
  <c r="AP59" i="62"/>
  <c r="AN60" i="62"/>
  <c r="AN64" i="62"/>
  <c r="AQ60" i="62"/>
  <c r="AN48" i="62"/>
  <c r="AN53" i="62"/>
  <c r="AO54" i="62"/>
  <c r="AM59" i="62"/>
  <c r="AQ59" i="62"/>
  <c r="AO60" i="62"/>
  <c r="AO64" i="62"/>
  <c r="AV53" i="62"/>
  <c r="AA79" i="62"/>
  <c r="AM64" i="62"/>
  <c r="AQ64" i="62"/>
  <c r="AA81" i="62"/>
  <c r="AA85" i="62"/>
  <c r="AA89" i="62"/>
  <c r="AA93" i="62"/>
  <c r="AA77" i="62"/>
  <c r="AA88" i="62"/>
  <c r="AA92" i="62"/>
  <c r="AA96" i="62"/>
  <c r="AA100" i="62"/>
  <c r="AA78" i="62"/>
  <c r="AA82" i="62"/>
  <c r="AA86" i="62"/>
  <c r="AA90" i="62"/>
  <c r="AA98" i="62"/>
  <c r="AA87" i="62"/>
  <c r="AA91" i="62"/>
  <c r="AA99" i="62"/>
  <c r="Z87" i="62"/>
  <c r="Z98" i="62"/>
  <c r="AA4" i="62"/>
  <c r="M65" i="62" s="1"/>
  <c r="AQ65" i="62"/>
  <c r="Z77" i="62"/>
  <c r="Z84" i="62"/>
  <c r="Z88" i="62"/>
  <c r="Z95" i="62"/>
  <c r="Z82" i="62"/>
  <c r="Z85" i="62"/>
  <c r="Z92" i="62"/>
  <c r="Z96" i="62"/>
  <c r="Z79" i="62"/>
  <c r="Z90" i="62"/>
  <c r="Z100" i="62"/>
  <c r="AQ44" i="62"/>
  <c r="AS63" i="62"/>
  <c r="AT63" i="62"/>
  <c r="AA83" i="62"/>
  <c r="AA94" i="62"/>
  <c r="AT44" i="62"/>
  <c r="AT64" i="62"/>
  <c r="AQ43" i="62"/>
  <c r="AP46" i="62"/>
  <c r="AM63" i="62"/>
  <c r="AV42" i="62"/>
  <c r="AN42" i="62"/>
  <c r="AU42" i="62"/>
  <c r="AP42" i="62"/>
  <c r="AT42" i="62"/>
  <c r="AO42" i="62"/>
  <c r="AW42" i="62"/>
  <c r="AW64" i="62"/>
  <c r="AS64" i="62"/>
  <c r="AW60" i="62"/>
  <c r="AS60" i="62"/>
  <c r="AW56" i="62"/>
  <c r="AS56" i="62"/>
  <c r="AW61" i="62"/>
  <c r="AU59" i="62"/>
  <c r="AS57" i="62"/>
  <c r="AV56" i="62"/>
  <c r="AW52" i="62"/>
  <c r="AS50" i="62"/>
  <c r="AS49" i="62"/>
  <c r="AS48" i="62"/>
  <c r="AU44" i="62"/>
  <c r="AU64" i="62"/>
  <c r="AS61" i="62"/>
  <c r="AV60" i="62"/>
  <c r="AW57" i="62"/>
  <c r="AT53" i="62"/>
  <c r="AV49" i="62"/>
  <c r="AV48" i="62"/>
  <c r="AV64" i="62"/>
  <c r="AV61" i="62"/>
  <c r="AU56" i="62"/>
  <c r="AV52" i="62"/>
  <c r="AW48" i="62"/>
  <c r="AS44" i="62"/>
  <c r="AU52" i="62"/>
  <c r="AU51" i="62"/>
  <c r="AU50" i="62"/>
  <c r="AU65" i="62"/>
  <c r="AN41" i="62"/>
  <c r="AW44" i="62"/>
  <c r="AU45" i="62"/>
  <c r="AQ45" i="62"/>
  <c r="AM45" i="62"/>
  <c r="AT45" i="62"/>
  <c r="AO45" i="62"/>
  <c r="AS45" i="62"/>
  <c r="AN45" i="62"/>
  <c r="AW45" i="62"/>
  <c r="AW46" i="62"/>
  <c r="AW54" i="62"/>
  <c r="AW55" i="62"/>
  <c r="AS55" i="62"/>
  <c r="AV55" i="62"/>
  <c r="AN55" i="62"/>
  <c r="AQ55" i="62"/>
  <c r="AP55" i="62"/>
  <c r="AM55" i="62"/>
  <c r="AV63" i="62"/>
  <c r="AQ42" i="62"/>
  <c r="AP45" i="62"/>
  <c r="AU48" i="62"/>
  <c r="AT51" i="62"/>
  <c r="AS53" i="62"/>
  <c r="AS54" i="62"/>
  <c r="AT55" i="62"/>
  <c r="AS58" i="62"/>
  <c r="AU60" i="62"/>
  <c r="AU41" i="62"/>
  <c r="AM41" i="62"/>
  <c r="AV41" i="62"/>
  <c r="AP41" i="62"/>
  <c r="AT41" i="62"/>
  <c r="AO41" i="62"/>
  <c r="AW41" i="62"/>
  <c r="AW43" i="62"/>
  <c r="AS43" i="62"/>
  <c r="AO43" i="62"/>
  <c r="AU43" i="62"/>
  <c r="AP43" i="62"/>
  <c r="AT43" i="62"/>
  <c r="AN43" i="62"/>
  <c r="AV43" i="62"/>
  <c r="AA80" i="62"/>
  <c r="AA95" i="62"/>
  <c r="AA97" i="62"/>
  <c r="AM42" i="62"/>
  <c r="AM43" i="62"/>
  <c r="AV46" i="62"/>
  <c r="AN46" i="62"/>
  <c r="AT46" i="62"/>
  <c r="AO46" i="62"/>
  <c r="AS46" i="62"/>
  <c r="AM46" i="62"/>
  <c r="AT49" i="62"/>
  <c r="AV57" i="62"/>
  <c r="AW62" i="62"/>
  <c r="Z80" i="62"/>
  <c r="AS41" i="62"/>
  <c r="AS42" i="62"/>
  <c r="AQ46" i="62"/>
  <c r="AU47" i="62"/>
  <c r="AS62" i="62"/>
  <c r="AW47" i="62"/>
  <c r="AS47" i="62"/>
  <c r="AO47" i="62"/>
  <c r="AV58" i="62"/>
  <c r="AN58" i="62"/>
  <c r="AU58" i="62"/>
  <c r="AQ58" i="62"/>
  <c r="AM58" i="62"/>
  <c r="AT58" i="62"/>
  <c r="Z93" i="62"/>
  <c r="AM47" i="62"/>
  <c r="AU49" i="62"/>
  <c r="AQ49" i="62"/>
  <c r="AM49" i="62"/>
  <c r="AW49" i="62"/>
  <c r="AV50" i="62"/>
  <c r="AN50" i="62"/>
  <c r="AQ50" i="62"/>
  <c r="AW50" i="62"/>
  <c r="AW51" i="62"/>
  <c r="AS51" i="62"/>
  <c r="AO51" i="62"/>
  <c r="AQ51" i="62"/>
  <c r="AV51" i="62"/>
  <c r="AT52" i="62"/>
  <c r="AP53" i="62"/>
  <c r="AO58" i="62"/>
  <c r="AW58" i="62"/>
  <c r="AW59" i="62"/>
  <c r="AS59" i="62"/>
  <c r="AO59" i="62"/>
  <c r="AV59" i="62"/>
  <c r="AN59" i="62"/>
  <c r="AT59" i="62"/>
  <c r="AM65" i="62"/>
  <c r="Z83" i="62"/>
  <c r="Z91" i="62"/>
  <c r="Z99" i="62"/>
  <c r="AQ47" i="62"/>
  <c r="AV47" i="62"/>
  <c r="AT48" i="62"/>
  <c r="AT56" i="62"/>
  <c r="AU61" i="62"/>
  <c r="AT65" i="62"/>
  <c r="AP65" i="62"/>
  <c r="AW65" i="62"/>
  <c r="AS65" i="62"/>
  <c r="AO65" i="62"/>
  <c r="AN47" i="62"/>
  <c r="AT47" i="62"/>
  <c r="AU53" i="62"/>
  <c r="AQ53" i="62"/>
  <c r="AM53" i="62"/>
  <c r="AW53" i="62"/>
  <c r="AV54" i="62"/>
  <c r="AN54" i="62"/>
  <c r="AU54" i="62"/>
  <c r="AQ54" i="62"/>
  <c r="AM54" i="62"/>
  <c r="AT54" i="62"/>
  <c r="AU57" i="62"/>
  <c r="AP58" i="62"/>
  <c r="AT60" i="62"/>
  <c r="AV62" i="62"/>
  <c r="AN62" i="62"/>
  <c r="AU62" i="62"/>
  <c r="AQ62" i="62"/>
  <c r="AM62" i="62"/>
  <c r="AT62" i="62"/>
  <c r="AN65" i="62"/>
  <c r="AV65" i="62"/>
  <c r="Z78" i="62"/>
  <c r="Z81" i="62"/>
  <c r="Z86" i="62"/>
  <c r="Z89" i="62"/>
  <c r="Z94" i="62"/>
  <c r="Z97" i="62"/>
  <c r="AP57" i="62"/>
  <c r="AT57" i="62"/>
  <c r="AP61" i="62"/>
  <c r="AT61" i="62"/>
  <c r="AP44" i="62"/>
  <c r="AP48" i="62"/>
  <c r="AP52" i="62"/>
  <c r="AP56" i="62"/>
  <c r="AM57" i="62"/>
  <c r="AQ57" i="62"/>
  <c r="AP60" i="62"/>
  <c r="AM61" i="62"/>
  <c r="AQ61" i="62"/>
  <c r="AP64" i="62"/>
  <c r="AN63" i="62" l="1"/>
  <c r="P32" i="62"/>
  <c r="AP63" i="62"/>
  <c r="AA84" i="62"/>
  <c r="Z27" i="76"/>
  <c r="AI22" i="62"/>
  <c r="Q22" i="62" s="1"/>
  <c r="AI27" i="62"/>
  <c r="Q30" i="62" s="1"/>
  <c r="AI28" i="62"/>
  <c r="Q31" i="62" s="1"/>
  <c r="AI12" i="62"/>
  <c r="Q12" i="62" s="1"/>
  <c r="AI19" i="62"/>
  <c r="Q19" i="62" s="1"/>
  <c r="AI15" i="62"/>
  <c r="Q15" i="62" s="1"/>
  <c r="AI18" i="62"/>
  <c r="Q18" i="62" s="1"/>
  <c r="AI10" i="62"/>
  <c r="Q10" i="62" s="1"/>
  <c r="AI16" i="62"/>
  <c r="Q16" i="62" s="1"/>
  <c r="AI21" i="62"/>
  <c r="Q21" i="62" s="1"/>
  <c r="AI25" i="62"/>
  <c r="Q28" i="62" s="1"/>
  <c r="AI23" i="62"/>
  <c r="Q24" i="62" s="1"/>
  <c r="AI17" i="62"/>
  <c r="Q17" i="62" s="1"/>
  <c r="AI20" i="62"/>
  <c r="Q20" i="62" s="1"/>
  <c r="AI14" i="62"/>
  <c r="Q14" i="62" s="1"/>
  <c r="AI26" i="62"/>
  <c r="Q29" i="62" s="1"/>
  <c r="AI24" i="62"/>
  <c r="Q25" i="62" s="1"/>
  <c r="AI11" i="62"/>
  <c r="Q11" i="62" s="1"/>
  <c r="AI13" i="62"/>
  <c r="Q13" i="62" s="1"/>
  <c r="AL65" i="62"/>
  <c r="AQ63" i="62"/>
  <c r="B171" i="49"/>
  <c r="Y171" i="49"/>
  <c r="Y32" i="49"/>
  <c r="Y33" i="49"/>
  <c r="AL64" i="49"/>
  <c r="S11" i="49"/>
  <c r="T11" i="49" s="1"/>
  <c r="U11" i="49" s="1"/>
  <c r="S12" i="49"/>
  <c r="T12" i="49" s="1"/>
  <c r="U12" i="49" s="1"/>
  <c r="S13" i="49"/>
  <c r="T13" i="49" s="1"/>
  <c r="U13" i="49" s="1"/>
  <c r="S14" i="49"/>
  <c r="T14" i="49" s="1"/>
  <c r="U14" i="49" s="1"/>
  <c r="S15" i="49"/>
  <c r="T15" i="49" s="1"/>
  <c r="U15" i="49" s="1"/>
  <c r="S16" i="49"/>
  <c r="T16" i="49" s="1"/>
  <c r="U16" i="49" s="1"/>
  <c r="AA83" i="49" s="1"/>
  <c r="S17" i="49"/>
  <c r="T17" i="49" s="1"/>
  <c r="U17" i="49" s="1"/>
  <c r="S18" i="49"/>
  <c r="T18" i="49" s="1"/>
  <c r="U18" i="49" s="1"/>
  <c r="S19" i="49"/>
  <c r="T19" i="49" s="1"/>
  <c r="U19" i="49" s="1"/>
  <c r="S20" i="49"/>
  <c r="T20" i="49" s="1"/>
  <c r="U20" i="49" s="1"/>
  <c r="S21" i="49"/>
  <c r="T21" i="49" s="1"/>
  <c r="U21" i="49" s="1"/>
  <c r="S22" i="49"/>
  <c r="T22" i="49" s="1"/>
  <c r="U22" i="49" s="1"/>
  <c r="S23" i="49"/>
  <c r="T23" i="49" s="1"/>
  <c r="U23" i="49" s="1"/>
  <c r="S24" i="49"/>
  <c r="T24" i="49" s="1"/>
  <c r="U24" i="49" s="1"/>
  <c r="S25" i="49"/>
  <c r="T25" i="49" s="1"/>
  <c r="U25" i="49" s="1"/>
  <c r="S26" i="49"/>
  <c r="T26" i="49" s="1"/>
  <c r="U26" i="49" s="1"/>
  <c r="S27" i="49"/>
  <c r="T27" i="49" s="1"/>
  <c r="U27" i="49" s="1"/>
  <c r="S28" i="49"/>
  <c r="T28" i="49" s="1"/>
  <c r="U28" i="49" s="1"/>
  <c r="AA95" i="49" s="1"/>
  <c r="S29" i="49"/>
  <c r="T29" i="49" s="1"/>
  <c r="U29" i="49" s="1"/>
  <c r="S30" i="49"/>
  <c r="T30" i="49" s="1"/>
  <c r="U30" i="49" s="1"/>
  <c r="S31" i="49"/>
  <c r="T31" i="49" s="1"/>
  <c r="U31" i="49" s="1"/>
  <c r="AA14" i="76" l="1"/>
  <c r="S319" i="83"/>
  <c r="S140" i="83"/>
  <c r="T140" i="83" s="1"/>
  <c r="U140" i="83" s="1"/>
  <c r="S33" i="49"/>
  <c r="T33" i="49" s="1"/>
  <c r="U33" i="49" s="1"/>
  <c r="S33" i="83"/>
  <c r="AR64" i="49"/>
  <c r="AA80" i="49"/>
  <c r="AR65" i="49"/>
  <c r="AX64" i="49"/>
  <c r="AY64" i="49"/>
  <c r="AZ64" i="49"/>
  <c r="BB64" i="49"/>
  <c r="BA64" i="49"/>
  <c r="AI14" i="49"/>
  <c r="Q14" i="49" s="1"/>
  <c r="O32" i="49"/>
  <c r="T33" i="70"/>
  <c r="S33" i="69"/>
  <c r="S33" i="68"/>
  <c r="S33" i="67"/>
  <c r="S33" i="66"/>
  <c r="T33" i="66" s="1"/>
  <c r="U33" i="66" s="1"/>
  <c r="S33" i="65"/>
  <c r="S33" i="64"/>
  <c r="S33" i="63"/>
  <c r="T33" i="63" s="1"/>
  <c r="U33" i="63" s="1"/>
  <c r="S33" i="62"/>
  <c r="AP64" i="49"/>
  <c r="AQ64" i="49"/>
  <c r="AA79" i="49"/>
  <c r="AO64" i="49"/>
  <c r="AN64" i="49"/>
  <c r="AM64" i="49"/>
  <c r="S139" i="68" l="1"/>
  <c r="T139" i="68" s="1"/>
  <c r="U139" i="68" s="1"/>
  <c r="T33" i="68"/>
  <c r="U33" i="68" s="1"/>
  <c r="T33" i="62"/>
  <c r="U33" i="62" s="1"/>
  <c r="AR64" i="62"/>
  <c r="T319" i="83"/>
  <c r="U319" i="83" s="1"/>
  <c r="AR350" i="83"/>
  <c r="T33" i="65"/>
  <c r="U33" i="65" s="1"/>
  <c r="AR64" i="65"/>
  <c r="T33" i="64"/>
  <c r="U33" i="64" s="1"/>
  <c r="AR64" i="64"/>
  <c r="T33" i="83"/>
  <c r="U33" i="83" s="1"/>
  <c r="AR64" i="83"/>
  <c r="AR171" i="83"/>
  <c r="AU65" i="70"/>
  <c r="AR170" i="68"/>
  <c r="AR64" i="68"/>
  <c r="AR64" i="63"/>
  <c r="T33" i="69"/>
  <c r="U33" i="69" s="1"/>
  <c r="AR64" i="69"/>
  <c r="T33" i="67"/>
  <c r="U33" i="67" s="1"/>
  <c r="AR64" i="67"/>
  <c r="AR64" i="66"/>
  <c r="P32" i="49"/>
  <c r="AI17" i="49"/>
  <c r="Q17" i="49" s="1"/>
  <c r="AI13" i="49"/>
  <c r="Q13" i="49" s="1"/>
  <c r="AI22" i="49"/>
  <c r="Q22" i="49" s="1"/>
  <c r="AI28" i="49"/>
  <c r="Q31" i="49" s="1"/>
  <c r="AI27" i="49"/>
  <c r="Q30" i="49" s="1"/>
  <c r="AI23" i="49"/>
  <c r="Q24" i="49" s="1"/>
  <c r="AI26" i="49"/>
  <c r="Q29" i="49" s="1"/>
  <c r="AI15" i="49"/>
  <c r="Q15" i="49" s="1"/>
  <c r="AI16" i="49"/>
  <c r="Q16" i="49" s="1"/>
  <c r="AI18" i="49"/>
  <c r="Q18" i="49" s="1"/>
  <c r="AI20" i="49"/>
  <c r="Q20" i="49" s="1"/>
  <c r="AI19" i="49"/>
  <c r="Q19" i="49" s="1"/>
  <c r="AI21" i="49"/>
  <c r="Q21" i="49" s="1"/>
  <c r="AI11" i="49"/>
  <c r="Q11" i="49" s="1"/>
  <c r="AI25" i="49"/>
  <c r="Q28" i="49" s="1"/>
  <c r="AI10" i="49"/>
  <c r="Q10" i="49" s="1"/>
  <c r="AI24" i="49"/>
  <c r="Q25" i="49" s="1"/>
  <c r="AI12" i="49"/>
  <c r="Q12" i="49" s="1"/>
  <c r="AW63" i="62" l="1"/>
  <c r="L32" i="49" l="1"/>
  <c r="N32" i="49"/>
  <c r="AO32" i="49" l="1"/>
  <c r="AL32" i="49"/>
  <c r="Z15" i="76"/>
  <c r="A41" i="50"/>
  <c r="A42" i="50"/>
  <c r="A43" i="50"/>
  <c r="A47" i="50" l="1"/>
  <c r="A46" i="50"/>
  <c r="A49" i="50"/>
  <c r="A45" i="50"/>
  <c r="A48" i="50"/>
  <c r="A44" i="50"/>
  <c r="AB47" i="50"/>
  <c r="AE47" i="50" l="1"/>
  <c r="AD47" i="50"/>
  <c r="BC47" i="50"/>
  <c r="W24" i="92" l="1"/>
  <c r="E24" i="92"/>
  <c r="P24" i="92"/>
  <c r="B24" i="92"/>
  <c r="Q24" i="92"/>
  <c r="L24" i="92"/>
  <c r="C24" i="92"/>
  <c r="U24" i="92"/>
  <c r="I24" i="92"/>
  <c r="D24" i="92"/>
  <c r="K24" i="92"/>
  <c r="F24" i="92"/>
  <c r="G24" i="92"/>
  <c r="J24" i="92"/>
  <c r="T24" i="92"/>
  <c r="N24" i="92"/>
  <c r="V24" i="92"/>
  <c r="M24" i="92"/>
  <c r="H24" i="92"/>
  <c r="AA24" i="92" l="1" a="1"/>
  <c r="AA24" i="92" s="1"/>
  <c r="Y24" i="92" a="1"/>
  <c r="Y24" i="92" s="1"/>
  <c r="Z24" i="92" a="1"/>
  <c r="Z24" i="92" s="1"/>
  <c r="AC101" i="50" l="1"/>
  <c r="AC99" i="50"/>
  <c r="AC97" i="50"/>
  <c r="AC95" i="50"/>
  <c r="AC93" i="50"/>
  <c r="AC91" i="50"/>
  <c r="AC89" i="50"/>
  <c r="AC87" i="50"/>
  <c r="AC85" i="50"/>
  <c r="AB79" i="50"/>
  <c r="AB73" i="50"/>
  <c r="AB74" i="50"/>
  <c r="AB75" i="50"/>
  <c r="AB76" i="50"/>
  <c r="AB77" i="50"/>
  <c r="AB78" i="50"/>
  <c r="AB58" i="50"/>
  <c r="AB59" i="50"/>
  <c r="AB60" i="50"/>
  <c r="AB61" i="50"/>
  <c r="AB62" i="50"/>
  <c r="AB63" i="50"/>
  <c r="AB64" i="50"/>
  <c r="AB65" i="50"/>
  <c r="AB66" i="50"/>
  <c r="AB67" i="50"/>
  <c r="AB68" i="50"/>
  <c r="AB69" i="50"/>
  <c r="AB70" i="50"/>
  <c r="AB71" i="50"/>
  <c r="AB72" i="50"/>
  <c r="AB57" i="50"/>
  <c r="AB51" i="50"/>
  <c r="AB52" i="50"/>
  <c r="AB53" i="50"/>
  <c r="AB54" i="50"/>
  <c r="AB55" i="50"/>
  <c r="AB34" i="50"/>
  <c r="AB35" i="50"/>
  <c r="AB36" i="50"/>
  <c r="AB37" i="50"/>
  <c r="AB38" i="50"/>
  <c r="AB39" i="50"/>
  <c r="AB40" i="50"/>
  <c r="AB41" i="50"/>
  <c r="AB42" i="50"/>
  <c r="AB43" i="50"/>
  <c r="AB44" i="50"/>
  <c r="AB45" i="50"/>
  <c r="AB46" i="50"/>
  <c r="AB48" i="50"/>
  <c r="AB49" i="50"/>
  <c r="AB50" i="50"/>
  <c r="AB33" i="50"/>
  <c r="AB31" i="50"/>
  <c r="AB10" i="50"/>
  <c r="AB11" i="50"/>
  <c r="AB12" i="50"/>
  <c r="AB13" i="50"/>
  <c r="AB14" i="50"/>
  <c r="AB15" i="50"/>
  <c r="AB16" i="50"/>
  <c r="AB17" i="50"/>
  <c r="AB18" i="50"/>
  <c r="AB19" i="50"/>
  <c r="AB20" i="50"/>
  <c r="AB21" i="50"/>
  <c r="AB22" i="50"/>
  <c r="AB23" i="50"/>
  <c r="AB24" i="50"/>
  <c r="AB25" i="50"/>
  <c r="AB26" i="50"/>
  <c r="AB27" i="50"/>
  <c r="AB28" i="50"/>
  <c r="AB29" i="50"/>
  <c r="AB30" i="50"/>
  <c r="AB9" i="50"/>
  <c r="Y149" i="49"/>
  <c r="Y150" i="49"/>
  <c r="Y151" i="49"/>
  <c r="Y152" i="49"/>
  <c r="Y153" i="49"/>
  <c r="Y154" i="49"/>
  <c r="Y155" i="49"/>
  <c r="Y156" i="49"/>
  <c r="Y157" i="49"/>
  <c r="Y158" i="49"/>
  <c r="Y159" i="49"/>
  <c r="Y160" i="49"/>
  <c r="Y161" i="49"/>
  <c r="Y162" i="49"/>
  <c r="Y163" i="49"/>
  <c r="Y164" i="49"/>
  <c r="Y165" i="49"/>
  <c r="Y166" i="49"/>
  <c r="Y167" i="49"/>
  <c r="Y168" i="49"/>
  <c r="Y169" i="49"/>
  <c r="Y170" i="49"/>
  <c r="Y148" i="49"/>
  <c r="AE18" i="50" l="1"/>
  <c r="AD18" i="50"/>
  <c r="A53" i="50"/>
  <c r="A62" i="50"/>
  <c r="A58" i="50"/>
  <c r="A56" i="50"/>
  <c r="A52" i="50"/>
  <c r="A61" i="50"/>
  <c r="A57" i="50"/>
  <c r="A55" i="50"/>
  <c r="A51" i="50"/>
  <c r="A60" i="50"/>
  <c r="A54" i="50"/>
  <c r="A50" i="50"/>
  <c r="A59" i="50"/>
  <c r="AE28" i="50"/>
  <c r="AD28" i="50"/>
  <c r="AE24" i="50"/>
  <c r="AD24" i="50"/>
  <c r="AE20" i="50"/>
  <c r="AD20" i="50"/>
  <c r="AE16" i="50"/>
  <c r="AD16" i="50"/>
  <c r="AE12" i="50"/>
  <c r="AD12" i="50"/>
  <c r="BC33" i="50"/>
  <c r="AE33" i="50"/>
  <c r="AD33" i="50"/>
  <c r="BC46" i="50"/>
  <c r="AE46" i="50"/>
  <c r="AD46" i="50"/>
  <c r="BC42" i="50"/>
  <c r="AE42" i="50"/>
  <c r="AD42" i="50"/>
  <c r="BC38" i="50"/>
  <c r="AE38" i="50"/>
  <c r="AD38" i="50"/>
  <c r="BC34" i="50"/>
  <c r="AE34" i="50"/>
  <c r="AD34" i="50"/>
  <c r="AE52" i="50"/>
  <c r="AD52" i="50"/>
  <c r="AE71" i="50"/>
  <c r="AD71" i="50"/>
  <c r="AE67" i="50"/>
  <c r="AD67" i="50"/>
  <c r="AE63" i="50"/>
  <c r="AD63" i="50"/>
  <c r="AE59" i="50"/>
  <c r="AD59" i="50"/>
  <c r="AE76" i="50"/>
  <c r="AD76" i="50"/>
  <c r="AE79" i="50"/>
  <c r="AD79" i="50"/>
  <c r="AE9" i="50"/>
  <c r="AD9" i="50"/>
  <c r="AE27" i="50"/>
  <c r="AD27" i="50"/>
  <c r="AE23" i="50"/>
  <c r="AD23" i="50"/>
  <c r="AE19" i="50"/>
  <c r="AD19" i="50"/>
  <c r="AE15" i="50"/>
  <c r="AD15" i="50"/>
  <c r="AE11" i="50"/>
  <c r="AD11" i="50"/>
  <c r="BC50" i="50"/>
  <c r="AE50" i="50"/>
  <c r="AD50" i="50"/>
  <c r="AE45" i="50"/>
  <c r="AD45" i="50"/>
  <c r="AE41" i="50"/>
  <c r="AD41" i="50"/>
  <c r="AE37" i="50"/>
  <c r="AD37" i="50"/>
  <c r="AE55" i="50"/>
  <c r="AD55" i="50"/>
  <c r="AE51" i="50"/>
  <c r="AD51" i="50"/>
  <c r="AE70" i="50"/>
  <c r="AD70" i="50"/>
  <c r="AE66" i="50"/>
  <c r="AD66" i="50"/>
  <c r="AE62" i="50"/>
  <c r="AD62" i="50"/>
  <c r="AE58" i="50"/>
  <c r="AD58" i="50"/>
  <c r="AE75" i="50"/>
  <c r="AD75" i="50"/>
  <c r="AE30" i="50"/>
  <c r="AD30" i="50"/>
  <c r="AE26" i="50"/>
  <c r="AD26" i="50"/>
  <c r="AE22" i="50"/>
  <c r="AD22" i="50"/>
  <c r="AE14" i="50"/>
  <c r="AD14" i="50"/>
  <c r="AE10" i="50"/>
  <c r="AD10" i="50"/>
  <c r="AE49" i="50"/>
  <c r="AD49" i="50"/>
  <c r="AE44" i="50"/>
  <c r="AD44" i="50"/>
  <c r="AE40" i="50"/>
  <c r="AD40" i="50"/>
  <c r="AE36" i="50"/>
  <c r="AD36" i="50"/>
  <c r="BC54" i="50"/>
  <c r="AE54" i="50"/>
  <c r="AD54" i="50"/>
  <c r="AE57" i="50"/>
  <c r="AD57" i="50"/>
  <c r="AE69" i="50"/>
  <c r="AD69" i="50"/>
  <c r="AE65" i="50"/>
  <c r="AD65" i="50"/>
  <c r="AE61" i="50"/>
  <c r="AD61" i="50"/>
  <c r="AE78" i="50"/>
  <c r="AD78" i="50"/>
  <c r="AE74" i="50"/>
  <c r="AD74" i="50"/>
  <c r="AE29" i="50"/>
  <c r="AD29" i="50"/>
  <c r="AE25" i="50"/>
  <c r="AD25" i="50"/>
  <c r="AE21" i="50"/>
  <c r="AD21" i="50"/>
  <c r="AE17" i="50"/>
  <c r="AD17" i="50"/>
  <c r="AE13" i="50"/>
  <c r="AD13" i="50"/>
  <c r="AE31" i="50"/>
  <c r="AD31" i="50"/>
  <c r="AE48" i="50"/>
  <c r="AD48" i="50"/>
  <c r="AE43" i="50"/>
  <c r="AD43" i="50"/>
  <c r="AE39" i="50"/>
  <c r="AD39" i="50"/>
  <c r="AE35" i="50"/>
  <c r="AD35" i="50"/>
  <c r="AE53" i="50"/>
  <c r="AD53" i="50"/>
  <c r="AE72" i="50"/>
  <c r="AD72" i="50"/>
  <c r="AE68" i="50"/>
  <c r="AD68" i="50"/>
  <c r="AE64" i="50"/>
  <c r="AD64" i="50"/>
  <c r="AE60" i="50"/>
  <c r="AD60" i="50"/>
  <c r="AE77" i="50"/>
  <c r="AD77" i="50"/>
  <c r="AE73" i="50"/>
  <c r="AD73" i="50"/>
  <c r="BC49" i="50"/>
  <c r="BC40" i="50"/>
  <c r="BC36" i="50"/>
  <c r="BC48" i="50"/>
  <c r="BC39" i="50"/>
  <c r="BC53" i="50"/>
  <c r="BC52" i="50"/>
  <c r="BC44" i="50"/>
  <c r="BC43" i="50"/>
  <c r="BC35" i="50"/>
  <c r="BC45" i="50"/>
  <c r="BC41" i="50"/>
  <c r="BC37" i="50"/>
  <c r="BC55" i="50"/>
  <c r="BC51" i="50"/>
  <c r="B149" i="49"/>
  <c r="B150" i="49"/>
  <c r="A150" i="49" s="1"/>
  <c r="B151" i="49"/>
  <c r="A151" i="49" s="1"/>
  <c r="B152" i="49"/>
  <c r="A152" i="49" s="1"/>
  <c r="B153" i="49"/>
  <c r="A153" i="49" s="1"/>
  <c r="B154" i="49"/>
  <c r="A154" i="49" s="1"/>
  <c r="B155" i="49"/>
  <c r="A155" i="49" s="1"/>
  <c r="B156" i="49"/>
  <c r="A156" i="49" s="1"/>
  <c r="B157" i="49"/>
  <c r="A157" i="49" s="1"/>
  <c r="B158" i="49"/>
  <c r="A158" i="49" s="1"/>
  <c r="B159" i="49"/>
  <c r="A159" i="49" s="1"/>
  <c r="B160" i="49"/>
  <c r="A160" i="49" s="1"/>
  <c r="B161" i="49"/>
  <c r="A161" i="49" s="1"/>
  <c r="B162" i="49"/>
  <c r="A162" i="49" s="1"/>
  <c r="B163" i="49"/>
  <c r="A163" i="49" s="1"/>
  <c r="B164" i="49"/>
  <c r="A164" i="49" s="1"/>
  <c r="B165" i="49"/>
  <c r="B166" i="49"/>
  <c r="A166" i="49" s="1"/>
  <c r="B167" i="49"/>
  <c r="A167" i="49" s="1"/>
  <c r="B168" i="49"/>
  <c r="A168" i="49" s="1"/>
  <c r="B169" i="49"/>
  <c r="A169" i="49" s="1"/>
  <c r="B170" i="49"/>
  <c r="AL57" i="49"/>
  <c r="AR57" i="49" s="1"/>
  <c r="AL58" i="49"/>
  <c r="AR58" i="49" s="1"/>
  <c r="Y27" i="49"/>
  <c r="Y26" i="49"/>
  <c r="Q9" i="50" l="1"/>
  <c r="Q11" i="50"/>
  <c r="Q10" i="50"/>
  <c r="AA133" i="68"/>
  <c r="AA132" i="68"/>
  <c r="Q32" i="50"/>
  <c r="L64" i="50" s="1"/>
  <c r="H32" i="50"/>
  <c r="I32" i="50"/>
  <c r="Q28" i="50"/>
  <c r="P32" i="50"/>
  <c r="J32" i="50"/>
  <c r="H64" i="50" s="1"/>
  <c r="D32" i="50"/>
  <c r="D64" i="50" s="1"/>
  <c r="J21" i="50"/>
  <c r="J30" i="50"/>
  <c r="J18" i="50"/>
  <c r="H26" i="50"/>
  <c r="Q18" i="50"/>
  <c r="H19" i="50"/>
  <c r="Q27" i="50"/>
  <c r="J16" i="50"/>
  <c r="J28" i="50"/>
  <c r="J26" i="50"/>
  <c r="J20" i="50"/>
  <c r="I18" i="50"/>
  <c r="P24" i="50"/>
  <c r="P27" i="50"/>
  <c r="J23" i="50"/>
  <c r="I30" i="50"/>
  <c r="I20" i="50"/>
  <c r="V21" i="50"/>
  <c r="P19" i="50"/>
  <c r="I24" i="50"/>
  <c r="J24" i="50"/>
  <c r="H20" i="50"/>
  <c r="P17" i="50"/>
  <c r="P29" i="50"/>
  <c r="D9" i="50"/>
  <c r="D41" i="50" s="1"/>
  <c r="H18" i="50"/>
  <c r="Q19" i="50"/>
  <c r="Q20" i="50"/>
  <c r="H24" i="50"/>
  <c r="H21" i="50"/>
  <c r="H17" i="50"/>
  <c r="I16" i="50"/>
  <c r="Q25" i="50"/>
  <c r="H23" i="50"/>
  <c r="P16" i="50"/>
  <c r="I22" i="50"/>
  <c r="H28" i="50"/>
  <c r="I29" i="50"/>
  <c r="J22" i="50"/>
  <c r="P21" i="50"/>
  <c r="P18" i="50"/>
  <c r="J25" i="50"/>
  <c r="Q29" i="50"/>
  <c r="H29" i="50"/>
  <c r="P20" i="50"/>
  <c r="Q17" i="50"/>
  <c r="I27" i="50"/>
  <c r="J29" i="50"/>
  <c r="H22" i="50"/>
  <c r="P28" i="50"/>
  <c r="Q23" i="50"/>
  <c r="I25" i="50"/>
  <c r="P30" i="50"/>
  <c r="J27" i="50"/>
  <c r="P23" i="50"/>
  <c r="H16" i="50"/>
  <c r="J19" i="50"/>
  <c r="X21" i="50"/>
  <c r="Q16" i="50"/>
  <c r="I26" i="50"/>
  <c r="Q21" i="50"/>
  <c r="I19" i="50"/>
  <c r="H27" i="50"/>
  <c r="Q26" i="50"/>
  <c r="H30" i="50"/>
  <c r="T21" i="50"/>
  <c r="I17" i="50"/>
  <c r="J17" i="50"/>
  <c r="I28" i="50"/>
  <c r="U21" i="50"/>
  <c r="Q30" i="50"/>
  <c r="P26" i="50"/>
  <c r="H25" i="50"/>
  <c r="W21" i="50"/>
  <c r="Q24" i="50"/>
  <c r="P25" i="50"/>
  <c r="Q22" i="50"/>
  <c r="I21" i="50"/>
  <c r="D21" i="50"/>
  <c r="P22" i="50"/>
  <c r="I23" i="50"/>
  <c r="J31" i="50"/>
  <c r="H31" i="50"/>
  <c r="Q31" i="50"/>
  <c r="P31" i="50"/>
  <c r="I31" i="50"/>
  <c r="X28" i="50"/>
  <c r="U29" i="50"/>
  <c r="X20" i="50"/>
  <c r="U23" i="50"/>
  <c r="W12" i="50"/>
  <c r="U25" i="50"/>
  <c r="T19" i="50"/>
  <c r="J14" i="50"/>
  <c r="T11" i="50"/>
  <c r="V23" i="50"/>
  <c r="V25" i="50"/>
  <c r="T15" i="50"/>
  <c r="W22" i="50"/>
  <c r="X10" i="50"/>
  <c r="D12" i="50"/>
  <c r="D18" i="50"/>
  <c r="X24" i="50"/>
  <c r="V12" i="50"/>
  <c r="T27" i="50"/>
  <c r="V16" i="50"/>
  <c r="D30" i="50"/>
  <c r="X25" i="50"/>
  <c r="X9" i="50"/>
  <c r="W27" i="50"/>
  <c r="H9" i="50"/>
  <c r="Q14" i="50"/>
  <c r="P12" i="50"/>
  <c r="D27" i="50"/>
  <c r="T18" i="50"/>
  <c r="X17" i="50"/>
  <c r="T25" i="50"/>
  <c r="T20" i="50"/>
  <c r="V11" i="50"/>
  <c r="U12" i="50"/>
  <c r="U9" i="50"/>
  <c r="W14" i="50"/>
  <c r="J10" i="50"/>
  <c r="W17" i="50"/>
  <c r="U22" i="50"/>
  <c r="V32" i="50"/>
  <c r="D16" i="50"/>
  <c r="X12" i="50"/>
  <c r="J15" i="50"/>
  <c r="X11" i="50"/>
  <c r="X26" i="50"/>
  <c r="Q12" i="50"/>
  <c r="P15" i="50"/>
  <c r="U26" i="50"/>
  <c r="V13" i="50"/>
  <c r="J13" i="50"/>
  <c r="D23" i="50"/>
  <c r="W16" i="50"/>
  <c r="W26" i="50"/>
  <c r="I12" i="50"/>
  <c r="W29" i="50"/>
  <c r="U18" i="50"/>
  <c r="I10" i="50"/>
  <c r="P14" i="50"/>
  <c r="X16" i="50"/>
  <c r="H15" i="50"/>
  <c r="X30" i="50"/>
  <c r="I11" i="50"/>
  <c r="I9" i="50"/>
  <c r="D22" i="50"/>
  <c r="W28" i="50"/>
  <c r="V24" i="50"/>
  <c r="V29" i="50"/>
  <c r="D17" i="50"/>
  <c r="U19" i="50"/>
  <c r="Q15" i="50"/>
  <c r="H12" i="50"/>
  <c r="T28" i="50"/>
  <c r="V22" i="50"/>
  <c r="T12" i="50"/>
  <c r="W15" i="50"/>
  <c r="T17" i="50"/>
  <c r="V26" i="50"/>
  <c r="W11" i="50"/>
  <c r="H11" i="50"/>
  <c r="V30" i="50"/>
  <c r="X15" i="50"/>
  <c r="T32" i="50"/>
  <c r="H10" i="50"/>
  <c r="W20" i="50"/>
  <c r="V28" i="50"/>
  <c r="I15" i="50"/>
  <c r="W9" i="50"/>
  <c r="U20" i="50"/>
  <c r="X22" i="50"/>
  <c r="T24" i="50"/>
  <c r="X23" i="50"/>
  <c r="X18" i="50"/>
  <c r="V18" i="50"/>
  <c r="V20" i="50"/>
  <c r="T26" i="50"/>
  <c r="T16" i="50"/>
  <c r="Q13" i="50"/>
  <c r="U28" i="50"/>
  <c r="D29" i="50"/>
  <c r="U32" i="50"/>
  <c r="D19" i="50"/>
  <c r="W25" i="50"/>
  <c r="T22" i="50"/>
  <c r="D14" i="50"/>
  <c r="D26" i="50"/>
  <c r="D28" i="50"/>
  <c r="H13" i="50"/>
  <c r="U10" i="50"/>
  <c r="D15" i="50"/>
  <c r="U11" i="50"/>
  <c r="J11" i="50"/>
  <c r="X19" i="50"/>
  <c r="D25" i="50"/>
  <c r="U17" i="50"/>
  <c r="U27" i="50"/>
  <c r="W23" i="50"/>
  <c r="X32" i="50"/>
  <c r="W18" i="50"/>
  <c r="T9" i="50"/>
  <c r="V14" i="50"/>
  <c r="T13" i="50"/>
  <c r="U13" i="50"/>
  <c r="X14" i="50"/>
  <c r="T23" i="50"/>
  <c r="V19" i="50"/>
  <c r="W32" i="50"/>
  <c r="P13" i="50"/>
  <c r="J12" i="50"/>
  <c r="V15" i="50"/>
  <c r="U16" i="50"/>
  <c r="T29" i="50"/>
  <c r="P11" i="50"/>
  <c r="W24" i="50"/>
  <c r="P10" i="50"/>
  <c r="V9" i="50"/>
  <c r="P9" i="50"/>
  <c r="H14" i="50"/>
  <c r="D13" i="50"/>
  <c r="X29" i="50"/>
  <c r="D20" i="50"/>
  <c r="W10" i="50"/>
  <c r="V17" i="50"/>
  <c r="W30" i="50"/>
  <c r="T30" i="50"/>
  <c r="V27" i="50"/>
  <c r="U30" i="50"/>
  <c r="I14" i="50"/>
  <c r="U15" i="50"/>
  <c r="W19" i="50"/>
  <c r="I13" i="50"/>
  <c r="U24" i="50"/>
  <c r="V10" i="50"/>
  <c r="D10" i="50"/>
  <c r="T14" i="50"/>
  <c r="D24" i="50"/>
  <c r="J9" i="50"/>
  <c r="T10" i="50"/>
  <c r="X27" i="50"/>
  <c r="X13" i="50"/>
  <c r="U14" i="50"/>
  <c r="D11" i="50"/>
  <c r="W13" i="50"/>
  <c r="U31" i="50"/>
  <c r="W31" i="50"/>
  <c r="X31" i="50"/>
  <c r="T31" i="50"/>
  <c r="D31" i="50"/>
  <c r="V31" i="50"/>
  <c r="A149" i="49"/>
  <c r="AS65" i="49"/>
  <c r="BB58" i="49"/>
  <c r="AX58" i="49"/>
  <c r="AY58" i="49"/>
  <c r="AZ58" i="49"/>
  <c r="BA58" i="49"/>
  <c r="AY57" i="49"/>
  <c r="AZ57" i="49"/>
  <c r="BB57" i="49"/>
  <c r="AX57" i="49"/>
  <c r="BA57" i="49"/>
  <c r="A148" i="49"/>
  <c r="N16" i="76"/>
  <c r="W16" i="76"/>
  <c r="G16" i="76"/>
  <c r="R16" i="76"/>
  <c r="K16" i="76"/>
  <c r="I16" i="76"/>
  <c r="AA16" i="76"/>
  <c r="E16" i="76"/>
  <c r="O16" i="76"/>
  <c r="J16" i="76"/>
  <c r="M16" i="76"/>
  <c r="X16" i="76"/>
  <c r="S16" i="76"/>
  <c r="Q16" i="76"/>
  <c r="D16" i="76"/>
  <c r="V16" i="76"/>
  <c r="T16" i="76"/>
  <c r="F16" i="76"/>
  <c r="H16" i="76"/>
  <c r="Y16" i="76"/>
  <c r="P16" i="76"/>
  <c r="L16" i="76"/>
  <c r="U16" i="76"/>
  <c r="Z16" i="76"/>
  <c r="AA26" i="68"/>
  <c r="A165" i="49"/>
  <c r="AA27" i="68"/>
  <c r="AU57" i="49"/>
  <c r="AW57" i="49"/>
  <c r="AV57" i="49"/>
  <c r="AS57" i="49"/>
  <c r="AT57" i="49"/>
  <c r="AS64" i="49"/>
  <c r="AW64" i="49"/>
  <c r="AU64" i="49"/>
  <c r="AT64" i="49"/>
  <c r="AV64" i="49"/>
  <c r="AT58" i="49"/>
  <c r="AS58" i="49"/>
  <c r="AU58" i="49"/>
  <c r="AV58" i="49"/>
  <c r="AW58" i="49"/>
  <c r="AM57" i="49"/>
  <c r="AQ57" i="49"/>
  <c r="AN57" i="49"/>
  <c r="AP57" i="49"/>
  <c r="AO57" i="49"/>
  <c r="AP58" i="49"/>
  <c r="AQ58" i="49"/>
  <c r="AO58" i="49"/>
  <c r="AM58" i="49"/>
  <c r="AN58" i="49"/>
  <c r="F52" i="50" l="1"/>
  <c r="F61" i="50"/>
  <c r="L62" i="50"/>
  <c r="F62" i="50"/>
  <c r="D62" i="50"/>
  <c r="H62" i="50"/>
  <c r="D57" i="50"/>
  <c r="L57" i="50"/>
  <c r="H57" i="50"/>
  <c r="L58" i="50"/>
  <c r="D54" i="50"/>
  <c r="F58" i="50"/>
  <c r="D58" i="50"/>
  <c r="H58" i="50"/>
  <c r="L54" i="50"/>
  <c r="H54" i="50"/>
  <c r="D53" i="50"/>
  <c r="F60" i="50"/>
  <c r="L53" i="50"/>
  <c r="H61" i="50"/>
  <c r="L48" i="50"/>
  <c r="L61" i="50"/>
  <c r="H53" i="50"/>
  <c r="H48" i="50"/>
  <c r="D48" i="50"/>
  <c r="D61" i="50"/>
  <c r="F57" i="50"/>
  <c r="F42" i="50"/>
  <c r="F44" i="50"/>
  <c r="F50" i="50"/>
  <c r="D51" i="50"/>
  <c r="L56" i="50"/>
  <c r="H41" i="50"/>
  <c r="L55" i="50"/>
  <c r="F43" i="50"/>
  <c r="L63" i="50"/>
  <c r="L49" i="50"/>
  <c r="H55" i="50"/>
  <c r="L45" i="50"/>
  <c r="D47" i="50"/>
  <c r="L52" i="50"/>
  <c r="F49" i="50"/>
  <c r="F63" i="50"/>
  <c r="AD84" i="50" s="1"/>
  <c r="D63" i="50"/>
  <c r="AD82" i="50" s="1"/>
  <c r="H63" i="50"/>
  <c r="AD86" i="50" s="1"/>
  <c r="L59" i="50"/>
  <c r="H43" i="50"/>
  <c r="F56" i="50"/>
  <c r="F51" i="50"/>
  <c r="D52" i="50"/>
  <c r="D45" i="50"/>
  <c r="H44" i="50"/>
  <c r="D49" i="50"/>
  <c r="H59" i="50"/>
  <c r="F47" i="50"/>
  <c r="H56" i="50"/>
  <c r="L44" i="50"/>
  <c r="F41" i="50"/>
  <c r="F48" i="50"/>
  <c r="F46" i="50"/>
  <c r="L41" i="50"/>
  <c r="H51" i="50"/>
  <c r="H52" i="50"/>
  <c r="L47" i="50"/>
  <c r="H60" i="50"/>
  <c r="H50" i="50"/>
  <c r="L43" i="50"/>
  <c r="H45" i="50"/>
  <c r="F55" i="50"/>
  <c r="H47" i="50"/>
  <c r="F59" i="50"/>
  <c r="H46" i="50"/>
  <c r="L42" i="50"/>
  <c r="L51" i="50"/>
  <c r="H42" i="50"/>
  <c r="F54" i="50"/>
  <c r="F64" i="50"/>
  <c r="D59" i="50"/>
  <c r="L46" i="50"/>
  <c r="F53" i="50"/>
  <c r="D50" i="50"/>
  <c r="D43" i="50"/>
  <c r="D56" i="50"/>
  <c r="D42" i="50"/>
  <c r="F45" i="50"/>
  <c r="D60" i="50"/>
  <c r="D46" i="50"/>
  <c r="L60" i="50"/>
  <c r="H49" i="50"/>
  <c r="D55" i="50"/>
  <c r="D44" i="50"/>
  <c r="L50" i="50"/>
  <c r="AD90" i="50" l="1"/>
  <c r="AD4" i="50" l="1"/>
  <c r="AL63" i="49"/>
  <c r="AL62" i="49"/>
  <c r="AR62" i="49" s="1"/>
  <c r="AL61" i="49"/>
  <c r="AR61" i="49" s="1"/>
  <c r="AL60" i="49"/>
  <c r="AR60" i="49" s="1"/>
  <c r="AL59" i="49"/>
  <c r="AR59" i="49" s="1"/>
  <c r="AL56" i="49"/>
  <c r="AR56" i="49" s="1"/>
  <c r="AL55" i="49"/>
  <c r="AR55" i="49" s="1"/>
  <c r="AL54" i="49"/>
  <c r="AR54" i="49" s="1"/>
  <c r="AL53" i="49"/>
  <c r="AR53" i="49" s="1"/>
  <c r="AL52" i="49"/>
  <c r="AR52" i="49" s="1"/>
  <c r="AL51" i="49"/>
  <c r="AR51" i="49" s="1"/>
  <c r="AL50" i="49"/>
  <c r="AR50" i="49" s="1"/>
  <c r="AL49" i="49"/>
  <c r="AR49" i="49" s="1"/>
  <c r="AL48" i="49"/>
  <c r="AR48" i="49" s="1"/>
  <c r="AL47" i="49"/>
  <c r="AR47" i="49" s="1"/>
  <c r="AL46" i="49"/>
  <c r="AR46" i="49" s="1"/>
  <c r="AL45" i="49"/>
  <c r="AR45" i="49" s="1"/>
  <c r="AL44" i="49"/>
  <c r="AR44" i="49" s="1"/>
  <c r="AL43" i="49"/>
  <c r="AR43" i="49" s="1"/>
  <c r="AL42" i="49"/>
  <c r="AR42" i="49" s="1"/>
  <c r="AL41" i="49"/>
  <c r="AR41" i="49" s="1"/>
  <c r="Y31" i="49"/>
  <c r="Y30" i="49"/>
  <c r="Y29" i="49"/>
  <c r="Y28" i="49"/>
  <c r="Y25" i="49"/>
  <c r="Y24" i="49"/>
  <c r="Y23" i="49"/>
  <c r="Y22" i="49"/>
  <c r="Y21" i="49"/>
  <c r="Y20" i="49"/>
  <c r="Y19" i="49"/>
  <c r="Y18" i="49"/>
  <c r="Y17" i="49"/>
  <c r="Y16" i="49"/>
  <c r="Y15" i="49"/>
  <c r="Y14" i="49"/>
  <c r="Y13" i="49"/>
  <c r="Y12" i="49"/>
  <c r="Y11" i="49"/>
  <c r="Y10" i="49"/>
  <c r="BB41" i="49" l="1"/>
  <c r="AY41" i="49"/>
  <c r="AZ41" i="49"/>
  <c r="BA41" i="49"/>
  <c r="AX41" i="49"/>
  <c r="AS41" i="49"/>
  <c r="BA53" i="49"/>
  <c r="BB53" i="49"/>
  <c r="AZ53" i="49"/>
  <c r="AX53" i="49"/>
  <c r="AY53" i="49"/>
  <c r="AX55" i="49"/>
  <c r="BA55" i="49"/>
  <c r="AY55" i="49"/>
  <c r="BB55" i="49"/>
  <c r="BA43" i="49"/>
  <c r="AZ43" i="49"/>
  <c r="AY43" i="49"/>
  <c r="AX43" i="49"/>
  <c r="BB43" i="49"/>
  <c r="AX47" i="49"/>
  <c r="AZ47" i="49"/>
  <c r="AY47" i="49"/>
  <c r="BA47" i="49"/>
  <c r="BB47" i="49"/>
  <c r="AZ51" i="49"/>
  <c r="AY51" i="49"/>
  <c r="AX51" i="49"/>
  <c r="BA51" i="49"/>
  <c r="BB51" i="49"/>
  <c r="AX54" i="49"/>
  <c r="BA54" i="49"/>
  <c r="AZ54" i="49"/>
  <c r="AY54" i="49"/>
  <c r="BB54" i="49"/>
  <c r="AY56" i="49"/>
  <c r="BA56" i="49"/>
  <c r="AX56" i="49"/>
  <c r="AZ56" i="49"/>
  <c r="BB56" i="49"/>
  <c r="AZ62" i="49"/>
  <c r="BA62" i="49"/>
  <c r="BB62" i="49"/>
  <c r="AY62" i="49"/>
  <c r="AX62" i="49"/>
  <c r="BB42" i="49"/>
  <c r="AZ42" i="49"/>
  <c r="AY42" i="49"/>
  <c r="BA42" i="49"/>
  <c r="AX42" i="49"/>
  <c r="AY46" i="49"/>
  <c r="AZ46" i="49"/>
  <c r="BA46" i="49"/>
  <c r="BB46" i="49"/>
  <c r="AX46" i="49"/>
  <c r="AX50" i="49"/>
  <c r="BA50" i="49"/>
  <c r="AZ50" i="49"/>
  <c r="AY50" i="49"/>
  <c r="BB50" i="49"/>
  <c r="AZ59" i="49"/>
  <c r="BA59" i="49"/>
  <c r="AX59" i="49"/>
  <c r="AY59" i="49"/>
  <c r="BB59" i="49"/>
  <c r="BA63" i="49"/>
  <c r="BB63" i="49"/>
  <c r="AY63" i="49"/>
  <c r="AX63" i="49"/>
  <c r="AZ45" i="49"/>
  <c r="AY45" i="49"/>
  <c r="BA45" i="49"/>
  <c r="AX45" i="49"/>
  <c r="BB45" i="49"/>
  <c r="AY49" i="49"/>
  <c r="BA49" i="49"/>
  <c r="AX49" i="49"/>
  <c r="AZ49" i="49"/>
  <c r="BB49" i="49"/>
  <c r="AY60" i="49"/>
  <c r="AX60" i="49"/>
  <c r="AZ60" i="49"/>
  <c r="BA60" i="49"/>
  <c r="BB60" i="49"/>
  <c r="AY44" i="49"/>
  <c r="BA44" i="49"/>
  <c r="AZ44" i="49"/>
  <c r="AX44" i="49"/>
  <c r="BB44" i="49"/>
  <c r="BA48" i="49"/>
  <c r="BB48" i="49"/>
  <c r="AY48" i="49"/>
  <c r="AZ48" i="49"/>
  <c r="AX48" i="49"/>
  <c r="BA52" i="49"/>
  <c r="AX52" i="49"/>
  <c r="AZ52" i="49"/>
  <c r="AY52" i="49"/>
  <c r="BB52" i="49"/>
  <c r="AZ61" i="49"/>
  <c r="AX61" i="49"/>
  <c r="AY61" i="49"/>
  <c r="BB61" i="49"/>
  <c r="BA61" i="49"/>
  <c r="AU45" i="49"/>
  <c r="AS45" i="49"/>
  <c r="AT45" i="49"/>
  <c r="AV45" i="49"/>
  <c r="AW45" i="49"/>
  <c r="AU49" i="49"/>
  <c r="AS49" i="49"/>
  <c r="AT49" i="49"/>
  <c r="AV49" i="49"/>
  <c r="AW49" i="49"/>
  <c r="AU53" i="49"/>
  <c r="AS53" i="49"/>
  <c r="AV53" i="49"/>
  <c r="AW53" i="49"/>
  <c r="AT53" i="49"/>
  <c r="AV60" i="49"/>
  <c r="AS60" i="49"/>
  <c r="AW60" i="49"/>
  <c r="AT60" i="49"/>
  <c r="AU60" i="49"/>
  <c r="AV52" i="49"/>
  <c r="AU52" i="49"/>
  <c r="AS52" i="49"/>
  <c r="AW52" i="49"/>
  <c r="AT52" i="49"/>
  <c r="AU61" i="49"/>
  <c r="AS61" i="49"/>
  <c r="AT61" i="49"/>
  <c r="AV61" i="49"/>
  <c r="AW61" i="49"/>
  <c r="AS47" i="49"/>
  <c r="AW47" i="49"/>
  <c r="AU47" i="49"/>
  <c r="AV47" i="49"/>
  <c r="AT47" i="49"/>
  <c r="AT42" i="49"/>
  <c r="AS42" i="49"/>
  <c r="AW42" i="49"/>
  <c r="AU42" i="49"/>
  <c r="AV42" i="49"/>
  <c r="AT46" i="49"/>
  <c r="AS46" i="49"/>
  <c r="AU46" i="49"/>
  <c r="AV46" i="49"/>
  <c r="AW46" i="49"/>
  <c r="AT50" i="49"/>
  <c r="AW50" i="49"/>
  <c r="AU50" i="49"/>
  <c r="AV50" i="49"/>
  <c r="AS50" i="49"/>
  <c r="AS59" i="49"/>
  <c r="AW59" i="49"/>
  <c r="AU59" i="49"/>
  <c r="AV59" i="49"/>
  <c r="AT59" i="49"/>
  <c r="AS63" i="49"/>
  <c r="AW63" i="49"/>
  <c r="AT63" i="49"/>
  <c r="AV63" i="49"/>
  <c r="AW41" i="49"/>
  <c r="AV41" i="49"/>
  <c r="AT41" i="49"/>
  <c r="AU41" i="49"/>
  <c r="AS55" i="49"/>
  <c r="AW55" i="49"/>
  <c r="AT55" i="49"/>
  <c r="AV55" i="49"/>
  <c r="AV44" i="49"/>
  <c r="AU44" i="49"/>
  <c r="AS44" i="49"/>
  <c r="AW44" i="49"/>
  <c r="AT44" i="49"/>
  <c r="AV48" i="49"/>
  <c r="AS48" i="49"/>
  <c r="AW48" i="49"/>
  <c r="AT48" i="49"/>
  <c r="AU48" i="49"/>
  <c r="AS43" i="49"/>
  <c r="AW43" i="49"/>
  <c r="AU43" i="49"/>
  <c r="AV43" i="49"/>
  <c r="AT43" i="49"/>
  <c r="AS51" i="49"/>
  <c r="AW51" i="49"/>
  <c r="AU51" i="49"/>
  <c r="AT51" i="49"/>
  <c r="AV51" i="49"/>
  <c r="AT54" i="49"/>
  <c r="AV54" i="49"/>
  <c r="AS54" i="49"/>
  <c r="AU54" i="49"/>
  <c r="AW54" i="49"/>
  <c r="AV56" i="49"/>
  <c r="AT56" i="49"/>
  <c r="AU56" i="49"/>
  <c r="AS56" i="49"/>
  <c r="AW56" i="49"/>
  <c r="AT62" i="49"/>
  <c r="AW62" i="49"/>
  <c r="AU62" i="49"/>
  <c r="AV62" i="49"/>
  <c r="AS62" i="49"/>
  <c r="AW65" i="49"/>
  <c r="AU65" i="49"/>
  <c r="AT65" i="49"/>
  <c r="AV65" i="49"/>
  <c r="AO51" i="49"/>
  <c r="AM51" i="49"/>
  <c r="AQ51" i="49"/>
  <c r="AN51" i="49"/>
  <c r="AP51" i="49"/>
  <c r="AP54" i="49"/>
  <c r="AM54" i="49"/>
  <c r="AN54" i="49"/>
  <c r="AO54" i="49"/>
  <c r="AQ54" i="49"/>
  <c r="AN56" i="49"/>
  <c r="AM56" i="49"/>
  <c r="AQ56" i="49"/>
  <c r="AO56" i="49"/>
  <c r="AP56" i="49"/>
  <c r="AP62" i="49"/>
  <c r="AM62" i="49"/>
  <c r="AO62" i="49"/>
  <c r="AQ62" i="49"/>
  <c r="AN62" i="49"/>
  <c r="AP50" i="49"/>
  <c r="AQ50" i="49"/>
  <c r="AN50" i="49"/>
  <c r="AO50" i="49"/>
  <c r="AM50" i="49"/>
  <c r="AM41" i="49"/>
  <c r="AQ41" i="49"/>
  <c r="AO41" i="49"/>
  <c r="AP41" i="49"/>
  <c r="AN41" i="49"/>
  <c r="AM45" i="49"/>
  <c r="AQ45" i="49"/>
  <c r="AO45" i="49"/>
  <c r="AP45" i="49"/>
  <c r="AN45" i="49"/>
  <c r="AM49" i="49"/>
  <c r="AQ49" i="49"/>
  <c r="AN49" i="49"/>
  <c r="AO49" i="49"/>
  <c r="AP49" i="49"/>
  <c r="AM53" i="49"/>
  <c r="AQ53" i="49"/>
  <c r="AO53" i="49"/>
  <c r="AP53" i="49"/>
  <c r="AN53" i="49"/>
  <c r="AP55" i="49"/>
  <c r="AN55" i="49"/>
  <c r="AM55" i="49"/>
  <c r="AQ55" i="49"/>
  <c r="AN60" i="49"/>
  <c r="AO60" i="49"/>
  <c r="AM60" i="49"/>
  <c r="AQ60" i="49"/>
  <c r="AP60" i="49"/>
  <c r="AO43" i="49"/>
  <c r="AM43" i="49"/>
  <c r="AQ43" i="49"/>
  <c r="AN43" i="49"/>
  <c r="AP43" i="49"/>
  <c r="AO47" i="49"/>
  <c r="AP47" i="49"/>
  <c r="AM47" i="49"/>
  <c r="AQ47" i="49"/>
  <c r="AN47" i="49"/>
  <c r="AP42" i="49"/>
  <c r="AM42" i="49"/>
  <c r="AN42" i="49"/>
  <c r="AO42" i="49"/>
  <c r="AQ42" i="49"/>
  <c r="AP46" i="49"/>
  <c r="AM46" i="49"/>
  <c r="AN46" i="49"/>
  <c r="AO46" i="49"/>
  <c r="AQ46" i="49"/>
  <c r="AO59" i="49"/>
  <c r="AN59" i="49"/>
  <c r="AP59" i="49"/>
  <c r="AQ59" i="49"/>
  <c r="AM59" i="49"/>
  <c r="AP63" i="49"/>
  <c r="AN63" i="49"/>
  <c r="AM63" i="49"/>
  <c r="AQ63" i="49"/>
  <c r="AN44" i="49"/>
  <c r="AO44" i="49"/>
  <c r="AP44" i="49"/>
  <c r="AM44" i="49"/>
  <c r="AQ44" i="49"/>
  <c r="AN48" i="49"/>
  <c r="AP48" i="49"/>
  <c r="AM48" i="49"/>
  <c r="AQ48" i="49"/>
  <c r="AO48" i="49"/>
  <c r="AN52" i="49"/>
  <c r="AO52" i="49"/>
  <c r="AP52" i="49"/>
  <c r="AM52" i="49"/>
  <c r="AQ52" i="49"/>
  <c r="AM61" i="49"/>
  <c r="AQ61" i="49"/>
  <c r="AP61" i="49"/>
  <c r="AN61" i="49"/>
  <c r="AO61" i="49"/>
  <c r="AN65" i="49"/>
  <c r="AM65" i="49"/>
  <c r="AO65" i="49"/>
  <c r="AP65" i="49"/>
  <c r="AQ65" i="49"/>
  <c r="AA4" i="49"/>
  <c r="AL65" i="49" l="1"/>
  <c r="M65" i="49"/>
  <c r="AA120" i="68" l="1"/>
  <c r="AA121" i="83"/>
  <c r="Z14" i="84"/>
  <c r="AA14" i="83"/>
  <c r="AA300" i="83"/>
  <c r="AA14" i="69"/>
  <c r="Z14" i="70"/>
  <c r="AA14" i="63"/>
  <c r="AA14" i="65"/>
  <c r="AA14" i="67"/>
  <c r="AA14" i="64"/>
  <c r="AA14" i="62"/>
  <c r="AA14" i="66"/>
  <c r="AA14" i="49"/>
  <c r="AA129" i="68"/>
  <c r="AA130" i="83"/>
  <c r="Z23" i="84"/>
  <c r="AA23" i="83"/>
  <c r="AA309" i="83"/>
  <c r="AA23" i="69"/>
  <c r="Z23" i="70"/>
  <c r="AA23" i="62"/>
  <c r="AA23" i="63"/>
  <c r="AA23" i="67"/>
  <c r="AA23" i="66"/>
  <c r="AA23" i="65"/>
  <c r="AA23" i="64"/>
  <c r="AA23" i="49"/>
  <c r="AA127" i="68"/>
  <c r="AA128" i="83"/>
  <c r="Z21" i="84"/>
  <c r="AA21" i="83"/>
  <c r="AA307" i="83"/>
  <c r="AA21" i="69"/>
  <c r="Z21" i="70"/>
  <c r="AA21" i="62"/>
  <c r="AA21" i="64"/>
  <c r="AA21" i="65"/>
  <c r="AA21" i="66"/>
  <c r="AA21" i="63"/>
  <c r="AA21" i="67"/>
  <c r="AA21" i="49"/>
  <c r="AA130" i="68"/>
  <c r="AA119" i="68"/>
  <c r="AA120" i="83"/>
  <c r="Z13" i="84"/>
  <c r="AA13" i="83"/>
  <c r="AA299" i="83"/>
  <c r="AA13" i="69"/>
  <c r="Z13" i="70"/>
  <c r="AA13" i="65"/>
  <c r="AA13" i="66"/>
  <c r="AA13" i="62"/>
  <c r="AA13" i="67"/>
  <c r="AA13" i="64"/>
  <c r="AA13" i="63"/>
  <c r="AA13" i="49"/>
  <c r="AA131" i="68"/>
  <c r="AA132" i="83"/>
  <c r="AA25" i="83"/>
  <c r="Z25" i="84"/>
  <c r="AA311" i="83"/>
  <c r="AA25" i="69"/>
  <c r="Z25" i="70"/>
  <c r="AA25" i="63"/>
  <c r="AA25" i="62"/>
  <c r="AA25" i="67"/>
  <c r="AA25" i="66"/>
  <c r="AA25" i="64"/>
  <c r="AA25" i="65"/>
  <c r="AA25" i="49"/>
  <c r="AA128" i="68"/>
  <c r="AA122" i="68"/>
  <c r="AA123" i="83"/>
  <c r="AA16" i="83"/>
  <c r="Z16" i="84"/>
  <c r="AA302" i="83"/>
  <c r="AA16" i="69"/>
  <c r="Z16" i="70"/>
  <c r="AA16" i="62"/>
  <c r="AA16" i="63"/>
  <c r="AA16" i="66"/>
  <c r="AA16" i="65"/>
  <c r="AA16" i="67"/>
  <c r="AA16" i="64"/>
  <c r="AA16" i="49"/>
  <c r="AA116" i="68"/>
  <c r="AA10" i="68"/>
  <c r="AA117" i="83"/>
  <c r="AA10" i="83"/>
  <c r="Z10" i="84"/>
  <c r="AA296" i="83"/>
  <c r="AA10" i="69"/>
  <c r="Z10" i="70"/>
  <c r="AA10" i="62"/>
  <c r="AA10" i="67"/>
  <c r="AA10" i="64"/>
  <c r="AA10" i="63"/>
  <c r="AA10" i="66"/>
  <c r="AA10" i="65"/>
  <c r="AA10" i="49"/>
  <c r="AA134" i="68"/>
  <c r="AA28" i="64"/>
  <c r="AA28" i="62"/>
  <c r="AA28" i="63"/>
  <c r="AA28" i="67"/>
  <c r="AA28" i="66"/>
  <c r="AA28" i="65"/>
  <c r="AA28" i="49"/>
  <c r="AA125" i="68"/>
  <c r="AA135" i="68"/>
  <c r="AA136" i="83"/>
  <c r="AA29" i="83"/>
  <c r="Z29" i="84"/>
  <c r="AA315" i="83"/>
  <c r="AA29" i="69"/>
  <c r="Z29" i="70"/>
  <c r="AA29" i="64"/>
  <c r="AA29" i="66"/>
  <c r="AA29" i="65"/>
  <c r="AA29" i="67"/>
  <c r="AA29" i="63"/>
  <c r="AA29" i="62"/>
  <c r="AA29" i="49"/>
  <c r="AA137" i="68"/>
  <c r="AA121" i="68"/>
  <c r="AA122" i="83"/>
  <c r="Z15" i="84"/>
  <c r="AA15" i="83"/>
  <c r="AA301" i="83"/>
  <c r="AA15" i="69"/>
  <c r="Z15" i="70"/>
  <c r="AA15" i="64"/>
  <c r="AA15" i="66"/>
  <c r="AA15" i="62"/>
  <c r="AA15" i="63"/>
  <c r="AA15" i="67"/>
  <c r="AA15" i="65"/>
  <c r="AA15" i="49"/>
  <c r="AA123" i="68"/>
  <c r="AA124" i="83"/>
  <c r="Z17" i="84"/>
  <c r="AA17" i="83"/>
  <c r="AA303" i="83"/>
  <c r="AA17" i="69"/>
  <c r="Z17" i="70"/>
  <c r="AA17" i="63"/>
  <c r="AA17" i="66"/>
  <c r="AA17" i="62"/>
  <c r="AA17" i="65"/>
  <c r="AA17" i="67"/>
  <c r="AA17" i="64"/>
  <c r="AA17" i="49"/>
  <c r="AA124" i="68"/>
  <c r="AA117" i="68"/>
  <c r="AA118" i="83"/>
  <c r="Z11" i="84"/>
  <c r="AA11" i="83"/>
  <c r="AA297" i="83"/>
  <c r="AA11" i="69"/>
  <c r="Z11" i="70"/>
  <c r="AA11" i="66"/>
  <c r="AA11" i="63"/>
  <c r="AA11" i="67"/>
  <c r="AA11" i="65"/>
  <c r="AA11" i="64"/>
  <c r="AA11" i="49"/>
  <c r="AA118" i="68"/>
  <c r="AA119" i="83"/>
  <c r="AA12" i="69"/>
  <c r="Z12" i="70"/>
  <c r="AA12" i="66"/>
  <c r="AA12" i="65"/>
  <c r="AA12" i="64"/>
  <c r="AA12" i="62"/>
  <c r="AA12" i="63"/>
  <c r="AA12" i="67"/>
  <c r="AA12" i="49"/>
  <c r="AA126" i="68"/>
  <c r="AA127" i="83"/>
  <c r="AA20" i="83"/>
  <c r="Z20" i="84"/>
  <c r="AA306" i="83"/>
  <c r="AA20" i="69"/>
  <c r="Z20" i="70"/>
  <c r="AA20" i="65"/>
  <c r="AA20" i="64"/>
  <c r="AA20" i="62"/>
  <c r="AA20" i="63"/>
  <c r="AA20" i="66"/>
  <c r="AA20" i="67"/>
  <c r="AA20" i="49"/>
  <c r="AA136" i="68"/>
  <c r="AA137" i="83"/>
  <c r="AA30" i="83"/>
  <c r="AA316" i="83"/>
  <c r="AA30" i="69"/>
  <c r="Z30" i="70"/>
  <c r="AA30" i="62"/>
  <c r="AA30" i="63"/>
  <c r="AA30" i="66"/>
  <c r="AA30" i="67"/>
  <c r="AA30" i="65"/>
  <c r="AA30" i="64"/>
  <c r="AA31" i="68"/>
  <c r="AA22" i="68"/>
  <c r="AA20" i="68"/>
  <c r="AA11" i="68"/>
  <c r="AA23" i="68"/>
  <c r="AA24" i="68"/>
  <c r="AA30" i="68"/>
  <c r="Z14" i="76"/>
  <c r="AA14" i="68"/>
  <c r="AA18" i="68"/>
  <c r="AA28" i="68"/>
  <c r="AA15" i="68"/>
  <c r="AA19" i="68"/>
  <c r="AA29" i="68"/>
  <c r="AA12" i="68"/>
  <c r="AA16" i="68"/>
  <c r="AA13" i="68"/>
  <c r="AA17" i="68"/>
  <c r="AA21" i="68"/>
  <c r="AA25" i="68"/>
  <c r="AA32" i="65" l="1"/>
  <c r="S32" i="65" s="1"/>
  <c r="Z32" i="70"/>
  <c r="T32" i="70" s="1"/>
  <c r="AA32" i="49"/>
  <c r="S32" i="49" s="1"/>
  <c r="T32" i="49" s="1"/>
  <c r="U32" i="49" s="1"/>
  <c r="AA138" i="68"/>
  <c r="S138" i="68" s="1"/>
  <c r="T138" i="68" s="1"/>
  <c r="U138" i="68" s="1"/>
  <c r="AA32" i="69"/>
  <c r="S32" i="69" s="1"/>
  <c r="AR63" i="69" s="1"/>
  <c r="AA32" i="62"/>
  <c r="S32" i="62" s="1"/>
  <c r="AA318" i="83"/>
  <c r="S318" i="83" s="1"/>
  <c r="AA32" i="66"/>
  <c r="S32" i="66" s="1"/>
  <c r="T32" i="66" s="1"/>
  <c r="U32" i="66" s="1"/>
  <c r="AA32" i="63"/>
  <c r="S32" i="63" s="1"/>
  <c r="T32" i="63" s="1"/>
  <c r="U32" i="63" s="1"/>
  <c r="Z32" i="84"/>
  <c r="T32" i="84" s="1"/>
  <c r="AQ63" i="84" s="1"/>
  <c r="AA139" i="83"/>
  <c r="S139" i="83" s="1"/>
  <c r="T139" i="83" s="1"/>
  <c r="U139" i="83" s="1"/>
  <c r="AA32" i="83"/>
  <c r="S32" i="83" s="1"/>
  <c r="AA32" i="68"/>
  <c r="S32" i="68" s="1"/>
  <c r="T32" i="68" s="1"/>
  <c r="U32" i="68" s="1"/>
  <c r="AR63" i="49"/>
  <c r="AA32" i="64"/>
  <c r="S32" i="64" s="1"/>
  <c r="AR63" i="64" s="1"/>
  <c r="AA32" i="67"/>
  <c r="S32" i="67" s="1"/>
  <c r="AR63" i="67" s="1"/>
  <c r="AR63" i="63" l="1"/>
  <c r="AR170" i="83"/>
  <c r="AR63" i="83"/>
  <c r="T32" i="83"/>
  <c r="U32" i="83" s="1"/>
  <c r="T318" i="83"/>
  <c r="U318" i="83" s="1"/>
  <c r="AR349" i="83"/>
  <c r="AR63" i="66"/>
  <c r="T32" i="62"/>
  <c r="U32" i="62" s="1"/>
  <c r="AR63" i="62"/>
  <c r="T32" i="65"/>
  <c r="U32" i="65" s="1"/>
  <c r="AR63" i="65"/>
  <c r="AU64" i="70"/>
  <c r="AR169" i="68"/>
  <c r="AR63" i="68"/>
  <c r="T32" i="64"/>
  <c r="U32" i="64" s="1"/>
  <c r="T32" i="69"/>
  <c r="U32" i="69" s="1"/>
  <c r="T32" i="67"/>
  <c r="U32" i="67" s="1"/>
  <c r="U25" i="44" l="1"/>
  <c r="U26" i="44"/>
  <c r="U10" i="44"/>
  <c r="U14" i="44"/>
  <c r="U18" i="44"/>
  <c r="U22" i="44"/>
  <c r="U28" i="44"/>
  <c r="U9" i="44"/>
  <c r="U20" i="44"/>
  <c r="U30" i="44"/>
  <c r="U17" i="44"/>
  <c r="S5" i="44"/>
  <c r="U11" i="44"/>
  <c r="U15" i="44"/>
  <c r="U19" i="44"/>
  <c r="U23" i="44"/>
  <c r="U29" i="44"/>
  <c r="U12" i="44"/>
  <c r="U16" i="44"/>
  <c r="U24" i="44"/>
  <c r="U13" i="44"/>
  <c r="U21" i="44"/>
  <c r="U27" i="44"/>
  <c r="U5" i="44"/>
  <c r="BB41" i="63" l="1"/>
  <c r="AZ41" i="63"/>
  <c r="BA41" i="63"/>
  <c r="AX41" i="63"/>
  <c r="AY41" i="63"/>
  <c r="BC9" i="50" l="1"/>
  <c r="BC30" i="50"/>
  <c r="BC29" i="50"/>
  <c r="BC28" i="50"/>
  <c r="BC27" i="50"/>
  <c r="BC26" i="50"/>
  <c r="BC24" i="50"/>
  <c r="BC25" i="50"/>
  <c r="BC23" i="50"/>
  <c r="BC22" i="50"/>
  <c r="BC21" i="50"/>
  <c r="BC20" i="50"/>
  <c r="BC19" i="50"/>
  <c r="BC12" i="50"/>
  <c r="BC11" i="50"/>
  <c r="BC18" i="50"/>
  <c r="BC17" i="50"/>
  <c r="BC16" i="50"/>
  <c r="BC15" i="50"/>
  <c r="BC14" i="50"/>
  <c r="AA20" i="76"/>
  <c r="U22" i="76"/>
  <c r="AA26" i="76"/>
  <c r="U20" i="76"/>
  <c r="U24" i="76"/>
  <c r="T21" i="76"/>
  <c r="T17" i="76"/>
  <c r="Y23" i="76"/>
  <c r="Y26" i="76"/>
  <c r="Y19" i="76"/>
  <c r="W24" i="76"/>
  <c r="V24" i="76"/>
  <c r="X22" i="76"/>
  <c r="W25" i="76"/>
  <c r="W18" i="76"/>
  <c r="V18" i="76"/>
  <c r="X17" i="76"/>
  <c r="BC10" i="50"/>
  <c r="BC13" i="50"/>
  <c r="AA18" i="76"/>
  <c r="U25" i="76"/>
  <c r="AA21" i="76"/>
  <c r="T22" i="76"/>
  <c r="T25" i="76"/>
  <c r="T20" i="76"/>
  <c r="U19" i="76"/>
  <c r="U17" i="76"/>
  <c r="Y20" i="76"/>
  <c r="Y17" i="76"/>
  <c r="V20" i="76"/>
  <c r="W20" i="76"/>
  <c r="X20" i="76"/>
  <c r="W23" i="76"/>
  <c r="X24" i="76"/>
  <c r="AA24" i="76"/>
  <c r="T26" i="76"/>
  <c r="AA17" i="76"/>
  <c r="T24" i="76"/>
  <c r="AA23" i="76"/>
  <c r="AA19" i="76"/>
  <c r="U18" i="76"/>
  <c r="T18" i="76"/>
  <c r="Y18" i="76"/>
  <c r="Y25" i="76"/>
  <c r="V25" i="76"/>
  <c r="X26" i="76"/>
  <c r="W22" i="76"/>
  <c r="V26" i="76"/>
  <c r="V22" i="76"/>
  <c r="W21" i="76"/>
  <c r="V21" i="76"/>
  <c r="X21" i="76"/>
  <c r="P25" i="76"/>
  <c r="R41" i="50"/>
  <c r="T53" i="50"/>
  <c r="V56" i="50"/>
  <c r="P59" i="50"/>
  <c r="T23" i="76"/>
  <c r="T19" i="76"/>
  <c r="Y21" i="76"/>
  <c r="X23" i="76"/>
  <c r="W19" i="76"/>
  <c r="V17" i="76"/>
  <c r="P57" i="50"/>
  <c r="T54" i="50"/>
  <c r="V55" i="50"/>
  <c r="R42" i="50"/>
  <c r="J46" i="50"/>
  <c r="T56" i="50"/>
  <c r="P22" i="76"/>
  <c r="V62" i="50"/>
  <c r="R51" i="50"/>
  <c r="J54" i="50"/>
  <c r="P42" i="50"/>
  <c r="P20" i="76"/>
  <c r="J41" i="50"/>
  <c r="N51" i="50"/>
  <c r="R52" i="50"/>
  <c r="P46" i="50"/>
  <c r="R64" i="50"/>
  <c r="J57" i="50"/>
  <c r="T62" i="50"/>
  <c r="V51" i="50"/>
  <c r="V50" i="50"/>
  <c r="J52" i="50"/>
  <c r="T51" i="50"/>
  <c r="N53" i="50"/>
  <c r="J58" i="50"/>
  <c r="R59" i="50"/>
  <c r="T58" i="50"/>
  <c r="P26" i="76"/>
  <c r="N64" i="50"/>
  <c r="N56" i="50"/>
  <c r="V52" i="50"/>
  <c r="N58" i="50"/>
  <c r="T61" i="50"/>
  <c r="E26" i="76"/>
  <c r="N23" i="76"/>
  <c r="G23" i="76"/>
  <c r="I26" i="76"/>
  <c r="Q26" i="76"/>
  <c r="I25" i="76"/>
  <c r="P60" i="50"/>
  <c r="Q20" i="76"/>
  <c r="J24" i="76"/>
  <c r="M22" i="76"/>
  <c r="K20" i="76"/>
  <c r="E18" i="76"/>
  <c r="R25" i="76"/>
  <c r="Q22" i="76"/>
  <c r="J25" i="76"/>
  <c r="M25" i="76"/>
  <c r="K26" i="76"/>
  <c r="P18" i="76"/>
  <c r="M23" i="76"/>
  <c r="V60" i="50"/>
  <c r="I17" i="76"/>
  <c r="T49" i="50"/>
  <c r="L24" i="76"/>
  <c r="O19" i="76"/>
  <c r="L18" i="76"/>
  <c r="N49" i="50"/>
  <c r="R44" i="50"/>
  <c r="D21" i="76"/>
  <c r="K17" i="76"/>
  <c r="H18" i="76"/>
  <c r="U26" i="76"/>
  <c r="AA22" i="76"/>
  <c r="Y24" i="76"/>
  <c r="W26" i="76"/>
  <c r="V19" i="76"/>
  <c r="T64" i="50"/>
  <c r="J56" i="50"/>
  <c r="T50" i="50"/>
  <c r="J51" i="50"/>
  <c r="N42" i="50"/>
  <c r="J61" i="50"/>
  <c r="V57" i="50"/>
  <c r="R57" i="50"/>
  <c r="V53" i="50"/>
  <c r="P56" i="50"/>
  <c r="R56" i="50"/>
  <c r="V46" i="50"/>
  <c r="N46" i="50"/>
  <c r="R61" i="50"/>
  <c r="P24" i="76"/>
  <c r="Q25" i="76"/>
  <c r="N22" i="76"/>
  <c r="M20" i="76"/>
  <c r="I24" i="76"/>
  <c r="D20" i="76"/>
  <c r="T60" i="50"/>
  <c r="V47" i="50"/>
  <c r="R43" i="50"/>
  <c r="R45" i="50"/>
  <c r="S20" i="76"/>
  <c r="P21" i="76"/>
  <c r="E25" i="76"/>
  <c r="O22" i="76"/>
  <c r="S26" i="76"/>
  <c r="R23" i="76"/>
  <c r="D25" i="76"/>
  <c r="P47" i="50"/>
  <c r="K18" i="76"/>
  <c r="P19" i="76"/>
  <c r="J22" i="76"/>
  <c r="O20" i="76"/>
  <c r="S24" i="76"/>
  <c r="R20" i="76"/>
  <c r="J60" i="50"/>
  <c r="V48" i="50"/>
  <c r="J44" i="50"/>
  <c r="N24" i="76"/>
  <c r="G17" i="76"/>
  <c r="E17" i="76"/>
  <c r="V43" i="50"/>
  <c r="K19" i="76"/>
  <c r="K24" i="76"/>
  <c r="J47" i="50"/>
  <c r="AA25" i="76"/>
  <c r="Y22" i="76"/>
  <c r="V23" i="76"/>
  <c r="X19" i="76"/>
  <c r="N57" i="50"/>
  <c r="N55" i="50"/>
  <c r="P51" i="50"/>
  <c r="P53" i="50"/>
  <c r="J59" i="50"/>
  <c r="P61" i="50"/>
  <c r="T41" i="50"/>
  <c r="T46" i="50"/>
  <c r="J64" i="50"/>
  <c r="R62" i="50"/>
  <c r="J55" i="50"/>
  <c r="P55" i="50"/>
  <c r="V42" i="50"/>
  <c r="N41" i="50"/>
  <c r="T57" i="50"/>
  <c r="P54" i="50"/>
  <c r="J42" i="50"/>
  <c r="P41" i="50"/>
  <c r="J53" i="50"/>
  <c r="P62" i="50"/>
  <c r="V54" i="50"/>
  <c r="P50" i="50"/>
  <c r="P52" i="50"/>
  <c r="T52" i="50"/>
  <c r="R54" i="50"/>
  <c r="T42" i="50"/>
  <c r="R46" i="50"/>
  <c r="V59" i="50"/>
  <c r="V61" i="50"/>
  <c r="V41" i="50"/>
  <c r="N62" i="50"/>
  <c r="T55" i="50"/>
  <c r="R55" i="50"/>
  <c r="P58" i="50"/>
  <c r="P17" i="76"/>
  <c r="J23" i="76"/>
  <c r="M26" i="76"/>
  <c r="S25" i="76"/>
  <c r="M24" i="76"/>
  <c r="D23" i="76"/>
  <c r="T47" i="50"/>
  <c r="E22" i="76"/>
  <c r="O24" i="76"/>
  <c r="L26" i="76"/>
  <c r="I22" i="76"/>
  <c r="G20" i="76"/>
  <c r="N47" i="50"/>
  <c r="E23" i="76"/>
  <c r="O25" i="76"/>
  <c r="F24" i="76"/>
  <c r="R24" i="76"/>
  <c r="J26" i="76"/>
  <c r="R26" i="76"/>
  <c r="P44" i="50"/>
  <c r="N17" i="76"/>
  <c r="E19" i="76"/>
  <c r="V45" i="50"/>
  <c r="K23" i="76"/>
  <c r="F21" i="76"/>
  <c r="V44" i="50"/>
  <c r="S19" i="76"/>
  <c r="G21" i="76"/>
  <c r="L23" i="76"/>
  <c r="L17" i="76"/>
  <c r="K21" i="76"/>
  <c r="N43" i="50"/>
  <c r="G18" i="76"/>
  <c r="R19" i="76"/>
  <c r="G24" i="76"/>
  <c r="X18" i="76"/>
  <c r="N52" i="50"/>
  <c r="R58" i="50"/>
  <c r="R50" i="50"/>
  <c r="N50" i="50"/>
  <c r="T59" i="50"/>
  <c r="O23" i="76"/>
  <c r="V49" i="50"/>
  <c r="N20" i="76"/>
  <c r="H22" i="76"/>
  <c r="O26" i="76"/>
  <c r="N25" i="76"/>
  <c r="D26" i="76"/>
  <c r="E24" i="76"/>
  <c r="N19" i="76"/>
  <c r="G25" i="76"/>
  <c r="N48" i="50"/>
  <c r="F19" i="76"/>
  <c r="G26" i="76"/>
  <c r="Q17" i="76"/>
  <c r="F25" i="76"/>
  <c r="M21" i="76"/>
  <c r="Q18" i="76"/>
  <c r="T43" i="50"/>
  <c r="F22" i="76"/>
  <c r="F20" i="76"/>
  <c r="I19" i="76"/>
  <c r="N44" i="50"/>
  <c r="Q21" i="76"/>
  <c r="I21" i="76"/>
  <c r="S18" i="76"/>
  <c r="AD85" i="50"/>
  <c r="D24" i="76"/>
  <c r="F17" i="76"/>
  <c r="O21" i="76"/>
  <c r="S17" i="76"/>
  <c r="S21" i="76"/>
  <c r="J20" i="76"/>
  <c r="O17" i="76"/>
  <c r="P43" i="50"/>
  <c r="F18" i="76"/>
  <c r="J21" i="76"/>
  <c r="Z26" i="76"/>
  <c r="AD91" i="50"/>
  <c r="X25" i="76"/>
  <c r="V64" i="50"/>
  <c r="R53" i="50"/>
  <c r="J50" i="50"/>
  <c r="N59" i="50"/>
  <c r="E20" i="76"/>
  <c r="N45" i="50"/>
  <c r="N26" i="76"/>
  <c r="D22" i="76"/>
  <c r="Q24" i="76"/>
  <c r="N60" i="50"/>
  <c r="J18" i="76"/>
  <c r="Z23" i="76"/>
  <c r="R49" i="50"/>
  <c r="J19" i="76"/>
  <c r="R17" i="76"/>
  <c r="L25" i="76"/>
  <c r="F26" i="76"/>
  <c r="H26" i="76"/>
  <c r="N21" i="76"/>
  <c r="J43" i="50"/>
  <c r="J45" i="50"/>
  <c r="N18" i="76"/>
  <c r="F23" i="76"/>
  <c r="R48" i="50"/>
  <c r="G22" i="76"/>
  <c r="O18" i="76"/>
  <c r="T45" i="50"/>
  <c r="M18" i="76"/>
  <c r="K22" i="76"/>
  <c r="E21" i="76"/>
  <c r="H19" i="76"/>
  <c r="H17" i="76"/>
  <c r="L21" i="76"/>
  <c r="D19" i="76"/>
  <c r="J49" i="50"/>
  <c r="P45" i="50"/>
  <c r="M19" i="76"/>
  <c r="Z18" i="76"/>
  <c r="V63" i="50"/>
  <c r="U21" i="76"/>
  <c r="J62" i="50"/>
  <c r="P64" i="50"/>
  <c r="N61" i="50"/>
  <c r="P23" i="76"/>
  <c r="R22" i="76"/>
  <c r="J48" i="50"/>
  <c r="Q23" i="76"/>
  <c r="R60" i="50"/>
  <c r="I23" i="76"/>
  <c r="R47" i="50"/>
  <c r="D17" i="76"/>
  <c r="H23" i="76"/>
  <c r="M17" i="76"/>
  <c r="T48" i="50"/>
  <c r="L22" i="76"/>
  <c r="P63" i="50"/>
  <c r="D18" i="76"/>
  <c r="Q19" i="76"/>
  <c r="I18" i="76"/>
  <c r="L19" i="76"/>
  <c r="L20" i="76"/>
  <c r="K25" i="76"/>
  <c r="H20" i="76"/>
  <c r="P49" i="50"/>
  <c r="T44" i="50"/>
  <c r="H25" i="76"/>
  <c r="P48" i="50"/>
  <c r="Z17" i="76"/>
  <c r="Z22" i="76"/>
  <c r="Z20" i="76"/>
  <c r="Z25" i="76"/>
  <c r="Z19" i="76"/>
  <c r="AD83" i="50"/>
  <c r="U23" i="76"/>
  <c r="W17" i="76"/>
  <c r="V58" i="50"/>
  <c r="N54" i="50"/>
  <c r="S22" i="76"/>
  <c r="I20" i="76"/>
  <c r="H24" i="76"/>
  <c r="S23" i="76"/>
  <c r="R21" i="76"/>
  <c r="H21" i="76"/>
  <c r="G19" i="76"/>
  <c r="J17" i="76"/>
  <c r="R18" i="76"/>
  <c r="Z21" i="76"/>
  <c r="R63" i="50"/>
  <c r="AD87" i="50"/>
  <c r="N63" i="50"/>
  <c r="J63" i="50"/>
  <c r="T63" i="50"/>
  <c r="Z24" i="76"/>
  <c r="AD92" i="50" l="1"/>
  <c r="AD93" i="50" s="1"/>
  <c r="AD96" i="50"/>
  <c r="AD97" i="50" s="1"/>
  <c r="AD88" i="50"/>
  <c r="AD89" i="50" s="1"/>
  <c r="AD100" i="50"/>
  <c r="AD101" i="50" s="1"/>
  <c r="AD98" i="50"/>
  <c r="AD99" i="50" s="1"/>
  <c r="AD94" i="50"/>
  <c r="AD95" i="50" s="1"/>
  <c r="AA163" i="84" l="1"/>
  <c r="AA91" i="84"/>
  <c r="AB160" i="66"/>
  <c r="AB234" i="67"/>
  <c r="AB126" i="69"/>
  <c r="AB126" i="67"/>
  <c r="CV125" i="50"/>
  <c r="CV133" i="50" s="1"/>
  <c r="AX125" i="50"/>
  <c r="AX133" i="50" s="1"/>
  <c r="CB125" i="50"/>
  <c r="CB133" i="50" s="1"/>
  <c r="DK125" i="50"/>
  <c r="BH179" i="50" s="1"/>
  <c r="AA171" i="84"/>
  <c r="AA99" i="84"/>
  <c r="BW125" i="50"/>
  <c r="BW133" i="50" s="1"/>
  <c r="BR125" i="50"/>
  <c r="BR133" i="50" s="1"/>
  <c r="BM125" i="50"/>
  <c r="BM133" i="50" s="1"/>
  <c r="AI125" i="50"/>
  <c r="AI133" i="50" s="1"/>
  <c r="AB198" i="83"/>
  <c r="F131" i="83"/>
  <c r="AN125" i="50"/>
  <c r="AN133" i="50" s="1"/>
  <c r="DA125" i="50"/>
  <c r="DA133" i="50" s="1"/>
  <c r="CG125" i="50"/>
  <c r="CG133" i="50" s="1"/>
  <c r="AD125" i="50"/>
  <c r="AD133" i="50" s="1"/>
  <c r="BC125" i="50"/>
  <c r="AB198" i="67"/>
  <c r="AB242" i="67"/>
  <c r="AB270" i="67"/>
  <c r="AS125" i="50"/>
  <c r="AS133" i="50" s="1"/>
  <c r="CL125" i="50"/>
  <c r="DP125" i="50"/>
  <c r="BM179" i="50" s="1"/>
  <c r="AA127" i="84"/>
  <c r="DF125" i="50"/>
  <c r="BC179" i="50" s="1"/>
  <c r="DU125" i="50"/>
  <c r="BR179" i="50" s="1"/>
  <c r="AB91" i="83"/>
  <c r="F32" i="84"/>
  <c r="BH125" i="50"/>
  <c r="BH133" i="50" s="1"/>
  <c r="DZ125" i="50"/>
  <c r="CQ125" i="50"/>
  <c r="CQ133" i="50" s="1"/>
  <c r="F24" i="84"/>
  <c r="AM24" i="84" s="1"/>
  <c r="F24" i="83"/>
  <c r="AB234" i="69"/>
  <c r="AB242" i="69"/>
  <c r="AB206" i="83"/>
  <c r="AA135" i="84"/>
  <c r="AB99" i="83"/>
  <c r="AB278" i="69"/>
  <c r="AB134" i="69"/>
  <c r="AB278" i="67"/>
  <c r="AB206" i="69"/>
  <c r="AB168" i="66"/>
  <c r="AG92" i="70"/>
  <c r="F24" i="70"/>
  <c r="AQ24" i="70" s="1"/>
  <c r="AH234" i="69"/>
  <c r="AH162" i="67"/>
  <c r="AB126" i="63"/>
  <c r="AG100" i="70"/>
  <c r="F32" i="70"/>
  <c r="AB170" i="69"/>
  <c r="AB162" i="69"/>
  <c r="F24" i="66"/>
  <c r="F32" i="83"/>
  <c r="AB206" i="67"/>
  <c r="AH126" i="69"/>
  <c r="AH134" i="69"/>
  <c r="AH234" i="67"/>
  <c r="F24" i="69"/>
  <c r="AB270" i="69"/>
  <c r="AH198" i="67"/>
  <c r="F24" i="65"/>
  <c r="M24" i="65" s="1"/>
  <c r="AO55" i="65" s="1"/>
  <c r="F24" i="64"/>
  <c r="M24" i="64" s="1"/>
  <c r="AO55" i="64" s="1"/>
  <c r="F24" i="63"/>
  <c r="M24" i="63" s="1"/>
  <c r="AO55" i="63" s="1"/>
  <c r="F32" i="69"/>
  <c r="AH242" i="69"/>
  <c r="AH270" i="67"/>
  <c r="AH170" i="67"/>
  <c r="AH206" i="67"/>
  <c r="F32" i="67"/>
  <c r="F24" i="67"/>
  <c r="AG126" i="63"/>
  <c r="F32" i="63"/>
  <c r="F32" i="62"/>
  <c r="F24" i="62"/>
  <c r="AD24" i="62" s="1"/>
  <c r="AD32" i="62" s="1"/>
  <c r="F24" i="49"/>
  <c r="AB125" i="49"/>
  <c r="AH125" i="49" s="1"/>
  <c r="AH133" i="49" s="1"/>
  <c r="AB198" i="69"/>
  <c r="F32" i="66"/>
  <c r="AH242" i="67"/>
  <c r="AH278" i="67"/>
  <c r="F32" i="65"/>
  <c r="F32" i="64"/>
  <c r="AA100" i="70"/>
  <c r="F278" i="83" s="1"/>
  <c r="BE170" i="83" s="1"/>
  <c r="AA92" i="70"/>
  <c r="F270" i="83" s="1"/>
  <c r="BE162" i="83" s="1"/>
  <c r="AB133" i="49"/>
  <c r="F32" i="49"/>
  <c r="AN131" i="83" l="1"/>
  <c r="F234" i="83"/>
  <c r="AZ162" i="83" s="1"/>
  <c r="AG198" i="83"/>
  <c r="AG206" i="83" s="1"/>
  <c r="AG198" i="69"/>
  <c r="AG206" i="69" s="1"/>
  <c r="F206" i="69" s="1"/>
  <c r="BE63" i="69" s="1"/>
  <c r="AN24" i="83"/>
  <c r="AB162" i="83"/>
  <c r="AB170" i="83" s="1"/>
  <c r="F318" i="83" s="1"/>
  <c r="AN24" i="49"/>
  <c r="F162" i="49"/>
  <c r="AU55" i="49" s="1"/>
  <c r="BO55" i="67"/>
  <c r="F134" i="66"/>
  <c r="AU63" i="66" s="1"/>
  <c r="F126" i="49"/>
  <c r="AZ55" i="49" s="1"/>
  <c r="AI179" i="50"/>
  <c r="F162" i="66"/>
  <c r="AZ55" i="66" s="1"/>
  <c r="F134" i="49"/>
  <c r="AZ63" i="49" s="1"/>
  <c r="F198" i="67"/>
  <c r="BU55" i="67" s="1"/>
  <c r="BC133" i="50"/>
  <c r="AI187" i="50" s="1"/>
  <c r="DP133" i="50"/>
  <c r="BM187" i="50" s="1"/>
  <c r="F234" i="67"/>
  <c r="BE55" i="67" s="1"/>
  <c r="F126" i="69"/>
  <c r="AU55" i="69" s="1"/>
  <c r="F278" i="67"/>
  <c r="BJ63" i="67" s="1"/>
  <c r="F126" i="63"/>
  <c r="AZ55" i="63" s="1"/>
  <c r="F270" i="69"/>
  <c r="BJ55" i="69" s="1"/>
  <c r="DU133" i="50"/>
  <c r="BR187" i="50" s="1"/>
  <c r="F126" i="62"/>
  <c r="AU55" i="62" s="1"/>
  <c r="BJ55" i="63"/>
  <c r="F242" i="69"/>
  <c r="BO63" i="69" s="1"/>
  <c r="F198" i="69"/>
  <c r="BE55" i="69" s="1"/>
  <c r="F234" i="69"/>
  <c r="BO55" i="69" s="1"/>
  <c r="AN187" i="50"/>
  <c r="BE63" i="63"/>
  <c r="M32" i="62"/>
  <c r="AN32" i="62" s="1"/>
  <c r="AB134" i="63"/>
  <c r="F270" i="67"/>
  <c r="BJ55" i="67" s="1"/>
  <c r="N24" i="70"/>
  <c r="AR56" i="70" s="1"/>
  <c r="F242" i="67"/>
  <c r="BE63" i="67" s="1"/>
  <c r="AG134" i="63"/>
  <c r="AX187" i="50"/>
  <c r="F170" i="66"/>
  <c r="AZ63" i="66" s="1"/>
  <c r="M24" i="62"/>
  <c r="AO55" i="62" s="1"/>
  <c r="F126" i="66"/>
  <c r="AU55" i="66" s="1"/>
  <c r="M24" i="69"/>
  <c r="AO55" i="69" s="1"/>
  <c r="AM24" i="66"/>
  <c r="F135" i="84"/>
  <c r="AY63" i="84" s="1"/>
  <c r="AD187" i="50"/>
  <c r="F134" i="62"/>
  <c r="AU63" i="62" s="1"/>
  <c r="F206" i="67"/>
  <c r="BU63" i="67" s="1"/>
  <c r="BO63" i="67"/>
  <c r="AN179" i="50"/>
  <c r="AC24" i="70"/>
  <c r="AC32" i="70" s="1"/>
  <c r="N32" i="70" s="1"/>
  <c r="AD179" i="50"/>
  <c r="F198" i="83"/>
  <c r="AU162" i="83" s="1"/>
  <c r="DK133" i="50"/>
  <c r="BH187" i="50" s="1"/>
  <c r="F134" i="67"/>
  <c r="AU63" i="67" s="1"/>
  <c r="F134" i="69"/>
  <c r="AU63" i="69" s="1"/>
  <c r="F170" i="69"/>
  <c r="AZ63" i="69" s="1"/>
  <c r="F100" i="70"/>
  <c r="BC64" i="70" s="1"/>
  <c r="AU63" i="83"/>
  <c r="F170" i="49"/>
  <c r="AU63" i="49" s="1"/>
  <c r="F139" i="83"/>
  <c r="M24" i="49"/>
  <c r="AO55" i="49" s="1"/>
  <c r="AN24" i="65"/>
  <c r="AD24" i="65"/>
  <c r="AD32" i="65" s="1"/>
  <c r="M32" i="65" s="1"/>
  <c r="AG270" i="69"/>
  <c r="AG278" i="69" s="1"/>
  <c r="F278" i="69" s="1"/>
  <c r="BJ63" i="69" s="1"/>
  <c r="AM24" i="69"/>
  <c r="AD24" i="69"/>
  <c r="AD32" i="69" s="1"/>
  <c r="M32" i="69" s="1"/>
  <c r="BE55" i="63"/>
  <c r="AM24" i="65"/>
  <c r="AX64" i="70"/>
  <c r="AD24" i="49"/>
  <c r="AD32" i="49" s="1"/>
  <c r="M32" i="49" s="1"/>
  <c r="AM24" i="49"/>
  <c r="F99" i="83"/>
  <c r="AZ63" i="83" s="1"/>
  <c r="BW179" i="50"/>
  <c r="DZ133" i="50"/>
  <c r="BW187" i="50" s="1"/>
  <c r="CB179" i="50"/>
  <c r="BR152" i="50" s="1"/>
  <c r="AN24" i="69"/>
  <c r="AN24" i="63"/>
  <c r="AM24" i="63"/>
  <c r="AD24" i="63"/>
  <c r="AD32" i="63" s="1"/>
  <c r="M32" i="63" s="1"/>
  <c r="F162" i="69"/>
  <c r="AZ55" i="69" s="1"/>
  <c r="AX56" i="70"/>
  <c r="F92" i="70"/>
  <c r="BC56" i="70" s="1"/>
  <c r="AB162" i="67"/>
  <c r="AB170" i="67" s="1"/>
  <c r="F170" i="67" s="1"/>
  <c r="AZ63" i="67" s="1"/>
  <c r="BJ63" i="63"/>
  <c r="AN24" i="62"/>
  <c r="AM24" i="62"/>
  <c r="AM24" i="67"/>
  <c r="F126" i="67"/>
  <c r="AU55" i="67" s="1"/>
  <c r="AD24" i="67"/>
  <c r="AD32" i="67" s="1"/>
  <c r="M32" i="67" s="1"/>
  <c r="AN24" i="67"/>
  <c r="M24" i="67"/>
  <c r="AO55" i="67" s="1"/>
  <c r="AN24" i="64"/>
  <c r="AD24" i="64"/>
  <c r="AD32" i="64" s="1"/>
  <c r="M32" i="64" s="1"/>
  <c r="AM24" i="64"/>
  <c r="AD24" i="66"/>
  <c r="AD32" i="66" s="1"/>
  <c r="M32" i="66" s="1"/>
  <c r="M24" i="66"/>
  <c r="AX179" i="50"/>
  <c r="AN24" i="66"/>
  <c r="AM24" i="83"/>
  <c r="AP24" i="70"/>
  <c r="AS24" i="70" s="1"/>
  <c r="I24" i="70" s="1"/>
  <c r="J24" i="70" s="1"/>
  <c r="F127" i="84"/>
  <c r="AY55" i="84" s="1"/>
  <c r="DF133" i="50"/>
  <c r="BC187" i="50" s="1"/>
  <c r="M24" i="83"/>
  <c r="AU55" i="83"/>
  <c r="AD24" i="83"/>
  <c r="AD32" i="83" s="1"/>
  <c r="M32" i="83" s="1"/>
  <c r="F310" i="83"/>
  <c r="AL24" i="84"/>
  <c r="AO24" i="84" s="1"/>
  <c r="I24" i="84" s="1"/>
  <c r="J24" i="84" s="1"/>
  <c r="F99" i="84"/>
  <c r="AT63" i="84" s="1"/>
  <c r="F171" i="84"/>
  <c r="BD63" i="84" s="1"/>
  <c r="AC24" i="84"/>
  <c r="AC32" i="84" s="1"/>
  <c r="N24" i="84"/>
  <c r="AN55" i="84" s="1"/>
  <c r="F163" i="84"/>
  <c r="BD55" i="84" s="1"/>
  <c r="F91" i="84"/>
  <c r="AT55" i="84" s="1"/>
  <c r="F91" i="83"/>
  <c r="AZ55" i="83" s="1"/>
  <c r="CL133" i="50"/>
  <c r="AS187" i="50" s="1"/>
  <c r="AS179" i="50"/>
  <c r="M131" i="83"/>
  <c r="AM131" i="83"/>
  <c r="AP131" i="83" s="1"/>
  <c r="I131" i="83" s="1"/>
  <c r="AD131" i="83"/>
  <c r="AD139" i="83" s="1"/>
  <c r="N32" i="84" l="1"/>
  <c r="AN63" i="84" s="1"/>
  <c r="N33" i="84"/>
  <c r="F206" i="83"/>
  <c r="AU170" i="83" s="1"/>
  <c r="F242" i="83"/>
  <c r="AZ170" i="83" s="1"/>
  <c r="AM32" i="62"/>
  <c r="AP32" i="62" s="1"/>
  <c r="I32" i="62" s="1"/>
  <c r="AP24" i="83"/>
  <c r="I24" i="83" s="1"/>
  <c r="AM310" i="83"/>
  <c r="AN310" i="83"/>
  <c r="AM318" i="83"/>
  <c r="AN318" i="83"/>
  <c r="AP24" i="49"/>
  <c r="I24" i="49" s="1"/>
  <c r="BM152" i="50"/>
  <c r="BH152" i="50"/>
  <c r="BC152" i="50"/>
  <c r="F134" i="63"/>
  <c r="AZ63" i="63" s="1"/>
  <c r="AP24" i="64"/>
  <c r="I24" i="64" s="1"/>
  <c r="AP24" i="67"/>
  <c r="I24" i="67" s="1"/>
  <c r="AI152" i="50"/>
  <c r="AP24" i="65"/>
  <c r="I24" i="65" s="1"/>
  <c r="AO63" i="62"/>
  <c r="AR64" i="70"/>
  <c r="AP32" i="70"/>
  <c r="CB187" i="50"/>
  <c r="BR160" i="50" s="1"/>
  <c r="AD152" i="50"/>
  <c r="AQ32" i="70"/>
  <c r="AS152" i="50"/>
  <c r="AN152" i="50"/>
  <c r="AX152" i="50"/>
  <c r="AP24" i="62"/>
  <c r="I24" i="62" s="1"/>
  <c r="F162" i="67"/>
  <c r="AZ55" i="67" s="1"/>
  <c r="AP24" i="66"/>
  <c r="I24" i="66" s="1"/>
  <c r="AP24" i="69"/>
  <c r="I24" i="69" s="1"/>
  <c r="AO63" i="49"/>
  <c r="AM32" i="49"/>
  <c r="AN32" i="49"/>
  <c r="AO63" i="64"/>
  <c r="AN32" i="64"/>
  <c r="AM32" i="64"/>
  <c r="AN32" i="63"/>
  <c r="AO63" i="63"/>
  <c r="AM32" i="63"/>
  <c r="AS24" i="66"/>
  <c r="AO55" i="66"/>
  <c r="AN32" i="83"/>
  <c r="AO63" i="83"/>
  <c r="AM32" i="83"/>
  <c r="AS32" i="83"/>
  <c r="AO63" i="69"/>
  <c r="AN32" i="69"/>
  <c r="AM32" i="69"/>
  <c r="AL32" i="84"/>
  <c r="AP24" i="63"/>
  <c r="I24" i="63" s="1"/>
  <c r="AN32" i="67"/>
  <c r="AO63" i="67"/>
  <c r="AM32" i="67"/>
  <c r="AO55" i="83"/>
  <c r="AS24" i="83"/>
  <c r="AN139" i="83"/>
  <c r="AM139" i="83"/>
  <c r="M139" i="83"/>
  <c r="AN32" i="66"/>
  <c r="AO63" i="66"/>
  <c r="AM32" i="66"/>
  <c r="AS32" i="66"/>
  <c r="AS131" i="83"/>
  <c r="AO162" i="83"/>
  <c r="AD310" i="83"/>
  <c r="AD318" i="83" s="1"/>
  <c r="M318" i="83" s="1"/>
  <c r="M310" i="83"/>
  <c r="BW152" i="50"/>
  <c r="AN32" i="65"/>
  <c r="AO63" i="65"/>
  <c r="AM32" i="65"/>
  <c r="AM32" i="84" l="1"/>
  <c r="AO32" i="84" s="1"/>
  <c r="I32" i="84" s="1"/>
  <c r="J32" i="84" s="1"/>
  <c r="AL33" i="84"/>
  <c r="AM33" i="84"/>
  <c r="AI160" i="50"/>
  <c r="AD160" i="50"/>
  <c r="AN160" i="50"/>
  <c r="BH160" i="50"/>
  <c r="AS32" i="70"/>
  <c r="I32" i="70" s="1"/>
  <c r="J32" i="70" s="1"/>
  <c r="BM160" i="50"/>
  <c r="BW160" i="50"/>
  <c r="BC160" i="50"/>
  <c r="AS160" i="50"/>
  <c r="AX160" i="50"/>
  <c r="AP32" i="66"/>
  <c r="I32" i="66" s="1"/>
  <c r="AP32" i="63"/>
  <c r="I32" i="63" s="1"/>
  <c r="AP318" i="83"/>
  <c r="I318" i="83" s="1"/>
  <c r="AP32" i="64"/>
  <c r="I32" i="64" s="1"/>
  <c r="AO349" i="83"/>
  <c r="AS318" i="83"/>
  <c r="AW24" i="83"/>
  <c r="AV24" i="83"/>
  <c r="AP32" i="65"/>
  <c r="I32" i="65" s="1"/>
  <c r="AP310" i="83"/>
  <c r="I310" i="83" s="1"/>
  <c r="AW131" i="83"/>
  <c r="AV131" i="83"/>
  <c r="AP139" i="83"/>
  <c r="I139" i="83" s="1"/>
  <c r="AW32" i="83"/>
  <c r="AV32" i="83"/>
  <c r="AP32" i="49"/>
  <c r="I32" i="49" s="1"/>
  <c r="AS310" i="83"/>
  <c r="AO341" i="83"/>
  <c r="AW32" i="66"/>
  <c r="AV32" i="66"/>
  <c r="AO170" i="83"/>
  <c r="AS139" i="83"/>
  <c r="AP32" i="67"/>
  <c r="I32" i="67" s="1"/>
  <c r="AP32" i="69"/>
  <c r="I32" i="69" s="1"/>
  <c r="AP32" i="83"/>
  <c r="I32" i="83" s="1"/>
  <c r="AV24" i="66"/>
  <c r="AW24" i="66"/>
  <c r="AO33" i="84" l="1"/>
  <c r="I33" i="84" s="1"/>
  <c r="J33" i="84" s="1"/>
  <c r="AX32" i="83"/>
  <c r="AX131" i="83"/>
  <c r="AX24" i="83"/>
  <c r="AW310" i="83"/>
  <c r="AV310" i="83"/>
  <c r="AV139" i="83"/>
  <c r="AW139" i="83"/>
  <c r="AX24" i="66"/>
  <c r="AX32" i="66"/>
  <c r="AW318" i="83"/>
  <c r="AV318" i="83"/>
  <c r="AX310" i="83" l="1"/>
  <c r="AX318" i="83"/>
  <c r="AX139" i="83"/>
</calcChain>
</file>

<file path=xl/sharedStrings.xml><?xml version="1.0" encoding="utf-8"?>
<sst xmlns="http://schemas.openxmlformats.org/spreadsheetml/2006/main" count="4347" uniqueCount="1258">
  <si>
    <t>Bracknell Forest</t>
  </si>
  <si>
    <t>Isle of Wight</t>
  </si>
  <si>
    <t>Medway</t>
  </si>
  <si>
    <t>Reading</t>
  </si>
  <si>
    <t>East Sussex</t>
  </si>
  <si>
    <t>West Sussex</t>
  </si>
  <si>
    <t>Hampshire</t>
  </si>
  <si>
    <t>Surrey</t>
  </si>
  <si>
    <t>Buckinghamshire</t>
  </si>
  <si>
    <t>Kent</t>
  </si>
  <si>
    <t>Milton Keynes</t>
  </si>
  <si>
    <t>Oxfordshire</t>
  </si>
  <si>
    <t>Portsmouth</t>
  </si>
  <si>
    <t>Slough</t>
  </si>
  <si>
    <t>Southampton</t>
  </si>
  <si>
    <t>West Berkshire</t>
  </si>
  <si>
    <t>Wokingham</t>
  </si>
  <si>
    <t>Population</t>
  </si>
  <si>
    <t>Section 47 Enquiries</t>
  </si>
  <si>
    <t>Initial Child Protection Conferences</t>
  </si>
  <si>
    <t>Child Protection Plans</t>
  </si>
  <si>
    <t>Looked After Children</t>
  </si>
  <si>
    <t>Assessments</t>
  </si>
  <si>
    <t>Police</t>
  </si>
  <si>
    <t>Re-referrals</t>
  </si>
  <si>
    <t>Children in Need</t>
  </si>
  <si>
    <t>Court Applications</t>
  </si>
  <si>
    <t>Percentage of Referrals going on to Assessment</t>
  </si>
  <si>
    <t xml:space="preserve">WARNING - This spreadsheet uses macros please ensure you have enabled macros before attempting to use </t>
  </si>
  <si>
    <t>LA</t>
  </si>
  <si>
    <t>Windsor &amp; Maidenhead</t>
  </si>
  <si>
    <t>Brighton &amp; Hove</t>
  </si>
  <si>
    <t>Adoption</t>
  </si>
  <si>
    <t>ü</t>
  </si>
  <si>
    <t>Relative/ Carer</t>
  </si>
  <si>
    <t>Acquaintance</t>
  </si>
  <si>
    <t>Self</t>
  </si>
  <si>
    <t>Other Individual</t>
  </si>
  <si>
    <t>Schools</t>
  </si>
  <si>
    <t>Education Services</t>
  </si>
  <si>
    <t>GP</t>
  </si>
  <si>
    <t>Health Visitor</t>
  </si>
  <si>
    <t>School Nurse</t>
  </si>
  <si>
    <t>Other primary health</t>
  </si>
  <si>
    <t>A&amp;E</t>
  </si>
  <si>
    <t>Other Health services</t>
  </si>
  <si>
    <t>Housing</t>
  </si>
  <si>
    <t>Social care</t>
  </si>
  <si>
    <t xml:space="preserve">Other Internal LA </t>
  </si>
  <si>
    <t>1A</t>
  </si>
  <si>
    <t>1B</t>
  </si>
  <si>
    <t>1C</t>
  </si>
  <si>
    <t>1D</t>
  </si>
  <si>
    <t>2A</t>
  </si>
  <si>
    <t>2B</t>
  </si>
  <si>
    <t>3A</t>
  </si>
  <si>
    <t>3B</t>
  </si>
  <si>
    <t>3C</t>
  </si>
  <si>
    <t>3D</t>
  </si>
  <si>
    <t>3E</t>
  </si>
  <si>
    <t>3F</t>
  </si>
  <si>
    <t>5A</t>
  </si>
  <si>
    <t>5B</t>
  </si>
  <si>
    <t>5C</t>
  </si>
  <si>
    <t>Anonymous</t>
  </si>
  <si>
    <t>Unknown</t>
  </si>
  <si>
    <t>Other</t>
  </si>
  <si>
    <t>Other legal agency</t>
  </si>
  <si>
    <t>External LA services</t>
  </si>
  <si>
    <t>Referral Source</t>
  </si>
  <si>
    <t>Slope</t>
  </si>
  <si>
    <t>Intercept</t>
  </si>
  <si>
    <t>South East LA Trend</t>
  </si>
  <si>
    <t>x</t>
  </si>
  <si>
    <t>South East</t>
  </si>
  <si>
    <t>Statistical Neighbour LA's</t>
  </si>
  <si>
    <t>mid-2009 0-15 Population</t>
  </si>
  <si>
    <t>Number of Children living in Poverty</t>
  </si>
  <si>
    <t>IDACI</t>
  </si>
  <si>
    <t>Population figures pulled through for those LA's who provided data- For calculation of SE Rate</t>
  </si>
  <si>
    <t>Referrals</t>
  </si>
  <si>
    <t>Participating LA's</t>
  </si>
  <si>
    <t>Jump to...</t>
  </si>
  <si>
    <t>Region</t>
  </si>
  <si>
    <t>South West</t>
  </si>
  <si>
    <t>Select your LA here to highlight throughout the report:</t>
  </si>
  <si>
    <t>Number of Referrals going on to Assessment</t>
  </si>
  <si>
    <t>TOTAL</t>
  </si>
  <si>
    <t>Number</t>
  </si>
  <si>
    <t>Rate per 10000 0-17 Year Olds</t>
  </si>
  <si>
    <t>LA Commentary:</t>
  </si>
  <si>
    <t>Initial CP Conferences</t>
  </si>
  <si>
    <t>Rank Lookup</t>
  </si>
  <si>
    <t>Somerset</t>
  </si>
  <si>
    <t>Individual</t>
  </si>
  <si>
    <t>IDACI 2015</t>
  </si>
  <si>
    <t>mid-2012 0-15 Population</t>
  </si>
  <si>
    <t>mid-2014</t>
  </si>
  <si>
    <r>
      <t>IDACI (</t>
    </r>
    <r>
      <rPr>
        <b/>
        <sz val="9"/>
        <rFont val="Arial"/>
        <family val="2"/>
      </rPr>
      <t>Income Deprivation Affecting Children Index)</t>
    </r>
  </si>
  <si>
    <t>Children living in Poverty</t>
  </si>
  <si>
    <t xml:space="preserve">This table shows which Local Authorities are currently participating, and which of their statistical neighbours are also participating. </t>
  </si>
  <si>
    <t>South East Rate</t>
  </si>
  <si>
    <t>Toggle LA's on and off using the tick boxes:</t>
  </si>
  <si>
    <t xml:space="preserve"> </t>
  </si>
  <si>
    <t>Proportion (%)</t>
  </si>
  <si>
    <t>Rate per 10,000</t>
  </si>
  <si>
    <t>Health services</t>
  </si>
  <si>
    <t>LA services</t>
  </si>
  <si>
    <t>Percentage of Referrals which were Re-referrals</t>
  </si>
  <si>
    <t>Rank Lowest (1) to Highest</t>
  </si>
  <si>
    <t>11-45 Days</t>
  </si>
  <si>
    <t>Heatmap applied within each LA- the higher the figure the darker the colour</t>
  </si>
  <si>
    <t>ICPC as % of S47</t>
  </si>
  <si>
    <t>Coverage</t>
  </si>
  <si>
    <t>Swindon</t>
  </si>
  <si>
    <t>Torbay</t>
  </si>
  <si>
    <t>Social Care IT System Used</t>
  </si>
  <si>
    <t>Plans to Change Systems in the next Year</t>
  </si>
  <si>
    <t>PARIS</t>
  </si>
  <si>
    <t>No</t>
  </si>
  <si>
    <t>LiquidLogic</t>
  </si>
  <si>
    <t>Capita One</t>
  </si>
  <si>
    <t>Northgate Swift/ICS</t>
  </si>
  <si>
    <t>Framework-i</t>
  </si>
  <si>
    <t>Yes</t>
  </si>
  <si>
    <t>mid-2015</t>
  </si>
  <si>
    <t>England</t>
  </si>
  <si>
    <t>Expected</t>
  </si>
  <si>
    <t>Distance</t>
  </si>
  <si>
    <t>Percentage Change Chart Highlight</t>
  </si>
  <si>
    <t>Distance from Expected Chart Highlight</t>
  </si>
  <si>
    <t>Proportion of Single Assessments completed within 45 Days</t>
  </si>
  <si>
    <t>Within 10 Days</t>
  </si>
  <si>
    <t>11-25 Days</t>
  </si>
  <si>
    <t>26-35 Days</t>
  </si>
  <si>
    <t>36-45 Days</t>
  </si>
  <si>
    <t>Over 45 Days</t>
  </si>
  <si>
    <t>Number of Assessments completed in each time band</t>
  </si>
  <si>
    <t>ICPC In 15 Days</t>
  </si>
  <si>
    <t>ICPC in 15 Days</t>
  </si>
  <si>
    <t>2nd/ Subsequent</t>
  </si>
  <si>
    <t>reviews in timescales</t>
  </si>
  <si>
    <t>Children who had been subject to a plan for 3 months or longer at 31st march</t>
  </si>
  <si>
    <t>Of those, the number who had reviews in timescale</t>
  </si>
  <si>
    <t>Children who became the subject of a CP Plan in the year ending 31st March</t>
  </si>
  <si>
    <t>Those who became the subject of a plan for a second or subsequent time</t>
  </si>
  <si>
    <t>Children who ceased to be the subject of a CP Plan in the year ending 31st March</t>
  </si>
  <si>
    <t xml:space="preserve">Those who had been subject to a plan for 2 years </t>
  </si>
  <si>
    <t>Care Applications</t>
  </si>
  <si>
    <t>Number of LAC aged Under 16</t>
  </si>
  <si>
    <t>Number of Children looked after for 2.5 years</t>
  </si>
  <si>
    <t>Number of Children looked after for 2.5 years in same placement for 2 years</t>
  </si>
  <si>
    <t>Number of looked after children with three or more placements during the year</t>
  </si>
  <si>
    <t>Under 1</t>
  </si>
  <si>
    <t>16 +</t>
  </si>
  <si>
    <t xml:space="preserve">      1 - 4    </t>
  </si>
  <si>
    <t xml:space="preserve">      5 - 9    </t>
  </si>
  <si>
    <t xml:space="preserve">   10 - 15  </t>
  </si>
  <si>
    <t xml:space="preserve"> &lt;1</t>
  </si>
  <si>
    <t xml:space="preserve"> 1 - 4    </t>
  </si>
  <si>
    <t xml:space="preserve"> 5 - 9</t>
  </si>
  <si>
    <t xml:space="preserve"> 10 - 15  </t>
  </si>
  <si>
    <t xml:space="preserve"> 16 +</t>
  </si>
  <si>
    <t>Number of LAC in each Age Group</t>
  </si>
  <si>
    <t>Percentage of LAC in each Age Group</t>
  </si>
  <si>
    <t>Rate of Looked After Children per 10,000  Population for each Age Group</t>
  </si>
  <si>
    <t>16-17</t>
  </si>
  <si>
    <t>Number of Children Placed for Adoption at 31st March</t>
  </si>
  <si>
    <t>Number of LAC Adopted in Year</t>
  </si>
  <si>
    <t>Children ceasing to be Looked After in year who were Adopted (%)</t>
  </si>
  <si>
    <t>Number of Children ceasing to be looked after</t>
  </si>
  <si>
    <t>Placed within 12 months of the adoption decision</t>
  </si>
  <si>
    <t>% LAC ceasing in year who were Adopted</t>
  </si>
  <si>
    <t>2.5yrs</t>
  </si>
  <si>
    <t>2.5yrs &amp; 2yrs</t>
  </si>
  <si>
    <t>3+ Placements</t>
  </si>
  <si>
    <t>UASC</t>
  </si>
  <si>
    <t>Number of looked after UASC</t>
  </si>
  <si>
    <t>LAC by Age</t>
  </si>
  <si>
    <t>Reviewed within Timescales</t>
  </si>
  <si>
    <t>Number of LAC at 31st March who had been LAC for at least 4 weeks</t>
  </si>
  <si>
    <t>Of these the number whose cases had been reviewed within timescales</t>
  </si>
  <si>
    <t>Carefirst</t>
  </si>
  <si>
    <t>Framework i</t>
  </si>
  <si>
    <t>National Trend</t>
  </si>
  <si>
    <t>Total</t>
  </si>
  <si>
    <t>mid-2016</t>
  </si>
  <si>
    <t>2nd/ Subsequent within 2 years</t>
  </si>
  <si>
    <t>Selected LA</t>
  </si>
  <si>
    <t>Selected LA lookup</t>
  </si>
  <si>
    <t>LA's with * are the Statistical Neighbours of the Selected LA</t>
  </si>
  <si>
    <t>Asmt to NFA</t>
  </si>
  <si>
    <t>Asmt to Step-down</t>
  </si>
  <si>
    <t>Number of Assessments completed in 45 Days</t>
  </si>
  <si>
    <t>2017-18</t>
  </si>
  <si>
    <t>(none)</t>
  </si>
  <si>
    <t>Page:</t>
  </si>
  <si>
    <t>Indicator:</t>
  </si>
  <si>
    <t>Referrals to Early Help that were 'stepped down' from Social Care</t>
  </si>
  <si>
    <t xml:space="preserve">Re-referrals in to Early Help services which were received within 12 months of a previous (Early Help) referral </t>
  </si>
  <si>
    <t>% of Referrals to CSC followed by Assessment</t>
  </si>
  <si>
    <t xml:space="preserve">Individual </t>
  </si>
  <si>
    <t xml:space="preserve">Schools </t>
  </si>
  <si>
    <t xml:space="preserve">Health services </t>
  </si>
  <si>
    <t xml:space="preserve">Housing </t>
  </si>
  <si>
    <t xml:space="preserve">LA services </t>
  </si>
  <si>
    <t xml:space="preserve">Police </t>
  </si>
  <si>
    <t xml:space="preserve">Other legal agency </t>
  </si>
  <si>
    <t xml:space="preserve">Other </t>
  </si>
  <si>
    <t xml:space="preserve">Anonymous </t>
  </si>
  <si>
    <t xml:space="preserve">Unknown </t>
  </si>
  <si>
    <t>Re-Referrals</t>
  </si>
  <si>
    <t>CSC Single Assessments Authorised within: 10 days</t>
  </si>
  <si>
    <t>CSC Single Assessments Authorised within: Over 45 days</t>
  </si>
  <si>
    <t>CIN</t>
  </si>
  <si>
    <t>Initial CP conferences</t>
  </si>
  <si>
    <t>% of Initial CP Conferences held within 15 days of the Section 47 Enquiry which led to the conference</t>
  </si>
  <si>
    <t>% who had been the subject of a plan for at least 3 months and had reviews carried out within timescales</t>
  </si>
  <si>
    <t>% of Children who ceased to be the subject of a CP Plan  who had been the subject of a Plan for 2 years or more</t>
  </si>
  <si>
    <t>Children Looked After for more than 2.5 years living in the same placement for at least 2 years</t>
  </si>
  <si>
    <t>LA's provide quarterly data on the condition that it is used by the benchmarking group for internal reporting only. Please DO NOT share other LA's data with any external partners or the public</t>
  </si>
  <si>
    <t>% Children ceasing to be Looked After in year who were Adopted</t>
  </si>
  <si>
    <t>mid-2017</t>
  </si>
  <si>
    <t>Percentage of Referrals with prior Early Help Intervention 
(in the last 12 months)</t>
  </si>
  <si>
    <t>Number of Referrals with Prior EH</t>
  </si>
  <si>
    <t xml:space="preserve">Number of Referrals with prior Early Help Intervention
</t>
  </si>
  <si>
    <t>England (2017)</t>
  </si>
  <si>
    <t>Children ceasing to be Looked After in year who were granted SGO (%)</t>
  </si>
  <si>
    <t>Children ceasing to be Looked After in year who were granted CAO (%)</t>
  </si>
  <si>
    <t>Number of completed Early Help Assessments leading to:</t>
  </si>
  <si>
    <t>Number of Referrals to CSC received from:</t>
  </si>
  <si>
    <t>Number of CSC Single Assessments Authorised within:</t>
  </si>
  <si>
    <t>26a</t>
  </si>
  <si>
    <t>26b</t>
  </si>
  <si>
    <t>26c</t>
  </si>
  <si>
    <t>27a</t>
  </si>
  <si>
    <t>27b</t>
  </si>
  <si>
    <t>28a</t>
  </si>
  <si>
    <t>28b</t>
  </si>
  <si>
    <t>Year2_EarlyHelpReferrals</t>
  </si>
  <si>
    <t>Year2_EarlyHelpReferralsSTEPDOWN</t>
  </si>
  <si>
    <t>Year2_EarlyHelpReferralsOntoASSESSMENT</t>
  </si>
  <si>
    <t>Year2_EarlyHelpReReferrals</t>
  </si>
  <si>
    <t>Year2_EarlyHelpAssessments</t>
  </si>
  <si>
    <t>Year2_EarlyHelpAssessmentsOngoing</t>
  </si>
  <si>
    <t>Year2_EarlyHelpAssessmentsStepUp</t>
  </si>
  <si>
    <t>Year2_EarlyHelpedChildren</t>
  </si>
  <si>
    <t>Year2_Referrals</t>
  </si>
  <si>
    <t>Year2_ReferralsPriorEH</t>
  </si>
  <si>
    <t>Year2_ReferralsAssessment</t>
  </si>
  <si>
    <t>Year2_ReferralSource_Individual_Family</t>
  </si>
  <si>
    <t>Year2_ReferralSource_Individual_Acquaintance</t>
  </si>
  <si>
    <t>Year2_ReferralSource_Individual_Self</t>
  </si>
  <si>
    <t>Year2_ReferralSource_Individual_Other</t>
  </si>
  <si>
    <t>Year2_ReferralSource_School</t>
  </si>
  <si>
    <t>Year2_ReferralSource_EducationServices</t>
  </si>
  <si>
    <t>Year2_ReferralSource_Health_services_GP</t>
  </si>
  <si>
    <t>Year2_ReferralSource_Health_services_HealthVisitor</t>
  </si>
  <si>
    <t>Year2_ReferralSource_Health_services_SchoolNurse</t>
  </si>
  <si>
    <t>Year2_ReferralSource_Health_services_OthPrimary</t>
  </si>
  <si>
    <t>Year2_ReferralSource_Health_services_AE</t>
  </si>
  <si>
    <t>Year2_ReferralSource_Health_services_Other</t>
  </si>
  <si>
    <t>Year2_ReferralSource_Housing</t>
  </si>
  <si>
    <t>Year2_ReferralSource_LA_SC</t>
  </si>
  <si>
    <t>Year2_ReferralSource_LA_Other</t>
  </si>
  <si>
    <t>Year2_ReferralSource_LA_External</t>
  </si>
  <si>
    <t>Year2_ReferralSource_Police</t>
  </si>
  <si>
    <t>Year2_ReferralSource_Other_Legal</t>
  </si>
  <si>
    <t>Year2_ReferralSource_Other</t>
  </si>
  <si>
    <t>Year2_ReferralSource_Anonymous</t>
  </si>
  <si>
    <t>Year2_ReferralSource_Unknown</t>
  </si>
  <si>
    <t>Year2_ReReferrals</t>
  </si>
  <si>
    <t>Year2_Assessments</t>
  </si>
  <si>
    <t>Year2_Assessments_10days</t>
  </si>
  <si>
    <t>Year2_Assessments_over_45days</t>
  </si>
  <si>
    <t>Year2_Assessments_step_down</t>
  </si>
  <si>
    <t>Year2_Assessments_No_further_action</t>
  </si>
  <si>
    <t>Year2_CIN</t>
  </si>
  <si>
    <t>Year2_CIN_Section47</t>
  </si>
  <si>
    <t>Year2_CP_Conference</t>
  </si>
  <si>
    <t>Year2_CP_Conference_within15days</t>
  </si>
  <si>
    <t>Year2_CP_Plans</t>
  </si>
  <si>
    <t>Year2_CP_Plans_3months</t>
  </si>
  <si>
    <t>Year2_CP_Plans_3months_timescales</t>
  </si>
  <si>
    <t>Year2_CP_Plans_ceased</t>
  </si>
  <si>
    <t>Year2_CP_Plans_ceased_2years</t>
  </si>
  <si>
    <t>Year2_CP_Plans_became_subject</t>
  </si>
  <si>
    <t>Year2_CP_Plans_became_subject_second</t>
  </si>
  <si>
    <t>Year2_CP_Plans_became_subject_second_2years</t>
  </si>
  <si>
    <t>Year2_LAC</t>
  </si>
  <si>
    <t>Year2_LAC_under16</t>
  </si>
  <si>
    <t>Year2_LAC_under16_2.5years</t>
  </si>
  <si>
    <t>Year2_LAC_under16_2.5years_sameplacement2years</t>
  </si>
  <si>
    <t>Year2_Adoption_ceased_LAC</t>
  </si>
  <si>
    <t>Year2_Adoption_LAC_Adopted</t>
  </si>
  <si>
    <t>Year2_Adoption_LAC_Adopted_days</t>
  </si>
  <si>
    <t>Year2_Adoption_LAC_Adopted_placed_with_12months</t>
  </si>
  <si>
    <t>Year2_CAO_RO_Total</t>
  </si>
  <si>
    <t>Year2_CAO_RO_FundedLA</t>
  </si>
  <si>
    <t>Year2_SGO_total</t>
  </si>
  <si>
    <t>Year2_SGO_fundedLA</t>
  </si>
  <si>
    <t>Year2_Assessments_within45days</t>
  </si>
  <si>
    <t>Year2_Continuous_assessments</t>
  </si>
  <si>
    <t>Year3_EarlyHelpReferrals</t>
  </si>
  <si>
    <t>Year3_EarlyHelpReferralsSTEPDOWN</t>
  </si>
  <si>
    <t>Year3_EarlyHelpReferralsOntoASSESSMENT</t>
  </si>
  <si>
    <t>Year3_EarlyHelpReReferrals</t>
  </si>
  <si>
    <t>Year3_EarlyHelpAssessments</t>
  </si>
  <si>
    <t>Year3_EarlyHelpAssessmentsOngoing</t>
  </si>
  <si>
    <t>Year3_EarlyHelpAssessmentsStepUp</t>
  </si>
  <si>
    <t>Year3_EarlyHelpedChildren</t>
  </si>
  <si>
    <t>Year3_Referrals</t>
  </si>
  <si>
    <t>Year3_ReferralsPriorEH</t>
  </si>
  <si>
    <t>Year3_ReferralsAssessment</t>
  </si>
  <si>
    <t>Year3_ReferralSource_Individual_Family</t>
  </si>
  <si>
    <t>Year3_ReferralSource_Individual_Acquaintance</t>
  </si>
  <si>
    <t>Year3_ReferralSource_Individual_Self</t>
  </si>
  <si>
    <t>Year3_ReferralSource_Individual_Other</t>
  </si>
  <si>
    <t>Year3_ReferralSource_School</t>
  </si>
  <si>
    <t>Year3_ReferralSource_EducationServices</t>
  </si>
  <si>
    <t>Year3_ReferralSource_Health_services_GP</t>
  </si>
  <si>
    <t>Year3_ReferralSource_Health_services_HealthVisitor</t>
  </si>
  <si>
    <t>Year3_ReferralSource_Health_services_SchoolNurse</t>
  </si>
  <si>
    <t>Year3_ReferralSource_Health_services_OthPrimary</t>
  </si>
  <si>
    <t>Year3_ReferralSource_Health_services_AE</t>
  </si>
  <si>
    <t>Year3_ReferralSource_Health_services_Other</t>
  </si>
  <si>
    <t>Year3_ReferralSource_Housing</t>
  </si>
  <si>
    <t>Year3_ReferralSource_LA_SC</t>
  </si>
  <si>
    <t>Year3_ReferralSource_LA_Other</t>
  </si>
  <si>
    <t>Year3_ReferralSource_LA_External</t>
  </si>
  <si>
    <t>Year3_ReferralSource_Police</t>
  </si>
  <si>
    <t>Year3_ReferralSource_Other_Legal</t>
  </si>
  <si>
    <t>Year3_ReferralSource_Other</t>
  </si>
  <si>
    <t>Year3_ReferralSource_Anonymous</t>
  </si>
  <si>
    <t>Year3_ReferralSource_Unknown</t>
  </si>
  <si>
    <t>Year3_ReReferrals</t>
  </si>
  <si>
    <t>Year3_Assessments</t>
  </si>
  <si>
    <t>Year3_Assessments_10days</t>
  </si>
  <si>
    <t>Year3_Assessments_over_45days</t>
  </si>
  <si>
    <t>Year3_Assessments_step_down</t>
  </si>
  <si>
    <t>Year3_Assessments_No_further_action</t>
  </si>
  <si>
    <t>Year3_CIN</t>
  </si>
  <si>
    <t>Year3_CIN_Section47</t>
  </si>
  <si>
    <t>Year3_CP_Conference</t>
  </si>
  <si>
    <t>Year3_CP_Conference_within15days</t>
  </si>
  <si>
    <t>Year3_CP_Plans</t>
  </si>
  <si>
    <t>Year3_CP_Plans_3months</t>
  </si>
  <si>
    <t>Year3_CP_Plans_3months_timescales</t>
  </si>
  <si>
    <t>Year3_CP_Plans_ceased</t>
  </si>
  <si>
    <t>Year3_CP_Plans_ceased_2years</t>
  </si>
  <si>
    <t>Year3_CP_Plans_became_subject</t>
  </si>
  <si>
    <t>Year3_CP_Plans_became_subject_second</t>
  </si>
  <si>
    <t>Year3_CP_Plans_became_subject_second_2years</t>
  </si>
  <si>
    <t>Year3_LAC</t>
  </si>
  <si>
    <t>Year3_LAC_under16</t>
  </si>
  <si>
    <t>Year3_LAC_under16_2.5years</t>
  </si>
  <si>
    <t>Year3_LAC_under16_2.5years_sameplacement2years</t>
  </si>
  <si>
    <t>Year3_Adoption_ceased_LAC</t>
  </si>
  <si>
    <t>Year3_Adoption_LAC_Adopted</t>
  </si>
  <si>
    <t>Year3_Adoption_LAC_Adopted_days</t>
  </si>
  <si>
    <t>Year3_Adoption_LAC_Adopted_placed_with_12months</t>
  </si>
  <si>
    <t>Year3_CAO_RO_Total</t>
  </si>
  <si>
    <t>Year3_CAO_RO_FundedLA</t>
  </si>
  <si>
    <t>Year3_SGO_total</t>
  </si>
  <si>
    <t>Year3_SGO_fundedLA</t>
  </si>
  <si>
    <t>Year3_Assessments_within45days</t>
  </si>
  <si>
    <t>Year3_Continuous_assessments</t>
  </si>
  <si>
    <t>Year4_EarlyHelpReferrals</t>
  </si>
  <si>
    <t>Year4_EarlyHelpReferralsSTEPDOWN</t>
  </si>
  <si>
    <t>Year4_EarlyHelpReferralsOntoASSESSMENT</t>
  </si>
  <si>
    <t>Year4_EarlyHelpReReferrals</t>
  </si>
  <si>
    <t>Year4_EarlyHelpAssessments</t>
  </si>
  <si>
    <t>Year4_EarlyHelpAssessmentsOngoing</t>
  </si>
  <si>
    <t>Year4_EarlyHelpAssessmentsStepUp</t>
  </si>
  <si>
    <t>Year4_EarlyHelpedChildren</t>
  </si>
  <si>
    <t>Year4_Referrals</t>
  </si>
  <si>
    <t>Year4_ReferralsPriorEH</t>
  </si>
  <si>
    <t>Year4_ReferralsAssessment</t>
  </si>
  <si>
    <t>Year4_ReferralSource_Individual_Family</t>
  </si>
  <si>
    <t>Year4_ReferralSource_Individual_Acquaintance</t>
  </si>
  <si>
    <t>Year4_ReferralSource_Individual_Self</t>
  </si>
  <si>
    <t>Year4_ReferralSource_Individual_Other</t>
  </si>
  <si>
    <t>Year4_ReferralSource_School</t>
  </si>
  <si>
    <t>Year4_ReferralSource_EducationServices</t>
  </si>
  <si>
    <t>Year4_ReferralSource_Health_services_GP</t>
  </si>
  <si>
    <t>Year4_ReferralSource_Health_services_HealthVisitor</t>
  </si>
  <si>
    <t>Year4_ReferralSource_Health_services_SchoolNurse</t>
  </si>
  <si>
    <t>Year4_ReferralSource_Health_services_OthPrimary</t>
  </si>
  <si>
    <t>Year4_ReferralSource_Health_services_AE</t>
  </si>
  <si>
    <t>Year4_ReferralSource_Health_services_Other</t>
  </si>
  <si>
    <t>Year4_ReferralSource_Housing</t>
  </si>
  <si>
    <t>Year4_ReferralSource_LA_SC</t>
  </si>
  <si>
    <t>Year4_ReferralSource_LA_Other</t>
  </si>
  <si>
    <t>Year4_ReferralSource_LA_External</t>
  </si>
  <si>
    <t>Year4_ReferralSource_Police</t>
  </si>
  <si>
    <t>Year4_ReferralSource_Other_Legal</t>
  </si>
  <si>
    <t>Year4_ReferralSource_Other</t>
  </si>
  <si>
    <t>Year4_ReferralSource_Anonymous</t>
  </si>
  <si>
    <t>Year4_ReferralSource_Unknown</t>
  </si>
  <si>
    <t>Year4_ReReferrals</t>
  </si>
  <si>
    <t>Year4_Assessments</t>
  </si>
  <si>
    <t>Year4_Assessments_10days</t>
  </si>
  <si>
    <t>Year4_Assessments_over_45days</t>
  </si>
  <si>
    <t>Year4_Assessments_step_down</t>
  </si>
  <si>
    <t>Year4_Assessments_No_further_action</t>
  </si>
  <si>
    <t>Year4_CIN</t>
  </si>
  <si>
    <t>Year4_CIN_Section47</t>
  </si>
  <si>
    <t>Year4_CP_Conference</t>
  </si>
  <si>
    <t>Year4_CP_Conference_within15days</t>
  </si>
  <si>
    <t>Year4_CP_Plans</t>
  </si>
  <si>
    <t>Year4_CP_Plans_3months</t>
  </si>
  <si>
    <t>Year4_CP_Plans_3months_timescales</t>
  </si>
  <si>
    <t>Year4_CP_Plans_ceased</t>
  </si>
  <si>
    <t>Year4_CP_Plans_ceased_2years</t>
  </si>
  <si>
    <t>Year4_CP_Plans_became_subject</t>
  </si>
  <si>
    <t>Year4_CP_Plans_became_subject_second</t>
  </si>
  <si>
    <t>Year4_CP_Plans_became_subject_second_2years</t>
  </si>
  <si>
    <t>Year4_LAC</t>
  </si>
  <si>
    <t>Year4_LAC_under16</t>
  </si>
  <si>
    <t>Year4_LAC_under16_2.5years</t>
  </si>
  <si>
    <t>Year4_LAC_under16_2.5years_sameplacement2years</t>
  </si>
  <si>
    <t>Year4_Adoption_ceased_LAC</t>
  </si>
  <si>
    <t>Year4_Adoption_LAC_Adopted</t>
  </si>
  <si>
    <t>Year4_Adoption_LAC_Adopted_days</t>
  </si>
  <si>
    <t>Year4_Adoption_LAC_Adopted_placed_with_12months</t>
  </si>
  <si>
    <t>Year4_CAO_RO_Total</t>
  </si>
  <si>
    <t>Year4_CAO_RO_FundedLA</t>
  </si>
  <si>
    <t>Year4_SGO_total</t>
  </si>
  <si>
    <t>Year4_SGO_fundedLA</t>
  </si>
  <si>
    <t>Year4_Assessments_within45days</t>
  </si>
  <si>
    <t>Year4_Continuous_assessments</t>
  </si>
  <si>
    <t>Year5_Contacts</t>
  </si>
  <si>
    <t>Year5_EarlyHelpReferrals</t>
  </si>
  <si>
    <t>Year5_EarlyHelpReferralsSTEPDOWN</t>
  </si>
  <si>
    <t>Year5_EarlyHelpReferralsOntoASSESSMENT</t>
  </si>
  <si>
    <t>Year5_EarlyHelpReReferrals</t>
  </si>
  <si>
    <t>Year5_EarlyHelpAssessments</t>
  </si>
  <si>
    <t>Year5_EarlyHelpAssessmentsOngoing</t>
  </si>
  <si>
    <t>Year5_EarlyHelpAssessmentsStepUp</t>
  </si>
  <si>
    <t>Year5_EarlyHelpedChildren</t>
  </si>
  <si>
    <t>Year5_Referrals</t>
  </si>
  <si>
    <t>Year5_ReferralsPriorEH</t>
  </si>
  <si>
    <t>Year5_ReferralsAssessment</t>
  </si>
  <si>
    <t>Year5_ReferralSource_Individual_Family</t>
  </si>
  <si>
    <t>Year5_ReferralSource_Individual_Acquaintance</t>
  </si>
  <si>
    <t>Year5_ReferralSource_Individual_Self</t>
  </si>
  <si>
    <t>Year5_ReferralSource_Individual_Other</t>
  </si>
  <si>
    <t>Year5_ReferralSource_School</t>
  </si>
  <si>
    <t>Year5_ReferralSource_EducationServices</t>
  </si>
  <si>
    <t>Year5_ReferralSource_Health_services_GP</t>
  </si>
  <si>
    <t>Year5_ReferralSource_Health_services_HealthVisitor</t>
  </si>
  <si>
    <t>Year5_ReferralSource_Health_services_SchoolNurse</t>
  </si>
  <si>
    <t>Year5_ReferralSource_Health_services_OthPrimary</t>
  </si>
  <si>
    <t>Year5_ReferralSource_Health_services_AE</t>
  </si>
  <si>
    <t>Year5_ReferralSource_Health_services_Other</t>
  </si>
  <si>
    <t>Year5_ReferralSource_Housing</t>
  </si>
  <si>
    <t>Year5_ReferralSource_LA_SC</t>
  </si>
  <si>
    <t>Year5_ReferralSource_LA_Other</t>
  </si>
  <si>
    <t>Year5_ReferralSource_LA_External</t>
  </si>
  <si>
    <t>Year5_ReferralSource_Police</t>
  </si>
  <si>
    <t>Year5_ReferralSource_Other_Legal</t>
  </si>
  <si>
    <t>Year5_ReferralSource_Other</t>
  </si>
  <si>
    <t>Year5_ReferralSource_Anonymous</t>
  </si>
  <si>
    <t>Year5_ReferralSource_Unknown</t>
  </si>
  <si>
    <t>Year5_ReReferrals</t>
  </si>
  <si>
    <t>Year5_Assessments</t>
  </si>
  <si>
    <t>Year5_Assessments_10days</t>
  </si>
  <si>
    <t>Year5_Assessments_over_45days</t>
  </si>
  <si>
    <t>Year5_Assessments_step_down</t>
  </si>
  <si>
    <t>Year5_Assessments_No_further_action</t>
  </si>
  <si>
    <t>Year5_CIN</t>
  </si>
  <si>
    <t>Year5_CIN_Section47</t>
  </si>
  <si>
    <t>Year5_CP_Conference</t>
  </si>
  <si>
    <t>Year5_CP_Conference_within15days</t>
  </si>
  <si>
    <t>Year5_CP_Plans</t>
  </si>
  <si>
    <t>Year5_CP_Plans_3months</t>
  </si>
  <si>
    <t>Year5_CP_Plans_3months_timescales</t>
  </si>
  <si>
    <t>Year5_CP_Plans_ceased</t>
  </si>
  <si>
    <t>Year5_CP_Plans_ceased_2years</t>
  </si>
  <si>
    <t>Year5_CP_Plans_became_subject</t>
  </si>
  <si>
    <t>Year5_CP_Plans_became_subject_second</t>
  </si>
  <si>
    <t>Year5_CP_Plans_became_subject_second_2years</t>
  </si>
  <si>
    <t>24a</t>
  </si>
  <si>
    <t>Year5_LAC</t>
  </si>
  <si>
    <t>24b</t>
  </si>
  <si>
    <t>Year5_LAC_under16</t>
  </si>
  <si>
    <t>24c</t>
  </si>
  <si>
    <t>Year5_LAC_under16_2.5years</t>
  </si>
  <si>
    <t>24d</t>
  </si>
  <si>
    <t>Year5_LAC_under16_2.5years_sameplacement2years</t>
  </si>
  <si>
    <t>24e</t>
  </si>
  <si>
    <t>Year5_LAC_3_or_more_Placements</t>
  </si>
  <si>
    <t>25a</t>
  </si>
  <si>
    <t>Year5_LAC_Start</t>
  </si>
  <si>
    <t>25b</t>
  </si>
  <si>
    <t>Year5_LAC_Start_2nd_time</t>
  </si>
  <si>
    <t>Year5_LAC_Remanded</t>
  </si>
  <si>
    <t>Year5_Adoption_ceased_LAC</t>
  </si>
  <si>
    <t>Year5_Adoption_LAC_Adopted</t>
  </si>
  <si>
    <t>Year5_Adoption_LAC_Adopted_days</t>
  </si>
  <si>
    <t>28c</t>
  </si>
  <si>
    <t>Year5_Adoption_LAC_Adopted_placed_with_12months</t>
  </si>
  <si>
    <t>Year5_Care_Leavers_16_18th_birthday</t>
  </si>
  <si>
    <t>Year5_Care_Leavers_at_end_of_period</t>
  </si>
  <si>
    <t>Year5_Care_Leavers_in_touch</t>
  </si>
  <si>
    <t>Year5_Care_Leavers_in_suitable_accommodation</t>
  </si>
  <si>
    <t>Year5_Care_Leavers_in_EET</t>
  </si>
  <si>
    <t>Year5_CAO_RO_Total</t>
  </si>
  <si>
    <t>Year5_CAO_RO_FundedLA</t>
  </si>
  <si>
    <t>Year5_SGO_total</t>
  </si>
  <si>
    <t>Year5_SGO_fundedLA</t>
  </si>
  <si>
    <t>Year5_Number_EHC_Plans</t>
  </si>
  <si>
    <t>Year5_New_EHC _within_20_weeks</t>
  </si>
  <si>
    <t>Year5_First_Time_Entrants_to_Youth_Justice_system</t>
  </si>
  <si>
    <t>37a</t>
  </si>
  <si>
    <t>37b</t>
  </si>
  <si>
    <t>Year5_Children_missing_Education</t>
  </si>
  <si>
    <t>Year5_ electively_home_educated</t>
  </si>
  <si>
    <t>Year5_Assessments_within45days</t>
  </si>
  <si>
    <t>Year5_Continuous_assessments</t>
  </si>
  <si>
    <t>Year5_LAC_UASC</t>
  </si>
  <si>
    <t>SouthEast</t>
  </si>
  <si>
    <t>Number of Assessments completed within 45 days</t>
  </si>
  <si>
    <t>Number of Continuous Assessments Completed</t>
  </si>
  <si>
    <t>Year2_Number_EHC_Plans</t>
  </si>
  <si>
    <t>Year2_New_EHC _within_20_weeks</t>
  </si>
  <si>
    <t>Year2_First_Time_Entrants_to_Youth_Justice_system</t>
  </si>
  <si>
    <t>Year2_Children_missing_Education</t>
  </si>
  <si>
    <t>Year2_ electively_home_educated</t>
  </si>
  <si>
    <t>Year2_Care_Leavers_16_18th_birthday</t>
  </si>
  <si>
    <t>Year2_Care_Leavers_at_end_of_period</t>
  </si>
  <si>
    <t>Year2_Care_Leavers_in_touch</t>
  </si>
  <si>
    <t>Year2_Care_Leavers_in_suitable_accommodation</t>
  </si>
  <si>
    <t>Year2_Care_Leavers_in_EET</t>
  </si>
  <si>
    <t>Year2_LAC_3_or_more_Placements</t>
  </si>
  <si>
    <t>Year2_LAC_Start</t>
  </si>
  <si>
    <t>Year2_LAC_Start_2nd_time</t>
  </si>
  <si>
    <t>Year2_LAC_Remanded</t>
  </si>
  <si>
    <t>Year2_CP_Plans_Seen_in_Timescales</t>
  </si>
  <si>
    <t>Year2_Contacts</t>
  </si>
  <si>
    <t>Year3_Number_EHC_Plans</t>
  </si>
  <si>
    <t>Year3_New_EHC _within_20_weeks</t>
  </si>
  <si>
    <t>Year3_First_Time_Entrants_to_Youth_Justice_system</t>
  </si>
  <si>
    <t>Year3_Children_missing_Education</t>
  </si>
  <si>
    <t>Year3_ electively_home_educated</t>
  </si>
  <si>
    <t>Year3_Care_Leavers_16_18th_birthday</t>
  </si>
  <si>
    <t>Year3_Care_Leavers_at_end_of_period</t>
  </si>
  <si>
    <t>Year3_Care_Leavers_in_touch</t>
  </si>
  <si>
    <t>Year3_Care_Leavers_in_suitable_accommodation</t>
  </si>
  <si>
    <t>Year3_Care_Leavers_in_EET</t>
  </si>
  <si>
    <t>Year3_LAC_3_or_more_Placements</t>
  </si>
  <si>
    <t>Year3_LAC_Start</t>
  </si>
  <si>
    <t>Year3_LAC_Start_2nd_time</t>
  </si>
  <si>
    <t>Year3_LAC_Remanded</t>
  </si>
  <si>
    <t>Year3_CP_Plans_Seen_in_Timescales</t>
  </si>
  <si>
    <t>Year3_Contacts</t>
  </si>
  <si>
    <t>Year4_New_EHC _within_20_weeks</t>
  </si>
  <si>
    <t>Year4_First_Time_Entrants_to_Youth_Justice_system</t>
  </si>
  <si>
    <t>Year4_Children_missing_Education</t>
  </si>
  <si>
    <t>Year4_ electively_home_educated</t>
  </si>
  <si>
    <t>Year4_Number_EHC_Plans</t>
  </si>
  <si>
    <t>Year4_Care_Leavers_16_18th_birthday</t>
  </si>
  <si>
    <t>Year4_Care_Leavers_at_end_of_period</t>
  </si>
  <si>
    <t>Year4_Care_Leavers_in_touch</t>
  </si>
  <si>
    <t>Year4_Care_Leavers_in_suitable_accommodation</t>
  </si>
  <si>
    <t>Year4_Care_Leavers_in_EET</t>
  </si>
  <si>
    <t>Year4_LAC_3_or_more_Placements</t>
  </si>
  <si>
    <t>Year4_LAC_Start</t>
  </si>
  <si>
    <t>Year4_LAC_Start_2nd_time</t>
  </si>
  <si>
    <t>Year4_LAC_Remanded</t>
  </si>
  <si>
    <t>Year4_CP_Plans_Seen_in_Timescales</t>
  </si>
  <si>
    <t>Year4_Contacts</t>
  </si>
  <si>
    <t>C.</t>
  </si>
  <si>
    <t>2016-17</t>
  </si>
  <si>
    <t>2015-16</t>
  </si>
  <si>
    <t>Year2_LAC_4weeks</t>
  </si>
  <si>
    <t>Year2_LAC_4weeks_reviews_in_timescales</t>
  </si>
  <si>
    <t>Year3_LAC_4weeks</t>
  </si>
  <si>
    <t>Year3_LAC_4weeks_reviews_in_timescales</t>
  </si>
  <si>
    <t>Year4_LAC_4weeks</t>
  </si>
  <si>
    <t>Year4_LAC_4weeks_reviews_in_timescales</t>
  </si>
  <si>
    <t>Year5_LAC_4weeks</t>
  </si>
  <si>
    <t>Year5_LAC_4weeks_reviews_in_timescales</t>
  </si>
  <si>
    <t>Year2_LAC_UASC</t>
  </si>
  <si>
    <t>Year3_LAC_UASC</t>
  </si>
  <si>
    <t>Year4_LAC_UASC</t>
  </si>
  <si>
    <t>Year2_LAC_Under1</t>
  </si>
  <si>
    <t>Year2_LAC_1to4</t>
  </si>
  <si>
    <t>Year2_LAC_5to9</t>
  </si>
  <si>
    <t>Year2_LAC_10to15</t>
  </si>
  <si>
    <t>Year2_LAC_16plus</t>
  </si>
  <si>
    <t>Year3_LAC_Under1</t>
  </si>
  <si>
    <t>Year3_LAC_1to4</t>
  </si>
  <si>
    <t>Year3_LAC_5to9</t>
  </si>
  <si>
    <t>Year3_LAC_10to15</t>
  </si>
  <si>
    <t>Year3_LAC_16plus</t>
  </si>
  <si>
    <t>Year4_LAC_Under1</t>
  </si>
  <si>
    <t>Year4_LAC_1to4</t>
  </si>
  <si>
    <t>Year4_LAC_5to9</t>
  </si>
  <si>
    <t>Year4_LAC_10to15</t>
  </si>
  <si>
    <t>Year4_LAC_16plus</t>
  </si>
  <si>
    <t>Year5_LAC_Under1</t>
  </si>
  <si>
    <t>Year5_LAC_1to4</t>
  </si>
  <si>
    <t>Year5_LAC_5to9</t>
  </si>
  <si>
    <t>Year5_LAC_10to15</t>
  </si>
  <si>
    <t>Year5_LAC_16plus</t>
  </si>
  <si>
    <t>Population Estimates Mid-2017</t>
  </si>
  <si>
    <t>Year2_Adoption_PFA</t>
  </si>
  <si>
    <t>Year3_Adoption_PFA</t>
  </si>
  <si>
    <t>Year4_Adoption_PFA</t>
  </si>
  <si>
    <t>Year5_Adoption_PFA</t>
  </si>
  <si>
    <t>Year5_ROSGO_ceased_LAC_CAO</t>
  </si>
  <si>
    <t>Year5_ROSGO_ceased_LAC_SGO</t>
  </si>
  <si>
    <t>Year4_ROSGO_ceased_LAC_CAO</t>
  </si>
  <si>
    <t>Year4_ROSGO_ceased_LAC_SGO</t>
  </si>
  <si>
    <t>Year3_ROSGO_ceased_LAC_CAO</t>
  </si>
  <si>
    <t>Year3_ROSGO_ceased_LAC_SGO</t>
  </si>
  <si>
    <t>Year2_ROSGO_ceased_LAC_CAO</t>
  </si>
  <si>
    <t>Year2_ROSGO_ceased_LAC_SGO</t>
  </si>
  <si>
    <t>Year5_CP_Plans_Seen_in_Timescales</t>
  </si>
  <si>
    <t>11-20 Days</t>
  </si>
  <si>
    <t>21-30 Days</t>
  </si>
  <si>
    <t>31-45 Days</t>
  </si>
  <si>
    <t>As reported in CIN Census- Referrals Not resulting in 'No Further Action'</t>
  </si>
  <si>
    <t>Rates for each contact source group (for home page)</t>
  </si>
  <si>
    <t>Bracknell_Forest</t>
  </si>
  <si>
    <t>Brighton_Hove</t>
  </si>
  <si>
    <t>East_Sussex</t>
  </si>
  <si>
    <t>Isle_of_Wight</t>
  </si>
  <si>
    <t>Milton_Keynes</t>
  </si>
  <si>
    <t>West_Berkshire</t>
  </si>
  <si>
    <t>West_Sussex</t>
  </si>
  <si>
    <t>Windsor_Maidenhead</t>
  </si>
  <si>
    <t>Please click the icon below to go to the home page:</t>
  </si>
  <si>
    <t>You can now toggle LA's on and off the charts by using the tick boxes on each page- this will only affect the active section.</t>
  </si>
  <si>
    <t>r-squared values are now included on the vs. IDACI charts.</t>
  </si>
  <si>
    <t xml:space="preserve">If you have any queries regarding this report please contact:  </t>
  </si>
  <si>
    <t xml:space="preserve">Joe Cornford-Hutchings (Information Analyst) </t>
  </si>
  <si>
    <t xml:space="preserve">Philip Warman (Information Officer) </t>
  </si>
  <si>
    <t>or</t>
  </si>
  <si>
    <t>Throughout this report 'South East' refers to the combined figures for South East LA's who have provided data. Where the IDACI score for the South East is shown, this will have been re-calculated to include only those LA's who have provided data for the indicator shown. Therefore the South East IDACI score may vary throughout the report.</t>
  </si>
  <si>
    <t>This report is compiled using data collected from Local Authorities as part of the South East Sector-led Improvement Programme (SESLIP) 
Children's Social Care Benchmarking exercise.</t>
  </si>
  <si>
    <t>This is a restricted report and is for use within your LA only. Please DO NOT share externally.</t>
  </si>
  <si>
    <t>01273 335931
01273 482777</t>
  </si>
  <si>
    <t>You can click the                          icons to navigate through the document - there are also links from the homepage to each section.</t>
  </si>
  <si>
    <t>Year4_Assessments_11_20days</t>
  </si>
  <si>
    <t>Year4_Assessments_21_30days</t>
  </si>
  <si>
    <t>Year4_Assessments_31_45days</t>
  </si>
  <si>
    <t>Year5_Assessments_11_20days</t>
  </si>
  <si>
    <t>Year5_Assessments_21_30days</t>
  </si>
  <si>
    <t>Year5_Assessments_31_45days</t>
  </si>
  <si>
    <t>Year3_Assessments_11_20days</t>
  </si>
  <si>
    <t>Year3_Assessments_21_30days</t>
  </si>
  <si>
    <t>Year3_Assessments_31_45days</t>
  </si>
  <si>
    <t>Year2_Assessments_11_20days</t>
  </si>
  <si>
    <t>Year2_Assessments_21_30days</t>
  </si>
  <si>
    <t>Year2_Assessments_31_45days</t>
  </si>
  <si>
    <t>% Children becoming the subject of a CP Plan for a Second or Subsequent time</t>
  </si>
  <si>
    <t>Referral Source 
(% of total Referrals)</t>
  </si>
  <si>
    <t>Where heat mapping is used to colour the tables below, this is done for each indicator (i.e. in rows) and higher values are represented by darker colour.</t>
  </si>
  <si>
    <t>Annual</t>
  </si>
  <si>
    <t>Annual1</t>
  </si>
  <si>
    <t>Annual2</t>
  </si>
  <si>
    <t>Quarterly1</t>
  </si>
  <si>
    <t>Quarterly2</t>
  </si>
  <si>
    <t>Annual or Quarterly?</t>
  </si>
  <si>
    <t>Quarterly</t>
  </si>
  <si>
    <t>2018-19</t>
  </si>
  <si>
    <t>Q2</t>
  </si>
  <si>
    <t>Q3</t>
  </si>
  <si>
    <t>Q4</t>
  </si>
  <si>
    <t>Q1</t>
  </si>
  <si>
    <t>Select either Annual or Quarterly in the yellow box above.</t>
  </si>
  <si>
    <t>Enter the report table headings in the green boxes below:</t>
  </si>
  <si>
    <t>Most Recent IDACI Expected Calculation:</t>
  </si>
  <si>
    <t>Contacts</t>
  </si>
  <si>
    <t>LA:</t>
  </si>
  <si>
    <t>South East LA's</t>
  </si>
  <si>
    <t>All LA's</t>
  </si>
  <si>
    <t>Children subject of a CP Plan at 31 March, who had been the subject of a Plan for 2 years or longer</t>
  </si>
  <si>
    <t>Care Leavers</t>
  </si>
  <si>
    <t>Number of Care Leavers Aged 19-21 at the last day in quarter</t>
  </si>
  <si>
    <t>Proportion of Care leavers aged 19-21 who were 'In Touch'</t>
  </si>
  <si>
    <t>Proportion of Care Leavers aged 19-21 in Suitable Accommodation</t>
  </si>
  <si>
    <t>Young People aged 16-17 who are NEET</t>
  </si>
  <si>
    <t>Young People aged 16-17 whose current activity is Unknown</t>
  </si>
  <si>
    <t>Period 1-2</t>
  </si>
  <si>
    <t>Period 2-3</t>
  </si>
  <si>
    <t>Period 3-4</t>
  </si>
  <si>
    <t>Period 4-5</t>
  </si>
  <si>
    <t>Average</t>
  </si>
  <si>
    <t xml:space="preserve">LA's with * are the Statistical Neighbours of the Selected LA
</t>
  </si>
  <si>
    <t>Annualised figures for quarterly distance from IDACI</t>
  </si>
  <si>
    <t>Period 2</t>
  </si>
  <si>
    <t>Period 3</t>
  </si>
  <si>
    <t>Period 4</t>
  </si>
  <si>
    <t>Period 5</t>
  </si>
  <si>
    <t>Sum</t>
  </si>
  <si>
    <t>BlankCount</t>
  </si>
  <si>
    <t>Annualised</t>
  </si>
  <si>
    <t>Number of Initial CP Conferences as a percentage of Section 47 Enquiries</t>
  </si>
  <si>
    <t>Initial CP Conferences held within 15 days of the 
Section 47 Enquiry which led to the Conference</t>
  </si>
  <si>
    <t>Children who had been subject to a plan for 2 years or longer</t>
  </si>
  <si>
    <t>Year5_CP_Plans_2years</t>
  </si>
  <si>
    <t>27c</t>
  </si>
  <si>
    <t>27d</t>
  </si>
  <si>
    <t>27e</t>
  </si>
  <si>
    <t>27f</t>
  </si>
  <si>
    <t>29a</t>
  </si>
  <si>
    <t>29b</t>
  </si>
  <si>
    <t>29c</t>
  </si>
  <si>
    <t>32a</t>
  </si>
  <si>
    <t>32b</t>
  </si>
  <si>
    <t>32c</t>
  </si>
  <si>
    <t>34a</t>
  </si>
  <si>
    <t>34b</t>
  </si>
  <si>
    <t>34c</t>
  </si>
  <si>
    <t>34d</t>
  </si>
  <si>
    <t>38a</t>
  </si>
  <si>
    <t>38b</t>
  </si>
  <si>
    <t>41a</t>
  </si>
  <si>
    <t>41b</t>
  </si>
  <si>
    <t>41c</t>
  </si>
  <si>
    <t>43a</t>
  </si>
  <si>
    <t>43b</t>
  </si>
  <si>
    <t>Year2_CP_Plans_2years</t>
  </si>
  <si>
    <t>Year3_CP_Plans_2years</t>
  </si>
  <si>
    <t>Year4_CP_Plans_2years</t>
  </si>
  <si>
    <t>Ceased 2 yr+</t>
  </si>
  <si>
    <t>Subject to a Plan for 2 yr+</t>
  </si>
  <si>
    <t>Seen within Timescales</t>
  </si>
  <si>
    <t>Denominator- set as current CP Plans for now</t>
  </si>
  <si>
    <t>Of those, the number who had been seen in timescales</t>
  </si>
  <si>
    <t>Children starting to be Looked After during the period who were Remanded into Local Authority Care (%)</t>
  </si>
  <si>
    <t>LAC Second time in 12 months</t>
  </si>
  <si>
    <t>Remanded</t>
  </si>
  <si>
    <t>New LAC who were Remanded into LA Care</t>
  </si>
  <si>
    <t>Care Leavers over the age of 16 who remained Looked After until their 18th Birthday</t>
  </si>
  <si>
    <t>Rate per 10000 19-21 Year Olds</t>
  </si>
  <si>
    <t>0-17 Population Estimates</t>
  </si>
  <si>
    <t>Report:</t>
  </si>
  <si>
    <t>Reporting Period</t>
  </si>
  <si>
    <t>Population Estimate 
Used to Calculate 
Rates</t>
  </si>
  <si>
    <t>19-21 year old Population Estimates (rounded)</t>
  </si>
  <si>
    <t>0-25 year old Population Estimates 
(rounded)</t>
  </si>
  <si>
    <t>0-17 year old Population Estimates 
(rounded)</t>
  </si>
  <si>
    <t>0-17</t>
  </si>
  <si>
    <t>0-25</t>
  </si>
  <si>
    <t>19-21</t>
  </si>
  <si>
    <t>10-17</t>
  </si>
  <si>
    <t>0-25 Population Estimates</t>
  </si>
  <si>
    <t>19-21 Population Estimates</t>
  </si>
  <si>
    <t>10-17 Population Estimates</t>
  </si>
  <si>
    <t>Population Estimates for most recent period LAC Age Breakdown</t>
  </si>
  <si>
    <t>10-17 year old Population Estimates 
(rounded)</t>
  </si>
  <si>
    <t>LACAge</t>
  </si>
  <si>
    <t>5 to 9</t>
  </si>
  <si>
    <t>1 to 4</t>
  </si>
  <si>
    <t>10 to 15</t>
  </si>
  <si>
    <t>16 to 17</t>
  </si>
  <si>
    <t>Number of Referrals pulled through where prior EH information provided</t>
  </si>
  <si>
    <t>South East Average Change is calculated from Rate per 10,000 as this only takes into account LA's who have provided data for the relevant period.</t>
  </si>
  <si>
    <t>Children Ceasing to be Looked After</t>
  </si>
  <si>
    <t>Children Starting to be Looked After</t>
  </si>
  <si>
    <t>Net Children becoming Looked After</t>
  </si>
  <si>
    <t>Children subject to Care Applications</t>
  </si>
  <si>
    <t>Number of Care Leavers aged 19-21 who were InTouch</t>
  </si>
  <si>
    <t>In Touch</t>
  </si>
  <si>
    <t>Suitable Accommodation</t>
  </si>
  <si>
    <t>EET</t>
  </si>
  <si>
    <t>Number of Care Leavers aged 19-21 who were In Suitable Accommodation</t>
  </si>
  <si>
    <t>Proportion of Care Leavers aged 19-21 in Employment, Education or Training (EET)</t>
  </si>
  <si>
    <t>Number of Care Leavers aged 19-21 who were EET</t>
  </si>
  <si>
    <t>Data Suppressed 
(Annual Report only)</t>
  </si>
  <si>
    <t>16-17  year old Cohorts for NEET Indicators</t>
  </si>
  <si>
    <t>16-17 NEET Indicator Cohorts</t>
  </si>
  <si>
    <t>Young People aged 16-17 who are Participating in Education, Employment or Training (EET)</t>
  </si>
  <si>
    <t>For calculation of SE Rate</t>
  </si>
  <si>
    <t>5-15</t>
  </si>
  <si>
    <t>5-15 Education Indicator Cohorts</t>
  </si>
  <si>
    <t>5-15 year old Population Estimates 
(rounded)</t>
  </si>
  <si>
    <t>SE IDACI Calculation</t>
  </si>
  <si>
    <t>Children ceasing to be Looked After in period who were 
granted a Special Guardianship Order (%)</t>
  </si>
  <si>
    <t>Children ceasing to be Looked After in period who were 
granted a Child Arrangement Order (%)</t>
  </si>
  <si>
    <t>Ceased LAC pulled through for LA's who provided LAC Start figures</t>
  </si>
  <si>
    <t>LAC figures for LA's who provided data for this indicator</t>
  </si>
  <si>
    <t xml:space="preserve">Information about Participating LA's can be found here: </t>
  </si>
  <si>
    <t xml:space="preserve">Information about Income Deprivation Affecting Children Index (IDACI) can be found here: </t>
  </si>
  <si>
    <t xml:space="preserve">Information about Population Estimates used in this report can be found here: </t>
  </si>
  <si>
    <t>% of Referrals to CSC which were Re-referrals</t>
  </si>
  <si>
    <t>CSC Single Assessments Authorised within: 11-25 days</t>
  </si>
  <si>
    <t>CSC Single Assessments Authorised within: 26-35 days</t>
  </si>
  <si>
    <t>CSC Single Assessments Authorised within: 36-45 days</t>
  </si>
  <si>
    <t>% Children subject to a Child Protection Plan at 31st March who had been subject to a plan for 2+ years</t>
  </si>
  <si>
    <t>Rate of Children Looked After Aged: Under 1</t>
  </si>
  <si>
    <t>Rate of Children Looked After Aged: 1 to 4</t>
  </si>
  <si>
    <t>Rate of Children Looked After Aged: 5 to 9</t>
  </si>
  <si>
    <t>Rate of Children Looked After Aged: 10 to 15</t>
  </si>
  <si>
    <t>Rate of Children Looked After Aged: 16 to 17</t>
  </si>
  <si>
    <t>Children Looked After (at last day in period)</t>
  </si>
  <si>
    <t>Children Starting or Ceasing to be Looked After (during the period)</t>
  </si>
  <si>
    <t>% Care leavers aged 19-21 who were 'In Touch'</t>
  </si>
  <si>
    <t>% Care Leavers aged 19-21 in Suitable Accommodation</t>
  </si>
  <si>
    <t>Education</t>
  </si>
  <si>
    <t>% Care Leavers aged 19-21 in Employment, Education or Training</t>
  </si>
  <si>
    <t>Proportion of Children aged 0-15 Living in Poverty (2015)</t>
  </si>
  <si>
    <t>Indicators</t>
  </si>
  <si>
    <t>Indicator</t>
  </si>
  <si>
    <t>Care Leavers in EET</t>
  </si>
  <si>
    <t>First Time Entrants to Youth Justice system</t>
  </si>
  <si>
    <t>Juvenile Offenders (Age 10-17)</t>
  </si>
  <si>
    <t>Juvenile Re-offenders (Age 10-17)</t>
  </si>
  <si>
    <t>Children missing Education</t>
  </si>
  <si>
    <t>Definition</t>
  </si>
  <si>
    <t>Referrals in to Early Help Services in quarter</t>
  </si>
  <si>
    <t>Number of Referrals to Early Help going on to Assessment</t>
  </si>
  <si>
    <t>Number of Contacts received</t>
  </si>
  <si>
    <t>As Contacts are not included in a statutory return please provide details as your Local Authority records them. (OfSTED Annex A definition)</t>
  </si>
  <si>
    <t>As Early Help Indicators are not included in a statutory return please provide details as your Local Authority records them.</t>
  </si>
  <si>
    <t>Early Help Assessments Completed</t>
  </si>
  <si>
    <t xml:space="preserve">Referrals in to Early Help services which were received within 12 months of a previous Early Help referral </t>
  </si>
  <si>
    <t>Early Help Assessments resulting in Ongoing Early Help work</t>
  </si>
  <si>
    <t>Early Help Assessments that lead to ongoing intervention/ Early Help Plan etc.</t>
  </si>
  <si>
    <t>Early Help Assessments resulting in Step Up to Social Care</t>
  </si>
  <si>
    <t>Number of Children being 'Early Helped'</t>
  </si>
  <si>
    <t>Early Help Assessments that result in Step-Up to Social Care services</t>
  </si>
  <si>
    <t>Referrals received</t>
  </si>
  <si>
    <t>Referrals received in to Social Care Teams</t>
  </si>
  <si>
    <t xml:space="preserve">Referrals with prior Early Help Intervention </t>
  </si>
  <si>
    <t>Referrals received in to Social Care where there was a previous Early Help intervention within the previous 12 months</t>
  </si>
  <si>
    <t>Referrals Assessment</t>
  </si>
  <si>
    <t>Source of Referrals</t>
  </si>
  <si>
    <t>As reported in the CIN Census, detailed Referral Source information is collected and reported in the benchmarking</t>
  </si>
  <si>
    <t>The number of Referrals received in to Social Care where there had been a previous Referral in the last 12 months</t>
  </si>
  <si>
    <t>The number of Social Care Continuous Assessments completed</t>
  </si>
  <si>
    <t>Assessment Authorisation Timescales</t>
  </si>
  <si>
    <t>The number of Assessments which were completed within each timescale. The breakdown for the most recent period is shown as well as trend information for the proportion of Assessments completed within 45 days</t>
  </si>
  <si>
    <t>Assessments resulting in Step-down to Early Help</t>
  </si>
  <si>
    <t>Assessments resulting in No Further Action from Children's Social Care</t>
  </si>
  <si>
    <t>Assessments resulting in an onward referral to Early Help services</t>
  </si>
  <si>
    <t>Assessments resulting in No Further Action</t>
  </si>
  <si>
    <t>Number of Children subject to Section 47 Enquiries which started during the period</t>
  </si>
  <si>
    <t>The total number of Children in Need at the last day in period, including CP and LAC</t>
  </si>
  <si>
    <t>Initial CP Conference</t>
  </si>
  <si>
    <t>Initial CP Conference within15 days</t>
  </si>
  <si>
    <t>Number of Children subject to an Initial Child Protection Conference held during the period</t>
  </si>
  <si>
    <t>Of the Initial CP Conferences held during the period, the number which were held within 15 days of the Section 47 Enquiry which led to the conference</t>
  </si>
  <si>
    <t>Number of Children subject to a Child Protection Plan as at the last day in the period</t>
  </si>
  <si>
    <t>Of the Children subject to a CP Plan as at the last day in the period, those who had been subject to a plan for 2 years or more</t>
  </si>
  <si>
    <t>Number of Children subject to a Child Protection Plan</t>
  </si>
  <si>
    <t xml:space="preserve">Number of Children who ceased to be the subject of a CP Plan </t>
  </si>
  <si>
    <t>Children subject to a Child Protection Plan who had their cases reviewed within the required timescales</t>
  </si>
  <si>
    <t>The number of children with a Child Protection Plan at last day in period who at that date had been the subject of a Plan continuously for at least the previous 3 months and had their case reviewed within the required timescales</t>
  </si>
  <si>
    <t>Children subject to a CP Plan as at the last day in the period who had been seen within appropriate timescales</t>
  </si>
  <si>
    <t>Children subject to a Child Protection Plan for 2 years or longer</t>
  </si>
  <si>
    <t>The number of children ceasing to be the subject of a Child Protection Plan during the period. This may count a child more than once if they ceased to be the subject of a Child Protection Plan more than once during the period.</t>
  </si>
  <si>
    <t>Of the children ceasing to be the subject of a plan, the number who had been the subject of a Child Protection Plan continuously for two years or longer (i.e. for more than 729 calendar days including days of cessation)</t>
  </si>
  <si>
    <t>Children ceasing to be the subject of a CP Plan who had been the subject of a plan for 2 years or longer</t>
  </si>
  <si>
    <t>The number of children who became the subject of a Child Protection Plan at any time during the period. This is a count of each occasion and may count the same child more than once.</t>
  </si>
  <si>
    <t>Of the children becoming the subject of a CP Plan,  the number who had previously been the subject of a CP Plan, or on the Child Protection Register of that council, regardless of how long ago that was.</t>
  </si>
  <si>
    <t>Of the children becoming the subject of a CP Plan,  the number who had previously been the subject of a CP Plan, or on the Child Protection Register of that council, within the previous 2 years</t>
  </si>
  <si>
    <t>Children becoming the subject of a CP Plan for a Second or Subsequent time</t>
  </si>
  <si>
    <t xml:space="preserve">Children becoming the subject of a CP Plan for a Second or Subsequent time within 2 years of a previous CP Plan </t>
  </si>
  <si>
    <t>Children becoming the subject of a CP Plan</t>
  </si>
  <si>
    <t>Care Applications to Court</t>
  </si>
  <si>
    <t>Children subject to Care Applications to Court</t>
  </si>
  <si>
    <t>Taken directly from CAFCASS Published data</t>
  </si>
  <si>
    <t>Looked After Children Aged Under 16</t>
  </si>
  <si>
    <t>Looked After Children who had been Looked After for 2.5 years</t>
  </si>
  <si>
    <t>Looked After Children who had been Looked After for 2.5 years and in the same Placement for at least 2 years</t>
  </si>
  <si>
    <t>Number of Children who were Looked After as at the last day in period and aged under 16 on that date</t>
  </si>
  <si>
    <t>Of the Children who were Looked After as at the last day in period and aged under 16 on that date, those who had been looked after for 2.5 years or more (i.e. for more than 912 days inclusive of the last day in quarter) on the the last day in the period. Exclude children who had been looked after at any time during the 2.5 year period under an agreed series of short-term placements.</t>
  </si>
  <si>
    <t>Of the Looked After Children who had been Looked After for 2.5 years, the number who had been living in the same placement for at least 2 years</t>
  </si>
  <si>
    <t>Looked After Children who were UASC</t>
  </si>
  <si>
    <t>The number of Looked After Children as at last day in the period, who were Unaccompanied Asylum Seeking Children</t>
  </si>
  <si>
    <t>Looked After Children with 3 or more Placements</t>
  </si>
  <si>
    <t>Of the Childen who were Looked After as at the last day in period, those who had had 3 or more placements within the previous 12 months</t>
  </si>
  <si>
    <t>Of the Children Starting to be Looked After, those who had been Looked After Previously in the last 12 months</t>
  </si>
  <si>
    <t>Children starting to be Looked After who had been LAC within the previous 12 months</t>
  </si>
  <si>
    <t>Children starting to be Looked After</t>
  </si>
  <si>
    <t>Children starting to be Looked After who were Remanded into Local Authority Care</t>
  </si>
  <si>
    <t>Care Leavers over the age of 16 who remained Looked After until their 18th birthday</t>
  </si>
  <si>
    <t>This indicator is reported as a proportion of the Children Ceasing to be Looked After during the period.</t>
  </si>
  <si>
    <t>The number of children who ceased to be 'looked after' during the period (excluding children Looked After under an agreed series of short-term breaks)</t>
  </si>
  <si>
    <t>The number of children who started to be 'looked after' during the period (excluding children Looked After under an agreed series of short-term breaks)</t>
  </si>
  <si>
    <t>The number of children who were 'looked after' at the end of the period (excluding children Looked After under an agreed series of short-term breaks)</t>
  </si>
  <si>
    <t>The number of all children still the subject of a child protection plan at the end of the period who were seen within the last 2/ 4/ 6 weeks</t>
  </si>
  <si>
    <t>Care Leavers aged 19 - 21</t>
  </si>
  <si>
    <t xml:space="preserve">The number of Care Leavers aged 19 - 21 at the end of the period </t>
  </si>
  <si>
    <t>Care Leavers 'In Touch'</t>
  </si>
  <si>
    <t>The number of Care Leavers aged 19-21 at the end of the period who were 'In-Touch'</t>
  </si>
  <si>
    <t>Care Leavers in Suitable Accommodation</t>
  </si>
  <si>
    <t>The number of Care Leavers aged 19-21 at the end of the period who were in Suitable Accommodation</t>
  </si>
  <si>
    <t>The number of Care Leavers aged 19-21 at the end of the period who were participating in Education, Employment or Training</t>
  </si>
  <si>
    <t>Number of Children placed for Adoption</t>
  </si>
  <si>
    <t>Number of children Placed for Adoption as at last day in quarter</t>
  </si>
  <si>
    <t>Total Days between those children who were Adopted in the period entering care and moving in with their adoptive family</t>
  </si>
  <si>
    <t>The sum of the days between all children who were Adopted in the period becoming Looked After and moving in with their adoptive family</t>
  </si>
  <si>
    <t>Children Adopted who were Placed within 12 months of the Adoption Decision</t>
  </si>
  <si>
    <t>Looked After Children Adopted</t>
  </si>
  <si>
    <t>Number of children who ceased to be looked after during the quarter as a result of the granting of an adoption order. Includes only those children who were adopted after having been looked after by the authority immediately prior to adoption. Children placed for adoption or freed for adoption remain looked after until the adoption order is granted. Children who have been adoptied but were not placed for adoption should be excluded.</t>
  </si>
  <si>
    <t>The number of Adopted Chldren who were placed for adoption within 12 months (i.e. less than 365 days, inclusive of date child was placed for adoption) of the decision that they should be placed for adoption. The figure excludes children who were placed within 12 months of the decision that they should be placed for adoption, but whose placement for adoption broke down before being adopted.</t>
  </si>
  <si>
    <t>Number of Children subject to a Child Arrangement Order</t>
  </si>
  <si>
    <t>Number of Children subject to a Special Guardianship Order</t>
  </si>
  <si>
    <t>Total number of Children who the LA has recorded as being subject to a Child Arrangement Order as at the last day in the period</t>
  </si>
  <si>
    <t>Total number of Children who the LA has recorded as being subject to a Special Guardianship Order as at the last day in the period</t>
  </si>
  <si>
    <t>Number of New EHC Plans</t>
  </si>
  <si>
    <t>Number of New Education, Health and Care Plans issued in the period</t>
  </si>
  <si>
    <t>The Number of New Education, Health and Care Plans issued in the period, which were issued within 20 weeks</t>
  </si>
  <si>
    <t>Number of New EHC Plans issued within 20 weeks</t>
  </si>
  <si>
    <t xml:space="preserve">The number of Juvenile Offenders </t>
  </si>
  <si>
    <t>The number of Juvenile Offenders who were Re-offenders</t>
  </si>
  <si>
    <t>Children who are Electively home educated</t>
  </si>
  <si>
    <t>Young people aged 16-17 who are participating in education, employment or training. Taken from monthly NCCIS reports.</t>
  </si>
  <si>
    <t>Young people aged 16-17 who are not participating in education, employment or training (NEET). Taken from monthly NCCIS reports.</t>
  </si>
  <si>
    <t>Young people aged 16-17 whose current activity is not known. Taken from monthly NCCIS reports.</t>
  </si>
  <si>
    <t>Early Help</t>
  </si>
  <si>
    <t>Child in Need</t>
  </si>
  <si>
    <t>Child Protection</t>
  </si>
  <si>
    <t>Permanence</t>
  </si>
  <si>
    <t>SEND</t>
  </si>
  <si>
    <t>Participation</t>
  </si>
  <si>
    <t>Youth Offending</t>
  </si>
  <si>
    <r>
      <t xml:space="preserve">In order to align the benchmarking report with the CIN Census publications this is now defined as Referrals received which </t>
    </r>
    <r>
      <rPr>
        <b/>
        <sz val="8"/>
        <rFont val="Arial"/>
        <family val="2"/>
      </rPr>
      <t xml:space="preserve">did not </t>
    </r>
    <r>
      <rPr>
        <sz val="8"/>
        <rFont val="Arial"/>
        <family val="2"/>
      </rPr>
      <t>result in No Further Action</t>
    </r>
  </si>
  <si>
    <t>Children receiving an early help intervention as at last day in period</t>
  </si>
  <si>
    <t>OLM (Northgate)</t>
  </si>
  <si>
    <t>Mosaic</t>
  </si>
  <si>
    <t>CareDirector</t>
  </si>
  <si>
    <t>Mosaic and Holistix</t>
  </si>
  <si>
    <t>Below is a summary comparison of the main indicators from this report- a full list of indicators can be found here:</t>
  </si>
  <si>
    <t>New/ Ceased Looked After Children</t>
  </si>
  <si>
    <t>The number of Children are currently Electively Home Educated (EHE) at last day in period. Children whose parents elect to educate them at home are not registered at mainstream schools, special schools, independent schools, academies, Pupil Referral Units (PRUs), colleges, children's homes with education facilities or education facilities provided by independent fostering agencies.</t>
  </si>
  <si>
    <t>The number of Children currently classed as Children Missing Education (CME) at last day in period. Children missing education are children of compulsory school age who are not registered pupils at a school and are not receiving suitable education otherwise than at a school.” (Education other than at school includes being electively home educated)</t>
  </si>
  <si>
    <t>Age Breakdown of LAC</t>
  </si>
  <si>
    <t>Re-offending Tables</t>
  </si>
  <si>
    <t>Referral</t>
  </si>
  <si>
    <t>Re-referral</t>
  </si>
  <si>
    <t>Asmt.</t>
  </si>
  <si>
    <t>S47</t>
  </si>
  <si>
    <t>ICPC</t>
  </si>
  <si>
    <t>CPP</t>
  </si>
  <si>
    <t>RepeatCPP</t>
  </si>
  <si>
    <t>LAC</t>
  </si>
  <si>
    <t>y</t>
  </si>
  <si>
    <t>r2</t>
  </si>
  <si>
    <t>CourtApps</t>
  </si>
  <si>
    <t>CourtChild</t>
  </si>
  <si>
    <t>Children subject of a CP Plan at last day in period, who had been seen within timescales</t>
  </si>
  <si>
    <t>Children subject of a CP Plan for 3+ Months at last day in period, who had reviews carried out within the required timescales</t>
  </si>
  <si>
    <t>Children ceasing to be the subject of a CP Plan during the period,  who had been subject to a CP Plan for 2 years or more</t>
  </si>
  <si>
    <t>England and Wales</t>
  </si>
  <si>
    <t>Year2_1617_NEET</t>
  </si>
  <si>
    <t>Year2_1617_participating_in_EET</t>
  </si>
  <si>
    <t>Year2_1617_not known</t>
  </si>
  <si>
    <t>Year2_Juvenile_Offenders_(Age 1017)</t>
  </si>
  <si>
    <t>Year2_Juvenile_Reoffenders_(Age 1017)</t>
  </si>
  <si>
    <t>Year3_1617_NEET</t>
  </si>
  <si>
    <t>Year3_1617_participating_in_EET</t>
  </si>
  <si>
    <t>Year3_1617_not known</t>
  </si>
  <si>
    <t>Year3_Juvenile_Offenders_(Age 1017)</t>
  </si>
  <si>
    <t>Year3_Juvenile_Reoffenders_(Age 1017)</t>
  </si>
  <si>
    <t>Year4_1617_NEET</t>
  </si>
  <si>
    <t>Year4_1617_not known</t>
  </si>
  <si>
    <t>Year4_Juvenile_Offenders_(Age 1017)</t>
  </si>
  <si>
    <t>Year4_Juvenile_Reoffenders_(Age 1017)</t>
  </si>
  <si>
    <t>Year5_1617_NEET</t>
  </si>
  <si>
    <t>Year5_ 1617_ participating_in_EET</t>
  </si>
  <si>
    <t>Year5_1617_not known</t>
  </si>
  <si>
    <t>Year5_Juvenile_Offenders_(Age 1017)</t>
  </si>
  <si>
    <t>Year5_Juvenile_Reoffenders_(Age 1017)</t>
  </si>
  <si>
    <t>Contacts received in the Quarter, Rate per 10,000 0-17 Year Olds</t>
  </si>
  <si>
    <t>Referrals to Early Help in the Quarter, Rate per 10,000 0-17 Year Olds</t>
  </si>
  <si>
    <t>Early Help Assessments Completed in Quarter, Rate per 10,000 0-17 Year Olds</t>
  </si>
  <si>
    <t>Children being 'Early Helped' as at last day in Quarter, Rate per 10,000 0-17 Year Olds</t>
  </si>
  <si>
    <t>Referrals received to Children's Social Care (CSC) during the Quarter, Rate per 10,000 0-17 Year Olds</t>
  </si>
  <si>
    <t>Re-referrals to CSC during the Quarter, Rate per 10,000 0-17 Year Olds</t>
  </si>
  <si>
    <t>CSC Single Assessments Completed during the Quarter, Rate per 10,000 0-17 Year Olds</t>
  </si>
  <si>
    <t>Children in Need at last day in Quarter, Rate per 10,000 0-17 Year Olds</t>
  </si>
  <si>
    <t>Children subject to Section 47 Enquiries during the Quarter, Rate per 10,000 0-17 Year Olds</t>
  </si>
  <si>
    <t>Children subject to an Initial Child Protection Conference during the Quarter, Rate per 10,000 0-17 Year Olds</t>
  </si>
  <si>
    <t>Children subject to a Child Protection Plan at last day in Quarter, Rate per 10,000 0-17 Year Olds</t>
  </si>
  <si>
    <t>Number of Care Applications to Court during the Quarter, Rate per 10,000 0-17 Year Olds</t>
  </si>
  <si>
    <t>Number of Children subject to Care Applications to Court during the Quarter, Rate per 10,000 0-17 Year Olds</t>
  </si>
  <si>
    <t>Children who were Looked After at last day in Quarter, Rate per 10,000 0-17 Year Olds</t>
  </si>
  <si>
    <t>Children who Started to be Looked After during the Quarter, Rate per 10,000 0-17 Year Olds</t>
  </si>
  <si>
    <t>Children who Ceased to be Looked After during the Quarter, Rate per 10,000 0-17 Year Olds</t>
  </si>
  <si>
    <t>Net Number of Children becoming Looked After during the Quarter, Rate per 10,000 0-17 Year Olds</t>
  </si>
  <si>
    <t>Number of Care Leavers Aged 19-21 at last day in Quarter, Rate per 10,000 19-21 Year Olds</t>
  </si>
  <si>
    <t>Children placed for Adoption at last day in Quarter, Rate per 10,000 0-17 Year Olds</t>
  </si>
  <si>
    <t>Average days, between a child entering care and moving in with their adoptive family (children adopted in Quarter)</t>
  </si>
  <si>
    <t>Children subject to Child Arrangement Orders at last day in Quarter- TOTAL (Rate per 10,000 0-17 Year Olds)</t>
  </si>
  <si>
    <t>Children subject to Special Guarianship Orders at last day in Quarter- TOTAL (Rate per 10,000 0-17 Year Olds)</t>
  </si>
  <si>
    <t>% Young People aged 16-17 who are Participating in Education, Employment or Training (EET) at last day in Quarter</t>
  </si>
  <si>
    <t>First Time Entrants to the Youth Justice System during the Quarter, Rate per 100,000 10-17 Year Olds</t>
  </si>
  <si>
    <t>New Education, Health and Care (EHC) Plans issued during the Quarter, Rate per 10,000 10-25 Year Olds</t>
  </si>
  <si>
    <t>Number of Children Missing Education (CME) at last day in Quarter, Rate per 10,000 5-15 Year Olds</t>
  </si>
  <si>
    <t>Number of Electively Home Educated (EHE) Children at last day in Quarter, Rate per 10,000 5-15 Year Olds</t>
  </si>
  <si>
    <t>xx</t>
  </si>
  <si>
    <t>xxx</t>
  </si>
  <si>
    <t>Slope (x)</t>
  </si>
  <si>
    <t>Intercept (y)</t>
  </si>
  <si>
    <t>r-squared</t>
  </si>
  <si>
    <t>r²</t>
  </si>
  <si>
    <t>LAC Start</t>
  </si>
  <si>
    <t>LAC Cease</t>
  </si>
  <si>
    <t>Net LAC</t>
  </si>
  <si>
    <t>Care Leavers Ages 19-21</t>
  </si>
  <si>
    <t>FTE to YJ System</t>
  </si>
  <si>
    <t>New EHCP</t>
  </si>
  <si>
    <t>Total EHCP</t>
  </si>
  <si>
    <t>CSDataBenchmarking@eastsussex.gov.uk</t>
  </si>
  <si>
    <t>2019-20</t>
  </si>
  <si>
    <t>-</t>
  </si>
  <si>
    <t>mid-2018</t>
  </si>
  <si>
    <t>Year4_ 1617_ participating_in_EET</t>
  </si>
  <si>
    <t>Year1_Contacts</t>
  </si>
  <si>
    <t>Year1_EarlyHelpReferrals</t>
  </si>
  <si>
    <t>Year1_EarlyHelpReferralsSTEPDOWN</t>
  </si>
  <si>
    <t>Year1_EarlyHelpReferralsOntoASSESSMENT</t>
  </si>
  <si>
    <t>Year1_EarlyHelpReReferrals</t>
  </si>
  <si>
    <t>Year1_EarlyHelpAssessments</t>
  </si>
  <si>
    <t>Year1_EarlyHelpAssessmentsOngoing</t>
  </si>
  <si>
    <t>Year1_EarlyHelpAssessmentsStepUp</t>
  </si>
  <si>
    <t>Year1_EarlyHelpedChildren</t>
  </si>
  <si>
    <t>Year1_Referrals</t>
  </si>
  <si>
    <t>Year1_ReferralsPriorEH</t>
  </si>
  <si>
    <t>Year1_ReferralsAssessment</t>
  </si>
  <si>
    <t>Year1_ReferralSource_Individual_Family</t>
  </si>
  <si>
    <t>Year1_ReferralSource_Individual_Acquaintance</t>
  </si>
  <si>
    <t>Year1_ReferralSource_Individual_Self</t>
  </si>
  <si>
    <t>Year1_ReferralSource_Individual_Other</t>
  </si>
  <si>
    <t>Year1_ReferralSource_School</t>
  </si>
  <si>
    <t>Year1_ReferralSource_EducationServices</t>
  </si>
  <si>
    <t>Year1_ReferralSource_Health_services_GP</t>
  </si>
  <si>
    <t>Year1_ReferralSource_Health_services_HealthVisitor</t>
  </si>
  <si>
    <t>Year1_ReferralSource_Health_services_SchoolNurse</t>
  </si>
  <si>
    <t>Year1_ReferralSource_Health_services_OthPrimary</t>
  </si>
  <si>
    <t>Year1_ReferralSource_Health_services_AE</t>
  </si>
  <si>
    <t>Year1_ReferralSource_Health_services_Other</t>
  </si>
  <si>
    <t>Year1_ReferralSource_Housing</t>
  </si>
  <si>
    <t>Year1_ReferralSource_LA_SC</t>
  </si>
  <si>
    <t>Year1_ReferralSource_LA_Other</t>
  </si>
  <si>
    <t>Year1_ReferralSource_LA_External</t>
  </si>
  <si>
    <t>Year1_ReferralSource_Police</t>
  </si>
  <si>
    <t>Year1_ReferralSource_Other_Legal</t>
  </si>
  <si>
    <t>Year1_ReferralSource_Other</t>
  </si>
  <si>
    <t>Year1_ReferralSource_Anonymous</t>
  </si>
  <si>
    <t>Year1_ReferralSource_Unknown</t>
  </si>
  <si>
    <t>Year1_ReReferrals</t>
  </si>
  <si>
    <t>Year1_Assessments</t>
  </si>
  <si>
    <t>Year1_Assessments_10days</t>
  </si>
  <si>
    <t>Year1_Assessments_11_20days</t>
  </si>
  <si>
    <t>Year1_Assessments_21_30days</t>
  </si>
  <si>
    <t>Year1_Assessments_31_45days</t>
  </si>
  <si>
    <t>Year1_Assessments_over_45days</t>
  </si>
  <si>
    <t>Year1_Assessments_step_down</t>
  </si>
  <si>
    <t>Year1_Assessments_No_further_action</t>
  </si>
  <si>
    <t>Year1_CIN</t>
  </si>
  <si>
    <t>Year1_CIN_Section47</t>
  </si>
  <si>
    <t>Year1_CP_Conference</t>
  </si>
  <si>
    <t>Year1_CP_Conference_within15days</t>
  </si>
  <si>
    <t>Year1_CP_Plans</t>
  </si>
  <si>
    <t>Year1_CP_Plans_3months</t>
  </si>
  <si>
    <t>Year1_CP_Plans_3months_timescales</t>
  </si>
  <si>
    <t>Year1_CP_Plans_Seen_in_Timescales</t>
  </si>
  <si>
    <t>Year1_CP_Plans_2years</t>
  </si>
  <si>
    <t>Year1_CP_Plans_ceased</t>
  </si>
  <si>
    <t>Year1_CP_Plans_ceased_2years</t>
  </si>
  <si>
    <t>Year1_CP_Plans_became_subject</t>
  </si>
  <si>
    <t>Year1_CP_Plans_became_subject_second</t>
  </si>
  <si>
    <t>Year1_CP_Plans_became_subject_second_2years</t>
  </si>
  <si>
    <t>Year1_LAC</t>
  </si>
  <si>
    <t>Year1_LAC_Under1</t>
  </si>
  <si>
    <t>Year1_LAC_1to4</t>
  </si>
  <si>
    <t>Year1_LAC_5to9</t>
  </si>
  <si>
    <t>Year1_LAC_10to15</t>
  </si>
  <si>
    <t>Year1_LAC_16plus</t>
  </si>
  <si>
    <t>Year1_LAC_under16</t>
  </si>
  <si>
    <t>Year1_LAC_under16_2.5years</t>
  </si>
  <si>
    <t>Year1_LAC_under16_2.5years_sameplacement2years</t>
  </si>
  <si>
    <t>Year1_LAC_UASC</t>
  </si>
  <si>
    <t>Year1_LAC_3_or_more_Placements</t>
  </si>
  <si>
    <t>Year1_LAC_4weeks</t>
  </si>
  <si>
    <t>Year1_LAC_4weeks_reviews_in_timescales</t>
  </si>
  <si>
    <t>Year1_LAC_Start</t>
  </si>
  <si>
    <t>Year1_LAC_Start_2nd_time</t>
  </si>
  <si>
    <t>Year1_LAC_Remanded</t>
  </si>
  <si>
    <t>Year1_Adoption_PFA</t>
  </si>
  <si>
    <t>Year1_Adoption_ceased_LAC</t>
  </si>
  <si>
    <t>Year1_Adoption_LAC_Adopted</t>
  </si>
  <si>
    <t>Year1_Adoption_LAC_Adopted_days</t>
  </si>
  <si>
    <t>Year1_Adoption_LAC_Adopted_placed_with_12months</t>
  </si>
  <si>
    <t>Year1_Care_Leavers_16_18th_birthday</t>
  </si>
  <si>
    <t>Year1_Care_Leavers_at_end_of_period</t>
  </si>
  <si>
    <t>Year1_Care_Leavers_in_touch</t>
  </si>
  <si>
    <t>Year1_Care_Leavers_in_suitable_accommodation</t>
  </si>
  <si>
    <t>Year1_Care_Leavers_in_EET</t>
  </si>
  <si>
    <t>Year1_ROSGO_ceased_LAC_CAO</t>
  </si>
  <si>
    <t>Year1_ROSGO_ceased_LAC_SGO</t>
  </si>
  <si>
    <t>Year1_CAO_RO_Total</t>
  </si>
  <si>
    <t>Year1_SGO_total</t>
  </si>
  <si>
    <t>Year1_Number_EHC_Plans</t>
  </si>
  <si>
    <t>Year1_New_EHC _within_20_weeks</t>
  </si>
  <si>
    <t>Year1_First_Time_Entrants_to_Youth_Justice_system</t>
  </si>
  <si>
    <t>Year1_Children_missing_Education</t>
  </si>
  <si>
    <t>Year1_ electively_home_educated</t>
  </si>
  <si>
    <t>Year1_1617_NEET</t>
  </si>
  <si>
    <t>Year1_1617_participating_in_EET</t>
  </si>
  <si>
    <t>Year1_1617_not known</t>
  </si>
  <si>
    <t>Year1_Juvenile_Offenders_(Age 1017)</t>
  </si>
  <si>
    <t>Year1_Juvenile_Reoffenders_(Age 1017)</t>
  </si>
  <si>
    <t>Year1_Assessments_within45days</t>
  </si>
  <si>
    <t>Year1_Continuous_assessments</t>
  </si>
  <si>
    <t>Year1_CAO_RO_FundedLA</t>
  </si>
  <si>
    <t>Year1_SGO_fundedLA</t>
  </si>
  <si>
    <t>Year1_Care_Applications</t>
  </si>
  <si>
    <t>Year1_Care_Applications_Children</t>
  </si>
  <si>
    <t>Year2_Care_Applications</t>
  </si>
  <si>
    <t>Year2_Care_Applications_Children</t>
  </si>
  <si>
    <t>Year3_Care_Applications</t>
  </si>
  <si>
    <t>Year3_Care_Applications_Children</t>
  </si>
  <si>
    <t>Year5_Care_Applications</t>
  </si>
  <si>
    <t>Year5_Care_Applications_Children</t>
  </si>
  <si>
    <t>Discharged LAC pulled through for LA's who Provided Care Leaver over 16 remaining LAC until 18 data</t>
  </si>
  <si>
    <t>Care Leavers over 16 remained LAC until 18th Birthday</t>
  </si>
  <si>
    <t>% Children ceasing to be Looked After aged 16+ who remained looked after until their 18th birthday</t>
  </si>
  <si>
    <t>Assessments Ctd.</t>
  </si>
  <si>
    <t>Children Looked After (at last day in period) 
Ctd.</t>
  </si>
  <si>
    <t>Year1_Bracknell Forest</t>
  </si>
  <si>
    <t>Year1_Brighton &amp; Hove</t>
  </si>
  <si>
    <t>Year1_Buckinghamshire</t>
  </si>
  <si>
    <t>Year1_East Sussex</t>
  </si>
  <si>
    <t>Year1_Hampshire</t>
  </si>
  <si>
    <t>Year1_Isle of Wight</t>
  </si>
  <si>
    <t>Year1_Kent</t>
  </si>
  <si>
    <t>Year1_Medway</t>
  </si>
  <si>
    <t>Year1_Milton Keynes</t>
  </si>
  <si>
    <t>Year1_Oxfordshire</t>
  </si>
  <si>
    <t>Year1_Portsmouth</t>
  </si>
  <si>
    <t>Year1_Reading</t>
  </si>
  <si>
    <t>Year1_Slough</t>
  </si>
  <si>
    <t>Year1_Somerset</t>
  </si>
  <si>
    <t>Year1_Southampton</t>
  </si>
  <si>
    <t>Year1_Surrey</t>
  </si>
  <si>
    <t>Year1_Swindon</t>
  </si>
  <si>
    <t>Year1_Torbay</t>
  </si>
  <si>
    <t>Year1_West Berkshire</t>
  </si>
  <si>
    <t>Year1_West Sussex</t>
  </si>
  <si>
    <t>Year1_Windsor &amp; Maidenhead</t>
  </si>
  <si>
    <t>Year1_Wokingham</t>
  </si>
  <si>
    <t>Year1_South East</t>
  </si>
  <si>
    <t>Year1_England</t>
  </si>
  <si>
    <t>Year2_Bracknell Forest</t>
  </si>
  <si>
    <t>Year2_Brighton &amp; Hove</t>
  </si>
  <si>
    <t>Year2_Buckinghamshire</t>
  </si>
  <si>
    <t>Year2_East Sussex</t>
  </si>
  <si>
    <t>Year2_Hampshire</t>
  </si>
  <si>
    <t>Year2_Isle of Wight</t>
  </si>
  <si>
    <t>Year2_Kent</t>
  </si>
  <si>
    <t>Year2_Medway</t>
  </si>
  <si>
    <t>Year2_Milton Keynes</t>
  </si>
  <si>
    <t>Year2_Oxfordshire</t>
  </si>
  <si>
    <t>Year2_Portsmouth</t>
  </si>
  <si>
    <t>Year2_Reading</t>
  </si>
  <si>
    <t>Year2_Slough</t>
  </si>
  <si>
    <t>Year2_Somerset</t>
  </si>
  <si>
    <t>Year2_Southampton</t>
  </si>
  <si>
    <t>Year2_Surrey</t>
  </si>
  <si>
    <t>Year2_Swindon</t>
  </si>
  <si>
    <t>Year2_Torbay</t>
  </si>
  <si>
    <t>Year2_West Berkshire</t>
  </si>
  <si>
    <t>Year2_West Sussex</t>
  </si>
  <si>
    <t>Year2_Windsor &amp; Maidenhead</t>
  </si>
  <si>
    <t>Year2_Wokingham</t>
  </si>
  <si>
    <t>Year2_South East</t>
  </si>
  <si>
    <t>Year2_England</t>
  </si>
  <si>
    <t>Year3_Bracknell Forest</t>
  </si>
  <si>
    <t>Year3_Brighton &amp; Hove</t>
  </si>
  <si>
    <t>Year3_Buckinghamshire</t>
  </si>
  <si>
    <t>Year3_East Sussex</t>
  </si>
  <si>
    <t>Year3_Hampshire</t>
  </si>
  <si>
    <t>Year3_Isle of Wight</t>
  </si>
  <si>
    <t>Year3_Kent</t>
  </si>
  <si>
    <t>Year3_Medway</t>
  </si>
  <si>
    <t>Year3_Milton Keynes</t>
  </si>
  <si>
    <t>Year3_Oxfordshire</t>
  </si>
  <si>
    <t>Year3_Portsmouth</t>
  </si>
  <si>
    <t>Year3_Reading</t>
  </si>
  <si>
    <t>Year3_Slough</t>
  </si>
  <si>
    <t>Year3_Somerset</t>
  </si>
  <si>
    <t>Year3_Southampton</t>
  </si>
  <si>
    <t>Year3_Surrey</t>
  </si>
  <si>
    <t>Year3_Swindon</t>
  </si>
  <si>
    <t>Year3_Torbay</t>
  </si>
  <si>
    <t>Year3_West Berkshire</t>
  </si>
  <si>
    <t>Year3_West Sussex</t>
  </si>
  <si>
    <t>Year3_Windsor &amp; Maidenhead</t>
  </si>
  <si>
    <t>Year3_Wokingham</t>
  </si>
  <si>
    <t>Year3_South East</t>
  </si>
  <si>
    <t>Year3_England</t>
  </si>
  <si>
    <t>Year4_Bracknell Forest</t>
  </si>
  <si>
    <t>Year4_Brighton &amp; Hove</t>
  </si>
  <si>
    <t>Year4_Buckinghamshire</t>
  </si>
  <si>
    <t>Year4_East Sussex</t>
  </si>
  <si>
    <t>Year4_Hampshire</t>
  </si>
  <si>
    <t>Year4_Isle of Wight</t>
  </si>
  <si>
    <t>Year4_Kent</t>
  </si>
  <si>
    <t>Year4_Medway</t>
  </si>
  <si>
    <t>Year4_Milton Keynes</t>
  </si>
  <si>
    <t>Year4_Oxfordshire</t>
  </si>
  <si>
    <t>Year4_Portsmouth</t>
  </si>
  <si>
    <t>Year4_Reading</t>
  </si>
  <si>
    <t>Year4_Slough</t>
  </si>
  <si>
    <t>Year4_Somerset</t>
  </si>
  <si>
    <t>Year4_Southampton</t>
  </si>
  <si>
    <t>Year4_Surrey</t>
  </si>
  <si>
    <t>Year4_Swindon</t>
  </si>
  <si>
    <t>Year4_Torbay</t>
  </si>
  <si>
    <t>Year4_West Berkshire</t>
  </si>
  <si>
    <t>Year4_West Sussex</t>
  </si>
  <si>
    <t>Year4_Windsor &amp; Maidenhead</t>
  </si>
  <si>
    <t>Year4_Wokingham</t>
  </si>
  <si>
    <t>Year4_South East</t>
  </si>
  <si>
    <t>Year4_England</t>
  </si>
  <si>
    <t>Year5_Bracknell Forest</t>
  </si>
  <si>
    <t>Year5_Brighton &amp; Hove</t>
  </si>
  <si>
    <t>Year5_Buckinghamshire</t>
  </si>
  <si>
    <t>Year5_East Sussex</t>
  </si>
  <si>
    <t>Year5_Hampshire</t>
  </si>
  <si>
    <t>Year5_Isle of Wight</t>
  </si>
  <si>
    <t>Year5_Kent</t>
  </si>
  <si>
    <t>Year5_Medway</t>
  </si>
  <si>
    <t>Year5_Milton Keynes</t>
  </si>
  <si>
    <t>Year5_Oxfordshire</t>
  </si>
  <si>
    <t>Year5_Portsmouth</t>
  </si>
  <si>
    <t>Year5_Reading</t>
  </si>
  <si>
    <t>Year5_Slough</t>
  </si>
  <si>
    <t>Year5_Somerset</t>
  </si>
  <si>
    <t>Year5_Southampton</t>
  </si>
  <si>
    <t>Year5_Surrey</t>
  </si>
  <si>
    <t>Year5_Swindon</t>
  </si>
  <si>
    <t>Year5_Torbay</t>
  </si>
  <si>
    <t>Year5_West Berkshire</t>
  </si>
  <si>
    <t>Year5_West Sussex</t>
  </si>
  <si>
    <t>Year5_Windsor &amp; Maidenhead</t>
  </si>
  <si>
    <t>Year5_Wokingham</t>
  </si>
  <si>
    <t>Year5_South East</t>
  </si>
  <si>
    <t>Year5_England</t>
  </si>
  <si>
    <t>2014-15</t>
  </si>
  <si>
    <t>16-18 discharges</t>
  </si>
  <si>
    <t>Year4_Care_Applications</t>
  </si>
  <si>
    <t>Year4_Care_Applications_Children</t>
  </si>
  <si>
    <t>c</t>
  </si>
  <si>
    <t>IDACI 2019</t>
  </si>
  <si>
    <t>Throughout this report, various indicators are plotted against the IDACI score of the Local Authority. The most recent IDACI figures were produced in 2019 using mid-2015 population estimates. The IDACI score represents the percentage of dependent children (non-prisoners) aged 0–15 living in income-deprived households. 
Where the IDACI score for the South East is shown, this will have been re-calculated to include only those LA's who have provided data for the indicator shown. Therefore the South East IDACI score may vary throughout the report.</t>
  </si>
  <si>
    <t>FTE to YJ</t>
  </si>
  <si>
    <t>CL 19-21</t>
  </si>
  <si>
    <r>
      <t xml:space="preserve">Provisional Annual Report
</t>
    </r>
    <r>
      <rPr>
        <b/>
        <sz val="24"/>
        <color rgb="FF00B050"/>
        <rFont val="Arial"/>
        <family val="2"/>
      </rPr>
      <t xml:space="preserve"> (Public)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</si>
</sst>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General_)"/>
    <numFmt numFmtId="167" formatCode="0.0%"/>
    <numFmt numFmtId="168" formatCode="0.000"/>
    <numFmt numFmtId="169" formatCode="0.00000"/>
  </numFmts>
  <fonts count="85"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10"/>
      <name val="Arial"/>
      <family val="2"/>
    </font>
    <font>
      <b/>
      <sz val="10"/>
      <name val="Arial"/>
      <family val="2"/>
    </font>
    <font>
      <sz val="8"/>
      <name val="Arial"/>
      <family val="2"/>
    </font>
    <font>
      <b/>
      <sz val="8"/>
      <name val="Arial"/>
      <family val="2"/>
    </font>
    <font>
      <b/>
      <sz val="10"/>
      <name val="Arial"/>
      <family val="2"/>
    </font>
    <font>
      <sz val="8"/>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indexed="8"/>
      <name val="Arial"/>
      <family val="2"/>
    </font>
    <font>
      <sz val="11"/>
      <name val="Arial"/>
      <family val="2"/>
    </font>
    <font>
      <sz val="12"/>
      <name val="Arial"/>
      <family val="2"/>
    </font>
    <font>
      <b/>
      <sz val="11"/>
      <name val="Arial"/>
      <family val="2"/>
    </font>
    <font>
      <sz val="7"/>
      <name val="Arial"/>
      <family val="2"/>
    </font>
    <font>
      <b/>
      <sz val="9"/>
      <name val="Arial"/>
      <family val="2"/>
    </font>
    <font>
      <sz val="9"/>
      <name val="Arial"/>
      <family val="2"/>
    </font>
    <font>
      <sz val="8"/>
      <color indexed="9"/>
      <name val="Arial"/>
      <family val="2"/>
    </font>
    <font>
      <sz val="8"/>
      <name val="Arial"/>
      <family val="2"/>
    </font>
    <font>
      <sz val="8"/>
      <color indexed="10"/>
      <name val="Arial"/>
      <family val="2"/>
    </font>
    <font>
      <b/>
      <sz val="14"/>
      <color indexed="39"/>
      <name val="Arial"/>
      <family val="2"/>
    </font>
    <font>
      <b/>
      <sz val="12"/>
      <color indexed="39"/>
      <name val="Arial"/>
      <family val="2"/>
    </font>
    <font>
      <sz val="8"/>
      <color indexed="16"/>
      <name val="Arial"/>
      <family val="2"/>
    </font>
    <font>
      <b/>
      <sz val="8"/>
      <color indexed="16"/>
      <name val="Arial"/>
      <family val="2"/>
    </font>
    <font>
      <sz val="9"/>
      <name val="Wingdings"/>
      <charset val="2"/>
    </font>
    <font>
      <b/>
      <sz val="24"/>
      <color indexed="39"/>
      <name val="Arial"/>
      <family val="2"/>
    </font>
    <font>
      <sz val="10"/>
      <color indexed="9"/>
      <name val="Arial"/>
      <family val="2"/>
    </font>
    <font>
      <sz val="9"/>
      <color indexed="9"/>
      <name val="Wingdings"/>
      <charset val="2"/>
    </font>
    <font>
      <sz val="8"/>
      <color indexed="37"/>
      <name val="Arial"/>
      <family val="2"/>
    </font>
    <font>
      <sz val="10"/>
      <color indexed="37"/>
      <name val="Arial"/>
      <family val="2"/>
    </font>
    <font>
      <b/>
      <u/>
      <sz val="10"/>
      <color indexed="39"/>
      <name val="Arial"/>
      <family val="2"/>
    </font>
    <font>
      <b/>
      <sz val="12"/>
      <color indexed="63"/>
      <name val="Arial"/>
      <family val="2"/>
    </font>
    <font>
      <sz val="8"/>
      <color theme="1" tint="0.249977111117893"/>
      <name val="Arial"/>
      <family val="2"/>
    </font>
    <font>
      <sz val="8"/>
      <color rgb="FF00B050"/>
      <name val="Arial"/>
      <family val="2"/>
    </font>
    <font>
      <sz val="8"/>
      <color theme="6" tint="-0.499984740745262"/>
      <name val="Arial"/>
      <family val="2"/>
    </font>
    <font>
      <b/>
      <sz val="8"/>
      <color theme="0" tint="-0.499984740745262"/>
      <name val="Arial"/>
      <family val="2"/>
    </font>
    <font>
      <sz val="8"/>
      <color theme="0" tint="-0.499984740745262"/>
      <name val="Arial"/>
      <family val="2"/>
    </font>
    <font>
      <b/>
      <sz val="8"/>
      <color rgb="FF00B050"/>
      <name val="Arial"/>
      <family val="2"/>
    </font>
    <font>
      <sz val="8"/>
      <color rgb="FFFF0000"/>
      <name val="Arial"/>
      <family val="2"/>
    </font>
    <font>
      <b/>
      <sz val="16"/>
      <color indexed="39"/>
      <name val="Arial"/>
      <family val="2"/>
    </font>
    <font>
      <b/>
      <i/>
      <sz val="10"/>
      <name val="Arial"/>
      <family val="2"/>
    </font>
    <font>
      <sz val="8"/>
      <color theme="0"/>
      <name val="Arial"/>
      <family val="2"/>
    </font>
    <font>
      <b/>
      <sz val="8"/>
      <color theme="1" tint="0.499984740745262"/>
      <name val="Arial"/>
      <family val="2"/>
    </font>
    <font>
      <sz val="8"/>
      <color theme="1" tint="0.499984740745262"/>
      <name val="Arial"/>
      <family val="2"/>
    </font>
    <font>
      <b/>
      <i/>
      <sz val="8"/>
      <name val="Arial"/>
      <family val="2"/>
    </font>
    <font>
      <b/>
      <sz val="8"/>
      <color rgb="FF008643"/>
      <name val="Arial"/>
      <family val="2"/>
    </font>
    <font>
      <u/>
      <sz val="8"/>
      <name val="Arial"/>
      <family val="2"/>
    </font>
    <font>
      <sz val="11"/>
      <color theme="1"/>
      <name val="Calibri"/>
      <family val="2"/>
    </font>
    <font>
      <b/>
      <sz val="8"/>
      <color theme="0"/>
      <name val="Arial"/>
      <family val="2"/>
    </font>
    <font>
      <b/>
      <sz val="14"/>
      <name val="Arial"/>
      <family val="2"/>
    </font>
    <font>
      <b/>
      <sz val="8"/>
      <name val="Trebuchet MS"/>
      <family val="2"/>
    </font>
    <font>
      <i/>
      <sz val="9"/>
      <name val="Arial"/>
      <family val="2"/>
    </font>
    <font>
      <i/>
      <sz val="8"/>
      <name val="Arial"/>
      <family val="2"/>
    </font>
    <font>
      <b/>
      <sz val="11"/>
      <color rgb="FFC00000"/>
      <name val="Arial"/>
      <family val="2"/>
    </font>
    <font>
      <b/>
      <sz val="16"/>
      <color theme="1" tint="4.9989318521683403E-2"/>
      <name val="Arial"/>
      <family val="2"/>
    </font>
    <font>
      <b/>
      <u/>
      <sz val="11"/>
      <color indexed="39"/>
      <name val="Arial"/>
      <family val="2"/>
    </font>
    <font>
      <b/>
      <sz val="8"/>
      <color theme="1" tint="0.249977111117893"/>
      <name val="Arial"/>
      <family val="2"/>
    </font>
    <font>
      <sz val="10"/>
      <color theme="0"/>
      <name val="Arial"/>
      <family val="2"/>
    </font>
    <font>
      <b/>
      <sz val="8"/>
      <color theme="2"/>
      <name val="Arial"/>
      <family val="2"/>
    </font>
    <font>
      <sz val="10"/>
      <color theme="2"/>
      <name val="Arial"/>
      <family val="2"/>
    </font>
    <font>
      <sz val="8"/>
      <color rgb="FFFBFBFB"/>
      <name val="Arial"/>
      <family val="2"/>
    </font>
    <font>
      <sz val="10"/>
      <color theme="1" tint="0.249977111117893"/>
      <name val="Arial"/>
      <family val="2"/>
    </font>
    <font>
      <sz val="10"/>
      <color theme="1"/>
      <name val="Arial"/>
      <family val="2"/>
    </font>
    <font>
      <b/>
      <sz val="10"/>
      <color theme="1"/>
      <name val="Arial"/>
      <family val="2"/>
    </font>
    <font>
      <sz val="6"/>
      <name val="Arial"/>
      <family val="2"/>
    </font>
    <font>
      <b/>
      <sz val="9"/>
      <color theme="10"/>
      <name val="Arial"/>
      <family val="2"/>
    </font>
    <font>
      <b/>
      <sz val="24"/>
      <color rgb="FF00B050"/>
      <name val="Arial"/>
      <family val="2"/>
    </font>
  </fonts>
  <fills count="6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1"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99FFCC"/>
        <bgColor indexed="64"/>
      </patternFill>
    </fill>
    <fill>
      <patternFill patternType="solid">
        <fgColor rgb="FF66FF99"/>
        <bgColor indexed="64"/>
      </patternFill>
    </fill>
    <fill>
      <patternFill patternType="solid">
        <fgColor rgb="FFF6F5F0"/>
        <bgColor indexed="64"/>
      </patternFill>
    </fill>
    <fill>
      <patternFill patternType="solid">
        <fgColor rgb="FFFFFF0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DFB"/>
        <bgColor indexed="64"/>
      </patternFill>
    </fill>
    <fill>
      <patternFill patternType="solid">
        <fgColor rgb="FFDA8426"/>
        <bgColor indexed="64"/>
      </patternFill>
    </fill>
    <fill>
      <patternFill patternType="solid">
        <fgColor rgb="FFC8C300"/>
        <bgColor indexed="64"/>
      </patternFill>
    </fill>
    <fill>
      <patternFill patternType="solid">
        <fgColor rgb="FF62A73B"/>
        <bgColor indexed="64"/>
      </patternFill>
    </fill>
    <fill>
      <patternFill patternType="solid">
        <fgColor rgb="FFE090A9"/>
        <bgColor indexed="64"/>
      </patternFill>
    </fill>
    <fill>
      <patternFill patternType="solid">
        <fgColor rgb="FF8F77AD"/>
        <bgColor indexed="64"/>
      </patternFill>
    </fill>
    <fill>
      <patternFill patternType="solid">
        <fgColor rgb="FF009BD2"/>
        <bgColor indexed="64"/>
      </patternFill>
    </fill>
    <fill>
      <patternFill patternType="solid">
        <fgColor rgb="FF4D7FBB"/>
        <bgColor indexed="64"/>
      </patternFill>
    </fill>
    <fill>
      <patternFill patternType="solid">
        <fgColor rgb="FF214F87"/>
        <bgColor indexed="64"/>
      </patternFill>
    </fill>
    <fill>
      <patternFill patternType="solid">
        <fgColor rgb="FF3C8AA6"/>
        <bgColor indexed="64"/>
      </patternFill>
    </fill>
    <fill>
      <patternFill patternType="solid">
        <fgColor theme="1" tint="0.34998626667073579"/>
        <bgColor indexed="64"/>
      </patternFill>
    </fill>
    <fill>
      <patternFill patternType="solid">
        <fgColor theme="2"/>
        <bgColor indexed="64"/>
      </patternFill>
    </fill>
    <fill>
      <patternFill patternType="solid">
        <fgColor rgb="FF92D050"/>
        <bgColor indexed="64"/>
      </patternFill>
    </fill>
    <fill>
      <patternFill patternType="solid">
        <fgColor rgb="FFFF0000"/>
        <bgColor indexed="64"/>
      </patternFill>
    </fill>
    <fill>
      <patternFill patternType="solid">
        <fgColor theme="8" tint="0.79998168889431442"/>
        <bgColor indexed="64"/>
      </patternFill>
    </fill>
  </fills>
  <borders count="1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medium">
        <color indexed="39"/>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style="medium">
        <color indexed="64"/>
      </right>
      <top/>
      <bottom style="thin">
        <color indexed="64"/>
      </bottom>
      <diagonal/>
    </border>
    <border>
      <left style="thin">
        <color indexed="39"/>
      </left>
      <right/>
      <top style="thin">
        <color indexed="39"/>
      </top>
      <bottom/>
      <diagonal/>
    </border>
    <border>
      <left/>
      <right/>
      <top style="thin">
        <color indexed="39"/>
      </top>
      <bottom/>
      <diagonal/>
    </border>
    <border>
      <left/>
      <right style="thin">
        <color indexed="39"/>
      </right>
      <top style="thin">
        <color indexed="39"/>
      </top>
      <bottom/>
      <diagonal/>
    </border>
    <border>
      <left style="thin">
        <color indexed="39"/>
      </left>
      <right/>
      <top/>
      <bottom/>
      <diagonal/>
    </border>
    <border>
      <left/>
      <right style="thin">
        <color indexed="39"/>
      </right>
      <top/>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indexed="64"/>
      </left>
      <right style="thin">
        <color indexed="64"/>
      </right>
      <top/>
      <bottom/>
      <diagonal/>
    </border>
    <border>
      <left style="thin">
        <color indexed="64"/>
      </left>
      <right style="thin">
        <color auto="1"/>
      </right>
      <top/>
      <bottom style="thin">
        <color auto="1"/>
      </bottom>
      <diagonal/>
    </border>
    <border>
      <left style="thin">
        <color indexed="39"/>
      </left>
      <right/>
      <top/>
      <bottom style="thin">
        <color indexed="39"/>
      </bottom>
      <diagonal/>
    </border>
    <border>
      <left/>
      <right/>
      <top/>
      <bottom style="thin">
        <color indexed="39"/>
      </bottom>
      <diagonal/>
    </border>
    <border>
      <left/>
      <right style="thin">
        <color indexed="39"/>
      </right>
      <top/>
      <bottom style="thin">
        <color indexed="39"/>
      </bottom>
      <diagonal/>
    </border>
    <border>
      <left/>
      <right/>
      <top/>
      <bottom style="thin">
        <color indexed="64"/>
      </bottom>
      <diagonal/>
    </border>
    <border>
      <left/>
      <right style="thin">
        <color auto="1"/>
      </right>
      <top/>
      <bottom style="thin">
        <color auto="1"/>
      </bottom>
      <diagonal/>
    </border>
    <border>
      <left style="thin">
        <color indexed="39"/>
      </left>
      <right/>
      <top/>
      <bottom/>
      <diagonal/>
    </border>
    <border>
      <left style="thin">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39"/>
      </left>
      <right/>
      <top/>
      <bottom style="thin">
        <color indexed="39"/>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9" tint="-0.24994659260841701"/>
      </left>
      <right style="thin">
        <color indexed="64"/>
      </right>
      <top/>
      <bottom/>
      <diagonal/>
    </border>
    <border>
      <left/>
      <right style="thin">
        <color theme="9" tint="-0.24994659260841701"/>
      </right>
      <top/>
      <bottom/>
      <diagonal/>
    </border>
    <border>
      <left style="thin">
        <color indexed="39"/>
      </left>
      <right/>
      <top/>
      <bottom style="thin">
        <color indexed="39"/>
      </bottom>
      <diagonal/>
    </border>
    <border>
      <left/>
      <right/>
      <top/>
      <bottom style="thin">
        <color indexed="39"/>
      </bottom>
      <diagonal/>
    </border>
    <border>
      <left/>
      <right style="thin">
        <color theme="9" tint="-0.24994659260841701"/>
      </right>
      <top/>
      <bottom style="thin">
        <color indexed="39"/>
      </bottom>
      <diagonal/>
    </border>
    <border>
      <left style="thin">
        <color theme="9" tint="-0.24994659260841701"/>
      </left>
      <right/>
      <top style="thin">
        <color theme="9" tint="-0.24994659260841701"/>
      </top>
      <bottom/>
      <diagonal/>
    </border>
    <border>
      <left/>
      <right/>
      <top style="thin">
        <color theme="9" tint="-0.24994659260841701"/>
      </top>
      <bottom/>
      <diagonal/>
    </border>
    <border>
      <left/>
      <right style="thin">
        <color theme="9" tint="-0.24994659260841701"/>
      </right>
      <top style="thin">
        <color theme="9" tint="-0.24994659260841701"/>
      </top>
      <bottom/>
      <diagonal/>
    </border>
    <border>
      <left style="thin">
        <color theme="9" tint="-0.24994659260841701"/>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9" tint="-0.24994659260841701"/>
      </left>
      <right/>
      <top/>
      <bottom style="thin">
        <color theme="9" tint="-0.24994659260841701"/>
      </bottom>
      <diagonal/>
    </border>
    <border>
      <left/>
      <right/>
      <top/>
      <bottom style="thin">
        <color theme="9" tint="-0.24994659260841701"/>
      </bottom>
      <diagonal/>
    </border>
    <border>
      <left/>
      <right style="thin">
        <color theme="9" tint="-0.24994659260841701"/>
      </right>
      <top/>
      <bottom style="thin">
        <color theme="9" tint="-0.24994659260841701"/>
      </bottom>
      <diagonal/>
    </border>
    <border>
      <left/>
      <right style="thin">
        <color indexed="39"/>
      </right>
      <top/>
      <bottom style="thin">
        <color indexed="39"/>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style="thin">
        <color rgb="FFC00000"/>
      </top>
      <bottom style="thin">
        <color rgb="FFC00000"/>
      </bottom>
      <diagonal/>
    </border>
    <border>
      <left/>
      <right/>
      <top/>
      <bottom style="thin">
        <color rgb="FFC85100"/>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theme="9" tint="-0.24994659260841701"/>
      </left>
      <right/>
      <top/>
      <bottom style="thin">
        <color rgb="FFC85100"/>
      </bottom>
      <diagonal/>
    </border>
    <border>
      <left style="thin">
        <color indexed="39"/>
      </left>
      <right style="thin">
        <color auto="1"/>
      </right>
      <top/>
      <bottom/>
      <diagonal/>
    </border>
    <border>
      <left style="medium">
        <color indexed="64"/>
      </left>
      <right style="thin">
        <color theme="1"/>
      </right>
      <top style="thin">
        <color theme="1"/>
      </top>
      <bottom style="thin">
        <color indexed="64"/>
      </bottom>
      <diagonal/>
    </border>
    <border>
      <left style="medium">
        <color indexed="64"/>
      </left>
      <right style="thin">
        <color theme="1"/>
      </right>
      <top style="thin">
        <color indexed="64"/>
      </top>
      <bottom style="thin">
        <color indexed="64"/>
      </bottom>
      <diagonal/>
    </border>
    <border>
      <left style="medium">
        <color theme="1" tint="0.24994659260841701"/>
      </left>
      <right style="medium">
        <color indexed="64"/>
      </right>
      <top style="thin">
        <color indexed="64"/>
      </top>
      <bottom style="thin">
        <color indexed="64"/>
      </bottom>
      <diagonal/>
    </border>
    <border>
      <left style="medium">
        <color theme="1" tint="0.24994659260841701"/>
      </left>
      <right style="medium">
        <color theme="1" tint="0.24994659260841701"/>
      </right>
      <top style="thin">
        <color indexed="64"/>
      </top>
      <bottom style="thin">
        <color indexed="64"/>
      </bottom>
      <diagonal/>
    </border>
    <border>
      <left style="medium">
        <color theme="1" tint="0.24994659260841701"/>
      </left>
      <right style="medium">
        <color theme="1" tint="0.24994659260841701"/>
      </right>
      <top style="thin">
        <color indexed="64"/>
      </top>
      <bottom style="thin">
        <color theme="0" tint="-0.24994659260841701"/>
      </bottom>
      <diagonal/>
    </border>
    <border>
      <left style="medium">
        <color theme="1" tint="0.24994659260841701"/>
      </left>
      <right style="medium">
        <color indexed="64"/>
      </right>
      <top style="thin">
        <color indexed="64"/>
      </top>
      <bottom style="thin">
        <color theme="0" tint="-0.24994659260841701"/>
      </bottom>
      <diagonal/>
    </border>
    <border>
      <left style="medium">
        <color theme="1" tint="0.24994659260841701"/>
      </left>
      <right style="medium">
        <color theme="1" tint="0.24994659260841701"/>
      </right>
      <top style="thin">
        <color theme="0" tint="-0.24994659260841701"/>
      </top>
      <bottom style="thin">
        <color theme="0" tint="-0.24994659260841701"/>
      </bottom>
      <diagonal/>
    </border>
    <border>
      <left style="medium">
        <color theme="1" tint="0.24994659260841701"/>
      </left>
      <right style="medium">
        <color indexed="64"/>
      </right>
      <top style="thin">
        <color theme="0" tint="-0.24994659260841701"/>
      </top>
      <bottom style="thin">
        <color theme="0" tint="-0.24994659260841701"/>
      </bottom>
      <diagonal/>
    </border>
    <border>
      <left style="medium">
        <color theme="1" tint="0.24994659260841701"/>
      </left>
      <right style="medium">
        <color theme="1" tint="0.24994659260841701"/>
      </right>
      <top style="thin">
        <color theme="0" tint="-0.24994659260841701"/>
      </top>
      <bottom style="thin">
        <color indexed="64"/>
      </bottom>
      <diagonal/>
    </border>
    <border>
      <left style="medium">
        <color theme="1" tint="0.24994659260841701"/>
      </left>
      <right style="medium">
        <color indexed="64"/>
      </right>
      <top style="thin">
        <color theme="0" tint="-0.24994659260841701"/>
      </top>
      <bottom style="thin">
        <color indexed="64"/>
      </bottom>
      <diagonal/>
    </border>
    <border>
      <left style="medium">
        <color theme="1" tint="0.24994659260841701"/>
      </left>
      <right/>
      <top style="thin">
        <color theme="0" tint="-0.24994659260841701"/>
      </top>
      <bottom style="thin">
        <color theme="0" tint="-0.24994659260841701"/>
      </bottom>
      <diagonal/>
    </border>
    <border>
      <left/>
      <right style="medium">
        <color theme="1" tint="0.24994659260841701"/>
      </right>
      <top style="thin">
        <color theme="0" tint="-0.24994659260841701"/>
      </top>
      <bottom style="thin">
        <color theme="0" tint="-0.24994659260841701"/>
      </bottom>
      <diagonal/>
    </border>
    <border>
      <left style="medium">
        <color theme="1" tint="0.24994659260841701"/>
      </left>
      <right/>
      <top style="thin">
        <color theme="0" tint="-0.24994659260841701"/>
      </top>
      <bottom style="thin">
        <color indexed="64"/>
      </bottom>
      <diagonal/>
    </border>
    <border>
      <left/>
      <right style="medium">
        <color theme="1" tint="0.24994659260841701"/>
      </right>
      <top style="thin">
        <color theme="0" tint="-0.24994659260841701"/>
      </top>
      <bottom style="thin">
        <color indexed="64"/>
      </bottom>
      <diagonal/>
    </border>
    <border>
      <left style="thin">
        <color indexed="64"/>
      </left>
      <right style="thick">
        <color indexed="64"/>
      </right>
      <top style="thin">
        <color indexed="64"/>
      </top>
      <bottom style="thin">
        <color indexed="64"/>
      </bottom>
      <diagonal/>
    </border>
    <border>
      <left/>
      <right/>
      <top style="thin">
        <color indexed="64"/>
      </top>
      <bottom style="thin">
        <color indexed="39"/>
      </bottom>
      <diagonal/>
    </border>
  </borders>
  <cellStyleXfs count="56">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48" fillId="0" borderId="0" applyNumberFormat="0" applyFill="0" applyBorder="0" applyAlignment="0" applyProtection="0">
      <alignment vertical="top"/>
      <protection locked="0"/>
    </xf>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5" fillId="0" borderId="0"/>
    <xf numFmtId="0" fontId="3" fillId="23" borderId="7" applyNumberFormat="0" applyFont="0" applyAlignment="0" applyProtection="0"/>
    <xf numFmtId="0" fontId="24" fillId="20"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9" fillId="0" borderId="0" applyFont="0"/>
    <xf numFmtId="166" fontId="28" fillId="0" borderId="0"/>
    <xf numFmtId="0" fontId="27" fillId="0" borderId="0" applyNumberFormat="0" applyFill="0" applyBorder="0" applyAlignment="0" applyProtection="0"/>
    <xf numFmtId="0" fontId="3" fillId="0" borderId="0"/>
    <xf numFmtId="0" fontId="3" fillId="0" borderId="0"/>
    <xf numFmtId="0" fontId="2" fillId="0" borderId="0"/>
    <xf numFmtId="0" fontId="3" fillId="0" borderId="0"/>
    <xf numFmtId="0" fontId="1" fillId="0" borderId="0"/>
    <xf numFmtId="0" fontId="1" fillId="0" borderId="0"/>
    <xf numFmtId="0" fontId="65" fillId="0" borderId="0"/>
    <xf numFmtId="0" fontId="6" fillId="0" borderId="0" applyFont="0"/>
    <xf numFmtId="0" fontId="83" fillId="0" borderId="0" applyNumberFormat="0" applyFill="0" applyBorder="0" applyAlignment="0" applyProtection="0"/>
    <xf numFmtId="0" fontId="48" fillId="0" borderId="0" applyNumberFormat="0" applyFill="0" applyBorder="0" applyAlignment="0" applyProtection="0">
      <alignment vertical="top"/>
      <protection locked="0"/>
    </xf>
  </cellStyleXfs>
  <cellXfs count="1637">
    <xf numFmtId="0" fontId="0" fillId="0" borderId="0" xfId="0"/>
    <xf numFmtId="0" fontId="0" fillId="24" borderId="0" xfId="0" applyFill="1" applyBorder="1"/>
    <xf numFmtId="0" fontId="7" fillId="24" borderId="0" xfId="0" applyFont="1" applyFill="1" applyBorder="1"/>
    <xf numFmtId="0" fontId="34" fillId="24" borderId="0" xfId="0" applyFont="1" applyFill="1" applyBorder="1"/>
    <xf numFmtId="0" fontId="3" fillId="24" borderId="0" xfId="0" applyFont="1" applyFill="1" applyBorder="1" applyAlignment="1">
      <alignment wrapText="1"/>
    </xf>
    <xf numFmtId="0" fontId="29" fillId="24" borderId="0" xfId="0" applyFont="1" applyFill="1" applyBorder="1"/>
    <xf numFmtId="0" fontId="4" fillId="24" borderId="0" xfId="0" applyFont="1" applyFill="1" applyBorder="1"/>
    <xf numFmtId="0" fontId="7" fillId="24" borderId="11" xfId="0" applyFont="1" applyFill="1" applyBorder="1"/>
    <xf numFmtId="49" fontId="39" fillId="24" borderId="0" xfId="0" applyNumberFormat="1" applyFont="1" applyFill="1" applyBorder="1" applyAlignment="1">
      <alignment horizontal="right" wrapText="1"/>
    </xf>
    <xf numFmtId="0" fontId="4" fillId="24" borderId="0" xfId="0" applyFont="1" applyFill="1" applyBorder="1" applyProtection="1"/>
    <xf numFmtId="0" fontId="4" fillId="24" borderId="0" xfId="0" applyFont="1" applyFill="1" applyProtection="1"/>
    <xf numFmtId="0" fontId="35" fillId="24" borderId="0" xfId="0" applyFont="1" applyFill="1" applyBorder="1" applyProtection="1"/>
    <xf numFmtId="0" fontId="37" fillId="24" borderId="0" xfId="0" applyFont="1" applyFill="1" applyBorder="1" applyAlignment="1" applyProtection="1">
      <alignment horizontal="right"/>
    </xf>
    <xf numFmtId="0" fontId="0" fillId="24" borderId="0" xfId="0" applyFill="1" applyBorder="1" applyProtection="1"/>
    <xf numFmtId="0" fontId="30" fillId="24" borderId="0" xfId="0" applyFont="1" applyFill="1" applyBorder="1" applyAlignment="1" applyProtection="1"/>
    <xf numFmtId="0" fontId="4" fillId="24" borderId="0" xfId="0" applyFont="1" applyFill="1" applyBorder="1" applyAlignment="1" applyProtection="1"/>
    <xf numFmtId="0" fontId="0" fillId="24" borderId="0" xfId="0" applyFill="1" applyBorder="1" applyAlignment="1" applyProtection="1"/>
    <xf numFmtId="3" fontId="4" fillId="24" borderId="0" xfId="0" applyNumberFormat="1" applyFont="1" applyFill="1" applyBorder="1" applyAlignment="1" applyProtection="1">
      <alignment horizontal="center"/>
    </xf>
    <xf numFmtId="0" fontId="10" fillId="24" borderId="0" xfId="0" applyFont="1" applyFill="1" applyBorder="1" applyAlignment="1" applyProtection="1">
      <alignment wrapText="1"/>
    </xf>
    <xf numFmtId="0" fontId="34" fillId="24" borderId="0" xfId="0" applyFont="1" applyFill="1" applyBorder="1" applyAlignment="1" applyProtection="1">
      <alignment horizontal="center" wrapText="1"/>
    </xf>
    <xf numFmtId="0" fontId="0" fillId="24" borderId="0" xfId="0" applyFill="1" applyBorder="1" applyAlignment="1" applyProtection="1">
      <alignment horizontal="center" wrapText="1"/>
    </xf>
    <xf numFmtId="0" fontId="0" fillId="24" borderId="0" xfId="0" applyFill="1" applyBorder="1" applyAlignment="1" applyProtection="1">
      <alignment wrapText="1"/>
    </xf>
    <xf numFmtId="0" fontId="7" fillId="24" borderId="0" xfId="0" applyFont="1" applyFill="1" applyBorder="1" applyProtection="1"/>
    <xf numFmtId="0" fontId="7" fillId="24" borderId="0" xfId="0" applyFont="1" applyFill="1" applyBorder="1" applyAlignment="1" applyProtection="1"/>
    <xf numFmtId="0" fontId="40" fillId="24" borderId="0" xfId="0" applyFont="1" applyFill="1" applyBorder="1" applyAlignment="1" applyProtection="1">
      <alignment horizontal="center"/>
    </xf>
    <xf numFmtId="0" fontId="40" fillId="24" borderId="0" xfId="0" applyFont="1" applyFill="1" applyBorder="1" applyAlignment="1" applyProtection="1">
      <alignment horizontal="right"/>
    </xf>
    <xf numFmtId="0" fontId="44" fillId="0" borderId="15" xfId="0" applyFont="1" applyBorder="1" applyAlignment="1" applyProtection="1">
      <alignment vertical="top" wrapText="1"/>
    </xf>
    <xf numFmtId="0" fontId="42" fillId="25" borderId="15" xfId="0" applyFont="1" applyFill="1" applyBorder="1" applyAlignment="1" applyProtection="1">
      <alignment horizontal="center" vertical="center"/>
    </xf>
    <xf numFmtId="0" fontId="0" fillId="0" borderId="15" xfId="0" applyBorder="1" applyAlignment="1" applyProtection="1">
      <alignment vertical="top" wrapText="1"/>
    </xf>
    <xf numFmtId="0" fontId="5" fillId="24" borderId="21" xfId="0" applyFont="1" applyFill="1" applyBorder="1" applyAlignment="1" applyProtection="1">
      <alignment vertical="top" wrapText="1"/>
    </xf>
    <xf numFmtId="0" fontId="7" fillId="24" borderId="15" xfId="0" applyFont="1" applyFill="1" applyBorder="1" applyAlignment="1" applyProtection="1"/>
    <xf numFmtId="0" fontId="7" fillId="24" borderId="21" xfId="0" applyFont="1" applyFill="1" applyBorder="1" applyAlignment="1" applyProtection="1"/>
    <xf numFmtId="0" fontId="42" fillId="25" borderId="21" xfId="0" applyFont="1" applyFill="1" applyBorder="1" applyAlignment="1" applyProtection="1">
      <alignment horizontal="center" vertical="center"/>
    </xf>
    <xf numFmtId="0" fontId="7" fillId="24" borderId="21" xfId="0" applyFont="1" applyFill="1" applyBorder="1" applyProtection="1"/>
    <xf numFmtId="0" fontId="44" fillId="0" borderId="18" xfId="0" applyFont="1" applyBorder="1" applyAlignment="1" applyProtection="1">
      <alignment vertical="top" wrapText="1"/>
    </xf>
    <xf numFmtId="0" fontId="7" fillId="24" borderId="15" xfId="0" applyFont="1" applyFill="1" applyBorder="1" applyProtection="1"/>
    <xf numFmtId="0" fontId="0" fillId="0" borderId="18" xfId="0" applyBorder="1" applyAlignment="1" applyProtection="1">
      <alignment vertical="top" wrapText="1"/>
    </xf>
    <xf numFmtId="3" fontId="4" fillId="24" borderId="0" xfId="0" applyNumberFormat="1" applyFont="1" applyFill="1" applyBorder="1" applyProtection="1"/>
    <xf numFmtId="3" fontId="8" fillId="24" borderId="0" xfId="0" applyNumberFormat="1" applyFont="1" applyFill="1" applyBorder="1" applyProtection="1"/>
    <xf numFmtId="0" fontId="8" fillId="24" borderId="0" xfId="0" applyFont="1" applyFill="1" applyBorder="1" applyAlignment="1" applyProtection="1">
      <alignment horizontal="center" vertical="top" wrapText="1"/>
    </xf>
    <xf numFmtId="0" fontId="45" fillId="24" borderId="0" xfId="0" applyFont="1" applyFill="1" applyBorder="1" applyAlignment="1" applyProtection="1">
      <alignment horizontal="center" vertical="center"/>
    </xf>
    <xf numFmtId="0" fontId="42" fillId="24" borderId="0" xfId="0" applyFont="1" applyFill="1" applyBorder="1" applyAlignment="1" applyProtection="1">
      <alignment horizontal="center" vertical="center"/>
    </xf>
    <xf numFmtId="1" fontId="51" fillId="0" borderId="15" xfId="0" applyNumberFormat="1" applyFont="1" applyFill="1" applyBorder="1" applyAlignment="1" applyProtection="1">
      <alignment horizontal="center" vertical="top"/>
    </xf>
    <xf numFmtId="0" fontId="53" fillId="0" borderId="15" xfId="0" applyFont="1" applyFill="1" applyBorder="1" applyAlignment="1" applyProtection="1">
      <alignment horizontal="center"/>
    </xf>
    <xf numFmtId="0" fontId="53" fillId="0" borderId="15" xfId="0" applyFont="1" applyFill="1" applyBorder="1" applyAlignment="1" applyProtection="1">
      <alignment horizontal="center" vertical="center"/>
    </xf>
    <xf numFmtId="1" fontId="54" fillId="0" borderId="15" xfId="0" applyNumberFormat="1" applyFont="1" applyFill="1" applyBorder="1" applyAlignment="1" applyProtection="1">
      <alignment horizontal="center"/>
    </xf>
    <xf numFmtId="0" fontId="54" fillId="0" borderId="15" xfId="0" applyFont="1" applyFill="1" applyBorder="1" applyAlignment="1" applyProtection="1">
      <alignment horizontal="left" vertical="top" wrapText="1"/>
    </xf>
    <xf numFmtId="1" fontId="54" fillId="0" borderId="15" xfId="0" applyNumberFormat="1" applyFont="1" applyFill="1" applyBorder="1" applyProtection="1"/>
    <xf numFmtId="0" fontId="54" fillId="0" borderId="15" xfId="0" applyFont="1" applyFill="1" applyBorder="1" applyAlignment="1" applyProtection="1">
      <alignment horizontal="right" vertical="center"/>
    </xf>
    <xf numFmtId="0" fontId="54" fillId="0" borderId="18" xfId="0" applyFont="1" applyFill="1" applyBorder="1" applyProtection="1"/>
    <xf numFmtId="0" fontId="53" fillId="0" borderId="24" xfId="0" applyFont="1" applyFill="1" applyBorder="1" applyAlignment="1" applyProtection="1">
      <alignment horizontal="center" vertical="center" wrapText="1"/>
    </xf>
    <xf numFmtId="0" fontId="53" fillId="0" borderId="23" xfId="0" applyFont="1" applyFill="1" applyBorder="1" applyAlignment="1" applyProtection="1">
      <alignment horizontal="center" vertical="center" wrapText="1"/>
    </xf>
    <xf numFmtId="1" fontId="51" fillId="0" borderId="22" xfId="0" applyNumberFormat="1" applyFont="1" applyFill="1" applyBorder="1" applyAlignment="1" applyProtection="1">
      <alignment horizontal="center"/>
    </xf>
    <xf numFmtId="1" fontId="51" fillId="0" borderId="15" xfId="0" applyNumberFormat="1" applyFont="1" applyFill="1" applyBorder="1" applyAlignment="1" applyProtection="1">
      <alignment horizontal="center"/>
    </xf>
    <xf numFmtId="1" fontId="51" fillId="0" borderId="21" xfId="0" applyNumberFormat="1" applyFont="1" applyFill="1" applyBorder="1" applyAlignment="1" applyProtection="1">
      <alignment horizontal="center"/>
    </xf>
    <xf numFmtId="1" fontId="54" fillId="0" borderId="15" xfId="0" applyNumberFormat="1" applyFont="1" applyFill="1" applyBorder="1" applyAlignment="1" applyProtection="1">
      <alignment horizontal="center" vertical="top"/>
    </xf>
    <xf numFmtId="0" fontId="55" fillId="24" borderId="0" xfId="0" applyFont="1" applyFill="1" applyBorder="1" applyAlignment="1" applyProtection="1">
      <alignment horizontal="left"/>
    </xf>
    <xf numFmtId="1" fontId="54" fillId="0" borderId="19" xfId="0" applyNumberFormat="1" applyFont="1" applyFill="1" applyBorder="1" applyProtection="1"/>
    <xf numFmtId="0" fontId="4" fillId="26" borderId="0" xfId="0" applyFont="1" applyFill="1" applyBorder="1" applyProtection="1"/>
    <xf numFmtId="0" fontId="31" fillId="26" borderId="0" xfId="0" applyFont="1" applyFill="1" applyBorder="1" applyAlignment="1" applyProtection="1">
      <alignment vertical="top"/>
    </xf>
    <xf numFmtId="0" fontId="0" fillId="26" borderId="0" xfId="0" applyFill="1" applyBorder="1" applyAlignment="1" applyProtection="1">
      <alignment vertical="top"/>
    </xf>
    <xf numFmtId="0" fontId="8" fillId="26" borderId="0" xfId="0" applyFont="1" applyFill="1" applyBorder="1" applyAlignment="1" applyProtection="1">
      <alignment horizontal="center" vertical="center"/>
    </xf>
    <xf numFmtId="0" fontId="4" fillId="26" borderId="0" xfId="0" applyFont="1" applyFill="1" applyBorder="1" applyAlignment="1" applyProtection="1"/>
    <xf numFmtId="0" fontId="0" fillId="26" borderId="0" xfId="0" applyFill="1" applyBorder="1" applyAlignment="1">
      <alignment horizontal="left" vertical="top" wrapText="1"/>
    </xf>
    <xf numFmtId="0" fontId="35" fillId="26" borderId="0" xfId="0" applyFont="1" applyFill="1" applyBorder="1" applyProtection="1"/>
    <xf numFmtId="0" fontId="37" fillId="26" borderId="0" xfId="0" applyFont="1" applyFill="1" applyBorder="1" applyAlignment="1" applyProtection="1">
      <alignment horizontal="right"/>
    </xf>
    <xf numFmtId="0" fontId="0" fillId="26" borderId="0" xfId="0" applyFill="1" applyBorder="1" applyProtection="1"/>
    <xf numFmtId="0" fontId="4" fillId="26" borderId="0" xfId="0" applyFont="1" applyFill="1" applyBorder="1" applyAlignment="1" applyProtection="1">
      <alignment horizontal="left" vertical="top" wrapText="1"/>
    </xf>
    <xf numFmtId="0" fontId="8" fillId="26" borderId="0" xfId="0" applyFont="1" applyFill="1" applyBorder="1" applyAlignment="1" applyProtection="1">
      <alignment vertical="center" wrapText="1"/>
    </xf>
    <xf numFmtId="0" fontId="0" fillId="26" borderId="0" xfId="0" applyFill="1" applyBorder="1" applyAlignment="1">
      <alignment wrapText="1"/>
    </xf>
    <xf numFmtId="0" fontId="0" fillId="26" borderId="0" xfId="0" applyFill="1" applyBorder="1" applyAlignment="1" applyProtection="1">
      <alignment wrapText="1"/>
    </xf>
    <xf numFmtId="0" fontId="54" fillId="0" borderId="15" xfId="0" applyFont="1" applyFill="1" applyBorder="1" applyAlignment="1" applyProtection="1">
      <alignment horizontal="left" vertical="center"/>
    </xf>
    <xf numFmtId="0" fontId="6" fillId="24" borderId="0" xfId="0" applyFont="1" applyFill="1" applyBorder="1" applyAlignment="1" applyProtection="1">
      <alignment horizontal="center" vertical="center"/>
    </xf>
    <xf numFmtId="165" fontId="4" fillId="24" borderId="22" xfId="46" applyNumberFormat="1" applyFont="1" applyFill="1" applyBorder="1" applyAlignment="1" applyProtection="1">
      <alignment horizontal="center" vertical="top" wrapText="1"/>
    </xf>
    <xf numFmtId="3" fontId="4" fillId="24" borderId="15" xfId="46" applyNumberFormat="1" applyFont="1" applyFill="1" applyBorder="1" applyAlignment="1" applyProtection="1">
      <alignment horizontal="center" vertical="center"/>
    </xf>
    <xf numFmtId="3" fontId="4" fillId="24" borderId="21" xfId="46" applyNumberFormat="1" applyFont="1" applyFill="1" applyBorder="1" applyAlignment="1" applyProtection="1">
      <alignment horizontal="center" vertical="center"/>
    </xf>
    <xf numFmtId="0" fontId="4" fillId="0" borderId="0" xfId="0" applyFont="1" applyFill="1" applyProtection="1"/>
    <xf numFmtId="0" fontId="7" fillId="0" borderId="0" xfId="0" applyFont="1" applyFill="1" applyProtection="1"/>
    <xf numFmtId="0" fontId="4" fillId="0" borderId="0" xfId="0" applyFont="1" applyFill="1" applyAlignment="1" applyProtection="1"/>
    <xf numFmtId="0" fontId="41" fillId="0" borderId="18" xfId="0" applyFont="1" applyFill="1" applyBorder="1" applyAlignment="1" applyProtection="1">
      <alignment horizontal="right"/>
    </xf>
    <xf numFmtId="0" fontId="7" fillId="0" borderId="0" xfId="0" applyFont="1" applyFill="1" applyAlignment="1" applyProtection="1"/>
    <xf numFmtId="0" fontId="50" fillId="0" borderId="15" xfId="0" applyFont="1" applyFill="1" applyBorder="1" applyProtection="1"/>
    <xf numFmtId="0" fontId="35" fillId="0" borderId="0" xfId="0" applyFont="1" applyFill="1" applyBorder="1" applyProtection="1"/>
    <xf numFmtId="0" fontId="37" fillId="0" borderId="0" xfId="0" applyFont="1" applyFill="1" applyBorder="1" applyAlignment="1" applyProtection="1">
      <alignment horizontal="right"/>
    </xf>
    <xf numFmtId="0" fontId="35" fillId="0" borderId="0" xfId="0" applyFont="1" applyFill="1" applyBorder="1" applyAlignment="1" applyProtection="1">
      <alignment horizontal="right"/>
    </xf>
    <xf numFmtId="0" fontId="41" fillId="0" borderId="14" xfId="0" applyFont="1" applyFill="1" applyBorder="1" applyAlignment="1" applyProtection="1">
      <alignment horizontal="right"/>
      <protection locked="0"/>
    </xf>
    <xf numFmtId="0" fontId="50" fillId="0" borderId="14" xfId="0" applyFont="1" applyFill="1" applyBorder="1" applyProtection="1"/>
    <xf numFmtId="0" fontId="4" fillId="24" borderId="0" xfId="0" applyFont="1" applyFill="1" applyBorder="1" applyAlignment="1" applyProtection="1">
      <alignment vertical="center"/>
    </xf>
    <xf numFmtId="0" fontId="7" fillId="0" borderId="0" xfId="0" applyFont="1" applyFill="1" applyAlignment="1" applyProtection="1">
      <alignment vertical="center"/>
    </xf>
    <xf numFmtId="0" fontId="4" fillId="0" borderId="0" xfId="0" applyFont="1" applyFill="1" applyAlignment="1" applyProtection="1">
      <alignment vertical="center"/>
    </xf>
    <xf numFmtId="0" fontId="0" fillId="0" borderId="0" xfId="0" applyFill="1" applyProtection="1"/>
    <xf numFmtId="0" fontId="7" fillId="26" borderId="33" xfId="0" applyFont="1" applyFill="1" applyBorder="1" applyProtection="1"/>
    <xf numFmtId="0" fontId="7" fillId="26" borderId="33" xfId="0" applyFont="1" applyFill="1" applyBorder="1" applyAlignment="1" applyProtection="1"/>
    <xf numFmtId="0" fontId="7" fillId="26" borderId="33" xfId="0" applyFont="1" applyFill="1" applyBorder="1" applyAlignment="1" applyProtection="1">
      <alignment vertical="center"/>
    </xf>
    <xf numFmtId="0" fontId="34" fillId="26" borderId="0" xfId="0" applyFont="1" applyFill="1" applyBorder="1" applyAlignment="1" applyProtection="1">
      <alignment wrapText="1"/>
    </xf>
    <xf numFmtId="0" fontId="4" fillId="0" borderId="21" xfId="0" applyFont="1" applyFill="1" applyBorder="1" applyAlignment="1" applyProtection="1">
      <alignment horizontal="left" vertical="center" wrapText="1"/>
    </xf>
    <xf numFmtId="3" fontId="4" fillId="0" borderId="15" xfId="0" applyNumberFormat="1" applyFont="1" applyBorder="1" applyAlignment="1" applyProtection="1">
      <alignment horizontal="center" vertical="center"/>
    </xf>
    <xf numFmtId="3" fontId="4" fillId="0" borderId="21" xfId="0" applyNumberFormat="1" applyFont="1" applyBorder="1" applyAlignment="1" applyProtection="1">
      <alignment horizontal="center" vertical="center"/>
    </xf>
    <xf numFmtId="0" fontId="0" fillId="24" borderId="0" xfId="0" applyFill="1" applyBorder="1" applyAlignment="1" applyProtection="1">
      <alignment vertical="center"/>
    </xf>
    <xf numFmtId="164" fontId="4" fillId="0" borderId="15" xfId="0" applyNumberFormat="1" applyFont="1" applyBorder="1" applyAlignment="1" applyProtection="1">
      <alignment horizontal="center" vertical="center"/>
    </xf>
    <xf numFmtId="164" fontId="4" fillId="0" borderId="18" xfId="0" applyNumberFormat="1" applyFont="1" applyBorder="1" applyAlignment="1" applyProtection="1">
      <alignment horizontal="center" vertical="center"/>
    </xf>
    <xf numFmtId="164" fontId="4" fillId="0" borderId="21" xfId="0" applyNumberFormat="1" applyFont="1" applyBorder="1" applyAlignment="1" applyProtection="1">
      <alignment horizontal="center" vertical="center"/>
    </xf>
    <xf numFmtId="3" fontId="4" fillId="0" borderId="15" xfId="0" applyNumberFormat="1" applyFont="1" applyFill="1" applyBorder="1" applyAlignment="1" applyProtection="1">
      <alignment horizontal="center" vertical="center"/>
    </xf>
    <xf numFmtId="1" fontId="4" fillId="0" borderId="15" xfId="0" applyNumberFormat="1" applyFont="1" applyBorder="1" applyAlignment="1" applyProtection="1">
      <alignment horizontal="center" vertical="center"/>
    </xf>
    <xf numFmtId="0" fontId="53" fillId="0" borderId="23" xfId="0" applyFont="1" applyFill="1" applyBorder="1" applyAlignment="1" applyProtection="1">
      <alignment horizontal="center" vertical="center" textRotation="90" wrapText="1"/>
    </xf>
    <xf numFmtId="0" fontId="53" fillId="0" borderId="16" xfId="0" applyFont="1" applyFill="1" applyBorder="1" applyAlignment="1" applyProtection="1">
      <alignment horizontal="center" vertical="center" textRotation="90" wrapText="1"/>
    </xf>
    <xf numFmtId="0" fontId="8" fillId="25" borderId="23" xfId="0" applyFont="1" applyFill="1" applyBorder="1" applyAlignment="1" applyProtection="1">
      <alignment horizontal="center" vertical="center" textRotation="90" wrapText="1"/>
    </xf>
    <xf numFmtId="0" fontId="53" fillId="0" borderId="24" xfId="0" applyFont="1" applyFill="1" applyBorder="1" applyAlignment="1" applyProtection="1">
      <alignment horizontal="center" vertical="center" textRotation="90" wrapText="1"/>
    </xf>
    <xf numFmtId="0" fontId="8" fillId="25" borderId="16" xfId="0" applyFont="1" applyFill="1" applyBorder="1" applyAlignment="1" applyProtection="1">
      <alignment horizontal="center" vertical="center" textRotation="90" wrapText="1"/>
    </xf>
    <xf numFmtId="0" fontId="31"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47" fillId="26" borderId="0" xfId="0" applyFont="1" applyFill="1" applyBorder="1" applyAlignment="1" applyProtection="1">
      <alignment vertical="center" wrapText="1"/>
    </xf>
    <xf numFmtId="0" fontId="4" fillId="24" borderId="15" xfId="0" applyFont="1" applyFill="1" applyBorder="1" applyAlignment="1" applyProtection="1">
      <alignment vertical="center"/>
    </xf>
    <xf numFmtId="0" fontId="0" fillId="0" borderId="15" xfId="0" applyBorder="1" applyAlignment="1" applyProtection="1">
      <alignment vertical="center" wrapText="1"/>
    </xf>
    <xf numFmtId="0" fontId="4" fillId="24" borderId="35" xfId="0" applyFont="1" applyFill="1" applyBorder="1" applyProtection="1"/>
    <xf numFmtId="0" fontId="4" fillId="24" borderId="36" xfId="0" applyFont="1" applyFill="1" applyBorder="1" applyProtection="1"/>
    <xf numFmtId="0" fontId="0" fillId="24" borderId="36" xfId="0" applyFill="1" applyBorder="1" applyProtection="1"/>
    <xf numFmtId="0" fontId="4" fillId="24" borderId="37" xfId="0" applyFont="1" applyFill="1" applyBorder="1" applyProtection="1"/>
    <xf numFmtId="0" fontId="38" fillId="24" borderId="38" xfId="0" applyFont="1" applyFill="1" applyBorder="1" applyProtection="1"/>
    <xf numFmtId="0" fontId="4" fillId="24" borderId="39" xfId="0" applyFont="1" applyFill="1" applyBorder="1" applyProtection="1"/>
    <xf numFmtId="0" fontId="4" fillId="24" borderId="38" xfId="0" applyFont="1" applyFill="1" applyBorder="1" applyProtection="1"/>
    <xf numFmtId="0" fontId="4" fillId="24" borderId="38" xfId="0" applyFont="1" applyFill="1" applyBorder="1" applyAlignment="1" applyProtection="1"/>
    <xf numFmtId="0" fontId="4" fillId="24" borderId="39" xfId="0" applyFont="1" applyFill="1" applyBorder="1" applyAlignment="1" applyProtection="1"/>
    <xf numFmtId="0" fontId="4" fillId="24" borderId="38" xfId="0" applyFont="1" applyFill="1" applyBorder="1" applyAlignment="1" applyProtection="1">
      <alignment vertical="center"/>
    </xf>
    <xf numFmtId="0" fontId="4" fillId="24" borderId="39" xfId="0" applyFont="1" applyFill="1" applyBorder="1" applyAlignment="1" applyProtection="1">
      <alignment vertical="center"/>
    </xf>
    <xf numFmtId="0" fontId="8" fillId="26" borderId="0" xfId="0" applyFont="1" applyFill="1" applyBorder="1" applyProtection="1"/>
    <xf numFmtId="0" fontId="4" fillId="24" borderId="40" xfId="0" applyFont="1" applyFill="1" applyBorder="1" applyProtection="1"/>
    <xf numFmtId="0" fontId="4" fillId="24" borderId="41" xfId="0" applyFont="1" applyFill="1" applyBorder="1" applyProtection="1"/>
    <xf numFmtId="0" fontId="0" fillId="24" borderId="41" xfId="0" applyFill="1" applyBorder="1" applyProtection="1"/>
    <xf numFmtId="0" fontId="4" fillId="24" borderId="42" xfId="0" applyFont="1" applyFill="1" applyBorder="1" applyProtection="1"/>
    <xf numFmtId="0" fontId="57" fillId="24" borderId="0" xfId="0" applyFont="1" applyFill="1" applyBorder="1" applyAlignment="1" applyProtection="1">
      <alignment horizontal="left" vertical="center"/>
    </xf>
    <xf numFmtId="0" fontId="4" fillId="29" borderId="21" xfId="0" applyFont="1" applyFill="1" applyBorder="1" applyAlignment="1" applyProtection="1">
      <alignment horizontal="left" vertical="center" wrapText="1"/>
    </xf>
    <xf numFmtId="3" fontId="4" fillId="29" borderId="15" xfId="0" applyNumberFormat="1" applyFont="1" applyFill="1" applyBorder="1" applyAlignment="1" applyProtection="1">
      <alignment horizontal="center" vertical="center"/>
    </xf>
    <xf numFmtId="3" fontId="4" fillId="29" borderId="21" xfId="0" applyNumberFormat="1" applyFont="1" applyFill="1" applyBorder="1" applyAlignment="1" applyProtection="1">
      <alignment horizontal="center" vertical="center"/>
    </xf>
    <xf numFmtId="165" fontId="4" fillId="29" borderId="15" xfId="0" applyNumberFormat="1" applyFont="1" applyFill="1" applyBorder="1" applyAlignment="1" applyProtection="1">
      <alignment horizontal="center" vertical="center"/>
      <protection hidden="1"/>
    </xf>
    <xf numFmtId="165" fontId="4" fillId="29" borderId="18" xfId="0" applyNumberFormat="1" applyFont="1" applyFill="1" applyBorder="1" applyAlignment="1" applyProtection="1">
      <alignment horizontal="center" vertical="center"/>
      <protection hidden="1"/>
    </xf>
    <xf numFmtId="0" fontId="4" fillId="29" borderId="19" xfId="0" quotePrefix="1" applyFont="1" applyFill="1" applyBorder="1" applyAlignment="1" applyProtection="1">
      <alignment horizontal="center" vertical="center"/>
    </xf>
    <xf numFmtId="0" fontId="4" fillId="26" borderId="0" xfId="0" applyFont="1" applyFill="1" applyBorder="1" applyAlignment="1">
      <alignment horizontal="center" vertical="top"/>
    </xf>
    <xf numFmtId="0" fontId="35" fillId="24" borderId="44" xfId="0" applyFont="1" applyFill="1" applyBorder="1" applyProtection="1"/>
    <xf numFmtId="0" fontId="35" fillId="24" borderId="44" xfId="0" applyFont="1" applyFill="1" applyBorder="1" applyAlignment="1" applyProtection="1"/>
    <xf numFmtId="0" fontId="35" fillId="24" borderId="44" xfId="0" applyFont="1" applyFill="1" applyBorder="1" applyAlignment="1" applyProtection="1">
      <alignment vertical="center"/>
    </xf>
    <xf numFmtId="0" fontId="4" fillId="24" borderId="46" xfId="0" applyFont="1" applyFill="1" applyBorder="1" applyProtection="1"/>
    <xf numFmtId="0" fontId="4" fillId="0" borderId="15" xfId="0" applyFont="1" applyFill="1" applyBorder="1" applyAlignment="1" applyProtection="1">
      <alignment horizontal="center" vertical="center" wrapText="1"/>
    </xf>
    <xf numFmtId="165" fontId="4" fillId="0" borderId="0" xfId="0" applyNumberFormat="1" applyFont="1" applyFill="1" applyAlignment="1" applyProtection="1">
      <alignment vertical="center"/>
    </xf>
    <xf numFmtId="165" fontId="37" fillId="0" borderId="0" xfId="0" applyNumberFormat="1" applyFont="1" applyFill="1" applyBorder="1" applyAlignment="1" applyProtection="1">
      <alignment horizontal="right"/>
    </xf>
    <xf numFmtId="165" fontId="4" fillId="0" borderId="0" xfId="0" applyNumberFormat="1" applyFont="1" applyFill="1" applyProtection="1"/>
    <xf numFmtId="0" fontId="8" fillId="26" borderId="46" xfId="0" applyFont="1" applyFill="1" applyBorder="1" applyAlignment="1" applyProtection="1">
      <alignment vertical="center"/>
    </xf>
    <xf numFmtId="0" fontId="35" fillId="26" borderId="46" xfId="0" applyFont="1" applyFill="1" applyBorder="1" applyProtection="1"/>
    <xf numFmtId="0" fontId="35" fillId="26" borderId="46" xfId="0" applyFont="1" applyFill="1" applyBorder="1" applyAlignment="1" applyProtection="1"/>
    <xf numFmtId="0" fontId="35" fillId="26" borderId="46" xfId="0" applyFont="1" applyFill="1" applyBorder="1" applyAlignment="1" applyProtection="1">
      <alignment vertical="center"/>
    </xf>
    <xf numFmtId="0" fontId="4" fillId="26" borderId="21" xfId="0" applyFont="1" applyFill="1" applyBorder="1" applyAlignment="1" applyProtection="1">
      <alignment horizontal="left" vertical="center" wrapText="1"/>
    </xf>
    <xf numFmtId="0" fontId="35" fillId="26" borderId="17" xfId="0" applyFont="1" applyFill="1" applyBorder="1" applyProtection="1"/>
    <xf numFmtId="0" fontId="4" fillId="26" borderId="43" xfId="0" applyFont="1" applyFill="1" applyBorder="1" applyProtection="1"/>
    <xf numFmtId="0" fontId="4" fillId="26" borderId="44" xfId="0" applyFont="1" applyFill="1" applyBorder="1" applyProtection="1"/>
    <xf numFmtId="0" fontId="4" fillId="26" borderId="44" xfId="0" applyFont="1" applyFill="1" applyBorder="1" applyAlignment="1" applyProtection="1"/>
    <xf numFmtId="0" fontId="4" fillId="26" borderId="0" xfId="0" applyFont="1" applyFill="1" applyBorder="1" applyAlignment="1" applyProtection="1">
      <alignment vertical="center"/>
    </xf>
    <xf numFmtId="0" fontId="4" fillId="26" borderId="44" xfId="0" applyFont="1" applyFill="1" applyBorder="1" applyAlignment="1" applyProtection="1">
      <alignment vertical="center"/>
    </xf>
    <xf numFmtId="0" fontId="37" fillId="26" borderId="44" xfId="0" applyFont="1" applyFill="1" applyBorder="1" applyAlignment="1" applyProtection="1">
      <alignment horizontal="right"/>
    </xf>
    <xf numFmtId="9" fontId="4" fillId="0" borderId="15" xfId="0" applyNumberFormat="1" applyFont="1" applyBorder="1" applyAlignment="1" applyProtection="1">
      <alignment horizontal="center" vertical="center"/>
    </xf>
    <xf numFmtId="9" fontId="4" fillId="29" borderId="15" xfId="0" applyNumberFormat="1" applyFont="1" applyFill="1" applyBorder="1" applyAlignment="1" applyProtection="1">
      <alignment horizontal="center" vertical="center"/>
    </xf>
    <xf numFmtId="9" fontId="4" fillId="0" borderId="21" xfId="0" applyNumberFormat="1" applyFont="1" applyBorder="1" applyAlignment="1" applyProtection="1">
      <alignment horizontal="center" vertical="center"/>
    </xf>
    <xf numFmtId="9" fontId="4" fillId="29" borderId="21" xfId="0" applyNumberFormat="1" applyFont="1" applyFill="1" applyBorder="1" applyAlignment="1" applyProtection="1">
      <alignment horizontal="center" vertical="center"/>
    </xf>
    <xf numFmtId="164" fontId="4" fillId="26" borderId="0" xfId="0" applyNumberFormat="1" applyFont="1" applyFill="1" applyBorder="1" applyAlignment="1" applyProtection="1">
      <alignment horizontal="center" vertical="center"/>
    </xf>
    <xf numFmtId="3" fontId="4" fillId="26" borderId="0" xfId="0" applyNumberFormat="1" applyFont="1" applyFill="1" applyBorder="1" applyAlignment="1" applyProtection="1">
      <alignment horizontal="center" vertical="center"/>
    </xf>
    <xf numFmtId="165" fontId="4" fillId="26" borderId="0" xfId="0" applyNumberFormat="1" applyFont="1" applyFill="1" applyBorder="1" applyAlignment="1" applyProtection="1">
      <alignment horizontal="center" vertical="center"/>
      <protection hidden="1"/>
    </xf>
    <xf numFmtId="0" fontId="4" fillId="26" borderId="0" xfId="0" quotePrefix="1" applyFont="1" applyFill="1" applyBorder="1" applyAlignment="1" applyProtection="1">
      <alignment horizontal="center" vertical="center"/>
    </xf>
    <xf numFmtId="165" fontId="4" fillId="26" borderId="0" xfId="0" applyNumberFormat="1" applyFont="1" applyFill="1" applyBorder="1" applyAlignment="1" applyProtection="1">
      <alignment horizontal="center" vertical="center" wrapText="1"/>
      <protection hidden="1"/>
    </xf>
    <xf numFmtId="9" fontId="37" fillId="0" borderId="0" xfId="0" applyNumberFormat="1" applyFont="1" applyFill="1" applyBorder="1" applyAlignment="1" applyProtection="1">
      <alignment horizontal="right"/>
    </xf>
    <xf numFmtId="0" fontId="0" fillId="26" borderId="0" xfId="0" applyFill="1" applyBorder="1" applyAlignment="1">
      <alignment horizontal="left" vertical="top"/>
    </xf>
    <xf numFmtId="0" fontId="8" fillId="25" borderId="15" xfId="0" applyFont="1" applyFill="1" applyBorder="1" applyAlignment="1" applyProtection="1">
      <alignment horizontal="center" vertical="center" textRotation="90" wrapText="1"/>
    </xf>
    <xf numFmtId="0" fontId="4" fillId="24" borderId="21" xfId="0" applyFont="1" applyFill="1" applyBorder="1" applyAlignment="1" applyProtection="1">
      <alignment vertical="center"/>
    </xf>
    <xf numFmtId="0" fontId="4" fillId="26" borderId="0" xfId="0" applyFont="1" applyFill="1" applyAlignment="1" applyProtection="1">
      <alignment vertical="center"/>
    </xf>
    <xf numFmtId="0" fontId="8" fillId="28" borderId="16" xfId="0" applyFont="1" applyFill="1" applyBorder="1" applyAlignment="1" applyProtection="1">
      <alignment horizontal="center" vertical="center" wrapText="1"/>
    </xf>
    <xf numFmtId="0" fontId="8" fillId="28" borderId="23" xfId="0" applyFont="1" applyFill="1" applyBorder="1" applyAlignment="1" applyProtection="1">
      <alignment horizontal="center" vertical="center" wrapText="1"/>
    </xf>
    <xf numFmtId="0" fontId="53" fillId="0" borderId="16" xfId="0" applyFont="1" applyFill="1" applyBorder="1" applyAlignment="1" applyProtection="1">
      <alignment horizontal="center" vertical="center" wrapText="1"/>
    </xf>
    <xf numFmtId="0" fontId="37" fillId="0" borderId="49" xfId="0" applyFont="1" applyFill="1" applyBorder="1" applyAlignment="1" applyProtection="1">
      <alignment horizontal="right"/>
    </xf>
    <xf numFmtId="0" fontId="4" fillId="0" borderId="49" xfId="0" applyFont="1" applyFill="1" applyBorder="1" applyProtection="1"/>
    <xf numFmtId="0" fontId="4" fillId="0" borderId="43" xfId="0" applyFont="1" applyFill="1" applyBorder="1" applyProtection="1"/>
    <xf numFmtId="0" fontId="35" fillId="0" borderId="46" xfId="0" applyFont="1" applyFill="1" applyBorder="1" applyProtection="1"/>
    <xf numFmtId="0" fontId="4" fillId="0" borderId="0" xfId="0" applyFont="1" applyFill="1" applyBorder="1" applyProtection="1"/>
    <xf numFmtId="0" fontId="4" fillId="0" borderId="44" xfId="0" applyFont="1" applyFill="1" applyBorder="1" applyProtection="1"/>
    <xf numFmtId="0" fontId="53" fillId="0" borderId="15" xfId="0" applyFont="1" applyFill="1" applyBorder="1" applyAlignment="1" applyProtection="1">
      <alignment horizontal="center" wrapText="1"/>
    </xf>
    <xf numFmtId="0" fontId="35" fillId="0" borderId="46" xfId="0" applyFont="1" applyFill="1" applyBorder="1" applyAlignment="1" applyProtection="1"/>
    <xf numFmtId="0" fontId="4" fillId="0" borderId="0" xfId="0" applyFont="1" applyFill="1" applyBorder="1" applyAlignment="1" applyProtection="1"/>
    <xf numFmtId="0" fontId="4" fillId="0" borderId="44" xfId="0" applyFont="1" applyFill="1" applyBorder="1" applyAlignment="1" applyProtection="1"/>
    <xf numFmtId="0" fontId="37" fillId="0" borderId="0" xfId="0" applyFont="1" applyFill="1" applyBorder="1" applyAlignment="1" applyProtection="1">
      <alignment horizontal="righ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right"/>
    </xf>
    <xf numFmtId="0" fontId="35" fillId="0" borderId="46" xfId="0" applyFont="1" applyFill="1" applyBorder="1" applyAlignment="1" applyProtection="1">
      <alignment vertical="center"/>
    </xf>
    <xf numFmtId="3" fontId="37" fillId="0" borderId="0" xfId="0" applyNumberFormat="1" applyFont="1" applyFill="1" applyBorder="1" applyAlignment="1" applyProtection="1">
      <alignment horizontal="right" vertical="center"/>
    </xf>
    <xf numFmtId="3" fontId="40" fillId="0" borderId="0" xfId="0" applyNumberFormat="1" applyFont="1" applyFill="1" applyBorder="1" applyAlignment="1" applyProtection="1">
      <alignment horizontal="right"/>
    </xf>
    <xf numFmtId="0" fontId="40" fillId="0" borderId="0" xfId="0" applyFont="1" applyFill="1" applyBorder="1" applyAlignment="1" applyProtection="1">
      <alignment horizontal="right"/>
    </xf>
    <xf numFmtId="0" fontId="40" fillId="0" borderId="0" xfId="0" applyFont="1" applyFill="1" applyBorder="1" applyAlignment="1" applyProtection="1">
      <alignment horizontal="center"/>
    </xf>
    <xf numFmtId="0" fontId="55" fillId="0" borderId="0" xfId="0" applyFont="1" applyFill="1" applyBorder="1" applyAlignment="1" applyProtection="1">
      <alignment horizontal="left"/>
    </xf>
    <xf numFmtId="0" fontId="37" fillId="0" borderId="0" xfId="0" applyFont="1" applyFill="1" applyBorder="1" applyAlignment="1" applyProtection="1">
      <alignment horizontal="center" vertical="center"/>
    </xf>
    <xf numFmtId="0" fontId="4" fillId="0" borderId="46" xfId="0" applyFont="1" applyFill="1" applyBorder="1" applyProtection="1"/>
    <xf numFmtId="0" fontId="4" fillId="0" borderId="47" xfId="0" applyFont="1" applyFill="1" applyBorder="1" applyProtection="1"/>
    <xf numFmtId="0" fontId="37" fillId="26" borderId="48" xfId="0" applyFont="1" applyFill="1" applyBorder="1" applyAlignment="1" applyProtection="1">
      <alignment horizontal="right"/>
    </xf>
    <xf numFmtId="0" fontId="4" fillId="26" borderId="48" xfId="0" applyFont="1" applyFill="1" applyBorder="1" applyProtection="1"/>
    <xf numFmtId="0" fontId="4" fillId="0" borderId="0" xfId="0" applyFont="1" applyFill="1" applyBorder="1" applyAlignment="1" applyProtection="1">
      <alignment vertical="center"/>
    </xf>
    <xf numFmtId="0" fontId="51" fillId="0" borderId="0" xfId="0" applyFont="1" applyFill="1" applyBorder="1" applyAlignment="1" applyProtection="1">
      <alignment horizontal="left" vertical="center"/>
    </xf>
    <xf numFmtId="0" fontId="37" fillId="0" borderId="0" xfId="0" applyFont="1" applyFill="1" applyBorder="1" applyAlignment="1" applyProtection="1">
      <alignment horizontal="left" vertical="center"/>
    </xf>
    <xf numFmtId="1" fontId="54" fillId="0" borderId="15" xfId="0" applyNumberFormat="1" applyFont="1" applyFill="1" applyBorder="1" applyAlignment="1" applyProtection="1">
      <alignment horizontal="center" vertical="center"/>
    </xf>
    <xf numFmtId="0" fontId="37" fillId="0" borderId="15" xfId="0" applyFont="1" applyFill="1" applyBorder="1" applyAlignment="1" applyProtection="1">
      <alignment horizontal="right" vertical="center"/>
    </xf>
    <xf numFmtId="0" fontId="37" fillId="0" borderId="0" xfId="0" applyFont="1" applyFill="1" applyBorder="1" applyAlignment="1" applyProtection="1">
      <alignment horizontal="center"/>
    </xf>
    <xf numFmtId="0" fontId="53" fillId="0" borderId="14" xfId="0" applyFont="1" applyFill="1" applyBorder="1" applyAlignment="1" applyProtection="1">
      <alignment horizontal="center" vertical="center"/>
    </xf>
    <xf numFmtId="164" fontId="51" fillId="0" borderId="16" xfId="0" applyNumberFormat="1" applyFont="1" applyFill="1" applyBorder="1" applyAlignment="1" applyProtection="1">
      <alignment vertical="center"/>
    </xf>
    <xf numFmtId="165" fontId="54" fillId="0" borderId="43" xfId="0" applyNumberFormat="1" applyFont="1" applyFill="1" applyBorder="1" applyAlignment="1" applyProtection="1">
      <alignment vertical="center"/>
    </xf>
    <xf numFmtId="0" fontId="54" fillId="0" borderId="15" xfId="0" applyFont="1" applyFill="1" applyBorder="1" applyAlignment="1" applyProtection="1">
      <alignment horizontal="center" vertical="center"/>
    </xf>
    <xf numFmtId="0" fontId="51" fillId="0" borderId="14" xfId="0" applyFont="1" applyFill="1" applyBorder="1" applyAlignment="1" applyProtection="1">
      <alignment horizontal="center" vertical="center" wrapText="1"/>
    </xf>
    <xf numFmtId="0" fontId="51" fillId="0" borderId="15" xfId="0" applyFont="1" applyFill="1" applyBorder="1" applyAlignment="1" applyProtection="1">
      <alignment horizontal="center" vertical="center" wrapText="1"/>
    </xf>
    <xf numFmtId="0" fontId="51" fillId="0" borderId="15" xfId="0" applyFont="1" applyFill="1" applyBorder="1" applyAlignment="1" applyProtection="1">
      <alignment horizontal="right" vertical="center"/>
    </xf>
    <xf numFmtId="165" fontId="54" fillId="0" borderId="15" xfId="0" applyNumberFormat="1" applyFont="1" applyFill="1" applyBorder="1" applyAlignment="1" applyProtection="1">
      <alignment vertical="center"/>
    </xf>
    <xf numFmtId="0" fontId="4" fillId="24" borderId="38" xfId="0" applyFont="1" applyFill="1" applyBorder="1" applyAlignment="1" applyProtection="1">
      <alignment horizontal="left" vertical="top"/>
    </xf>
    <xf numFmtId="0" fontId="4" fillId="26" borderId="36" xfId="0" applyFont="1" applyFill="1" applyBorder="1" applyProtection="1"/>
    <xf numFmtId="0" fontId="0" fillId="26" borderId="36" xfId="0" applyFill="1" applyBorder="1" applyProtection="1"/>
    <xf numFmtId="0" fontId="4" fillId="26" borderId="37" xfId="0" applyFont="1" applyFill="1" applyBorder="1" applyProtection="1"/>
    <xf numFmtId="0" fontId="4" fillId="26" borderId="39" xfId="0" applyFont="1" applyFill="1" applyBorder="1" applyAlignment="1" applyProtection="1"/>
    <xf numFmtId="0" fontId="8" fillId="26" borderId="0" xfId="0" applyFont="1" applyFill="1" applyBorder="1" applyAlignment="1" applyProtection="1">
      <alignment horizontal="left" vertical="top"/>
    </xf>
    <xf numFmtId="0" fontId="37" fillId="0" borderId="0" xfId="0" applyFont="1" applyFill="1" applyBorder="1" applyAlignment="1" applyProtection="1">
      <alignment horizontal="left"/>
    </xf>
    <xf numFmtId="0" fontId="31" fillId="26" borderId="0" xfId="0" applyFont="1" applyFill="1" applyBorder="1" applyAlignment="1" applyProtection="1">
      <alignment vertical="top" wrapText="1"/>
    </xf>
    <xf numFmtId="0" fontId="0" fillId="26" borderId="0" xfId="0" applyFill="1" applyBorder="1" applyAlignment="1" applyProtection="1">
      <alignment vertical="top" wrapText="1"/>
    </xf>
    <xf numFmtId="0" fontId="0" fillId="24" borderId="0" xfId="0" applyFill="1" applyBorder="1" applyAlignment="1" applyProtection="1">
      <alignment vertical="top" wrapText="1"/>
    </xf>
    <xf numFmtId="0" fontId="4" fillId="24" borderId="0" xfId="0" applyFont="1" applyFill="1" applyBorder="1" applyAlignment="1" applyProtection="1">
      <alignment horizontal="right" vertical="top"/>
    </xf>
    <xf numFmtId="0" fontId="4" fillId="26" borderId="0" xfId="0" applyFont="1" applyFill="1" applyBorder="1" applyAlignment="1" applyProtection="1">
      <alignment horizontal="right" vertical="top"/>
    </xf>
    <xf numFmtId="164" fontId="4" fillId="0" borderId="18" xfId="0" applyNumberFormat="1" applyFont="1" applyFill="1" applyBorder="1" applyAlignment="1" applyProtection="1">
      <alignment horizontal="center" vertical="center"/>
    </xf>
    <xf numFmtId="165" fontId="4" fillId="0" borderId="15" xfId="0" applyNumberFormat="1" applyFont="1" applyBorder="1" applyAlignment="1" applyProtection="1">
      <alignment horizontal="center" vertical="center"/>
    </xf>
    <xf numFmtId="0" fontId="7" fillId="26" borderId="44" xfId="0" applyFont="1" applyFill="1" applyBorder="1" applyProtection="1"/>
    <xf numFmtId="0" fontId="7" fillId="24" borderId="35" xfId="0" applyFont="1" applyFill="1" applyBorder="1" applyProtection="1"/>
    <xf numFmtId="0" fontId="7" fillId="24" borderId="36" xfId="0" applyFont="1" applyFill="1" applyBorder="1" applyProtection="1"/>
    <xf numFmtId="0" fontId="7" fillId="24" borderId="38" xfId="0" applyFont="1" applyFill="1" applyBorder="1" applyProtection="1"/>
    <xf numFmtId="0" fontId="7" fillId="24" borderId="38" xfId="0" applyFont="1" applyFill="1" applyBorder="1" applyAlignment="1" applyProtection="1"/>
    <xf numFmtId="0" fontId="7" fillId="24" borderId="38" xfId="0" applyFont="1" applyFill="1" applyBorder="1" applyAlignment="1" applyProtection="1">
      <alignment vertical="center"/>
    </xf>
    <xf numFmtId="0" fontId="7" fillId="26" borderId="40" xfId="0" applyFont="1" applyFill="1" applyBorder="1" applyAlignment="1" applyProtection="1">
      <alignment horizontal="center" wrapText="1"/>
    </xf>
    <xf numFmtId="0" fontId="0" fillId="26" borderId="41" xfId="0" applyFill="1" applyBorder="1" applyAlignment="1" applyProtection="1">
      <alignment horizontal="center" wrapText="1"/>
    </xf>
    <xf numFmtId="0" fontId="4" fillId="26" borderId="39" xfId="0" applyFont="1" applyFill="1" applyBorder="1" applyProtection="1"/>
    <xf numFmtId="0" fontId="4" fillId="26" borderId="42" xfId="0" applyFont="1" applyFill="1" applyBorder="1" applyProtection="1"/>
    <xf numFmtId="0" fontId="7" fillId="0" borderId="0" xfId="0" applyFont="1" applyFill="1" applyBorder="1" applyAlignment="1" applyProtection="1"/>
    <xf numFmtId="0" fontId="7" fillId="0" borderId="0" xfId="0" applyFont="1" applyFill="1" applyBorder="1" applyProtection="1"/>
    <xf numFmtId="0" fontId="41" fillId="0" borderId="18" xfId="0" applyFont="1" applyFill="1" applyBorder="1" applyAlignment="1">
      <alignment horizontal="center"/>
    </xf>
    <xf numFmtId="0" fontId="50" fillId="0" borderId="18" xfId="0" applyFont="1" applyFill="1" applyBorder="1" applyProtection="1"/>
    <xf numFmtId="0" fontId="4" fillId="24" borderId="44" xfId="0" applyFont="1" applyFill="1" applyBorder="1" applyProtection="1"/>
    <xf numFmtId="0" fontId="4" fillId="26" borderId="45" xfId="0" applyFont="1" applyFill="1" applyBorder="1" applyProtection="1"/>
    <xf numFmtId="0" fontId="7" fillId="24" borderId="44" xfId="0" applyFont="1" applyFill="1" applyBorder="1" applyProtection="1"/>
    <xf numFmtId="0" fontId="7" fillId="24" borderId="44" xfId="0" applyFont="1" applyFill="1" applyBorder="1" applyAlignment="1" applyProtection="1"/>
    <xf numFmtId="0" fontId="7" fillId="24" borderId="44" xfId="0" applyFont="1" applyFill="1" applyBorder="1" applyAlignment="1" applyProtection="1">
      <alignment vertical="center"/>
    </xf>
    <xf numFmtId="0" fontId="7" fillId="24" borderId="48" xfId="0" applyFont="1" applyFill="1" applyBorder="1" applyProtection="1"/>
    <xf numFmtId="0" fontId="7" fillId="24" borderId="45" xfId="0" applyFont="1" applyFill="1" applyBorder="1" applyProtection="1"/>
    <xf numFmtId="0" fontId="7" fillId="24" borderId="47" xfId="0" applyFont="1" applyFill="1" applyBorder="1" applyProtection="1"/>
    <xf numFmtId="0" fontId="7" fillId="24" borderId="37" xfId="0" applyFont="1" applyFill="1" applyBorder="1" applyProtection="1"/>
    <xf numFmtId="0" fontId="7" fillId="24" borderId="39" xfId="0" applyFont="1" applyFill="1" applyBorder="1" applyAlignment="1" applyProtection="1"/>
    <xf numFmtId="0" fontId="7" fillId="24" borderId="39" xfId="0" applyFont="1" applyFill="1" applyBorder="1" applyProtection="1"/>
    <xf numFmtId="0" fontId="7" fillId="24" borderId="39" xfId="0" applyFont="1" applyFill="1" applyBorder="1" applyAlignment="1" applyProtection="1">
      <alignment vertical="center"/>
    </xf>
    <xf numFmtId="0" fontId="33" fillId="26" borderId="38" xfId="0" applyFont="1" applyFill="1" applyBorder="1" applyAlignment="1" applyProtection="1">
      <alignment horizontal="center" wrapText="1"/>
    </xf>
    <xf numFmtId="0" fontId="0" fillId="26" borderId="39" xfId="0" applyFill="1" applyBorder="1" applyAlignment="1" applyProtection="1">
      <alignment wrapText="1"/>
    </xf>
    <xf numFmtId="0" fontId="7" fillId="26" borderId="52" xfId="0" applyFont="1" applyFill="1" applyBorder="1" applyAlignment="1" applyProtection="1">
      <alignment horizontal="center" wrapText="1"/>
    </xf>
    <xf numFmtId="0" fontId="0" fillId="26" borderId="53" xfId="0" applyFill="1" applyBorder="1" applyAlignment="1" applyProtection="1">
      <alignment horizontal="center" wrapText="1"/>
    </xf>
    <xf numFmtId="0" fontId="0" fillId="26" borderId="53" xfId="0" applyFill="1" applyBorder="1" applyAlignment="1" applyProtection="1">
      <alignment wrapText="1"/>
    </xf>
    <xf numFmtId="0" fontId="0" fillId="26" borderId="54" xfId="0" applyFill="1" applyBorder="1" applyAlignment="1" applyProtection="1">
      <alignment wrapText="1"/>
    </xf>
    <xf numFmtId="0" fontId="4" fillId="24" borderId="52" xfId="0" applyFont="1" applyFill="1" applyBorder="1" applyProtection="1"/>
    <xf numFmtId="0" fontId="4" fillId="24" borderId="53" xfId="0" applyFont="1" applyFill="1" applyBorder="1" applyProtection="1"/>
    <xf numFmtId="0" fontId="4" fillId="24" borderId="54" xfId="0" applyFont="1" applyFill="1" applyBorder="1" applyProtection="1"/>
    <xf numFmtId="0" fontId="35" fillId="26" borderId="36" xfId="0" applyFont="1" applyFill="1" applyBorder="1" applyProtection="1"/>
    <xf numFmtId="0" fontId="57" fillId="26" borderId="0" xfId="0" applyFont="1" applyFill="1" applyBorder="1" applyAlignment="1" applyProtection="1">
      <alignment horizontal="left" vertical="center"/>
    </xf>
    <xf numFmtId="0" fontId="4" fillId="26" borderId="53" xfId="0" applyFont="1" applyFill="1" applyBorder="1" applyProtection="1"/>
    <xf numFmtId="0" fontId="0" fillId="26" borderId="53" xfId="0" applyFill="1" applyBorder="1" applyProtection="1"/>
    <xf numFmtId="0" fontId="35" fillId="26" borderId="53" xfId="0" applyFont="1" applyFill="1" applyBorder="1" applyProtection="1"/>
    <xf numFmtId="0" fontId="4" fillId="26" borderId="54" xfId="0" applyFont="1" applyFill="1" applyBorder="1" applyProtection="1"/>
    <xf numFmtId="0" fontId="37" fillId="26" borderId="43" xfId="0" applyFont="1" applyFill="1" applyBorder="1" applyAlignment="1" applyProtection="1">
      <alignment horizontal="right"/>
    </xf>
    <xf numFmtId="0" fontId="7" fillId="26" borderId="44" xfId="0" applyFont="1" applyFill="1" applyBorder="1" applyAlignment="1" applyProtection="1"/>
    <xf numFmtId="0" fontId="4" fillId="0" borderId="15" xfId="0" applyFont="1" applyFill="1" applyBorder="1" applyAlignment="1" applyProtection="1">
      <alignment horizontal="center" vertical="center" wrapText="1"/>
    </xf>
    <xf numFmtId="0" fontId="4" fillId="24" borderId="57" xfId="0" applyFont="1" applyFill="1" applyBorder="1" applyProtection="1"/>
    <xf numFmtId="0" fontId="7" fillId="26" borderId="39" xfId="0" applyFont="1" applyFill="1" applyBorder="1" applyProtection="1"/>
    <xf numFmtId="0" fontId="7" fillId="24" borderId="57" xfId="0" applyFont="1" applyFill="1" applyBorder="1" applyProtection="1"/>
    <xf numFmtId="0" fontId="7" fillId="24" borderId="57" xfId="0" applyFont="1" applyFill="1" applyBorder="1" applyAlignment="1" applyProtection="1"/>
    <xf numFmtId="0" fontId="7" fillId="26" borderId="39" xfId="0" applyFont="1" applyFill="1" applyBorder="1" applyAlignment="1" applyProtection="1"/>
    <xf numFmtId="0" fontId="7" fillId="24" borderId="57" xfId="0" applyFont="1" applyFill="1" applyBorder="1" applyAlignment="1" applyProtection="1">
      <alignment vertical="center"/>
    </xf>
    <xf numFmtId="0" fontId="7" fillId="26" borderId="39" xfId="0" applyFont="1" applyFill="1" applyBorder="1" applyAlignment="1" applyProtection="1">
      <alignment vertical="center"/>
    </xf>
    <xf numFmtId="0" fontId="33" fillId="24" borderId="57" xfId="0" applyFont="1" applyFill="1" applyBorder="1" applyAlignment="1" applyProtection="1">
      <alignment horizontal="center" wrapText="1"/>
    </xf>
    <xf numFmtId="0" fontId="7" fillId="26" borderId="42" xfId="0" applyFont="1" applyFill="1" applyBorder="1" applyProtection="1"/>
    <xf numFmtId="0" fontId="4" fillId="26" borderId="41" xfId="0" applyFont="1" applyFill="1" applyBorder="1" applyProtection="1"/>
    <xf numFmtId="0" fontId="0" fillId="26" borderId="41" xfId="0" applyFill="1" applyBorder="1" applyAlignment="1" applyProtection="1">
      <alignment wrapText="1"/>
    </xf>
    <xf numFmtId="0" fontId="7" fillId="24" borderId="55" xfId="0" applyFont="1" applyFill="1" applyBorder="1" applyProtection="1"/>
    <xf numFmtId="0" fontId="42" fillId="26" borderId="15" xfId="0" applyFont="1" applyFill="1" applyBorder="1" applyAlignment="1" applyProtection="1">
      <alignment horizontal="center" vertical="center"/>
    </xf>
    <xf numFmtId="0" fontId="0" fillId="26" borderId="15" xfId="0" applyFill="1" applyBorder="1" applyAlignment="1" applyProtection="1">
      <alignment vertical="top" wrapText="1"/>
    </xf>
    <xf numFmtId="0" fontId="44" fillId="26" borderId="15" xfId="0" applyFont="1" applyFill="1" applyBorder="1" applyAlignment="1" applyProtection="1">
      <alignment vertical="top" wrapText="1"/>
    </xf>
    <xf numFmtId="0" fontId="4" fillId="24" borderId="57" xfId="0" applyFont="1" applyFill="1" applyBorder="1" applyAlignment="1" applyProtection="1">
      <alignment vertical="center"/>
    </xf>
    <xf numFmtId="0" fontId="4" fillId="24" borderId="0" xfId="0" applyFont="1" applyFill="1" applyBorder="1" applyAlignment="1" applyProtection="1">
      <alignment vertical="top" wrapText="1"/>
      <protection locked="0"/>
    </xf>
    <xf numFmtId="0" fontId="35" fillId="26" borderId="58" xfId="0" applyFont="1" applyFill="1" applyBorder="1" applyProtection="1"/>
    <xf numFmtId="0" fontId="35" fillId="26" borderId="58" xfId="0" applyFont="1" applyFill="1" applyBorder="1" applyAlignment="1" applyProtection="1"/>
    <xf numFmtId="3" fontId="4" fillId="26" borderId="15" xfId="0" applyNumberFormat="1" applyFont="1" applyFill="1" applyBorder="1" applyAlignment="1" applyProtection="1">
      <alignment horizontal="center" vertical="center"/>
    </xf>
    <xf numFmtId="3" fontId="4" fillId="26" borderId="21" xfId="0" applyNumberFormat="1" applyFont="1" applyFill="1" applyBorder="1" applyAlignment="1" applyProtection="1">
      <alignment horizontal="center" vertical="center"/>
    </xf>
    <xf numFmtId="0" fontId="44" fillId="0" borderId="14" xfId="0" applyFont="1" applyBorder="1" applyAlignment="1" applyProtection="1">
      <alignment vertical="top" wrapText="1"/>
    </xf>
    <xf numFmtId="0" fontId="42" fillId="25" borderId="14" xfId="0" applyFont="1" applyFill="1" applyBorder="1" applyAlignment="1" applyProtection="1">
      <alignment horizontal="center" vertical="center"/>
    </xf>
    <xf numFmtId="0" fontId="7" fillId="0" borderId="15" xfId="0" applyFont="1" applyFill="1" applyBorder="1" applyAlignment="1" applyProtection="1">
      <alignment horizontal="right" vertical="center" wrapText="1" indent="1"/>
    </xf>
    <xf numFmtId="0" fontId="7" fillId="24" borderId="15" xfId="0" applyFont="1" applyFill="1" applyBorder="1" applyAlignment="1" applyProtection="1">
      <alignment horizontal="right" vertical="center" wrapText="1" indent="1"/>
    </xf>
    <xf numFmtId="0" fontId="4" fillId="24" borderId="15" xfId="0" applyFont="1" applyFill="1" applyBorder="1" applyAlignment="1" applyProtection="1">
      <alignment horizontal="right" vertical="center" wrapText="1" indent="1"/>
    </xf>
    <xf numFmtId="0" fontId="7" fillId="24" borderId="21" xfId="0" applyFont="1" applyFill="1" applyBorder="1" applyAlignment="1" applyProtection="1">
      <alignment horizontal="center" vertical="center" wrapText="1"/>
    </xf>
    <xf numFmtId="0" fontId="4" fillId="24" borderId="21"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37" fillId="0" borderId="33" xfId="0" applyFont="1" applyFill="1" applyBorder="1" applyAlignment="1" applyProtection="1">
      <alignment horizontal="right"/>
    </xf>
    <xf numFmtId="0" fontId="0" fillId="0" borderId="0" xfId="0" applyBorder="1" applyAlignment="1">
      <alignment wrapText="1"/>
    </xf>
    <xf numFmtId="0" fontId="0" fillId="26" borderId="0" xfId="0" applyFill="1" applyBorder="1" applyAlignment="1"/>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left" vertical="top"/>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0" fillId="26" borderId="0" xfId="0" applyFill="1" applyBorder="1" applyAlignment="1"/>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8" fillId="26" borderId="0" xfId="0" applyFont="1" applyFill="1" applyBorder="1" applyAlignment="1" applyProtection="1">
      <alignment horizontal="left" vertical="top"/>
    </xf>
    <xf numFmtId="3" fontId="7" fillId="0" borderId="15" xfId="0" applyNumberFormat="1" applyFont="1" applyBorder="1" applyAlignment="1" applyProtection="1">
      <alignment horizontal="center" vertical="center" wrapText="1"/>
    </xf>
    <xf numFmtId="3" fontId="7" fillId="0" borderId="21" xfId="0" applyNumberFormat="1" applyFont="1" applyBorder="1" applyAlignment="1" applyProtection="1">
      <alignment horizontal="center" vertical="center" wrapText="1"/>
    </xf>
    <xf numFmtId="0" fontId="4" fillId="26" borderId="0" xfId="0" applyFont="1" applyFill="1" applyBorder="1" applyAlignment="1" applyProtection="1">
      <alignment horizontal="left" vertical="top" wrapText="1"/>
    </xf>
    <xf numFmtId="0" fontId="59" fillId="34" borderId="21" xfId="0" applyFont="1" applyFill="1" applyBorder="1" applyAlignment="1" applyProtection="1">
      <alignment horizontal="left" vertical="center" wrapText="1"/>
    </xf>
    <xf numFmtId="3" fontId="59" fillId="34" borderId="15" xfId="0" applyNumberFormat="1" applyFont="1" applyFill="1" applyBorder="1" applyAlignment="1" applyProtection="1">
      <alignment horizontal="center" vertical="center"/>
    </xf>
    <xf numFmtId="3" fontId="59" fillId="34" borderId="21" xfId="0" applyNumberFormat="1" applyFont="1" applyFill="1" applyBorder="1" applyAlignment="1" applyProtection="1">
      <alignment horizontal="center" vertical="center"/>
    </xf>
    <xf numFmtId="165" fontId="59" fillId="34" borderId="15" xfId="0" applyNumberFormat="1" applyFont="1" applyFill="1" applyBorder="1" applyAlignment="1" applyProtection="1">
      <alignment horizontal="center" vertical="center"/>
      <protection hidden="1"/>
    </xf>
    <xf numFmtId="165" fontId="59" fillId="34" borderId="18" xfId="0" applyNumberFormat="1" applyFont="1" applyFill="1" applyBorder="1" applyAlignment="1" applyProtection="1">
      <alignment horizontal="center" vertical="center"/>
      <protection hidden="1"/>
    </xf>
    <xf numFmtId="165" fontId="35" fillId="34" borderId="22" xfId="46" applyNumberFormat="1" applyFont="1" applyFill="1" applyBorder="1" applyAlignment="1" applyProtection="1">
      <alignment horizontal="center" vertical="top" wrapText="1"/>
    </xf>
    <xf numFmtId="3" fontId="35" fillId="34" borderId="15" xfId="46" applyNumberFormat="1" applyFont="1" applyFill="1" applyBorder="1" applyAlignment="1" applyProtection="1">
      <alignment horizontal="center" vertical="center"/>
    </xf>
    <xf numFmtId="3" fontId="35" fillId="34" borderId="21" xfId="46" applyNumberFormat="1" applyFont="1" applyFill="1" applyBorder="1" applyAlignment="1" applyProtection="1">
      <alignment horizontal="center" vertical="center"/>
    </xf>
    <xf numFmtId="165" fontId="4" fillId="29" borderId="22" xfId="46" applyNumberFormat="1" applyFont="1" applyFill="1" applyBorder="1" applyAlignment="1" applyProtection="1">
      <alignment horizontal="center" vertical="top" wrapText="1"/>
    </xf>
    <xf numFmtId="3" fontId="4" fillId="29" borderId="15" xfId="46" applyNumberFormat="1" applyFont="1" applyFill="1" applyBorder="1" applyAlignment="1" applyProtection="1">
      <alignment horizontal="center" vertical="center"/>
    </xf>
    <xf numFmtId="3" fontId="4" fillId="29" borderId="21" xfId="46" applyNumberFormat="1" applyFont="1" applyFill="1" applyBorder="1" applyAlignment="1" applyProtection="1">
      <alignment horizontal="center" vertical="center"/>
    </xf>
    <xf numFmtId="0" fontId="4" fillId="29" borderId="21" xfId="0" quotePrefix="1" applyFont="1" applyFill="1" applyBorder="1" applyAlignment="1" applyProtection="1">
      <alignment horizontal="center" vertical="center"/>
    </xf>
    <xf numFmtId="0" fontId="59" fillId="34" borderId="21" xfId="0" quotePrefix="1" applyFont="1" applyFill="1" applyBorder="1" applyAlignment="1" applyProtection="1">
      <alignment horizontal="center" vertical="center"/>
    </xf>
    <xf numFmtId="165" fontId="4" fillId="29" borderId="15" xfId="0" applyNumberFormat="1" applyFont="1" applyFill="1" applyBorder="1" applyAlignment="1" applyProtection="1">
      <alignment horizontal="right" vertical="center"/>
      <protection hidden="1"/>
    </xf>
    <xf numFmtId="165" fontId="59" fillId="34" borderId="15" xfId="0" applyNumberFormat="1" applyFont="1" applyFill="1" applyBorder="1" applyAlignment="1" applyProtection="1">
      <alignment horizontal="right" vertical="center"/>
      <protection hidden="1"/>
    </xf>
    <xf numFmtId="165" fontId="4" fillId="24" borderId="15" xfId="0" applyNumberFormat="1" applyFont="1" applyFill="1" applyBorder="1" applyAlignment="1">
      <alignment horizontal="right" vertical="center" wrapText="1"/>
    </xf>
    <xf numFmtId="165" fontId="4" fillId="24" borderId="18" xfId="0" applyNumberFormat="1" applyFont="1" applyFill="1" applyBorder="1" applyAlignment="1" applyProtection="1">
      <alignment horizontal="right" vertical="center"/>
    </xf>
    <xf numFmtId="165" fontId="4" fillId="0" borderId="21" xfId="0" applyNumberFormat="1" applyFont="1" applyFill="1" applyBorder="1" applyAlignment="1" applyProtection="1">
      <alignment horizontal="right" vertical="center"/>
    </xf>
    <xf numFmtId="165" fontId="4" fillId="29" borderId="21" xfId="0" applyNumberFormat="1" applyFont="1" applyFill="1" applyBorder="1" applyAlignment="1" applyProtection="1">
      <alignment horizontal="right" vertical="center"/>
      <protection hidden="1"/>
    </xf>
    <xf numFmtId="167" fontId="4" fillId="28" borderId="21" xfId="0" applyNumberFormat="1" applyFont="1" applyFill="1" applyBorder="1" applyAlignment="1" applyProtection="1">
      <alignment horizontal="center" vertical="center"/>
    </xf>
    <xf numFmtId="0" fontId="8" fillId="28" borderId="15" xfId="0" applyFont="1" applyFill="1" applyBorder="1" applyAlignment="1" applyProtection="1">
      <alignment horizontal="center" vertical="center"/>
    </xf>
    <xf numFmtId="0" fontId="8" fillId="28" borderId="21" xfId="0" applyFont="1" applyFill="1" applyBorder="1" applyAlignment="1" applyProtection="1">
      <alignment horizontal="center" vertical="center"/>
    </xf>
    <xf numFmtId="0" fontId="8" fillId="33" borderId="15" xfId="0" applyFont="1" applyFill="1" applyBorder="1" applyAlignment="1" applyProtection="1">
      <alignment horizontal="center" vertical="center"/>
    </xf>
    <xf numFmtId="167" fontId="37" fillId="0" borderId="0" xfId="0" applyNumberFormat="1" applyFont="1" applyFill="1" applyBorder="1" applyAlignment="1" applyProtection="1">
      <alignment horizontal="right"/>
    </xf>
    <xf numFmtId="0" fontId="54" fillId="0" borderId="0" xfId="0" applyFont="1" applyFill="1" applyBorder="1" applyAlignment="1" applyProtection="1">
      <alignment horizontal="left" vertical="top" wrapText="1"/>
    </xf>
    <xf numFmtId="1" fontId="54" fillId="0" borderId="0" xfId="0" applyNumberFormat="1" applyFont="1" applyFill="1" applyBorder="1" applyAlignment="1" applyProtection="1">
      <alignment horizontal="center" vertical="top"/>
    </xf>
    <xf numFmtId="9" fontId="59" fillId="34" borderId="15" xfId="0" applyNumberFormat="1" applyFont="1" applyFill="1" applyBorder="1" applyAlignment="1" applyProtection="1">
      <alignment horizontal="center" vertical="center"/>
    </xf>
    <xf numFmtId="9" fontId="59" fillId="34" borderId="21" xfId="0" applyNumberFormat="1" applyFont="1" applyFill="1" applyBorder="1" applyAlignment="1" applyProtection="1">
      <alignment horizontal="center" vertical="center"/>
    </xf>
    <xf numFmtId="0" fontId="60" fillId="0" borderId="14" xfId="0" applyFont="1" applyFill="1" applyBorder="1" applyAlignment="1">
      <alignment horizontal="center" wrapText="1"/>
    </xf>
    <xf numFmtId="0" fontId="60" fillId="0" borderId="15" xfId="0" applyFont="1" applyFill="1" applyBorder="1" applyAlignment="1">
      <alignment horizontal="center" wrapText="1"/>
    </xf>
    <xf numFmtId="167" fontId="61" fillId="0" borderId="14" xfId="0" applyNumberFormat="1" applyFont="1" applyFill="1" applyBorder="1" applyAlignment="1">
      <alignment horizontal="right"/>
    </xf>
    <xf numFmtId="0" fontId="61" fillId="0" borderId="15" xfId="0" applyFont="1" applyFill="1" applyBorder="1" applyAlignment="1">
      <alignment horizontal="right"/>
    </xf>
    <xf numFmtId="167" fontId="4" fillId="29" borderId="21" xfId="0" applyNumberFormat="1" applyFont="1" applyFill="1" applyBorder="1" applyAlignment="1" applyProtection="1">
      <alignment horizontal="center" vertical="center"/>
    </xf>
    <xf numFmtId="167" fontId="59" fillId="34" borderId="21" xfId="0" applyNumberFormat="1" applyFont="1" applyFill="1" applyBorder="1" applyAlignment="1" applyProtection="1">
      <alignment horizontal="center" vertic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0" fillId="26" borderId="0" xfId="0" applyFill="1" applyBorder="1" applyAlignment="1"/>
    <xf numFmtId="0" fontId="4" fillId="26" borderId="0" xfId="0" applyFont="1" applyFill="1" applyBorder="1" applyAlignment="1" applyProtection="1">
      <alignment horizontal="left" vertical="top" wrapText="1"/>
    </xf>
    <xf numFmtId="0" fontId="0" fillId="0" borderId="15" xfId="0" applyBorder="1" applyAlignment="1">
      <alignment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26" borderId="0" xfId="0" applyFont="1" applyFill="1" applyBorder="1" applyAlignment="1" applyProtection="1">
      <alignment horizontal="left" vertical="top"/>
    </xf>
    <xf numFmtId="3" fontId="4" fillId="35" borderId="21" xfId="0" applyNumberFormat="1" applyFont="1" applyFill="1" applyBorder="1" applyAlignment="1" applyProtection="1">
      <alignment horizontal="center" vertical="center"/>
    </xf>
    <xf numFmtId="0" fontId="56" fillId="26" borderId="46" xfId="0" applyFont="1" applyFill="1" applyBorder="1" applyAlignment="1" applyProtection="1">
      <alignment vertical="center"/>
    </xf>
    <xf numFmtId="0" fontId="61" fillId="0" borderId="15" xfId="0" applyFont="1" applyFill="1" applyBorder="1" applyAlignment="1">
      <alignment horizontal="center"/>
    </xf>
    <xf numFmtId="0" fontId="0" fillId="0" borderId="0" xfId="0" applyBorder="1" applyAlignment="1">
      <alignment wrapText="1"/>
    </xf>
    <xf numFmtId="0" fontId="0" fillId="26" borderId="0" xfId="0" applyFill="1" applyBorder="1" applyAlignment="1"/>
    <xf numFmtId="0" fontId="4"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0" fillId="26" borderId="0" xfId="0"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8" fillId="26" borderId="0" xfId="0" applyFont="1" applyFill="1" applyBorder="1" applyAlignment="1" applyProtection="1">
      <alignment horizontal="left" vertical="top"/>
    </xf>
    <xf numFmtId="0" fontId="61" fillId="0" borderId="0" xfId="0" applyFont="1" applyFill="1" applyBorder="1" applyAlignment="1">
      <alignment horizontal="left"/>
    </xf>
    <xf numFmtId="0" fontId="61" fillId="0" borderId="0" xfId="0" applyFont="1" applyFill="1" applyBorder="1" applyAlignment="1">
      <alignment horizontal="right" vertical="center"/>
    </xf>
    <xf numFmtId="0" fontId="61" fillId="0" borderId="0" xfId="0" applyFont="1" applyFill="1" applyBorder="1" applyAlignment="1">
      <alignment horizontal="right"/>
    </xf>
    <xf numFmtId="0" fontId="61" fillId="0" borderId="14" xfId="0" applyFont="1" applyFill="1" applyBorder="1" applyAlignment="1">
      <alignment horizontal="center"/>
    </xf>
    <xf numFmtId="3" fontId="61" fillId="0" borderId="15" xfId="0" applyNumberFormat="1" applyFont="1" applyFill="1" applyBorder="1" applyAlignment="1">
      <alignment horizontal="center"/>
    </xf>
    <xf numFmtId="0" fontId="8" fillId="26" borderId="0" xfId="0" applyFont="1" applyFill="1" applyBorder="1" applyAlignment="1" applyProtection="1">
      <alignment horizontal="left" vertical="top"/>
    </xf>
    <xf numFmtId="0" fontId="8" fillId="26" borderId="0" xfId="0" applyFont="1" applyFill="1" applyBorder="1" applyAlignment="1" applyProtection="1">
      <alignment horizontal="left" vertical="top"/>
    </xf>
    <xf numFmtId="16" fontId="8" fillId="33" borderId="15" xfId="0" quotePrefix="1" applyNumberFormat="1" applyFont="1" applyFill="1" applyBorder="1" applyAlignment="1" applyProtection="1">
      <alignment horizontal="center" vertical="center"/>
    </xf>
    <xf numFmtId="0" fontId="8" fillId="33" borderId="15" xfId="0" quotePrefix="1" applyFont="1" applyFill="1" applyBorder="1" applyAlignment="1" applyProtection="1">
      <alignment horizontal="center" vertical="center"/>
    </xf>
    <xf numFmtId="0" fontId="8" fillId="33" borderId="23" xfId="0" applyFont="1" applyFill="1" applyBorder="1" applyAlignment="1" applyProtection="1">
      <alignment horizontal="center" vertical="center"/>
    </xf>
    <xf numFmtId="0" fontId="0" fillId="26" borderId="0" xfId="0" applyFill="1" applyBorder="1" applyAlignment="1">
      <alignment horizontal="center" vertical="center" wrapText="1"/>
    </xf>
    <xf numFmtId="0" fontId="8" fillId="26" borderId="0" xfId="0" applyFont="1" applyFill="1" applyBorder="1" applyAlignment="1" applyProtection="1">
      <alignment horizontal="left" vertical="top"/>
    </xf>
    <xf numFmtId="0" fontId="8" fillId="26" borderId="0" xfId="0" applyFont="1" applyFill="1" applyBorder="1" applyAlignment="1" applyProtection="1">
      <alignment horizontal="center" vertical="center" wrapText="1"/>
    </xf>
    <xf numFmtId="0" fontId="8" fillId="26" borderId="60" xfId="0" applyFont="1" applyFill="1" applyBorder="1" applyAlignment="1" applyProtection="1">
      <alignment horizontal="left" vertical="top"/>
    </xf>
    <xf numFmtId="0" fontId="8" fillId="26" borderId="10" xfId="0" applyFont="1" applyFill="1" applyBorder="1" applyAlignment="1" applyProtection="1">
      <alignment horizontal="left" vertical="top"/>
    </xf>
    <xf numFmtId="0" fontId="0" fillId="26" borderId="10" xfId="0" applyFill="1" applyBorder="1" applyAlignment="1">
      <alignment horizontal="left" vertical="top"/>
    </xf>
    <xf numFmtId="0" fontId="0" fillId="26" borderId="59" xfId="0" applyFill="1" applyBorder="1" applyAlignment="1">
      <alignment horizontal="left" vertical="top"/>
    </xf>
    <xf numFmtId="0" fontId="8" fillId="26" borderId="61" xfId="0" applyFont="1" applyFill="1" applyBorder="1" applyAlignment="1" applyProtection="1">
      <alignment horizontal="left" vertical="top"/>
    </xf>
    <xf numFmtId="0" fontId="0" fillId="26" borderId="62" xfId="0" applyFill="1" applyBorder="1" applyAlignment="1">
      <alignment horizontal="left" vertical="top"/>
    </xf>
    <xf numFmtId="0" fontId="8" fillId="26" borderId="63" xfId="0" applyFont="1" applyFill="1" applyBorder="1" applyAlignment="1" applyProtection="1">
      <alignment horizontal="left" vertical="top"/>
    </xf>
    <xf numFmtId="0" fontId="8" fillId="26" borderId="48" xfId="0" applyFont="1" applyFill="1" applyBorder="1" applyAlignment="1" applyProtection="1">
      <alignment horizontal="left" vertical="top"/>
    </xf>
    <xf numFmtId="0" fontId="0" fillId="26" borderId="48" xfId="0" applyFill="1" applyBorder="1" applyAlignment="1">
      <alignment horizontal="left" vertical="top"/>
    </xf>
    <xf numFmtId="0" fontId="0" fillId="26" borderId="64" xfId="0" applyFill="1" applyBorder="1" applyAlignment="1">
      <alignment horizontal="left" vertical="top"/>
    </xf>
    <xf numFmtId="1" fontId="4" fillId="29" borderId="15" xfId="0" applyNumberFormat="1" applyFont="1" applyFill="1" applyBorder="1" applyAlignment="1" applyProtection="1">
      <alignment horizontal="center" vertical="center"/>
    </xf>
    <xf numFmtId="1" fontId="4" fillId="29" borderId="21" xfId="0" applyNumberFormat="1" applyFont="1" applyFill="1" applyBorder="1" applyAlignment="1" applyProtection="1">
      <alignment horizontal="center" vertical="center"/>
    </xf>
    <xf numFmtId="1" fontId="59" fillId="34" borderId="15" xfId="0" applyNumberFormat="1" applyFont="1" applyFill="1" applyBorder="1" applyAlignment="1" applyProtection="1">
      <alignment horizontal="center" vertical="center"/>
    </xf>
    <xf numFmtId="1" fontId="59" fillId="34" borderId="21" xfId="0" applyNumberFormat="1" applyFont="1" applyFill="1" applyBorder="1" applyAlignment="1" applyProtection="1">
      <alignment horizontal="center" vertical="center"/>
    </xf>
    <xf numFmtId="165" fontId="4" fillId="0" borderId="21" xfId="0" applyNumberFormat="1" applyFont="1" applyBorder="1" applyAlignment="1" applyProtection="1">
      <alignment horizontal="center" vertical="center"/>
    </xf>
    <xf numFmtId="165" fontId="4" fillId="29" borderId="15" xfId="0" applyNumberFormat="1" applyFont="1" applyFill="1" applyBorder="1" applyAlignment="1" applyProtection="1">
      <alignment horizontal="center" vertical="center"/>
    </xf>
    <xf numFmtId="165" fontId="4" fillId="29" borderId="21" xfId="0" applyNumberFormat="1" applyFont="1" applyFill="1" applyBorder="1" applyAlignment="1" applyProtection="1">
      <alignment horizontal="center" vertical="center"/>
    </xf>
    <xf numFmtId="165" fontId="59" fillId="34" borderId="15" xfId="0" applyNumberFormat="1" applyFont="1" applyFill="1" applyBorder="1" applyAlignment="1" applyProtection="1">
      <alignment horizontal="center" vertical="center"/>
    </xf>
    <xf numFmtId="165" fontId="59" fillId="34" borderId="21" xfId="0" applyNumberFormat="1" applyFont="1" applyFill="1" applyBorder="1" applyAlignment="1" applyProtection="1">
      <alignment horizontal="center" vertical="center"/>
    </xf>
    <xf numFmtId="0" fontId="8" fillId="28" borderId="12" xfId="0" applyFont="1" applyFill="1" applyBorder="1" applyAlignment="1" applyProtection="1">
      <alignment horizontal="center" vertical="center"/>
    </xf>
    <xf numFmtId="0" fontId="8" fillId="28" borderId="31" xfId="0" applyFont="1" applyFill="1" applyBorder="1" applyAlignment="1" applyProtection="1">
      <alignment horizontal="center" vertical="center"/>
    </xf>
    <xf numFmtId="0" fontId="0" fillId="0" borderId="0" xfId="0" applyBorder="1" applyAlignment="1">
      <alignment wrapText="1"/>
    </xf>
    <xf numFmtId="0" fontId="4" fillId="0" borderId="15" xfId="0" applyFont="1" applyFill="1" applyBorder="1" applyAlignment="1" applyProtection="1">
      <alignment horizontal="center" vertical="center" wrapText="1"/>
    </xf>
    <xf numFmtId="0" fontId="4" fillId="24" borderId="15" xfId="0" applyFont="1" applyFill="1" applyBorder="1" applyAlignment="1" applyProtection="1">
      <alignment horizontal="center" vertical="center" wrapText="1"/>
    </xf>
    <xf numFmtId="0" fontId="4" fillId="26" borderId="25" xfId="0" applyFont="1" applyFill="1" applyBorder="1" applyProtection="1"/>
    <xf numFmtId="0" fontId="4"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3" fontId="4" fillId="29" borderId="32" xfId="0" applyNumberFormat="1" applyFont="1" applyFill="1" applyBorder="1" applyAlignment="1" applyProtection="1">
      <alignment horizontal="center" vertical="center"/>
    </xf>
    <xf numFmtId="3" fontId="59" fillId="34" borderId="32" xfId="0" applyNumberFormat="1" applyFont="1" applyFill="1" applyBorder="1" applyAlignment="1" applyProtection="1">
      <alignment horizontal="center" vertical="center"/>
    </xf>
    <xf numFmtId="0" fontId="54" fillId="0" borderId="18" xfId="0" applyFont="1" applyFill="1" applyBorder="1" applyAlignment="1" applyProtection="1">
      <alignment horizontal="left" vertical="top" wrapText="1"/>
    </xf>
    <xf numFmtId="0" fontId="53" fillId="0" borderId="16" xfId="0" applyFont="1" applyFill="1" applyBorder="1" applyAlignment="1" applyProtection="1">
      <alignment horizontal="center" vertical="center"/>
    </xf>
    <xf numFmtId="0" fontId="61" fillId="0" borderId="26" xfId="0" applyFont="1" applyFill="1" applyBorder="1" applyAlignment="1">
      <alignment horizontal="center"/>
    </xf>
    <xf numFmtId="0" fontId="61" fillId="0" borderId="16" xfId="0" applyFont="1" applyFill="1" applyBorder="1" applyAlignment="1">
      <alignment horizontal="center" vertical="center"/>
    </xf>
    <xf numFmtId="0" fontId="61" fillId="0" borderId="18" xfId="0" applyFont="1" applyFill="1" applyBorder="1" applyAlignment="1">
      <alignment horizontal="center"/>
    </xf>
    <xf numFmtId="0" fontId="61" fillId="0" borderId="17" xfId="0" applyFont="1" applyFill="1" applyBorder="1" applyAlignment="1">
      <alignment horizontal="center" vertical="center"/>
    </xf>
    <xf numFmtId="0" fontId="4" fillId="0" borderId="21" xfId="0" applyFont="1" applyFill="1" applyBorder="1" applyAlignment="1" applyProtection="1">
      <alignment horizontal="center" vertical="center"/>
    </xf>
    <xf numFmtId="0" fontId="4" fillId="26" borderId="35" xfId="0" applyFont="1" applyFill="1" applyBorder="1" applyProtection="1"/>
    <xf numFmtId="0" fontId="0" fillId="0" borderId="0" xfId="0" applyFill="1"/>
    <xf numFmtId="9" fontId="4" fillId="26" borderId="0" xfId="0" applyNumberFormat="1" applyFont="1" applyFill="1" applyBorder="1" applyAlignment="1" applyProtection="1">
      <alignment horizontal="center" vertical="center"/>
    </xf>
    <xf numFmtId="0" fontId="4" fillId="0" borderId="18" xfId="0" applyFont="1" applyFill="1" applyBorder="1" applyAlignment="1" applyProtection="1">
      <alignment horizontal="center" vertical="center" wrapText="1"/>
    </xf>
    <xf numFmtId="0" fontId="3" fillId="0" borderId="18" xfId="0" applyFont="1" applyFill="1" applyBorder="1" applyAlignment="1">
      <alignment horizontal="center" vertical="center" wrapText="1"/>
    </xf>
    <xf numFmtId="0" fontId="4" fillId="0" borderId="22" xfId="0" applyFont="1" applyFill="1" applyBorder="1" applyAlignment="1" applyProtection="1">
      <alignment horizontal="center" vertical="center" wrapText="1"/>
    </xf>
    <xf numFmtId="167" fontId="37" fillId="0" borderId="61" xfId="0" applyNumberFormat="1" applyFont="1" applyFill="1" applyBorder="1" applyAlignment="1" applyProtection="1">
      <alignment horizontal="right"/>
    </xf>
    <xf numFmtId="167" fontId="37" fillId="0" borderId="62" xfId="0" applyNumberFormat="1" applyFont="1" applyFill="1" applyBorder="1" applyAlignment="1" applyProtection="1">
      <alignment horizontal="right"/>
    </xf>
    <xf numFmtId="9" fontId="37" fillId="0" borderId="75" xfId="0" applyNumberFormat="1" applyFont="1" applyFill="1" applyBorder="1" applyAlignment="1" applyProtection="1">
      <alignment horizontal="right"/>
    </xf>
    <xf numFmtId="9" fontId="37" fillId="0" borderId="76" xfId="0" applyNumberFormat="1" applyFont="1" applyFill="1" applyBorder="1" applyAlignment="1" applyProtection="1">
      <alignment horizontal="right"/>
    </xf>
    <xf numFmtId="9" fontId="37" fillId="0" borderId="77" xfId="0" applyNumberFormat="1" applyFont="1" applyFill="1" applyBorder="1" applyAlignment="1" applyProtection="1">
      <alignment horizontal="right"/>
    </xf>
    <xf numFmtId="167" fontId="37" fillId="0" borderId="75" xfId="0" applyNumberFormat="1" applyFont="1" applyFill="1" applyBorder="1" applyAlignment="1" applyProtection="1">
      <alignment horizontal="right"/>
    </xf>
    <xf numFmtId="167" fontId="37" fillId="0" borderId="76" xfId="0" applyNumberFormat="1" applyFont="1" applyFill="1" applyBorder="1" applyAlignment="1" applyProtection="1">
      <alignment horizontal="right"/>
    </xf>
    <xf numFmtId="167" fontId="37" fillId="0" borderId="77" xfId="0" applyNumberFormat="1" applyFont="1" applyFill="1" applyBorder="1" applyAlignment="1" applyProtection="1">
      <alignment horizontal="right"/>
    </xf>
    <xf numFmtId="0" fontId="4" fillId="24" borderId="73" xfId="0" applyFont="1" applyFill="1" applyBorder="1" applyProtection="1"/>
    <xf numFmtId="0" fontId="4" fillId="24" borderId="57" xfId="0" applyFont="1" applyFill="1" applyBorder="1" applyAlignment="1" applyProtection="1"/>
    <xf numFmtId="0" fontId="38" fillId="24" borderId="57" xfId="0" applyFont="1" applyFill="1" applyBorder="1" applyProtection="1"/>
    <xf numFmtId="0" fontId="4" fillId="24" borderId="57" xfId="0" applyFont="1" applyFill="1" applyBorder="1" applyAlignment="1" applyProtection="1">
      <alignment horizontal="left" vertical="top"/>
    </xf>
    <xf numFmtId="0" fontId="37" fillId="0" borderId="48" xfId="0" applyFont="1" applyFill="1" applyBorder="1" applyAlignment="1" applyProtection="1">
      <alignment horizontal="right"/>
    </xf>
    <xf numFmtId="0" fontId="4" fillId="24" borderId="0" xfId="0" applyFont="1" applyFill="1" applyBorder="1" applyAlignment="1" applyProtection="1">
      <alignment horizontal="center" vertical="center"/>
    </xf>
    <xf numFmtId="0" fontId="4" fillId="24" borderId="0" xfId="0" applyFont="1" applyFill="1" applyBorder="1" applyAlignment="1" applyProtection="1">
      <alignment horizontal="left" wrapText="1"/>
    </xf>
    <xf numFmtId="0" fontId="3" fillId="0" borderId="0" xfId="47"/>
    <xf numFmtId="0" fontId="33" fillId="37" borderId="15" xfId="47" applyFont="1" applyFill="1" applyBorder="1" applyAlignment="1" applyProtection="1">
      <alignment horizontal="center" vertical="center"/>
    </xf>
    <xf numFmtId="0" fontId="33" fillId="24" borderId="16" xfId="47" applyFont="1" applyFill="1" applyBorder="1" applyAlignment="1" applyProtection="1">
      <alignment vertical="center"/>
    </xf>
    <xf numFmtId="0" fontId="33" fillId="37" borderId="44" xfId="47" applyFont="1" applyFill="1" applyBorder="1" applyAlignment="1" applyProtection="1">
      <alignment horizontal="center" vertical="center"/>
    </xf>
    <xf numFmtId="0" fontId="4" fillId="0" borderId="43" xfId="47" applyFont="1" applyBorder="1" applyAlignment="1" applyProtection="1">
      <alignment horizontal="center" textRotation="90" wrapText="1"/>
    </xf>
    <xf numFmtId="0" fontId="4" fillId="0" borderId="16" xfId="47" applyFont="1" applyBorder="1" applyAlignment="1" applyProtection="1">
      <alignment horizontal="center" textRotation="90" wrapText="1"/>
    </xf>
    <xf numFmtId="0" fontId="4" fillId="0" borderId="23" xfId="47" applyFont="1" applyBorder="1" applyAlignment="1" applyProtection="1">
      <alignment horizontal="center" textRotation="90" wrapText="1"/>
    </xf>
    <xf numFmtId="0" fontId="4" fillId="0" borderId="15" xfId="47" applyFont="1" applyBorder="1" applyAlignment="1" applyProtection="1">
      <alignment horizontal="center" wrapText="1"/>
    </xf>
    <xf numFmtId="0" fontId="44" fillId="0" borderId="15" xfId="47" applyFont="1" applyBorder="1" applyAlignment="1" applyProtection="1">
      <alignment vertical="top" wrapText="1"/>
    </xf>
    <xf numFmtId="0" fontId="42" fillId="25" borderId="15" xfId="47" applyFont="1" applyFill="1" applyBorder="1" applyAlignment="1" applyProtection="1">
      <alignment horizontal="center" vertical="center"/>
    </xf>
    <xf numFmtId="0" fontId="3" fillId="0" borderId="15" xfId="47" applyBorder="1" applyAlignment="1" applyProtection="1">
      <alignment vertical="top" wrapText="1"/>
    </xf>
    <xf numFmtId="0" fontId="42" fillId="26" borderId="15" xfId="47" applyFont="1" applyFill="1" applyBorder="1" applyAlignment="1" applyProtection="1">
      <alignment horizontal="center" vertical="center"/>
    </xf>
    <xf numFmtId="0" fontId="3" fillId="26" borderId="15" xfId="47" applyFill="1" applyBorder="1" applyAlignment="1" applyProtection="1">
      <alignment vertical="top" wrapText="1"/>
    </xf>
    <xf numFmtId="0" fontId="44" fillId="26" borderId="15" xfId="47" applyFont="1" applyFill="1" applyBorder="1" applyAlignment="1" applyProtection="1">
      <alignment vertical="top" wrapText="1"/>
    </xf>
    <xf numFmtId="0" fontId="4" fillId="24" borderId="15" xfId="47" applyFont="1" applyFill="1" applyBorder="1" applyAlignment="1" applyProtection="1"/>
    <xf numFmtId="0" fontId="4" fillId="24" borderId="15" xfId="47" applyFont="1" applyFill="1" applyBorder="1" applyProtection="1"/>
    <xf numFmtId="0" fontId="3" fillId="24" borderId="15" xfId="47" applyFont="1" applyFill="1" applyBorder="1" applyAlignment="1" applyProtection="1">
      <alignment vertical="top" wrapText="1"/>
    </xf>
    <xf numFmtId="0" fontId="3" fillId="0" borderId="0" xfId="47" applyAlignment="1"/>
    <xf numFmtId="0" fontId="63" fillId="24" borderId="57" xfId="0" applyFont="1" applyFill="1" applyBorder="1" applyAlignment="1" applyProtection="1">
      <alignment horizontal="center"/>
    </xf>
    <xf numFmtId="0" fontId="61" fillId="0" borderId="15" xfId="0" applyFont="1" applyFill="1" applyBorder="1" applyAlignment="1">
      <alignment horizontal="center" vertical="center"/>
    </xf>
    <xf numFmtId="3" fontId="4" fillId="29" borderId="18" xfId="0" applyNumberFormat="1" applyFont="1" applyFill="1" applyBorder="1" applyAlignment="1" applyProtection="1">
      <alignment horizontal="center" vertical="center"/>
    </xf>
    <xf numFmtId="3" fontId="59" fillId="34" borderId="18" xfId="0" applyNumberFormat="1" applyFont="1" applyFill="1" applyBorder="1" applyAlignment="1" applyProtection="1">
      <alignment horizontal="center" vertical="center"/>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9" fontId="50" fillId="34" borderId="21" xfId="0" applyNumberFormat="1" applyFont="1" applyFill="1" applyBorder="1" applyAlignment="1" applyProtection="1">
      <alignment horizontal="center" vertical="center"/>
    </xf>
    <xf numFmtId="9" fontId="50" fillId="34" borderId="15" xfId="0" applyNumberFormat="1" applyFont="1" applyFill="1" applyBorder="1" applyAlignment="1" applyProtection="1">
      <alignment horizontal="center" vertical="center"/>
    </xf>
    <xf numFmtId="1" fontId="50" fillId="34" borderId="21" xfId="0" applyNumberFormat="1" applyFont="1" applyFill="1" applyBorder="1" applyAlignment="1" applyProtection="1">
      <alignment horizontal="center" vertical="center"/>
      <protection hidden="1"/>
    </xf>
    <xf numFmtId="0" fontId="4" fillId="0" borderId="0" xfId="0" applyFont="1" applyFill="1" applyBorder="1" applyAlignment="1" applyProtection="1">
      <alignment horizontal="center" vertical="center"/>
    </xf>
    <xf numFmtId="0" fontId="0" fillId="0" borderId="0" xfId="0" applyBorder="1" applyAlignment="1">
      <alignment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7" fillId="26" borderId="79" xfId="47" applyFont="1" applyFill="1" applyBorder="1" applyAlignment="1" applyProtection="1">
      <alignment horizontal="right"/>
    </xf>
    <xf numFmtId="0" fontId="4" fillId="0" borderId="0" xfId="47" applyFont="1" applyFill="1" applyBorder="1" applyProtection="1"/>
    <xf numFmtId="0" fontId="4" fillId="26" borderId="0" xfId="47" applyFont="1" applyFill="1" applyBorder="1" applyProtection="1"/>
    <xf numFmtId="0" fontId="3" fillId="26" borderId="0" xfId="47" applyFill="1" applyBorder="1" applyProtection="1"/>
    <xf numFmtId="0" fontId="35" fillId="26" borderId="0" xfId="47" applyFont="1" applyFill="1" applyBorder="1" applyProtection="1"/>
    <xf numFmtId="0" fontId="37" fillId="26" borderId="0" xfId="47" applyFont="1" applyFill="1" applyBorder="1" applyAlignment="1" applyProtection="1">
      <alignment horizontal="right"/>
    </xf>
    <xf numFmtId="0" fontId="37" fillId="26" borderId="80" xfId="47" applyFont="1" applyFill="1" applyBorder="1" applyAlignment="1" applyProtection="1">
      <alignment horizontal="right"/>
    </xf>
    <xf numFmtId="0" fontId="4" fillId="26" borderId="82" xfId="47" applyFont="1" applyFill="1" applyBorder="1" applyProtection="1"/>
    <xf numFmtId="0" fontId="3" fillId="26" borderId="82" xfId="47" applyFill="1" applyBorder="1" applyProtection="1"/>
    <xf numFmtId="0" fontId="35" fillId="26" borderId="82" xfId="47" applyFont="1" applyFill="1" applyBorder="1" applyProtection="1"/>
    <xf numFmtId="0" fontId="37" fillId="26" borderId="82" xfId="47" applyFont="1" applyFill="1" applyBorder="1" applyAlignment="1" applyProtection="1">
      <alignment horizontal="right"/>
    </xf>
    <xf numFmtId="0" fontId="37" fillId="26" borderId="83" xfId="47" applyFont="1" applyFill="1" applyBorder="1" applyAlignment="1" applyProtection="1">
      <alignment horizontal="right"/>
    </xf>
    <xf numFmtId="0" fontId="8" fillId="26" borderId="0" xfId="47" applyFont="1" applyFill="1" applyBorder="1" applyAlignment="1" applyProtection="1">
      <alignment horizontal="center"/>
    </xf>
    <xf numFmtId="0" fontId="4" fillId="26" borderId="80" xfId="47" applyFont="1" applyFill="1" applyBorder="1" applyProtection="1"/>
    <xf numFmtId="0" fontId="4" fillId="26" borderId="79" xfId="47" applyFont="1" applyFill="1" applyBorder="1" applyProtection="1"/>
    <xf numFmtId="0" fontId="4" fillId="26" borderId="87" xfId="47" applyFont="1" applyFill="1" applyBorder="1" applyProtection="1"/>
    <xf numFmtId="0" fontId="4" fillId="26" borderId="87" xfId="47" applyFont="1" applyFill="1" applyBorder="1"/>
    <xf numFmtId="0" fontId="4" fillId="26" borderId="80" xfId="47" applyFont="1" applyFill="1" applyBorder="1"/>
    <xf numFmtId="0" fontId="4" fillId="26" borderId="79" xfId="47" applyFont="1" applyFill="1" applyBorder="1"/>
    <xf numFmtId="0" fontId="59" fillId="0" borderId="0" xfId="47" applyFont="1" applyFill="1" applyAlignment="1">
      <alignment textRotation="90"/>
    </xf>
    <xf numFmtId="0" fontId="4" fillId="0" borderId="0" xfId="47" applyFont="1"/>
    <xf numFmtId="0" fontId="3" fillId="26" borderId="87" xfId="47" applyFill="1" applyBorder="1"/>
    <xf numFmtId="0" fontId="4" fillId="39" borderId="91" xfId="47" applyFont="1" applyFill="1" applyBorder="1" applyAlignment="1">
      <alignment vertical="center" wrapText="1"/>
    </xf>
    <xf numFmtId="1" fontId="4" fillId="0" borderId="66" xfId="47" applyNumberFormat="1" applyFont="1" applyBorder="1" applyAlignment="1">
      <alignment horizontal="center" vertical="center"/>
    </xf>
    <xf numFmtId="0" fontId="3" fillId="26" borderId="80" xfId="47" applyFill="1" applyBorder="1"/>
    <xf numFmtId="0" fontId="3" fillId="26" borderId="79" xfId="47" applyFill="1" applyBorder="1"/>
    <xf numFmtId="0" fontId="3" fillId="0" borderId="0" xfId="47" applyFill="1"/>
    <xf numFmtId="0" fontId="4" fillId="39" borderId="18" xfId="47" applyFont="1" applyFill="1" applyBorder="1" applyAlignment="1">
      <alignment vertical="center" wrapText="1"/>
    </xf>
    <xf numFmtId="9" fontId="4" fillId="0" borderId="15" xfId="47" applyNumberFormat="1" applyFont="1" applyBorder="1" applyAlignment="1">
      <alignment horizontal="center" vertical="center"/>
    </xf>
    <xf numFmtId="0" fontId="4" fillId="39" borderId="94" xfId="47" applyFont="1" applyFill="1" applyBorder="1" applyAlignment="1">
      <alignment vertical="center" wrapText="1"/>
    </xf>
    <xf numFmtId="9" fontId="4" fillId="0" borderId="69" xfId="47" applyNumberFormat="1" applyFont="1" applyBorder="1" applyAlignment="1">
      <alignment horizontal="center" vertical="center"/>
    </xf>
    <xf numFmtId="0" fontId="4" fillId="26" borderId="91" xfId="47" applyFont="1" applyFill="1" applyBorder="1" applyAlignment="1">
      <alignment vertical="center" wrapText="1"/>
    </xf>
    <xf numFmtId="0" fontId="4" fillId="26" borderId="18" xfId="47" applyFont="1" applyFill="1" applyBorder="1" applyAlignment="1">
      <alignment vertical="center" wrapText="1"/>
    </xf>
    <xf numFmtId="0" fontId="4" fillId="26" borderId="94" xfId="47" applyFont="1" applyFill="1" applyBorder="1" applyAlignment="1">
      <alignment vertical="center" wrapText="1"/>
    </xf>
    <xf numFmtId="0" fontId="64" fillId="39" borderId="71" xfId="34" applyFont="1" applyFill="1" applyBorder="1" applyAlignment="1" applyProtection="1">
      <alignment horizontal="center" vertical="center" wrapText="1"/>
    </xf>
    <xf numFmtId="0" fontId="4" fillId="39" borderId="96" xfId="47" applyFont="1" applyFill="1" applyBorder="1" applyAlignment="1">
      <alignment vertical="center" wrapText="1"/>
    </xf>
    <xf numFmtId="1" fontId="4" fillId="0" borderId="72" xfId="47" applyNumberFormat="1" applyFont="1" applyBorder="1" applyAlignment="1">
      <alignment horizontal="center" vertical="center"/>
    </xf>
    <xf numFmtId="0" fontId="4" fillId="39" borderId="91" xfId="47" applyFont="1" applyFill="1" applyBorder="1" applyAlignment="1" applyProtection="1">
      <alignment vertical="center" wrapText="1"/>
    </xf>
    <xf numFmtId="0" fontId="4" fillId="39" borderId="18" xfId="47" applyFont="1" applyFill="1" applyBorder="1" applyAlignment="1" applyProtection="1">
      <alignment vertical="center" wrapText="1"/>
    </xf>
    <xf numFmtId="0" fontId="4" fillId="39" borderId="94" xfId="47" applyFont="1" applyFill="1" applyBorder="1" applyAlignment="1" applyProtection="1">
      <alignment vertical="center" wrapText="1"/>
    </xf>
    <xf numFmtId="0" fontId="4" fillId="26" borderId="48" xfId="47" applyFont="1" applyFill="1" applyBorder="1" applyProtection="1"/>
    <xf numFmtId="0" fontId="8" fillId="26" borderId="48" xfId="47" applyFont="1" applyFill="1" applyBorder="1" applyAlignment="1" applyProtection="1">
      <alignment horizontal="center"/>
    </xf>
    <xf numFmtId="0" fontId="4" fillId="0" borderId="0" xfId="47" applyFont="1" applyFill="1" applyProtection="1"/>
    <xf numFmtId="0" fontId="8" fillId="0" borderId="0" xfId="47" applyFont="1" applyFill="1" applyAlignment="1" applyProtection="1">
      <alignment horizontal="center"/>
    </xf>
    <xf numFmtId="9" fontId="4" fillId="0" borderId="16" xfId="47" applyNumberFormat="1" applyFont="1" applyBorder="1" applyAlignment="1">
      <alignment horizontal="center" vertical="center"/>
    </xf>
    <xf numFmtId="1" fontId="51" fillId="40" borderId="22" xfId="0" applyNumberFormat="1" applyFont="1" applyFill="1" applyBorder="1" applyAlignment="1" applyProtection="1">
      <alignment horizontal="center"/>
    </xf>
    <xf numFmtId="1" fontId="51" fillId="40" borderId="15" xfId="0" applyNumberFormat="1" applyFont="1" applyFill="1" applyBorder="1" applyAlignment="1" applyProtection="1">
      <alignment horizontal="center"/>
    </xf>
    <xf numFmtId="1" fontId="51" fillId="40" borderId="21" xfId="0" applyNumberFormat="1" applyFont="1" applyFill="1" applyBorder="1" applyAlignment="1" applyProtection="1">
      <alignment horizontal="center"/>
    </xf>
    <xf numFmtId="0" fontId="66" fillId="24" borderId="57" xfId="0" applyFont="1" applyFill="1" applyBorder="1" applyAlignment="1" applyProtection="1">
      <alignment horizontal="center"/>
    </xf>
    <xf numFmtId="0" fontId="33" fillId="26" borderId="57" xfId="0" applyFont="1" applyFill="1" applyBorder="1" applyAlignment="1" applyProtection="1">
      <alignment wrapText="1"/>
    </xf>
    <xf numFmtId="0" fontId="0" fillId="26" borderId="0" xfId="0" applyFill="1" applyBorder="1" applyAlignment="1" applyProtection="1"/>
    <xf numFmtId="0" fontId="4" fillId="24" borderId="82" xfId="0" applyFont="1" applyFill="1" applyBorder="1" applyProtection="1"/>
    <xf numFmtId="1" fontId="4" fillId="29" borderId="15" xfId="47" applyNumberFormat="1" applyFont="1" applyFill="1" applyBorder="1" applyAlignment="1" applyProtection="1">
      <alignment horizontal="center" vertical="center" wrapText="1"/>
    </xf>
    <xf numFmtId="0" fontId="3" fillId="0" borderId="0" xfId="47" applyFont="1"/>
    <xf numFmtId="0" fontId="3" fillId="0" borderId="0" xfId="47" applyAlignment="1">
      <alignment wrapText="1"/>
    </xf>
    <xf numFmtId="0" fontId="3" fillId="0" borderId="0" xfId="47" applyAlignment="1">
      <alignment horizontal="left"/>
    </xf>
    <xf numFmtId="1" fontId="3" fillId="0" borderId="0" xfId="47" applyNumberFormat="1"/>
    <xf numFmtId="1" fontId="34" fillId="0" borderId="15" xfId="46" applyNumberFormat="1" applyFont="1" applyFill="1" applyBorder="1" applyAlignment="1" applyProtection="1">
      <alignment horizontal="center" vertical="center" wrapText="1"/>
      <protection locked="0"/>
    </xf>
    <xf numFmtId="9" fontId="4" fillId="0" borderId="32" xfId="0" applyNumberFormat="1" applyFont="1" applyBorder="1" applyAlignment="1" applyProtection="1">
      <alignment horizontal="center" vertical="center"/>
    </xf>
    <xf numFmtId="9" fontId="4" fillId="29" borderId="32" xfId="0" applyNumberFormat="1" applyFont="1" applyFill="1" applyBorder="1" applyAlignment="1" applyProtection="1">
      <alignment horizontal="center" vertical="center"/>
    </xf>
    <xf numFmtId="9" fontId="59" fillId="34" borderId="32" xfId="0" applyNumberFormat="1" applyFont="1" applyFill="1" applyBorder="1" applyAlignment="1" applyProtection="1">
      <alignment horizontal="center" vertical="center"/>
    </xf>
    <xf numFmtId="1" fontId="34" fillId="40" borderId="65" xfId="0" applyNumberFormat="1" applyFont="1" applyFill="1" applyBorder="1" applyAlignment="1" applyProtection="1">
      <alignment horizontal="center" vertical="center" wrapText="1"/>
      <protection locked="0"/>
    </xf>
    <xf numFmtId="1" fontId="34" fillId="40" borderId="66" xfId="0" applyNumberFormat="1" applyFont="1" applyFill="1" applyBorder="1" applyAlignment="1" applyProtection="1">
      <alignment horizontal="center" vertical="center" wrapText="1"/>
      <protection locked="0"/>
    </xf>
    <xf numFmtId="1" fontId="34" fillId="40" borderId="67" xfId="0" applyNumberFormat="1" applyFont="1" applyFill="1" applyBorder="1" applyAlignment="1" applyProtection="1">
      <alignment horizontal="center" vertical="center" wrapText="1"/>
      <protection locked="0"/>
    </xf>
    <xf numFmtId="1" fontId="34" fillId="40" borderId="22" xfId="0" applyNumberFormat="1" applyFont="1" applyFill="1" applyBorder="1" applyAlignment="1" applyProtection="1">
      <alignment horizontal="center" vertical="center" wrapText="1"/>
      <protection locked="0"/>
    </xf>
    <xf numFmtId="1" fontId="34" fillId="40" borderId="15" xfId="0" applyNumberFormat="1" applyFont="1" applyFill="1" applyBorder="1" applyAlignment="1" applyProtection="1">
      <alignment horizontal="center" vertical="center" wrapText="1"/>
      <protection locked="0"/>
    </xf>
    <xf numFmtId="1" fontId="34" fillId="40" borderId="21" xfId="0" applyNumberFormat="1" applyFont="1" applyFill="1" applyBorder="1" applyAlignment="1" applyProtection="1">
      <alignment horizontal="center" vertical="center" wrapText="1"/>
      <protection locked="0"/>
    </xf>
    <xf numFmtId="1" fontId="34" fillId="0" borderId="15" xfId="0" applyNumberFormat="1" applyFont="1" applyFill="1" applyBorder="1" applyAlignment="1" applyProtection="1">
      <alignment horizontal="center" vertical="center" wrapText="1"/>
      <protection locked="0"/>
    </xf>
    <xf numFmtId="1" fontId="34" fillId="0" borderId="21" xfId="0" applyNumberFormat="1" applyFont="1" applyFill="1" applyBorder="1" applyAlignment="1" applyProtection="1">
      <alignment horizontal="center" vertical="center" wrapText="1"/>
    </xf>
    <xf numFmtId="1" fontId="34" fillId="0" borderId="21" xfId="0" quotePrefix="1" applyNumberFormat="1" applyFont="1" applyFill="1" applyBorder="1" applyAlignment="1" applyProtection="1">
      <alignment horizontal="center" vertical="center" wrapText="1"/>
    </xf>
    <xf numFmtId="1" fontId="51" fillId="40" borderId="24" xfId="0" applyNumberFormat="1" applyFont="1" applyFill="1" applyBorder="1" applyAlignment="1" applyProtection="1">
      <alignment horizontal="center"/>
    </xf>
    <xf numFmtId="1" fontId="51" fillId="40" borderId="16" xfId="0" applyNumberFormat="1" applyFont="1" applyFill="1" applyBorder="1" applyAlignment="1" applyProtection="1">
      <alignment horizontal="center"/>
    </xf>
    <xf numFmtId="1" fontId="51" fillId="40" borderId="23" xfId="0" applyNumberFormat="1" applyFont="1" applyFill="1" applyBorder="1" applyAlignment="1" applyProtection="1">
      <alignment horizontal="center"/>
    </xf>
    <xf numFmtId="0" fontId="4" fillId="0" borderId="15" xfId="0" applyFont="1" applyFill="1" applyBorder="1" applyAlignment="1" applyProtection="1">
      <alignment vertical="center"/>
    </xf>
    <xf numFmtId="167" fontId="61" fillId="0" borderId="15" xfId="0" applyNumberFormat="1" applyFont="1" applyFill="1" applyBorder="1" applyAlignment="1">
      <alignment horizontal="right"/>
    </xf>
    <xf numFmtId="0" fontId="61" fillId="0" borderId="21" xfId="0" applyFont="1" applyFill="1" applyBorder="1" applyAlignment="1">
      <alignment horizontal="center"/>
    </xf>
    <xf numFmtId="0" fontId="61" fillId="0" borderId="21" xfId="0" applyFont="1" applyFill="1" applyBorder="1" applyAlignment="1">
      <alignment horizontal="center" vertical="center"/>
    </xf>
    <xf numFmtId="0" fontId="4" fillId="0" borderId="15" xfId="0" applyFont="1" applyFill="1" applyBorder="1" applyAlignment="1" applyProtection="1">
      <alignment horizontal="center" vertical="center"/>
    </xf>
    <xf numFmtId="0" fontId="61" fillId="0" borderId="15" xfId="0" applyFont="1" applyFill="1" applyBorder="1" applyAlignment="1" applyProtection="1">
      <alignment horizontal="center" vertical="center"/>
    </xf>
    <xf numFmtId="0" fontId="61" fillId="0" borderId="14" xfId="0" applyFont="1" applyFill="1" applyBorder="1" applyAlignment="1">
      <alignment horizontal="center" vertical="center"/>
    </xf>
    <xf numFmtId="0" fontId="61" fillId="0" borderId="21" xfId="0" applyFont="1" applyFill="1" applyBorder="1" applyAlignment="1" applyProtection="1">
      <alignment horizontal="center" vertical="center"/>
    </xf>
    <xf numFmtId="0" fontId="7" fillId="0" borderId="0" xfId="0" applyFont="1" applyFill="1"/>
    <xf numFmtId="0" fontId="34" fillId="0" borderId="0" xfId="0" applyFont="1" applyFill="1"/>
    <xf numFmtId="0" fontId="4" fillId="0" borderId="0" xfId="0" applyFont="1" applyFill="1" applyBorder="1" applyAlignment="1" applyProtection="1">
      <alignment vertical="center"/>
      <protection locked="0"/>
    </xf>
    <xf numFmtId="0" fontId="37" fillId="0" borderId="15" xfId="0" applyFont="1" applyFill="1" applyBorder="1" applyAlignment="1" applyProtection="1">
      <alignment horizontal="center" vertical="center"/>
    </xf>
    <xf numFmtId="0" fontId="4" fillId="0" borderId="48" xfId="0" applyFont="1" applyFill="1" applyBorder="1" applyProtection="1"/>
    <xf numFmtId="3" fontId="4" fillId="0" borderId="21" xfId="0" applyNumberFormat="1" applyFont="1" applyFill="1" applyBorder="1" applyAlignment="1" applyProtection="1">
      <alignment horizontal="center" vertical="center"/>
    </xf>
    <xf numFmtId="0" fontId="51" fillId="0" borderId="0" xfId="0" applyFont="1" applyFill="1" applyBorder="1" applyAlignment="1">
      <alignment horizontal="left"/>
    </xf>
    <xf numFmtId="0" fontId="37" fillId="0" borderId="0" xfId="0" applyFont="1" applyFill="1" applyBorder="1" applyAlignment="1">
      <alignment horizontal="right"/>
    </xf>
    <xf numFmtId="0" fontId="61" fillId="0" borderId="16" xfId="0" applyFont="1" applyFill="1" applyBorder="1" applyAlignment="1">
      <alignment horizontal="center" vertical="center" wrapText="1"/>
    </xf>
    <xf numFmtId="0" fontId="54" fillId="0" borderId="16" xfId="0" applyFont="1" applyFill="1" applyBorder="1" applyAlignment="1">
      <alignment horizontal="right"/>
    </xf>
    <xf numFmtId="0" fontId="54" fillId="0" borderId="15" xfId="0" applyFont="1" applyFill="1" applyBorder="1" applyAlignment="1">
      <alignment horizontal="right"/>
    </xf>
    <xf numFmtId="167" fontId="37" fillId="0" borderId="14" xfId="0" applyNumberFormat="1" applyFont="1" applyFill="1" applyBorder="1" applyAlignment="1" applyProtection="1">
      <alignment horizontal="center" vertical="center"/>
    </xf>
    <xf numFmtId="1" fontId="61" fillId="0" borderId="15" xfId="0" applyNumberFormat="1" applyFont="1" applyFill="1" applyBorder="1" applyAlignment="1">
      <alignment horizontal="center" vertical="center"/>
    </xf>
    <xf numFmtId="1" fontId="61" fillId="0" borderId="15" xfId="0" applyNumberFormat="1" applyFont="1" applyFill="1" applyBorder="1" applyAlignment="1">
      <alignment horizontal="center"/>
    </xf>
    <xf numFmtId="1" fontId="4" fillId="0" borderId="15" xfId="0" applyNumberFormat="1" applyFont="1" applyFill="1" applyBorder="1" applyAlignment="1" applyProtection="1">
      <alignment horizontal="center" vertical="center"/>
    </xf>
    <xf numFmtId="0" fontId="61" fillId="0" borderId="21" xfId="0" applyFont="1" applyFill="1" applyBorder="1" applyAlignment="1" applyProtection="1">
      <alignment vertical="center"/>
    </xf>
    <xf numFmtId="0" fontId="61" fillId="0" borderId="15" xfId="0" applyFont="1" applyFill="1" applyBorder="1" applyAlignment="1" applyProtection="1">
      <alignment vertical="center"/>
    </xf>
    <xf numFmtId="0" fontId="61" fillId="0" borderId="14" xfId="0" applyFont="1" applyFill="1" applyBorder="1" applyAlignment="1" applyProtection="1">
      <alignment horizontal="center"/>
    </xf>
    <xf numFmtId="0" fontId="61" fillId="0" borderId="15" xfId="0" applyFont="1" applyFill="1" applyBorder="1" applyAlignment="1" applyProtection="1">
      <alignment horizontal="center"/>
    </xf>
    <xf numFmtId="0" fontId="4" fillId="0" borderId="0" xfId="0" applyFont="1" applyFill="1"/>
    <xf numFmtId="0" fontId="4" fillId="0" borderId="0" xfId="0" applyFont="1" applyFill="1" applyBorder="1" applyAlignment="1">
      <alignment horizontal="left"/>
    </xf>
    <xf numFmtId="0" fontId="37" fillId="0" borderId="0" xfId="0" applyFont="1" applyFill="1" applyBorder="1" applyAlignment="1">
      <alignment horizontal="right" vertical="center"/>
    </xf>
    <xf numFmtId="0" fontId="61" fillId="0" borderId="0" xfId="0" applyFont="1" applyFill="1" applyBorder="1" applyAlignment="1">
      <alignment horizontal="left" vertical="center"/>
    </xf>
    <xf numFmtId="3" fontId="61" fillId="0" borderId="15" xfId="0" applyNumberFormat="1" applyFont="1" applyFill="1" applyBorder="1" applyAlignment="1">
      <alignment horizontal="center" vertical="center"/>
    </xf>
    <xf numFmtId="0" fontId="61" fillId="0" borderId="0" xfId="0" applyFont="1" applyFill="1" applyBorder="1" applyAlignment="1">
      <alignment horizontal="center"/>
    </xf>
    <xf numFmtId="0" fontId="4" fillId="29" borderId="15" xfId="47" applyFont="1" applyFill="1" applyBorder="1" applyAlignment="1" applyProtection="1">
      <alignment horizontal="center" vertical="center" textRotation="180" wrapText="1"/>
    </xf>
    <xf numFmtId="0" fontId="4" fillId="0" borderId="15" xfId="47" applyFont="1" applyBorder="1" applyAlignment="1">
      <alignment horizontal="center" vertical="center" textRotation="180"/>
    </xf>
    <xf numFmtId="0" fontId="68" fillId="41" borderId="15" xfId="47" applyFont="1" applyFill="1" applyBorder="1" applyAlignment="1" applyProtection="1">
      <alignment horizontal="left" vertical="top" wrapText="1"/>
    </xf>
    <xf numFmtId="0" fontId="4" fillId="0" borderId="15" xfId="47" applyFont="1" applyBorder="1" applyAlignment="1">
      <alignment wrapText="1"/>
    </xf>
    <xf numFmtId="1" fontId="4" fillId="0" borderId="15" xfId="46" applyNumberFormat="1" applyFont="1" applyFill="1" applyBorder="1" applyAlignment="1" applyProtection="1">
      <alignment horizontal="left" vertical="center" wrapText="1"/>
      <protection locked="0"/>
    </xf>
    <xf numFmtId="1" fontId="4" fillId="0" borderId="15" xfId="47" applyNumberFormat="1" applyFont="1" applyFill="1" applyBorder="1" applyAlignment="1" applyProtection="1">
      <alignment horizontal="left" vertical="center" wrapText="1"/>
      <protection locked="0"/>
    </xf>
    <xf numFmtId="1" fontId="4" fillId="24" borderId="15" xfId="47" applyNumberFormat="1" applyFont="1" applyFill="1" applyBorder="1" applyAlignment="1" applyProtection="1">
      <alignment horizontal="left" vertical="center" wrapText="1"/>
      <protection locked="0"/>
    </xf>
    <xf numFmtId="1" fontId="4" fillId="24" borderId="15" xfId="46" applyNumberFormat="1" applyFont="1" applyFill="1" applyBorder="1" applyAlignment="1" applyProtection="1">
      <alignment horizontal="left" vertical="center" wrapText="1"/>
      <protection locked="0"/>
    </xf>
    <xf numFmtId="1" fontId="4" fillId="26" borderId="15" xfId="47" applyNumberFormat="1" applyFont="1" applyFill="1" applyBorder="1" applyAlignment="1" applyProtection="1">
      <alignment horizontal="left" vertical="center" wrapText="1"/>
      <protection locked="0"/>
    </xf>
    <xf numFmtId="1" fontId="4" fillId="26" borderId="15" xfId="46" applyNumberFormat="1" applyFont="1" applyFill="1" applyBorder="1" applyAlignment="1" applyProtection="1">
      <alignment horizontal="left" vertical="center" wrapText="1"/>
      <protection locked="0"/>
    </xf>
    <xf numFmtId="0" fontId="4" fillId="0" borderId="15" xfId="47" applyFont="1" applyFill="1" applyBorder="1" applyAlignment="1" applyProtection="1">
      <alignment horizontal="left" vertical="center" wrapText="1" indent="1"/>
    </xf>
    <xf numFmtId="0" fontId="68" fillId="40" borderId="15" xfId="47" applyFont="1" applyFill="1" applyBorder="1" applyAlignment="1" applyProtection="1">
      <alignment horizontal="left" vertical="top" wrapText="1"/>
    </xf>
    <xf numFmtId="0" fontId="68" fillId="0" borderId="15" xfId="47" applyFont="1" applyFill="1" applyBorder="1" applyAlignment="1" applyProtection="1">
      <alignment horizontal="left" vertical="top" wrapText="1"/>
    </xf>
    <xf numFmtId="1" fontId="4" fillId="26" borderId="15" xfId="47" applyNumberFormat="1" applyFont="1" applyFill="1" applyBorder="1" applyAlignment="1" applyProtection="1">
      <alignment horizontal="left" vertical="center" wrapText="1"/>
    </xf>
    <xf numFmtId="0" fontId="69" fillId="26" borderId="0" xfId="0" applyFont="1" applyFill="1" applyBorder="1" applyAlignment="1">
      <alignment vertical="top"/>
    </xf>
    <xf numFmtId="165" fontId="59" fillId="34" borderId="21" xfId="0" quotePrefix="1" applyNumberFormat="1" applyFont="1" applyFill="1" applyBorder="1" applyAlignment="1" applyProtection="1">
      <alignment horizontal="right" vertical="center"/>
      <protection hidden="1"/>
    </xf>
    <xf numFmtId="165" fontId="59" fillId="34" borderId="18" xfId="0" quotePrefix="1" applyNumberFormat="1" applyFont="1" applyFill="1" applyBorder="1" applyAlignment="1" applyProtection="1">
      <alignment horizontal="center" vertical="center"/>
      <protection hidden="1"/>
    </xf>
    <xf numFmtId="3" fontId="61" fillId="0" borderId="15" xfId="0" applyNumberFormat="1" applyFont="1" applyFill="1" applyBorder="1" applyAlignment="1" applyProtection="1">
      <alignment horizontal="center" vertical="center"/>
    </xf>
    <xf numFmtId="3" fontId="61" fillId="0" borderId="21" xfId="0" applyNumberFormat="1" applyFont="1" applyFill="1" applyBorder="1" applyAlignment="1" applyProtection="1">
      <alignment horizontal="center" vertical="center"/>
    </xf>
    <xf numFmtId="1" fontId="4" fillId="0" borderId="21" xfId="0" applyNumberFormat="1" applyFont="1" applyFill="1" applyBorder="1" applyAlignment="1" applyProtection="1">
      <alignment horizontal="center" vertical="center"/>
    </xf>
    <xf numFmtId="9" fontId="4" fillId="0" borderId="15" xfId="0" applyNumberFormat="1" applyFont="1" applyFill="1" applyBorder="1" applyAlignment="1" applyProtection="1">
      <alignment horizontal="center" vertical="center"/>
    </xf>
    <xf numFmtId="9" fontId="4" fillId="0" borderId="21" xfId="0" applyNumberFormat="1" applyFont="1" applyFill="1" applyBorder="1" applyAlignment="1" applyProtection="1">
      <alignment horizontal="center" vertical="center"/>
    </xf>
    <xf numFmtId="0" fontId="61" fillId="0" borderId="15" xfId="0" applyFont="1" applyFill="1" applyBorder="1" applyAlignment="1" applyProtection="1">
      <alignment horizontal="right"/>
    </xf>
    <xf numFmtId="3" fontId="61" fillId="0" borderId="15" xfId="0" applyNumberFormat="1" applyFont="1" applyFill="1" applyBorder="1" applyAlignment="1">
      <alignment horizontal="right"/>
    </xf>
    <xf numFmtId="0" fontId="61" fillId="0" borderId="15" xfId="0" applyFont="1" applyFill="1" applyBorder="1" applyAlignment="1" applyProtection="1"/>
    <xf numFmtId="0" fontId="46" fillId="26" borderId="0" xfId="0" applyFont="1" applyFill="1" applyBorder="1" applyAlignment="1" applyProtection="1">
      <alignment horizontal="left" vertical="center" wrapText="1"/>
    </xf>
    <xf numFmtId="0" fontId="31" fillId="24" borderId="0" xfId="0" applyFont="1" applyFill="1" applyBorder="1" applyAlignment="1" applyProtection="1">
      <alignment vertical="top" wrapText="1"/>
    </xf>
    <xf numFmtId="0" fontId="31" fillId="24" borderId="0" xfId="0" applyFont="1" applyFill="1" applyBorder="1" applyAlignment="1" applyProtection="1">
      <alignment horizontal="left" vertical="top" wrapText="1"/>
    </xf>
    <xf numFmtId="0" fontId="70" fillId="24" borderId="0" xfId="0" applyFont="1" applyFill="1" applyBorder="1" applyAlignment="1" applyProtection="1">
      <alignment vertical="top"/>
    </xf>
    <xf numFmtId="0" fontId="31" fillId="24" borderId="0" xfId="0" applyFont="1" applyFill="1" applyBorder="1" applyAlignment="1" applyProtection="1">
      <alignment vertical="top"/>
    </xf>
    <xf numFmtId="1" fontId="54" fillId="0" borderId="0" xfId="0" applyNumberFormat="1" applyFont="1" applyFill="1" applyBorder="1" applyProtection="1"/>
    <xf numFmtId="0" fontId="54" fillId="0" borderId="0" xfId="0" applyFont="1" applyFill="1" applyBorder="1" applyAlignment="1" applyProtection="1">
      <alignment horizontal="right" vertical="center"/>
    </xf>
    <xf numFmtId="0" fontId="54" fillId="0" borderId="0" xfId="0" applyFont="1" applyFill="1" applyBorder="1" applyProtection="1"/>
    <xf numFmtId="1" fontId="51" fillId="0" borderId="0" xfId="0" applyNumberFormat="1" applyFont="1" applyFill="1" applyBorder="1" applyAlignment="1" applyProtection="1">
      <alignment horizontal="center"/>
    </xf>
    <xf numFmtId="1" fontId="51" fillId="0" borderId="29" xfId="0" applyNumberFormat="1" applyFont="1" applyFill="1" applyBorder="1" applyAlignment="1" applyProtection="1">
      <alignment horizontal="center"/>
    </xf>
    <xf numFmtId="1" fontId="51" fillId="0" borderId="12" xfId="0" applyNumberFormat="1" applyFont="1" applyFill="1" applyBorder="1" applyAlignment="1" applyProtection="1">
      <alignment horizontal="center"/>
    </xf>
    <xf numFmtId="1" fontId="51" fillId="0" borderId="31" xfId="0" applyNumberFormat="1" applyFont="1" applyFill="1" applyBorder="1" applyAlignment="1" applyProtection="1">
      <alignment horizontal="center"/>
    </xf>
    <xf numFmtId="1" fontId="54" fillId="0" borderId="34" xfId="0" applyNumberFormat="1" applyFont="1" applyFill="1" applyBorder="1" applyProtection="1"/>
    <xf numFmtId="1" fontId="54" fillId="0" borderId="92" xfId="0" applyNumberFormat="1" applyFont="1" applyFill="1" applyBorder="1" applyProtection="1"/>
    <xf numFmtId="1" fontId="34" fillId="0" borderId="22" xfId="0" applyNumberFormat="1" applyFont="1" applyFill="1" applyBorder="1" applyAlignment="1" applyProtection="1">
      <alignment horizontal="center" vertical="center" wrapText="1"/>
      <protection locked="0"/>
    </xf>
    <xf numFmtId="1" fontId="34" fillId="0" borderId="22" xfId="46" applyNumberFormat="1" applyFont="1" applyFill="1" applyBorder="1" applyAlignment="1" applyProtection="1">
      <alignment horizontal="center" vertical="center" wrapText="1"/>
      <protection locked="0"/>
    </xf>
    <xf numFmtId="1" fontId="34" fillId="0" borderId="19" xfId="0" applyNumberFormat="1" applyFont="1" applyFill="1" applyBorder="1" applyAlignment="1" applyProtection="1">
      <alignment horizontal="center" vertical="center" wrapText="1"/>
    </xf>
    <xf numFmtId="1" fontId="4" fillId="0" borderId="68" xfId="0" applyNumberFormat="1" applyFont="1" applyFill="1" applyBorder="1" applyAlignment="1" applyProtection="1">
      <alignment horizontal="center" vertical="center" wrapText="1"/>
      <protection locked="0"/>
    </xf>
    <xf numFmtId="1" fontId="4" fillId="0" borderId="69" xfId="0" applyNumberFormat="1" applyFont="1" applyFill="1" applyBorder="1" applyAlignment="1" applyProtection="1">
      <alignment horizontal="center" vertical="center" wrapText="1"/>
      <protection locked="0"/>
    </xf>
    <xf numFmtId="1" fontId="54" fillId="0" borderId="95" xfId="0" applyNumberFormat="1" applyFont="1" applyFill="1" applyBorder="1" applyProtection="1"/>
    <xf numFmtId="0" fontId="8" fillId="25" borderId="18" xfId="0" applyFont="1" applyFill="1" applyBorder="1" applyAlignment="1" applyProtection="1">
      <alignment vertical="center" wrapText="1"/>
    </xf>
    <xf numFmtId="1" fontId="37" fillId="0" borderId="0" xfId="0" applyNumberFormat="1" applyFont="1" applyFill="1" applyBorder="1" applyAlignment="1" applyProtection="1">
      <alignment horizontal="right"/>
    </xf>
    <xf numFmtId="9" fontId="4" fillId="0" borderId="21" xfId="47" applyNumberFormat="1" applyFont="1" applyBorder="1" applyAlignment="1">
      <alignment horizontal="center" vertical="center"/>
    </xf>
    <xf numFmtId="9" fontId="4" fillId="0" borderId="66" xfId="47" applyNumberFormat="1" applyFont="1" applyBorder="1" applyAlignment="1">
      <alignment horizontal="center" vertical="center"/>
    </xf>
    <xf numFmtId="1" fontId="4" fillId="0" borderId="105" xfId="47" applyNumberFormat="1" applyFont="1" applyBorder="1" applyAlignment="1">
      <alignment horizontal="center" vertical="center"/>
    </xf>
    <xf numFmtId="165" fontId="4" fillId="0" borderId="15" xfId="47" applyNumberFormat="1" applyFont="1" applyBorder="1" applyAlignment="1">
      <alignment horizontal="center" vertical="center"/>
    </xf>
    <xf numFmtId="165" fontId="4" fillId="0" borderId="69" xfId="47" applyNumberFormat="1" applyFont="1" applyBorder="1" applyAlignment="1">
      <alignment horizontal="center" vertical="center"/>
    </xf>
    <xf numFmtId="165" fontId="4" fillId="0" borderId="21" xfId="47" applyNumberFormat="1" applyFont="1" applyBorder="1" applyAlignment="1">
      <alignment horizontal="center" vertical="center"/>
    </xf>
    <xf numFmtId="165" fontId="4" fillId="0" borderId="70" xfId="47" applyNumberFormat="1" applyFont="1" applyBorder="1" applyAlignment="1">
      <alignment horizontal="center" vertical="center"/>
    </xf>
    <xf numFmtId="9" fontId="4" fillId="0" borderId="12" xfId="47" applyNumberFormat="1" applyFont="1" applyBorder="1" applyAlignment="1">
      <alignment horizontal="center" vertical="center"/>
    </xf>
    <xf numFmtId="0" fontId="3" fillId="26" borderId="84" xfId="47" applyFill="1" applyBorder="1"/>
    <xf numFmtId="0" fontId="4" fillId="26" borderId="85" xfId="47" applyFont="1" applyFill="1" applyBorder="1" applyAlignment="1">
      <alignment horizontal="center" vertical="center" wrapText="1"/>
    </xf>
    <xf numFmtId="0" fontId="4" fillId="26" borderId="85" xfId="47" applyFont="1" applyFill="1" applyBorder="1" applyAlignment="1">
      <alignment vertical="center" wrapText="1"/>
    </xf>
    <xf numFmtId="1" fontId="4" fillId="26" borderId="85" xfId="47" applyNumberFormat="1" applyFont="1" applyFill="1" applyBorder="1" applyAlignment="1">
      <alignment horizontal="center" vertical="center"/>
    </xf>
    <xf numFmtId="1" fontId="8" fillId="26" borderId="85" xfId="47" applyNumberFormat="1" applyFont="1" applyFill="1" applyBorder="1" applyAlignment="1">
      <alignment horizontal="center" vertical="center"/>
    </xf>
    <xf numFmtId="0" fontId="3" fillId="26" borderId="86" xfId="47" applyFill="1" applyBorder="1"/>
    <xf numFmtId="0" fontId="4" fillId="26" borderId="87" xfId="47" applyFont="1" applyFill="1" applyBorder="1" applyAlignment="1" applyProtection="1">
      <alignment vertical="center"/>
    </xf>
    <xf numFmtId="0" fontId="4" fillId="26" borderId="0" xfId="47" applyFont="1" applyFill="1" applyBorder="1" applyAlignment="1" applyProtection="1">
      <alignment vertical="center"/>
    </xf>
    <xf numFmtId="0" fontId="8" fillId="26" borderId="0" xfId="47" applyFont="1" applyFill="1" applyBorder="1" applyAlignment="1" applyProtection="1">
      <alignment horizontal="center" vertical="center"/>
    </xf>
    <xf numFmtId="0" fontId="4" fillId="26" borderId="80" xfId="47" applyFont="1" applyFill="1" applyBorder="1" applyAlignment="1" applyProtection="1">
      <alignment vertical="center"/>
    </xf>
    <xf numFmtId="0" fontId="4" fillId="26" borderId="79" xfId="47" applyFont="1" applyFill="1" applyBorder="1" applyAlignment="1" applyProtection="1">
      <alignment vertical="center"/>
    </xf>
    <xf numFmtId="0" fontId="4" fillId="0" borderId="0" xfId="47" applyFont="1" applyFill="1" applyBorder="1" applyAlignment="1" applyProtection="1">
      <alignment vertical="center"/>
    </xf>
    <xf numFmtId="0" fontId="57" fillId="26" borderId="0" xfId="47" applyFont="1" applyFill="1" applyBorder="1" applyAlignment="1" applyProtection="1">
      <alignment horizontal="left" vertical="center" indent="1"/>
    </xf>
    <xf numFmtId="0" fontId="29" fillId="26" borderId="0" xfId="0" applyFont="1" applyFill="1" applyBorder="1" applyAlignment="1">
      <alignment horizontal="left"/>
    </xf>
    <xf numFmtId="0" fontId="29" fillId="26" borderId="0" xfId="0" applyFont="1" applyFill="1" applyBorder="1" applyAlignment="1"/>
    <xf numFmtId="0" fontId="29" fillId="26" borderId="0" xfId="0" applyFont="1" applyFill="1" applyBorder="1" applyAlignment="1">
      <alignment vertical="center"/>
    </xf>
    <xf numFmtId="0" fontId="29" fillId="26" borderId="0" xfId="0" applyFont="1" applyFill="1" applyBorder="1" applyAlignment="1">
      <alignment vertical="center" wrapText="1"/>
    </xf>
    <xf numFmtId="0" fontId="48" fillId="26" borderId="0" xfId="34" applyFill="1" applyBorder="1" applyAlignment="1" applyProtection="1">
      <alignment vertical="center"/>
    </xf>
    <xf numFmtId="0" fontId="29" fillId="26" borderId="49" xfId="0" applyFont="1" applyFill="1" applyBorder="1" applyAlignment="1">
      <alignment vertical="center"/>
    </xf>
    <xf numFmtId="0" fontId="29" fillId="26" borderId="49" xfId="0" applyFont="1" applyFill="1" applyBorder="1" applyAlignment="1">
      <alignment vertical="center" wrapText="1"/>
    </xf>
    <xf numFmtId="0" fontId="29" fillId="26" borderId="48" xfId="0" applyFont="1" applyFill="1" applyBorder="1" applyAlignment="1">
      <alignment horizontal="left" vertical="center" indent="2"/>
    </xf>
    <xf numFmtId="0" fontId="29" fillId="26" borderId="48" xfId="0" applyFont="1" applyFill="1" applyBorder="1" applyAlignment="1">
      <alignment vertical="center" wrapText="1"/>
    </xf>
    <xf numFmtId="0" fontId="29" fillId="26" borderId="49" xfId="0" applyFont="1" applyFill="1" applyBorder="1" applyAlignment="1"/>
    <xf numFmtId="0" fontId="3" fillId="26" borderId="0" xfId="0" applyFont="1" applyFill="1" applyBorder="1" applyAlignment="1">
      <alignment horizontal="left" vertical="top"/>
    </xf>
    <xf numFmtId="0" fontId="3" fillId="26" borderId="0" xfId="0" applyFont="1" applyFill="1" applyBorder="1" applyAlignment="1">
      <alignment vertical="center"/>
    </xf>
    <xf numFmtId="0" fontId="7" fillId="24" borderId="35" xfId="0" applyFont="1" applyFill="1" applyBorder="1"/>
    <xf numFmtId="0" fontId="7" fillId="24" borderId="36" xfId="0" applyFont="1" applyFill="1" applyBorder="1"/>
    <xf numFmtId="0" fontId="0" fillId="24" borderId="36" xfId="0" applyFill="1" applyBorder="1"/>
    <xf numFmtId="0" fontId="7" fillId="24" borderId="37" xfId="0" applyFont="1" applyFill="1" applyBorder="1"/>
    <xf numFmtId="0" fontId="7" fillId="24" borderId="57" xfId="0" applyFont="1" applyFill="1" applyBorder="1"/>
    <xf numFmtId="0" fontId="7" fillId="24" borderId="39" xfId="0" applyFont="1" applyFill="1" applyBorder="1"/>
    <xf numFmtId="0" fontId="8" fillId="24" borderId="39" xfId="0" applyFont="1" applyFill="1" applyBorder="1"/>
    <xf numFmtId="0" fontId="3" fillId="26" borderId="0" xfId="0" applyFont="1" applyFill="1" applyBorder="1" applyAlignment="1">
      <alignment horizontal="left" vertical="center" wrapText="1"/>
    </xf>
    <xf numFmtId="0" fontId="29" fillId="26" borderId="48" xfId="0" applyFont="1" applyFill="1" applyBorder="1" applyAlignment="1">
      <alignment horizontal="left"/>
    </xf>
    <xf numFmtId="0" fontId="29" fillId="26" borderId="48" xfId="0" applyFont="1" applyFill="1" applyBorder="1" applyAlignment="1"/>
    <xf numFmtId="0" fontId="34" fillId="24" borderId="57" xfId="0" applyFont="1" applyFill="1" applyBorder="1"/>
    <xf numFmtId="0" fontId="34" fillId="24" borderId="39" xfId="0" applyFont="1" applyFill="1" applyBorder="1"/>
    <xf numFmtId="0" fontId="7" fillId="24" borderId="81" xfId="0" applyFont="1" applyFill="1" applyBorder="1"/>
    <xf numFmtId="0" fontId="7" fillId="24" borderId="82" xfId="0" applyFont="1" applyFill="1" applyBorder="1"/>
    <xf numFmtId="0" fontId="0" fillId="24" borderId="82" xfId="0" applyFill="1" applyBorder="1"/>
    <xf numFmtId="0" fontId="7" fillId="24" borderId="54" xfId="0" applyFont="1" applyFill="1" applyBorder="1"/>
    <xf numFmtId="0" fontId="29" fillId="26" borderId="0" xfId="0" applyFont="1" applyFill="1" applyBorder="1" applyAlignment="1">
      <alignment horizontal="left" vertical="center" indent="2"/>
    </xf>
    <xf numFmtId="0" fontId="31" fillId="26" borderId="0" xfId="0" applyFont="1" applyFill="1" applyBorder="1" applyAlignment="1">
      <alignment vertical="center"/>
    </xf>
    <xf numFmtId="0" fontId="72" fillId="26" borderId="0" xfId="47" applyFont="1" applyFill="1" applyBorder="1" applyAlignment="1" applyProtection="1">
      <alignment horizontal="left" vertical="center"/>
    </xf>
    <xf numFmtId="0" fontId="4" fillId="26" borderId="108" xfId="47" applyFont="1" applyFill="1" applyBorder="1" applyProtection="1"/>
    <xf numFmtId="0" fontId="8" fillId="26" borderId="76" xfId="47" applyNumberFormat="1" applyFont="1" applyFill="1" applyBorder="1" applyAlignment="1">
      <alignment horizontal="center" wrapText="1"/>
    </xf>
    <xf numFmtId="0" fontId="4" fillId="39" borderId="13" xfId="47" applyFont="1" applyFill="1" applyBorder="1" applyAlignment="1">
      <alignment vertical="center" wrapText="1"/>
    </xf>
    <xf numFmtId="1" fontId="4" fillId="0" borderId="71" xfId="47" applyNumberFormat="1" applyFont="1" applyBorder="1" applyAlignment="1">
      <alignment horizontal="center" vertical="center"/>
    </xf>
    <xf numFmtId="1" fontId="4" fillId="0" borderId="111" xfId="47" applyNumberFormat="1" applyFont="1" applyBorder="1" applyAlignment="1">
      <alignment horizontal="center" vertical="center"/>
    </xf>
    <xf numFmtId="1" fontId="4" fillId="0" borderId="65" xfId="47" applyNumberFormat="1" applyFont="1" applyBorder="1" applyAlignment="1">
      <alignment horizontal="center" vertical="center"/>
    </xf>
    <xf numFmtId="1" fontId="4" fillId="0" borderId="67" xfId="47" applyNumberFormat="1" applyFont="1" applyBorder="1" applyAlignment="1">
      <alignment horizontal="center" vertical="center"/>
    </xf>
    <xf numFmtId="9" fontId="4" fillId="0" borderId="22" xfId="47" applyNumberFormat="1" applyFont="1" applyBorder="1" applyAlignment="1">
      <alignment horizontal="center" vertical="center"/>
    </xf>
    <xf numFmtId="9" fontId="4" fillId="0" borderId="68" xfId="47" applyNumberFormat="1" applyFont="1" applyBorder="1" applyAlignment="1">
      <alignment horizontal="center" vertical="center"/>
    </xf>
    <xf numFmtId="9" fontId="4" fillId="0" borderId="70" xfId="47" applyNumberFormat="1" applyFont="1" applyBorder="1" applyAlignment="1">
      <alignment horizontal="center" vertical="center"/>
    </xf>
    <xf numFmtId="9" fontId="4" fillId="0" borderId="24" xfId="47" applyNumberFormat="1" applyFont="1" applyBorder="1" applyAlignment="1">
      <alignment horizontal="center" vertical="center"/>
    </xf>
    <xf numFmtId="9" fontId="4" fillId="0" borderId="23" xfId="47" applyNumberFormat="1" applyFont="1" applyBorder="1" applyAlignment="1">
      <alignment horizontal="center" vertical="center"/>
    </xf>
    <xf numFmtId="9" fontId="4" fillId="0" borderId="65" xfId="47" applyNumberFormat="1" applyFont="1" applyBorder="1" applyAlignment="1">
      <alignment horizontal="center" vertical="center"/>
    </xf>
    <xf numFmtId="9" fontId="4" fillId="0" borderId="67" xfId="47" applyNumberFormat="1" applyFont="1" applyBorder="1" applyAlignment="1">
      <alignment horizontal="center" vertical="center"/>
    </xf>
    <xf numFmtId="165" fontId="4" fillId="0" borderId="22" xfId="47" applyNumberFormat="1" applyFont="1" applyBorder="1" applyAlignment="1">
      <alignment horizontal="center" vertical="center"/>
    </xf>
    <xf numFmtId="165" fontId="4" fillId="0" borderId="68" xfId="47" applyNumberFormat="1" applyFont="1" applyBorder="1" applyAlignment="1">
      <alignment horizontal="center" vertical="center"/>
    </xf>
    <xf numFmtId="9" fontId="4" fillId="0" borderId="29" xfId="47" applyNumberFormat="1" applyFont="1" applyBorder="1" applyAlignment="1">
      <alignment horizontal="center" vertical="center"/>
    </xf>
    <xf numFmtId="9" fontId="4" fillId="0" borderId="31" xfId="47" applyNumberFormat="1" applyFont="1" applyBorder="1" applyAlignment="1">
      <alignment horizontal="center" vertical="center"/>
    </xf>
    <xf numFmtId="1" fontId="4" fillId="0" borderId="93" xfId="47" applyNumberFormat="1" applyFont="1" applyBorder="1" applyAlignment="1">
      <alignment horizontal="center" vertical="center"/>
    </xf>
    <xf numFmtId="1" fontId="4" fillId="0" borderId="110" xfId="47" applyNumberFormat="1" applyFont="1" applyBorder="1" applyAlignment="1">
      <alignment horizontal="center" vertical="center"/>
    </xf>
    <xf numFmtId="0" fontId="63" fillId="26" borderId="57" xfId="0" applyFont="1" applyFill="1" applyBorder="1" applyAlignment="1" applyProtection="1">
      <alignment horizontal="center"/>
    </xf>
    <xf numFmtId="0" fontId="4" fillId="32" borderId="15" xfId="0" applyFont="1" applyFill="1" applyBorder="1" applyAlignment="1" applyProtection="1">
      <alignment horizontal="center" vertical="center"/>
    </xf>
    <xf numFmtId="0" fontId="4" fillId="31" borderId="15" xfId="0" applyFont="1" applyFill="1" applyBorder="1" applyAlignment="1" applyProtection="1">
      <alignment horizontal="center" vertical="center" wrapText="1"/>
    </xf>
    <xf numFmtId="0" fontId="4" fillId="24" borderId="21" xfId="0" applyFont="1" applyFill="1" applyBorder="1" applyAlignment="1" applyProtection="1">
      <alignment horizontal="left" vertical="center" wrapText="1"/>
    </xf>
    <xf numFmtId="0" fontId="35" fillId="34" borderId="21" xfId="46" applyFont="1" applyFill="1" applyBorder="1" applyAlignment="1" applyProtection="1">
      <alignment horizontal="left" vertical="center" wrapText="1"/>
    </xf>
    <xf numFmtId="0" fontId="7" fillId="0" borderId="21" xfId="0" applyFont="1" applyFill="1" applyBorder="1" applyAlignment="1" applyProtection="1">
      <alignment horizontal="left" vertical="center" wrapText="1"/>
    </xf>
    <xf numFmtId="0" fontId="35" fillId="34" borderId="21" xfId="0" applyFont="1" applyFill="1" applyBorder="1" applyAlignment="1" applyProtection="1">
      <alignment horizontal="left" vertical="center" wrapText="1"/>
    </xf>
    <xf numFmtId="0" fontId="31" fillId="24" borderId="0" xfId="0" applyFont="1" applyFill="1" applyBorder="1" applyAlignment="1" applyProtection="1">
      <alignment horizontal="left" vertical="top"/>
    </xf>
    <xf numFmtId="0" fontId="4" fillId="26" borderId="57" xfId="0" applyFont="1" applyFill="1" applyBorder="1" applyProtection="1"/>
    <xf numFmtId="0" fontId="32" fillId="24" borderId="0" xfId="0" applyFont="1" applyFill="1" applyBorder="1" applyAlignment="1" applyProtection="1">
      <alignment horizontal="left" wrapText="1"/>
    </xf>
    <xf numFmtId="0" fontId="4" fillId="38" borderId="14" xfId="0" applyFont="1" applyFill="1" applyBorder="1" applyAlignment="1" applyProtection="1">
      <alignment horizontal="center" vertical="center" wrapText="1"/>
    </xf>
    <xf numFmtId="0" fontId="4" fillId="38" borderId="15" xfId="0" applyFont="1" applyFill="1" applyBorder="1" applyAlignment="1" applyProtection="1">
      <alignment horizontal="center" vertical="center" wrapText="1"/>
    </xf>
    <xf numFmtId="0" fontId="4" fillId="38" borderId="15" xfId="0" applyFont="1" applyFill="1" applyBorder="1" applyAlignment="1" applyProtection="1">
      <alignment horizontal="right" vertical="center"/>
    </xf>
    <xf numFmtId="0" fontId="4" fillId="38" borderId="18" xfId="0" applyFont="1" applyFill="1" applyBorder="1" applyAlignment="1" applyProtection="1">
      <alignment horizontal="center" vertical="center"/>
    </xf>
    <xf numFmtId="0" fontId="4" fillId="38" borderId="14" xfId="0" applyFont="1" applyFill="1" applyBorder="1" applyAlignment="1" applyProtection="1">
      <alignment horizontal="center" vertical="center"/>
    </xf>
    <xf numFmtId="0" fontId="4" fillId="0" borderId="21" xfId="0" applyFont="1" applyFill="1" applyBorder="1" applyAlignment="1">
      <alignment horizont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4" xfId="0" applyFont="1" applyFill="1" applyBorder="1" applyAlignment="1">
      <alignment horizontal="center"/>
    </xf>
    <xf numFmtId="0" fontId="4" fillId="0" borderId="15" xfId="0" applyFont="1" applyFill="1" applyBorder="1" applyAlignment="1">
      <alignment horizontal="center"/>
    </xf>
    <xf numFmtId="0" fontId="4" fillId="0" borderId="14" xfId="0" applyFont="1" applyFill="1" applyBorder="1" applyAlignment="1" applyProtection="1">
      <alignment horizontal="center"/>
    </xf>
    <xf numFmtId="0" fontId="4" fillId="0" borderId="15" xfId="0" applyFont="1" applyFill="1" applyBorder="1" applyAlignment="1" applyProtection="1">
      <alignment horizontal="center"/>
    </xf>
    <xf numFmtId="165" fontId="4" fillId="24" borderId="21" xfId="0" applyNumberFormat="1" applyFont="1" applyFill="1" applyBorder="1" applyAlignment="1">
      <alignment horizontal="center" vertical="center" wrapText="1"/>
    </xf>
    <xf numFmtId="165" fontId="4" fillId="29" borderId="21" xfId="0" applyNumberFormat="1" applyFont="1" applyFill="1" applyBorder="1" applyAlignment="1" applyProtection="1">
      <alignment horizontal="center" vertical="center"/>
      <protection hidden="1"/>
    </xf>
    <xf numFmtId="165" fontId="59" fillId="34" borderId="21" xfId="0" applyNumberFormat="1" applyFont="1" applyFill="1" applyBorder="1" applyAlignment="1" applyProtection="1">
      <alignment horizontal="center" vertical="center"/>
      <protection hidden="1"/>
    </xf>
    <xf numFmtId="0" fontId="50" fillId="0" borderId="0" xfId="0" applyFont="1" applyFill="1" applyBorder="1" applyAlignment="1" applyProtection="1">
      <alignment horizontal="left"/>
    </xf>
    <xf numFmtId="0" fontId="50" fillId="0" borderId="0" xfId="0" applyFont="1" applyFill="1" applyBorder="1" applyAlignment="1" applyProtection="1">
      <alignment horizontal="right"/>
    </xf>
    <xf numFmtId="0" fontId="50" fillId="0" borderId="15" xfId="0" applyFont="1" applyFill="1" applyBorder="1" applyAlignment="1" applyProtection="1">
      <alignment horizontal="center" vertical="center"/>
    </xf>
    <xf numFmtId="0" fontId="4" fillId="26" borderId="84" xfId="47" applyFont="1" applyFill="1" applyBorder="1" applyProtection="1"/>
    <xf numFmtId="0" fontId="4" fillId="26" borderId="85" xfId="47" applyFont="1" applyFill="1" applyBorder="1" applyProtection="1"/>
    <xf numFmtId="0" fontId="3" fillId="26" borderId="85" xfId="47" applyFill="1" applyBorder="1" applyProtection="1"/>
    <xf numFmtId="0" fontId="35" fillId="26" borderId="85" xfId="47" applyFont="1" applyFill="1" applyBorder="1" applyProtection="1"/>
    <xf numFmtId="0" fontId="37" fillId="26" borderId="85" xfId="47" applyFont="1" applyFill="1" applyBorder="1" applyAlignment="1" applyProtection="1">
      <alignment horizontal="right"/>
    </xf>
    <xf numFmtId="0" fontId="37" fillId="26" borderId="86" xfId="47" applyFont="1" applyFill="1" applyBorder="1" applyAlignment="1" applyProtection="1">
      <alignment horizontal="right"/>
    </xf>
    <xf numFmtId="0" fontId="4" fillId="26" borderId="112" xfId="47" applyFont="1" applyFill="1" applyBorder="1" applyProtection="1"/>
    <xf numFmtId="0" fontId="4" fillId="26" borderId="0" xfId="47" applyFont="1" applyFill="1" applyBorder="1"/>
    <xf numFmtId="0" fontId="3" fillId="26" borderId="0" xfId="47" applyFill="1" applyBorder="1"/>
    <xf numFmtId="0" fontId="4" fillId="26" borderId="0" xfId="47" applyFont="1" applyFill="1" applyBorder="1" applyAlignment="1" applyProtection="1">
      <alignment horizontal="center"/>
    </xf>
    <xf numFmtId="0" fontId="4" fillId="0" borderId="17" xfId="0" applyFont="1" applyFill="1" applyBorder="1" applyAlignment="1" applyProtection="1">
      <alignment vertical="center"/>
    </xf>
    <xf numFmtId="0" fontId="0" fillId="0" borderId="0" xfId="0" applyBorder="1" applyAlignment="1">
      <alignment wrapText="1"/>
    </xf>
    <xf numFmtId="0" fontId="0" fillId="26" borderId="0" xfId="0" applyFill="1" applyBorder="1" applyAlignment="1"/>
    <xf numFmtId="0" fontId="31" fillId="26" borderId="0" xfId="0" applyFont="1" applyFill="1" applyBorder="1" applyAlignment="1" applyProtection="1">
      <alignment horizontal="left" vertical="top" wrapText="1"/>
    </xf>
    <xf numFmtId="0" fontId="35" fillId="0" borderId="113" xfId="0" applyFont="1" applyFill="1" applyBorder="1" applyProtection="1"/>
    <xf numFmtId="0" fontId="75" fillId="0" borderId="0" xfId="47" applyFont="1"/>
    <xf numFmtId="0" fontId="6" fillId="40" borderId="15" xfId="47" applyFont="1" applyFill="1" applyBorder="1" applyAlignment="1">
      <alignment horizontal="center" vertical="center"/>
    </xf>
    <xf numFmtId="0" fontId="8" fillId="27" borderId="12" xfId="0" applyFont="1" applyFill="1" applyBorder="1" applyAlignment="1" applyProtection="1">
      <alignment horizontal="center" vertical="top"/>
    </xf>
    <xf numFmtId="0" fontId="8" fillId="27" borderId="31" xfId="0" applyFont="1" applyFill="1" applyBorder="1" applyAlignment="1" applyProtection="1">
      <alignment horizontal="center" vertical="top"/>
    </xf>
    <xf numFmtId="0" fontId="0" fillId="24" borderId="0" xfId="0" applyFill="1" applyBorder="1" applyAlignment="1" applyProtection="1">
      <alignment vertical="top"/>
    </xf>
    <xf numFmtId="0" fontId="6" fillId="0" borderId="0" xfId="47" applyFont="1"/>
    <xf numFmtId="0" fontId="8" fillId="27" borderId="16" xfId="0" applyFont="1" applyFill="1" applyBorder="1" applyAlignment="1" applyProtection="1">
      <alignment horizontal="center" wrapText="1"/>
    </xf>
    <xf numFmtId="0" fontId="8" fillId="27" borderId="16" xfId="0" applyFont="1" applyFill="1" applyBorder="1" applyAlignment="1">
      <alignment horizontal="center" wrapText="1"/>
    </xf>
    <xf numFmtId="0" fontId="8" fillId="27" borderId="23" xfId="0" applyFont="1" applyFill="1" applyBorder="1" applyAlignment="1">
      <alignment horizontal="center" wrapText="1"/>
    </xf>
    <xf numFmtId="0" fontId="8" fillId="28" borderId="16" xfId="0" applyFont="1" applyFill="1" applyBorder="1" applyAlignment="1" applyProtection="1">
      <alignment horizontal="center" wrapText="1"/>
    </xf>
    <xf numFmtId="0" fontId="8" fillId="28" borderId="16" xfId="0" applyFont="1" applyFill="1" applyBorder="1" applyAlignment="1">
      <alignment horizontal="center" wrapText="1"/>
    </xf>
    <xf numFmtId="0" fontId="8" fillId="28" borderId="23" xfId="0" applyFont="1" applyFill="1" applyBorder="1" applyAlignment="1">
      <alignment horizontal="center" wrapText="1"/>
    </xf>
    <xf numFmtId="0" fontId="8" fillId="28" borderId="12" xfId="0" applyFont="1" applyFill="1" applyBorder="1" applyAlignment="1" applyProtection="1">
      <alignment horizontal="center" vertical="top"/>
    </xf>
    <xf numFmtId="0" fontId="8" fillId="28" borderId="31" xfId="0" applyFont="1" applyFill="1" applyBorder="1" applyAlignment="1" applyProtection="1">
      <alignment horizontal="center" vertical="top"/>
    </xf>
    <xf numFmtId="0" fontId="8" fillId="27" borderId="65" xfId="0" applyFont="1" applyFill="1" applyBorder="1" applyAlignment="1" applyProtection="1">
      <alignment horizontal="center" vertical="top"/>
    </xf>
    <xf numFmtId="0" fontId="8" fillId="27" borderId="66" xfId="0" applyFont="1" applyFill="1" applyBorder="1" applyAlignment="1" applyProtection="1">
      <alignment horizontal="center" vertical="top"/>
    </xf>
    <xf numFmtId="0" fontId="8" fillId="27" borderId="67" xfId="0" applyFont="1" applyFill="1" applyBorder="1" applyAlignment="1" applyProtection="1">
      <alignment horizontal="center" vertical="top"/>
    </xf>
    <xf numFmtId="0" fontId="8" fillId="27" borderId="68" xfId="0" applyFont="1" applyFill="1" applyBorder="1" applyAlignment="1" applyProtection="1">
      <alignment horizontal="center" wrapText="1"/>
    </xf>
    <xf numFmtId="0" fontId="8" fillId="27" borderId="69" xfId="0" applyFont="1" applyFill="1" applyBorder="1" applyAlignment="1">
      <alignment horizontal="center" wrapText="1"/>
    </xf>
    <xf numFmtId="0" fontId="8" fillId="27" borderId="70" xfId="0" applyFont="1" applyFill="1" applyBorder="1" applyAlignment="1">
      <alignment horizontal="center" wrapText="1"/>
    </xf>
    <xf numFmtId="3" fontId="4" fillId="35" borderId="19" xfId="0" applyNumberFormat="1" applyFont="1" applyFill="1" applyBorder="1" applyAlignment="1" applyProtection="1">
      <alignment horizontal="center" vertical="center"/>
    </xf>
    <xf numFmtId="0" fontId="0" fillId="24" borderId="82" xfId="0" applyFill="1" applyBorder="1" applyProtection="1"/>
    <xf numFmtId="0" fontId="8" fillId="28" borderId="50" xfId="0" applyFont="1" applyFill="1" applyBorder="1" applyAlignment="1" applyProtection="1">
      <alignment horizontal="center" wrapText="1"/>
    </xf>
    <xf numFmtId="0" fontId="8" fillId="28" borderId="50" xfId="0" applyFont="1" applyFill="1" applyBorder="1" applyAlignment="1">
      <alignment horizontal="center" wrapText="1"/>
    </xf>
    <xf numFmtId="3" fontId="4" fillId="28" borderId="19" xfId="0" applyNumberFormat="1" applyFont="1" applyFill="1" applyBorder="1" applyAlignment="1" applyProtection="1">
      <alignment horizontal="center" vertical="center"/>
    </xf>
    <xf numFmtId="0" fontId="0" fillId="0" borderId="0" xfId="0" applyBorder="1" applyAlignment="1">
      <alignment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1" fontId="4" fillId="0" borderId="0" xfId="47" applyNumberFormat="1" applyFont="1" applyFill="1" applyBorder="1" applyAlignment="1" applyProtection="1">
      <alignment horizontal="center" vertical="center" wrapText="1"/>
    </xf>
    <xf numFmtId="0" fontId="67" fillId="26" borderId="15" xfId="47" applyFont="1" applyFill="1" applyBorder="1" applyAlignment="1">
      <alignment horizontal="centerContinuous" vertical="center"/>
    </xf>
    <xf numFmtId="0" fontId="4" fillId="42" borderId="15" xfId="47" applyFont="1" applyFill="1" applyBorder="1" applyAlignment="1" applyProtection="1">
      <alignment horizontal="left" vertical="top" wrapText="1"/>
    </xf>
    <xf numFmtId="0" fontId="4" fillId="0" borderId="15" xfId="47" applyFont="1" applyFill="1" applyBorder="1" applyAlignment="1" applyProtection="1">
      <alignment horizontal="left" vertical="top" wrapText="1"/>
    </xf>
    <xf numFmtId="0" fontId="8" fillId="43" borderId="15" xfId="47" applyFont="1" applyFill="1" applyBorder="1" applyAlignment="1" applyProtection="1">
      <alignment horizontal="left" vertical="top" wrapText="1"/>
    </xf>
    <xf numFmtId="49" fontId="4" fillId="0" borderId="15" xfId="47" quotePrefix="1" applyNumberFormat="1" applyFont="1" applyFill="1" applyBorder="1" applyAlignment="1" applyProtection="1">
      <alignment horizontal="left" vertical="top" wrapText="1"/>
    </xf>
    <xf numFmtId="0" fontId="4" fillId="24" borderId="15" xfId="47" applyFont="1" applyFill="1" applyBorder="1" applyAlignment="1">
      <alignment horizontal="left" vertical="top" wrapText="1"/>
    </xf>
    <xf numFmtId="0" fontId="4" fillId="24" borderId="15" xfId="47" applyFont="1" applyFill="1" applyBorder="1" applyAlignment="1" applyProtection="1">
      <alignment horizontal="left" vertical="top" wrapText="1"/>
    </xf>
    <xf numFmtId="0" fontId="4" fillId="44" borderId="15" xfId="47" applyFont="1" applyFill="1" applyBorder="1" applyAlignment="1" applyProtection="1">
      <alignment horizontal="left" vertical="top" wrapText="1"/>
    </xf>
    <xf numFmtId="0" fontId="4" fillId="26" borderId="15" xfId="47" applyFont="1" applyFill="1" applyBorder="1" applyAlignment="1" applyProtection="1">
      <alignment horizontal="left" vertical="top" wrapText="1"/>
    </xf>
    <xf numFmtId="0" fontId="4" fillId="0" borderId="0" xfId="47"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8" fillId="28" borderId="15"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3" fontId="4" fillId="0" borderId="18" xfId="0" applyNumberFormat="1" applyFont="1" applyBorder="1" applyAlignment="1" applyProtection="1">
      <alignment horizontal="center" vertical="center"/>
    </xf>
    <xf numFmtId="167" fontId="4" fillId="0" borderId="15" xfId="0" applyNumberFormat="1" applyFont="1" applyFill="1" applyBorder="1" applyAlignment="1" applyProtection="1">
      <alignment vertical="center"/>
    </xf>
    <xf numFmtId="0" fontId="32" fillId="26" borderId="0" xfId="0" applyFont="1" applyFill="1" applyBorder="1" applyAlignment="1">
      <alignment horizontal="left"/>
    </xf>
    <xf numFmtId="49" fontId="8" fillId="28" borderId="15" xfId="0" applyNumberFormat="1" applyFont="1" applyFill="1" applyBorder="1" applyAlignment="1">
      <alignment horizontal="center" vertical="center" wrapText="1" shrinkToFit="1"/>
    </xf>
    <xf numFmtId="49" fontId="8" fillId="28" borderId="21" xfId="0" applyNumberFormat="1" applyFont="1" applyFill="1" applyBorder="1" applyAlignment="1">
      <alignment horizontal="center" vertical="center" wrapText="1" shrinkToFit="1"/>
    </xf>
    <xf numFmtId="0" fontId="59" fillId="34" borderId="19" xfId="0" quotePrefix="1" applyFont="1" applyFill="1" applyBorder="1" applyAlignment="1" applyProtection="1">
      <alignment horizontal="center" vertical="center"/>
    </xf>
    <xf numFmtId="167" fontId="4" fillId="29" borderId="115" xfId="0" applyNumberFormat="1" applyFont="1" applyFill="1" applyBorder="1" applyAlignment="1" applyProtection="1">
      <alignment horizontal="center" vertical="center"/>
    </xf>
    <xf numFmtId="167" fontId="4" fillId="48" borderId="32" xfId="0" applyNumberFormat="1" applyFont="1" applyFill="1" applyBorder="1" applyAlignment="1" applyProtection="1">
      <alignment horizontal="center" vertical="center"/>
    </xf>
    <xf numFmtId="0" fontId="0" fillId="0" borderId="15" xfId="0" applyFill="1" applyBorder="1" applyAlignment="1">
      <alignment wrapText="1"/>
    </xf>
    <xf numFmtId="0" fontId="8" fillId="40" borderId="65" xfId="0" applyFont="1" applyFill="1" applyBorder="1" applyAlignment="1" applyProtection="1">
      <alignment horizontal="center" vertical="top"/>
    </xf>
    <xf numFmtId="0" fontId="6" fillId="40" borderId="15" xfId="47" applyFont="1" applyFill="1" applyBorder="1" applyAlignment="1">
      <alignment horizontal="center" vertical="center" wrapText="1"/>
    </xf>
    <xf numFmtId="0" fontId="57" fillId="24" borderId="0" xfId="0" applyNumberFormat="1" applyFont="1" applyFill="1" applyBorder="1" applyAlignment="1">
      <alignment horizontal="right"/>
    </xf>
    <xf numFmtId="0" fontId="0" fillId="0" borderId="0" xfId="0" applyFill="1" applyBorder="1" applyAlignment="1">
      <alignment wrapText="1"/>
    </xf>
    <xf numFmtId="0" fontId="4" fillId="0" borderId="16" xfId="0" applyFont="1" applyFill="1" applyBorder="1" applyAlignment="1" applyProtection="1">
      <alignment horizontal="center" vertical="center"/>
    </xf>
    <xf numFmtId="1" fontId="4" fillId="0" borderId="22" xfId="0" applyNumberFormat="1" applyFont="1" applyFill="1" applyBorder="1" applyAlignment="1" applyProtection="1">
      <alignment horizontal="center" vertical="center" wrapText="1"/>
      <protection locked="0"/>
    </xf>
    <xf numFmtId="1" fontId="4" fillId="0" borderId="15" xfId="0" applyNumberFormat="1" applyFont="1" applyFill="1" applyBorder="1" applyAlignment="1" applyProtection="1">
      <alignment horizontal="center" vertical="center" wrapText="1"/>
      <protection locked="0"/>
    </xf>
    <xf numFmtId="1" fontId="4" fillId="0" borderId="21" xfId="0" applyNumberFormat="1" applyFont="1" applyFill="1" applyBorder="1" applyAlignment="1" applyProtection="1">
      <alignment horizontal="center" vertical="center" wrapText="1"/>
      <protection locked="0"/>
    </xf>
    <xf numFmtId="1" fontId="4" fillId="0" borderId="22" xfId="46" applyNumberFormat="1" applyFont="1" applyFill="1" applyBorder="1" applyAlignment="1" applyProtection="1">
      <alignment horizontal="center" vertical="center" wrapText="1"/>
      <protection locked="0"/>
    </xf>
    <xf numFmtId="1" fontId="4" fillId="0" borderId="15" xfId="46" applyNumberFormat="1" applyFont="1" applyFill="1" applyBorder="1" applyAlignment="1" applyProtection="1">
      <alignment horizontal="center" vertical="center" wrapText="1"/>
      <protection locked="0"/>
    </xf>
    <xf numFmtId="1" fontId="4" fillId="0" borderId="21" xfId="46" applyNumberFormat="1" applyFont="1" applyFill="1" applyBorder="1" applyAlignment="1" applyProtection="1">
      <alignment horizontal="center" vertical="center" wrapText="1"/>
      <protection locked="0"/>
    </xf>
    <xf numFmtId="1" fontId="4" fillId="0" borderId="22" xfId="0" applyNumberFormat="1" applyFont="1" applyFill="1" applyBorder="1" applyAlignment="1" applyProtection="1">
      <alignment horizontal="center" vertical="center" wrapText="1"/>
    </xf>
    <xf numFmtId="1" fontId="4" fillId="0" borderId="15" xfId="0" applyNumberFormat="1" applyFont="1" applyFill="1" applyBorder="1" applyAlignment="1" applyProtection="1">
      <alignment horizontal="center" vertical="center" wrapText="1"/>
    </xf>
    <xf numFmtId="1" fontId="4" fillId="0" borderId="21" xfId="0" applyNumberFormat="1" applyFont="1" applyFill="1" applyBorder="1" applyAlignment="1" applyProtection="1">
      <alignment horizontal="center" vertical="center" wrapText="1"/>
    </xf>
    <xf numFmtId="1" fontId="4" fillId="0" borderId="22" xfId="0" applyNumberFormat="1" applyFont="1" applyFill="1" applyBorder="1" applyAlignment="1" applyProtection="1">
      <alignment horizontal="center"/>
    </xf>
    <xf numFmtId="1" fontId="4" fillId="0" borderId="15" xfId="0" applyNumberFormat="1" applyFont="1" applyFill="1" applyBorder="1" applyAlignment="1" applyProtection="1">
      <alignment horizontal="center"/>
    </xf>
    <xf numFmtId="1" fontId="4" fillId="0" borderId="21" xfId="0" applyNumberFormat="1" applyFont="1" applyFill="1" applyBorder="1" applyAlignment="1" applyProtection="1">
      <alignment horizontal="center"/>
    </xf>
    <xf numFmtId="0" fontId="4" fillId="0" borderId="14"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0" borderId="2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1" fontId="4" fillId="0" borderId="18" xfId="0" applyNumberFormat="1" applyFont="1" applyFill="1" applyBorder="1" applyAlignment="1" applyProtection="1">
      <alignment horizontal="center" vertical="center" wrapText="1"/>
      <protection locked="0"/>
    </xf>
    <xf numFmtId="1" fontId="4" fillId="42" borderId="22" xfId="0" applyNumberFormat="1" applyFont="1" applyFill="1" applyBorder="1" applyAlignment="1" applyProtection="1">
      <alignment horizontal="center" vertical="center" wrapText="1"/>
      <protection locked="0"/>
    </xf>
    <xf numFmtId="1" fontId="4" fillId="42" borderId="15" xfId="0" applyNumberFormat="1" applyFont="1" applyFill="1" applyBorder="1" applyAlignment="1" applyProtection="1">
      <alignment horizontal="center" vertical="center" wrapText="1"/>
      <protection locked="0"/>
    </xf>
    <xf numFmtId="1" fontId="4" fillId="42" borderId="21" xfId="0" applyNumberFormat="1" applyFont="1" applyFill="1" applyBorder="1" applyAlignment="1" applyProtection="1">
      <alignment horizontal="center" vertical="center" wrapText="1"/>
      <protection locked="0"/>
    </xf>
    <xf numFmtId="1" fontId="4" fillId="42" borderId="22" xfId="0" applyNumberFormat="1" applyFont="1" applyFill="1" applyBorder="1" applyAlignment="1" applyProtection="1">
      <alignment horizontal="center"/>
    </xf>
    <xf numFmtId="1" fontId="4" fillId="42" borderId="15" xfId="0" applyNumberFormat="1" applyFont="1" applyFill="1" applyBorder="1" applyAlignment="1" applyProtection="1">
      <alignment horizontal="center"/>
    </xf>
    <xf numFmtId="1" fontId="4" fillId="42" borderId="21" xfId="0" applyNumberFormat="1" applyFont="1" applyFill="1" applyBorder="1" applyAlignment="1" applyProtection="1">
      <alignment horizontal="center"/>
    </xf>
    <xf numFmtId="1" fontId="4" fillId="42" borderId="22" xfId="46" applyNumberFormat="1" applyFont="1" applyFill="1" applyBorder="1" applyAlignment="1" applyProtection="1">
      <alignment horizontal="center" vertical="center" wrapText="1"/>
      <protection locked="0"/>
    </xf>
    <xf numFmtId="1" fontId="4" fillId="42" borderId="15" xfId="46" applyNumberFormat="1" applyFont="1" applyFill="1" applyBorder="1" applyAlignment="1" applyProtection="1">
      <alignment horizontal="center" vertical="center" wrapText="1"/>
      <protection locked="0"/>
    </xf>
    <xf numFmtId="1" fontId="4" fillId="42" borderId="21" xfId="46" applyNumberFormat="1" applyFont="1" applyFill="1" applyBorder="1" applyAlignment="1" applyProtection="1">
      <alignment horizontal="center" vertical="center" wrapText="1"/>
      <protection locked="0"/>
    </xf>
    <xf numFmtId="1" fontId="4" fillId="42" borderId="22" xfId="0" applyNumberFormat="1" applyFont="1" applyFill="1" applyBorder="1" applyAlignment="1" applyProtection="1">
      <alignment horizontal="center" vertical="center" wrapText="1"/>
    </xf>
    <xf numFmtId="1" fontId="4" fillId="42" borderId="15" xfId="0" applyNumberFormat="1" applyFont="1" applyFill="1" applyBorder="1" applyAlignment="1" applyProtection="1">
      <alignment horizontal="center" vertical="center" wrapText="1"/>
    </xf>
    <xf numFmtId="1" fontId="4" fillId="42" borderId="21" xfId="0" applyNumberFormat="1" applyFont="1" applyFill="1" applyBorder="1" applyAlignment="1" applyProtection="1">
      <alignment horizontal="center" vertical="center" wrapText="1"/>
    </xf>
    <xf numFmtId="3" fontId="4" fillId="24" borderId="0" xfId="0" applyNumberFormat="1" applyFont="1" applyFill="1" applyBorder="1" applyAlignment="1" applyProtection="1">
      <alignment horizontal="center" vertical="center"/>
    </xf>
    <xf numFmtId="1" fontId="4" fillId="0" borderId="0" xfId="0" applyNumberFormat="1" applyFont="1" applyFill="1" applyBorder="1" applyAlignment="1" applyProtection="1">
      <alignment horizontal="center" vertical="center" wrapText="1"/>
      <protection locked="0"/>
    </xf>
    <xf numFmtId="1" fontId="4" fillId="42" borderId="0" xfId="0" applyNumberFormat="1" applyFont="1" applyFill="1" applyBorder="1" applyAlignment="1" applyProtection="1">
      <alignment horizontal="center" vertical="center" wrapText="1"/>
      <protection locked="0"/>
    </xf>
    <xf numFmtId="0" fontId="4" fillId="0" borderId="23" xfId="0" applyFont="1" applyFill="1" applyBorder="1" applyAlignment="1" applyProtection="1">
      <alignment horizontal="center" vertical="center"/>
    </xf>
    <xf numFmtId="1" fontId="4" fillId="0" borderId="22" xfId="0" applyNumberFormat="1" applyFont="1" applyFill="1" applyBorder="1" applyAlignment="1" applyProtection="1">
      <alignment vertical="center"/>
    </xf>
    <xf numFmtId="1" fontId="4" fillId="0" borderId="15" xfId="0" applyNumberFormat="1" applyFont="1" applyFill="1" applyBorder="1" applyAlignment="1" applyProtection="1">
      <alignment vertical="center"/>
    </xf>
    <xf numFmtId="1" fontId="4" fillId="0" borderId="21" xfId="0" applyNumberFormat="1" applyFont="1" applyFill="1" applyBorder="1" applyAlignment="1" applyProtection="1">
      <alignment vertical="center"/>
    </xf>
    <xf numFmtId="167" fontId="4" fillId="0" borderId="22" xfId="0" applyNumberFormat="1" applyFont="1" applyFill="1" applyBorder="1" applyAlignment="1" applyProtection="1">
      <alignment horizontal="center" vertical="center" wrapText="1"/>
      <protection locked="0"/>
    </xf>
    <xf numFmtId="167" fontId="4" fillId="0" borderId="15" xfId="0" applyNumberFormat="1" applyFont="1" applyFill="1" applyBorder="1" applyAlignment="1" applyProtection="1">
      <alignment horizontal="center" vertical="center" wrapText="1"/>
      <protection locked="0"/>
    </xf>
    <xf numFmtId="167" fontId="4" fillId="0" borderId="21" xfId="0" applyNumberFormat="1" applyFont="1" applyFill="1" applyBorder="1" applyAlignment="1" applyProtection="1">
      <alignment horizontal="center" vertical="center" wrapText="1"/>
      <protection locked="0"/>
    </xf>
    <xf numFmtId="0" fontId="4" fillId="24" borderId="49" xfId="0" applyFont="1" applyFill="1" applyBorder="1" applyProtection="1"/>
    <xf numFmtId="3" fontId="4" fillId="24" borderId="49" xfId="0" applyNumberFormat="1" applyFont="1" applyFill="1" applyBorder="1" applyAlignment="1" applyProtection="1">
      <alignment horizontal="center" vertical="center"/>
    </xf>
    <xf numFmtId="3" fontId="4" fillId="24" borderId="25" xfId="0" applyNumberFormat="1" applyFont="1" applyFill="1" applyBorder="1" applyAlignment="1" applyProtection="1">
      <alignment horizontal="center" vertical="center"/>
    </xf>
    <xf numFmtId="0" fontId="4" fillId="24" borderId="13" xfId="0" applyFont="1" applyFill="1" applyBorder="1" applyAlignment="1" applyProtection="1">
      <alignment vertical="center"/>
    </xf>
    <xf numFmtId="0" fontId="4" fillId="24" borderId="102" xfId="0" applyFont="1" applyFill="1" applyBorder="1" applyProtection="1"/>
    <xf numFmtId="3" fontId="4" fillId="24" borderId="102" xfId="0" applyNumberFormat="1" applyFont="1" applyFill="1" applyBorder="1" applyAlignment="1" applyProtection="1">
      <alignment horizontal="center" vertical="center"/>
    </xf>
    <xf numFmtId="3" fontId="4" fillId="24" borderId="103" xfId="0" applyNumberFormat="1" applyFont="1" applyFill="1" applyBorder="1" applyAlignment="1" applyProtection="1">
      <alignment horizontal="center" vertical="center"/>
    </xf>
    <xf numFmtId="0" fontId="8" fillId="26" borderId="17" xfId="0" applyFont="1" applyFill="1" applyBorder="1" applyProtection="1"/>
    <xf numFmtId="0" fontId="58" fillId="30" borderId="15" xfId="0" applyFont="1" applyFill="1" applyBorder="1" applyAlignment="1" applyProtection="1">
      <alignment horizontal="center" vertical="center"/>
      <protection locked="0"/>
    </xf>
    <xf numFmtId="0" fontId="78" fillId="0" borderId="0" xfId="0" applyFont="1" applyFill="1" applyBorder="1" applyAlignment="1" applyProtection="1">
      <alignment horizontal="center"/>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0" fillId="26" borderId="0" xfId="0" applyFill="1" applyBorder="1" applyAlignment="1"/>
    <xf numFmtId="0" fontId="31" fillId="24" borderId="0" xfId="0" applyFont="1" applyFill="1" applyBorder="1" applyAlignment="1" applyProtection="1">
      <alignment vertical="top" wrapText="1"/>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51" fillId="0" borderId="18" xfId="0" applyFont="1" applyFill="1" applyBorder="1" applyAlignment="1" applyProtection="1">
      <alignment horizontal="center"/>
    </xf>
    <xf numFmtId="0" fontId="51" fillId="0" borderId="26" xfId="0" applyFont="1" applyFill="1" applyBorder="1" applyAlignment="1" applyProtection="1">
      <alignment horizontal="center"/>
    </xf>
    <xf numFmtId="0" fontId="51" fillId="0" borderId="32" xfId="0" applyFont="1" applyFill="1" applyBorder="1" applyAlignment="1" applyProtection="1">
      <alignment horizontal="center"/>
    </xf>
    <xf numFmtId="0" fontId="51" fillId="0" borderId="14" xfId="0" applyFont="1" applyFill="1" applyBorder="1" applyAlignment="1" applyProtection="1">
      <alignment horizontal="center"/>
    </xf>
    <xf numFmtId="0" fontId="31" fillId="26" borderId="0" xfId="0" applyFont="1" applyFill="1" applyBorder="1" applyAlignment="1" applyProtection="1">
      <alignment horizontal="left" wrapText="1"/>
    </xf>
    <xf numFmtId="0" fontId="0" fillId="0" borderId="15" xfId="0" applyBorder="1" applyAlignment="1">
      <alignment vertical="center" wrapText="1"/>
    </xf>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31" fillId="24" borderId="0" xfId="0" applyFont="1" applyFill="1" applyBorder="1" applyAlignment="1" applyProtection="1">
      <alignment vertical="top" wrapText="1"/>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4" fillId="0" borderId="14"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6" fillId="26" borderId="0" xfId="0" applyFont="1" applyFill="1" applyBorder="1" applyAlignment="1" applyProtection="1">
      <alignment horizontal="left" vertical="top" wrapText="1"/>
    </xf>
    <xf numFmtId="0" fontId="0" fillId="0" borderId="15" xfId="0" applyBorder="1" applyAlignment="1">
      <alignment vertical="center" wrapText="1"/>
    </xf>
    <xf numFmtId="164" fontId="4" fillId="0" borderId="13" xfId="0" applyNumberFormat="1" applyFont="1" applyBorder="1" applyAlignment="1" applyProtection="1">
      <alignment horizontal="center" vertical="center"/>
    </xf>
    <xf numFmtId="3" fontId="4" fillId="35" borderId="32" xfId="0" applyNumberFormat="1" applyFont="1" applyFill="1" applyBorder="1" applyAlignment="1" applyProtection="1">
      <alignment horizontal="center" vertical="center"/>
    </xf>
    <xf numFmtId="0" fontId="4" fillId="29" borderId="32" xfId="0" quotePrefix="1" applyFont="1" applyFill="1" applyBorder="1" applyAlignment="1" applyProtection="1">
      <alignment horizontal="center" vertical="center"/>
    </xf>
    <xf numFmtId="0" fontId="59" fillId="34" borderId="32" xfId="0" quotePrefix="1" applyFont="1" applyFill="1" applyBorder="1" applyAlignment="1" applyProtection="1">
      <alignment horizontal="center" vertical="center"/>
    </xf>
    <xf numFmtId="3" fontId="4" fillId="28" borderId="32" xfId="0" applyNumberFormat="1" applyFont="1" applyFill="1" applyBorder="1" applyAlignment="1" applyProtection="1">
      <alignment horizontal="center" vertical="center"/>
    </xf>
    <xf numFmtId="3" fontId="4" fillId="28" borderId="21" xfId="0" applyNumberFormat="1" applyFont="1" applyFill="1" applyBorder="1" applyAlignment="1" applyProtection="1">
      <alignment horizontal="center" vertical="center"/>
    </xf>
    <xf numFmtId="0" fontId="8" fillId="0" borderId="0" xfId="0" applyFont="1" applyFill="1" applyAlignment="1" applyProtection="1"/>
    <xf numFmtId="165" fontId="4" fillId="0" borderId="15" xfId="0" applyNumberFormat="1" applyFont="1" applyFill="1" applyBorder="1" applyAlignment="1" applyProtection="1">
      <alignment vertical="center"/>
    </xf>
    <xf numFmtId="0" fontId="8" fillId="0" borderId="15" xfId="0" applyFont="1" applyFill="1" applyBorder="1" applyAlignment="1" applyProtection="1">
      <alignment vertical="center"/>
    </xf>
    <xf numFmtId="0" fontId="8" fillId="0" borderId="15" xfId="0" applyFont="1" applyFill="1" applyBorder="1" applyAlignment="1" applyProtection="1">
      <alignment horizontal="center" vertical="center"/>
    </xf>
    <xf numFmtId="0" fontId="4" fillId="28" borderId="97" xfId="0" applyFont="1" applyFill="1" applyBorder="1" applyAlignment="1" applyProtection="1">
      <alignment horizontal="left"/>
    </xf>
    <xf numFmtId="0" fontId="8" fillId="0" borderId="15" xfId="47" applyFont="1" applyFill="1" applyBorder="1" applyAlignment="1">
      <alignment horizontal="left" vertical="top" wrapText="1"/>
    </xf>
    <xf numFmtId="0" fontId="8" fillId="0" borderId="15" xfId="47" applyFont="1" applyBorder="1"/>
    <xf numFmtId="0" fontId="68" fillId="45" borderId="15" xfId="47" applyFont="1" applyFill="1" applyBorder="1" applyAlignment="1">
      <alignment horizontal="left" vertical="top" wrapText="1"/>
    </xf>
    <xf numFmtId="0" fontId="68" fillId="45" borderId="15" xfId="47" applyFont="1" applyFill="1" applyBorder="1" applyAlignment="1" applyProtection="1">
      <alignment horizontal="left" vertical="top" wrapText="1"/>
    </xf>
    <xf numFmtId="0" fontId="8" fillId="28" borderId="15"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3" fillId="0" borderId="15" xfId="0" applyFont="1"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0" fontId="4" fillId="26" borderId="38" xfId="0" applyFont="1" applyFill="1" applyBorder="1" applyAlignment="1" applyProtection="1"/>
    <xf numFmtId="0" fontId="4" fillId="26" borderId="38" xfId="0" applyFont="1" applyFill="1" applyBorder="1" applyProtection="1"/>
    <xf numFmtId="0" fontId="60" fillId="0" borderId="0" xfId="0" applyFont="1" applyFill="1" applyBorder="1" applyAlignment="1">
      <alignment horizontal="left"/>
    </xf>
    <xf numFmtId="167" fontId="4" fillId="0" borderId="0" xfId="0" applyNumberFormat="1" applyFont="1" applyFill="1" applyProtection="1"/>
    <xf numFmtId="167" fontId="4" fillId="0" borderId="0" xfId="0" applyNumberFormat="1" applyFont="1" applyFill="1" applyAlignment="1" applyProtection="1"/>
    <xf numFmtId="0" fontId="8" fillId="26" borderId="102" xfId="0" applyFont="1" applyFill="1" applyBorder="1" applyAlignment="1" applyProtection="1">
      <alignment horizontal="left" vertical="top"/>
    </xf>
    <xf numFmtId="0" fontId="8" fillId="28" borderId="15" xfId="0" applyFont="1" applyFill="1" applyBorder="1" applyAlignment="1" applyProtection="1">
      <alignment horizontal="center" vertical="center" wrapText="1"/>
    </xf>
    <xf numFmtId="0" fontId="33" fillId="24" borderId="57" xfId="0" applyFont="1" applyFill="1" applyBorder="1" applyAlignment="1" applyProtection="1">
      <alignment horizontal="center"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3" fontId="4" fillId="40" borderId="15" xfId="0" applyNumberFormat="1" applyFont="1" applyFill="1" applyBorder="1" applyAlignment="1" applyProtection="1">
      <alignment horizontal="center" vertical="center" wrapText="1"/>
    </xf>
    <xf numFmtId="0" fontId="3" fillId="38" borderId="15" xfId="47" applyFill="1" applyBorder="1"/>
    <xf numFmtId="0" fontId="7" fillId="0" borderId="15" xfId="0" applyFont="1" applyFill="1" applyBorder="1" applyAlignment="1" applyProtection="1">
      <alignment horizontal="left" vertical="center" wrapText="1"/>
    </xf>
    <xf numFmtId="0" fontId="4" fillId="0" borderId="15" xfId="0" applyFont="1" applyFill="1" applyBorder="1" applyAlignment="1" applyProtection="1">
      <alignment horizontal="left" vertical="center" wrapText="1"/>
    </xf>
    <xf numFmtId="0" fontId="4" fillId="29" borderId="15" xfId="0" applyFont="1" applyFill="1" applyBorder="1" applyAlignment="1" applyProtection="1">
      <alignment horizontal="left" vertical="center" wrapText="1"/>
    </xf>
    <xf numFmtId="0" fontId="35" fillId="34" borderId="15" xfId="0" applyFont="1" applyFill="1" applyBorder="1" applyAlignment="1" applyProtection="1">
      <alignment horizontal="left" vertical="center" wrapText="1"/>
    </xf>
    <xf numFmtId="0" fontId="3" fillId="0" borderId="0" xfId="47" applyAlignment="1">
      <alignment horizontal="right"/>
    </xf>
    <xf numFmtId="0" fontId="4" fillId="24" borderId="57" xfId="0" applyFont="1" applyFill="1" applyBorder="1" applyAlignment="1" applyProtection="1">
      <alignment horizontal="centerContinuous" vertical="center" wrapText="1"/>
    </xf>
    <xf numFmtId="0" fontId="4" fillId="28" borderId="21" xfId="0" applyFont="1" applyFill="1" applyBorder="1" applyAlignment="1" applyProtection="1">
      <alignment horizontal="left" vertical="center" wrapText="1" indent="1"/>
    </xf>
    <xf numFmtId="0" fontId="4" fillId="26" borderId="0" xfId="0" applyFont="1" applyFill="1" applyBorder="1" applyAlignment="1" applyProtection="1">
      <alignment vertical="center" wrapText="1"/>
    </xf>
    <xf numFmtId="0" fontId="59" fillId="26" borderId="0" xfId="0" applyFont="1" applyFill="1" applyBorder="1" applyAlignment="1" applyProtection="1">
      <alignment vertical="center" wrapText="1"/>
    </xf>
    <xf numFmtId="3" fontId="3" fillId="0" borderId="0" xfId="47" applyNumberFormat="1"/>
    <xf numFmtId="0" fontId="3" fillId="0" borderId="15" xfId="47" applyBorder="1" applyAlignment="1">
      <alignment horizontal="center" vertical="center"/>
    </xf>
    <xf numFmtId="0" fontId="6" fillId="36" borderId="15" xfId="47" applyFont="1" applyFill="1" applyBorder="1" applyAlignment="1">
      <alignment horizontal="center" vertical="center"/>
    </xf>
    <xf numFmtId="0" fontId="31" fillId="24" borderId="102" xfId="0" applyFont="1" applyFill="1" applyBorder="1" applyAlignment="1" applyProtection="1">
      <alignment vertical="center" wrapText="1"/>
    </xf>
    <xf numFmtId="0" fontId="0" fillId="26" borderId="82" xfId="0" applyFill="1" applyBorder="1" applyAlignment="1" applyProtection="1">
      <alignment horizontal="center" wrapText="1"/>
    </xf>
    <xf numFmtId="0" fontId="7" fillId="26" borderId="0" xfId="0" applyFont="1" applyFill="1" applyAlignment="1" applyProtection="1"/>
    <xf numFmtId="3" fontId="7" fillId="0" borderId="31" xfId="0" applyNumberFormat="1" applyFont="1" applyBorder="1" applyAlignment="1" applyProtection="1">
      <alignment horizontal="center" vertical="center" wrapText="1"/>
    </xf>
    <xf numFmtId="1" fontId="35" fillId="34" borderId="15" xfId="0" applyNumberFormat="1" applyFont="1" applyFill="1" applyBorder="1" applyAlignment="1" applyProtection="1">
      <alignment horizontal="center" vertical="center" wrapText="1"/>
    </xf>
    <xf numFmtId="1" fontId="4" fillId="29" borderId="15" xfId="0" applyNumberFormat="1" applyFont="1" applyFill="1" applyBorder="1" applyAlignment="1" applyProtection="1">
      <alignment horizontal="center" vertical="center" wrapText="1"/>
    </xf>
    <xf numFmtId="1" fontId="4" fillId="29" borderId="21" xfId="0" applyNumberFormat="1" applyFont="1" applyFill="1" applyBorder="1" applyAlignment="1" applyProtection="1">
      <alignment horizontal="center" vertical="center" wrapText="1"/>
    </xf>
    <xf numFmtId="1" fontId="35" fillId="34" borderId="21" xfId="0" applyNumberFormat="1" applyFont="1" applyFill="1" applyBorder="1" applyAlignment="1" applyProtection="1">
      <alignment horizontal="center" vertical="center" wrapText="1"/>
    </xf>
    <xf numFmtId="49" fontId="3" fillId="0" borderId="0" xfId="47" applyNumberFormat="1"/>
    <xf numFmtId="0" fontId="3" fillId="40" borderId="16" xfId="47" applyFill="1" applyBorder="1"/>
    <xf numFmtId="0" fontId="3" fillId="40" borderId="50" xfId="47" applyFill="1" applyBorder="1"/>
    <xf numFmtId="0" fontId="3" fillId="40" borderId="17" xfId="47" applyFill="1" applyBorder="1"/>
    <xf numFmtId="0" fontId="3" fillId="40" borderId="58" xfId="47" applyFill="1" applyBorder="1"/>
    <xf numFmtId="0" fontId="3" fillId="40" borderId="13" xfId="47" applyFill="1" applyBorder="1"/>
    <xf numFmtId="0" fontId="3" fillId="0" borderId="50" xfId="47" applyBorder="1"/>
    <xf numFmtId="0" fontId="3" fillId="0" borderId="12" xfId="47" applyBorder="1"/>
    <xf numFmtId="0" fontId="0" fillId="0" borderId="0" xfId="0" applyBorder="1" applyAlignment="1">
      <alignment wrapText="1"/>
    </xf>
    <xf numFmtId="0" fontId="8" fillId="28" borderId="15" xfId="0" applyFont="1" applyFill="1" applyBorder="1" applyAlignment="1" applyProtection="1">
      <alignment horizontal="center" vertical="center" wrapText="1"/>
    </xf>
    <xf numFmtId="0" fontId="0" fillId="26" borderId="0" xfId="0" applyFill="1" applyBorder="1" applyAlignment="1"/>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49" fontId="59" fillId="24" borderId="36" xfId="0" applyNumberFormat="1" applyFont="1" applyFill="1" applyBorder="1" applyAlignment="1" applyProtection="1">
      <alignment horizontal="center" vertical="center"/>
    </xf>
    <xf numFmtId="0" fontId="59" fillId="24" borderId="36" xfId="0" applyFont="1" applyFill="1" applyBorder="1" applyAlignment="1" applyProtection="1">
      <alignment horizontal="center" vertical="center"/>
    </xf>
    <xf numFmtId="0" fontId="8" fillId="26" borderId="0" xfId="0" applyFont="1" applyFill="1" applyAlignment="1" applyProtection="1"/>
    <xf numFmtId="16" fontId="4" fillId="0" borderId="15" xfId="0" applyNumberFormat="1" applyFont="1" applyFill="1" applyBorder="1" applyAlignment="1">
      <alignment horizontal="center" vertical="center"/>
    </xf>
    <xf numFmtId="3" fontId="4" fillId="38" borderId="15" xfId="0" applyNumberFormat="1" applyFont="1" applyFill="1" applyBorder="1" applyAlignment="1" applyProtection="1">
      <alignment horizontal="center" vertical="center" wrapText="1"/>
    </xf>
    <xf numFmtId="0" fontId="3" fillId="45" borderId="15" xfId="47" applyFill="1" applyBorder="1"/>
    <xf numFmtId="0" fontId="4" fillId="38" borderId="15" xfId="0" applyFont="1" applyFill="1" applyBorder="1" applyAlignment="1">
      <alignment horizontal="center" vertical="center"/>
    </xf>
    <xf numFmtId="0" fontId="4" fillId="38" borderId="15" xfId="0" applyFont="1" applyFill="1" applyBorder="1" applyAlignment="1" applyProtection="1">
      <alignment horizontal="center" vertical="center"/>
    </xf>
    <xf numFmtId="3" fontId="4" fillId="38" borderId="15" xfId="0" applyNumberFormat="1" applyFont="1" applyFill="1" applyBorder="1" applyAlignment="1">
      <alignment horizontal="center" vertical="center"/>
    </xf>
    <xf numFmtId="0" fontId="31" fillId="26" borderId="0" xfId="0" applyFont="1" applyFill="1" applyBorder="1" applyAlignment="1" applyProtection="1">
      <alignment horizontal="left" vertical="top" wrapText="1"/>
    </xf>
    <xf numFmtId="0" fontId="4" fillId="0" borderId="15" xfId="0" applyFont="1" applyFill="1" applyBorder="1" applyAlignment="1" applyProtection="1">
      <alignment horizontal="center" vertical="center" wrapText="1"/>
    </xf>
    <xf numFmtId="0" fontId="8" fillId="26" borderId="0"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0" fillId="0" borderId="15" xfId="0" applyBorder="1" applyAlignment="1">
      <alignment vertical="center" wrapText="1"/>
    </xf>
    <xf numFmtId="0" fontId="51" fillId="0" borderId="15" xfId="0" applyFont="1" applyFill="1" applyBorder="1" applyAlignment="1">
      <alignment horizontal="center" vertical="center"/>
    </xf>
    <xf numFmtId="0" fontId="51" fillId="0" borderId="21" xfId="0" applyFont="1" applyFill="1" applyBorder="1" applyAlignment="1">
      <alignment horizontal="center" vertical="center"/>
    </xf>
    <xf numFmtId="0" fontId="51" fillId="0" borderId="14" xfId="0" applyFont="1" applyFill="1" applyBorder="1" applyAlignment="1">
      <alignment horizontal="center" vertical="center"/>
    </xf>
    <xf numFmtId="0" fontId="61" fillId="0" borderId="18" xfId="0" applyFont="1" applyFill="1" applyBorder="1" applyAlignment="1">
      <alignment horizontal="center" vertical="center"/>
    </xf>
    <xf numFmtId="3" fontId="54" fillId="40" borderId="15" xfId="0" applyNumberFormat="1" applyFont="1" applyFill="1" applyBorder="1" applyAlignment="1">
      <alignment horizontal="right"/>
    </xf>
    <xf numFmtId="0" fontId="8" fillId="36" borderId="65" xfId="0" applyFont="1" applyFill="1" applyBorder="1" applyAlignment="1" applyProtection="1">
      <alignment horizontal="center" vertical="top"/>
    </xf>
    <xf numFmtId="0" fontId="8" fillId="0" borderId="0" xfId="0" applyFont="1" applyFill="1" applyBorder="1" applyAlignment="1" applyProtection="1"/>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165" fontId="4" fillId="0" borderId="0" xfId="0" applyNumberFormat="1" applyFont="1" applyFill="1" applyBorder="1" applyAlignment="1" applyProtection="1">
      <alignment vertical="center"/>
    </xf>
    <xf numFmtId="167" fontId="4" fillId="0" borderId="15" xfId="0" quotePrefix="1" applyNumberFormat="1" applyFont="1" applyFill="1" applyBorder="1" applyAlignment="1" applyProtection="1">
      <alignment vertical="center"/>
    </xf>
    <xf numFmtId="167" fontId="4" fillId="28" borderId="19" xfId="0" applyNumberFormat="1" applyFont="1" applyFill="1" applyBorder="1" applyAlignment="1" applyProtection="1">
      <alignment horizontal="center" vertical="center"/>
    </xf>
    <xf numFmtId="167" fontId="4" fillId="29" borderId="19" xfId="0" applyNumberFormat="1" applyFont="1" applyFill="1" applyBorder="1" applyAlignment="1" applyProtection="1">
      <alignment horizontal="center" vertical="center"/>
    </xf>
    <xf numFmtId="167" fontId="59" fillId="34" borderId="19" xfId="0" applyNumberFormat="1" applyFont="1" applyFill="1" applyBorder="1" applyAlignment="1" applyProtection="1">
      <alignment horizontal="center" vertical="center"/>
    </xf>
    <xf numFmtId="0" fontId="0" fillId="0" borderId="0" xfId="0" applyBorder="1" applyAlignment="1">
      <alignment wrapText="1"/>
    </xf>
    <xf numFmtId="0" fontId="31" fillId="26" borderId="0" xfId="0" applyFont="1" applyFill="1" applyBorder="1" applyAlignment="1" applyProtection="1">
      <alignment horizontal="left" vertical="top" wrapText="1"/>
    </xf>
    <xf numFmtId="0" fontId="8" fillId="28" borderId="13" xfId="0" applyFont="1" applyFill="1" applyBorder="1" applyAlignment="1" applyProtection="1">
      <alignment horizontal="center" vertical="top"/>
    </xf>
    <xf numFmtId="0" fontId="8" fillId="28" borderId="17" xfId="0" applyFont="1" applyFill="1" applyBorder="1" applyAlignment="1">
      <alignment horizontal="center" wrapText="1"/>
    </xf>
    <xf numFmtId="0" fontId="8" fillId="26" borderId="0" xfId="0" applyFont="1" applyFill="1" applyBorder="1" applyAlignment="1" applyProtection="1">
      <alignment horizontal="center" vertical="center" wrapText="1"/>
    </xf>
    <xf numFmtId="0" fontId="0" fillId="26" borderId="0" xfId="0" applyFill="1" applyBorder="1" applyAlignment="1">
      <alignment horizontal="center" vertical="center" wrapText="1"/>
    </xf>
    <xf numFmtId="0" fontId="31" fillId="24" borderId="0" xfId="0" applyFont="1" applyFill="1" applyBorder="1" applyAlignment="1" applyProtection="1">
      <alignment vertical="top" wrapText="1"/>
    </xf>
    <xf numFmtId="0" fontId="8" fillId="36" borderId="15" xfId="0"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0" fontId="61" fillId="0" borderId="0" xfId="0" applyFont="1" applyFill="1" applyBorder="1" applyAlignment="1">
      <alignment horizontal="center" vertical="center"/>
    </xf>
    <xf numFmtId="0" fontId="61" fillId="0" borderId="0" xfId="0" applyFont="1" applyFill="1" applyBorder="1" applyAlignment="1" applyProtection="1">
      <alignment horizontal="center" vertical="center"/>
    </xf>
    <xf numFmtId="0" fontId="61" fillId="0" borderId="0" xfId="0" applyFont="1" applyFill="1" applyBorder="1" applyAlignment="1" applyProtection="1">
      <alignment vertical="center"/>
    </xf>
    <xf numFmtId="0" fontId="35" fillId="26" borderId="44" xfId="0" applyFont="1" applyFill="1" applyBorder="1" applyProtection="1"/>
    <xf numFmtId="0" fontId="34" fillId="36" borderId="14" xfId="0" applyFont="1" applyFill="1" applyBorder="1" applyAlignment="1" applyProtection="1">
      <alignment horizontal="center" vertical="center" wrapText="1"/>
      <protection locked="0"/>
    </xf>
    <xf numFmtId="0" fontId="59" fillId="36" borderId="14" xfId="0" applyFont="1" applyFill="1" applyBorder="1" applyAlignment="1" applyProtection="1">
      <alignment horizontal="center" vertical="center" wrapText="1"/>
      <protection locked="0"/>
    </xf>
    <xf numFmtId="164" fontId="4" fillId="34" borderId="21" xfId="0" applyNumberFormat="1" applyFont="1" applyFill="1" applyBorder="1" applyAlignment="1" applyProtection="1">
      <alignment horizontal="center" vertical="center"/>
    </xf>
    <xf numFmtId="9" fontId="50" fillId="26" borderId="0" xfId="0" applyNumberFormat="1" applyFont="1" applyFill="1" applyBorder="1" applyAlignment="1" applyProtection="1">
      <alignment horizontal="center" vertical="center"/>
    </xf>
    <xf numFmtId="0" fontId="8" fillId="28" borderId="15" xfId="0" applyFont="1" applyFill="1" applyBorder="1" applyAlignment="1" applyProtection="1">
      <alignment horizontal="center" vertical="center" wrapText="1"/>
    </xf>
    <xf numFmtId="0" fontId="4" fillId="24" borderId="101" xfId="0" applyFont="1" applyFill="1" applyBorder="1" applyProtection="1"/>
    <xf numFmtId="0" fontId="37" fillId="26" borderId="113" xfId="0" applyFont="1" applyFill="1" applyBorder="1" applyAlignment="1" applyProtection="1">
      <alignment horizontal="right"/>
    </xf>
    <xf numFmtId="17" fontId="8" fillId="28" borderId="15" xfId="0" applyNumberFormat="1" applyFont="1" applyFill="1" applyBorder="1" applyAlignment="1" applyProtection="1">
      <alignment horizontal="center" vertical="center" wrapText="1"/>
    </xf>
    <xf numFmtId="1" fontId="4" fillId="0" borderId="15" xfId="47" applyNumberFormat="1" applyFont="1" applyBorder="1" applyAlignment="1">
      <alignment horizontal="left" wrapText="1"/>
    </xf>
    <xf numFmtId="1" fontId="4" fillId="0" borderId="15" xfId="47" applyNumberFormat="1" applyFont="1" applyBorder="1"/>
    <xf numFmtId="0" fontId="31" fillId="24" borderId="39" xfId="0" applyFont="1" applyFill="1" applyBorder="1" applyAlignment="1" applyProtection="1">
      <alignment vertical="top" wrapText="1"/>
    </xf>
    <xf numFmtId="0" fontId="0" fillId="26" borderId="39" xfId="0" applyFill="1" applyBorder="1" applyAlignment="1">
      <alignment horizontal="left" vertical="top" wrapText="1"/>
    </xf>
    <xf numFmtId="0" fontId="34" fillId="24" borderId="39" xfId="0" applyFont="1" applyFill="1" applyBorder="1" applyAlignment="1" applyProtection="1">
      <alignment horizontal="center" wrapText="1"/>
    </xf>
    <xf numFmtId="0" fontId="0" fillId="26" borderId="39" xfId="0" applyFill="1" applyBorder="1" applyAlignment="1">
      <alignment horizontal="left" vertical="top"/>
    </xf>
    <xf numFmtId="0" fontId="0" fillId="26" borderId="39" xfId="0" applyFill="1" applyBorder="1" applyAlignment="1">
      <alignment wrapText="1"/>
    </xf>
    <xf numFmtId="0" fontId="4" fillId="26" borderId="39" xfId="0" applyFont="1" applyFill="1" applyBorder="1" applyAlignment="1" applyProtection="1">
      <alignment vertical="center"/>
    </xf>
    <xf numFmtId="0" fontId="4" fillId="0" borderId="15" xfId="0" applyFont="1" applyFill="1" applyBorder="1" applyAlignment="1" applyProtection="1">
      <alignment horizontal="center" vertical="center" wrapText="1"/>
    </xf>
    <xf numFmtId="167" fontId="4" fillId="28" borderId="114" xfId="0" applyNumberFormat="1" applyFont="1" applyFill="1" applyBorder="1" applyAlignment="1" applyProtection="1">
      <alignment horizontal="center" vertical="center"/>
    </xf>
    <xf numFmtId="167" fontId="4" fillId="28" borderId="115" xfId="0" applyNumberFormat="1" applyFont="1" applyFill="1" applyBorder="1" applyAlignment="1" applyProtection="1">
      <alignment horizontal="center" vertical="center"/>
    </xf>
    <xf numFmtId="1" fontId="54" fillId="0" borderId="22" xfId="0" applyNumberFormat="1" applyFont="1" applyFill="1" applyBorder="1" applyAlignment="1" applyProtection="1">
      <alignment horizontal="center"/>
    </xf>
    <xf numFmtId="1" fontId="54" fillId="0" borderId="21" xfId="0" applyNumberFormat="1" applyFont="1" applyFill="1" applyBorder="1" applyAlignment="1" applyProtection="1">
      <alignment horizontal="center"/>
    </xf>
    <xf numFmtId="0" fontId="54" fillId="0" borderId="18" xfId="0" applyFont="1" applyFill="1" applyBorder="1" applyAlignment="1" applyProtection="1">
      <alignment horizontal="left" vertical="center"/>
    </xf>
    <xf numFmtId="0" fontId="4" fillId="0" borderId="32" xfId="0" applyFont="1" applyFill="1" applyBorder="1" applyAlignment="1" applyProtection="1">
      <alignment horizontal="left" vertical="center" wrapText="1"/>
    </xf>
    <xf numFmtId="0" fontId="50" fillId="0" borderId="22" xfId="0" applyFont="1" applyFill="1" applyBorder="1" applyAlignment="1" applyProtection="1">
      <alignment horizontal="center" vertical="center"/>
    </xf>
    <xf numFmtId="0" fontId="50" fillId="0" borderId="21" xfId="0" applyFont="1" applyFill="1" applyBorder="1" applyAlignment="1" applyProtection="1">
      <alignment horizontal="center" vertical="center"/>
    </xf>
    <xf numFmtId="1" fontId="54" fillId="0" borderId="22" xfId="0" applyNumberFormat="1" applyFont="1" applyFill="1" applyBorder="1" applyAlignment="1" applyProtection="1">
      <alignment horizontal="center" vertical="center"/>
    </xf>
    <xf numFmtId="1" fontId="54" fillId="0" borderId="21" xfId="0" applyNumberFormat="1" applyFont="1" applyFill="1" applyBorder="1" applyAlignment="1" applyProtection="1">
      <alignment horizontal="center" vertical="center"/>
    </xf>
    <xf numFmtId="0" fontId="0" fillId="26" borderId="0" xfId="0" applyFill="1" applyBorder="1" applyAlignment="1"/>
    <xf numFmtId="0" fontId="48" fillId="26" borderId="0" xfId="34" applyFill="1" applyBorder="1" applyAlignment="1" applyProtection="1"/>
    <xf numFmtId="0" fontId="8" fillId="26" borderId="0"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8" fillId="26" borderId="15" xfId="0" applyFont="1" applyFill="1" applyBorder="1" applyAlignment="1" applyProtection="1">
      <alignment horizontal="center" vertical="center" wrapText="1"/>
    </xf>
    <xf numFmtId="0" fontId="50" fillId="24" borderId="0" xfId="0" applyFont="1" applyFill="1" applyBorder="1" applyAlignment="1" applyProtection="1">
      <alignment horizontal="right"/>
    </xf>
    <xf numFmtId="0" fontId="50" fillId="24" borderId="0" xfId="0" applyFont="1" applyFill="1" applyBorder="1" applyAlignment="1" applyProtection="1">
      <alignment horizontal="center"/>
    </xf>
    <xf numFmtId="0" fontId="50" fillId="0" borderId="15" xfId="0" applyFont="1" applyFill="1" applyBorder="1" applyAlignment="1" applyProtection="1">
      <alignment horizontal="center" vertical="center" wrapText="1"/>
    </xf>
    <xf numFmtId="0" fontId="79" fillId="0" borderId="15" xfId="0" applyFont="1" applyFill="1" applyBorder="1" applyAlignment="1">
      <alignment horizontal="center" vertical="center" wrapText="1"/>
    </xf>
    <xf numFmtId="165" fontId="50" fillId="0" borderId="0" xfId="0" applyNumberFormat="1" applyFont="1" applyFill="1" applyAlignment="1" applyProtection="1">
      <alignment vertical="center"/>
    </xf>
    <xf numFmtId="165" fontId="50" fillId="0" borderId="0" xfId="0" applyNumberFormat="1" applyFont="1" applyFill="1" applyBorder="1" applyAlignment="1" applyProtection="1">
      <alignment horizontal="right"/>
    </xf>
    <xf numFmtId="167" fontId="50" fillId="0" borderId="0" xfId="0" applyNumberFormat="1" applyFont="1" applyFill="1" applyBorder="1" applyAlignment="1" applyProtection="1">
      <alignment horizontal="right"/>
    </xf>
    <xf numFmtId="165" fontId="50" fillId="0" borderId="0" xfId="0" applyNumberFormat="1" applyFont="1" applyFill="1" applyProtection="1"/>
    <xf numFmtId="9" fontId="50" fillId="0" borderId="0" xfId="0" applyNumberFormat="1" applyFont="1" applyFill="1" applyBorder="1" applyAlignment="1" applyProtection="1">
      <alignment horizontal="right"/>
    </xf>
    <xf numFmtId="167" fontId="50" fillId="0" borderId="44" xfId="0" applyNumberFormat="1" applyFont="1" applyFill="1" applyBorder="1" applyAlignment="1" applyProtection="1">
      <alignment horizontal="right"/>
    </xf>
    <xf numFmtId="9" fontId="50" fillId="0" borderId="103" xfId="0" applyNumberFormat="1" applyFont="1" applyFill="1" applyBorder="1" applyAlignment="1" applyProtection="1">
      <alignment horizontal="right"/>
    </xf>
    <xf numFmtId="167" fontId="50" fillId="0" borderId="58" xfId="0" applyNumberFormat="1" applyFont="1" applyFill="1" applyBorder="1" applyAlignment="1" applyProtection="1">
      <alignment horizontal="right"/>
    </xf>
    <xf numFmtId="9" fontId="50" fillId="0" borderId="13" xfId="0" applyNumberFormat="1" applyFont="1" applyFill="1" applyBorder="1" applyAlignment="1" applyProtection="1">
      <alignment horizontal="right"/>
    </xf>
    <xf numFmtId="9" fontId="50" fillId="0" borderId="102" xfId="0" applyNumberFormat="1" applyFont="1" applyFill="1" applyBorder="1" applyAlignment="1" applyProtection="1">
      <alignment horizontal="right"/>
    </xf>
    <xf numFmtId="165" fontId="50" fillId="0" borderId="50" xfId="0" applyNumberFormat="1" applyFont="1" applyFill="1" applyBorder="1" applyAlignment="1" applyProtection="1">
      <alignment horizontal="right"/>
    </xf>
    <xf numFmtId="165" fontId="50" fillId="0" borderId="12" xfId="0" applyNumberFormat="1" applyFont="1" applyFill="1" applyBorder="1" applyAlignment="1" applyProtection="1">
      <alignment horizontal="right"/>
    </xf>
    <xf numFmtId="0" fontId="74" fillId="36" borderId="15" xfId="0" applyFont="1" applyFill="1" applyBorder="1" applyAlignment="1" applyProtection="1">
      <alignment horizontal="center" vertical="center"/>
    </xf>
    <xf numFmtId="0" fontId="74" fillId="36" borderId="14" xfId="0" applyFont="1" applyFill="1" applyBorder="1" applyAlignment="1" applyProtection="1">
      <alignment horizontal="center" vertical="center"/>
    </xf>
    <xf numFmtId="164" fontId="50" fillId="36" borderId="16" xfId="0" applyNumberFormat="1" applyFont="1" applyFill="1" applyBorder="1" applyAlignment="1" applyProtection="1">
      <alignment vertical="center"/>
    </xf>
    <xf numFmtId="165" fontId="50" fillId="36" borderId="43" xfId="0" applyNumberFormat="1" applyFont="1" applyFill="1" applyBorder="1" applyAlignment="1" applyProtection="1">
      <alignment vertical="center"/>
    </xf>
    <xf numFmtId="0" fontId="50" fillId="36" borderId="15" xfId="0" applyFont="1" applyFill="1" applyBorder="1" applyAlignment="1" applyProtection="1">
      <alignment horizontal="left" vertical="center"/>
    </xf>
    <xf numFmtId="0" fontId="50" fillId="36" borderId="14" xfId="0" applyFont="1" applyFill="1" applyBorder="1" applyAlignment="1" applyProtection="1">
      <alignment horizontal="center" vertical="center" wrapText="1"/>
    </xf>
    <xf numFmtId="0" fontId="50" fillId="36" borderId="15" xfId="0" applyFont="1" applyFill="1" applyBorder="1" applyAlignment="1" applyProtection="1">
      <alignment horizontal="center" vertical="center" wrapText="1"/>
    </xf>
    <xf numFmtId="0" fontId="50" fillId="36" borderId="15" xfId="0" applyFont="1" applyFill="1" applyBorder="1" applyAlignment="1" applyProtection="1">
      <alignment horizontal="right" vertical="center"/>
    </xf>
    <xf numFmtId="165" fontId="50" fillId="36" borderId="15" xfId="0" applyNumberFormat="1" applyFont="1" applyFill="1" applyBorder="1" applyAlignment="1" applyProtection="1">
      <alignment vertical="center"/>
    </xf>
    <xf numFmtId="0" fontId="50" fillId="0" borderId="15" xfId="0" applyFont="1" applyFill="1" applyBorder="1" applyAlignment="1">
      <alignment horizontal="center" vertical="center"/>
    </xf>
    <xf numFmtId="165" fontId="4" fillId="0" borderId="17" xfId="0" applyNumberFormat="1" applyFont="1" applyFill="1" applyBorder="1" applyAlignment="1" applyProtection="1">
      <alignment vertical="center"/>
    </xf>
    <xf numFmtId="165" fontId="4" fillId="0" borderId="49" xfId="0" applyNumberFormat="1" applyFont="1" applyFill="1" applyBorder="1" applyAlignment="1" applyProtection="1">
      <alignment vertical="center"/>
    </xf>
    <xf numFmtId="165" fontId="4" fillId="0" borderId="58" xfId="0" applyNumberFormat="1" applyFont="1" applyFill="1" applyBorder="1" applyAlignment="1" applyProtection="1">
      <alignment vertical="center"/>
    </xf>
    <xf numFmtId="165" fontId="4" fillId="0" borderId="13" xfId="0" applyNumberFormat="1" applyFont="1" applyFill="1" applyBorder="1" applyProtection="1"/>
    <xf numFmtId="165" fontId="4" fillId="0" borderId="102" xfId="0" applyNumberFormat="1" applyFont="1" applyFill="1" applyBorder="1" applyProtection="1"/>
    <xf numFmtId="0" fontId="4" fillId="0" borderId="16" xfId="0" applyFont="1" applyFill="1" applyBorder="1" applyAlignment="1" applyProtection="1">
      <alignment vertical="center"/>
    </xf>
    <xf numFmtId="0" fontId="4" fillId="0" borderId="50" xfId="0" applyFont="1" applyFill="1" applyBorder="1" applyAlignment="1" applyProtection="1">
      <alignment vertical="center"/>
    </xf>
    <xf numFmtId="0" fontId="4" fillId="0" borderId="12" xfId="0" applyFont="1" applyFill="1" applyBorder="1" applyProtection="1"/>
    <xf numFmtId="165" fontId="50" fillId="0" borderId="16" xfId="0" applyNumberFormat="1" applyFont="1" applyFill="1" applyBorder="1" applyAlignment="1" applyProtection="1">
      <alignment horizontal="right"/>
    </xf>
    <xf numFmtId="0" fontId="61" fillId="0" borderId="44" xfId="0" applyFont="1" applyFill="1" applyBorder="1" applyAlignment="1">
      <alignment horizontal="center" vertical="center"/>
    </xf>
    <xf numFmtId="0" fontId="61" fillId="0" borderId="44" xfId="0" applyFont="1" applyFill="1" applyBorder="1" applyAlignment="1">
      <alignment horizontal="center"/>
    </xf>
    <xf numFmtId="0" fontId="61" fillId="0" borderId="44" xfId="0" applyFont="1" applyFill="1" applyBorder="1" applyAlignment="1" applyProtection="1">
      <alignment horizontal="center" vertical="center"/>
    </xf>
    <xf numFmtId="164" fontId="51" fillId="0" borderId="15" xfId="0" applyNumberFormat="1" applyFont="1" applyFill="1" applyBorder="1" applyAlignment="1" applyProtection="1">
      <alignment vertical="center"/>
    </xf>
    <xf numFmtId="0" fontId="4" fillId="38" borderId="15" xfId="0" applyFont="1" applyFill="1" applyBorder="1" applyAlignment="1" applyProtection="1">
      <alignment horizontal="right"/>
    </xf>
    <xf numFmtId="168" fontId="4" fillId="38" borderId="15" xfId="0" applyNumberFormat="1" applyFont="1" applyFill="1" applyBorder="1" applyAlignment="1" applyProtection="1">
      <alignment horizontal="center" vertical="center"/>
    </xf>
    <xf numFmtId="0" fontId="8" fillId="28" borderId="22" xfId="46" applyFont="1" applyFill="1" applyBorder="1" applyAlignment="1" applyProtection="1">
      <alignment horizontal="center" vertical="center" wrapText="1"/>
    </xf>
    <xf numFmtId="0" fontId="8" fillId="28" borderId="15" xfId="46" applyFont="1" applyFill="1" applyBorder="1" applyAlignment="1" applyProtection="1">
      <alignment horizontal="center" vertical="center" wrapText="1"/>
    </xf>
    <xf numFmtId="0" fontId="8" fillId="28" borderId="21" xfId="46" applyFont="1" applyFill="1" applyBorder="1" applyAlignment="1" applyProtection="1">
      <alignment horizontal="center" vertical="center" wrapText="1"/>
    </xf>
    <xf numFmtId="165" fontId="4" fillId="0" borderId="71" xfId="47" applyNumberFormat="1" applyFont="1" applyBorder="1" applyAlignment="1">
      <alignment horizontal="center" vertical="center"/>
    </xf>
    <xf numFmtId="165" fontId="4" fillId="0" borderId="72" xfId="47" applyNumberFormat="1" applyFont="1" applyBorder="1" applyAlignment="1">
      <alignment horizontal="center" vertical="center"/>
    </xf>
    <xf numFmtId="165" fontId="4" fillId="0" borderId="111" xfId="47" applyNumberFormat="1" applyFont="1" applyBorder="1" applyAlignment="1">
      <alignment horizontal="center" vertical="center"/>
    </xf>
    <xf numFmtId="165" fontId="8" fillId="0" borderId="97" xfId="47" applyNumberFormat="1" applyFont="1" applyFill="1" applyBorder="1" applyAlignment="1">
      <alignment horizontal="center" vertical="center"/>
    </xf>
    <xf numFmtId="0" fontId="6" fillId="26" borderId="0" xfId="47" applyFont="1" applyFill="1" applyBorder="1" applyAlignment="1" applyProtection="1">
      <alignment vertical="top"/>
    </xf>
    <xf numFmtId="0" fontId="34" fillId="26" borderId="0" xfId="47" applyFont="1" applyFill="1" applyBorder="1" applyAlignment="1" applyProtection="1">
      <alignment horizontal="left" vertical="center" indent="1"/>
    </xf>
    <xf numFmtId="0" fontId="4" fillId="26" borderId="0" xfId="47" applyFont="1" applyFill="1" applyBorder="1" applyAlignment="1" applyProtection="1">
      <alignment horizontal="left"/>
    </xf>
    <xf numFmtId="2" fontId="4" fillId="26" borderId="91" xfId="47" applyNumberFormat="1" applyFont="1" applyFill="1" applyBorder="1" applyAlignment="1">
      <alignment vertical="center" wrapText="1"/>
    </xf>
    <xf numFmtId="2" fontId="4" fillId="26" borderId="94" xfId="47" applyNumberFormat="1" applyFont="1" applyFill="1" applyBorder="1" applyAlignment="1">
      <alignment vertical="center" wrapText="1"/>
    </xf>
    <xf numFmtId="165" fontId="4" fillId="0" borderId="65" xfId="47" applyNumberFormat="1" applyFont="1" applyBorder="1" applyAlignment="1">
      <alignment horizontal="center" vertical="center"/>
    </xf>
    <xf numFmtId="165" fontId="4" fillId="0" borderId="66" xfId="47" applyNumberFormat="1" applyFont="1" applyBorder="1" applyAlignment="1">
      <alignment horizontal="center" vertical="center"/>
    </xf>
    <xf numFmtId="165" fontId="4" fillId="0" borderId="67" xfId="47" applyNumberFormat="1" applyFont="1" applyBorder="1" applyAlignment="1">
      <alignment horizontal="center" vertical="center"/>
    </xf>
    <xf numFmtId="165" fontId="8" fillId="0" borderId="92" xfId="47" applyNumberFormat="1" applyFont="1" applyBorder="1" applyAlignment="1">
      <alignment horizontal="center" vertical="center"/>
    </xf>
    <xf numFmtId="165" fontId="8" fillId="0" borderId="95" xfId="47" applyNumberFormat="1" applyFont="1" applyBorder="1" applyAlignment="1">
      <alignment horizontal="center" vertical="center"/>
    </xf>
    <xf numFmtId="0" fontId="64" fillId="26" borderId="74" xfId="34" applyFont="1" applyFill="1" applyBorder="1" applyAlignment="1" applyProtection="1">
      <alignment horizontal="center" vertical="center" wrapText="1"/>
    </xf>
    <xf numFmtId="0" fontId="4" fillId="26" borderId="74" xfId="47" applyFont="1" applyFill="1" applyBorder="1" applyAlignment="1">
      <alignment vertical="center" wrapText="1"/>
    </xf>
    <xf numFmtId="9" fontId="4" fillId="26" borderId="74" xfId="47" applyNumberFormat="1" applyFont="1" applyFill="1" applyBorder="1" applyAlignment="1">
      <alignment horizontal="center" vertical="center"/>
    </xf>
    <xf numFmtId="9" fontId="8" fillId="26" borderId="74" xfId="47" applyNumberFormat="1" applyFont="1" applyFill="1" applyBorder="1" applyAlignment="1">
      <alignment horizontal="center" vertical="center"/>
    </xf>
    <xf numFmtId="0" fontId="4" fillId="39" borderId="67" xfId="47" applyFont="1" applyFill="1" applyBorder="1" applyAlignment="1">
      <alignment vertical="center" wrapText="1"/>
    </xf>
    <xf numFmtId="0" fontId="4" fillId="39" borderId="21" xfId="47" applyFont="1" applyFill="1" applyBorder="1" applyAlignment="1">
      <alignment vertical="center" wrapText="1"/>
    </xf>
    <xf numFmtId="0" fontId="4" fillId="39" borderId="70" xfId="47" applyFont="1" applyFill="1" applyBorder="1" applyAlignment="1">
      <alignment vertical="center" wrapText="1"/>
    </xf>
    <xf numFmtId="0" fontId="6" fillId="36" borderId="15" xfId="47" applyFont="1" applyFill="1" applyBorder="1" applyAlignment="1">
      <alignment horizontal="center" vertical="center" wrapText="1"/>
    </xf>
    <xf numFmtId="165" fontId="8" fillId="32" borderId="97" xfId="47" applyNumberFormat="1" applyFont="1" applyFill="1" applyBorder="1" applyAlignment="1">
      <alignment horizontal="center" vertical="center"/>
    </xf>
    <xf numFmtId="1" fontId="8" fillId="32" borderId="92" xfId="47" applyNumberFormat="1" applyFont="1" applyFill="1" applyBorder="1" applyAlignment="1">
      <alignment horizontal="center" vertical="center"/>
    </xf>
    <xf numFmtId="9" fontId="8" fillId="32" borderId="95" xfId="47" applyNumberFormat="1" applyFont="1" applyFill="1" applyBorder="1" applyAlignment="1">
      <alignment horizontal="center" vertical="center"/>
    </xf>
    <xf numFmtId="9" fontId="8" fillId="32" borderId="19" xfId="47" applyNumberFormat="1" applyFont="1" applyFill="1" applyBorder="1" applyAlignment="1">
      <alignment horizontal="center" vertical="center"/>
    </xf>
    <xf numFmtId="1" fontId="8" fillId="32" borderId="97" xfId="47" applyNumberFormat="1" applyFont="1" applyFill="1" applyBorder="1" applyAlignment="1">
      <alignment horizontal="center" vertical="center"/>
    </xf>
    <xf numFmtId="9" fontId="8" fillId="32" borderId="92" xfId="47" applyNumberFormat="1" applyFont="1" applyFill="1" applyBorder="1" applyAlignment="1">
      <alignment horizontal="center" vertical="center"/>
    </xf>
    <xf numFmtId="9" fontId="8" fillId="32" borderId="68" xfId="47" applyNumberFormat="1" applyFont="1" applyFill="1" applyBorder="1" applyAlignment="1">
      <alignment horizontal="center" vertical="center"/>
    </xf>
    <xf numFmtId="1" fontId="8" fillId="32" borderId="106" xfId="47" applyNumberFormat="1" applyFont="1" applyFill="1" applyBorder="1" applyAlignment="1">
      <alignment horizontal="center" vertical="center"/>
    </xf>
    <xf numFmtId="165" fontId="8" fillId="32" borderId="92" xfId="47" applyNumberFormat="1" applyFont="1" applyFill="1" applyBorder="1" applyAlignment="1">
      <alignment horizontal="center" vertical="center"/>
    </xf>
    <xf numFmtId="165" fontId="8" fillId="32" borderId="95" xfId="47" applyNumberFormat="1" applyFont="1" applyFill="1" applyBorder="1" applyAlignment="1">
      <alignment horizontal="center" vertical="center"/>
    </xf>
    <xf numFmtId="165" fontId="8" fillId="32" borderId="19" xfId="47" applyNumberFormat="1" applyFont="1" applyFill="1" applyBorder="1" applyAlignment="1">
      <alignment horizontal="center" vertical="center"/>
    </xf>
    <xf numFmtId="0" fontId="4" fillId="26" borderId="26" xfId="47" applyFont="1" applyFill="1" applyBorder="1" applyProtection="1"/>
    <xf numFmtId="0" fontId="4" fillId="0" borderId="13" xfId="47" applyFont="1" applyFill="1" applyBorder="1" applyProtection="1"/>
    <xf numFmtId="0" fontId="4" fillId="26" borderId="45" xfId="47" applyFont="1" applyFill="1" applyBorder="1" applyProtection="1"/>
    <xf numFmtId="0" fontId="4" fillId="26" borderId="36" xfId="0" applyFont="1" applyFill="1" applyBorder="1" applyAlignment="1" applyProtection="1">
      <alignment horizontal="left"/>
    </xf>
    <xf numFmtId="0" fontId="4" fillId="26" borderId="53" xfId="0" applyFont="1" applyFill="1" applyBorder="1" applyAlignment="1" applyProtection="1">
      <alignment horizontal="left"/>
    </xf>
    <xf numFmtId="0" fontId="7" fillId="24" borderId="36" xfId="0" applyFont="1" applyFill="1" applyBorder="1" applyAlignment="1" applyProtection="1">
      <alignment horizontal="left"/>
    </xf>
    <xf numFmtId="0" fontId="7" fillId="24" borderId="0" xfId="0" applyFont="1" applyFill="1" applyBorder="1" applyAlignment="1" applyProtection="1">
      <alignment horizontal="left"/>
    </xf>
    <xf numFmtId="0" fontId="0" fillId="26" borderId="0" xfId="0" applyFill="1" applyBorder="1" applyAlignment="1" applyProtection="1">
      <alignment horizontal="left" wrapText="1"/>
    </xf>
    <xf numFmtId="0" fontId="0" fillId="26" borderId="53" xfId="0" applyFill="1" applyBorder="1" applyAlignment="1" applyProtection="1">
      <alignment horizontal="left" wrapText="1"/>
    </xf>
    <xf numFmtId="0" fontId="4" fillId="24" borderId="0" xfId="0" applyFont="1" applyFill="1" applyBorder="1" applyAlignment="1" applyProtection="1">
      <alignment horizontal="left"/>
    </xf>
    <xf numFmtId="0" fontId="7" fillId="24" borderId="48" xfId="0" applyFont="1" applyFill="1" applyBorder="1" applyAlignment="1" applyProtection="1">
      <alignment horizontal="left"/>
    </xf>
    <xf numFmtId="0" fontId="7" fillId="0" borderId="0" xfId="0" applyFont="1" applyFill="1" applyAlignment="1" applyProtection="1">
      <alignment horizontal="left"/>
    </xf>
    <xf numFmtId="0" fontId="4" fillId="24" borderId="15" xfId="0" applyFont="1" applyFill="1" applyBorder="1" applyAlignment="1" applyProtection="1">
      <alignment horizontal="left" vertical="center" wrapText="1" indent="1"/>
    </xf>
    <xf numFmtId="0" fontId="70" fillId="24" borderId="15" xfId="0" applyFont="1" applyFill="1" applyBorder="1" applyAlignment="1" applyProtection="1">
      <alignment horizontal="left" vertical="center" wrapText="1" indent="1"/>
    </xf>
    <xf numFmtId="0" fontId="4" fillId="24" borderId="12" xfId="0" applyFont="1" applyFill="1" applyBorder="1" applyAlignment="1" applyProtection="1">
      <alignment horizontal="left" vertical="center" wrapText="1" indent="1"/>
    </xf>
    <xf numFmtId="0" fontId="4" fillId="26" borderId="15" xfId="0" applyFont="1" applyFill="1" applyBorder="1" applyAlignment="1" applyProtection="1">
      <alignment horizontal="left" vertical="center" wrapText="1" indent="1"/>
    </xf>
    <xf numFmtId="0" fontId="4" fillId="26" borderId="15" xfId="0" applyFont="1" applyFill="1" applyBorder="1" applyAlignment="1">
      <alignment horizontal="left" vertical="center" wrapText="1" indent="1"/>
    </xf>
    <xf numFmtId="0" fontId="4" fillId="24" borderId="102" xfId="0" applyFont="1" applyFill="1" applyBorder="1" applyAlignment="1" applyProtection="1">
      <alignment horizontal="left" vertical="center" wrapText="1" indent="1"/>
    </xf>
    <xf numFmtId="0" fontId="8" fillId="26" borderId="102" xfId="0" applyFont="1" applyFill="1" applyBorder="1" applyAlignment="1" applyProtection="1">
      <alignment vertical="center" wrapText="1"/>
    </xf>
    <xf numFmtId="0" fontId="7" fillId="24" borderId="73" xfId="0" applyFont="1" applyFill="1" applyBorder="1" applyProtection="1"/>
    <xf numFmtId="0" fontId="8" fillId="26" borderId="129" xfId="0" applyFont="1" applyFill="1" applyBorder="1" applyAlignment="1" applyProtection="1">
      <alignment vertical="center" wrapText="1"/>
    </xf>
    <xf numFmtId="0" fontId="4" fillId="24" borderId="129" xfId="0" applyFont="1" applyFill="1" applyBorder="1" applyAlignment="1" applyProtection="1">
      <alignment horizontal="left" vertical="center" wrapText="1" indent="1"/>
    </xf>
    <xf numFmtId="0" fontId="7" fillId="24" borderId="101" xfId="0" applyFont="1" applyFill="1" applyBorder="1" applyProtection="1"/>
    <xf numFmtId="0" fontId="62" fillId="28" borderId="15" xfId="0" applyFont="1" applyFill="1" applyBorder="1" applyAlignment="1" applyProtection="1">
      <alignment horizontal="center" vertical="center"/>
    </xf>
    <xf numFmtId="0" fontId="62" fillId="28" borderId="15" xfId="0" applyFont="1" applyFill="1" applyBorder="1" applyAlignment="1" applyProtection="1">
      <alignment horizontal="center" vertical="center" wrapText="1"/>
    </xf>
    <xf numFmtId="0" fontId="8" fillId="26" borderId="82" xfId="0" applyFont="1" applyFill="1" applyBorder="1" applyAlignment="1" applyProtection="1">
      <alignment vertical="center" wrapText="1"/>
    </xf>
    <xf numFmtId="0" fontId="4" fillId="24" borderId="82" xfId="0" applyFont="1" applyFill="1" applyBorder="1" applyAlignment="1" applyProtection="1">
      <alignment horizontal="left" vertical="center" wrapText="1" indent="1"/>
    </xf>
    <xf numFmtId="0" fontId="8" fillId="26" borderId="15" xfId="0" applyFont="1" applyFill="1" applyBorder="1" applyAlignment="1" applyProtection="1">
      <alignment vertical="center" wrapText="1"/>
    </xf>
    <xf numFmtId="0" fontId="4" fillId="24" borderId="0" xfId="0" applyFont="1" applyFill="1" applyBorder="1" applyAlignment="1" applyProtection="1">
      <alignment horizontal="left" vertical="center" wrapText="1" indent="1"/>
    </xf>
    <xf numFmtId="0" fontId="35" fillId="24" borderId="113" xfId="0" applyFont="1" applyFill="1" applyBorder="1" applyProtection="1"/>
    <xf numFmtId="0" fontId="4" fillId="24" borderId="58" xfId="0" applyFont="1" applyFill="1" applyBorder="1" applyAlignment="1" applyProtection="1">
      <alignment vertical="top" wrapText="1"/>
      <protection locked="0"/>
    </xf>
    <xf numFmtId="0" fontId="35" fillId="0" borderId="48" xfId="0" applyFont="1" applyFill="1" applyBorder="1" applyAlignment="1" applyProtection="1">
      <alignment horizontal="right"/>
    </xf>
    <xf numFmtId="0" fontId="35" fillId="26" borderId="48" xfId="0" applyFont="1" applyFill="1" applyBorder="1" applyAlignment="1" applyProtection="1">
      <alignment horizontal="right"/>
    </xf>
    <xf numFmtId="0" fontId="6" fillId="0" borderId="0" xfId="47" applyFont="1" applyAlignment="1">
      <alignment horizontal="left" vertical="center" wrapText="1" indent="1"/>
    </xf>
    <xf numFmtId="0" fontId="6" fillId="0" borderId="15" xfId="47" applyFont="1" applyBorder="1" applyAlignment="1">
      <alignment horizontal="center" vertical="center"/>
    </xf>
    <xf numFmtId="0" fontId="6" fillId="36" borderId="14" xfId="47" applyFont="1" applyFill="1" applyBorder="1" applyAlignment="1">
      <alignment horizontal="center" vertical="center"/>
    </xf>
    <xf numFmtId="0" fontId="3" fillId="0" borderId="15" xfId="47" applyBorder="1"/>
    <xf numFmtId="0" fontId="3" fillId="38" borderId="0" xfId="47" applyFill="1" applyBorder="1" applyAlignment="1">
      <alignment horizontal="center" vertical="center"/>
    </xf>
    <xf numFmtId="0" fontId="3" fillId="36" borderId="18" xfId="47" applyFill="1" applyBorder="1"/>
    <xf numFmtId="0" fontId="3" fillId="36" borderId="26" xfId="47" applyFill="1" applyBorder="1"/>
    <xf numFmtId="0" fontId="3" fillId="38" borderId="49" xfId="47" applyFill="1" applyBorder="1" applyAlignment="1">
      <alignment horizontal="center" vertical="center"/>
    </xf>
    <xf numFmtId="0" fontId="3" fillId="38" borderId="25" xfId="47" applyFill="1" applyBorder="1" applyAlignment="1">
      <alignment horizontal="center" vertical="center"/>
    </xf>
    <xf numFmtId="0" fontId="3" fillId="36" borderId="14" xfId="47" applyFill="1" applyBorder="1"/>
    <xf numFmtId="0" fontId="3" fillId="38" borderId="102" xfId="47" applyFill="1" applyBorder="1" applyAlignment="1">
      <alignment horizontal="center" vertical="center"/>
    </xf>
    <xf numFmtId="0" fontId="3" fillId="38" borderId="103" xfId="47" applyFill="1" applyBorder="1" applyAlignment="1">
      <alignment horizontal="center" vertical="center"/>
    </xf>
    <xf numFmtId="1" fontId="4" fillId="0" borderId="15" xfId="47" applyNumberFormat="1" applyFont="1" applyFill="1" applyBorder="1" applyAlignment="1">
      <alignment horizontal="left" wrapText="1"/>
    </xf>
    <xf numFmtId="1" fontId="4" fillId="0" borderId="15" xfId="47" applyNumberFormat="1" applyFont="1" applyBorder="1" applyAlignment="1">
      <alignment wrapText="1"/>
    </xf>
    <xf numFmtId="1" fontId="8" fillId="43" borderId="15" xfId="47" applyNumberFormat="1" applyFont="1" applyFill="1" applyBorder="1" applyAlignment="1" applyProtection="1">
      <alignment horizontal="left" vertical="top" wrapText="1"/>
    </xf>
    <xf numFmtId="1" fontId="4" fillId="45" borderId="15" xfId="47" applyNumberFormat="1" applyFont="1" applyFill="1" applyBorder="1" applyAlignment="1">
      <alignment horizontal="left" wrapText="1"/>
    </xf>
    <xf numFmtId="1" fontId="4" fillId="45" borderId="15" xfId="47" applyNumberFormat="1" applyFont="1" applyFill="1" applyBorder="1" applyAlignment="1" applyProtection="1">
      <alignment horizontal="center" vertical="center" wrapText="1"/>
    </xf>
    <xf numFmtId="1" fontId="4" fillId="45" borderId="15" xfId="47" applyNumberFormat="1" applyFont="1" applyFill="1" applyBorder="1"/>
    <xf numFmtId="1" fontId="4" fillId="43" borderId="15" xfId="47" applyNumberFormat="1" applyFont="1" applyFill="1" applyBorder="1" applyAlignment="1">
      <alignment wrapText="1"/>
    </xf>
    <xf numFmtId="0" fontId="68" fillId="0" borderId="15" xfId="47" applyFont="1" applyFill="1" applyBorder="1" applyAlignment="1">
      <alignment horizontal="left" vertical="top" wrapText="1"/>
    </xf>
    <xf numFmtId="0" fontId="68" fillId="26" borderId="15" xfId="47" applyFont="1" applyFill="1" applyBorder="1" applyAlignment="1" applyProtection="1">
      <alignment horizontal="left" vertical="top" wrapText="1"/>
    </xf>
    <xf numFmtId="0" fontId="68" fillId="59" borderId="15" xfId="47" applyFont="1" applyFill="1" applyBorder="1" applyAlignment="1" applyProtection="1">
      <alignment horizontal="left" vertical="top" wrapText="1"/>
    </xf>
    <xf numFmtId="0" fontId="8" fillId="43" borderId="15" xfId="47" applyFont="1" applyFill="1" applyBorder="1" applyAlignment="1" applyProtection="1">
      <alignment horizontal="left" vertical="center" wrapText="1" indent="1"/>
    </xf>
    <xf numFmtId="0" fontId="68" fillId="36" borderId="15" xfId="47" applyFont="1" applyFill="1" applyBorder="1" applyAlignment="1" applyProtection="1">
      <alignment horizontal="left" vertical="top" wrapText="1"/>
    </xf>
    <xf numFmtId="0" fontId="68" fillId="43" borderId="15" xfId="47" applyFont="1" applyFill="1" applyBorder="1" applyAlignment="1" applyProtection="1">
      <alignment horizontal="left" vertical="top" wrapText="1"/>
    </xf>
    <xf numFmtId="17" fontId="3" fillId="0" borderId="0" xfId="47" applyNumberFormat="1"/>
    <xf numFmtId="0" fontId="6" fillId="0" borderId="0" xfId="47" applyFont="1" applyAlignment="1">
      <alignment horizontal="center" vertical="center"/>
    </xf>
    <xf numFmtId="0" fontId="3" fillId="0" borderId="0" xfId="47" applyAlignment="1">
      <alignment horizontal="right" indent="1"/>
    </xf>
    <xf numFmtId="169" fontId="3" fillId="38" borderId="15" xfId="47" applyNumberFormat="1" applyFill="1" applyBorder="1"/>
    <xf numFmtId="169" fontId="3" fillId="38" borderId="15" xfId="47" applyNumberFormat="1" applyFill="1" applyBorder="1" applyAlignment="1">
      <alignment horizontal="center" vertical="center"/>
    </xf>
    <xf numFmtId="0" fontId="3" fillId="38" borderId="97" xfId="47" applyFill="1" applyBorder="1" applyAlignment="1">
      <alignment horizontal="center" vertical="center"/>
    </xf>
    <xf numFmtId="0" fontId="7" fillId="26" borderId="101" xfId="0" applyFont="1" applyFill="1" applyBorder="1" applyProtection="1"/>
    <xf numFmtId="0" fontId="7" fillId="26" borderId="37" xfId="0" applyFont="1" applyFill="1" applyBorder="1" applyProtection="1"/>
    <xf numFmtId="0" fontId="4" fillId="0" borderId="15" xfId="47" applyFont="1" applyBorder="1" applyAlignment="1">
      <alignment horizontal="left" wrapText="1"/>
    </xf>
    <xf numFmtId="0" fontId="4" fillId="0" borderId="15" xfId="47" applyFont="1" applyFill="1" applyBorder="1" applyAlignment="1">
      <alignment horizontal="left" wrapText="1"/>
    </xf>
    <xf numFmtId="0" fontId="4" fillId="29" borderId="15" xfId="47" applyFont="1" applyFill="1" applyBorder="1" applyAlignment="1" applyProtection="1">
      <alignment horizontal="center" vertical="center" wrapText="1"/>
    </xf>
    <xf numFmtId="0" fontId="4" fillId="0" borderId="15" xfId="47" applyFont="1" applyBorder="1"/>
    <xf numFmtId="0" fontId="3" fillId="0" borderId="0" xfId="47" applyFill="1" applyAlignment="1">
      <alignment wrapText="1"/>
    </xf>
    <xf numFmtId="0" fontId="34" fillId="0" borderId="0" xfId="0" applyFont="1" applyAlignment="1">
      <alignment vertical="center" textRotation="180"/>
    </xf>
    <xf numFmtId="0" fontId="34" fillId="0" borderId="15" xfId="0" applyFont="1" applyBorder="1" applyAlignment="1">
      <alignment horizontal="center" vertical="center" textRotation="180"/>
    </xf>
    <xf numFmtId="0" fontId="34" fillId="46" borderId="15" xfId="0" applyFont="1" applyFill="1" applyBorder="1" applyAlignment="1">
      <alignment horizontal="center" vertical="center" textRotation="180"/>
    </xf>
    <xf numFmtId="0" fontId="34" fillId="0" borderId="15" xfId="0" applyFont="1" applyBorder="1" applyAlignment="1">
      <alignment vertical="center" textRotation="180"/>
    </xf>
    <xf numFmtId="0" fontId="34" fillId="0" borderId="15" xfId="0" applyFont="1" applyBorder="1" applyAlignment="1">
      <alignment vertical="center"/>
    </xf>
    <xf numFmtId="0" fontId="34" fillId="0" borderId="15" xfId="0" applyFont="1" applyBorder="1" applyAlignment="1">
      <alignment horizontal="center" vertical="center"/>
    </xf>
    <xf numFmtId="0" fontId="34" fillId="39" borderId="18" xfId="47" applyFont="1" applyFill="1" applyBorder="1" applyAlignment="1">
      <alignment vertical="center" wrapText="1"/>
    </xf>
    <xf numFmtId="165" fontId="34" fillId="0" borderId="15" xfId="0" applyNumberFormat="1" applyFont="1" applyBorder="1" applyAlignment="1">
      <alignment vertical="center"/>
    </xf>
    <xf numFmtId="165" fontId="34" fillId="46" borderId="15" xfId="0" applyNumberFormat="1" applyFont="1" applyFill="1" applyBorder="1" applyAlignment="1">
      <alignment vertical="center"/>
    </xf>
    <xf numFmtId="0" fontId="34" fillId="58" borderId="15" xfId="0" applyFont="1" applyFill="1" applyBorder="1" applyAlignment="1">
      <alignment vertical="center"/>
    </xf>
    <xf numFmtId="0" fontId="34" fillId="0" borderId="18" xfId="47" applyFont="1" applyFill="1" applyBorder="1" applyAlignment="1">
      <alignment vertical="center" wrapText="1"/>
    </xf>
    <xf numFmtId="0" fontId="34" fillId="0" borderId="15" xfId="0" quotePrefix="1" applyFont="1" applyBorder="1" applyAlignment="1">
      <alignment vertical="center"/>
    </xf>
    <xf numFmtId="0" fontId="34" fillId="26" borderId="18" xfId="47" applyFont="1" applyFill="1" applyBorder="1" applyAlignment="1">
      <alignment vertical="center" wrapText="1"/>
    </xf>
    <xf numFmtId="2" fontId="34" fillId="26" borderId="18" xfId="47" applyNumberFormat="1" applyFont="1" applyFill="1" applyBorder="1" applyAlignment="1">
      <alignment vertical="center" wrapText="1"/>
    </xf>
    <xf numFmtId="0" fontId="34" fillId="0" borderId="0" xfId="0" applyFont="1" applyAlignment="1">
      <alignment vertical="center"/>
    </xf>
    <xf numFmtId="0" fontId="34" fillId="0" borderId="0" xfId="0" quotePrefix="1" applyFont="1" applyAlignment="1">
      <alignment vertical="center"/>
    </xf>
    <xf numFmtId="0" fontId="4" fillId="0" borderId="15" xfId="0" applyFont="1" applyFill="1" applyBorder="1" applyAlignment="1" applyProtection="1">
      <alignment horizontal="right" vertical="center"/>
    </xf>
    <xf numFmtId="0" fontId="37" fillId="0" borderId="15" xfId="0" applyFont="1" applyFill="1" applyBorder="1" applyAlignment="1" applyProtection="1">
      <alignment horizontal="right"/>
    </xf>
    <xf numFmtId="0" fontId="80" fillId="0" borderId="15" xfId="0" applyFont="1" applyFill="1" applyBorder="1"/>
    <xf numFmtId="0" fontId="81" fillId="0" borderId="15" xfId="0" applyFont="1" applyFill="1" applyBorder="1" applyAlignment="1">
      <alignment horizontal="center"/>
    </xf>
    <xf numFmtId="0" fontId="80" fillId="0" borderId="15" xfId="0" applyFont="1" applyFill="1" applyBorder="1" applyAlignment="1">
      <alignment horizontal="right" vertical="center"/>
    </xf>
    <xf numFmtId="0" fontId="80" fillId="0" borderId="15" xfId="0" applyFont="1" applyFill="1" applyBorder="1" applyAlignment="1">
      <alignment vertical="center"/>
    </xf>
    <xf numFmtId="0" fontId="37" fillId="26" borderId="33" xfId="0" applyFont="1" applyFill="1" applyBorder="1" applyAlignment="1" applyProtection="1">
      <alignment horizontal="right"/>
    </xf>
    <xf numFmtId="0" fontId="59" fillId="26" borderId="46" xfId="0" applyFont="1" applyFill="1" applyBorder="1" applyProtection="1"/>
    <xf numFmtId="0" fontId="59" fillId="26" borderId="44" xfId="0" applyFont="1" applyFill="1" applyBorder="1" applyAlignment="1" applyProtection="1">
      <alignment horizontal="right"/>
    </xf>
    <xf numFmtId="0" fontId="59" fillId="26" borderId="44" xfId="0" applyFont="1" applyFill="1" applyBorder="1" applyProtection="1"/>
    <xf numFmtId="0" fontId="59" fillId="26" borderId="44" xfId="0" applyFont="1" applyFill="1" applyBorder="1" applyAlignment="1" applyProtection="1">
      <alignment vertical="center"/>
    </xf>
    <xf numFmtId="0" fontId="59" fillId="26" borderId="46" xfId="0" applyFont="1" applyFill="1" applyBorder="1" applyAlignment="1" applyProtection="1"/>
    <xf numFmtId="0" fontId="59" fillId="26" borderId="44" xfId="0" applyFont="1" applyFill="1" applyBorder="1" applyAlignment="1" applyProtection="1"/>
    <xf numFmtId="0" fontId="59" fillId="26" borderId="46" xfId="0" applyFont="1" applyFill="1" applyBorder="1" applyAlignment="1" applyProtection="1">
      <alignment vertical="center"/>
    </xf>
    <xf numFmtId="0" fontId="66" fillId="26" borderId="46" xfId="0" applyFont="1" applyFill="1" applyBorder="1" applyAlignment="1" applyProtection="1">
      <alignment vertical="center"/>
    </xf>
    <xf numFmtId="0" fontId="59" fillId="26" borderId="58" xfId="0" applyFont="1" applyFill="1" applyBorder="1" applyProtection="1"/>
    <xf numFmtId="0" fontId="59" fillId="26" borderId="58" xfId="0" applyFont="1" applyFill="1" applyBorder="1" applyAlignment="1" applyProtection="1"/>
    <xf numFmtId="1" fontId="4" fillId="28" borderId="21" xfId="0" applyNumberFormat="1" applyFont="1" applyFill="1" applyBorder="1" applyAlignment="1" applyProtection="1">
      <alignment horizontal="center" vertical="center"/>
    </xf>
    <xf numFmtId="0" fontId="4" fillId="60" borderId="15" xfId="47" applyFont="1" applyFill="1" applyBorder="1" applyAlignment="1" applyProtection="1">
      <alignment horizontal="center" vertical="center" textRotation="180" wrapText="1"/>
    </xf>
    <xf numFmtId="0" fontId="8" fillId="28" borderId="15" xfId="0" applyFont="1" applyFill="1" applyBorder="1" applyAlignment="1" applyProtection="1">
      <alignment horizontal="center" vertical="center" wrapText="1"/>
    </xf>
    <xf numFmtId="0" fontId="4" fillId="61" borderId="15" xfId="47" applyFont="1" applyFill="1" applyBorder="1" applyAlignment="1" applyProtection="1">
      <alignment horizontal="center" vertical="center" textRotation="180" wrapText="1"/>
    </xf>
    <xf numFmtId="17" fontId="6" fillId="36" borderId="15" xfId="47" applyNumberFormat="1" applyFont="1" applyFill="1" applyBorder="1" applyAlignment="1">
      <alignment horizontal="center" vertical="center"/>
    </xf>
    <xf numFmtId="0" fontId="4" fillId="0" borderId="0" xfId="47" applyFont="1" applyFill="1" applyAlignment="1"/>
    <xf numFmtId="0" fontId="4" fillId="0" borderId="0" xfId="47" applyFont="1" applyAlignment="1"/>
    <xf numFmtId="167" fontId="8" fillId="32" borderId="34" xfId="47" applyNumberFormat="1" applyFont="1" applyFill="1" applyBorder="1" applyAlignment="1">
      <alignment horizontal="center" vertical="center"/>
    </xf>
    <xf numFmtId="0" fontId="4" fillId="26" borderId="15" xfId="47" applyFont="1" applyFill="1" applyBorder="1" applyAlignment="1">
      <alignment horizontal="left" wrapText="1"/>
    </xf>
    <xf numFmtId="1" fontId="4" fillId="62" borderId="15" xfId="47" applyNumberFormat="1" applyFont="1" applyFill="1" applyBorder="1" applyAlignment="1" applyProtection="1">
      <alignment horizontal="left" vertical="center" wrapText="1"/>
      <protection locked="0"/>
    </xf>
    <xf numFmtId="0" fontId="4" fillId="62" borderId="15" xfId="47" applyFont="1" applyFill="1" applyBorder="1" applyAlignment="1">
      <alignment horizontal="left" wrapText="1"/>
    </xf>
    <xf numFmtId="0" fontId="4" fillId="62" borderId="15" xfId="47" applyFont="1" applyFill="1" applyBorder="1" applyAlignment="1" applyProtection="1">
      <alignment horizontal="center" vertical="center" wrapText="1"/>
    </xf>
    <xf numFmtId="0" fontId="4" fillId="62" borderId="15" xfId="47" applyFont="1" applyFill="1" applyBorder="1" applyAlignment="1">
      <alignment wrapText="1"/>
    </xf>
    <xf numFmtId="1" fontId="4" fillId="62" borderId="15" xfId="46" applyNumberFormat="1" applyFont="1" applyFill="1" applyBorder="1" applyAlignment="1" applyProtection="1">
      <alignment horizontal="left" vertical="center" wrapText="1"/>
      <protection locked="0"/>
    </xf>
    <xf numFmtId="1" fontId="4" fillId="36" borderId="15" xfId="47" applyNumberFormat="1" applyFont="1" applyFill="1" applyBorder="1" applyAlignment="1">
      <alignment horizontal="left" wrapText="1"/>
    </xf>
    <xf numFmtId="1" fontId="4" fillId="36" borderId="15" xfId="47" applyNumberFormat="1" applyFont="1" applyFill="1" applyBorder="1" applyAlignment="1" applyProtection="1">
      <alignment horizontal="center" vertical="center" wrapText="1"/>
    </xf>
    <xf numFmtId="1" fontId="4" fillId="43" borderId="15" xfId="47" applyNumberFormat="1" applyFont="1" applyFill="1" applyBorder="1" applyAlignment="1" applyProtection="1">
      <alignment horizontal="left" vertical="center" wrapText="1"/>
      <protection locked="0"/>
    </xf>
    <xf numFmtId="1" fontId="4" fillId="43" borderId="15" xfId="47" applyNumberFormat="1" applyFont="1" applyFill="1" applyBorder="1" applyAlignment="1">
      <alignment horizontal="left" wrapText="1"/>
    </xf>
    <xf numFmtId="1" fontId="4" fillId="43" borderId="15" xfId="46" applyNumberFormat="1" applyFont="1" applyFill="1" applyBorder="1" applyAlignment="1" applyProtection="1">
      <alignment horizontal="left" vertical="center" wrapText="1"/>
      <protection locked="0"/>
    </xf>
    <xf numFmtId="1" fontId="4" fillId="36" borderId="15" xfId="47" applyNumberFormat="1" applyFont="1" applyFill="1" applyBorder="1"/>
    <xf numFmtId="0" fontId="8" fillId="28" borderId="15" xfId="0" applyFont="1" applyFill="1" applyBorder="1" applyAlignment="1" applyProtection="1">
      <alignment horizontal="center" vertical="center" wrapText="1"/>
    </xf>
    <xf numFmtId="1" fontId="8" fillId="26" borderId="92" xfId="47" applyNumberFormat="1" applyFont="1" applyFill="1" applyBorder="1" applyAlignment="1">
      <alignment horizontal="center" vertical="center"/>
    </xf>
    <xf numFmtId="9" fontId="8" fillId="26" borderId="95" xfId="47" applyNumberFormat="1" applyFont="1" applyFill="1" applyBorder="1" applyAlignment="1">
      <alignment horizontal="center" vertical="center"/>
    </xf>
    <xf numFmtId="0" fontId="50" fillId="0" borderId="15"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14" xfId="0" applyFont="1" applyFill="1" applyBorder="1" applyAlignment="1" applyProtection="1">
      <alignment horizontal="center"/>
    </xf>
    <xf numFmtId="0" fontId="4" fillId="42" borderId="15" xfId="47" applyFont="1" applyFill="1" applyBorder="1" applyAlignment="1">
      <alignment horizontal="left" wrapText="1"/>
    </xf>
    <xf numFmtId="0" fontId="4" fillId="42" borderId="15" xfId="47" applyFont="1" applyFill="1" applyBorder="1" applyAlignment="1">
      <alignment wrapText="1"/>
    </xf>
    <xf numFmtId="0" fontId="4" fillId="42" borderId="18" xfId="47" applyFont="1" applyFill="1" applyBorder="1" applyAlignment="1">
      <alignment wrapText="1"/>
    </xf>
    <xf numFmtId="0" fontId="4" fillId="42" borderId="15" xfId="47" applyFont="1" applyFill="1" applyBorder="1" applyAlignment="1" applyProtection="1">
      <alignment horizontal="center" vertical="center" wrapText="1"/>
    </xf>
    <xf numFmtId="0" fontId="4" fillId="42" borderId="15" xfId="47" applyFont="1" applyFill="1" applyBorder="1"/>
    <xf numFmtId="0" fontId="4" fillId="62" borderId="18" xfId="47" applyFont="1" applyFill="1" applyBorder="1" applyAlignment="1">
      <alignment horizontal="left" wrapText="1"/>
    </xf>
    <xf numFmtId="0" fontId="8" fillId="43" borderId="18" xfId="47" applyFont="1" applyFill="1" applyBorder="1" applyAlignment="1" applyProtection="1">
      <alignment horizontal="left" vertical="top" wrapText="1"/>
    </xf>
    <xf numFmtId="0" fontId="4" fillId="0" borderId="18" xfId="47" applyFont="1" applyBorder="1" applyAlignment="1">
      <alignment horizontal="left" wrapText="1"/>
    </xf>
    <xf numFmtId="1" fontId="4" fillId="26" borderId="21" xfId="47" applyNumberFormat="1" applyFont="1" applyFill="1" applyBorder="1" applyAlignment="1" applyProtection="1">
      <alignment horizontal="left" vertical="center" wrapText="1"/>
    </xf>
    <xf numFmtId="1" fontId="4" fillId="42" borderId="15" xfId="47" applyNumberFormat="1" applyFont="1" applyFill="1" applyBorder="1" applyAlignment="1" applyProtection="1">
      <alignment horizontal="left" vertical="center" wrapText="1"/>
      <protection locked="0"/>
    </xf>
    <xf numFmtId="1" fontId="4" fillId="42" borderId="15" xfId="46" applyNumberFormat="1" applyFont="1" applyFill="1" applyBorder="1" applyAlignment="1" applyProtection="1">
      <alignment horizontal="left" vertical="center" wrapText="1"/>
      <protection locked="0"/>
    </xf>
    <xf numFmtId="0" fontId="4" fillId="42" borderId="18" xfId="47" applyFont="1" applyFill="1" applyBorder="1" applyAlignment="1">
      <alignment horizontal="left" wrapText="1"/>
    </xf>
    <xf numFmtId="0" fontId="4" fillId="40" borderId="15" xfId="47" applyFont="1" applyFill="1" applyBorder="1" applyAlignment="1" applyProtection="1">
      <alignment horizontal="left" vertical="top" wrapText="1"/>
    </xf>
    <xf numFmtId="0" fontId="4" fillId="0" borderId="15" xfId="47" applyFont="1" applyBorder="1" applyAlignment="1">
      <alignment vertical="center" wrapText="1"/>
    </xf>
    <xf numFmtId="0" fontId="4" fillId="62" borderId="15" xfId="47" applyFont="1" applyFill="1" applyBorder="1"/>
    <xf numFmtId="3" fontId="4" fillId="42" borderId="15" xfId="47" applyNumberFormat="1" applyFont="1" applyFill="1" applyBorder="1" applyAlignment="1">
      <alignment horizontal="left" wrapText="1"/>
    </xf>
    <xf numFmtId="0" fontId="4" fillId="43" borderId="15" xfId="47" applyFont="1" applyFill="1" applyBorder="1" applyAlignment="1" applyProtection="1">
      <alignment horizontal="center" vertical="center" wrapText="1"/>
    </xf>
    <xf numFmtId="0" fontId="4" fillId="43" borderId="15" xfId="47" applyFont="1" applyFill="1" applyBorder="1" applyAlignment="1">
      <alignment wrapText="1"/>
    </xf>
    <xf numFmtId="1" fontId="4" fillId="29" borderId="15" xfId="47" applyNumberFormat="1" applyFont="1" applyFill="1" applyBorder="1" applyAlignment="1">
      <alignment horizontal="center" vertical="center" wrapText="1"/>
    </xf>
    <xf numFmtId="1" fontId="4" fillId="29" borderId="15" xfId="47" applyNumberFormat="1" applyFont="1" applyFill="1" applyBorder="1" applyAlignment="1" applyProtection="1">
      <alignment horizontal="center" vertical="center" wrapText="1"/>
      <protection locked="0"/>
    </xf>
    <xf numFmtId="1" fontId="4" fillId="24" borderId="15" xfId="47" applyNumberFormat="1" applyFont="1" applyFill="1" applyBorder="1" applyAlignment="1" applyProtection="1">
      <alignment horizontal="right" vertical="center" wrapText="1"/>
      <protection locked="0"/>
    </xf>
    <xf numFmtId="165" fontId="4" fillId="62" borderId="15" xfId="47" applyNumberFormat="1" applyFont="1" applyFill="1" applyBorder="1" applyAlignment="1" applyProtection="1">
      <alignment horizontal="center" vertical="center" wrapText="1"/>
    </xf>
    <xf numFmtId="3" fontId="4" fillId="29" borderId="15" xfId="47" applyNumberFormat="1" applyFont="1" applyFill="1" applyBorder="1" applyAlignment="1" applyProtection="1">
      <alignment horizontal="center" vertical="center" wrapText="1"/>
    </xf>
    <xf numFmtId="0" fontId="4" fillId="0" borderId="15" xfId="47" applyFont="1" applyBorder="1" applyAlignment="1">
      <alignment horizontal="left" vertical="center" wrapText="1"/>
    </xf>
    <xf numFmtId="0" fontId="4" fillId="0" borderId="15" xfId="47" applyFont="1" applyFill="1" applyBorder="1" applyAlignment="1">
      <alignment horizontal="left" vertical="center" wrapText="1"/>
    </xf>
    <xf numFmtId="1" fontId="4" fillId="42" borderId="15" xfId="47" applyNumberFormat="1" applyFont="1" applyFill="1" applyBorder="1" applyAlignment="1">
      <alignment horizontal="left"/>
    </xf>
    <xf numFmtId="0" fontId="82" fillId="42" borderId="15" xfId="47" applyFont="1" applyFill="1" applyBorder="1"/>
    <xf numFmtId="1" fontId="8" fillId="0" borderId="92" xfId="47" applyNumberFormat="1" applyFont="1" applyFill="1" applyBorder="1" applyAlignment="1">
      <alignment horizontal="center" vertical="center"/>
    </xf>
    <xf numFmtId="9" fontId="8" fillId="0" borderId="95" xfId="47" applyNumberFormat="1" applyFont="1" applyFill="1" applyBorder="1" applyAlignment="1">
      <alignment horizontal="center" vertical="center"/>
    </xf>
    <xf numFmtId="9" fontId="8" fillId="0" borderId="92" xfId="47" applyNumberFormat="1" applyFont="1" applyFill="1" applyBorder="1" applyAlignment="1">
      <alignment horizontal="center" vertical="center"/>
    </xf>
    <xf numFmtId="9" fontId="8" fillId="0" borderId="19" xfId="47" applyNumberFormat="1" applyFont="1" applyFill="1" applyBorder="1" applyAlignment="1">
      <alignment horizontal="center" vertical="center"/>
    </xf>
    <xf numFmtId="1" fontId="8" fillId="0" borderId="95" xfId="47" applyNumberFormat="1" applyFont="1" applyFill="1" applyBorder="1" applyAlignment="1">
      <alignment horizontal="center" vertical="center"/>
    </xf>
    <xf numFmtId="1" fontId="8" fillId="0" borderId="97" xfId="47" applyNumberFormat="1" applyFont="1" applyFill="1" applyBorder="1" applyAlignment="1">
      <alignment horizontal="center" vertical="center"/>
    </xf>
    <xf numFmtId="1" fontId="8" fillId="0" borderId="106" xfId="47" applyNumberFormat="1" applyFont="1" applyFill="1" applyBorder="1" applyAlignment="1">
      <alignment horizontal="center" vertical="center"/>
    </xf>
    <xf numFmtId="167" fontId="8" fillId="0" borderId="34" xfId="47" applyNumberFormat="1" applyFont="1" applyFill="1" applyBorder="1" applyAlignment="1">
      <alignment horizontal="center" vertical="center"/>
    </xf>
    <xf numFmtId="0" fontId="4" fillId="39" borderId="17" xfId="47" applyFont="1" applyFill="1" applyBorder="1" applyAlignment="1">
      <alignment vertical="center" wrapText="1"/>
    </xf>
    <xf numFmtId="0" fontId="64" fillId="26" borderId="71" xfId="34" applyFont="1" applyFill="1" applyBorder="1" applyAlignment="1" applyProtection="1">
      <alignment horizontal="center" vertical="center" wrapText="1"/>
    </xf>
    <xf numFmtId="0" fontId="4" fillId="26" borderId="111" xfId="47" applyFont="1" applyFill="1" applyBorder="1" applyAlignment="1">
      <alignment vertical="center" wrapText="1"/>
    </xf>
    <xf numFmtId="0" fontId="64" fillId="39" borderId="71" xfId="34" applyFont="1" applyFill="1" applyBorder="1" applyAlignment="1" applyProtection="1">
      <alignment horizontal="center" vertical="center"/>
    </xf>
    <xf numFmtId="165" fontId="8" fillId="26" borderId="92" xfId="47" applyNumberFormat="1" applyFont="1" applyFill="1" applyBorder="1" applyAlignment="1">
      <alignment horizontal="center" vertical="center"/>
    </xf>
    <xf numFmtId="165" fontId="8" fillId="26" borderId="19" xfId="47" applyNumberFormat="1" applyFont="1" applyFill="1" applyBorder="1" applyAlignment="1">
      <alignment horizontal="center" vertical="center"/>
    </xf>
    <xf numFmtId="165" fontId="8" fillId="26" borderId="95" xfId="47" applyNumberFormat="1" applyFont="1" applyFill="1" applyBorder="1" applyAlignment="1">
      <alignment horizontal="center" vertical="center"/>
    </xf>
    <xf numFmtId="9" fontId="8" fillId="26" borderId="19" xfId="47" applyNumberFormat="1" applyFont="1" applyFill="1" applyBorder="1" applyAlignment="1">
      <alignment horizontal="center" vertical="center"/>
    </xf>
    <xf numFmtId="0" fontId="35" fillId="0" borderId="17" xfId="0" applyFont="1" applyFill="1" applyBorder="1" applyProtection="1"/>
    <xf numFmtId="0" fontId="8" fillId="0" borderId="0" xfId="0" applyFont="1" applyFill="1" applyBorder="1" applyAlignment="1" applyProtection="1">
      <alignment horizontal="left"/>
    </xf>
    <xf numFmtId="0" fontId="4" fillId="0" borderId="0" xfId="0" applyFont="1" applyFill="1" applyBorder="1" applyAlignment="1" applyProtection="1">
      <alignment horizontal="right"/>
    </xf>
    <xf numFmtId="0" fontId="8" fillId="0" borderId="0" xfId="0" applyFont="1" applyFill="1" applyBorder="1" applyAlignment="1">
      <alignment horizontal="left"/>
    </xf>
    <xf numFmtId="0" fontId="4" fillId="0" borderId="0" xfId="0" applyFont="1" applyFill="1" applyBorder="1" applyAlignment="1">
      <alignment horizontal="right" vertical="center"/>
    </xf>
    <xf numFmtId="0" fontId="4" fillId="0" borderId="0" xfId="0" applyFont="1" applyFill="1" applyBorder="1" applyAlignment="1">
      <alignment horizontal="right"/>
    </xf>
    <xf numFmtId="0" fontId="4" fillId="0" borderId="0" xfId="0" applyFont="1" applyFill="1" applyBorder="1" applyAlignment="1" applyProtection="1">
      <alignment horizontal="left"/>
    </xf>
    <xf numFmtId="0" fontId="8" fillId="24" borderId="0" xfId="0" applyFont="1" applyFill="1" applyBorder="1" applyAlignment="1" applyProtection="1">
      <alignment horizontal="left"/>
    </xf>
    <xf numFmtId="1" fontId="4" fillId="0" borderId="0" xfId="0" applyNumberFormat="1" applyFont="1" applyFill="1" applyBorder="1" applyAlignment="1" applyProtection="1">
      <alignment horizontal="right"/>
    </xf>
    <xf numFmtId="0" fontId="4" fillId="0" borderId="0" xfId="0" applyFont="1" applyFill="1" applyBorder="1" applyAlignment="1" applyProtection="1">
      <alignment horizontal="center"/>
    </xf>
    <xf numFmtId="0" fontId="4" fillId="0" borderId="0" xfId="0" applyFont="1" applyFill="1" applyBorder="1" applyAlignment="1" applyProtection="1">
      <alignment horizontal="right" vertical="center"/>
    </xf>
    <xf numFmtId="0" fontId="4" fillId="0" borderId="49" xfId="0" applyFont="1" applyFill="1" applyBorder="1" applyAlignment="1" applyProtection="1">
      <alignment horizontal="right"/>
    </xf>
    <xf numFmtId="0" fontId="8" fillId="0" borderId="15" xfId="0" applyFont="1" applyFill="1" applyBorder="1" applyAlignment="1" applyProtection="1">
      <alignment horizontal="center" wrapText="1"/>
    </xf>
    <xf numFmtId="0" fontId="8" fillId="0" borderId="15" xfId="0" applyFont="1" applyFill="1" applyBorder="1" applyAlignment="1" applyProtection="1">
      <alignment horizontal="center"/>
    </xf>
    <xf numFmtId="0" fontId="4" fillId="0" borderId="0" xfId="0" applyFont="1" applyFill="1" applyBorder="1" applyAlignment="1" applyProtection="1">
      <alignment horizontal="left" vertical="center"/>
    </xf>
    <xf numFmtId="0" fontId="4" fillId="0" borderId="15" xfId="0" applyFont="1" applyFill="1" applyBorder="1" applyAlignment="1" applyProtection="1">
      <alignment horizontal="left" vertical="center"/>
    </xf>
    <xf numFmtId="0" fontId="4" fillId="0" borderId="15" xfId="0" applyFont="1" applyFill="1" applyBorder="1" applyAlignment="1" applyProtection="1">
      <alignment horizontal="right"/>
    </xf>
    <xf numFmtId="164" fontId="4" fillId="0" borderId="15" xfId="0" applyNumberFormat="1" applyFont="1" applyFill="1" applyBorder="1" applyAlignment="1" applyProtection="1">
      <alignment vertical="center"/>
    </xf>
    <xf numFmtId="0" fontId="8" fillId="0" borderId="14" xfId="0" applyFont="1" applyFill="1" applyBorder="1" applyAlignment="1" applyProtection="1">
      <alignment horizontal="center" vertical="center"/>
    </xf>
    <xf numFmtId="165" fontId="4" fillId="0" borderId="43" xfId="0" applyNumberFormat="1" applyFont="1" applyFill="1" applyBorder="1" applyAlignment="1" applyProtection="1">
      <alignment vertical="center"/>
    </xf>
    <xf numFmtId="0" fontId="4" fillId="0" borderId="0" xfId="0" applyFont="1" applyFill="1" applyBorder="1" applyAlignment="1">
      <alignment horizontal="left" vertical="center"/>
    </xf>
    <xf numFmtId="0" fontId="4" fillId="26" borderId="48" xfId="0" applyFont="1" applyFill="1" applyBorder="1" applyAlignment="1" applyProtection="1">
      <alignment horizontal="right"/>
    </xf>
    <xf numFmtId="0" fontId="37" fillId="26" borderId="39" xfId="0" applyFont="1" applyFill="1" applyBorder="1" applyAlignment="1" applyProtection="1">
      <alignment horizontal="right"/>
    </xf>
    <xf numFmtId="0" fontId="37" fillId="26" borderId="101" xfId="0" applyFont="1" applyFill="1" applyBorder="1" applyAlignment="1" applyProtection="1">
      <alignment horizontal="right"/>
    </xf>
    <xf numFmtId="0" fontId="4" fillId="0" borderId="15" xfId="0" applyFont="1" applyFill="1" applyBorder="1" applyAlignment="1" applyProtection="1">
      <alignment horizontal="center" vertical="center"/>
    </xf>
    <xf numFmtId="0" fontId="37" fillId="0" borderId="12" xfId="0" applyFont="1" applyFill="1" applyBorder="1" applyAlignment="1" applyProtection="1">
      <alignment horizontal="right"/>
    </xf>
    <xf numFmtId="0" fontId="4" fillId="0" borderId="15"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4" fillId="39" borderId="23" xfId="47" applyFont="1" applyFill="1" applyBorder="1" applyAlignment="1">
      <alignment vertical="center" wrapText="1"/>
    </xf>
    <xf numFmtId="9" fontId="8" fillId="32" borderId="27" xfId="47" applyNumberFormat="1" applyFont="1" applyFill="1" applyBorder="1" applyAlignment="1">
      <alignment horizontal="center" vertical="center"/>
    </xf>
    <xf numFmtId="9" fontId="8" fillId="26" borderId="27" xfId="47" applyNumberFormat="1" applyFont="1" applyFill="1" applyBorder="1" applyAlignment="1">
      <alignment horizontal="center" vertical="center"/>
    </xf>
    <xf numFmtId="0" fontId="37" fillId="26" borderId="0" xfId="0" applyFont="1" applyFill="1" applyBorder="1" applyAlignment="1" applyProtection="1">
      <alignment horizontal="center" vertical="center"/>
    </xf>
    <xf numFmtId="0" fontId="49" fillId="24" borderId="0" xfId="0" applyFont="1" applyFill="1" applyBorder="1" applyAlignment="1" applyProtection="1">
      <alignment vertical="top"/>
    </xf>
    <xf numFmtId="0" fontId="7" fillId="24" borderId="56" xfId="0" applyFont="1" applyFill="1" applyBorder="1" applyProtection="1"/>
    <xf numFmtId="0" fontId="37" fillId="24" borderId="44" xfId="0" applyFont="1" applyFill="1" applyBorder="1" applyAlignment="1" applyProtection="1">
      <alignment horizontal="right"/>
    </xf>
    <xf numFmtId="0" fontId="8" fillId="43" borderId="15" xfId="0" applyFont="1" applyFill="1" applyBorder="1" applyAlignment="1" applyProtection="1">
      <alignment vertical="center" wrapText="1"/>
    </xf>
    <xf numFmtId="0" fontId="8" fillId="43" borderId="21" xfId="0" applyFont="1" applyFill="1" applyBorder="1" applyAlignment="1" applyProtection="1">
      <alignment vertical="center" wrapText="1"/>
    </xf>
    <xf numFmtId="0" fontId="35" fillId="24" borderId="49" xfId="0" applyFont="1" applyFill="1" applyBorder="1" applyProtection="1"/>
    <xf numFmtId="167" fontId="59" fillId="34" borderId="115" xfId="0" applyNumberFormat="1" applyFont="1" applyFill="1" applyBorder="1" applyAlignment="1" applyProtection="1">
      <alignment horizontal="center" vertical="center"/>
    </xf>
    <xf numFmtId="0" fontId="8" fillId="28" borderId="14" xfId="47" applyFont="1" applyFill="1" applyBorder="1" applyAlignment="1" applyProtection="1">
      <alignment horizontal="center" vertical="center" wrapText="1"/>
    </xf>
    <xf numFmtId="0" fontId="8" fillId="28" borderId="15" xfId="47" applyFont="1" applyFill="1" applyBorder="1" applyAlignment="1" applyProtection="1">
      <alignment horizontal="center" vertical="center" wrapText="1"/>
    </xf>
    <xf numFmtId="0" fontId="8" fillId="28" borderId="21" xfId="47" applyFont="1" applyFill="1" applyBorder="1" applyAlignment="1" applyProtection="1">
      <alignment horizontal="center" vertical="center" wrapText="1"/>
    </xf>
    <xf numFmtId="0" fontId="34" fillId="24" borderId="0" xfId="0" applyFont="1" applyFill="1" applyBorder="1" applyAlignment="1">
      <alignment horizontal="left"/>
    </xf>
    <xf numFmtId="0" fontId="43" fillId="24" borderId="0" xfId="0" applyFont="1" applyFill="1" applyBorder="1" applyAlignment="1">
      <alignment horizontal="right" vertical="top" wrapText="1"/>
    </xf>
    <xf numFmtId="0" fontId="0" fillId="0" borderId="0" xfId="0" applyBorder="1" applyAlignment="1">
      <alignment wrapText="1"/>
    </xf>
    <xf numFmtId="0" fontId="0" fillId="0" borderId="11" xfId="0" applyBorder="1" applyAlignment="1">
      <alignment wrapText="1"/>
    </xf>
    <xf numFmtId="0" fontId="6" fillId="40" borderId="26" xfId="0" applyFont="1" applyFill="1" applyBorder="1" applyAlignment="1">
      <alignment horizontal="center" vertical="center" wrapText="1"/>
    </xf>
    <xf numFmtId="0" fontId="6" fillId="40" borderId="26" xfId="0" applyFont="1" applyFill="1" applyBorder="1" applyAlignment="1">
      <alignment vertical="center" wrapText="1"/>
    </xf>
    <xf numFmtId="0" fontId="3" fillId="24" borderId="0" xfId="0" applyFont="1" applyFill="1" applyBorder="1" applyAlignment="1">
      <alignment horizontal="center" wrapText="1"/>
    </xf>
    <xf numFmtId="0" fontId="0" fillId="0" borderId="0" xfId="0" applyBorder="1" applyAlignment="1">
      <alignment horizontal="center" wrapText="1"/>
    </xf>
    <xf numFmtId="0" fontId="3" fillId="24" borderId="0" xfId="0" applyFont="1" applyFill="1" applyBorder="1" applyAlignment="1">
      <alignment horizontal="left" vertical="top" wrapText="1"/>
    </xf>
    <xf numFmtId="0" fontId="3" fillId="0" borderId="0" xfId="0" applyFont="1" applyBorder="1" applyAlignment="1">
      <alignment horizontal="left" vertical="top" wrapText="1"/>
    </xf>
    <xf numFmtId="0" fontId="71" fillId="24" borderId="107" xfId="0" applyFont="1" applyFill="1" applyBorder="1" applyAlignment="1">
      <alignment horizontal="center" vertical="center" wrapText="1"/>
    </xf>
    <xf numFmtId="0" fontId="73" fillId="26" borderId="0" xfId="34" applyFont="1" applyFill="1" applyBorder="1" applyAlignment="1" applyProtection="1">
      <alignment horizontal="center" vertical="center" wrapText="1"/>
    </xf>
    <xf numFmtId="0" fontId="31" fillId="26" borderId="0" xfId="0" applyFont="1" applyFill="1" applyBorder="1" applyAlignment="1">
      <alignment horizontal="left" vertical="center" wrapText="1" indent="2"/>
    </xf>
    <xf numFmtId="0" fontId="29" fillId="26" borderId="0" xfId="0" applyFont="1" applyFill="1" applyBorder="1" applyAlignment="1">
      <alignment horizontal="center" vertical="center" wrapText="1"/>
    </xf>
    <xf numFmtId="0" fontId="3" fillId="26" borderId="0" xfId="0" applyFont="1" applyFill="1" applyBorder="1" applyAlignment="1">
      <alignment horizontal="left" vertical="center" wrapText="1"/>
    </xf>
    <xf numFmtId="0" fontId="31" fillId="26" borderId="0" xfId="0" applyFont="1" applyFill="1" applyBorder="1" applyAlignment="1">
      <alignment horizontal="left" wrapText="1"/>
    </xf>
    <xf numFmtId="165" fontId="4" fillId="28" borderId="89" xfId="47" applyNumberFormat="1" applyFont="1" applyFill="1" applyBorder="1" applyAlignment="1" applyProtection="1">
      <alignment horizontal="center" vertical="center" textRotation="90" wrapText="1"/>
    </xf>
    <xf numFmtId="165" fontId="4" fillId="28" borderId="105" xfId="47" applyNumberFormat="1" applyFont="1" applyFill="1" applyBorder="1" applyAlignment="1" applyProtection="1">
      <alignment horizontal="center" vertical="center" textRotation="90" wrapText="1"/>
    </xf>
    <xf numFmtId="0" fontId="4" fillId="26" borderId="98" xfId="47" applyFont="1" applyFill="1" applyBorder="1" applyAlignment="1" applyProtection="1">
      <alignment horizontal="center"/>
    </xf>
    <xf numFmtId="0" fontId="4" fillId="26" borderId="99" xfId="47" applyFont="1" applyFill="1" applyBorder="1" applyAlignment="1" applyProtection="1">
      <alignment horizontal="center"/>
    </xf>
    <xf numFmtId="0" fontId="4" fillId="26" borderId="100" xfId="47" applyFont="1" applyFill="1" applyBorder="1" applyAlignment="1" applyProtection="1">
      <alignment horizontal="center"/>
    </xf>
    <xf numFmtId="0" fontId="4" fillId="26" borderId="0" xfId="47" applyFont="1" applyFill="1" applyBorder="1" applyAlignment="1" applyProtection="1">
      <alignment horizontal="left" vertical="top" wrapText="1"/>
    </xf>
    <xf numFmtId="165" fontId="4" fillId="28" borderId="88" xfId="47" applyNumberFormat="1" applyFont="1" applyFill="1" applyBorder="1" applyAlignment="1" applyProtection="1">
      <alignment horizontal="center" vertical="center" textRotation="90" wrapText="1"/>
    </xf>
    <xf numFmtId="165" fontId="4" fillId="28" borderId="93" xfId="47" applyNumberFormat="1" applyFont="1" applyFill="1" applyBorder="1" applyAlignment="1" applyProtection="1">
      <alignment horizontal="center" vertical="center" textRotation="90" wrapText="1"/>
    </xf>
    <xf numFmtId="165" fontId="8" fillId="29" borderId="90" xfId="47" applyNumberFormat="1" applyFont="1" applyFill="1" applyBorder="1" applyAlignment="1" applyProtection="1">
      <alignment horizontal="center" vertical="center" textRotation="90" wrapText="1"/>
    </xf>
    <xf numFmtId="165" fontId="8" fillId="29" borderId="106" xfId="47" applyNumberFormat="1" applyFont="1" applyFill="1" applyBorder="1" applyAlignment="1" applyProtection="1">
      <alignment horizontal="center" vertical="center" textRotation="90" wrapText="1"/>
    </xf>
    <xf numFmtId="165" fontId="66" fillId="34" borderId="90" xfId="47" applyNumberFormat="1" applyFont="1" applyFill="1" applyBorder="1" applyAlignment="1" applyProtection="1">
      <alignment horizontal="center" vertical="center" textRotation="90" wrapText="1"/>
    </xf>
    <xf numFmtId="165" fontId="66" fillId="34" borderId="106" xfId="47" applyNumberFormat="1" applyFont="1" applyFill="1" applyBorder="1" applyAlignment="1" applyProtection="1">
      <alignment horizontal="center" vertical="center" textRotation="90" wrapText="1"/>
    </xf>
    <xf numFmtId="0" fontId="64" fillId="39" borderId="88" xfId="34" applyFont="1" applyFill="1" applyBorder="1" applyAlignment="1" applyProtection="1">
      <alignment horizontal="center" vertical="center" wrapText="1"/>
    </xf>
    <xf numFmtId="0" fontId="64" fillId="39" borderId="28" xfId="34" applyFont="1" applyFill="1" applyBorder="1" applyAlignment="1" applyProtection="1">
      <alignment horizontal="center" vertical="center" wrapText="1"/>
    </xf>
    <xf numFmtId="0" fontId="64" fillId="39" borderId="93" xfId="34" applyFont="1" applyFill="1" applyBorder="1" applyAlignment="1" applyProtection="1">
      <alignment horizontal="center" vertical="center" wrapText="1"/>
    </xf>
    <xf numFmtId="0" fontId="64" fillId="26" borderId="88" xfId="34" applyFont="1" applyFill="1" applyBorder="1" applyAlignment="1" applyProtection="1">
      <alignment horizontal="center" vertical="center"/>
    </xf>
    <xf numFmtId="0" fontId="64" fillId="26" borderId="93" xfId="34" applyFont="1" applyFill="1" applyBorder="1" applyAlignment="1" applyProtection="1">
      <alignment horizontal="center" vertical="center"/>
    </xf>
    <xf numFmtId="0" fontId="64" fillId="26" borderId="88" xfId="34" applyFont="1" applyFill="1" applyBorder="1" applyAlignment="1" applyProtection="1">
      <alignment horizontal="center" vertical="center" wrapText="1"/>
    </xf>
    <xf numFmtId="0" fontId="64" fillId="26" borderId="93" xfId="34" applyFont="1" applyFill="1" applyBorder="1" applyAlignment="1" applyProtection="1">
      <alignment horizontal="center" vertical="center" wrapText="1"/>
    </xf>
    <xf numFmtId="0" fontId="64" fillId="39" borderId="65" xfId="34" applyFont="1" applyFill="1" applyBorder="1" applyAlignment="1" applyProtection="1">
      <alignment horizontal="center" vertical="center" wrapText="1"/>
    </xf>
    <xf numFmtId="0" fontId="64" fillId="39" borderId="22" xfId="34" applyFont="1" applyFill="1" applyBorder="1" applyAlignment="1" applyProtection="1">
      <alignment horizontal="center" vertical="center" wrapText="1"/>
    </xf>
    <xf numFmtId="0" fontId="64" fillId="39" borderId="68" xfId="34" applyFont="1" applyFill="1" applyBorder="1" applyAlignment="1" applyProtection="1">
      <alignment horizontal="center" vertical="center" wrapText="1"/>
    </xf>
    <xf numFmtId="0" fontId="64" fillId="26" borderId="28" xfId="34" applyFont="1" applyFill="1" applyBorder="1" applyAlignment="1" applyProtection="1">
      <alignment horizontal="center" vertical="center" wrapText="1"/>
    </xf>
    <xf numFmtId="0" fontId="6" fillId="38" borderId="15" xfId="47" applyFont="1" applyFill="1" applyBorder="1" applyAlignment="1" applyProtection="1">
      <alignment horizontal="center" vertical="center"/>
      <protection locked="0"/>
    </xf>
    <xf numFmtId="0" fontId="6" fillId="46" borderId="18" xfId="47" applyFont="1" applyFill="1" applyBorder="1" applyAlignment="1" applyProtection="1">
      <alignment horizontal="right" vertical="center" indent="1"/>
    </xf>
    <xf numFmtId="0" fontId="6" fillId="46" borderId="14" xfId="47" applyFont="1" applyFill="1" applyBorder="1" applyAlignment="1" applyProtection="1">
      <alignment horizontal="right" vertical="center" indent="1"/>
    </xf>
    <xf numFmtId="165" fontId="4" fillId="28" borderId="109" xfId="47" applyNumberFormat="1" applyFont="1" applyFill="1" applyBorder="1" applyAlignment="1" applyProtection="1">
      <alignment horizontal="center" vertical="center" textRotation="90" wrapText="1"/>
    </xf>
    <xf numFmtId="165" fontId="4" fillId="28" borderId="110" xfId="47" applyNumberFormat="1" applyFont="1" applyFill="1" applyBorder="1" applyAlignment="1" applyProtection="1">
      <alignment horizontal="center" vertical="center" textRotation="90" wrapText="1"/>
    </xf>
    <xf numFmtId="0" fontId="64" fillId="26" borderId="65" xfId="34" applyFont="1" applyFill="1" applyBorder="1" applyAlignment="1" applyProtection="1">
      <alignment horizontal="center" vertical="center" wrapText="1"/>
    </xf>
    <xf numFmtId="0" fontId="64" fillId="26" borderId="22" xfId="34" applyFont="1" applyFill="1" applyBorder="1" applyAlignment="1" applyProtection="1">
      <alignment horizontal="center" vertical="center" wrapText="1"/>
    </xf>
    <xf numFmtId="0" fontId="64" fillId="26" borderId="68" xfId="34" applyFont="1" applyFill="1" applyBorder="1" applyAlignment="1" applyProtection="1">
      <alignment horizontal="center" vertical="center" wrapText="1"/>
    </xf>
    <xf numFmtId="0" fontId="8" fillId="26" borderId="16" xfId="0" applyFont="1" applyFill="1" applyBorder="1" applyAlignment="1" applyProtection="1">
      <alignment horizontal="center" vertical="center" wrapText="1"/>
    </xf>
    <xf numFmtId="0" fontId="8" fillId="26" borderId="12" xfId="0" applyFont="1" applyFill="1" applyBorder="1" applyAlignment="1" applyProtection="1">
      <alignment horizontal="center" vertical="center" wrapText="1"/>
    </xf>
    <xf numFmtId="0" fontId="8" fillId="26" borderId="50" xfId="0" applyFont="1" applyFill="1" applyBorder="1" applyAlignment="1" applyProtection="1">
      <alignment horizontal="center" vertical="center" wrapText="1"/>
    </xf>
    <xf numFmtId="0" fontId="48" fillId="26" borderId="0" xfId="34" applyFill="1" applyBorder="1" applyAlignment="1" applyProtection="1">
      <alignment horizontal="left" vertical="center"/>
    </xf>
    <xf numFmtId="0" fontId="49" fillId="24" borderId="0" xfId="0" applyFont="1" applyFill="1" applyBorder="1" applyAlignment="1" applyProtection="1">
      <alignment horizontal="left" vertical="top"/>
    </xf>
    <xf numFmtId="0" fontId="0" fillId="0" borderId="0" xfId="0" applyBorder="1" applyAlignment="1">
      <alignment horizontal="left" vertical="top"/>
    </xf>
    <xf numFmtId="0" fontId="70" fillId="24" borderId="16" xfId="0" applyFont="1" applyFill="1" applyBorder="1" applyAlignment="1" applyProtection="1">
      <alignment horizontal="left" vertical="center" wrapText="1" indent="1"/>
    </xf>
    <xf numFmtId="0" fontId="70" fillId="24" borderId="50" xfId="0" applyFont="1" applyFill="1" applyBorder="1" applyAlignment="1" applyProtection="1">
      <alignment horizontal="left" vertical="center" wrapText="1" indent="1"/>
    </xf>
    <xf numFmtId="0" fontId="70" fillId="24" borderId="12" xfId="0" applyFont="1" applyFill="1" applyBorder="1" applyAlignment="1" applyProtection="1">
      <alignment horizontal="left" vertical="center" wrapText="1" indent="1"/>
    </xf>
    <xf numFmtId="0" fontId="34" fillId="24" borderId="0" xfId="0" applyFont="1" applyFill="1" applyBorder="1" applyAlignment="1" applyProtection="1">
      <alignment vertical="top" wrapText="1"/>
    </xf>
    <xf numFmtId="0" fontId="34" fillId="0" borderId="0" xfId="0" applyFont="1" applyBorder="1" applyAlignment="1" applyProtection="1">
      <alignment wrapText="1"/>
    </xf>
    <xf numFmtId="0" fontId="36" fillId="0" borderId="16" xfId="0" applyFont="1" applyBorder="1" applyAlignment="1" applyProtection="1">
      <alignment horizontal="center" textRotation="90" wrapText="1"/>
    </xf>
    <xf numFmtId="0" fontId="36" fillId="0" borderId="51" xfId="0" applyFont="1" applyBorder="1" applyAlignment="1" applyProtection="1">
      <alignment horizontal="center" textRotation="90" wrapText="1"/>
    </xf>
    <xf numFmtId="0" fontId="36" fillId="0" borderId="23" xfId="0" applyFont="1" applyBorder="1" applyAlignment="1" applyProtection="1">
      <alignment horizontal="center" textRotation="90" wrapText="1"/>
    </xf>
    <xf numFmtId="0" fontId="36" fillId="0" borderId="31" xfId="0" applyFont="1" applyBorder="1" applyAlignment="1" applyProtection="1">
      <alignment horizontal="center" textRotation="90" wrapText="1"/>
    </xf>
    <xf numFmtId="0" fontId="36" fillId="0" borderId="43" xfId="0" applyFont="1" applyBorder="1" applyAlignment="1" applyProtection="1">
      <alignment horizontal="center" textRotation="90" wrapText="1"/>
    </xf>
    <xf numFmtId="0" fontId="36" fillId="0" borderId="56" xfId="0" applyFont="1" applyBorder="1" applyAlignment="1" applyProtection="1">
      <alignment horizontal="center" textRotation="90" wrapText="1"/>
    </xf>
    <xf numFmtId="0" fontId="4" fillId="0" borderId="16" xfId="0" applyFont="1" applyBorder="1" applyAlignment="1" applyProtection="1">
      <alignment horizontal="center" textRotation="90" wrapText="1"/>
    </xf>
    <xf numFmtId="0" fontId="33" fillId="24" borderId="16" xfId="0" applyFont="1" applyFill="1" applyBorder="1" applyAlignment="1" applyProtection="1">
      <alignment horizontal="center" vertical="center"/>
    </xf>
    <xf numFmtId="0" fontId="33" fillId="24" borderId="50" xfId="0" applyFont="1" applyFill="1" applyBorder="1" applyAlignment="1" applyProtection="1">
      <alignment horizontal="center" vertical="center"/>
    </xf>
    <xf numFmtId="0" fontId="33" fillId="24" borderId="12" xfId="0" applyFont="1" applyFill="1" applyBorder="1" applyAlignment="1" applyProtection="1">
      <alignment horizontal="center" vertical="center"/>
    </xf>
    <xf numFmtId="0" fontId="33" fillId="24" borderId="23" xfId="0" applyFont="1" applyFill="1" applyBorder="1" applyAlignment="1" applyProtection="1">
      <alignment horizontal="center" vertical="center" wrapText="1"/>
    </xf>
    <xf numFmtId="0" fontId="33" fillId="24" borderId="30" xfId="0" applyFont="1" applyFill="1" applyBorder="1" applyAlignment="1" applyProtection="1">
      <alignment horizontal="center" vertical="center" wrapText="1"/>
    </xf>
    <xf numFmtId="0" fontId="33" fillId="24" borderId="31" xfId="0" applyFont="1" applyFill="1" applyBorder="1" applyAlignment="1" applyProtection="1">
      <alignment horizontal="center" vertical="center" wrapText="1"/>
    </xf>
    <xf numFmtId="0" fontId="33" fillId="24" borderId="16" xfId="0" applyFont="1" applyFill="1" applyBorder="1" applyAlignment="1" applyProtection="1">
      <alignment horizontal="center" vertical="center" wrapText="1"/>
    </xf>
    <xf numFmtId="0" fontId="33" fillId="24" borderId="50" xfId="0" applyFont="1" applyFill="1" applyBorder="1" applyAlignment="1" applyProtection="1">
      <alignment horizontal="center" vertical="center" wrapText="1"/>
    </xf>
    <xf numFmtId="0" fontId="33" fillId="24" borderId="12" xfId="0" applyFont="1" applyFill="1" applyBorder="1" applyAlignment="1" applyProtection="1">
      <alignment horizontal="center" vertical="center" wrapText="1"/>
    </xf>
    <xf numFmtId="0" fontId="8" fillId="28" borderId="14" xfId="0" applyFont="1" applyFill="1" applyBorder="1" applyAlignment="1" applyProtection="1">
      <alignment horizontal="center" vertical="center" wrapText="1"/>
    </xf>
    <xf numFmtId="0" fontId="8" fillId="28" borderId="15" xfId="0" applyFont="1" applyFill="1" applyBorder="1" applyAlignment="1" applyProtection="1">
      <alignment horizontal="center" vertical="center" wrapText="1"/>
    </xf>
    <xf numFmtId="0" fontId="8" fillId="28" borderId="21" xfId="0" applyFont="1" applyFill="1" applyBorder="1" applyAlignment="1" applyProtection="1">
      <alignment horizontal="center" vertical="center" wrapText="1"/>
    </xf>
    <xf numFmtId="0" fontId="33" fillId="26" borderId="16" xfId="0" applyFont="1" applyFill="1" applyBorder="1" applyAlignment="1" applyProtection="1">
      <alignment horizontal="center" vertical="center"/>
    </xf>
    <xf numFmtId="0" fontId="33" fillId="26" borderId="50" xfId="0" applyFont="1" applyFill="1" applyBorder="1" applyAlignment="1" applyProtection="1">
      <alignment horizontal="center" vertical="center"/>
    </xf>
    <xf numFmtId="0" fontId="33" fillId="26" borderId="12" xfId="0" applyFont="1" applyFill="1" applyBorder="1" applyAlignment="1" applyProtection="1">
      <alignment horizontal="center" vertical="center"/>
    </xf>
    <xf numFmtId="0" fontId="0" fillId="0" borderId="0" xfId="0" applyBorder="1" applyAlignment="1" applyProtection="1">
      <alignment wrapText="1"/>
    </xf>
    <xf numFmtId="0" fontId="7" fillId="24" borderId="40" xfId="0" applyFont="1" applyFill="1" applyBorder="1" applyAlignment="1" applyProtection="1">
      <alignment horizontal="center" wrapText="1"/>
    </xf>
    <xf numFmtId="0" fontId="7" fillId="24" borderId="41" xfId="0" applyFont="1" applyFill="1" applyBorder="1" applyAlignment="1" applyProtection="1">
      <alignment horizontal="center" wrapText="1"/>
    </xf>
    <xf numFmtId="0" fontId="33" fillId="24" borderId="38" xfId="0" applyFont="1" applyFill="1" applyBorder="1" applyAlignment="1" applyProtection="1">
      <alignment horizontal="center" wrapText="1"/>
    </xf>
    <xf numFmtId="0" fontId="46" fillId="26" borderId="10" xfId="0" applyFont="1" applyFill="1" applyBorder="1" applyAlignment="1" applyProtection="1">
      <alignment horizontal="left" vertical="center" wrapText="1"/>
    </xf>
    <xf numFmtId="0" fontId="34" fillId="24" borderId="0" xfId="0" applyFont="1" applyFill="1" applyBorder="1" applyAlignment="1" applyProtection="1">
      <alignment horizontal="left" vertical="top" wrapText="1"/>
    </xf>
    <xf numFmtId="0" fontId="8" fillId="27" borderId="21" xfId="0" applyFont="1" applyFill="1" applyBorder="1" applyAlignment="1" applyProtection="1">
      <alignment horizontal="left" vertical="center" wrapText="1" indent="1"/>
    </xf>
    <xf numFmtId="17" fontId="8" fillId="28" borderId="16" xfId="0" applyNumberFormat="1" applyFont="1" applyFill="1" applyBorder="1" applyAlignment="1" applyProtection="1">
      <alignment horizontal="center" vertical="center" wrapText="1"/>
    </xf>
    <xf numFmtId="17" fontId="8" fillId="28" borderId="12" xfId="0" applyNumberFormat="1" applyFont="1" applyFill="1" applyBorder="1" applyAlignment="1" applyProtection="1">
      <alignment horizontal="center" vertical="center" wrapText="1"/>
    </xf>
    <xf numFmtId="0" fontId="4" fillId="28" borderId="23" xfId="0" applyFont="1" applyFill="1" applyBorder="1" applyAlignment="1" applyProtection="1">
      <alignment horizontal="left" vertical="center" wrapText="1"/>
    </xf>
    <xf numFmtId="0" fontId="4" fillId="28" borderId="31" xfId="0" applyFont="1" applyFill="1" applyBorder="1" applyAlignment="1" applyProtection="1">
      <alignment horizontal="left" vertical="center" wrapText="1"/>
    </xf>
    <xf numFmtId="0" fontId="8" fillId="28" borderId="23" xfId="0" applyFont="1" applyFill="1" applyBorder="1" applyAlignment="1" applyProtection="1">
      <alignment horizontal="center" vertical="center" wrapText="1"/>
    </xf>
    <xf numFmtId="0" fontId="8" fillId="28" borderId="31" xfId="0" applyFont="1" applyFill="1" applyBorder="1" applyAlignment="1" applyProtection="1">
      <alignment horizontal="center" vertical="center" wrapText="1"/>
    </xf>
    <xf numFmtId="0" fontId="8" fillId="28" borderId="16" xfId="0" applyFont="1" applyFill="1" applyBorder="1" applyAlignment="1" applyProtection="1">
      <alignment horizontal="center" vertical="center" wrapText="1"/>
    </xf>
    <xf numFmtId="0" fontId="8" fillId="28" borderId="12" xfId="0" applyFont="1" applyFill="1" applyBorder="1" applyAlignment="1" applyProtection="1">
      <alignment horizontal="center" vertical="center" wrapText="1"/>
    </xf>
    <xf numFmtId="17" fontId="8" fillId="28" borderId="23" xfId="0" applyNumberFormat="1" applyFont="1" applyFill="1" applyBorder="1" applyAlignment="1" applyProtection="1">
      <alignment horizontal="center" vertical="center" wrapText="1"/>
    </xf>
    <xf numFmtId="17" fontId="8" fillId="28" borderId="31" xfId="0" applyNumberFormat="1" applyFont="1" applyFill="1" applyBorder="1" applyAlignment="1" applyProtection="1">
      <alignment horizontal="center" vertical="center" wrapText="1"/>
    </xf>
    <xf numFmtId="0" fontId="33" fillId="24" borderId="17" xfId="0" applyFont="1" applyFill="1" applyBorder="1" applyAlignment="1" applyProtection="1">
      <alignment horizontal="center" vertical="center" wrapText="1"/>
    </xf>
    <xf numFmtId="0" fontId="33" fillId="24" borderId="10" xfId="0" applyFont="1" applyFill="1" applyBorder="1" applyAlignment="1" applyProtection="1">
      <alignment horizontal="center" vertical="center" wrapText="1"/>
    </xf>
    <xf numFmtId="0" fontId="33" fillId="24" borderId="59" xfId="0" applyFont="1" applyFill="1" applyBorder="1" applyAlignment="1" applyProtection="1">
      <alignment horizontal="center" vertical="center" wrapText="1"/>
    </xf>
    <xf numFmtId="0" fontId="33" fillId="24" borderId="13" xfId="0" applyFont="1" applyFill="1" applyBorder="1" applyAlignment="1" applyProtection="1">
      <alignment horizontal="center" vertical="center" wrapText="1"/>
    </xf>
    <xf numFmtId="0" fontId="33" fillId="24" borderId="102" xfId="0" applyFont="1" applyFill="1" applyBorder="1" applyAlignment="1" applyProtection="1">
      <alignment horizontal="center" vertical="center" wrapText="1"/>
    </xf>
    <xf numFmtId="0" fontId="33" fillId="24" borderId="64" xfId="0" applyFont="1" applyFill="1" applyBorder="1" applyAlignment="1" applyProtection="1">
      <alignment horizontal="center" vertical="center" wrapText="1"/>
    </xf>
    <xf numFmtId="0" fontId="32" fillId="24" borderId="0" xfId="0" applyFont="1" applyFill="1" applyBorder="1" applyAlignment="1" applyProtection="1">
      <alignment horizontal="left" vertical="center" wrapText="1"/>
    </xf>
    <xf numFmtId="0" fontId="32" fillId="24" borderId="102" xfId="0" applyFont="1" applyFill="1" applyBorder="1" applyAlignment="1" applyProtection="1">
      <alignment horizontal="left" vertical="center" wrapText="1"/>
    </xf>
    <xf numFmtId="0" fontId="0" fillId="0" borderId="0" xfId="0" applyBorder="1" applyAlignment="1" applyProtection="1"/>
    <xf numFmtId="0" fontId="0" fillId="0" borderId="39" xfId="0" applyBorder="1" applyAlignment="1" applyProtection="1"/>
    <xf numFmtId="0" fontId="53" fillId="0" borderId="16" xfId="0" applyFont="1" applyFill="1" applyBorder="1" applyAlignment="1" applyProtection="1">
      <alignment horizontal="center" vertical="center" wrapText="1"/>
    </xf>
    <xf numFmtId="0" fontId="53" fillId="0" borderId="12" xfId="0" applyFont="1" applyFill="1" applyBorder="1" applyAlignment="1" applyProtection="1">
      <alignment horizontal="center" vertical="center" wrapText="1"/>
    </xf>
    <xf numFmtId="0" fontId="4" fillId="24" borderId="18" xfId="0" applyFont="1" applyFill="1" applyBorder="1" applyAlignment="1" applyProtection="1">
      <alignment horizontal="left" vertical="top" wrapText="1"/>
      <protection locked="0"/>
    </xf>
    <xf numFmtId="0" fontId="3" fillId="0" borderId="26" xfId="0" applyFont="1" applyBorder="1" applyAlignment="1" applyProtection="1">
      <alignment wrapText="1"/>
      <protection locked="0"/>
    </xf>
    <xf numFmtId="0" fontId="3" fillId="0" borderId="14" xfId="0" applyFont="1" applyBorder="1" applyAlignment="1" applyProtection="1">
      <alignment wrapText="1"/>
      <protection locked="0"/>
    </xf>
    <xf numFmtId="0" fontId="32" fillId="24" borderId="40" xfId="0" applyFont="1" applyFill="1" applyBorder="1" applyAlignment="1" applyProtection="1">
      <alignment horizontal="center" wrapText="1"/>
    </xf>
    <xf numFmtId="0" fontId="32" fillId="0" borderId="41" xfId="0" applyFont="1" applyBorder="1" applyAlignment="1" applyProtection="1">
      <alignment horizontal="center" wrapText="1"/>
    </xf>
    <xf numFmtId="0" fontId="32" fillId="0" borderId="53" xfId="0" applyFont="1" applyBorder="1" applyAlignment="1" applyProtection="1">
      <alignment horizontal="center" wrapText="1"/>
    </xf>
    <xf numFmtId="0" fontId="32" fillId="0" borderId="82" xfId="0" applyFont="1" applyBorder="1" applyAlignment="1" applyProtection="1">
      <alignment horizontal="center" wrapText="1"/>
    </xf>
    <xf numFmtId="0" fontId="32" fillId="0" borderId="42" xfId="0" applyFont="1" applyBorder="1" applyAlignment="1" applyProtection="1">
      <alignment horizontal="center" wrapText="1"/>
    </xf>
    <xf numFmtId="0" fontId="8" fillId="28" borderId="13" xfId="0" applyFont="1" applyFill="1" applyBorder="1" applyAlignment="1" applyProtection="1">
      <alignment horizontal="center" vertical="top"/>
    </xf>
    <xf numFmtId="0" fontId="8" fillId="28" borderId="48" xfId="0" applyFont="1" applyFill="1" applyBorder="1" applyAlignment="1" applyProtection="1">
      <alignment horizontal="center" vertical="top"/>
    </xf>
    <xf numFmtId="0" fontId="31" fillId="24" borderId="0" xfId="0" applyFont="1" applyFill="1" applyBorder="1" applyAlignment="1" applyProtection="1">
      <alignment vertical="top" wrapText="1"/>
    </xf>
    <xf numFmtId="0" fontId="8" fillId="26" borderId="15" xfId="0" applyFont="1" applyFill="1" applyBorder="1" applyAlignment="1" applyProtection="1">
      <alignment horizontal="center" vertical="center" wrapText="1"/>
    </xf>
    <xf numFmtId="0" fontId="6" fillId="26" borderId="15" xfId="0" applyFont="1" applyFill="1" applyBorder="1" applyAlignment="1">
      <alignment horizontal="center" vertical="center" wrapText="1"/>
    </xf>
    <xf numFmtId="0" fontId="6" fillId="26" borderId="21" xfId="0" applyFont="1" applyFill="1" applyBorder="1" applyAlignment="1">
      <alignment horizontal="center" vertical="center" wrapText="1"/>
    </xf>
    <xf numFmtId="0" fontId="4" fillId="28" borderId="27" xfId="0" applyFont="1" applyFill="1" applyBorder="1" applyAlignment="1" applyProtection="1">
      <alignment horizontal="center" vertical="center" wrapText="1"/>
    </xf>
    <xf numFmtId="0" fontId="4" fillId="28" borderId="104" xfId="0" applyFont="1" applyFill="1" applyBorder="1" applyAlignment="1" applyProtection="1">
      <alignment horizontal="center" vertical="center" wrapText="1"/>
    </xf>
    <xf numFmtId="0" fontId="4" fillId="28" borderId="34" xfId="0" applyFont="1" applyFill="1" applyBorder="1" applyAlignment="1" applyProtection="1">
      <alignment horizontal="center" vertical="center" wrapText="1"/>
    </xf>
    <xf numFmtId="0" fontId="31" fillId="26" borderId="0" xfId="0" applyFont="1" applyFill="1" applyBorder="1" applyAlignment="1" applyProtection="1">
      <alignment horizontal="left" vertical="top" wrapText="1"/>
    </xf>
    <xf numFmtId="0" fontId="33" fillId="24" borderId="57" xfId="0" applyFont="1" applyFill="1" applyBorder="1" applyAlignment="1" applyProtection="1">
      <alignment horizontal="center" wrapText="1"/>
    </xf>
    <xf numFmtId="0" fontId="33" fillId="24" borderId="0" xfId="0" applyFont="1" applyFill="1" applyBorder="1" applyAlignment="1" applyProtection="1">
      <alignment horizontal="center" wrapText="1"/>
    </xf>
    <xf numFmtId="0" fontId="33" fillId="24" borderId="39" xfId="0" applyFont="1" applyFill="1" applyBorder="1" applyAlignment="1" applyProtection="1">
      <alignment horizontal="center" wrapText="1"/>
    </xf>
    <xf numFmtId="0" fontId="8" fillId="28" borderId="27" xfId="0" applyFont="1" applyFill="1" applyBorder="1" applyAlignment="1" applyProtection="1">
      <alignment horizontal="center" vertical="center" wrapText="1"/>
    </xf>
    <xf numFmtId="0" fontId="8" fillId="28" borderId="104" xfId="0" applyFont="1" applyFill="1" applyBorder="1" applyAlignment="1" applyProtection="1">
      <alignment horizontal="center" vertical="center" wrapText="1"/>
    </xf>
    <xf numFmtId="0" fontId="8" fillId="28" borderId="34" xfId="0" applyFont="1" applyFill="1" applyBorder="1" applyAlignment="1" applyProtection="1">
      <alignment horizontal="center" vertical="center" wrapText="1"/>
    </xf>
    <xf numFmtId="0" fontId="4" fillId="24" borderId="0" xfId="0" applyFont="1" applyFill="1" applyBorder="1" applyAlignment="1" applyProtection="1">
      <alignment horizontal="left" vertical="center" wrapText="1"/>
    </xf>
    <xf numFmtId="0" fontId="4" fillId="24" borderId="48" xfId="0" applyFont="1" applyFill="1" applyBorder="1" applyAlignment="1" applyProtection="1">
      <alignment horizontal="left" vertical="center" wrapText="1"/>
    </xf>
    <xf numFmtId="0" fontId="8" fillId="28" borderId="17" xfId="0" applyFont="1" applyFill="1" applyBorder="1" applyAlignment="1">
      <alignment horizontal="center" vertical="center" wrapText="1"/>
    </xf>
    <xf numFmtId="0" fontId="8" fillId="28" borderId="10" xfId="0" applyFont="1" applyFill="1" applyBorder="1" applyAlignment="1">
      <alignment horizontal="center" vertical="center" wrapText="1"/>
    </xf>
    <xf numFmtId="0" fontId="8" fillId="28" borderId="59" xfId="0" applyFont="1" applyFill="1" applyBorder="1" applyAlignment="1">
      <alignment horizontal="center" vertical="center" wrapText="1"/>
    </xf>
    <xf numFmtId="0" fontId="8" fillId="28" borderId="13" xfId="0" applyFont="1" applyFill="1" applyBorder="1" applyAlignment="1">
      <alignment horizontal="center" vertical="center" wrapText="1"/>
    </xf>
    <xf numFmtId="0" fontId="8" fillId="28" borderId="102" xfId="0" applyFont="1" applyFill="1" applyBorder="1" applyAlignment="1">
      <alignment horizontal="center" vertical="center" wrapText="1"/>
    </xf>
    <xf numFmtId="0" fontId="8" fillId="28" borderId="64" xfId="0" applyFont="1" applyFill="1" applyBorder="1" applyAlignment="1">
      <alignment horizontal="center" vertical="center" wrapText="1"/>
    </xf>
    <xf numFmtId="0" fontId="8" fillId="28" borderId="17" xfId="0" applyFont="1" applyFill="1" applyBorder="1" applyAlignment="1">
      <alignment horizontal="center" wrapText="1"/>
    </xf>
    <xf numFmtId="0" fontId="8" fillId="28" borderId="10" xfId="0" applyFont="1" applyFill="1" applyBorder="1" applyAlignment="1">
      <alignment horizontal="center" wrapText="1"/>
    </xf>
    <xf numFmtId="0" fontId="8" fillId="26" borderId="18" xfId="0" applyFont="1" applyFill="1" applyBorder="1" applyAlignment="1" applyProtection="1">
      <alignment horizontal="center" vertical="center" wrapText="1"/>
    </xf>
    <xf numFmtId="0" fontId="8" fillId="26" borderId="26" xfId="0" applyFont="1" applyFill="1" applyBorder="1" applyAlignment="1" applyProtection="1">
      <alignment horizontal="center" vertical="center" wrapText="1"/>
    </xf>
    <xf numFmtId="0" fontId="8" fillId="26" borderId="32" xfId="0" applyFont="1" applyFill="1" applyBorder="1" applyAlignment="1" applyProtection="1">
      <alignment horizontal="center" vertical="center" wrapText="1"/>
    </xf>
    <xf numFmtId="0" fontId="4" fillId="0" borderId="18" xfId="0" applyFont="1" applyBorder="1" applyAlignment="1" applyProtection="1">
      <alignment horizontal="left" vertical="center" wrapText="1"/>
    </xf>
    <xf numFmtId="0" fontId="4" fillId="0" borderId="26" xfId="0" applyFont="1" applyBorder="1" applyAlignment="1" applyProtection="1">
      <alignment horizontal="left" vertical="center" wrapText="1"/>
    </xf>
    <xf numFmtId="0" fontId="55" fillId="24" borderId="15" xfId="0" applyFont="1" applyFill="1" applyBorder="1" applyAlignment="1" applyProtection="1">
      <alignment horizontal="center"/>
    </xf>
    <xf numFmtId="0" fontId="4" fillId="0" borderId="15" xfId="0" applyFont="1" applyFill="1" applyBorder="1" applyAlignment="1" applyProtection="1">
      <alignment horizontal="center" vertical="center" wrapText="1"/>
    </xf>
    <xf numFmtId="0" fontId="4" fillId="0" borderId="10" xfId="0" applyFont="1" applyBorder="1" applyAlignment="1">
      <alignment horizontal="left" vertical="center" wrapText="1"/>
    </xf>
    <xf numFmtId="0" fontId="4" fillId="0" borderId="25" xfId="0" applyFont="1" applyBorder="1" applyAlignment="1">
      <alignment horizontal="left" vertical="center" wrapText="1"/>
    </xf>
    <xf numFmtId="0" fontId="4" fillId="24" borderId="47" xfId="0" applyFont="1" applyFill="1" applyBorder="1" applyAlignment="1" applyProtection="1">
      <alignment horizontal="left" vertical="center" wrapText="1"/>
    </xf>
    <xf numFmtId="0" fontId="4" fillId="24" borderId="45" xfId="0" applyFont="1" applyFill="1" applyBorder="1" applyAlignment="1" applyProtection="1">
      <alignment horizontal="left" vertical="center" wrapText="1"/>
    </xf>
    <xf numFmtId="0" fontId="4" fillId="0" borderId="14" xfId="0" applyFont="1" applyBorder="1" applyAlignment="1" applyProtection="1">
      <alignment horizontal="left" vertical="center" wrapText="1"/>
    </xf>
    <xf numFmtId="0" fontId="32" fillId="24" borderId="73" xfId="0" applyFont="1" applyFill="1" applyBorder="1" applyAlignment="1" applyProtection="1">
      <alignment horizontal="center" wrapText="1"/>
    </xf>
    <xf numFmtId="0" fontId="32" fillId="24" borderId="82" xfId="0" applyFont="1" applyFill="1" applyBorder="1" applyAlignment="1" applyProtection="1">
      <alignment horizontal="center" wrapText="1"/>
    </xf>
    <xf numFmtId="0" fontId="32" fillId="24" borderId="101" xfId="0" applyFont="1" applyFill="1" applyBorder="1" applyAlignment="1" applyProtection="1">
      <alignment horizontal="center" wrapText="1"/>
    </xf>
    <xf numFmtId="0" fontId="32" fillId="24" borderId="0" xfId="0" applyFont="1" applyFill="1" applyBorder="1" applyAlignment="1" applyProtection="1">
      <alignment horizontal="center" vertical="center" wrapText="1"/>
    </xf>
    <xf numFmtId="0" fontId="32" fillId="24" borderId="102" xfId="0" applyFont="1" applyFill="1" applyBorder="1" applyAlignment="1" applyProtection="1">
      <alignment horizontal="center" vertical="center" wrapText="1"/>
    </xf>
    <xf numFmtId="0" fontId="8" fillId="43" borderId="15" xfId="0" applyFont="1" applyFill="1" applyBorder="1" applyAlignment="1" applyProtection="1">
      <alignment horizontal="center" vertical="center" wrapText="1"/>
    </xf>
    <xf numFmtId="0" fontId="8" fillId="43" borderId="22" xfId="0" applyFont="1" applyFill="1" applyBorder="1" applyAlignment="1" applyProtection="1">
      <alignment horizontal="center" vertical="center" wrapText="1"/>
    </xf>
    <xf numFmtId="0" fontId="8" fillId="43" borderId="18" xfId="0" applyFont="1" applyFill="1" applyBorder="1" applyAlignment="1" applyProtection="1">
      <alignment horizontal="center" vertical="center" wrapText="1"/>
    </xf>
    <xf numFmtId="0" fontId="8" fillId="43" borderId="14" xfId="0" applyFont="1" applyFill="1" applyBorder="1" applyAlignment="1" applyProtection="1">
      <alignment horizontal="center" vertical="center" wrapText="1"/>
    </xf>
    <xf numFmtId="0" fontId="8" fillId="43" borderId="21" xfId="0" applyFont="1" applyFill="1" applyBorder="1" applyAlignment="1" applyProtection="1">
      <alignment horizontal="center" vertical="center" wrapText="1"/>
    </xf>
    <xf numFmtId="0" fontId="32" fillId="24" borderId="81" xfId="0" applyFont="1" applyFill="1" applyBorder="1" applyAlignment="1" applyProtection="1">
      <alignment horizontal="center" wrapText="1"/>
    </xf>
    <xf numFmtId="0" fontId="32" fillId="0" borderId="101" xfId="0" applyFont="1" applyBorder="1" applyAlignment="1" applyProtection="1">
      <alignment horizontal="center" wrapText="1"/>
    </xf>
    <xf numFmtId="3" fontId="4" fillId="24" borderId="124" xfId="0" applyNumberFormat="1" applyFont="1" applyFill="1" applyBorder="1" applyAlignment="1" applyProtection="1">
      <alignment horizontal="center" vertical="center"/>
    </xf>
    <xf numFmtId="3" fontId="4" fillId="24" borderId="125" xfId="0" applyNumberFormat="1" applyFont="1" applyFill="1" applyBorder="1" applyAlignment="1" applyProtection="1">
      <alignment horizontal="center" vertical="center"/>
    </xf>
    <xf numFmtId="3" fontId="4" fillId="24" borderId="126" xfId="0" applyNumberFormat="1" applyFont="1" applyFill="1" applyBorder="1" applyAlignment="1" applyProtection="1">
      <alignment horizontal="center" vertical="center"/>
    </xf>
    <xf numFmtId="3" fontId="4" fillId="24" borderId="127" xfId="0" applyNumberFormat="1" applyFont="1" applyFill="1" applyBorder="1" applyAlignment="1" applyProtection="1">
      <alignment horizontal="center" vertical="center"/>
    </xf>
    <xf numFmtId="3" fontId="4" fillId="24" borderId="122" xfId="0" applyNumberFormat="1" applyFont="1" applyFill="1" applyBorder="1" applyAlignment="1" applyProtection="1">
      <alignment horizontal="center" vertical="center"/>
    </xf>
    <xf numFmtId="3" fontId="4" fillId="24" borderId="118" xfId="0" applyNumberFormat="1" applyFont="1" applyFill="1" applyBorder="1" applyAlignment="1" applyProtection="1">
      <alignment horizontal="center" vertical="center"/>
    </xf>
    <xf numFmtId="0" fontId="4" fillId="24" borderId="118" xfId="0" applyFont="1" applyFill="1" applyBorder="1" applyAlignment="1" applyProtection="1">
      <alignment horizontal="center" vertical="center"/>
    </xf>
    <xf numFmtId="0" fontId="76" fillId="56" borderId="117" xfId="0" applyFont="1" applyFill="1" applyBorder="1" applyAlignment="1" applyProtection="1">
      <alignment horizontal="center" vertical="center" wrapText="1"/>
    </xf>
    <xf numFmtId="0" fontId="77" fillId="56" borderId="117" xfId="0" applyFont="1" applyFill="1" applyBorder="1" applyAlignment="1">
      <alignment wrapText="1"/>
    </xf>
    <xf numFmtId="0" fontId="76" fillId="57" borderId="117" xfId="0" applyFont="1" applyFill="1" applyBorder="1" applyAlignment="1" applyProtection="1">
      <alignment horizontal="center" vertical="center" wrapText="1"/>
    </xf>
    <xf numFmtId="0" fontId="77" fillId="57" borderId="117" xfId="0" applyFont="1" applyFill="1" applyBorder="1" applyAlignment="1">
      <alignment wrapText="1"/>
    </xf>
    <xf numFmtId="0" fontId="76" fillId="47" borderId="117" xfId="0" applyFont="1" applyFill="1" applyBorder="1" applyAlignment="1" applyProtection="1">
      <alignment horizontal="center" vertical="center" wrapText="1"/>
    </xf>
    <xf numFmtId="0" fontId="77" fillId="47" borderId="116" xfId="0" applyFont="1" applyFill="1" applyBorder="1" applyAlignment="1">
      <alignment wrapText="1"/>
    </xf>
    <xf numFmtId="0" fontId="8" fillId="43" borderId="117" xfId="0" applyFont="1" applyFill="1" applyBorder="1" applyAlignment="1" applyProtection="1">
      <alignment horizontal="center" vertical="center" wrapText="1"/>
    </xf>
    <xf numFmtId="0" fontId="0" fillId="43" borderId="116" xfId="0" applyFill="1" applyBorder="1" applyAlignment="1">
      <alignment wrapText="1"/>
    </xf>
    <xf numFmtId="0" fontId="4" fillId="24" borderId="0" xfId="0" applyFont="1" applyFill="1" applyBorder="1" applyAlignment="1" applyProtection="1">
      <alignment horizontal="left" wrapText="1"/>
    </xf>
    <xf numFmtId="0" fontId="4" fillId="24" borderId="102" xfId="0" applyFont="1" applyFill="1" applyBorder="1" applyAlignment="1" applyProtection="1">
      <alignment horizontal="left" wrapText="1"/>
    </xf>
    <xf numFmtId="0" fontId="76" fillId="49" borderId="117" xfId="0" applyFont="1" applyFill="1" applyBorder="1" applyAlignment="1" applyProtection="1">
      <alignment horizontal="center" vertical="center" wrapText="1"/>
    </xf>
    <xf numFmtId="0" fontId="77" fillId="49" borderId="117" xfId="0" applyFont="1" applyFill="1" applyBorder="1" applyAlignment="1">
      <alignment wrapText="1"/>
    </xf>
    <xf numFmtId="0" fontId="76" fillId="50" borderId="117" xfId="0" applyFont="1" applyFill="1" applyBorder="1" applyAlignment="1" applyProtection="1">
      <alignment horizontal="center" vertical="center" wrapText="1"/>
    </xf>
    <xf numFmtId="0" fontId="77" fillId="50" borderId="117" xfId="0" applyFont="1" applyFill="1" applyBorder="1" applyAlignment="1">
      <alignment wrapText="1"/>
    </xf>
    <xf numFmtId="0" fontId="76" fillId="51" borderId="117" xfId="0" applyFont="1" applyFill="1" applyBorder="1" applyAlignment="1" applyProtection="1">
      <alignment horizontal="center" vertical="center" wrapText="1"/>
    </xf>
    <xf numFmtId="0" fontId="77" fillId="51" borderId="117" xfId="0" applyFont="1" applyFill="1" applyBorder="1" applyAlignment="1">
      <alignment wrapText="1"/>
    </xf>
    <xf numFmtId="0" fontId="76" fillId="52" borderId="117" xfId="0" applyFont="1" applyFill="1" applyBorder="1" applyAlignment="1" applyProtection="1">
      <alignment horizontal="center" vertical="center" wrapText="1"/>
    </xf>
    <xf numFmtId="0" fontId="77" fillId="52" borderId="117" xfId="0" applyFont="1" applyFill="1" applyBorder="1" applyAlignment="1">
      <alignment wrapText="1"/>
    </xf>
    <xf numFmtId="0" fontId="76" fillId="53" borderId="117" xfId="0" applyFont="1" applyFill="1" applyBorder="1" applyAlignment="1" applyProtection="1">
      <alignment horizontal="center" vertical="center" wrapText="1"/>
    </xf>
    <xf numFmtId="0" fontId="77" fillId="53" borderId="117" xfId="0" applyFont="1" applyFill="1" applyBorder="1" applyAlignment="1">
      <alignment wrapText="1"/>
    </xf>
    <xf numFmtId="0" fontId="76" fillId="54" borderId="117" xfId="0" applyFont="1" applyFill="1" applyBorder="1" applyAlignment="1" applyProtection="1">
      <alignment horizontal="center" vertical="center" wrapText="1"/>
    </xf>
    <xf numFmtId="0" fontId="77" fillId="54" borderId="117" xfId="0" applyFont="1" applyFill="1" applyBorder="1" applyAlignment="1">
      <alignment wrapText="1"/>
    </xf>
    <xf numFmtId="0" fontId="76" fillId="55" borderId="117" xfId="0" applyFont="1" applyFill="1" applyBorder="1" applyAlignment="1" applyProtection="1">
      <alignment horizontal="center" vertical="center" wrapText="1"/>
    </xf>
    <xf numFmtId="0" fontId="77" fillId="55" borderId="117" xfId="0" applyFont="1" applyFill="1" applyBorder="1" applyAlignment="1">
      <alignment wrapText="1"/>
    </xf>
    <xf numFmtId="0" fontId="0" fillId="43" borderId="117" xfId="0" applyFill="1" applyBorder="1" applyAlignment="1">
      <alignment wrapText="1"/>
    </xf>
    <xf numFmtId="3" fontId="4" fillId="24" borderId="120" xfId="0" applyNumberFormat="1" applyFont="1" applyFill="1" applyBorder="1" applyAlignment="1" applyProtection="1">
      <alignment horizontal="center" vertical="center"/>
    </xf>
    <xf numFmtId="3" fontId="4" fillId="24" borderId="121" xfId="0" applyNumberFormat="1" applyFont="1" applyFill="1" applyBorder="1" applyAlignment="1" applyProtection="1">
      <alignment horizontal="center" vertical="center"/>
    </xf>
    <xf numFmtId="3" fontId="4" fillId="24" borderId="123" xfId="0" applyNumberFormat="1" applyFont="1" applyFill="1" applyBorder="1" applyAlignment="1" applyProtection="1">
      <alignment horizontal="center" vertical="center"/>
    </xf>
    <xf numFmtId="0" fontId="4" fillId="24" borderId="120" xfId="0" applyFont="1" applyFill="1" applyBorder="1" applyAlignment="1" applyProtection="1">
      <alignment horizontal="center" vertical="center"/>
    </xf>
    <xf numFmtId="0" fontId="4" fillId="24" borderId="121" xfId="0" applyFont="1" applyFill="1" applyBorder="1" applyAlignment="1" applyProtection="1">
      <alignment horizontal="center" vertical="center"/>
    </xf>
    <xf numFmtId="165" fontId="4" fillId="24" borderId="18" xfId="0" applyNumberFormat="1" applyFont="1" applyFill="1" applyBorder="1" applyAlignment="1" applyProtection="1">
      <alignment horizontal="center" vertical="center"/>
    </xf>
    <xf numFmtId="165" fontId="4" fillId="24" borderId="14" xfId="0" applyNumberFormat="1" applyFont="1" applyFill="1" applyBorder="1" applyAlignment="1" applyProtection="1">
      <alignment horizontal="center" vertical="center"/>
    </xf>
    <xf numFmtId="165" fontId="4" fillId="24" borderId="32" xfId="0" applyNumberFormat="1" applyFont="1" applyFill="1" applyBorder="1" applyAlignment="1" applyProtection="1">
      <alignment horizontal="center" vertical="center"/>
    </xf>
    <xf numFmtId="0" fontId="4" fillId="24" borderId="17" xfId="0" applyFont="1" applyFill="1" applyBorder="1" applyAlignment="1" applyProtection="1">
      <alignment horizontal="center" vertical="top" wrapText="1"/>
      <protection locked="0"/>
    </xf>
    <xf numFmtId="0" fontId="4" fillId="24" borderId="10" xfId="0" applyFont="1" applyFill="1" applyBorder="1" applyAlignment="1" applyProtection="1">
      <alignment horizontal="center" vertical="top" wrapText="1"/>
      <protection locked="0"/>
    </xf>
    <xf numFmtId="0" fontId="4" fillId="24" borderId="25" xfId="0" applyFont="1" applyFill="1" applyBorder="1" applyAlignment="1" applyProtection="1">
      <alignment horizontal="center" vertical="top" wrapText="1"/>
      <protection locked="0"/>
    </xf>
    <xf numFmtId="0" fontId="4" fillId="24" borderId="13" xfId="0" applyFont="1" applyFill="1" applyBorder="1" applyAlignment="1" applyProtection="1">
      <alignment horizontal="center" vertical="top" wrapText="1"/>
      <protection locked="0"/>
    </xf>
    <xf numFmtId="0" fontId="4" fillId="24" borderId="102" xfId="0" applyFont="1" applyFill="1" applyBorder="1" applyAlignment="1" applyProtection="1">
      <alignment horizontal="center" vertical="top" wrapText="1"/>
      <protection locked="0"/>
    </xf>
    <xf numFmtId="0" fontId="4" fillId="24" borderId="103" xfId="0" applyFont="1" applyFill="1" applyBorder="1" applyAlignment="1" applyProtection="1">
      <alignment horizontal="center" vertical="top" wrapText="1"/>
      <protection locked="0"/>
    </xf>
    <xf numFmtId="0" fontId="53" fillId="0" borderId="27" xfId="0" applyFont="1" applyFill="1" applyBorder="1" applyAlignment="1" applyProtection="1">
      <alignment horizontal="center" vertical="center" textRotation="90" wrapText="1"/>
    </xf>
    <xf numFmtId="0" fontId="53" fillId="0" borderId="104" xfId="0" applyFont="1" applyFill="1" applyBorder="1" applyAlignment="1" applyProtection="1">
      <alignment horizontal="center" vertical="center" textRotation="90" wrapText="1"/>
    </xf>
    <xf numFmtId="0" fontId="4" fillId="26" borderId="0" xfId="0" applyFont="1" applyFill="1" applyBorder="1" applyAlignment="1" applyProtection="1">
      <alignment horizontal="left" wrapText="1"/>
    </xf>
    <xf numFmtId="0" fontId="4" fillId="26" borderId="102" xfId="0" applyFont="1" applyFill="1" applyBorder="1" applyAlignment="1" applyProtection="1">
      <alignment horizontal="left" wrapText="1"/>
    </xf>
    <xf numFmtId="0" fontId="8" fillId="25" borderId="18" xfId="0" applyFont="1" applyFill="1" applyBorder="1" applyAlignment="1" applyProtection="1">
      <alignment horizontal="center" vertical="center" wrapText="1"/>
    </xf>
    <xf numFmtId="0" fontId="0" fillId="0" borderId="32" xfId="0" applyBorder="1" applyAlignment="1">
      <alignment wrapText="1"/>
    </xf>
    <xf numFmtId="0" fontId="0" fillId="0" borderId="14" xfId="0" applyBorder="1" applyAlignment="1">
      <alignment wrapText="1"/>
    </xf>
    <xf numFmtId="0" fontId="4" fillId="24" borderId="119" xfId="0" applyFont="1" applyFill="1" applyBorder="1" applyAlignment="1" applyProtection="1">
      <alignment horizontal="center" vertical="center"/>
    </xf>
    <xf numFmtId="0" fontId="8" fillId="28" borderId="18" xfId="0" applyFont="1" applyFill="1" applyBorder="1" applyAlignment="1" applyProtection="1">
      <alignment horizontal="center" vertical="center" wrapText="1"/>
    </xf>
    <xf numFmtId="0" fontId="0" fillId="28" borderId="32" xfId="0" applyFill="1" applyBorder="1" applyAlignment="1">
      <alignment wrapText="1"/>
    </xf>
    <xf numFmtId="0" fontId="0" fillId="28" borderId="14" xfId="0" applyFill="1" applyBorder="1" applyAlignment="1">
      <alignment wrapText="1"/>
    </xf>
    <xf numFmtId="165" fontId="4" fillId="0" borderId="18" xfId="0" applyNumberFormat="1" applyFont="1" applyBorder="1" applyAlignment="1" applyProtection="1">
      <alignment horizontal="center" vertical="center"/>
    </xf>
    <xf numFmtId="165" fontId="4" fillId="0" borderId="26" xfId="0" applyNumberFormat="1" applyFont="1" applyBorder="1" applyAlignment="1" applyProtection="1">
      <alignment horizontal="center" vertical="center"/>
    </xf>
    <xf numFmtId="165" fontId="4" fillId="0" borderId="14" xfId="0" applyNumberFormat="1" applyFont="1" applyBorder="1" applyAlignment="1" applyProtection="1">
      <alignment horizontal="center" vertical="center"/>
    </xf>
    <xf numFmtId="0" fontId="8" fillId="0" borderId="16" xfId="0" applyFont="1" applyFill="1" applyBorder="1" applyAlignment="1" applyProtection="1">
      <alignment horizontal="center" vertical="center" wrapText="1"/>
    </xf>
    <xf numFmtId="0" fontId="8" fillId="0" borderId="51"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0" fillId="0" borderId="21" xfId="0" applyFill="1" applyBorder="1" applyAlignment="1">
      <alignment wrapText="1"/>
    </xf>
    <xf numFmtId="0" fontId="31" fillId="24" borderId="0" xfId="0" applyFont="1" applyFill="1" applyBorder="1" applyAlignment="1" applyProtection="1">
      <alignment horizontal="left" vertical="top" wrapText="1"/>
    </xf>
    <xf numFmtId="0" fontId="0" fillId="0" borderId="15" xfId="0" applyFill="1" applyBorder="1" applyAlignment="1">
      <alignment wrapText="1"/>
    </xf>
    <xf numFmtId="0" fontId="37" fillId="0" borderId="15" xfId="0" applyFont="1" applyFill="1" applyBorder="1" applyAlignment="1" applyProtection="1">
      <alignment horizontal="center"/>
    </xf>
    <xf numFmtId="0" fontId="60" fillId="0" borderId="15" xfId="0" applyFont="1" applyFill="1" applyBorder="1" applyAlignment="1">
      <alignment horizontal="center" vertical="center" wrapText="1"/>
    </xf>
    <xf numFmtId="0" fontId="51" fillId="0" borderId="18" xfId="0" applyFont="1" applyFill="1" applyBorder="1" applyAlignment="1" applyProtection="1">
      <alignment horizontal="center"/>
    </xf>
    <xf numFmtId="0" fontId="51" fillId="0" borderId="26" xfId="0" applyFont="1" applyFill="1" applyBorder="1" applyAlignment="1" applyProtection="1">
      <alignment horizontal="center"/>
    </xf>
    <xf numFmtId="0" fontId="51" fillId="0" borderId="32" xfId="0" applyFont="1" applyFill="1" applyBorder="1" applyAlignment="1" applyProtection="1">
      <alignment horizontal="center"/>
    </xf>
    <xf numFmtId="0" fontId="8" fillId="26" borderId="0" xfId="0" applyFont="1" applyFill="1" applyBorder="1" applyAlignment="1" applyProtection="1">
      <alignment horizontal="left" vertical="top" wrapText="1"/>
    </xf>
    <xf numFmtId="0" fontId="51" fillId="0" borderId="14" xfId="0" applyFont="1" applyFill="1" applyBorder="1" applyAlignment="1" applyProtection="1">
      <alignment horizontal="center"/>
    </xf>
    <xf numFmtId="0" fontId="4" fillId="24" borderId="102" xfId="0" applyFont="1" applyFill="1" applyBorder="1" applyAlignment="1" applyProtection="1">
      <alignment horizontal="left" vertical="center" wrapText="1"/>
    </xf>
    <xf numFmtId="0" fontId="6" fillId="0" borderId="15"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8" fillId="28" borderId="59" xfId="0" applyFont="1" applyFill="1" applyBorder="1" applyAlignment="1" applyProtection="1">
      <alignment horizontal="center" vertical="center" wrapText="1"/>
    </xf>
    <xf numFmtId="0" fontId="8" fillId="28" borderId="62" xfId="0" applyFont="1" applyFill="1" applyBorder="1" applyAlignment="1" applyProtection="1">
      <alignment horizontal="center" vertical="center" wrapText="1"/>
    </xf>
    <xf numFmtId="0" fontId="8" fillId="28" borderId="64" xfId="0" applyFont="1" applyFill="1" applyBorder="1" applyAlignment="1" applyProtection="1">
      <alignment horizontal="center" vertical="center" wrapText="1"/>
    </xf>
    <xf numFmtId="0" fontId="8" fillId="0" borderId="18" xfId="0" applyFont="1" applyFill="1" applyBorder="1" applyAlignment="1" applyProtection="1">
      <alignment horizontal="center" vertical="center" wrapText="1"/>
    </xf>
    <xf numFmtId="0" fontId="8" fillId="0" borderId="26" xfId="0" applyFont="1" applyFill="1" applyBorder="1" applyAlignment="1" applyProtection="1">
      <alignment horizontal="center" vertical="center" wrapText="1"/>
    </xf>
    <xf numFmtId="0" fontId="8" fillId="0" borderId="32" xfId="0" applyFont="1" applyFill="1" applyBorder="1" applyAlignment="1" applyProtection="1">
      <alignment horizontal="center" vertical="center" wrapText="1"/>
    </xf>
    <xf numFmtId="0" fontId="8" fillId="28" borderId="59" xfId="0" applyFont="1" applyFill="1" applyBorder="1" applyAlignment="1">
      <alignment horizontal="center" wrapText="1"/>
    </xf>
    <xf numFmtId="0" fontId="8" fillId="28" borderId="64" xfId="0" applyFont="1" applyFill="1" applyBorder="1" applyAlignment="1" applyProtection="1">
      <alignment horizontal="center" vertical="top"/>
    </xf>
    <xf numFmtId="0" fontId="4" fillId="0" borderId="18"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50"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31" fillId="26" borderId="0" xfId="0" applyFont="1" applyFill="1" applyBorder="1" applyAlignment="1" applyProtection="1">
      <alignment horizontal="left" wrapText="1"/>
    </xf>
    <xf numFmtId="0" fontId="6" fillId="26" borderId="0" xfId="0" applyFont="1" applyFill="1" applyBorder="1" applyAlignment="1" applyProtection="1">
      <alignment horizontal="left" vertical="top" wrapText="1"/>
    </xf>
    <xf numFmtId="0" fontId="55" fillId="24" borderId="63" xfId="0" applyFont="1" applyFill="1" applyBorder="1" applyAlignment="1" applyProtection="1">
      <alignment horizontal="center"/>
    </xf>
    <xf numFmtId="0" fontId="55" fillId="24" borderId="102" xfId="0" applyFont="1" applyFill="1" applyBorder="1" applyAlignment="1" applyProtection="1">
      <alignment horizontal="center"/>
    </xf>
    <xf numFmtId="0" fontId="55" fillId="24" borderId="64" xfId="0" applyFont="1" applyFill="1" applyBorder="1" applyAlignment="1" applyProtection="1">
      <alignment horizontal="center"/>
    </xf>
    <xf numFmtId="0" fontId="37" fillId="0" borderId="0" xfId="0" applyFont="1" applyFill="1" applyBorder="1" applyAlignment="1" applyProtection="1">
      <alignment horizontal="center" wrapText="1"/>
    </xf>
    <xf numFmtId="0" fontId="37" fillId="0" borderId="102" xfId="0" applyFont="1" applyFill="1" applyBorder="1" applyAlignment="1" applyProtection="1">
      <alignment horizontal="center" wrapText="1"/>
    </xf>
    <xf numFmtId="0" fontId="8" fillId="24" borderId="18" xfId="0" applyFont="1" applyFill="1" applyBorder="1" applyAlignment="1" applyProtection="1">
      <alignment horizontal="left" vertical="top" wrapText="1"/>
      <protection locked="0"/>
    </xf>
    <xf numFmtId="0" fontId="0" fillId="0" borderId="26" xfId="0" applyBorder="1" applyAlignment="1" applyProtection="1">
      <alignment wrapText="1"/>
      <protection locked="0"/>
    </xf>
    <xf numFmtId="0" fontId="0" fillId="0" borderId="14" xfId="0" applyBorder="1" applyAlignment="1" applyProtection="1">
      <alignment wrapText="1"/>
      <protection locked="0"/>
    </xf>
    <xf numFmtId="0" fontId="6" fillId="0" borderId="18" xfId="0" applyFont="1" applyFill="1" applyBorder="1" applyAlignment="1">
      <alignment horizontal="center" vertical="center" wrapText="1"/>
    </xf>
    <xf numFmtId="9" fontId="4" fillId="0" borderId="18" xfId="0" applyNumberFormat="1" applyFont="1" applyFill="1" applyBorder="1" applyAlignment="1" applyProtection="1">
      <alignment horizontal="center" vertical="center"/>
    </xf>
    <xf numFmtId="9" fontId="4" fillId="0" borderId="14" xfId="0" applyNumberFormat="1" applyFont="1" applyFill="1" applyBorder="1" applyAlignment="1" applyProtection="1">
      <alignment horizontal="center" vertical="center"/>
    </xf>
    <xf numFmtId="9" fontId="4" fillId="29" borderId="18" xfId="0" applyNumberFormat="1" applyFont="1" applyFill="1" applyBorder="1" applyAlignment="1" applyProtection="1">
      <alignment horizontal="center" vertical="center"/>
    </xf>
    <xf numFmtId="9" fontId="4" fillId="29" borderId="14" xfId="0" applyNumberFormat="1" applyFont="1" applyFill="1" applyBorder="1" applyAlignment="1" applyProtection="1">
      <alignment horizontal="center" vertical="center"/>
    </xf>
    <xf numFmtId="0" fontId="4" fillId="26" borderId="78" xfId="0" applyFont="1" applyFill="1" applyBorder="1" applyAlignment="1" applyProtection="1">
      <alignment horizontal="left" wrapText="1"/>
    </xf>
    <xf numFmtId="0" fontId="4" fillId="24" borderId="18" xfId="0" applyFont="1" applyFill="1" applyBorder="1" applyAlignment="1" applyProtection="1">
      <alignment horizontal="left" vertical="center" wrapText="1"/>
    </xf>
    <xf numFmtId="0" fontId="4" fillId="24" borderId="26" xfId="0" applyFont="1" applyFill="1" applyBorder="1" applyAlignment="1" applyProtection="1">
      <alignment horizontal="left" vertical="center" wrapText="1"/>
    </xf>
    <xf numFmtId="0" fontId="4" fillId="24" borderId="14" xfId="0" applyFont="1" applyFill="1" applyBorder="1" applyAlignment="1" applyProtection="1">
      <alignment horizontal="left" vertical="center" wrapText="1"/>
    </xf>
    <xf numFmtId="0" fontId="4" fillId="0" borderId="26" xfId="0" applyFont="1" applyBorder="1" applyAlignment="1">
      <alignment horizontal="left" vertical="center" wrapText="1"/>
    </xf>
    <xf numFmtId="0" fontId="4" fillId="0" borderId="14" xfId="0" applyFont="1" applyBorder="1" applyAlignment="1">
      <alignment horizontal="left" vertical="center" wrapText="1"/>
    </xf>
    <xf numFmtId="0" fontId="8" fillId="28" borderId="26" xfId="0" applyFont="1" applyFill="1" applyBorder="1" applyAlignment="1" applyProtection="1">
      <alignment horizontal="center" vertical="center" wrapText="1"/>
    </xf>
    <xf numFmtId="0" fontId="8" fillId="28" borderId="32" xfId="0" applyFont="1" applyFill="1" applyBorder="1" applyAlignment="1" applyProtection="1">
      <alignment horizontal="center" vertical="center" wrapText="1"/>
    </xf>
    <xf numFmtId="0" fontId="6" fillId="28" borderId="15" xfId="0" applyFont="1" applyFill="1" applyBorder="1" applyAlignment="1">
      <alignment horizontal="center" vertical="center" wrapText="1"/>
    </xf>
    <xf numFmtId="0" fontId="6" fillId="28" borderId="21" xfId="0" applyFont="1" applyFill="1" applyBorder="1" applyAlignment="1">
      <alignment horizontal="center" vertical="center" wrapText="1"/>
    </xf>
    <xf numFmtId="9" fontId="59" fillId="34" borderId="18" xfId="0" applyNumberFormat="1" applyFont="1" applyFill="1" applyBorder="1" applyAlignment="1" applyProtection="1">
      <alignment horizontal="center" vertical="center"/>
    </xf>
    <xf numFmtId="9" fontId="59" fillId="34" borderId="14" xfId="0" applyNumberFormat="1" applyFont="1" applyFill="1" applyBorder="1" applyAlignment="1" applyProtection="1">
      <alignment horizontal="center" vertical="center"/>
    </xf>
    <xf numFmtId="0" fontId="8" fillId="33" borderId="18" xfId="0" quotePrefix="1" applyFont="1" applyFill="1" applyBorder="1" applyAlignment="1" applyProtection="1">
      <alignment horizontal="center" vertical="center" wrapText="1"/>
    </xf>
    <xf numFmtId="0" fontId="8" fillId="33" borderId="14" xfId="0" applyFont="1" applyFill="1" applyBorder="1" applyAlignment="1" applyProtection="1">
      <alignment horizontal="center" vertical="center" wrapText="1"/>
    </xf>
    <xf numFmtId="0" fontId="8" fillId="33" borderId="20" xfId="0" applyFont="1" applyFill="1" applyBorder="1" applyAlignment="1" applyProtection="1">
      <alignment horizontal="center" vertical="center" wrapText="1"/>
    </xf>
    <xf numFmtId="0" fontId="8" fillId="33" borderId="26" xfId="0" applyFont="1" applyFill="1" applyBorder="1" applyAlignment="1" applyProtection="1">
      <alignment horizontal="center" vertical="center" wrapText="1"/>
    </xf>
    <xf numFmtId="0" fontId="8" fillId="33" borderId="32"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4" fillId="24" borderId="15" xfId="0" applyFont="1" applyFill="1" applyBorder="1" applyAlignment="1" applyProtection="1">
      <alignment horizontal="left" vertical="center" wrapText="1"/>
    </xf>
    <xf numFmtId="0" fontId="4" fillId="0" borderId="15" xfId="0" applyFont="1" applyBorder="1" applyAlignment="1" applyProtection="1">
      <alignment horizontal="left" vertical="center" wrapText="1"/>
    </xf>
    <xf numFmtId="0" fontId="8" fillId="28" borderId="30" xfId="0" applyFont="1" applyFill="1" applyBorder="1" applyAlignment="1" applyProtection="1">
      <alignment horizontal="center" vertical="center" wrapText="1"/>
    </xf>
    <xf numFmtId="0" fontId="8" fillId="28" borderId="60" xfId="0" applyFont="1" applyFill="1" applyBorder="1" applyAlignment="1" applyProtection="1">
      <alignment horizontal="center" vertical="center" wrapText="1"/>
    </xf>
    <xf numFmtId="0" fontId="8" fillId="28" borderId="61" xfId="0" applyFont="1" applyFill="1" applyBorder="1" applyAlignment="1" applyProtection="1">
      <alignment horizontal="center" vertical="center" wrapText="1"/>
    </xf>
    <xf numFmtId="0" fontId="50" fillId="0" borderId="22" xfId="0" applyFont="1" applyFill="1" applyBorder="1" applyAlignment="1" applyProtection="1">
      <alignment horizontal="center" vertical="center"/>
    </xf>
    <xf numFmtId="0" fontId="50" fillId="0" borderId="21" xfId="0" applyFont="1" applyFill="1" applyBorder="1" applyAlignment="1" applyProtection="1">
      <alignment horizontal="center" vertical="center"/>
    </xf>
    <xf numFmtId="0" fontId="50" fillId="0" borderId="15" xfId="0" applyFont="1" applyFill="1" applyBorder="1" applyAlignment="1" applyProtection="1">
      <alignment horizontal="center" vertical="center"/>
    </xf>
    <xf numFmtId="0" fontId="50" fillId="24" borderId="15" xfId="0" applyFont="1" applyFill="1" applyBorder="1" applyAlignment="1" applyProtection="1">
      <alignment horizontal="center"/>
    </xf>
    <xf numFmtId="0" fontId="50" fillId="0" borderId="15"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4" fillId="0" borderId="102" xfId="0" applyFont="1" applyFill="1" applyBorder="1" applyAlignment="1" applyProtection="1">
      <alignment horizontal="center" vertical="center" wrapText="1"/>
      <protection locked="0"/>
    </xf>
    <xf numFmtId="0" fontId="4" fillId="0" borderId="103" xfId="0" applyFont="1" applyFill="1" applyBorder="1" applyAlignment="1" applyProtection="1">
      <alignment horizontal="center" vertical="center" wrapText="1"/>
      <protection locked="0"/>
    </xf>
    <xf numFmtId="0" fontId="8" fillId="0" borderId="15" xfId="0" applyFont="1" applyFill="1" applyBorder="1" applyAlignment="1" applyProtection="1">
      <alignment horizontal="center" vertical="top" wrapText="1"/>
      <protection locked="0"/>
    </xf>
    <xf numFmtId="0" fontId="8" fillId="0" borderId="128" xfId="0" applyFont="1" applyFill="1" applyBorder="1" applyAlignment="1" applyProtection="1">
      <alignment horizontal="center" vertical="top" wrapText="1"/>
      <protection locked="0"/>
    </xf>
    <xf numFmtId="0" fontId="8" fillId="24" borderId="18" xfId="0" applyFont="1" applyFill="1" applyBorder="1" applyAlignment="1" applyProtection="1">
      <alignment horizontal="center" vertical="center" wrapText="1"/>
    </xf>
    <xf numFmtId="0" fontId="8" fillId="24" borderId="26" xfId="0" applyFont="1" applyFill="1" applyBorder="1" applyAlignment="1" applyProtection="1">
      <alignment horizontal="center" vertical="center" wrapText="1"/>
    </xf>
    <xf numFmtId="0" fontId="8" fillId="24" borderId="32" xfId="0" applyFont="1" applyFill="1" applyBorder="1" applyAlignment="1" applyProtection="1">
      <alignment horizontal="center" vertical="center" wrapText="1"/>
    </xf>
    <xf numFmtId="0" fontId="53" fillId="0" borderId="24" xfId="0" applyFont="1" applyFill="1" applyBorder="1" applyAlignment="1" applyProtection="1">
      <alignment horizontal="center" vertical="center" wrapText="1"/>
    </xf>
    <xf numFmtId="0" fontId="53" fillId="0" borderId="29" xfId="0" applyFont="1" applyFill="1" applyBorder="1" applyAlignment="1" applyProtection="1">
      <alignment horizontal="center" vertical="center" wrapText="1"/>
    </xf>
    <xf numFmtId="0" fontId="53" fillId="0" borderId="23" xfId="0" applyFont="1" applyFill="1" applyBorder="1" applyAlignment="1" applyProtection="1">
      <alignment horizontal="center" vertical="center" wrapText="1"/>
    </xf>
    <xf numFmtId="0" fontId="53" fillId="0" borderId="31" xfId="0" applyFont="1" applyFill="1" applyBorder="1" applyAlignment="1" applyProtection="1">
      <alignment horizontal="center" vertical="center" wrapText="1"/>
    </xf>
    <xf numFmtId="0" fontId="74" fillId="24" borderId="18" xfId="0" applyFont="1" applyFill="1" applyBorder="1" applyAlignment="1" applyProtection="1">
      <alignment horizontal="center"/>
    </xf>
    <xf numFmtId="0" fontId="74" fillId="24" borderId="26" xfId="0" applyFont="1" applyFill="1" applyBorder="1" applyAlignment="1" applyProtection="1">
      <alignment horizontal="center"/>
    </xf>
    <xf numFmtId="0" fontId="74" fillId="24" borderId="14" xfId="0" applyFont="1" applyFill="1" applyBorder="1" applyAlignment="1" applyProtection="1">
      <alignment horizontal="center"/>
    </xf>
  </cellXfs>
  <cellStyles count="5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54" xr:uid="{868DE674-912F-4808-99C5-B085F89A1845}"/>
    <cellStyle name="Hyperlink 2 2" xfId="55" xr:uid="{8B7F9161-A649-462B-8862-0934EAC88716}"/>
    <cellStyle name="Input" xfId="35" builtinId="20" customBuiltin="1"/>
    <cellStyle name="Linked Cell" xfId="36" builtinId="24" customBuiltin="1"/>
    <cellStyle name="Neutral" xfId="37" builtinId="28" customBuiltin="1"/>
    <cellStyle name="Normal" xfId="0" builtinId="0"/>
    <cellStyle name="Normal 11" xfId="48" xr:uid="{00000000-0005-0000-0000-000026000000}"/>
    <cellStyle name="Normal 2" xfId="38" xr:uid="{00000000-0005-0000-0000-000027000000}"/>
    <cellStyle name="Normal 2 2 2" xfId="47" xr:uid="{00000000-0005-0000-0000-000028000000}"/>
    <cellStyle name="Normal 2 3" xfId="46" xr:uid="{00000000-0005-0000-0000-000029000000}"/>
    <cellStyle name="Normal 3" xfId="49" xr:uid="{00000000-0005-0000-0000-00002A000000}"/>
    <cellStyle name="Normal 3 2" xfId="50" xr:uid="{00000000-0005-0000-0000-00002B000000}"/>
    <cellStyle name="Normal 4" xfId="51" xr:uid="{00000000-0005-0000-0000-00002C000000}"/>
    <cellStyle name="Normal 5" xfId="52" xr:uid="{00000000-0005-0000-0000-00002D000000}"/>
    <cellStyle name="Note" xfId="39" builtinId="10" customBuiltin="1"/>
    <cellStyle name="Output" xfId="40" builtinId="21" customBuiltin="1"/>
    <cellStyle name="Title" xfId="41" builtinId="15" customBuiltin="1"/>
    <cellStyle name="Total" xfId="42" builtinId="25" customBuiltin="1"/>
    <cellStyle name="u" xfId="43" xr:uid="{00000000-0005-0000-0000-000032000000}"/>
    <cellStyle name="u 2" xfId="53" xr:uid="{00000000-0005-0000-0000-000033000000}"/>
    <cellStyle name="Undefined" xfId="44" xr:uid="{00000000-0005-0000-0000-000034000000}"/>
    <cellStyle name="Warning Text" xfId="45" builtinId="11" customBuiltin="1"/>
  </cellStyles>
  <dxfs count="757">
    <dxf>
      <font>
        <color theme="1" tint="0.24994659260841701"/>
      </font>
    </dxf>
    <dxf>
      <font>
        <color theme="9" tint="0.79998168889431442"/>
      </font>
    </dxf>
    <dxf>
      <font>
        <color theme="9" tint="0.59996337778862885"/>
      </font>
    </dxf>
    <dxf>
      <font>
        <color theme="1" tint="0.24994659260841701"/>
      </font>
    </dxf>
    <dxf>
      <font>
        <color theme="0"/>
      </font>
    </dxf>
    <dxf>
      <font>
        <color theme="5" tint="0.39994506668294322"/>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0"/>
      </font>
    </dxf>
    <dxf>
      <fill>
        <patternFill>
          <bgColor rgb="FF66FF99"/>
        </patternFill>
      </fill>
    </dxf>
    <dxf>
      <font>
        <color theme="9" tint="0.79998168889431442"/>
      </font>
    </dxf>
    <dxf>
      <font>
        <color theme="5" tint="0.39994506668294322"/>
      </font>
    </dxf>
    <dxf>
      <font>
        <color theme="0"/>
      </font>
    </dxf>
    <dxf>
      <fill>
        <patternFill>
          <bgColor rgb="FF66FF99"/>
        </patternFill>
      </fill>
    </dxf>
    <dxf>
      <font>
        <color theme="0"/>
      </font>
    </dxf>
    <dxf>
      <font>
        <color theme="0"/>
      </font>
    </dxf>
    <dxf>
      <font>
        <color theme="9" tint="0.79998168889431442"/>
      </font>
    </dxf>
    <dxf>
      <fill>
        <patternFill>
          <bgColor rgb="FF66FF99"/>
        </patternFill>
      </fill>
    </dxf>
    <dxf>
      <font>
        <color theme="0"/>
      </font>
    </dxf>
    <dxf>
      <font>
        <color theme="0"/>
      </font>
    </dxf>
    <dxf>
      <font>
        <color theme="0"/>
      </font>
    </dxf>
    <dxf>
      <font>
        <color theme="0"/>
      </font>
    </dxf>
    <dxf>
      <font>
        <color theme="0"/>
      </font>
    </dxf>
    <dxf>
      <font>
        <condense val="0"/>
        <extend val="0"/>
        <color indexed="9"/>
      </font>
    </dxf>
    <dxf>
      <font>
        <color theme="5" tint="0.39994506668294322"/>
      </font>
    </dxf>
    <dxf>
      <font>
        <color theme="5" tint="0.39994506668294322"/>
      </font>
    </dxf>
    <dxf>
      <font>
        <color theme="0"/>
      </font>
    </dxf>
    <dxf>
      <fill>
        <patternFill>
          <bgColor rgb="FF66FF99"/>
        </patternFill>
      </fill>
    </dxf>
    <dxf>
      <font>
        <color theme="0"/>
      </font>
    </dxf>
    <dxf>
      <font>
        <color theme="5" tint="0.39994506668294322"/>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5" tint="0.39994506668294322"/>
      </font>
    </dxf>
    <dxf>
      <font>
        <color theme="0"/>
      </font>
    </dxf>
    <dxf>
      <fill>
        <patternFill>
          <bgColor rgb="FF66FF99"/>
        </patternFill>
      </fill>
    </dxf>
    <dxf>
      <font>
        <color theme="9" tint="0.79998168889431442"/>
      </font>
    </dxf>
    <dxf>
      <font>
        <color theme="5" tint="0.39994506668294322"/>
      </font>
    </dxf>
    <dxf>
      <font>
        <color theme="0"/>
      </font>
    </dxf>
    <dxf>
      <fill>
        <patternFill>
          <bgColor rgb="FF66FF99"/>
        </patternFill>
      </fill>
    </dxf>
    <dxf>
      <font>
        <color theme="0"/>
      </font>
    </dxf>
    <dxf>
      <fill>
        <patternFill>
          <bgColor rgb="FF66FF99"/>
        </patternFill>
      </fill>
    </dxf>
    <dxf>
      <font>
        <condense val="0"/>
        <extend val="0"/>
        <color indexed="9"/>
      </font>
    </dxf>
    <dxf>
      <font>
        <color theme="9" tint="0.59996337778862885"/>
      </font>
    </dxf>
    <dxf>
      <font>
        <color theme="9" tint="0.59996337778862885"/>
      </font>
    </dxf>
    <dxf>
      <font>
        <color theme="9" tint="0.59996337778862885"/>
      </font>
    </dxf>
    <dxf>
      <font>
        <color theme="9" tint="0.59996337778862885"/>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5" tint="0.39994506668294322"/>
      </font>
    </dxf>
    <dxf>
      <font>
        <color theme="0"/>
      </font>
    </dxf>
    <dxf>
      <font>
        <color theme="9" tint="0.79998168889431442"/>
      </font>
    </dxf>
    <dxf>
      <font>
        <color theme="9" tint="0.59996337778862885"/>
      </font>
    </dxf>
    <dxf>
      <font>
        <color theme="1" tint="0.24994659260841701"/>
      </font>
    </dxf>
    <dxf>
      <font>
        <color theme="5" tint="0.39994506668294322"/>
      </font>
    </dxf>
    <dxf>
      <font>
        <color theme="0"/>
      </font>
    </dxf>
    <dxf>
      <font>
        <color theme="9" tint="0.79998168889431442"/>
      </font>
    </dxf>
    <dxf>
      <font>
        <color theme="9" tint="0.59996337778862885"/>
      </font>
    </dxf>
    <dxf>
      <font>
        <color theme="1" tint="0.24994659260841701"/>
      </font>
    </dxf>
    <dxf>
      <font>
        <color theme="5" tint="0.39994506668294322"/>
      </font>
    </dxf>
    <dxf>
      <font>
        <color theme="0"/>
      </font>
    </dxf>
    <dxf>
      <font>
        <color theme="9" tint="0.79998168889431442"/>
      </font>
    </dxf>
    <dxf>
      <font>
        <color theme="9" tint="0.59996337778862885"/>
      </font>
    </dxf>
    <dxf>
      <font>
        <color theme="1" tint="0.24994659260841701"/>
      </font>
    </dxf>
    <dxf>
      <font>
        <color theme="5" tint="0.39994506668294322"/>
      </font>
    </dxf>
    <dxf>
      <font>
        <color theme="0"/>
      </font>
    </dxf>
    <dxf>
      <font>
        <condense val="0"/>
        <extend val="0"/>
        <color indexed="9"/>
      </font>
    </dxf>
    <dxf>
      <font>
        <color theme="0"/>
      </font>
    </dxf>
    <dxf>
      <font>
        <condense val="0"/>
        <extend val="0"/>
        <color indexed="9"/>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lor theme="1" tint="0.24994659260841701"/>
      </font>
    </dxf>
    <dxf>
      <font>
        <color theme="5" tint="0.39994506668294322"/>
      </font>
    </dxf>
    <dxf>
      <font>
        <color theme="0"/>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0"/>
      </font>
    </dxf>
    <dxf>
      <font>
        <color theme="0"/>
      </font>
    </dxf>
    <dxf>
      <font>
        <color theme="0"/>
      </font>
    </dxf>
    <dxf>
      <font>
        <color theme="0"/>
      </font>
    </dxf>
    <dxf>
      <font>
        <color theme="9" tint="0.79998168889431442"/>
      </font>
    </dxf>
    <dxf>
      <font>
        <color theme="0"/>
      </font>
    </dxf>
    <dxf>
      <font>
        <color theme="0"/>
      </font>
    </dxf>
    <dxf>
      <font>
        <color theme="0"/>
      </font>
    </dxf>
    <dxf>
      <font>
        <color theme="0"/>
      </font>
    </dxf>
    <dxf>
      <font>
        <color theme="0"/>
      </font>
    </dxf>
    <dxf>
      <font>
        <condense val="0"/>
        <extend val="0"/>
        <color indexed="9"/>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79998168889431442"/>
      </font>
    </dxf>
    <dxf>
      <font>
        <color theme="9" tint="0.79998168889431442"/>
      </font>
    </dxf>
    <dxf>
      <font>
        <color theme="0"/>
      </font>
    </dxf>
    <dxf>
      <font>
        <color theme="5" tint="0.39994506668294322"/>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tint="0.24994659260841701"/>
      </font>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ndense val="0"/>
        <extend val="0"/>
        <color indexed="9"/>
      </font>
    </dxf>
    <dxf>
      <font>
        <color theme="1" tint="0.24994659260841701"/>
      </font>
    </dxf>
    <dxf>
      <font>
        <color theme="5" tint="0.39994506668294322"/>
      </font>
    </dxf>
    <dxf>
      <font>
        <color theme="0"/>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9" tint="0.79998168889431442"/>
      </font>
    </dxf>
    <dxf>
      <font>
        <color theme="9" tint="0.59996337778862885"/>
      </font>
    </dxf>
    <dxf>
      <font>
        <color theme="0"/>
      </font>
    </dxf>
    <dxf>
      <font>
        <color theme="5" tint="0.3999450666829432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1" tint="0.24994659260841701"/>
      </font>
    </dxf>
    <dxf>
      <font>
        <color theme="1" tint="0.24994659260841701"/>
      </font>
    </dxf>
    <dxf>
      <font>
        <color theme="1" tint="0.24994659260841701"/>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ndense val="0"/>
        <extend val="0"/>
        <color indexed="9"/>
      </font>
    </dxf>
    <dxf>
      <font>
        <condense val="0"/>
        <extend val="0"/>
        <color indexed="9"/>
      </font>
    </dxf>
    <dxf>
      <font>
        <color theme="9" tint="0.59996337778862885"/>
      </font>
    </dxf>
    <dxf>
      <font>
        <color theme="9" tint="0.59996337778862885"/>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ndense val="0"/>
        <extend val="0"/>
        <color indexed="9"/>
      </font>
    </dxf>
    <dxf>
      <font>
        <color theme="0"/>
      </font>
    </dxf>
    <dxf>
      <font>
        <color theme="5" tint="0.39994506668294322"/>
      </font>
    </dxf>
    <dxf>
      <font>
        <color theme="1" tint="0.24994659260841701"/>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ont>
        <condense val="0"/>
        <extend val="0"/>
        <color indexed="9"/>
      </font>
    </dxf>
    <dxf>
      <font>
        <color theme="0"/>
      </font>
    </dxf>
    <dxf>
      <font>
        <color theme="5" tint="0.39994506668294322"/>
      </font>
    </dxf>
    <dxf>
      <font>
        <color theme="1" tint="0.24994659260841701"/>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0"/>
      </font>
    </dxf>
    <dxf>
      <font>
        <color theme="0"/>
      </font>
    </dxf>
    <dxf>
      <fill>
        <patternFill>
          <bgColor rgb="FF66FF99"/>
        </patternFill>
      </fill>
    </dxf>
    <dxf>
      <font>
        <b/>
        <i val="0"/>
      </font>
      <fill>
        <patternFill>
          <bgColor indexed="42"/>
        </patternFill>
      </fill>
    </dxf>
    <dxf>
      <font>
        <color theme="0"/>
      </font>
    </dxf>
    <dxf>
      <font>
        <color theme="5" tint="0.39994506668294322"/>
      </font>
    </dxf>
    <dxf>
      <font>
        <color theme="9" tint="0.79998168889431442"/>
      </font>
    </dxf>
    <dxf>
      <font>
        <color theme="9" tint="0.59996337778862885"/>
      </font>
    </dxf>
    <dxf>
      <font>
        <color theme="9" tint="0.59996337778862885"/>
      </font>
    </dxf>
    <dxf>
      <font>
        <color theme="1" tint="0.24994659260841701"/>
      </font>
    </dxf>
    <dxf>
      <font>
        <color theme="9" tint="0.59996337778862885"/>
      </font>
    </dxf>
    <dxf>
      <font>
        <condense val="0"/>
        <extend val="0"/>
        <color indexed="9"/>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1" tint="0.24994659260841701"/>
      </font>
    </dxf>
    <dxf>
      <font>
        <color theme="5" tint="0.39994506668294322"/>
      </font>
    </dxf>
    <dxf>
      <font>
        <color theme="0"/>
      </font>
    </dxf>
    <dxf>
      <font>
        <color theme="0"/>
      </font>
    </dxf>
    <dxf>
      <font>
        <color theme="5" tint="0.39994506668294322"/>
      </font>
    </dxf>
    <dxf>
      <font>
        <color theme="1" tint="0.24994659260841701"/>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ill>
        <patternFill>
          <bgColor rgb="FF66FF99"/>
        </patternFill>
      </fill>
    </dxf>
    <dxf>
      <font>
        <color theme="9" tint="0.59996337778862885"/>
      </font>
    </dxf>
    <dxf>
      <font>
        <color theme="9" tint="0.59996337778862885"/>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9" tint="0.79998168889431442"/>
      </font>
    </dxf>
    <dxf>
      <font>
        <color theme="0"/>
      </font>
    </dxf>
    <dxf>
      <font>
        <color theme="1" tint="0.24994659260841701"/>
      </font>
    </dxf>
    <dxf>
      <font>
        <color theme="1" tint="0.24994659260841701"/>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0"/>
      </font>
    </dxf>
    <dxf>
      <font>
        <color theme="5" tint="0.39994506668294322"/>
      </font>
    </dxf>
    <dxf>
      <font>
        <color theme="1" tint="0.24994659260841701"/>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79998168889431442"/>
      </font>
    </dxf>
    <dxf>
      <font>
        <color theme="0"/>
      </font>
    </dxf>
    <dxf>
      <fill>
        <patternFill>
          <bgColor rgb="FF66FF99"/>
        </patternFill>
      </fill>
    </dxf>
    <dxf>
      <fill>
        <patternFill>
          <bgColor rgb="FF66FF99"/>
        </patternFill>
      </fill>
    </dxf>
    <dxf>
      <font>
        <color theme="0"/>
      </font>
    </dxf>
    <dxf>
      <font>
        <color theme="0"/>
      </font>
    </dxf>
    <dxf>
      <font>
        <color theme="0"/>
      </font>
    </dxf>
    <dxf>
      <font>
        <color theme="0"/>
      </font>
    </dxf>
    <dxf>
      <font>
        <color theme="0"/>
      </font>
    </dxf>
    <dxf>
      <font>
        <color theme="0"/>
      </font>
    </dxf>
    <dxf>
      <fill>
        <patternFill>
          <bgColor rgb="FF66FF99"/>
        </patternFill>
      </fill>
    </dxf>
    <dxf>
      <font>
        <b/>
        <i val="0"/>
      </font>
      <fill>
        <patternFill>
          <bgColor indexed="42"/>
        </patternFill>
      </fill>
    </dxf>
    <dxf>
      <fill>
        <patternFill>
          <bgColor rgb="FF66FF99"/>
        </patternFill>
      </fill>
    </dxf>
    <dxf>
      <font>
        <condense val="0"/>
        <extend val="0"/>
        <color indexed="9"/>
      </font>
    </dxf>
    <dxf>
      <font>
        <color theme="9" tint="0.59996337778862885"/>
      </font>
    </dxf>
    <dxf>
      <font>
        <color theme="9" tint="0.59996337778862885"/>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1" tint="0.24994659260841701"/>
      </font>
    </dxf>
    <dxf>
      <font>
        <color theme="9" tint="0.79998168889431442"/>
      </font>
    </dxf>
    <dxf>
      <font>
        <condense val="0"/>
        <extend val="0"/>
        <color indexed="9"/>
      </font>
    </dxf>
    <dxf>
      <font>
        <color theme="0"/>
      </font>
    </dxf>
    <dxf>
      <font>
        <color theme="5" tint="0.39994506668294322"/>
      </font>
    </dxf>
    <dxf>
      <font>
        <color theme="1" tint="0.24994659260841701"/>
      </font>
    </dxf>
    <dxf>
      <font>
        <color theme="9" tint="0.79998168889431442"/>
      </font>
    </dxf>
    <dxf>
      <font>
        <color theme="9" tint="0.59996337778862885"/>
      </font>
    </dxf>
    <dxf>
      <font>
        <color theme="9" tint="0.7999816888943144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ill>
        <patternFill>
          <bgColor rgb="FF66FF99"/>
        </patternFill>
      </fill>
    </dxf>
    <dxf>
      <font>
        <color theme="0"/>
      </font>
    </dxf>
    <dxf>
      <font>
        <color theme="0"/>
      </font>
    </dxf>
    <dxf>
      <font>
        <color theme="0"/>
      </font>
    </dxf>
    <dxf>
      <font>
        <color theme="0"/>
      </font>
    </dxf>
    <dxf>
      <font>
        <condense val="0"/>
        <extend val="0"/>
        <color indexed="9"/>
      </font>
    </dxf>
    <dxf>
      <font>
        <condense val="0"/>
        <extend val="0"/>
        <color indexed="9"/>
      </font>
    </dxf>
    <dxf>
      <font>
        <color theme="9" tint="0.59996337778862885"/>
      </font>
    </dxf>
    <dxf>
      <font>
        <color theme="9" tint="0.59996337778862885"/>
      </font>
    </dxf>
    <dxf>
      <font>
        <color theme="9" tint="0.79998168889431442"/>
      </font>
    </dxf>
    <dxf>
      <font>
        <color theme="1" tint="0.24994659260841701"/>
      </font>
    </dxf>
    <dxf>
      <font>
        <condense val="0"/>
        <extend val="0"/>
        <color indexed="9"/>
      </font>
    </dxf>
    <dxf>
      <font>
        <color theme="1" tint="0.24994659260841701"/>
      </font>
    </dxf>
    <dxf>
      <font>
        <color theme="5" tint="0.39994506668294322"/>
      </font>
    </dxf>
    <dxf>
      <font>
        <color theme="0"/>
      </font>
    </dxf>
    <dxf>
      <font>
        <color theme="0"/>
      </font>
    </dxf>
    <dxf>
      <font>
        <color theme="5" tint="0.39994506668294322"/>
      </font>
    </dxf>
    <dxf>
      <font>
        <color theme="1" tint="0.24994659260841701"/>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9" tint="0.79998168889431442"/>
      </font>
    </dxf>
    <dxf>
      <fill>
        <patternFill>
          <bgColor rgb="FF66FF99"/>
        </patternFill>
      </fill>
    </dxf>
    <dxf>
      <font>
        <color theme="0"/>
      </font>
    </dxf>
    <dxf>
      <font>
        <color theme="0"/>
      </font>
    </dxf>
    <dxf>
      <fill>
        <patternFill>
          <bgColor rgb="FF66FF99"/>
        </patternFill>
      </fill>
    </dxf>
    <dxf>
      <font>
        <color theme="0"/>
      </font>
    </dxf>
    <dxf>
      <font>
        <color theme="0"/>
      </font>
    </dxf>
    <dxf>
      <font>
        <color theme="0"/>
      </font>
    </dxf>
    <dxf>
      <font>
        <color theme="9" tint="0.59996337778862885"/>
      </font>
    </dxf>
    <dxf>
      <font>
        <color theme="9" tint="0.59996337778862885"/>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9" tint="0.79998168889431442"/>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0"/>
      </font>
    </dxf>
    <dxf>
      <font>
        <color theme="5" tint="0.39994506668294322"/>
      </font>
    </dxf>
    <dxf>
      <font>
        <color theme="1" tint="0.24994659260841701"/>
      </font>
    </dxf>
    <dxf>
      <font>
        <color theme="9" tint="0.59996337778862885"/>
      </font>
    </dxf>
    <dxf>
      <font>
        <color theme="9" tint="0.59996337778862885"/>
      </font>
    </dxf>
    <dxf>
      <font>
        <color theme="9" tint="0.79998168889431442"/>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5" tint="0.39994506668294322"/>
      </font>
    </dxf>
    <dxf>
      <font>
        <color theme="1" tint="0.24994659260841701"/>
      </font>
    </dxf>
    <dxf>
      <font>
        <color theme="0"/>
      </font>
    </dxf>
    <dxf>
      <fill>
        <patternFill>
          <bgColor rgb="FF66FF99"/>
        </patternFill>
      </fill>
    </dxf>
    <dxf>
      <font>
        <color theme="5" tint="0.39994506668294322"/>
      </font>
    </dxf>
    <dxf>
      <font>
        <color theme="1" tint="0.24994659260841701"/>
      </font>
    </dxf>
    <dxf>
      <font>
        <color theme="9" tint="0.79998168889431442"/>
      </font>
    </dxf>
    <dxf>
      <fill>
        <patternFill>
          <bgColor rgb="FF66FF99"/>
        </patternFill>
      </fill>
    </dxf>
    <dxf>
      <font>
        <color theme="0"/>
      </font>
    </dxf>
    <dxf>
      <font>
        <color theme="0"/>
      </font>
    </dxf>
    <dxf>
      <font>
        <color theme="0"/>
      </font>
    </dxf>
    <dxf>
      <font>
        <color theme="0"/>
      </font>
    </dxf>
    <dxf>
      <font>
        <color theme="0"/>
      </font>
    </dxf>
    <dxf>
      <fill>
        <patternFill>
          <bgColor rgb="FF66FF99"/>
        </patternFill>
      </fill>
    </dxf>
    <dxf>
      <font>
        <color theme="0"/>
      </font>
    </dxf>
    <dxf>
      <font>
        <color theme="9" tint="0.59996337778862885"/>
      </font>
    </dxf>
    <dxf>
      <font>
        <color theme="9" tint="0.59996337778862885"/>
      </font>
    </dxf>
    <dxf>
      <font>
        <color theme="1" tint="0.24994659260841701"/>
      </font>
    </dxf>
    <dxf>
      <font>
        <color theme="5" tint="0.39994506668294322"/>
      </font>
    </dxf>
    <dxf>
      <font>
        <color theme="0"/>
      </font>
    </dxf>
    <dxf>
      <font>
        <color theme="1" tint="0.24994659260841701"/>
      </font>
    </dxf>
    <dxf>
      <font>
        <color theme="5" tint="0.39994506668294322"/>
      </font>
    </dxf>
    <dxf>
      <font>
        <color theme="0"/>
      </font>
    </dxf>
    <dxf>
      <font>
        <color theme="1" tint="0.24994659260841701"/>
      </font>
    </dxf>
    <dxf>
      <font>
        <color theme="1" tint="0.24994659260841701"/>
      </font>
    </dxf>
    <dxf>
      <font>
        <condense val="0"/>
        <extend val="0"/>
        <color indexed="9"/>
      </font>
    </dxf>
    <dxf>
      <font>
        <color theme="9" tint="0.79998168889431442"/>
      </font>
    </dxf>
    <dxf>
      <font>
        <color theme="9" tint="0.59996337778862885"/>
      </font>
    </dxf>
    <dxf>
      <font>
        <color theme="9" tint="0.79998168889431442"/>
      </font>
    </dxf>
    <dxf>
      <font>
        <color theme="9" tint="0.59996337778862885"/>
      </font>
    </dxf>
    <dxf>
      <font>
        <color theme="0"/>
      </font>
    </dxf>
    <dxf>
      <font>
        <color theme="5" tint="0.39994506668294322"/>
      </font>
    </dxf>
    <dxf>
      <font>
        <color theme="1" tint="0.24994659260841701"/>
      </font>
    </dxf>
    <dxf>
      <font>
        <color theme="9" tint="0.79998168889431442"/>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ont>
        <color theme="0"/>
      </font>
    </dxf>
    <dxf>
      <font>
        <color theme="0"/>
      </font>
    </dxf>
    <dxf>
      <font>
        <color theme="0"/>
      </font>
    </dxf>
    <dxf>
      <font>
        <color theme="0"/>
      </font>
    </dxf>
    <dxf>
      <fill>
        <patternFill>
          <bgColor rgb="FF66FF99"/>
        </patternFill>
      </fill>
    </dxf>
    <dxf>
      <font>
        <color theme="0"/>
      </font>
    </dxf>
    <dxf>
      <font>
        <color theme="1" tint="0.24994659260841701"/>
      </font>
    </dxf>
    <dxf>
      <font>
        <color theme="0"/>
      </font>
    </dxf>
    <dxf>
      <font>
        <color theme="9" tint="0.59996337778862885"/>
      </font>
    </dxf>
    <dxf>
      <font>
        <color theme="9" tint="0.599963377788628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9" tint="0.59996337778862885"/>
      </font>
    </dxf>
    <dxf>
      <font>
        <color theme="9" tint="0.59996337778862885"/>
      </font>
    </dxf>
    <dxf>
      <fill>
        <patternFill>
          <bgColor theme="0" tint="-4.9989318521683403E-2"/>
        </patternFill>
      </fill>
      <border>
        <top style="thin">
          <color rgb="FF66FF99"/>
        </top>
        <bottom style="thin">
          <color rgb="FF66FF99"/>
        </bottom>
        <vertical/>
        <horizontal/>
      </border>
    </dxf>
    <dxf>
      <font>
        <color theme="0"/>
      </font>
    </dxf>
    <dxf>
      <font>
        <color theme="0"/>
      </font>
    </dxf>
    <dxf>
      <font>
        <color theme="0"/>
      </font>
    </dxf>
    <dxf>
      <font>
        <color theme="0"/>
      </font>
    </dxf>
    <dxf>
      <font>
        <color theme="0"/>
      </font>
    </dxf>
    <dxf>
      <font>
        <color theme="0"/>
      </font>
    </dxf>
    <dxf>
      <fill>
        <patternFill>
          <bgColor rgb="FF66FF99"/>
        </patternFill>
      </fill>
    </dxf>
    <dxf>
      <border>
        <top style="thin">
          <color rgb="FF66FF99"/>
        </top>
        <bottom style="thin">
          <color rgb="FF66FF99"/>
        </bottom>
        <vertical/>
        <horizontal/>
      </border>
    </dxf>
    <dxf>
      <font>
        <color theme="0"/>
      </font>
    </dxf>
    <dxf>
      <font>
        <color theme="1" tint="0.24994659260841701"/>
      </font>
    </dxf>
    <dxf>
      <font>
        <color theme="1" tint="0.24994659260841701"/>
      </font>
    </dxf>
    <dxf>
      <font>
        <color theme="9" tint="0.59996337778862885"/>
      </font>
    </dxf>
    <dxf>
      <font>
        <color theme="9" tint="0.59996337778862885"/>
      </font>
    </dxf>
    <dxf>
      <font>
        <color theme="1" tint="0.24994659260841701"/>
      </font>
    </dxf>
    <dxf>
      <font>
        <color theme="5" tint="0.39994506668294322"/>
      </font>
    </dxf>
    <dxf>
      <font>
        <color theme="0"/>
      </font>
    </dxf>
    <dxf>
      <font>
        <color theme="9" tint="0.79998168889431442"/>
      </font>
    </dxf>
    <dxf>
      <font>
        <color theme="9" tint="0.59996337778862885"/>
      </font>
    </dxf>
    <dxf>
      <font>
        <color theme="9" tint="0.59996337778862885"/>
      </font>
    </dxf>
    <dxf>
      <font>
        <color theme="9" tint="0.59996337778862885"/>
      </font>
    </dxf>
    <dxf>
      <font>
        <color theme="0"/>
      </font>
    </dxf>
    <dxf>
      <font>
        <color theme="5" tint="0.39994506668294322"/>
      </font>
    </dxf>
    <dxf>
      <font>
        <color theme="1" tint="0.24994659260841701"/>
      </font>
    </dxf>
    <dxf>
      <font>
        <color theme="9" tint="0.79998168889431442"/>
      </font>
    </dxf>
    <dxf>
      <font>
        <color theme="9" tint="0.79998168889431442"/>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9" tint="0.59996337778862885"/>
      </font>
    </dxf>
    <dxf>
      <font>
        <color theme="9" tint="0.79998168889431442"/>
      </font>
    </dxf>
    <dxf>
      <font>
        <color theme="9" tint="0.59996337778862885"/>
      </font>
    </dxf>
    <dxf>
      <font>
        <color theme="9" tint="0.79998168889431442"/>
      </font>
    </dxf>
    <dxf>
      <font>
        <color theme="9" tint="0.79998168889431442"/>
      </font>
    </dxf>
    <dxf>
      <font>
        <color theme="9" tint="0.59996337778862885"/>
      </font>
    </dxf>
    <dxf>
      <font>
        <color theme="0"/>
      </font>
    </dxf>
    <dxf>
      <font>
        <color theme="0"/>
      </font>
    </dxf>
    <dxf>
      <font>
        <color theme="0"/>
      </font>
    </dxf>
    <dxf>
      <font>
        <color theme="0"/>
      </font>
    </dxf>
    <dxf>
      <font>
        <color theme="5" tint="0.39994506668294322"/>
      </font>
    </dxf>
    <dxf>
      <fill>
        <patternFill>
          <bgColor rgb="FF66FF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66FF99"/>
        </patternFill>
      </fill>
    </dxf>
    <dxf>
      <fill>
        <patternFill>
          <bgColor rgb="FF66FF99"/>
        </patternFill>
      </fill>
    </dxf>
    <dxf>
      <font>
        <color theme="0"/>
      </font>
    </dxf>
    <dxf>
      <font>
        <b/>
        <i val="0"/>
      </font>
      <fill>
        <patternFill>
          <bgColor indexed="42"/>
        </patternFill>
      </fill>
    </dxf>
    <dxf>
      <font>
        <color theme="0"/>
      </font>
    </dxf>
    <dxf>
      <font>
        <condense val="0"/>
        <extend val="0"/>
        <color indexed="9"/>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9" tint="0.59996337778862885"/>
      </font>
    </dxf>
    <dxf>
      <font>
        <color theme="0"/>
      </font>
    </dxf>
    <dxf>
      <font>
        <color theme="0"/>
      </font>
    </dxf>
    <dxf>
      <font>
        <b val="0"/>
        <i val="0"/>
        <color auto="1"/>
      </font>
      <fill>
        <patternFill>
          <bgColor rgb="FF66FF99"/>
        </patternFill>
      </fill>
    </dxf>
    <dxf>
      <font>
        <color theme="9" tint="0.59996337778862885"/>
      </font>
    </dxf>
    <dxf>
      <font>
        <color theme="9" tint="0.59996337778862885"/>
      </font>
    </dxf>
    <dxf>
      <font>
        <b/>
        <i val="0"/>
      </font>
      <fill>
        <patternFill>
          <bgColor indexed="42"/>
        </patternFill>
      </fill>
    </dxf>
    <dxf>
      <font>
        <b val="0"/>
        <i val="0"/>
        <color auto="1"/>
      </font>
      <fill>
        <patternFill>
          <bgColor rgb="FF66FF99"/>
        </patternFill>
      </fill>
    </dxf>
    <dxf>
      <font>
        <color theme="9" tint="0.59996337778862885"/>
      </font>
    </dxf>
    <dxf>
      <font>
        <color theme="9" tint="0.59996337778862885"/>
      </font>
    </dxf>
    <dxf>
      <font>
        <color theme="9" tint="0.59996337778862885"/>
      </font>
    </dxf>
    <dxf>
      <font>
        <color theme="9" tint="0.59996337778862885"/>
      </font>
    </dxf>
    <dxf>
      <font>
        <color theme="0"/>
      </font>
    </dxf>
    <dxf>
      <font>
        <color theme="0"/>
      </font>
    </dxf>
    <dxf>
      <font>
        <color theme="0"/>
      </font>
    </dxf>
    <dxf>
      <font>
        <color theme="0"/>
      </font>
    </dxf>
    <dxf>
      <font>
        <b val="0"/>
        <i val="0"/>
      </font>
      <fill>
        <patternFill>
          <bgColor rgb="FF66FF99"/>
        </patternFill>
      </fill>
    </dxf>
    <dxf>
      <border>
        <top style="thin">
          <color rgb="FF66FF99"/>
        </top>
        <bottom style="thin">
          <color rgb="FF66FF99"/>
        </bottom>
        <vertical/>
        <horizontal/>
      </border>
    </dxf>
    <dxf>
      <fill>
        <patternFill>
          <bgColor rgb="FF66FF99"/>
        </patternFill>
      </fill>
    </dxf>
    <dxf>
      <font>
        <b/>
        <i val="0"/>
      </font>
      <border>
        <left style="thin">
          <color rgb="FF66FF99"/>
        </left>
        <right style="thin">
          <color rgb="FF66FF99"/>
        </right>
        <vertical/>
        <horizontal/>
      </border>
    </dxf>
    <dxf>
      <fill>
        <patternFill>
          <fgColor auto="1"/>
          <bgColor rgb="FF00FF99"/>
        </patternFill>
      </fill>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ill>
        <patternFill>
          <bgColor theme="5"/>
        </patternFill>
      </fill>
    </dxf>
    <dxf>
      <fill>
        <patternFill>
          <bgColor rgb="FF66FF99"/>
        </patternFill>
      </fill>
    </dxf>
    <dxf>
      <font>
        <color theme="0"/>
      </font>
    </dxf>
    <dxf>
      <font>
        <color theme="0"/>
      </font>
    </dxf>
    <dxf>
      <fill>
        <patternFill>
          <bgColor theme="5"/>
        </patternFill>
      </fill>
    </dxf>
    <dxf>
      <fill>
        <patternFill>
          <bgColor rgb="FF66FF99"/>
        </patternFill>
      </fill>
    </dxf>
    <dxf>
      <font>
        <color theme="0"/>
      </font>
    </dxf>
    <dxf>
      <font>
        <color theme="0"/>
      </font>
    </dxf>
    <dxf>
      <fill>
        <patternFill>
          <bgColor theme="5"/>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i val="0"/>
      </font>
      <fill>
        <patternFill>
          <bgColor indexed="42"/>
        </patternFill>
      </fill>
    </dxf>
    <dxf>
      <font>
        <b val="0"/>
        <i val="0"/>
        <color auto="1"/>
      </font>
      <fill>
        <patternFill>
          <bgColor rgb="FF66FF99"/>
        </patternFill>
      </fill>
    </dxf>
    <dxf>
      <font>
        <b val="0"/>
        <i val="0"/>
        <color auto="1"/>
      </font>
      <fill>
        <patternFill>
          <bgColor rgb="FF66FF99"/>
        </patternFill>
      </fill>
    </dxf>
    <dxf>
      <font>
        <b/>
        <i val="0"/>
      </font>
      <fill>
        <patternFill>
          <bgColor indexed="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6FEB8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5F5F5"/>
      <rgbColor rgb="00CCFFFF"/>
      <rgbColor rgb="00F16A05"/>
      <rgbColor rgb="00F04242"/>
      <rgbColor rgb="00BF4900"/>
      <rgbColor rgb="00FB994F"/>
      <rgbColor rgb="00000080"/>
      <rgbColor rgb="009B4719"/>
      <rgbColor rgb="00FFFF00"/>
      <rgbColor rgb="0000FFFF"/>
      <rgbColor rgb="00800080"/>
      <rgbColor rgb="00BA1400"/>
      <rgbColor rgb="00008080"/>
      <rgbColor rgb="00C851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99"/>
      <color rgb="FFBA1400"/>
      <color rgb="FFECF2FA"/>
      <color rgb="FFFBFBFB"/>
      <color rgb="FF3C8AA6"/>
      <color rgb="FF3D7BA9"/>
      <color rgb="FF32648A"/>
      <color rgb="FF214F87"/>
      <color rgb="FF4D7FBB"/>
      <color rgb="FF009B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06/relationships/vbaProject" Target="vbaProject.bin"/><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 Id="rId8" Type="http://schemas.openxmlformats.org/officeDocument/2006/relationships/worksheet" Target="worksheets/sheet8.xml"/></Relationships>
</file>

<file path=xl/charts/_rels/chart103.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07.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14.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116.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120.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122.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1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129.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48.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52.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5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61.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63.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65.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67.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86.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88.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96.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98.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IDACI 2019</a:t>
            </a:r>
          </a:p>
        </c:rich>
      </c:tx>
      <c:layout>
        <c:manualLayout>
          <c:xMode val="edge"/>
          <c:yMode val="edge"/>
          <c:x val="0.43082700099380783"/>
          <c:y val="2.2758155230596176E-2"/>
        </c:manualLayout>
      </c:layout>
      <c:overlay val="0"/>
      <c:spPr>
        <a:noFill/>
        <a:ln w="25400">
          <a:noFill/>
        </a:ln>
      </c:spPr>
    </c:title>
    <c:autoTitleDeleted val="0"/>
    <c:plotArea>
      <c:layout>
        <c:manualLayout>
          <c:layoutTarget val="inner"/>
          <c:xMode val="edge"/>
          <c:yMode val="edge"/>
          <c:x val="6.8866012241828409E-2"/>
          <c:y val="8.493502597889549E-2"/>
          <c:w val="0.90222275346511482"/>
          <c:h val="0.64850779366864852"/>
        </c:manualLayout>
      </c:layout>
      <c:barChart>
        <c:barDir val="col"/>
        <c:grouping val="clustered"/>
        <c:varyColors val="0"/>
        <c:ser>
          <c:idx val="2"/>
          <c:order val="0"/>
          <c:tx>
            <c:strRef>
              <c:f>IDACI!$C$8</c:f>
              <c:strCache>
                <c:ptCount val="1"/>
                <c:pt idx="0">
                  <c:v>IDACI 2019</c:v>
                </c:pt>
              </c:strCache>
            </c:strRef>
          </c:tx>
          <c:spPr>
            <a:solidFill>
              <a:srgbClr val="FB994F"/>
            </a:solidFill>
            <a:ln w="25400">
              <a:noFill/>
            </a:ln>
          </c:spPr>
          <c:invertIfNegative val="0"/>
          <c:dPt>
            <c:idx val="22"/>
            <c:invertIfNegative val="0"/>
            <c:bubble3D val="0"/>
            <c:spPr>
              <a:solidFill>
                <a:srgbClr val="C00000"/>
              </a:solidFill>
              <a:ln w="25400">
                <a:noFill/>
              </a:ln>
            </c:spPr>
            <c:extLst>
              <c:ext xmlns:c16="http://schemas.microsoft.com/office/drawing/2014/chart" uri="{C3380CC4-5D6E-409C-BE32-E72D297353CC}">
                <c16:uniqueId val="{00000001-50E7-4A76-A9C3-8583C535D605}"/>
              </c:ext>
            </c:extLst>
          </c:dPt>
          <c:dPt>
            <c:idx val="23"/>
            <c:invertIfNegative val="0"/>
            <c:bubble3D val="0"/>
            <c:spPr>
              <a:solidFill>
                <a:schemeClr val="tx1">
                  <a:lumMod val="75000"/>
                  <a:lumOff val="25000"/>
                </a:schemeClr>
              </a:solidFill>
              <a:ln w="25400">
                <a:noFill/>
              </a:ln>
            </c:spPr>
            <c:extLst>
              <c:ext xmlns:c16="http://schemas.microsoft.com/office/drawing/2014/chart" uri="{C3380CC4-5D6E-409C-BE32-E72D297353CC}">
                <c16:uniqueId val="{00000003-50E7-4A76-A9C3-8583C535D605}"/>
              </c:ext>
            </c:extLst>
          </c:dPt>
          <c:cat>
            <c:strRef>
              <c:f>IDACI!$B$9:$B$32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IDACI!$C$9:$C$32</c:f>
              <c:numCache>
                <c:formatCode>0.0</c:formatCode>
                <c:ptCount val="24"/>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13.600000000000001</c:v>
                </c:pt>
                <c:pt idx="14">
                  <c:v>20.5</c:v>
                </c:pt>
                <c:pt idx="15">
                  <c:v>8.3000000000000007</c:v>
                </c:pt>
                <c:pt idx="16">
                  <c:v>14.899999999999999</c:v>
                </c:pt>
                <c:pt idx="17">
                  <c:v>21.9</c:v>
                </c:pt>
                <c:pt idx="18">
                  <c:v>8.6999999999999993</c:v>
                </c:pt>
                <c:pt idx="19">
                  <c:v>11</c:v>
                </c:pt>
                <c:pt idx="20">
                  <c:v>6.7</c:v>
                </c:pt>
                <c:pt idx="21">
                  <c:v>5.6000000000000005</c:v>
                </c:pt>
                <c:pt idx="22">
                  <c:v>12.371268250968637</c:v>
                </c:pt>
                <c:pt idx="23">
                  <c:v>17.084413405029373</c:v>
                </c:pt>
              </c:numCache>
            </c:numRef>
          </c:val>
          <c:extLst>
            <c:ext xmlns:c16="http://schemas.microsoft.com/office/drawing/2014/chart" uri="{C3380CC4-5D6E-409C-BE32-E72D297353CC}">
              <c16:uniqueId val="{00000004-50E7-4A76-A9C3-8583C535D605}"/>
            </c:ext>
          </c:extLst>
        </c:ser>
        <c:ser>
          <c:idx val="0"/>
          <c:order val="1"/>
          <c:tx>
            <c:strRef>
              <c:f>IDACI!$T$5</c:f>
              <c:strCache>
                <c:ptCount val="1"/>
                <c:pt idx="0">
                  <c:v>(none)</c:v>
                </c:pt>
              </c:strCache>
            </c:strRef>
          </c:tx>
          <c:spPr>
            <a:solidFill>
              <a:srgbClr val="66FF99"/>
            </a:solidFill>
            <a:ln w="12700">
              <a:solidFill>
                <a:schemeClr val="tx1">
                  <a:lumMod val="75000"/>
                  <a:lumOff val="25000"/>
                </a:schemeClr>
              </a:solidFill>
              <a:prstDash val="solid"/>
            </a:ln>
          </c:spPr>
          <c:invertIfNegative val="0"/>
          <c:cat>
            <c:strRef>
              <c:f>IDACI!$B$9:$B$32</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IDACI!$U$9:$U$31</c:f>
              <c:numCache>
                <c:formatCode>General</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extLst>
            <c:ext xmlns:c16="http://schemas.microsoft.com/office/drawing/2014/chart" uri="{C3380CC4-5D6E-409C-BE32-E72D297353CC}">
              <c16:uniqueId val="{00000005-50E7-4A76-A9C3-8583C535D605}"/>
            </c:ext>
          </c:extLst>
        </c:ser>
        <c:dLbls>
          <c:showLegendKey val="0"/>
          <c:showVal val="0"/>
          <c:showCatName val="0"/>
          <c:showSerName val="0"/>
          <c:showPercent val="0"/>
          <c:showBubbleSize val="0"/>
        </c:dLbls>
        <c:gapWidth val="40"/>
        <c:overlap val="100"/>
        <c:axId val="151909120"/>
        <c:axId val="157796992"/>
      </c:barChart>
      <c:catAx>
        <c:axId val="151909120"/>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157796992"/>
        <c:crossesAt val="0"/>
        <c:auto val="1"/>
        <c:lblAlgn val="ctr"/>
        <c:lblOffset val="100"/>
        <c:noMultiLvlLbl val="0"/>
      </c:catAx>
      <c:valAx>
        <c:axId val="15779699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51909120"/>
        <c:crosses val="autoZero"/>
        <c:crossBetween val="between"/>
      </c:valAx>
      <c:spPr>
        <a:noFill/>
        <a:ln w="12700">
          <a:solidFill>
            <a:schemeClr val="tx1"/>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vs. IDACI</a:t>
            </a:r>
          </a:p>
        </c:rich>
      </c:tx>
      <c:layout>
        <c:manualLayout>
          <c:xMode val="edge"/>
          <c:yMode val="edge"/>
          <c:x val="0.30681180237085748"/>
          <c:y val="3.6125690638901996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Referrals!$Y$41</c:f>
              <c:strCache>
                <c:ptCount val="1"/>
                <c:pt idx="0">
                  <c:v>South East LA Trend</c:v>
                </c:pt>
              </c:strCache>
            </c:strRef>
          </c:tx>
          <c:spPr>
            <a:ln w="15875">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86E4-4156-8352-35D000CD083F}"/>
                </c:ext>
              </c:extLst>
            </c:dLbl>
            <c:dLbl>
              <c:idx val="1"/>
              <c:layout>
                <c:manualLayout>
                  <c:x val="-8.0996884735202487E-2"/>
                  <c:y val="-2.3809518229865431E-2"/>
                </c:manualLayout>
              </c:layout>
              <c:tx>
                <c:strRef>
                  <c:f>Referrals!$AD$42</c:f>
                  <c:strCache>
                    <c:ptCount val="1"/>
                    <c:pt idx="0">
                      <c:v>r² = 0.123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{F83C6138-22F5-46AD-BAA4-8F1B3615F265}</c15:txfldGUID>
                      <c15:f>Referrals!$AD$42</c15:f>
                      <c15:dlblFieldTableCache>
                        <c:ptCount val="1"/>
                        <c:pt idx="0">
                          <c:v>r² = 0.123</c:v>
                        </c:pt>
                      </c15:dlblFieldTableCache>
                    </c15:dlblFTEntry>
                  </c15:dlblFieldTable>
                  <c15:showDataLabelsRange val="0"/>
                </c:ext>
                <c:ext xmlns:c16="http://schemas.microsoft.com/office/drawing/2014/chart" uri="{C3380CC4-5D6E-409C-BE32-E72D297353CC}">
                  <c16:uniqueId val="{00000001-86E4-4156-8352-35D000CD083F}"/>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Referrals!$AB$41:$AB$42</c:f>
              <c:numCache>
                <c:formatCode>General</c:formatCode>
                <c:ptCount val="2"/>
                <c:pt idx="0" formatCode="#,##0.0">
                  <c:v>5</c:v>
                </c:pt>
                <c:pt idx="1">
                  <c:v>35</c:v>
                </c:pt>
              </c:numCache>
            </c:numRef>
          </c:xVal>
          <c:yVal>
            <c:numRef>
              <c:f>Referrals!$AC$41:$AC$42</c:f>
              <c:numCache>
                <c:formatCode>0.0</c:formatCode>
                <c:ptCount val="2"/>
                <c:pt idx="0">
                  <c:v>464.12322886167107</c:v>
                </c:pt>
                <c:pt idx="1">
                  <c:v>820.4780534523502</c:v>
                </c:pt>
              </c:numCache>
            </c:numRef>
          </c:yVal>
          <c:smooth val="1"/>
          <c:extLst>
            <c:ext xmlns:c16="http://schemas.microsoft.com/office/drawing/2014/chart" uri="{C3380CC4-5D6E-409C-BE32-E72D297353CC}">
              <c16:uniqueId val="{00000002-86E4-4156-8352-35D000CD083F}"/>
            </c:ext>
          </c:extLst>
        </c:ser>
        <c:dLbls>
          <c:showLegendKey val="0"/>
          <c:showVal val="0"/>
          <c:showCatName val="0"/>
          <c:showSerName val="0"/>
          <c:showPercent val="0"/>
          <c:showBubbleSize val="0"/>
        </c:dLbls>
        <c:axId val="588401664"/>
        <c:axId val="588429568"/>
      </c:scatterChart>
      <c:scatterChart>
        <c:scatterStyle val="lineMarker"/>
        <c:varyColors val="0"/>
        <c:ser>
          <c:idx val="0"/>
          <c:order val="0"/>
          <c:tx>
            <c:strRef>
              <c:f>Referrals!$AR$38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86E4-4156-8352-35D000CD083F}"/>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{9F86CF1C-5E90-40DB-8418-C82E46B22F3A}</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86E4-4156-8352-35D000CD083F}"/>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{D73C24B7-70E6-44CB-876D-650887F06734}</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86E4-4156-8352-35D000CD083F}"/>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{18249077-3566-4673-95C6-C0907494D4B1}</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86E4-4156-8352-35D000CD083F}"/>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{14018BDD-EC76-4372-AA9D-5C4CCC960CFB}</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86E4-4156-8352-35D000CD083F}"/>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{55222761-F29D-4883-84B0-EAA093035E15}</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86E4-4156-8352-35D000CD083F}"/>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{5B455BC1-540B-467F-A581-36A8714C29B3}</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86E4-4156-8352-35D000CD083F}"/>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{10F0EE82-07BE-4355-A1C1-CBF8D763F8EF}</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86E4-4156-8352-35D000CD083F}"/>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{A0681163-944A-403D-A214-2F775DD1F085}</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86E4-4156-8352-35D000CD083F}"/>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{C5FA23BD-C079-4FC8-B967-922B35D050DD}</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86E4-4156-8352-35D000CD083F}"/>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{D8722C9E-8A5B-44DF-B412-C1DE2915EB04}</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86E4-4156-8352-35D000CD083F}"/>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{EE7BEF2B-5060-4509-903D-F28FE8083144}</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86E4-4156-8352-35D000CD083F}"/>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{0B35970A-B56C-4319-A180-1E4BE353CC1E}</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86E4-4156-8352-35D000CD083F}"/>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{DFA8F7F9-D3AC-498C-A3FC-2AA89EA29C6F}</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86E4-4156-8352-35D000CD083F}"/>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{D641472A-4F0D-4E8F-9599-8676216A8551}</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86E4-4156-8352-35D000CD083F}"/>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{84055458-9A0E-4568-8BEF-1A87C94FFD3F}</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86E4-4156-8352-35D000CD083F}"/>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{BCEA5D91-F974-428F-B990-AEA27C1623E0}</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86E4-4156-8352-35D000CD083F}"/>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{7C10759D-8658-47C4-B561-C712184BFABF}</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86E4-4156-8352-35D000CD083F}"/>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{8A0967EE-B1F5-40E1-8ECC-BDA0246E6F60}</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86E4-4156-8352-35D000CD083F}"/>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{2A5ECA5E-A097-451F-BF51-EBDB8BEF960E}</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86E4-4156-8352-35D000CD083F}"/>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(Referrals!$AR$41:$AR$53,Referrals!$AR$55:$AR$56,Referrals!$AR$59:$AR$62)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(Referrals!$AQ$41:$AQ$53,Referrals!$AQ$55:$AQ$56,Referrals!$AQ$59:$AQ$62)</c:f>
              <c:numCache>
                <c:formatCode>0.0</c:formatCode>
                <c:ptCount val="19"/>
                <c:pt idx="0">
                  <c:v>791.51943462897532</c:v>
                </c:pt>
                <c:pt idx="1">
                  <c:v>635.0980392156863</c:v>
                </c:pt>
                <c:pt idx="2">
                  <c:v>614.64199517296868</c:v>
                </c:pt>
                <c:pt idx="3">
                  <c:v>405.54511278195491</c:v>
                </c:pt>
                <c:pt idx="4">
                  <c:v>648.16901408450701</c:v>
                </c:pt>
                <c:pt idx="5">
                  <c:v>973.49397590361446</c:v>
                </c:pt>
                <c:pt idx="6">
                  <c:v>537.57718318141724</c:v>
                </c:pt>
                <c:pt idx="7">
                  <c:v>625</c:v>
                </c:pt>
                <c:pt idx="8">
                  <c:v>397.80380673499269</c:v>
                </c:pt>
                <c:pt idx="9">
                  <c:v>468.16298342541438</c:v>
                </c:pt>
                <c:pt idx="10">
                  <c:v>646.36363636363626</c:v>
                </c:pt>
                <c:pt idx="11">
                  <c:v>738.27493261455527</c:v>
                </c:pt>
                <c:pt idx="12">
                  <c:v>464.87119437939111</c:v>
                </c:pt>
                <c:pt idx="13">
                  <c:v>511.41732283464569</c:v>
                </c:pt>
                <c:pt idx="14">
                  <c:v>406.07101947308132</c:v>
                </c:pt>
                <c:pt idx="15">
                  <c:v>473.59550561797755</c:v>
                </c:pt>
                <c:pt idx="16">
                  <c:v>543.21694333142534</c:v>
                </c:pt>
                <c:pt idx="17">
                  <c:v>328.03468208092482</c:v>
                </c:pt>
                <c:pt idx="18">
                  <c:v>431.64556962025313</c:v>
                </c:pt>
              </c:numCache>
            </c:numRef>
          </c:yVal>
          <c:smooth val="0"/>
          <c:extLst>
            <c:ext xmlns:c16="http://schemas.microsoft.com/office/drawing/2014/chart" uri="{C3380CC4-5D6E-409C-BE32-E72D297353CC}">
              <c16:uniqueId val="{00000017-86E4-4156-8352-35D000CD083F}"/>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86E4-4156-8352-35D000CD083F}"/>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{6891F93A-BE38-44C4-B893-4B1D47F7EF62}</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86E4-4156-8352-35D000CD083F}"/>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{BED3DCAE-FBFA-4648-9E22-4F690E5D8D04}</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86E4-4156-8352-35D000CD083F}"/>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{A24D1159-B800-4D73-991A-7349857A353F}</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86E4-4156-8352-35D000CD083F}"/>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(Referrals!$AR$54,Referrals!$AR$57:$AR$58)</c:f>
              <c:numCache>
                <c:formatCode>0.0</c:formatCode>
                <c:ptCount val="3"/>
                <c:pt idx="0">
                  <c:v>13.600000000000001</c:v>
                </c:pt>
                <c:pt idx="1">
                  <c:v>14.899999999999999</c:v>
                </c:pt>
                <c:pt idx="2">
                  <c:v>21.9</c:v>
                </c:pt>
              </c:numCache>
            </c:numRef>
          </c:xVal>
          <c:yVal>
            <c:numRef>
              <c:f>(Referrals!$AQ$54,Referrals!$AQ$57:$AQ$58)</c:f>
              <c:numCache>
                <c:formatCode>0.0</c:formatCode>
                <c:ptCount val="3"/>
                <c:pt idx="0">
                  <c:v>345.98012646793137</c:v>
                </c:pt>
                <c:pt idx="1">
                  <c:v>645.81673306772905</c:v>
                </c:pt>
                <c:pt idx="2">
                  <c:v>695.27559055118104</c:v>
                </c:pt>
              </c:numCache>
            </c:numRef>
          </c:yVal>
          <c:smooth val="0"/>
          <c:extLst>
            <c:ext xmlns:c16="http://schemas.microsoft.com/office/drawing/2014/chart" uri="{C3380CC4-5D6E-409C-BE32-E72D297353CC}">
              <c16:uniqueId val="{0000001B-86E4-4156-8352-35D000CD083F}"/>
            </c:ext>
          </c:extLst>
        </c:ser>
        <c:ser>
          <c:idx val="1"/>
          <c:order val="2"/>
          <c:tx>
            <c:strRef>
              <c:f>Referrals!$AA$4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Referrals!$AR$65</c:f>
              <c:numCache>
                <c:formatCode>0.0</c:formatCode>
                <c:ptCount val="1"/>
                <c:pt idx="0">
                  <c:v>#N/A</c:v>
                </c:pt>
              </c:numCache>
            </c:numRef>
          </c:xVal>
          <c:yVal>
            <c:numRef>
              <c:f>Referrals!$AQ$65</c:f>
              <c:numCache>
                <c:formatCode>0.0</c:formatCode>
                <c:ptCount val="1"/>
                <c:pt idx="0">
                  <c:v>#N/A</c:v>
                </c:pt>
              </c:numCache>
            </c:numRef>
          </c:yVal>
          <c:smooth val="0"/>
          <c:extLst>
            <c:ext xmlns:c16="http://schemas.microsoft.com/office/drawing/2014/chart" uri="{C3380CC4-5D6E-409C-BE32-E72D297353CC}">
              <c16:uniqueId val="{0000001C-86E4-4156-8352-35D000CD083F}"/>
            </c:ext>
          </c:extLst>
        </c:ser>
        <c:ser>
          <c:idx val="4"/>
          <c:order val="3"/>
          <c:tx>
            <c:strRef>
              <c:f>Referrals!$B$32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Referrals!$S$32</c:f>
              <c:numCache>
                <c:formatCode>0.0</c:formatCode>
                <c:ptCount val="1"/>
                <c:pt idx="0">
                  <c:v>12.371268250968637</c:v>
                </c:pt>
              </c:numCache>
            </c:numRef>
          </c:xVal>
          <c:yVal>
            <c:numRef>
              <c:f>Referrals!$O$32</c:f>
              <c:numCache>
                <c:formatCode>0.0</c:formatCode>
                <c:ptCount val="1"/>
                <c:pt idx="0">
                  <c:v>535.86390109328704</c:v>
                </c:pt>
              </c:numCache>
            </c:numRef>
          </c:yVal>
          <c:smooth val="0"/>
          <c:extLst>
            <c:ext xmlns:c16="http://schemas.microsoft.com/office/drawing/2014/chart" uri="{C3380CC4-5D6E-409C-BE32-E72D297353CC}">
              <c16:uniqueId val="{0000001D-86E4-4156-8352-35D000CD083F}"/>
            </c:ext>
          </c:extLst>
        </c:ser>
        <c:ser>
          <c:idx val="2"/>
          <c:order val="5"/>
          <c:tx>
            <c:strRef>
              <c:f>Referrals!$Y$43</c:f>
              <c:strCache>
                <c:ptCount val="1"/>
                <c:pt idx="0">
                  <c:v>National Trend 2019</c:v>
                </c:pt>
              </c:strCache>
            </c:strRef>
          </c:tx>
          <c:spPr>
            <a:ln w="15875">
              <a:solidFill>
                <a:schemeClr val="tx1">
                  <a:lumMod val="75000"/>
                  <a:lumOff val="25000"/>
                </a:schemeClr>
              </a:solidFill>
            </a:ln>
          </c:spPr>
          <c:marker>
            <c:symbol val="none"/>
          </c:marker>
          <c:dLbls>
            <c:dLbl>
              <c:idx val="1"/>
              <c:layout>
                <c:manualLayout>
                  <c:x val="-5.8479532163742583E-2"/>
                  <c:y val="5.1282039101189038E-2"/>
                </c:manualLayout>
              </c:layout>
              <c:tx>
                <c:strRef>
                  <c:f>Referrals!$AD$43</c:f>
                  <c:strCache>
                    <c:ptCount val="1"/>
                    <c:pt idx="0">
                      <c:v>r² = 0.312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{20597AF2-8C0E-4F46-B3B2-9C816167F89A}</c15:txfldGUID>
                      <c15:f>Referrals!$AD$43</c15:f>
                      <c15:dlblFieldTableCache>
                        <c:ptCount val="1"/>
                        <c:pt idx="0">
                          <c:v>r² = 0.312</c:v>
                        </c:pt>
                      </c15:dlblFieldTableCache>
                    </c15:dlblFTEntry>
                  </c15:dlblFieldTable>
                  <c15:showDataLabelsRange val="0"/>
                </c:ext>
                <c:ext xmlns:c16="http://schemas.microsoft.com/office/drawing/2014/chart" uri="{C3380CC4-5D6E-409C-BE32-E72D297353CC}">
                  <c16:uniqueId val="{0000001E-86E4-4156-8352-35D000CD083F}"/>
                </c:ext>
              </c:extLst>
            </c:dLbl>
            <c:spPr>
              <a:noFill/>
              <a:ln>
                <a:noFill/>
              </a:ln>
              <a:effectLst/>
            </c:spPr>
            <c:txPr>
              <a:bodyPr/>
              <a:lstStyle/>
              <a:p>
                <a:pPr>
                  <a:defRPr sz="900"/>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Referrals!$AB$43:$AB$44</c:f>
              <c:numCache>
                <c:formatCode>General</c:formatCode>
                <c:ptCount val="2"/>
                <c:pt idx="0" formatCode="#,##0.0">
                  <c:v>5</c:v>
                </c:pt>
                <c:pt idx="1">
                  <c:v>35</c:v>
                </c:pt>
              </c:numCache>
            </c:numRef>
          </c:xVal>
          <c:yVal>
            <c:numRef>
              <c:f>Referrals!$AC$43:$AC$44</c:f>
              <c:numCache>
                <c:formatCode>0.0</c:formatCode>
                <c:ptCount val="2"/>
                <c:pt idx="0">
                  <c:v>352.40287787765703</c:v>
                </c:pt>
                <c:pt idx="1">
                  <c:v>844.56772416498529</c:v>
                </c:pt>
              </c:numCache>
            </c:numRef>
          </c:yVal>
          <c:smooth val="0"/>
          <c:extLst>
            <c:ext xmlns:c16="http://schemas.microsoft.com/office/drawing/2014/chart" uri="{C3380CC4-5D6E-409C-BE32-E72D297353CC}">
              <c16:uniqueId val="{0000001F-86E4-4156-8352-35D000CD083F}"/>
            </c:ext>
          </c:extLst>
        </c:ser>
        <c:dLbls>
          <c:showLegendKey val="0"/>
          <c:showVal val="0"/>
          <c:showCatName val="0"/>
          <c:showSerName val="0"/>
          <c:showPercent val="0"/>
          <c:showBubbleSize val="0"/>
        </c:dLbls>
        <c:axId val="588401664"/>
        <c:axId val="588429568"/>
      </c:scatterChart>
      <c:valAx>
        <c:axId val="58840166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429568"/>
        <c:crosses val="autoZero"/>
        <c:crossBetween val="midCat"/>
        <c:majorUnit val="5"/>
      </c:valAx>
      <c:valAx>
        <c:axId val="58842956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8840166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a:t>
            </a:r>
            <a:r>
              <a:rPr lang="en-GB" baseline="0"/>
              <a:t> </a:t>
            </a:r>
            <a:r>
              <a:rPr lang="en-GB"/>
              <a:t>vs. IDACI</a:t>
            </a:r>
          </a:p>
        </c:rich>
      </c:tx>
      <c:layout>
        <c:manualLayout>
          <c:xMode val="edge"/>
          <c:yMode val="edge"/>
          <c:x val="0.19838689394594905"/>
          <c:y val="3.612593674659445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'Looked After Children'!$AR$38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4553-4AA4-B2D2-B3545E1782FF}"/>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{05E4A588-727F-4DEE-AAD3-010C9EEFF8A9}</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4553-4AA4-B2D2-B3545E1782FF}"/>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{E117C3F3-C6AA-4134-8392-CA59E4BF4450}</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4553-4AA4-B2D2-B3545E1782FF}"/>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{11595F76-C579-4989-94BB-62C9D57D2486}</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4553-4AA4-B2D2-B3545E1782FF}"/>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{C78F6E5B-2FBC-4377-8678-B332E4C65A4F}</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4553-4AA4-B2D2-B3545E1782FF}"/>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{43474747-35B8-48EB-981E-32C699308B79}</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4553-4AA4-B2D2-B3545E1782FF}"/>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{149010FA-6869-4728-A126-35D57926064D}</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4553-4AA4-B2D2-B3545E1782FF}"/>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{9EA92343-0C35-4D35-AD01-F0A42AA9D503}</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4553-4AA4-B2D2-B3545E1782FF}"/>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{0FC05C63-F210-4035-9E80-C80E95B116EF}</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4553-4AA4-B2D2-B3545E1782FF}"/>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{77B91BF1-ED11-4FA6-8A44-4BCA92F31DDB}</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4553-4AA4-B2D2-B3545E1782FF}"/>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{960596FB-4F8A-43A3-8B94-D86F70F093CB}</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4553-4AA4-B2D2-B3545E1782FF}"/>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{DC5EF66F-CCED-45F4-ADE6-4810A0454AD5}</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4553-4AA4-B2D2-B3545E1782FF}"/>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{714741F2-45AA-432F-A742-597040518321}</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4553-4AA4-B2D2-B3545E1782FF}"/>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{139D1A16-86A3-4C17-98E8-017B740BD4C5}</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4553-4AA4-B2D2-B3545E1782FF}"/>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{E252690D-05EA-4C37-85DF-C2241FC33EE4}</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4553-4AA4-B2D2-B3545E1782FF}"/>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{EB551C4A-B3CA-406C-BE7A-9E4238C8544E}</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4553-4AA4-B2D2-B3545E1782FF}"/>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{29D22C96-F3D4-42B5-8F6A-45AF63C5365F}</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4553-4AA4-B2D2-B3545E1782FF}"/>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{32A00435-B17E-4F02-B788-6FBB1F5EE3F2}</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4553-4AA4-B2D2-B3545E1782FF}"/>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{E3112D42-89D8-497C-A4BC-629CD12DB1DE}</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4553-4AA4-B2D2-B3545E1782FF}"/>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{98C38AF4-6FD2-4920-B433-BA4CB238E631}</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4553-4AA4-B2D2-B3545E1782FF}"/>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('Looked After Children'!$AR$41:$AR$53,'Looked After Children'!$AR$55:$AR$56,'Looked After Children'!$AR$59:$AR$62)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('Looked After Children'!$AQ$41:$AQ$53,'Looked After Children'!$AQ$55:$AQ$56,'Looked After Children'!$AQ$59:$AQ$62)</c:f>
              <c:numCache>
                <c:formatCode>0.0</c:formatCode>
                <c:ptCount val="19"/>
                <c:pt idx="0">
                  <c:v>55.830388692579504</c:v>
                </c:pt>
                <c:pt idx="1">
                  <c:v>76.666666666666657</c:v>
                </c:pt>
                <c:pt idx="2">
                  <c:v>41.432019308125504</c:v>
                </c:pt>
                <c:pt idx="3">
                  <c:v>56.390977443609017</c:v>
                </c:pt>
                <c:pt idx="4">
                  <c:v>58.591549295774648</c:v>
                </c:pt>
                <c:pt idx="5">
                  <c:v>97.590361445783131</c:v>
                </c:pt>
                <c:pt idx="6">
                  <c:v>46.75095560129374</c:v>
                </c:pt>
                <c:pt idx="7">
                  <c:v>65.838509316770185</c:v>
                </c:pt>
                <c:pt idx="8">
                  <c:v>55.783308931185942</c:v>
                </c:pt>
                <c:pt idx="9">
                  <c:v>53.798342541436462</c:v>
                </c:pt>
                <c:pt idx="10">
                  <c:v>110.45454545454545</c:v>
                </c:pt>
                <c:pt idx="11">
                  <c:v>73.584905660377359</c:v>
                </c:pt>
                <c:pt idx="12">
                  <c:v>49.882903981264633</c:v>
                </c:pt>
                <c:pt idx="13">
                  <c:v>94.685039370078741</c:v>
                </c:pt>
                <c:pt idx="14">
                  <c:v>37.151584574264987</c:v>
                </c:pt>
                <c:pt idx="15">
                  <c:v>48.31460674157303</c:v>
                </c:pt>
                <c:pt idx="16">
                  <c:v>40.297653119633658</c:v>
                </c:pt>
                <c:pt idx="17">
                  <c:v>35.838150289017342</c:v>
                </c:pt>
                <c:pt idx="18">
                  <c:v>27.848101265822784</c:v>
                </c:pt>
              </c:numCache>
            </c:numRef>
          </c:yVal>
          <c:smooth val="0"/>
          <c:extLst>
            <c:ext xmlns:c16="http://schemas.microsoft.com/office/drawing/2014/chart" uri="{C3380CC4-5D6E-409C-BE32-E72D297353CC}">
              <c16:uniqueId val="{00000015-4553-4AA4-B2D2-B3545E1782FF}"/>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4553-4AA4-B2D2-B3545E1782FF}"/>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{84534CE8-AD7D-4A2C-8E29-7DAC3EEB46EC}</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4553-4AA4-B2D2-B3545E1782FF}"/>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{3CD8A60A-05CE-490A-95EF-76647CE5552A}</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4553-4AA4-B2D2-B3545E1782FF}"/>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{AE57EA74-483A-48B5-8CB4-241A25408E95}</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8-4553-4AA4-B2D2-B3545E1782FF}"/>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('Looked After Children'!$AR$54,'Looked After Children'!$AR$57:$AR$58)</c:f>
              <c:numCache>
                <c:formatCode>0.0</c:formatCode>
                <c:ptCount val="3"/>
                <c:pt idx="0">
                  <c:v>13.600000000000001</c:v>
                </c:pt>
                <c:pt idx="1">
                  <c:v>14.899999999999999</c:v>
                </c:pt>
                <c:pt idx="2">
                  <c:v>21.9</c:v>
                </c:pt>
              </c:numCache>
            </c:numRef>
          </c:xVal>
          <c:yVal>
            <c:numRef>
              <c:f>('Looked After Children'!$AQ$54,'Looked After Children'!$AQ$57:$AQ$58)</c:f>
              <c:numCache>
                <c:formatCode>0.0</c:formatCode>
                <c:ptCount val="3"/>
                <c:pt idx="0">
                  <c:v>48.238482384823854</c:v>
                </c:pt>
                <c:pt idx="1">
                  <c:v>69.322709163346616</c:v>
                </c:pt>
                <c:pt idx="2">
                  <c:v>142.51968503937007</c:v>
                </c:pt>
              </c:numCache>
            </c:numRef>
          </c:yVal>
          <c:smooth val="0"/>
          <c:extLst>
            <c:ext xmlns:c16="http://schemas.microsoft.com/office/drawing/2014/chart" uri="{C3380CC4-5D6E-409C-BE32-E72D297353CC}">
              <c16:uniqueId val="{00000019-4553-4AA4-B2D2-B3545E1782FF}"/>
            </c:ext>
          </c:extLst>
        </c:ser>
        <c:ser>
          <c:idx val="1"/>
          <c:order val="2"/>
          <c:tx>
            <c:strRef>
              <c:f>'Looked After Children'!$AA$4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'Looked After Children'!$AR$65</c:f>
              <c:numCache>
                <c:formatCode>0.0</c:formatCode>
                <c:ptCount val="1"/>
                <c:pt idx="0">
                  <c:v>#N/A</c:v>
                </c:pt>
              </c:numCache>
            </c:numRef>
          </c:xVal>
          <c:yVal>
            <c:numRef>
              <c:f>'Looked After Children'!$AQ$65</c:f>
              <c:numCache>
                <c:formatCode>0.0</c:formatCode>
                <c:ptCount val="1"/>
                <c:pt idx="0">
                  <c:v>#N/A</c:v>
                </c:pt>
              </c:numCache>
            </c:numRef>
          </c:yVal>
          <c:smooth val="0"/>
          <c:extLst>
            <c:ext xmlns:c16="http://schemas.microsoft.com/office/drawing/2014/chart" uri="{C3380CC4-5D6E-409C-BE32-E72D297353CC}">
              <c16:uniqueId val="{0000001A-4553-4AA4-B2D2-B3545E1782FF}"/>
            </c:ext>
          </c:extLst>
        </c:ser>
        <c:ser>
          <c:idx val="4"/>
          <c:order val="3"/>
          <c:tx>
            <c:strRef>
              <c:f>'Looked After Children'!$B$32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'Looked After Children'!$S$32</c:f>
              <c:numCache>
                <c:formatCode>0.0</c:formatCode>
                <c:ptCount val="1"/>
                <c:pt idx="0">
                  <c:v>12.371268250968637</c:v>
                </c:pt>
              </c:numCache>
            </c:numRef>
          </c:xVal>
          <c:yVal>
            <c:numRef>
              <c:f>'Looked After Children'!$O$32</c:f>
              <c:numCache>
                <c:formatCode>0.0</c:formatCode>
                <c:ptCount val="1"/>
                <c:pt idx="0">
                  <c:v>52.518647185041381</c:v>
                </c:pt>
              </c:numCache>
            </c:numRef>
          </c:yVal>
          <c:smooth val="0"/>
          <c:extLst>
            <c:ext xmlns:c16="http://schemas.microsoft.com/office/drawing/2014/chart" uri="{C3380CC4-5D6E-409C-BE32-E72D297353CC}">
              <c16:uniqueId val="{0000001B-4553-4AA4-B2D2-B3545E1782FF}"/>
            </c:ext>
          </c:extLst>
        </c:ser>
        <c:ser>
          <c:idx val="2"/>
          <c:order val="4"/>
          <c:tx>
            <c:strRef>
              <c:f>'Looked After Children'!$Y$43</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7-66D5-408F-B432-D17C44F387AE}"/>
                </c:ext>
              </c:extLst>
            </c:dLbl>
            <c:dLbl>
              <c:idx val="1"/>
              <c:tx>
                <c:strRef>
                  <c:f>'Looked After Children'!$AD$43</c:f>
                  <c:strCache>
                    <c:ptCount val="1"/>
                    <c:pt idx="0">
                      <c:v>r² = 0.47</c:v>
                    </c:pt>
                  </c:strCache>
                </c:strRef>
              </c:tx>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{622568C6-8732-4AF1-9BB0-85F7CA60A79E}</c15:txfldGUID>
                      <c15:f>'Looked After Children'!$AD$43</c15:f>
                      <c15:dlblFieldTableCache>
                        <c:ptCount val="1"/>
                        <c:pt idx="0">
                          <c:v>r² = 0.47</c:v>
                        </c:pt>
                      </c15:dlblFieldTableCache>
                    </c15:dlblFTEntry>
                  </c15:dlblFieldTable>
                  <c15:showDataLabelsRange val="0"/>
                </c:ext>
                <c:ext xmlns:c16="http://schemas.microsoft.com/office/drawing/2014/chart" uri="{C3380CC4-5D6E-409C-BE32-E72D297353CC}">
                  <c16:uniqueId val="{00000008-66D5-408F-B432-D17C44F387A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'Looked After Children'!$AB$43:$AB$44</c:f>
              <c:numCache>
                <c:formatCode>General</c:formatCode>
                <c:ptCount val="2"/>
                <c:pt idx="0" formatCode="#,##0.0">
                  <c:v>5</c:v>
                </c:pt>
                <c:pt idx="1">
                  <c:v>35</c:v>
                </c:pt>
              </c:numCache>
            </c:numRef>
          </c:xVal>
          <c:yVal>
            <c:numRef>
              <c:f>'Looked After Children'!$AC$43:$AC$44</c:f>
              <c:numCache>
                <c:formatCode>0.0</c:formatCode>
                <c:ptCount val="2"/>
                <c:pt idx="0">
                  <c:v>26.599553960772123</c:v>
                </c:pt>
                <c:pt idx="1">
                  <c:v>132.71534170615678</c:v>
                </c:pt>
              </c:numCache>
            </c:numRef>
          </c:yVal>
          <c:smooth val="0"/>
          <c:extLst>
            <c:ext xmlns:c16="http://schemas.microsoft.com/office/drawing/2014/chart" uri="{C3380CC4-5D6E-409C-BE32-E72D297353CC}">
              <c16:uniqueId val="{0000001C-4553-4AA4-B2D2-B3545E1782FF}"/>
            </c:ext>
          </c:extLst>
        </c:ser>
        <c:ser>
          <c:idx val="5"/>
          <c:order val="5"/>
          <c:tx>
            <c:strRef>
              <c:f>'Looked After Children'!$Y$41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66D5-408F-B432-D17C44F387AE}"/>
                </c:ext>
              </c:extLst>
            </c:dLbl>
            <c:dLbl>
              <c:idx val="1"/>
              <c:layout>
                <c:manualLayout>
                  <c:x val="-9.0643274853801165E-2"/>
                  <c:y val="-3.6199095022624438E-2"/>
                </c:manualLayout>
              </c:layout>
              <c:tx>
                <c:strRef>
                  <c:f>'Looked After Children'!$AD$42</c:f>
                  <c:strCache>
                    <c:ptCount val="1"/>
                    <c:pt idx="0">
                      <c:v>r² = 0.677</c:v>
                    </c:pt>
                  </c:strCache>
                </c:strRef>
              </c:tx>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0"/>
              <c:showCatName val="1"/>
              <c:showSerName val="0"/>
              <c:showPercent val="0"/>
              <c:showBubbleSize val="0"/>
              <c:extLst>
                <c:ext xmlns:c15="http://schemas.microsoft.com/office/drawing/2012/chart" uri="{CE6537A1-D6FC-4f65-9D91-7224C49458BB}">
                  <c15:dlblFieldTable>
                    <c15:dlblFTEntry>
                      <c15:txfldGUID>{CC595160-5506-42D2-8756-8128947A41D2}</c15:txfldGUID>
                      <c15:f>'Looked After Children'!$AD$42</c15:f>
                      <c15:dlblFieldTableCache>
                        <c:ptCount val="1"/>
                        <c:pt idx="0">
                          <c:v>r² = 0.677</c:v>
                        </c:pt>
                      </c15:dlblFieldTableCache>
                    </c15:dlblFTEntry>
                  </c15:dlblFieldTable>
                  <c15:showDataLabelsRange val="0"/>
                </c:ext>
                <c:ext xmlns:c16="http://schemas.microsoft.com/office/drawing/2014/chart" uri="{C3380CC4-5D6E-409C-BE32-E72D297353CC}">
                  <c16:uniqueId val="{00000006-66D5-408F-B432-D17C44F387AE}"/>
                </c:ext>
              </c:extLst>
            </c:dLbl>
            <c:spPr>
              <a:noFill/>
              <a:ln>
                <a:noFill/>
              </a:ln>
              <a:effectLst/>
            </c:spPr>
            <c:txPr>
              <a:bodyPr wrap="square" lIns="38100" tIns="19050" rIns="38100" bIns="19050" anchor="ctr">
                <a:spAutoFit/>
              </a:bodyPr>
              <a:lstStyle/>
              <a:p>
                <a:pPr>
                  <a:defRPr sz="900"/>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'Looked After Children'!$AB$41:$AB$42</c:f>
              <c:numCache>
                <c:formatCode>General</c:formatCode>
                <c:ptCount val="2"/>
                <c:pt idx="0" formatCode="#,##0.0">
                  <c:v>5</c:v>
                </c:pt>
                <c:pt idx="1">
                  <c:v>35</c:v>
                </c:pt>
              </c:numCache>
            </c:numRef>
          </c:xVal>
          <c:yVal>
            <c:numRef>
              <c:f>'Looked After Children'!$AC$41:$AC$42</c:f>
              <c:numCache>
                <c:formatCode>0.0</c:formatCode>
                <c:ptCount val="2"/>
                <c:pt idx="0">
                  <c:v>27.724318459876862</c:v>
                </c:pt>
                <c:pt idx="1">
                  <c:v>145.05844863500255</c:v>
                </c:pt>
              </c:numCache>
            </c:numRef>
          </c:yVal>
          <c:smooth val="0"/>
          <c:extLst>
            <c:ext xmlns:c16="http://schemas.microsoft.com/office/drawing/2014/chart" uri="{C3380CC4-5D6E-409C-BE32-E72D297353CC}">
              <c16:uniqueId val="{00000003-66D5-408F-B432-D17C44F387AE}"/>
            </c:ext>
          </c:extLst>
        </c:ser>
        <c:dLbls>
          <c:showLegendKey val="0"/>
          <c:showVal val="0"/>
          <c:showCatName val="0"/>
          <c:showSerName val="0"/>
          <c:showPercent val="0"/>
          <c:showBubbleSize val="0"/>
        </c:dLbls>
        <c:axId val="291956608"/>
        <c:axId val="291958784"/>
      </c:scatterChart>
      <c:valAx>
        <c:axId val="291956608"/>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958784"/>
        <c:crosses val="autoZero"/>
        <c:crossBetween val="midCat"/>
        <c:majorUnit val="5"/>
      </c:valAx>
      <c:valAx>
        <c:axId val="29195878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Looked After Children  per 10,000 0-17 year olds</a:t>
                </a:r>
              </a:p>
            </c:rich>
          </c:tx>
          <c:layout>
            <c:manualLayout>
              <c:xMode val="edge"/>
              <c:yMode val="edge"/>
              <c:x val="6.359966542643708E-2"/>
              <c:y val="0.1611933981225319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95660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 to be Looked After, </a:t>
            </a:r>
          </a:p>
          <a:p>
            <a:pPr>
              <a:defRPr sz="1000" b="1" i="0" u="none" strike="noStrike" baseline="0">
                <a:solidFill>
                  <a:srgbClr val="000000"/>
                </a:solidFill>
                <a:latin typeface="Arial"/>
                <a:ea typeface="Arial"/>
                <a:cs typeface="Arial"/>
              </a:defRPr>
            </a:pPr>
            <a:r>
              <a:rPr lang="en-GB"/>
              <a:t>per 10,000 0-17 year olds</a:t>
            </a:r>
          </a:p>
        </c:rich>
      </c:tx>
      <c:layout>
        <c:manualLayout>
          <c:xMode val="edge"/>
          <c:yMode val="edge"/>
          <c:x val="0.21406040012633276"/>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226831684269523"/>
        </c:manualLayout>
      </c:layout>
      <c:lineChart>
        <c:grouping val="standard"/>
        <c:varyColors val="0"/>
        <c:ser>
          <c:idx val="0"/>
          <c:order val="0"/>
          <c:tx>
            <c:strRef>
              <c:f>New_Ceased_LAC!$AL$41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F08-4D14-9520-2F24D52E8C1D}"/>
              </c:ext>
            </c:extLst>
          </c:dPt>
          <c:cat>
            <c:strRef>
              <c:f>New_Ceased_LAC!$Z$2:$AD$3</c:f>
              <c:strCache>
                <c:ptCount val="5"/>
                <c:pt idx="0">
                  <c:v>2014-15</c:v>
                </c:pt>
                <c:pt idx="1">
                  <c:v>2015-16</c:v>
                </c:pt>
                <c:pt idx="2">
                  <c:v>2016-17</c:v>
                </c:pt>
                <c:pt idx="3">
                  <c:v>2017-18</c:v>
                </c:pt>
                <c:pt idx="4">
                  <c:v>2018-19</c:v>
                </c:pt>
              </c:strCache>
            </c:strRef>
          </c:cat>
          <c:val>
            <c:numRef>
              <c:f>New_Ceased_LAC!$AM$41:$AQ$41</c:f>
              <c:numCache>
                <c:formatCode>0.0</c:formatCode>
                <c:ptCount val="5"/>
                <c:pt idx="0">
                  <c:v>16.546762589928058</c:v>
                </c:pt>
                <c:pt idx="1">
                  <c:v>21.276595744680851</c:v>
                </c:pt>
                <c:pt idx="2">
                  <c:v>23.75886524822695</c:v>
                </c:pt>
                <c:pt idx="3">
                  <c:v>29.893238434163699</c:v>
                </c:pt>
                <c:pt idx="4">
                  <c:v>29.681978798586574</c:v>
                </c:pt>
              </c:numCache>
            </c:numRef>
          </c:val>
          <c:smooth val="0"/>
          <c:extLst>
            <c:ext xmlns:c16="http://schemas.microsoft.com/office/drawing/2014/chart" uri="{C3380CC4-5D6E-409C-BE32-E72D297353CC}">
              <c16:uniqueId val="{00000001-8F08-4D14-9520-2F24D52E8C1D}"/>
            </c:ext>
          </c:extLst>
        </c:ser>
        <c:ser>
          <c:idx val="1"/>
          <c:order val="1"/>
          <c:tx>
            <c:strRef>
              <c:f>New_Ceased_LAC!$AL$42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New_Ceased_LAC!$AM$42:$AQ$42</c:f>
              <c:numCache>
                <c:formatCode>0.0</c:formatCode>
                <c:ptCount val="5"/>
                <c:pt idx="0">
                  <c:v>38.235294117647058</c:v>
                </c:pt>
                <c:pt idx="1">
                  <c:v>39.84375</c:v>
                </c:pt>
                <c:pt idx="2">
                  <c:v>37.816764132553608</c:v>
                </c:pt>
                <c:pt idx="3">
                  <c:v>27.450980392156865</c:v>
                </c:pt>
                <c:pt idx="4">
                  <c:v>30.784313725490197</c:v>
                </c:pt>
              </c:numCache>
            </c:numRef>
          </c:val>
          <c:smooth val="0"/>
          <c:extLst>
            <c:ext xmlns:c16="http://schemas.microsoft.com/office/drawing/2014/chart" uri="{C3380CC4-5D6E-409C-BE32-E72D297353CC}">
              <c16:uniqueId val="{00000002-8F08-4D14-9520-2F24D52E8C1D}"/>
            </c:ext>
          </c:extLst>
        </c:ser>
        <c:ser>
          <c:idx val="2"/>
          <c:order val="2"/>
          <c:tx>
            <c:strRef>
              <c:f>New_Ceased_LAC!$AL$43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New_Ceased_LAC!$AM$43:$AQ$43</c:f>
              <c:numCache>
                <c:formatCode>0.0</c:formatCode>
                <c:ptCount val="5"/>
                <c:pt idx="0">
                  <c:v>13.28847771236333</c:v>
                </c:pt>
                <c:pt idx="1">
                  <c:v>20.64676616915423</c:v>
                </c:pt>
                <c:pt idx="2">
                  <c:v>16.939443535188214</c:v>
                </c:pt>
                <c:pt idx="3">
                  <c:v>15.678310316815598</c:v>
                </c:pt>
                <c:pt idx="4">
                  <c:v>16.814159292035399</c:v>
                </c:pt>
              </c:numCache>
            </c:numRef>
          </c:val>
          <c:smooth val="0"/>
          <c:extLst>
            <c:ext xmlns:c16="http://schemas.microsoft.com/office/drawing/2014/chart" uri="{C3380CC4-5D6E-409C-BE32-E72D297353CC}">
              <c16:uniqueId val="{00000003-8F08-4D14-9520-2F24D52E8C1D}"/>
            </c:ext>
          </c:extLst>
        </c:ser>
        <c:ser>
          <c:idx val="5"/>
          <c:order val="3"/>
          <c:tx>
            <c:strRef>
              <c:f>New_Ceased_LAC!$AL$44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New_Ceased_LAC!$AM$44:$AQ$44</c:f>
              <c:numCache>
                <c:formatCode>0.0</c:formatCode>
                <c:ptCount val="5"/>
                <c:pt idx="0">
                  <c:v>14.800759013282732</c:v>
                </c:pt>
                <c:pt idx="1">
                  <c:v>17.37488196411709</c:v>
                </c:pt>
                <c:pt idx="2">
                  <c:v>18.696883852691219</c:v>
                </c:pt>
                <c:pt idx="3">
                  <c:v>19.150943396226413</c:v>
                </c:pt>
                <c:pt idx="4">
                  <c:v>18.045112781954888</c:v>
                </c:pt>
              </c:numCache>
            </c:numRef>
          </c:val>
          <c:smooth val="0"/>
          <c:extLst>
            <c:ext xmlns:c16="http://schemas.microsoft.com/office/drawing/2014/chart" uri="{C3380CC4-5D6E-409C-BE32-E72D297353CC}">
              <c16:uniqueId val="{00000004-8F08-4D14-9520-2F24D52E8C1D}"/>
            </c:ext>
          </c:extLst>
        </c:ser>
        <c:ser>
          <c:idx val="9"/>
          <c:order val="4"/>
          <c:tx>
            <c:strRef>
              <c:f>New_Ceased_LAC!$AL$45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New_Ceased_LAC!$AM$45:$AQ$45</c:f>
              <c:numCache>
                <c:formatCode>0.0</c:formatCode>
                <c:ptCount val="5"/>
                <c:pt idx="0">
                  <c:v>21.314387211367674</c:v>
                </c:pt>
                <c:pt idx="1">
                  <c:v>17.985101099680737</c:v>
                </c:pt>
                <c:pt idx="2">
                  <c:v>22.878359264497877</c:v>
                </c:pt>
                <c:pt idx="3">
                  <c:v>22.202612072008471</c:v>
                </c:pt>
                <c:pt idx="4">
                  <c:v>22.95774647887324</c:v>
                </c:pt>
              </c:numCache>
            </c:numRef>
          </c:val>
          <c:smooth val="0"/>
          <c:extLst>
            <c:ext xmlns:c16="http://schemas.microsoft.com/office/drawing/2014/chart" uri="{C3380CC4-5D6E-409C-BE32-E72D297353CC}">
              <c16:uniqueId val="{00000005-8F08-4D14-9520-2F24D52E8C1D}"/>
            </c:ext>
          </c:extLst>
        </c:ser>
        <c:ser>
          <c:idx val="10"/>
          <c:order val="5"/>
          <c:tx>
            <c:strRef>
              <c:f>New_Ceased_LAC!$AL$46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New_Ceased_LAC!$AM$46:$AQ$46</c:f>
              <c:numCache>
                <c:formatCode>0.0</c:formatCode>
                <c:ptCount val="5"/>
                <c:pt idx="0">
                  <c:v>33.725490196078432</c:v>
                </c:pt>
                <c:pt idx="1">
                  <c:v>28.853754940711465</c:v>
                </c:pt>
                <c:pt idx="2">
                  <c:v>39.285714285714292</c:v>
                </c:pt>
                <c:pt idx="3">
                  <c:v>30.278884462151392</c:v>
                </c:pt>
                <c:pt idx="4">
                  <c:v>29.718875502008032</c:v>
                </c:pt>
              </c:numCache>
            </c:numRef>
          </c:val>
          <c:smooth val="0"/>
          <c:extLst>
            <c:ext xmlns:c16="http://schemas.microsoft.com/office/drawing/2014/chart" uri="{C3380CC4-5D6E-409C-BE32-E72D297353CC}">
              <c16:uniqueId val="{00000006-8F08-4D14-9520-2F24D52E8C1D}"/>
            </c:ext>
          </c:extLst>
        </c:ser>
        <c:ser>
          <c:idx val="11"/>
          <c:order val="6"/>
          <c:tx>
            <c:strRef>
              <c:f>New_Ceased_LAC!$AL$47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New_Ceased_LAC!$AM$47:$AQ$47</c:f>
              <c:numCache>
                <c:formatCode>0.0</c:formatCode>
                <c:ptCount val="5"/>
                <c:pt idx="0">
                  <c:v>27.68809016143771</c:v>
                </c:pt>
                <c:pt idx="1">
                  <c:v>45.520581113801448</c:v>
                </c:pt>
                <c:pt idx="2">
                  <c:v>26.726726726726728</c:v>
                </c:pt>
                <c:pt idx="3">
                  <c:v>22.850342160071406</c:v>
                </c:pt>
                <c:pt idx="4">
                  <c:v>20.464569244339902</c:v>
                </c:pt>
              </c:numCache>
            </c:numRef>
          </c:val>
          <c:smooth val="0"/>
          <c:extLst>
            <c:ext xmlns:c16="http://schemas.microsoft.com/office/drawing/2014/chart" uri="{C3380CC4-5D6E-409C-BE32-E72D297353CC}">
              <c16:uniqueId val="{00000007-8F08-4D14-9520-2F24D52E8C1D}"/>
            </c:ext>
          </c:extLst>
        </c:ser>
        <c:ser>
          <c:idx val="12"/>
          <c:order val="7"/>
          <c:tx>
            <c:strRef>
              <c:f>New_Ceased_LAC!$AL$48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New_Ceased_LAC!$AM$48:$AQ$48</c:f>
              <c:numCache>
                <c:formatCode>0.0</c:formatCode>
                <c:ptCount val="5"/>
                <c:pt idx="0">
                  <c:v>38.080000000000005</c:v>
                </c:pt>
                <c:pt idx="1">
                  <c:v>32.911392405063289</c:v>
                </c:pt>
                <c:pt idx="2">
                  <c:v>22.762951334379906</c:v>
                </c:pt>
                <c:pt idx="3">
                  <c:v>27.386541471048513</c:v>
                </c:pt>
                <c:pt idx="4">
                  <c:v>25.93167701863354</c:v>
                </c:pt>
              </c:numCache>
            </c:numRef>
          </c:val>
          <c:smooth val="0"/>
          <c:extLst>
            <c:ext xmlns:c16="http://schemas.microsoft.com/office/drawing/2014/chart" uri="{C3380CC4-5D6E-409C-BE32-E72D297353CC}">
              <c16:uniqueId val="{00000008-8F08-4D14-9520-2F24D52E8C1D}"/>
            </c:ext>
          </c:extLst>
        </c:ser>
        <c:ser>
          <c:idx val="13"/>
          <c:order val="8"/>
          <c:tx>
            <c:strRef>
              <c:f>New_Ceased_LAC!$AL$49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New_Ceased_LAC!$AM$49:$AQ$49</c:f>
              <c:numCache>
                <c:formatCode>0.0</c:formatCode>
                <c:ptCount val="5"/>
                <c:pt idx="0">
                  <c:v>25.766871165644172</c:v>
                </c:pt>
                <c:pt idx="1">
                  <c:v>27.685325264750379</c:v>
                </c:pt>
                <c:pt idx="2">
                  <c:v>29.359165424739196</c:v>
                </c:pt>
                <c:pt idx="3">
                  <c:v>20.710059171597635</c:v>
                </c:pt>
                <c:pt idx="4">
                  <c:v>23.718887262079061</c:v>
                </c:pt>
              </c:numCache>
            </c:numRef>
          </c:val>
          <c:smooth val="0"/>
          <c:extLst>
            <c:ext xmlns:c16="http://schemas.microsoft.com/office/drawing/2014/chart" uri="{C3380CC4-5D6E-409C-BE32-E72D297353CC}">
              <c16:uniqueId val="{00000009-8F08-4D14-9520-2F24D52E8C1D}"/>
            </c:ext>
          </c:extLst>
        </c:ser>
        <c:ser>
          <c:idx val="15"/>
          <c:order val="9"/>
          <c:tx>
            <c:strRef>
              <c:f>New_Ceased_LAC!$AL$50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New_Ceased_LAC!$AM$50:$AQ$50</c:f>
              <c:numCache>
                <c:formatCode>0.0</c:formatCode>
                <c:ptCount val="5"/>
                <c:pt idx="0">
                  <c:v>20.467422096317282</c:v>
                </c:pt>
                <c:pt idx="1">
                  <c:v>25.176304654442877</c:v>
                </c:pt>
                <c:pt idx="2">
                  <c:v>24.70258922323303</c:v>
                </c:pt>
                <c:pt idx="3">
                  <c:v>21.129707112970713</c:v>
                </c:pt>
                <c:pt idx="4">
                  <c:v>24.516574585635361</c:v>
                </c:pt>
              </c:numCache>
            </c:numRef>
          </c:val>
          <c:smooth val="0"/>
          <c:extLst>
            <c:ext xmlns:c16="http://schemas.microsoft.com/office/drawing/2014/chart" uri="{C3380CC4-5D6E-409C-BE32-E72D297353CC}">
              <c16:uniqueId val="{0000000A-8F08-4D14-9520-2F24D52E8C1D}"/>
            </c:ext>
          </c:extLst>
        </c:ser>
        <c:ser>
          <c:idx val="16"/>
          <c:order val="10"/>
          <c:tx>
            <c:strRef>
              <c:f>New_Ceased_LAC!$AL$51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New_Ceased_LAC!$AM$51:$AQ$51</c:f>
              <c:numCache>
                <c:formatCode>0.0</c:formatCode>
                <c:ptCount val="5"/>
                <c:pt idx="0">
                  <c:v>35.714285714285715</c:v>
                </c:pt>
                <c:pt idx="1">
                  <c:v>29.223744292237445</c:v>
                </c:pt>
                <c:pt idx="2">
                  <c:v>36.136363636363633</c:v>
                </c:pt>
                <c:pt idx="3">
                  <c:v>53.619909502262445</c:v>
                </c:pt>
                <c:pt idx="4">
                  <c:v>52.045454545454547</c:v>
                </c:pt>
              </c:numCache>
            </c:numRef>
          </c:val>
          <c:smooth val="0"/>
          <c:extLst>
            <c:ext xmlns:c16="http://schemas.microsoft.com/office/drawing/2014/chart" uri="{C3380CC4-5D6E-409C-BE32-E72D297353CC}">
              <c16:uniqueId val="{0000000B-8F08-4D14-9520-2F24D52E8C1D}"/>
            </c:ext>
          </c:extLst>
        </c:ser>
        <c:ser>
          <c:idx val="17"/>
          <c:order val="11"/>
          <c:tx>
            <c:strRef>
              <c:f>New_Ceased_LAC!$AL$52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New_Ceased_LAC!$AM$52:$AQ$52</c:f>
              <c:numCache>
                <c:formatCode>0.0</c:formatCode>
                <c:ptCount val="5"/>
                <c:pt idx="0">
                  <c:v>23.398328690807801</c:v>
                </c:pt>
                <c:pt idx="1">
                  <c:v>35.714285714285715</c:v>
                </c:pt>
                <c:pt idx="2">
                  <c:v>38.797814207650276</c:v>
                </c:pt>
                <c:pt idx="3">
                  <c:v>28.840970350404316</c:v>
                </c:pt>
                <c:pt idx="4">
                  <c:v>23.989218328840973</c:v>
                </c:pt>
              </c:numCache>
            </c:numRef>
          </c:val>
          <c:smooth val="0"/>
          <c:extLst>
            <c:ext xmlns:c16="http://schemas.microsoft.com/office/drawing/2014/chart" uri="{C3380CC4-5D6E-409C-BE32-E72D297353CC}">
              <c16:uniqueId val="{0000000C-8F08-4D14-9520-2F24D52E8C1D}"/>
            </c:ext>
          </c:extLst>
        </c:ser>
        <c:ser>
          <c:idx val="19"/>
          <c:order val="12"/>
          <c:tx>
            <c:strRef>
              <c:f>New_Ceased_LAC!$AL$53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New_Ceased_LAC!$AM$53:$AQ$53</c:f>
              <c:numCache>
                <c:formatCode>0.0</c:formatCode>
                <c:ptCount val="5"/>
                <c:pt idx="0">
                  <c:v>29.824561403508774</c:v>
                </c:pt>
                <c:pt idx="1">
                  <c:v>31.773399014778324</c:v>
                </c:pt>
                <c:pt idx="2">
                  <c:v>28.5024154589372</c:v>
                </c:pt>
                <c:pt idx="3">
                  <c:v>29.620853080568718</c:v>
                </c:pt>
                <c:pt idx="4">
                  <c:v>31.381733021077284</c:v>
                </c:pt>
              </c:numCache>
            </c:numRef>
          </c:val>
          <c:smooth val="0"/>
          <c:extLst>
            <c:ext xmlns:c16="http://schemas.microsoft.com/office/drawing/2014/chart" uri="{C3380CC4-5D6E-409C-BE32-E72D297353CC}">
              <c16:uniqueId val="{0000000D-8F08-4D14-9520-2F24D52E8C1D}"/>
            </c:ext>
          </c:extLst>
        </c:ser>
        <c:ser>
          <c:idx val="3"/>
          <c:order val="13"/>
          <c:tx>
            <c:strRef>
              <c:f>New_Ceased_LAC!$AL$54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New_Ceased_LAC!$AM$54:$AQ$54</c:f>
              <c:numCache>
                <c:formatCode>0.0</c:formatCode>
                <c:ptCount val="5"/>
                <c:pt idx="0">
                  <c:v>26.354453627180902</c:v>
                </c:pt>
                <c:pt idx="1">
                  <c:v>21.520146520146522</c:v>
                </c:pt>
                <c:pt idx="2">
                  <c:v>20.966271649954422</c:v>
                </c:pt>
                <c:pt idx="3">
                  <c:v>23.43324250681199</c:v>
                </c:pt>
                <c:pt idx="4">
                  <c:v>17.524841915085815</c:v>
                </c:pt>
              </c:numCache>
            </c:numRef>
          </c:val>
          <c:smooth val="0"/>
          <c:extLst>
            <c:ext xmlns:c16="http://schemas.microsoft.com/office/drawing/2014/chart" uri="{C3380CC4-5D6E-409C-BE32-E72D297353CC}">
              <c16:uniqueId val="{0000000E-8F08-4D14-9520-2F24D52E8C1D}"/>
            </c:ext>
          </c:extLst>
        </c:ser>
        <c:ser>
          <c:idx val="20"/>
          <c:order val="14"/>
          <c:tx>
            <c:strRef>
              <c:f>New_Ceased_LAC!$AL$55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New_Ceased_LAC!$AM$55:$AQ$55</c:f>
              <c:numCache>
                <c:formatCode>0.0</c:formatCode>
                <c:ptCount val="5"/>
                <c:pt idx="0">
                  <c:v>54.732510288065839</c:v>
                </c:pt>
                <c:pt idx="1">
                  <c:v>43.495934959349597</c:v>
                </c:pt>
                <c:pt idx="2">
                  <c:v>33.667334669338679</c:v>
                </c:pt>
                <c:pt idx="3">
                  <c:v>35.387673956262425</c:v>
                </c:pt>
                <c:pt idx="4">
                  <c:v>33.464566929133859</c:v>
                </c:pt>
              </c:numCache>
            </c:numRef>
          </c:val>
          <c:smooth val="0"/>
          <c:extLst>
            <c:ext xmlns:c16="http://schemas.microsoft.com/office/drawing/2014/chart" uri="{C3380CC4-5D6E-409C-BE32-E72D297353CC}">
              <c16:uniqueId val="{0000000F-8F08-4D14-9520-2F24D52E8C1D}"/>
            </c:ext>
          </c:extLst>
        </c:ser>
        <c:ser>
          <c:idx val="22"/>
          <c:order val="15"/>
          <c:tx>
            <c:strRef>
              <c:f>New_Ceased_LAC!$AL$56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New_Ceased_LAC!$AM$56:$AQ$56</c:f>
              <c:numCache>
                <c:formatCode>0.0</c:formatCode>
                <c:ptCount val="5"/>
                <c:pt idx="0">
                  <c:v>13.668499607227021</c:v>
                </c:pt>
                <c:pt idx="1">
                  <c:v>19.071762870514821</c:v>
                </c:pt>
                <c:pt idx="2">
                  <c:v>15.830115830115831</c:v>
                </c:pt>
                <c:pt idx="3">
                  <c:v>17.518248175182482</c:v>
                </c:pt>
                <c:pt idx="4">
                  <c:v>16.60939289805269</c:v>
                </c:pt>
              </c:numCache>
            </c:numRef>
          </c:val>
          <c:smooth val="0"/>
          <c:extLst>
            <c:ext xmlns:c16="http://schemas.microsoft.com/office/drawing/2014/chart" uri="{C3380CC4-5D6E-409C-BE32-E72D297353CC}">
              <c16:uniqueId val="{00000010-8F08-4D14-9520-2F24D52E8C1D}"/>
            </c:ext>
          </c:extLst>
        </c:ser>
        <c:ser>
          <c:idx val="7"/>
          <c:order val="16"/>
          <c:tx>
            <c:strRef>
              <c:f>New_Ceased_LAC!$AL$57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New_Ceased_LAC!$Z$2:$AD$3</c:f>
              <c:strCache>
                <c:ptCount val="5"/>
                <c:pt idx="0">
                  <c:v>2014-15</c:v>
                </c:pt>
                <c:pt idx="1">
                  <c:v>2015-16</c:v>
                </c:pt>
                <c:pt idx="2">
                  <c:v>2016-17</c:v>
                </c:pt>
                <c:pt idx="3">
                  <c:v>2017-18</c:v>
                </c:pt>
                <c:pt idx="4">
                  <c:v>2018-19</c:v>
                </c:pt>
              </c:strCache>
            </c:strRef>
          </c:cat>
          <c:val>
            <c:numRef>
              <c:f>New_Ceased_LAC!$AM$57:$AQ$57</c:f>
              <c:numCache>
                <c:formatCode>0.0</c:formatCode>
                <c:ptCount val="5"/>
                <c:pt idx="0">
                  <c:v>26.748971193415638</c:v>
                </c:pt>
                <c:pt idx="1">
                  <c:v>36.938775510204081</c:v>
                </c:pt>
                <c:pt idx="2">
                  <c:v>36.767676767676768</c:v>
                </c:pt>
                <c:pt idx="3">
                  <c:v>35.671342685370739</c:v>
                </c:pt>
                <c:pt idx="4">
                  <c:v>27.290836653386457</c:v>
                </c:pt>
              </c:numCache>
            </c:numRef>
          </c:val>
          <c:smooth val="0"/>
          <c:extLst>
            <c:ext xmlns:c16="http://schemas.microsoft.com/office/drawing/2014/chart" uri="{C3380CC4-5D6E-409C-BE32-E72D297353CC}">
              <c16:uniqueId val="{00000011-8F08-4D14-9520-2F24D52E8C1D}"/>
            </c:ext>
          </c:extLst>
        </c:ser>
        <c:ser>
          <c:idx val="8"/>
          <c:order val="17"/>
          <c:tx>
            <c:strRef>
              <c:f>New_Ceased_LAC!$AL$58</c:f>
              <c:strCache>
                <c:ptCount val="1"/>
                <c:pt idx="0">
                  <c:v>Torbay</c:v>
                </c:pt>
              </c:strCache>
            </c:strRef>
          </c:tx>
          <c:spPr>
            <a:ln w="15875"/>
          </c:spPr>
          <c:marker>
            <c:symbol val="circle"/>
            <c:size val="5"/>
            <c:spPr>
              <a:solidFill>
                <a:schemeClr val="accent3">
                  <a:lumMod val="20000"/>
                  <a:lumOff val="80000"/>
                </a:schemeClr>
              </a:solidFill>
            </c:spPr>
          </c:marker>
          <c:cat>
            <c:strRef>
              <c:f>New_Ceased_LAC!$Z$2:$AD$3</c:f>
              <c:strCache>
                <c:ptCount val="5"/>
                <c:pt idx="0">
                  <c:v>2014-15</c:v>
                </c:pt>
                <c:pt idx="1">
                  <c:v>2015-16</c:v>
                </c:pt>
                <c:pt idx="2">
                  <c:v>2016-17</c:v>
                </c:pt>
                <c:pt idx="3">
                  <c:v>2017-18</c:v>
                </c:pt>
                <c:pt idx="4">
                  <c:v>2018-19</c:v>
                </c:pt>
              </c:strCache>
            </c:strRef>
          </c:cat>
          <c:val>
            <c:numRef>
              <c:f>New_Ceased_LAC!$AM$58:$AQ$58</c:f>
              <c:numCache>
                <c:formatCode>0.0</c:formatCode>
                <c:ptCount val="5"/>
                <c:pt idx="0">
                  <c:v>48.605577689243027</c:v>
                </c:pt>
                <c:pt idx="1">
                  <c:v>38.095238095238095</c:v>
                </c:pt>
                <c:pt idx="2">
                  <c:v>45.275590551181104</c:v>
                </c:pt>
                <c:pt idx="3">
                  <c:v>54.330708661417319</c:v>
                </c:pt>
                <c:pt idx="4">
                  <c:v>57.874015748031496</c:v>
                </c:pt>
              </c:numCache>
            </c:numRef>
          </c:val>
          <c:smooth val="0"/>
          <c:extLst>
            <c:ext xmlns:c16="http://schemas.microsoft.com/office/drawing/2014/chart" uri="{C3380CC4-5D6E-409C-BE32-E72D297353CC}">
              <c16:uniqueId val="{00000012-8F08-4D14-9520-2F24D52E8C1D}"/>
            </c:ext>
          </c:extLst>
        </c:ser>
        <c:ser>
          <c:idx val="23"/>
          <c:order val="18"/>
          <c:tx>
            <c:strRef>
              <c:f>New_Ceased_LAC!$AL$59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New_Ceased_LAC!$AM$59:$AQ$59</c:f>
              <c:numCache>
                <c:formatCode>0.0</c:formatCode>
                <c:ptCount val="5"/>
                <c:pt idx="0">
                  <c:v>22.752808988764045</c:v>
                </c:pt>
                <c:pt idx="1">
                  <c:v>15.126050420168067</c:v>
                </c:pt>
                <c:pt idx="2">
                  <c:v>20.612813370473539</c:v>
                </c:pt>
                <c:pt idx="3">
                  <c:v>18.994413407821231</c:v>
                </c:pt>
                <c:pt idx="4">
                  <c:v>22.191011235955056</c:v>
                </c:pt>
              </c:numCache>
            </c:numRef>
          </c:val>
          <c:smooth val="0"/>
          <c:extLst>
            <c:ext xmlns:c16="http://schemas.microsoft.com/office/drawing/2014/chart" uri="{C3380CC4-5D6E-409C-BE32-E72D297353CC}">
              <c16:uniqueId val="{00000013-8F08-4D14-9520-2F24D52E8C1D}"/>
            </c:ext>
          </c:extLst>
        </c:ser>
        <c:ser>
          <c:idx val="24"/>
          <c:order val="19"/>
          <c:tx>
            <c:strRef>
              <c:f>New_Ceased_LAC!$AL$60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New_Ceased_LAC!$AM$60:$AQ$60</c:f>
              <c:numCache>
                <c:formatCode>0.0</c:formatCode>
                <c:ptCount val="5"/>
                <c:pt idx="0">
                  <c:v>21.682464454976305</c:v>
                </c:pt>
                <c:pt idx="1">
                  <c:v>22.300469483568076</c:v>
                </c:pt>
                <c:pt idx="2">
                  <c:v>21.944121071012809</c:v>
                </c:pt>
                <c:pt idx="3">
                  <c:v>21.811886901327181</c:v>
                </c:pt>
                <c:pt idx="4">
                  <c:v>19.805380652547221</c:v>
                </c:pt>
              </c:numCache>
            </c:numRef>
          </c:val>
          <c:smooth val="0"/>
          <c:extLst>
            <c:ext xmlns:c16="http://schemas.microsoft.com/office/drawing/2014/chart" uri="{C3380CC4-5D6E-409C-BE32-E72D297353CC}">
              <c16:uniqueId val="{00000014-8F08-4D14-9520-2F24D52E8C1D}"/>
            </c:ext>
          </c:extLst>
        </c:ser>
        <c:ser>
          <c:idx val="25"/>
          <c:order val="20"/>
          <c:tx>
            <c:strRef>
              <c:f>New_Ceased_LAC!$AL$61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New_Ceased_LAC!$AM$61:$AQ$61</c:f>
              <c:numCache>
                <c:formatCode>0.0</c:formatCode>
                <c:ptCount val="5"/>
                <c:pt idx="0">
                  <c:v>11.676646706586826</c:v>
                </c:pt>
                <c:pt idx="1">
                  <c:v>9.4955489614243334</c:v>
                </c:pt>
                <c:pt idx="2">
                  <c:v>15.497076023391813</c:v>
                </c:pt>
                <c:pt idx="3">
                  <c:v>13.372093023255815</c:v>
                </c:pt>
                <c:pt idx="4">
                  <c:v>18.786127167630056</c:v>
                </c:pt>
              </c:numCache>
            </c:numRef>
          </c:val>
          <c:smooth val="0"/>
          <c:extLst>
            <c:ext xmlns:c16="http://schemas.microsoft.com/office/drawing/2014/chart" uri="{C3380CC4-5D6E-409C-BE32-E72D297353CC}">
              <c16:uniqueId val="{00000015-8F08-4D14-9520-2F24D52E8C1D}"/>
            </c:ext>
          </c:extLst>
        </c:ser>
        <c:ser>
          <c:idx val="26"/>
          <c:order val="21"/>
          <c:tx>
            <c:strRef>
              <c:f>New_Ceased_LAC!$AL$62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New_Ceased_LAC!$AM$62:$AQ$62</c:f>
              <c:numCache>
                <c:formatCode>0.0</c:formatCode>
                <c:ptCount val="5"/>
                <c:pt idx="0">
                  <c:v>11.111111111111111</c:v>
                </c:pt>
                <c:pt idx="1">
                  <c:v>10.187667560321715</c:v>
                </c:pt>
                <c:pt idx="2">
                  <c:v>6.5789473684210522</c:v>
                </c:pt>
                <c:pt idx="3">
                  <c:v>17.054263565891471</c:v>
                </c:pt>
                <c:pt idx="4">
                  <c:v>15.69620253164557</c:v>
                </c:pt>
              </c:numCache>
            </c:numRef>
          </c:val>
          <c:smooth val="0"/>
          <c:extLst>
            <c:ext xmlns:c16="http://schemas.microsoft.com/office/drawing/2014/chart" uri="{C3380CC4-5D6E-409C-BE32-E72D297353CC}">
              <c16:uniqueId val="{00000016-8F08-4D14-9520-2F24D52E8C1D}"/>
            </c:ext>
          </c:extLst>
        </c:ser>
        <c:ser>
          <c:idx val="4"/>
          <c:order val="22"/>
          <c:tx>
            <c:strRef>
              <c:f>New_Ceased_LAC!$AL$63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New_Ceased_LAC!$AM$63:$AQ$63</c:f>
              <c:numCache>
                <c:formatCode>0.0</c:formatCode>
                <c:ptCount val="5"/>
                <c:pt idx="0">
                  <c:v>22.789329972694816</c:v>
                </c:pt>
                <c:pt idx="1">
                  <c:v>26.693081695427765</c:v>
                </c:pt>
                <c:pt idx="2">
                  <c:v>23.382132326315244</c:v>
                </c:pt>
                <c:pt idx="3">
                  <c:v>22.480580276763206</c:v>
                </c:pt>
                <c:pt idx="4">
                  <c:v>22.274445693266578</c:v>
                </c:pt>
              </c:numCache>
            </c:numRef>
          </c:val>
          <c:smooth val="0"/>
          <c:extLst>
            <c:ext xmlns:c16="http://schemas.microsoft.com/office/drawing/2014/chart" uri="{C3380CC4-5D6E-409C-BE32-E72D297353CC}">
              <c16:uniqueId val="{00000017-8F08-4D14-9520-2F24D52E8C1D}"/>
            </c:ext>
          </c:extLst>
        </c:ser>
        <c:ser>
          <c:idx val="14"/>
          <c:order val="23"/>
          <c:tx>
            <c:strRef>
              <c:f>New_Ceased_LAC!$AL$64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2014-15</c:v>
                </c:pt>
                <c:pt idx="1">
                  <c:v>2015-16</c:v>
                </c:pt>
                <c:pt idx="2">
                  <c:v>2016-17</c:v>
                </c:pt>
                <c:pt idx="3">
                  <c:v>2017-18</c:v>
                </c:pt>
                <c:pt idx="4">
                  <c:v>2018-19</c:v>
                </c:pt>
              </c:strCache>
            </c:strRef>
          </c:cat>
          <c:val>
            <c:numRef>
              <c:f>New_Ceased_LAC!$AM$64:$AQ$64</c:f>
              <c:numCache>
                <c:formatCode>0.0</c:formatCode>
                <c:ptCount val="5"/>
                <c:pt idx="0">
                  <c:v>27.053840247763485</c:v>
                </c:pt>
                <c:pt idx="1">
                  <c:v>27.54776115568724</c:v>
                </c:pt>
                <c:pt idx="2">
                  <c:v>27.950073396519393</c:v>
                </c:pt>
                <c:pt idx="3">
                  <c:v>27.125642538130954</c:v>
                </c:pt>
                <c:pt idx="4">
                  <c:v>26.500259314406172</c:v>
                </c:pt>
              </c:numCache>
            </c:numRef>
          </c:val>
          <c:smooth val="0"/>
          <c:extLst>
            <c:ext xmlns:c16="http://schemas.microsoft.com/office/drawing/2014/chart" uri="{C3380CC4-5D6E-409C-BE32-E72D297353CC}">
              <c16:uniqueId val="{00000018-8F08-4D14-9520-2F24D52E8C1D}"/>
            </c:ext>
          </c:extLst>
        </c:ser>
        <c:ser>
          <c:idx val="6"/>
          <c:order val="24"/>
          <c:tx>
            <c:strRef>
              <c:f>New_Ceased_LAC!$AL$65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2014-15</c:v>
                </c:pt>
                <c:pt idx="1">
                  <c:v>2015-16</c:v>
                </c:pt>
                <c:pt idx="2">
                  <c:v>2016-17</c:v>
                </c:pt>
                <c:pt idx="3">
                  <c:v>2017-18</c:v>
                </c:pt>
                <c:pt idx="4">
                  <c:v>2018-19</c:v>
                </c:pt>
              </c:strCache>
            </c:strRef>
          </c:cat>
          <c:val>
            <c:numRef>
              <c:f>New_Ceased_LAC!$AM$65:$AQ$65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F08-4D14-9520-2F24D52E8C1D}"/>
            </c:ext>
          </c:extLst>
        </c:ser>
        <c:dLbls>
          <c:showLegendKey val="0"/>
          <c:showVal val="0"/>
          <c:showCatName val="0"/>
          <c:showSerName val="0"/>
          <c:showPercent val="0"/>
          <c:showBubbleSize val="0"/>
        </c:dLbls>
        <c:marker val="1"/>
        <c:smooth val="0"/>
        <c:axId val="303225856"/>
        <c:axId val="303228032"/>
      </c:lineChart>
      <c:catAx>
        <c:axId val="303225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228032"/>
        <c:crosses val="autoZero"/>
        <c:auto val="1"/>
        <c:lblAlgn val="ctr"/>
        <c:lblOffset val="100"/>
        <c:tickLblSkip val="1"/>
        <c:tickMarkSkip val="1"/>
        <c:noMultiLvlLbl val="0"/>
      </c:catAx>
      <c:valAx>
        <c:axId val="303228032"/>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22585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 to be </a:t>
            </a:r>
            <a:r>
              <a:rPr lang="en-GB" sz="1000" b="1" i="0" u="none" strike="noStrike" baseline="0">
                <a:effectLst/>
              </a:rPr>
              <a:t>Looked After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9147321024527109"/>
          <c:y val="3.8613923259592552E-3"/>
        </c:manualLayout>
      </c:layout>
      <c:overlay val="0"/>
      <c:spPr>
        <a:noFill/>
        <a:ln w="25400">
          <a:noFill/>
        </a:ln>
      </c:spPr>
    </c:title>
    <c:autoTitleDeleted val="0"/>
    <c:plotArea>
      <c:layout>
        <c:manualLayout>
          <c:layoutTarget val="inner"/>
          <c:xMode val="edge"/>
          <c:yMode val="edge"/>
          <c:x val="9.6909984154078643E-2"/>
          <c:y val="0.20946631671041119"/>
          <c:w val="0.65146216862752293"/>
          <c:h val="0.5601899762529684"/>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2014-15</c:v>
                </c:pt>
                <c:pt idx="1">
                  <c:v>2015-16</c:v>
                </c:pt>
                <c:pt idx="2">
                  <c:v>2016-17</c:v>
                </c:pt>
                <c:pt idx="3">
                  <c:v>2017-18</c:v>
                </c:pt>
                <c:pt idx="4">
                  <c:v>2018-19</c:v>
                </c:pt>
              </c:strCache>
            </c:strRef>
          </c:cat>
          <c:val>
            <c:numRef>
              <c:f>New_Ceased_LAC!$AM$65:$AQ$65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436-4E3F-AB1B-171245D71442}"/>
            </c:ext>
          </c:extLst>
        </c:ser>
        <c:ser>
          <c:idx val="4"/>
          <c:order val="1"/>
          <c:tx>
            <c:strRef>
              <c:f>New_Ceased_LAC!$B$32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2014-15</c:v>
                </c:pt>
                <c:pt idx="1">
                  <c:v>2015-16</c:v>
                </c:pt>
                <c:pt idx="2">
                  <c:v>2016-17</c:v>
                </c:pt>
                <c:pt idx="3">
                  <c:v>2017-18</c:v>
                </c:pt>
                <c:pt idx="4">
                  <c:v>2018-19</c:v>
                </c:pt>
              </c:strCache>
            </c:strRef>
          </c:cat>
          <c:val>
            <c:numRef>
              <c:f>New_Ceased_LAC!$K$32:$O$32</c:f>
              <c:numCache>
                <c:formatCode>0.0</c:formatCode>
                <c:ptCount val="5"/>
                <c:pt idx="0">
                  <c:v>22.789329972694816</c:v>
                </c:pt>
                <c:pt idx="1">
                  <c:v>26.693081695427765</c:v>
                </c:pt>
                <c:pt idx="2">
                  <c:v>23.382132326315244</c:v>
                </c:pt>
                <c:pt idx="3">
                  <c:v>22.480580276763206</c:v>
                </c:pt>
                <c:pt idx="4">
                  <c:v>22.274445693266578</c:v>
                </c:pt>
              </c:numCache>
            </c:numRef>
          </c:val>
          <c:extLst>
            <c:ext xmlns:c16="http://schemas.microsoft.com/office/drawing/2014/chart" uri="{C3380CC4-5D6E-409C-BE32-E72D297353CC}">
              <c16:uniqueId val="{00000001-D436-4E3F-AB1B-171245D71442}"/>
            </c:ext>
          </c:extLst>
        </c:ser>
        <c:ser>
          <c:idx val="0"/>
          <c:order val="2"/>
          <c:tx>
            <c:strRef>
              <c:f>New_Ceased_LAC!$B$33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2014-15</c:v>
                </c:pt>
                <c:pt idx="1">
                  <c:v>2015-16</c:v>
                </c:pt>
                <c:pt idx="2">
                  <c:v>2016-17</c:v>
                </c:pt>
                <c:pt idx="3">
                  <c:v>2017-18</c:v>
                </c:pt>
                <c:pt idx="4">
                  <c:v>2018-19</c:v>
                </c:pt>
              </c:strCache>
            </c:strRef>
          </c:cat>
          <c:val>
            <c:numRef>
              <c:f>New_Ceased_LAC!$K$33:$O$33</c:f>
              <c:numCache>
                <c:formatCode>0.0</c:formatCode>
                <c:ptCount val="5"/>
                <c:pt idx="0">
                  <c:v>27.053840247763485</c:v>
                </c:pt>
                <c:pt idx="1">
                  <c:v>27.54776115568724</c:v>
                </c:pt>
                <c:pt idx="2">
                  <c:v>27.950073396519393</c:v>
                </c:pt>
                <c:pt idx="3">
                  <c:v>27.125642538130954</c:v>
                </c:pt>
                <c:pt idx="4">
                  <c:v>26.500259314406172</c:v>
                </c:pt>
              </c:numCache>
            </c:numRef>
          </c:val>
          <c:extLst>
            <c:ext xmlns:c16="http://schemas.microsoft.com/office/drawing/2014/chart" uri="{C3380CC4-5D6E-409C-BE32-E72D297353CC}">
              <c16:uniqueId val="{00000002-D436-4E3F-AB1B-171245D71442}"/>
            </c:ext>
          </c:extLst>
        </c:ser>
        <c:dLbls>
          <c:showLegendKey val="0"/>
          <c:showVal val="0"/>
          <c:showCatName val="0"/>
          <c:showSerName val="0"/>
          <c:showPercent val="0"/>
          <c:showBubbleSize val="0"/>
        </c:dLbls>
        <c:gapWidth val="100"/>
        <c:axId val="303336064"/>
        <c:axId val="303341952"/>
      </c:barChart>
      <c:catAx>
        <c:axId val="303336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341952"/>
        <c:crosses val="autoZero"/>
        <c:auto val="1"/>
        <c:lblAlgn val="ctr"/>
        <c:lblOffset val="100"/>
        <c:noMultiLvlLbl val="0"/>
      </c:catAx>
      <c:valAx>
        <c:axId val="30334195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336064"/>
        <c:crosses val="autoZero"/>
        <c:crossBetween val="between"/>
      </c:valAx>
      <c:spPr>
        <a:noFill/>
        <a:ln w="3175">
          <a:solidFill>
            <a:srgbClr val="000000"/>
          </a:solidFill>
          <a:prstDash val="solid"/>
        </a:ln>
      </c:spPr>
    </c:plotArea>
    <c:legend>
      <c:legendPos val="r"/>
      <c:layout>
        <c:manualLayout>
          <c:xMode val="edge"/>
          <c:yMode val="edge"/>
          <c:x val="0.75128224273689925"/>
          <c:y val="0.17953653819588342"/>
          <c:w val="0.248717757263100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 starting to be Looked After who were remanded into LA Care</a:t>
            </a:r>
          </a:p>
          <a:p>
            <a:pPr>
              <a:defRPr sz="900" b="1" i="0" u="none" strike="noStrike" baseline="0">
                <a:solidFill>
                  <a:srgbClr val="000000"/>
                </a:solidFill>
                <a:latin typeface="Arial"/>
                <a:ea typeface="Arial"/>
                <a:cs typeface="Arial"/>
              </a:defRPr>
            </a:pPr>
            <a:r>
              <a:rPr lang="en-GB" sz="900"/>
              <a:t> (Selected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9705968572110303"/>
          <c:w val="0.64607416380644722"/>
          <c:h val="0.45165627023894739"/>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2014-15</c:v>
                </c:pt>
                <c:pt idx="1">
                  <c:v>2015-16</c:v>
                </c:pt>
                <c:pt idx="2">
                  <c:v>2016-17</c:v>
                </c:pt>
                <c:pt idx="3">
                  <c:v>2017-18</c:v>
                </c:pt>
                <c:pt idx="4">
                  <c:v>2018-19</c:v>
                </c:pt>
              </c:strCache>
            </c:strRef>
          </c:cat>
          <c:val>
            <c:numRef>
              <c:f>New_Ceased_LAC!$AX$65:$BB$65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3FA-47DD-893E-99D50EA5524B}"/>
            </c:ext>
          </c:extLst>
        </c:ser>
        <c:ser>
          <c:idx val="4"/>
          <c:order val="1"/>
          <c:tx>
            <c:strRef>
              <c:f>New_Ceased_LAC!$B$99</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2014-15</c:v>
                </c:pt>
                <c:pt idx="1">
                  <c:v>2015-16</c:v>
                </c:pt>
                <c:pt idx="2">
                  <c:v>2016-17</c:v>
                </c:pt>
                <c:pt idx="3">
                  <c:v>2017-18</c:v>
                </c:pt>
                <c:pt idx="4">
                  <c:v>2018-19</c:v>
                </c:pt>
              </c:strCache>
            </c:strRef>
          </c:cat>
          <c:val>
            <c:numRef>
              <c:f>New_Ceased_LAC!$D$99:$H$99</c:f>
              <c:numCache>
                <c:formatCode>0%</c:formatCode>
                <c:ptCount val="5"/>
                <c:pt idx="0">
                  <c:v>#N/A</c:v>
                </c:pt>
                <c:pt idx="1">
                  <c:v>#N/A</c:v>
                </c:pt>
                <c:pt idx="2">
                  <c:v>#N/A</c:v>
                </c:pt>
                <c:pt idx="3">
                  <c:v>#N/A</c:v>
                </c:pt>
                <c:pt idx="4">
                  <c:v>1.6055045871559634E-2</c:v>
                </c:pt>
              </c:numCache>
            </c:numRef>
          </c:val>
          <c:extLst>
            <c:ext xmlns:c16="http://schemas.microsoft.com/office/drawing/2014/chart" uri="{C3380CC4-5D6E-409C-BE32-E72D297353CC}">
              <c16:uniqueId val="{00000001-53FA-47DD-893E-99D50EA5524B}"/>
            </c:ext>
          </c:extLst>
        </c:ser>
        <c:ser>
          <c:idx val="0"/>
          <c:order val="2"/>
          <c:tx>
            <c:strRef>
              <c:f>New_Ceased_LAC!$B$100</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2014-15</c:v>
                </c:pt>
                <c:pt idx="1">
                  <c:v>2015-16</c:v>
                </c:pt>
                <c:pt idx="2">
                  <c:v>2016-17</c:v>
                </c:pt>
                <c:pt idx="3">
                  <c:v>2017-18</c:v>
                </c:pt>
                <c:pt idx="4">
                  <c:v>2018-19</c:v>
                </c:pt>
              </c:strCache>
            </c:strRef>
          </c:cat>
          <c:val>
            <c:numRef>
              <c:f>New_Ceased_LAC!$D$100:$H$100</c:f>
              <c:numCache>
                <c:formatCode>0%</c:formatCode>
                <c:ptCount val="5"/>
                <c:pt idx="0">
                  <c:v>#N/A</c:v>
                </c:pt>
                <c:pt idx="1">
                  <c:v>#N/A</c:v>
                </c:pt>
                <c:pt idx="2">
                  <c:v>#N/A</c:v>
                </c:pt>
                <c:pt idx="3">
                  <c:v>#N/A</c:v>
                </c:pt>
                <c:pt idx="4">
                  <c:v>2.462121212121212E-2</c:v>
                </c:pt>
              </c:numCache>
            </c:numRef>
          </c:val>
          <c:extLst>
            <c:ext xmlns:c16="http://schemas.microsoft.com/office/drawing/2014/chart" uri="{C3380CC4-5D6E-409C-BE32-E72D297353CC}">
              <c16:uniqueId val="{00000002-53FA-47DD-893E-99D50EA5524B}"/>
            </c:ext>
          </c:extLst>
        </c:ser>
        <c:dLbls>
          <c:showLegendKey val="0"/>
          <c:showVal val="0"/>
          <c:showCatName val="0"/>
          <c:showSerName val="0"/>
          <c:showPercent val="0"/>
          <c:showBubbleSize val="0"/>
        </c:dLbls>
        <c:gapWidth val="100"/>
        <c:axId val="303708032"/>
        <c:axId val="303709568"/>
      </c:barChart>
      <c:catAx>
        <c:axId val="303708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709568"/>
        <c:crosses val="autoZero"/>
        <c:auto val="1"/>
        <c:lblAlgn val="ctr"/>
        <c:lblOffset val="100"/>
        <c:noMultiLvlLbl val="0"/>
      </c:catAx>
      <c:valAx>
        <c:axId val="3037095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708032"/>
        <c:crosses val="autoZero"/>
        <c:crossBetween val="between"/>
      </c:valAx>
      <c:spPr>
        <a:noFill/>
        <a:ln w="3175">
          <a:solidFill>
            <a:srgbClr val="000000"/>
          </a:solidFill>
          <a:prstDash val="solid"/>
        </a:ln>
      </c:spPr>
    </c:plotArea>
    <c:legend>
      <c:legendPos val="r"/>
      <c:layout>
        <c:manualLayout>
          <c:xMode val="edge"/>
          <c:yMode val="edge"/>
          <c:x val="0.75565138973012991"/>
          <c:y val="0.24591471520605379"/>
          <c:w val="0.24434861026987012"/>
          <c:h val="0.738678801513447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starting to be Looked After during the period who were remanded into Local Authority Care</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New_Ceased_LAC!$AL$41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112-4C26-A914-8DEE77FEE6F0}"/>
              </c:ext>
            </c:extLst>
          </c:dPt>
          <c:cat>
            <c:strRef>
              <c:f>New_Ceased_LAC!$Z$2:$AD$3</c:f>
              <c:strCache>
                <c:ptCount val="5"/>
                <c:pt idx="0">
                  <c:v>2014-15</c:v>
                </c:pt>
                <c:pt idx="1">
                  <c:v>2015-16</c:v>
                </c:pt>
                <c:pt idx="2">
                  <c:v>2016-17</c:v>
                </c:pt>
                <c:pt idx="3">
                  <c:v>2017-18</c:v>
                </c:pt>
                <c:pt idx="4">
                  <c:v>2018-19</c:v>
                </c:pt>
              </c:strCache>
            </c:strRef>
          </c:cat>
          <c:val>
            <c:numRef>
              <c:f>New_Ceased_LAC!$AX$41:$BB$41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112-4C26-A914-8DEE77FEE6F0}"/>
            </c:ext>
          </c:extLst>
        </c:ser>
        <c:ser>
          <c:idx val="1"/>
          <c:order val="1"/>
          <c:tx>
            <c:strRef>
              <c:f>New_Ceased_LAC!$AL$42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D112-4C26-A914-8DEE77FEE6F0}"/>
            </c:ext>
          </c:extLst>
        </c:ser>
        <c:ser>
          <c:idx val="2"/>
          <c:order val="2"/>
          <c:tx>
            <c:strRef>
              <c:f>New_Ceased_LAC!$AL$43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New_Ceased_LAC!$AX$43:$BB$43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D112-4C26-A914-8DEE77FEE6F0}"/>
            </c:ext>
          </c:extLst>
        </c:ser>
        <c:ser>
          <c:idx val="5"/>
          <c:order val="3"/>
          <c:tx>
            <c:strRef>
              <c:f>New_Ceased_LAC!$AL$44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New_Ceased_LAC!$AX$44:$BB$44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D112-4C26-A914-8DEE77FEE6F0}"/>
            </c:ext>
          </c:extLst>
        </c:ser>
        <c:ser>
          <c:idx val="9"/>
          <c:order val="4"/>
          <c:tx>
            <c:strRef>
              <c:f>New_Ceased_LAC!$AL$45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New_Ceased_LAC!$AX$45:$BB$45</c:f>
              <c:numCache>
                <c:formatCode>0.0%</c:formatCode>
                <c:ptCount val="5"/>
                <c:pt idx="0">
                  <c:v>#N/A</c:v>
                </c:pt>
                <c:pt idx="1">
                  <c:v>#N/A</c:v>
                </c:pt>
                <c:pt idx="2">
                  <c:v>#N/A</c:v>
                </c:pt>
                <c:pt idx="3">
                  <c:v>#N/A</c:v>
                </c:pt>
                <c:pt idx="4">
                  <c:v>1.8404907975460124E-2</c:v>
                </c:pt>
              </c:numCache>
            </c:numRef>
          </c:val>
          <c:smooth val="0"/>
          <c:extLst>
            <c:ext xmlns:c16="http://schemas.microsoft.com/office/drawing/2014/chart" uri="{C3380CC4-5D6E-409C-BE32-E72D297353CC}">
              <c16:uniqueId val="{00000005-D112-4C26-A914-8DEE77FEE6F0}"/>
            </c:ext>
          </c:extLst>
        </c:ser>
        <c:ser>
          <c:idx val="10"/>
          <c:order val="5"/>
          <c:tx>
            <c:strRef>
              <c:f>New_Ceased_LAC!$AL$46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New_Ceased_LAC!$AX$46:$BB$46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D112-4C26-A914-8DEE77FEE6F0}"/>
            </c:ext>
          </c:extLst>
        </c:ser>
        <c:ser>
          <c:idx val="11"/>
          <c:order val="6"/>
          <c:tx>
            <c:strRef>
              <c:f>New_Ceased_LAC!$AL$47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New_Ceased_LAC!$AX$47:$BB$47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D112-4C26-A914-8DEE77FEE6F0}"/>
            </c:ext>
          </c:extLst>
        </c:ser>
        <c:ser>
          <c:idx val="12"/>
          <c:order val="7"/>
          <c:tx>
            <c:strRef>
              <c:f>New_Ceased_LAC!$AL$48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D112-4C26-A914-8DEE77FEE6F0}"/>
            </c:ext>
          </c:extLst>
        </c:ser>
        <c:ser>
          <c:idx val="13"/>
          <c:order val="8"/>
          <c:tx>
            <c:strRef>
              <c:f>New_Ceased_LAC!$AL$49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New_Ceased_LAC!$AX$49:$BB$49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D112-4C26-A914-8DEE77FEE6F0}"/>
            </c:ext>
          </c:extLst>
        </c:ser>
        <c:ser>
          <c:idx val="15"/>
          <c:order val="9"/>
          <c:tx>
            <c:strRef>
              <c:f>New_Ceased_LAC!$AL$50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New_Ceased_LAC!$AX$50:$BB$50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D112-4C26-A914-8DEE77FEE6F0}"/>
            </c:ext>
          </c:extLst>
        </c:ser>
        <c:ser>
          <c:idx val="16"/>
          <c:order val="10"/>
          <c:tx>
            <c:strRef>
              <c:f>New_Ceased_LAC!$AL$51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D112-4C26-A914-8DEE77FEE6F0}"/>
            </c:ext>
          </c:extLst>
        </c:ser>
        <c:ser>
          <c:idx val="17"/>
          <c:order val="11"/>
          <c:tx>
            <c:strRef>
              <c:f>New_Ceased_LAC!$AL$52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New_Ceased_LAC!$AX$52:$BB$52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D112-4C26-A914-8DEE77FEE6F0}"/>
            </c:ext>
          </c:extLst>
        </c:ser>
        <c:ser>
          <c:idx val="19"/>
          <c:order val="12"/>
          <c:tx>
            <c:strRef>
              <c:f>New_Ceased_LAC!$AL$53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New_Ceased_LAC!$AX$53:$BB$53</c:f>
              <c:numCache>
                <c:formatCode>0.0%</c:formatCode>
                <c:ptCount val="5"/>
                <c:pt idx="0">
                  <c:v>#N/A</c:v>
                </c:pt>
                <c:pt idx="1">
                  <c:v>#N/A</c:v>
                </c:pt>
                <c:pt idx="2">
                  <c:v>#N/A</c:v>
                </c:pt>
                <c:pt idx="3">
                  <c:v>#N/A</c:v>
                </c:pt>
                <c:pt idx="4">
                  <c:v>5.9701492537313432E-2</c:v>
                </c:pt>
              </c:numCache>
            </c:numRef>
          </c:val>
          <c:smooth val="0"/>
          <c:extLst>
            <c:ext xmlns:c16="http://schemas.microsoft.com/office/drawing/2014/chart" uri="{C3380CC4-5D6E-409C-BE32-E72D297353CC}">
              <c16:uniqueId val="{0000000D-D112-4C26-A914-8DEE77FEE6F0}"/>
            </c:ext>
          </c:extLst>
        </c:ser>
        <c:ser>
          <c:idx val="3"/>
          <c:order val="13"/>
          <c:tx>
            <c:strRef>
              <c:f>New_Ceased_LAC!$AL$54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New_Ceased_LAC!$AX$54:$BB$54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D112-4C26-A914-8DEE77FEE6F0}"/>
            </c:ext>
          </c:extLst>
        </c:ser>
        <c:ser>
          <c:idx val="20"/>
          <c:order val="14"/>
          <c:tx>
            <c:strRef>
              <c:f>New_Ceased_LAC!$AL$55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New_Ceased_LAC!$AX$55:$BB$55</c:f>
              <c:numCache>
                <c:formatCode>0.0%</c:formatCode>
                <c:ptCount val="5"/>
                <c:pt idx="0">
                  <c:v>#N/A</c:v>
                </c:pt>
                <c:pt idx="1">
                  <c:v>#N/A</c:v>
                </c:pt>
                <c:pt idx="2">
                  <c:v>#N/A</c:v>
                </c:pt>
                <c:pt idx="3">
                  <c:v>#N/A</c:v>
                </c:pt>
                <c:pt idx="4">
                  <c:v>4.7058823529411764E-2</c:v>
                </c:pt>
              </c:numCache>
            </c:numRef>
          </c:val>
          <c:smooth val="0"/>
          <c:extLst>
            <c:ext xmlns:c16="http://schemas.microsoft.com/office/drawing/2014/chart" uri="{C3380CC4-5D6E-409C-BE32-E72D297353CC}">
              <c16:uniqueId val="{0000000F-D112-4C26-A914-8DEE77FEE6F0}"/>
            </c:ext>
          </c:extLst>
        </c:ser>
        <c:ser>
          <c:idx val="22"/>
          <c:order val="15"/>
          <c:tx>
            <c:strRef>
              <c:f>New_Ceased_LAC!$AL$56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D112-4C26-A914-8DEE77FEE6F0}"/>
            </c:ext>
          </c:extLst>
        </c:ser>
        <c:ser>
          <c:idx val="7"/>
          <c:order val="16"/>
          <c:tx>
            <c:strRef>
              <c:f>New_Ceased_LAC!$AL$57</c:f>
              <c:strCache>
                <c:ptCount val="1"/>
                <c:pt idx="0">
                  <c:v>Swindon</c:v>
                </c:pt>
              </c:strCache>
            </c:strRef>
          </c:tx>
          <c:spPr>
            <a:ln w="15875"/>
          </c:spPr>
          <c:marker>
            <c:symbol val="triangle"/>
            <c:size val="5"/>
            <c:spPr>
              <a:solidFill>
                <a:schemeClr val="accent2">
                  <a:lumMod val="20000"/>
                  <a:lumOff val="80000"/>
                </a:schemeClr>
              </a:solidFill>
            </c:spPr>
          </c:marker>
          <c:cat>
            <c:strRef>
              <c:f>New_Ceased_LAC!$Z$2:$AD$3</c:f>
              <c:strCache>
                <c:ptCount val="5"/>
                <c:pt idx="0">
                  <c:v>2014-15</c:v>
                </c:pt>
                <c:pt idx="1">
                  <c:v>2015-16</c:v>
                </c:pt>
                <c:pt idx="2">
                  <c:v>2016-17</c:v>
                </c:pt>
                <c:pt idx="3">
                  <c:v>2017-18</c:v>
                </c:pt>
                <c:pt idx="4">
                  <c:v>2018-19</c:v>
                </c:pt>
              </c:strCache>
            </c:strRef>
          </c:cat>
          <c:val>
            <c:numRef>
              <c:f>New_Ceased_LAC!$AX$57:$BB$57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D112-4C26-A914-8DEE77FEE6F0}"/>
            </c:ext>
          </c:extLst>
        </c:ser>
        <c:ser>
          <c:idx val="8"/>
          <c:order val="17"/>
          <c:tx>
            <c:strRef>
              <c:f>New_Ceased_LAC!$AL$58</c:f>
              <c:strCache>
                <c:ptCount val="1"/>
                <c:pt idx="0">
                  <c:v>Torbay</c:v>
                </c:pt>
              </c:strCache>
            </c:strRef>
          </c:tx>
          <c:spPr>
            <a:ln w="15875"/>
          </c:spPr>
          <c:marker>
            <c:symbol val="circle"/>
            <c:size val="5"/>
            <c:spPr>
              <a:solidFill>
                <a:schemeClr val="accent3">
                  <a:lumMod val="20000"/>
                  <a:lumOff val="80000"/>
                </a:schemeClr>
              </a:solidFill>
            </c:spPr>
          </c:marker>
          <c:cat>
            <c:strRef>
              <c:f>New_Ceased_LAC!$Z$2:$AD$3</c:f>
              <c:strCache>
                <c:ptCount val="5"/>
                <c:pt idx="0">
                  <c:v>2014-15</c:v>
                </c:pt>
                <c:pt idx="1">
                  <c:v>2015-16</c:v>
                </c:pt>
                <c:pt idx="2">
                  <c:v>2016-17</c:v>
                </c:pt>
                <c:pt idx="3">
                  <c:v>2017-18</c:v>
                </c:pt>
                <c:pt idx="4">
                  <c:v>2018-19</c:v>
                </c:pt>
              </c:strCache>
            </c:strRef>
          </c:cat>
          <c:val>
            <c:numRef>
              <c:f>New_Ceased_LAC!$AX$58:$BB$58</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12-D112-4C26-A914-8DEE77FEE6F0}"/>
            </c:ext>
          </c:extLst>
        </c:ser>
        <c:ser>
          <c:idx val="23"/>
          <c:order val="18"/>
          <c:tx>
            <c:strRef>
              <c:f>New_Ceased_LAC!$AL$59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New_Ceased_LAC!$AX$59:$BB$59</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13-D112-4C26-A914-8DEE77FEE6F0}"/>
            </c:ext>
          </c:extLst>
        </c:ser>
        <c:ser>
          <c:idx val="24"/>
          <c:order val="19"/>
          <c:tx>
            <c:strRef>
              <c:f>New_Ceased_LAC!$AL$60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New_Ceased_LAC!$AX$60:$BB$60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D112-4C26-A914-8DEE77FEE6F0}"/>
            </c:ext>
          </c:extLst>
        </c:ser>
        <c:ser>
          <c:idx val="25"/>
          <c:order val="20"/>
          <c:tx>
            <c:strRef>
              <c:f>New_Ceased_LAC!$AL$61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New_Ceased_LAC!$AX$61:$BB$61</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15-D112-4C26-A914-8DEE77FEE6F0}"/>
            </c:ext>
          </c:extLst>
        </c:ser>
        <c:ser>
          <c:idx val="26"/>
          <c:order val="21"/>
          <c:tx>
            <c:strRef>
              <c:f>New_Ceased_LAC!$AL$62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New_Ceased_LAC!$AX$62:$BB$62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D112-4C26-A914-8DEE77FEE6F0}"/>
            </c:ext>
          </c:extLst>
        </c:ser>
        <c:ser>
          <c:idx val="4"/>
          <c:order val="22"/>
          <c:tx>
            <c:strRef>
              <c:f>New_Ceased_LAC!$AL$63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New_Ceased_LAC!$AX$63:$BB$63</c:f>
              <c:numCache>
                <c:formatCode>0.0%</c:formatCode>
                <c:ptCount val="5"/>
                <c:pt idx="0">
                  <c:v>#N/A</c:v>
                </c:pt>
                <c:pt idx="1">
                  <c:v>#N/A</c:v>
                </c:pt>
                <c:pt idx="2">
                  <c:v>#N/A</c:v>
                </c:pt>
                <c:pt idx="3">
                  <c:v>#N/A</c:v>
                </c:pt>
                <c:pt idx="4">
                  <c:v>1.6055045871559634E-2</c:v>
                </c:pt>
              </c:numCache>
            </c:numRef>
          </c:val>
          <c:smooth val="0"/>
          <c:extLst>
            <c:ext xmlns:c16="http://schemas.microsoft.com/office/drawing/2014/chart" uri="{C3380CC4-5D6E-409C-BE32-E72D297353CC}">
              <c16:uniqueId val="{00000017-D112-4C26-A914-8DEE77FEE6F0}"/>
            </c:ext>
          </c:extLst>
        </c:ser>
        <c:ser>
          <c:idx val="14"/>
          <c:order val="23"/>
          <c:tx>
            <c:strRef>
              <c:f>New_Ceased_LAC!$AL$64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New_Ceased_LAC!$Z$2:$AD$3</c:f>
              <c:strCache>
                <c:ptCount val="5"/>
                <c:pt idx="0">
                  <c:v>2014-15</c:v>
                </c:pt>
                <c:pt idx="1">
                  <c:v>2015-16</c:v>
                </c:pt>
                <c:pt idx="2">
                  <c:v>2016-17</c:v>
                </c:pt>
                <c:pt idx="3">
                  <c:v>2017-18</c:v>
                </c:pt>
                <c:pt idx="4">
                  <c:v>2018-19</c:v>
                </c:pt>
              </c:strCache>
            </c:strRef>
          </c:cat>
          <c:val>
            <c:numRef>
              <c:f>New_Ceased_LAC!$AX$64:$BB$64</c:f>
              <c:numCache>
                <c:formatCode>0.0%</c:formatCode>
                <c:ptCount val="5"/>
                <c:pt idx="0">
                  <c:v>#N/A</c:v>
                </c:pt>
                <c:pt idx="1">
                  <c:v>#N/A</c:v>
                </c:pt>
                <c:pt idx="2">
                  <c:v>#N/A</c:v>
                </c:pt>
                <c:pt idx="3">
                  <c:v>#N/A</c:v>
                </c:pt>
                <c:pt idx="4">
                  <c:v>2.462121212121212E-2</c:v>
                </c:pt>
              </c:numCache>
            </c:numRef>
          </c:val>
          <c:smooth val="0"/>
          <c:extLst>
            <c:ext xmlns:c16="http://schemas.microsoft.com/office/drawing/2014/chart" uri="{C3380CC4-5D6E-409C-BE32-E72D297353CC}">
              <c16:uniqueId val="{00000018-D112-4C26-A914-8DEE77FEE6F0}"/>
            </c:ext>
          </c:extLst>
        </c:ser>
        <c:ser>
          <c:idx val="6"/>
          <c:order val="24"/>
          <c:tx>
            <c:strRef>
              <c:f>New_Ceased_LAC!$AL$65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2014-15</c:v>
                </c:pt>
                <c:pt idx="1">
                  <c:v>2015-16</c:v>
                </c:pt>
                <c:pt idx="2">
                  <c:v>2016-17</c:v>
                </c:pt>
                <c:pt idx="3">
                  <c:v>2017-18</c:v>
                </c:pt>
                <c:pt idx="4">
                  <c:v>2018-19</c:v>
                </c:pt>
              </c:strCache>
            </c:strRef>
          </c:cat>
          <c:val>
            <c:numRef>
              <c:f>New_Ceased_LAC!$AX$65:$BB$65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112-4C26-A914-8DEE77FEE6F0}"/>
            </c:ext>
          </c:extLst>
        </c:ser>
        <c:dLbls>
          <c:showLegendKey val="0"/>
          <c:showVal val="0"/>
          <c:showCatName val="0"/>
          <c:showSerName val="0"/>
          <c:showPercent val="0"/>
          <c:showBubbleSize val="0"/>
        </c:dLbls>
        <c:marker val="1"/>
        <c:smooth val="0"/>
        <c:axId val="303381120"/>
        <c:axId val="303382912"/>
      </c:lineChart>
      <c:catAx>
        <c:axId val="303381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382912"/>
        <c:crosses val="autoZero"/>
        <c:auto val="1"/>
        <c:lblAlgn val="ctr"/>
        <c:lblOffset val="100"/>
        <c:tickLblSkip val="1"/>
        <c:tickMarkSkip val="1"/>
        <c:noMultiLvlLbl val="0"/>
      </c:catAx>
      <c:valAx>
        <c:axId val="30338291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38112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Ceasing to be Looked After, per 10,000 </a:t>
            </a:r>
          </a:p>
          <a:p>
            <a:pPr>
              <a:defRPr sz="1000" b="1" i="0" u="none" strike="noStrike" baseline="0">
                <a:solidFill>
                  <a:srgbClr val="000000"/>
                </a:solidFill>
                <a:latin typeface="Arial"/>
                <a:ea typeface="Arial"/>
                <a:cs typeface="Arial"/>
              </a:defRPr>
            </a:pPr>
            <a:r>
              <a:rPr lang="en-GB"/>
              <a:t>0-17 year olds</a:t>
            </a:r>
          </a:p>
        </c:rich>
      </c:tx>
      <c:layout>
        <c:manualLayout>
          <c:xMode val="edge"/>
          <c:yMode val="edge"/>
          <c:x val="0.1504249781277340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New_Ceased_LAC!$AL$148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140-437C-B642-F80E02DBF629}"/>
              </c:ext>
            </c:extLst>
          </c:dPt>
          <c:cat>
            <c:strRef>
              <c:f>New_Ceased_LAC!$Z$2:$AD$3</c:f>
              <c:strCache>
                <c:ptCount val="5"/>
                <c:pt idx="0">
                  <c:v>2014-15</c:v>
                </c:pt>
                <c:pt idx="1">
                  <c:v>2015-16</c:v>
                </c:pt>
                <c:pt idx="2">
                  <c:v>2016-17</c:v>
                </c:pt>
                <c:pt idx="3">
                  <c:v>2017-18</c:v>
                </c:pt>
                <c:pt idx="4">
                  <c:v>2018-19</c:v>
                </c:pt>
              </c:strCache>
            </c:strRef>
          </c:cat>
          <c:val>
            <c:numRef>
              <c:f>New_Ceased_LAC!$AM$148:$AQ$148</c:f>
              <c:numCache>
                <c:formatCode>0.0</c:formatCode>
                <c:ptCount val="5"/>
                <c:pt idx="0">
                  <c:v>20.863309352517987</c:v>
                </c:pt>
                <c:pt idx="1">
                  <c:v>24.113475177304963</c:v>
                </c:pt>
                <c:pt idx="2">
                  <c:v>17.375886524822697</c:v>
                </c:pt>
                <c:pt idx="3">
                  <c:v>23.843416370106763</c:v>
                </c:pt>
                <c:pt idx="4">
                  <c:v>22.968197879858657</c:v>
                </c:pt>
              </c:numCache>
            </c:numRef>
          </c:val>
          <c:smooth val="0"/>
          <c:extLst>
            <c:ext xmlns:c16="http://schemas.microsoft.com/office/drawing/2014/chart" uri="{C3380CC4-5D6E-409C-BE32-E72D297353CC}">
              <c16:uniqueId val="{00000001-8140-437C-B642-F80E02DBF629}"/>
            </c:ext>
          </c:extLst>
        </c:ser>
        <c:ser>
          <c:idx val="1"/>
          <c:order val="1"/>
          <c:tx>
            <c:strRef>
              <c:f>New_Ceased_LAC!$AL$149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New_Ceased_LAC!$AM$149:$AQ$149</c:f>
              <c:numCache>
                <c:formatCode>0.0</c:formatCode>
                <c:ptCount val="5"/>
                <c:pt idx="0">
                  <c:v>37.647058823529413</c:v>
                </c:pt>
                <c:pt idx="1">
                  <c:v>47.8515625</c:v>
                </c:pt>
                <c:pt idx="2">
                  <c:v>34.892787524366469</c:v>
                </c:pt>
                <c:pt idx="3">
                  <c:v>34.509803921568626</c:v>
                </c:pt>
                <c:pt idx="4">
                  <c:v>36.666666666666664</c:v>
                </c:pt>
              </c:numCache>
            </c:numRef>
          </c:val>
          <c:smooth val="0"/>
          <c:extLst>
            <c:ext xmlns:c16="http://schemas.microsoft.com/office/drawing/2014/chart" uri="{C3380CC4-5D6E-409C-BE32-E72D297353CC}">
              <c16:uniqueId val="{00000002-8140-437C-B642-F80E02DBF629}"/>
            </c:ext>
          </c:extLst>
        </c:ser>
        <c:ser>
          <c:idx val="2"/>
          <c:order val="2"/>
          <c:tx>
            <c:strRef>
              <c:f>New_Ceased_LAC!$AL$150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New_Ceased_LAC!$AM$150:$AQ$150</c:f>
              <c:numCache>
                <c:formatCode>0.0</c:formatCode>
                <c:ptCount val="5"/>
                <c:pt idx="0">
                  <c:v>13.62489486963835</c:v>
                </c:pt>
                <c:pt idx="1">
                  <c:v>18.822553897180764</c:v>
                </c:pt>
                <c:pt idx="2">
                  <c:v>17.594108019639933</c:v>
                </c:pt>
                <c:pt idx="3">
                  <c:v>14.62225832656377</c:v>
                </c:pt>
                <c:pt idx="4">
                  <c:v>13.676588897827836</c:v>
                </c:pt>
              </c:numCache>
            </c:numRef>
          </c:val>
          <c:smooth val="0"/>
          <c:extLst>
            <c:ext xmlns:c16="http://schemas.microsoft.com/office/drawing/2014/chart" uri="{C3380CC4-5D6E-409C-BE32-E72D297353CC}">
              <c16:uniqueId val="{00000003-8140-437C-B642-F80E02DBF629}"/>
            </c:ext>
          </c:extLst>
        </c:ser>
        <c:ser>
          <c:idx val="5"/>
          <c:order val="3"/>
          <c:tx>
            <c:strRef>
              <c:f>New_Ceased_LAC!$AL$151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New_Ceased_LAC!$AM$151:$AQ$151</c:f>
              <c:numCache>
                <c:formatCode>0.0</c:formatCode>
                <c:ptCount val="5"/>
                <c:pt idx="0">
                  <c:v>17.931688804554078</c:v>
                </c:pt>
                <c:pt idx="1">
                  <c:v>18.130311614730878</c:v>
                </c:pt>
                <c:pt idx="2">
                  <c:v>17.469310670443814</c:v>
                </c:pt>
                <c:pt idx="3">
                  <c:v>15.283018867924527</c:v>
                </c:pt>
                <c:pt idx="4">
                  <c:v>18.045112781954888</c:v>
                </c:pt>
              </c:numCache>
            </c:numRef>
          </c:val>
          <c:smooth val="0"/>
          <c:extLst>
            <c:ext xmlns:c16="http://schemas.microsoft.com/office/drawing/2014/chart" uri="{C3380CC4-5D6E-409C-BE32-E72D297353CC}">
              <c16:uniqueId val="{00000004-8140-437C-B642-F80E02DBF629}"/>
            </c:ext>
          </c:extLst>
        </c:ser>
        <c:ser>
          <c:idx val="9"/>
          <c:order val="4"/>
          <c:tx>
            <c:strRef>
              <c:f>New_Ceased_LAC!$AL$152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New_Ceased_LAC!$AM$152:$AQ$152</c:f>
              <c:numCache>
                <c:formatCode>0.0</c:formatCode>
                <c:ptCount val="5"/>
                <c:pt idx="0">
                  <c:v>19.396092362344582</c:v>
                </c:pt>
                <c:pt idx="1">
                  <c:v>19.333096842852076</c:v>
                </c:pt>
                <c:pt idx="2">
                  <c:v>18.811881188118811</c:v>
                </c:pt>
                <c:pt idx="3">
                  <c:v>17.154959406989057</c:v>
                </c:pt>
                <c:pt idx="4">
                  <c:v>20.880281690140844</c:v>
                </c:pt>
              </c:numCache>
            </c:numRef>
          </c:val>
          <c:smooth val="0"/>
          <c:extLst>
            <c:ext xmlns:c16="http://schemas.microsoft.com/office/drawing/2014/chart" uri="{C3380CC4-5D6E-409C-BE32-E72D297353CC}">
              <c16:uniqueId val="{00000005-8140-437C-B642-F80E02DBF629}"/>
            </c:ext>
          </c:extLst>
        </c:ser>
        <c:ser>
          <c:idx val="10"/>
          <c:order val="5"/>
          <c:tx>
            <c:strRef>
              <c:f>New_Ceased_LAC!$AL$153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New_Ceased_LAC!$AM$153:$AQ$153</c:f>
              <c:numCache>
                <c:formatCode>0.0</c:formatCode>
                <c:ptCount val="5"/>
                <c:pt idx="0">
                  <c:v>30.980392156862742</c:v>
                </c:pt>
                <c:pt idx="1">
                  <c:v>28.853754940711465</c:v>
                </c:pt>
                <c:pt idx="2">
                  <c:v>30.158730158730162</c:v>
                </c:pt>
                <c:pt idx="3">
                  <c:v>32.669322709163346</c:v>
                </c:pt>
                <c:pt idx="4">
                  <c:v>24.497991967871485</c:v>
                </c:pt>
              </c:numCache>
            </c:numRef>
          </c:val>
          <c:smooth val="0"/>
          <c:extLst>
            <c:ext xmlns:c16="http://schemas.microsoft.com/office/drawing/2014/chart" uri="{C3380CC4-5D6E-409C-BE32-E72D297353CC}">
              <c16:uniqueId val="{00000006-8140-437C-B642-F80E02DBF629}"/>
            </c:ext>
          </c:extLst>
        </c:ser>
        <c:ser>
          <c:idx val="11"/>
          <c:order val="6"/>
          <c:tx>
            <c:strRef>
              <c:f>New_Ceased_LAC!$AL$154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New_Ceased_LAC!$AM$154:$AQ$154</c:f>
              <c:numCache>
                <c:formatCode>0.0</c:formatCode>
                <c:ptCount val="5"/>
                <c:pt idx="0">
                  <c:v>26.713371915930551</c:v>
                </c:pt>
                <c:pt idx="1">
                  <c:v>32.657384987893465</c:v>
                </c:pt>
                <c:pt idx="2">
                  <c:v>39.51951951951952</c:v>
                </c:pt>
                <c:pt idx="3">
                  <c:v>31.210949122285033</c:v>
                </c:pt>
                <c:pt idx="4">
                  <c:v>22.43457806527492</c:v>
                </c:pt>
              </c:numCache>
            </c:numRef>
          </c:val>
          <c:smooth val="0"/>
          <c:extLst>
            <c:ext xmlns:c16="http://schemas.microsoft.com/office/drawing/2014/chart" uri="{C3380CC4-5D6E-409C-BE32-E72D297353CC}">
              <c16:uniqueId val="{00000007-8140-437C-B642-F80E02DBF629}"/>
            </c:ext>
          </c:extLst>
        </c:ser>
        <c:ser>
          <c:idx val="12"/>
          <c:order val="7"/>
          <c:tx>
            <c:strRef>
              <c:f>New_Ceased_LAC!$AL$155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New_Ceased_LAC!$AM$155:$AQ$155</c:f>
              <c:numCache>
                <c:formatCode>0.0</c:formatCode>
                <c:ptCount val="5"/>
                <c:pt idx="0">
                  <c:v>31.2</c:v>
                </c:pt>
                <c:pt idx="1">
                  <c:v>33.22784810126582</c:v>
                </c:pt>
                <c:pt idx="2">
                  <c:v>29.356357927786497</c:v>
                </c:pt>
                <c:pt idx="3">
                  <c:v>24.88262910798122</c:v>
                </c:pt>
                <c:pt idx="4">
                  <c:v>24.534161490683232</c:v>
                </c:pt>
              </c:numCache>
            </c:numRef>
          </c:val>
          <c:smooth val="0"/>
          <c:extLst>
            <c:ext xmlns:c16="http://schemas.microsoft.com/office/drawing/2014/chart" uri="{C3380CC4-5D6E-409C-BE32-E72D297353CC}">
              <c16:uniqueId val="{00000008-8140-437C-B642-F80E02DBF629}"/>
            </c:ext>
          </c:extLst>
        </c:ser>
        <c:ser>
          <c:idx val="13"/>
          <c:order val="8"/>
          <c:tx>
            <c:strRef>
              <c:f>New_Ceased_LAC!$AL$156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New_Ceased_LAC!$AM$156:$AQ$156</c:f>
              <c:numCache>
                <c:formatCode>0.0</c:formatCode>
                <c:ptCount val="5"/>
                <c:pt idx="0">
                  <c:v>21.012269938650306</c:v>
                </c:pt>
                <c:pt idx="1">
                  <c:v>28.139183055975792</c:v>
                </c:pt>
                <c:pt idx="2">
                  <c:v>22.652757078986586</c:v>
                </c:pt>
                <c:pt idx="3">
                  <c:v>21.449704142011832</c:v>
                </c:pt>
                <c:pt idx="4">
                  <c:v>25.329428989751101</c:v>
                </c:pt>
              </c:numCache>
            </c:numRef>
          </c:val>
          <c:smooth val="0"/>
          <c:extLst>
            <c:ext xmlns:c16="http://schemas.microsoft.com/office/drawing/2014/chart" uri="{C3380CC4-5D6E-409C-BE32-E72D297353CC}">
              <c16:uniqueId val="{00000009-8140-437C-B642-F80E02DBF629}"/>
            </c:ext>
          </c:extLst>
        </c:ser>
        <c:ser>
          <c:idx val="15"/>
          <c:order val="9"/>
          <c:tx>
            <c:strRef>
              <c:f>New_Ceased_LAC!$AL$157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New_Ceased_LAC!$AM$157:$AQ$157</c:f>
              <c:numCache>
                <c:formatCode>0.0</c:formatCode>
                <c:ptCount val="5"/>
                <c:pt idx="0">
                  <c:v>17.634560906515581</c:v>
                </c:pt>
                <c:pt idx="1">
                  <c:v>19.746121297602258</c:v>
                </c:pt>
                <c:pt idx="2">
                  <c:v>20.013995801259622</c:v>
                </c:pt>
                <c:pt idx="3">
                  <c:v>20.781032078103205</c:v>
                </c:pt>
                <c:pt idx="4">
                  <c:v>18.853591160220994</c:v>
                </c:pt>
              </c:numCache>
            </c:numRef>
          </c:val>
          <c:smooth val="0"/>
          <c:extLst>
            <c:ext xmlns:c16="http://schemas.microsoft.com/office/drawing/2014/chart" uri="{C3380CC4-5D6E-409C-BE32-E72D297353CC}">
              <c16:uniqueId val="{0000000A-8140-437C-B642-F80E02DBF629}"/>
            </c:ext>
          </c:extLst>
        </c:ser>
        <c:ser>
          <c:idx val="16"/>
          <c:order val="10"/>
          <c:tx>
            <c:strRef>
              <c:f>New_Ceased_LAC!$AL$158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New_Ceased_LAC!$AM$158:$AQ$158</c:f>
              <c:numCache>
                <c:formatCode>0.0</c:formatCode>
                <c:ptCount val="5"/>
                <c:pt idx="0">
                  <c:v>37.788018433179722</c:v>
                </c:pt>
                <c:pt idx="1">
                  <c:v>28.767123287671232</c:v>
                </c:pt>
                <c:pt idx="2">
                  <c:v>27.954545454545453</c:v>
                </c:pt>
                <c:pt idx="3">
                  <c:v>42.081447963800905</c:v>
                </c:pt>
                <c:pt idx="4">
                  <c:v>36.590909090909093</c:v>
                </c:pt>
              </c:numCache>
            </c:numRef>
          </c:val>
          <c:smooth val="0"/>
          <c:extLst>
            <c:ext xmlns:c16="http://schemas.microsoft.com/office/drawing/2014/chart" uri="{C3380CC4-5D6E-409C-BE32-E72D297353CC}">
              <c16:uniqueId val="{0000000B-8140-437C-B642-F80E02DBF629}"/>
            </c:ext>
          </c:extLst>
        </c:ser>
        <c:ser>
          <c:idx val="17"/>
          <c:order val="11"/>
          <c:tx>
            <c:strRef>
              <c:f>New_Ceased_LAC!$AL$159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New_Ceased_LAC!$AM$159:$AQ$159</c:f>
              <c:numCache>
                <c:formatCode>0.0</c:formatCode>
                <c:ptCount val="5"/>
                <c:pt idx="0">
                  <c:v>23.398328690807801</c:v>
                </c:pt>
                <c:pt idx="1">
                  <c:v>33.791208791208788</c:v>
                </c:pt>
                <c:pt idx="2">
                  <c:v>27.3224043715847</c:v>
                </c:pt>
                <c:pt idx="3">
                  <c:v>24.797843665768195</c:v>
                </c:pt>
                <c:pt idx="4">
                  <c:v>25.60646900269542</c:v>
                </c:pt>
              </c:numCache>
            </c:numRef>
          </c:val>
          <c:smooth val="0"/>
          <c:extLst>
            <c:ext xmlns:c16="http://schemas.microsoft.com/office/drawing/2014/chart" uri="{C3380CC4-5D6E-409C-BE32-E72D297353CC}">
              <c16:uniqueId val="{0000000C-8140-437C-B642-F80E02DBF629}"/>
            </c:ext>
          </c:extLst>
        </c:ser>
        <c:ser>
          <c:idx val="19"/>
          <c:order val="12"/>
          <c:tx>
            <c:strRef>
              <c:f>New_Ceased_LAC!$AL$160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New_Ceased_LAC!$AM$160:$AQ$160</c:f>
              <c:numCache>
                <c:formatCode>0.0</c:formatCode>
                <c:ptCount val="5"/>
                <c:pt idx="0">
                  <c:v>28.320802005012531</c:v>
                </c:pt>
                <c:pt idx="1">
                  <c:v>37.931034482758619</c:v>
                </c:pt>
                <c:pt idx="2">
                  <c:v>27.05314009661836</c:v>
                </c:pt>
                <c:pt idx="3">
                  <c:v>26.54028436018957</c:v>
                </c:pt>
                <c:pt idx="4">
                  <c:v>29.742388758782205</c:v>
                </c:pt>
              </c:numCache>
            </c:numRef>
          </c:val>
          <c:smooth val="0"/>
          <c:extLst>
            <c:ext xmlns:c16="http://schemas.microsoft.com/office/drawing/2014/chart" uri="{C3380CC4-5D6E-409C-BE32-E72D297353CC}">
              <c16:uniqueId val="{0000000D-8140-437C-B642-F80E02DBF629}"/>
            </c:ext>
          </c:extLst>
        </c:ser>
        <c:ser>
          <c:idx val="3"/>
          <c:order val="13"/>
          <c:tx>
            <c:strRef>
              <c:f>New_Ceased_LAC!$AL$161</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New_Ceased_LAC!$AM$161:$AQ$161</c:f>
              <c:numCache>
                <c:formatCode>0.0</c:formatCode>
                <c:ptCount val="5"/>
                <c:pt idx="0">
                  <c:v>27.456382001836548</c:v>
                </c:pt>
                <c:pt idx="1">
                  <c:v>20.970695970695971</c:v>
                </c:pt>
                <c:pt idx="2">
                  <c:v>23.792160437556973</c:v>
                </c:pt>
                <c:pt idx="3">
                  <c:v>20.254314259763852</c:v>
                </c:pt>
                <c:pt idx="4">
                  <c:v>16.621499548328817</c:v>
                </c:pt>
              </c:numCache>
            </c:numRef>
          </c:val>
          <c:smooth val="0"/>
          <c:extLst>
            <c:ext xmlns:c16="http://schemas.microsoft.com/office/drawing/2014/chart" uri="{C3380CC4-5D6E-409C-BE32-E72D297353CC}">
              <c16:uniqueId val="{0000000E-8140-437C-B642-F80E02DBF629}"/>
            </c:ext>
          </c:extLst>
        </c:ser>
        <c:ser>
          <c:idx val="20"/>
          <c:order val="14"/>
          <c:tx>
            <c:strRef>
              <c:f>New_Ceased_LAC!$AL$162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New_Ceased_LAC!$AM$162:$AQ$162</c:f>
              <c:numCache>
                <c:formatCode>0.0</c:formatCode>
                <c:ptCount val="5"/>
                <c:pt idx="0">
                  <c:v>39.506172839506171</c:v>
                </c:pt>
                <c:pt idx="1">
                  <c:v>41.666666666666664</c:v>
                </c:pt>
                <c:pt idx="2">
                  <c:v>44.288577154308619</c:v>
                </c:pt>
                <c:pt idx="3">
                  <c:v>39.165009940357848</c:v>
                </c:pt>
                <c:pt idx="4">
                  <c:v>42.125984251968504</c:v>
                </c:pt>
              </c:numCache>
            </c:numRef>
          </c:val>
          <c:smooth val="0"/>
          <c:extLst>
            <c:ext xmlns:c16="http://schemas.microsoft.com/office/drawing/2014/chart" uri="{C3380CC4-5D6E-409C-BE32-E72D297353CC}">
              <c16:uniqueId val="{0000000F-8140-437C-B642-F80E02DBF629}"/>
            </c:ext>
          </c:extLst>
        </c:ser>
        <c:ser>
          <c:idx val="22"/>
          <c:order val="15"/>
          <c:tx>
            <c:strRef>
              <c:f>New_Ceased_LAC!$AL$163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New_Ceased_LAC!$AM$163:$AQ$163</c:f>
              <c:numCache>
                <c:formatCode>0.0</c:formatCode>
                <c:ptCount val="5"/>
                <c:pt idx="0">
                  <c:v>14.689709347996859</c:v>
                </c:pt>
                <c:pt idx="1">
                  <c:v>15.795631825273011</c:v>
                </c:pt>
                <c:pt idx="2">
                  <c:v>16.177606177606179</c:v>
                </c:pt>
                <c:pt idx="3">
                  <c:v>15.712639262389551</c:v>
                </c:pt>
                <c:pt idx="4">
                  <c:v>15.043909889270715</c:v>
                </c:pt>
              </c:numCache>
            </c:numRef>
          </c:val>
          <c:smooth val="0"/>
          <c:extLst>
            <c:ext xmlns:c16="http://schemas.microsoft.com/office/drawing/2014/chart" uri="{C3380CC4-5D6E-409C-BE32-E72D297353CC}">
              <c16:uniqueId val="{00000010-8140-437C-B642-F80E02DBF629}"/>
            </c:ext>
          </c:extLst>
        </c:ser>
        <c:ser>
          <c:idx val="7"/>
          <c:order val="16"/>
          <c:tx>
            <c:strRef>
              <c:f>New_Ceased_LAC!$AL$164</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New_Ceased_LAC!$Z$2:$AD$3</c:f>
              <c:strCache>
                <c:ptCount val="5"/>
                <c:pt idx="0">
                  <c:v>2014-15</c:v>
                </c:pt>
                <c:pt idx="1">
                  <c:v>2015-16</c:v>
                </c:pt>
                <c:pt idx="2">
                  <c:v>2016-17</c:v>
                </c:pt>
                <c:pt idx="3">
                  <c:v>2017-18</c:v>
                </c:pt>
                <c:pt idx="4">
                  <c:v>2018-19</c:v>
                </c:pt>
              </c:strCache>
            </c:strRef>
          </c:cat>
          <c:val>
            <c:numRef>
              <c:f>New_Ceased_LAC!$AM$164:$AQ$164</c:f>
              <c:numCache>
                <c:formatCode>0.0</c:formatCode>
                <c:ptCount val="5"/>
                <c:pt idx="0">
                  <c:v>27.777777777777779</c:v>
                </c:pt>
                <c:pt idx="1">
                  <c:v>28.367346938775508</c:v>
                </c:pt>
                <c:pt idx="2">
                  <c:v>30.303030303030305</c:v>
                </c:pt>
                <c:pt idx="3">
                  <c:v>31.062124248496993</c:v>
                </c:pt>
                <c:pt idx="4">
                  <c:v>29.681274900398407</c:v>
                </c:pt>
              </c:numCache>
            </c:numRef>
          </c:val>
          <c:smooth val="0"/>
          <c:extLst>
            <c:ext xmlns:c16="http://schemas.microsoft.com/office/drawing/2014/chart" uri="{C3380CC4-5D6E-409C-BE32-E72D297353CC}">
              <c16:uniqueId val="{00000011-8140-437C-B642-F80E02DBF629}"/>
            </c:ext>
          </c:extLst>
        </c:ser>
        <c:ser>
          <c:idx val="8"/>
          <c:order val="17"/>
          <c:tx>
            <c:strRef>
              <c:f>New_Ceased_LAC!$AL$165</c:f>
              <c:strCache>
                <c:ptCount val="1"/>
                <c:pt idx="0">
                  <c:v>Torbay</c:v>
                </c:pt>
              </c:strCache>
            </c:strRef>
          </c:tx>
          <c:spPr>
            <a:ln w="15875"/>
          </c:spPr>
          <c:marker>
            <c:symbol val="circle"/>
            <c:size val="5"/>
            <c:spPr>
              <a:solidFill>
                <a:schemeClr val="accent3">
                  <a:lumMod val="20000"/>
                  <a:lumOff val="80000"/>
                </a:schemeClr>
              </a:solidFill>
            </c:spPr>
          </c:marker>
          <c:cat>
            <c:strRef>
              <c:f>New_Ceased_LAC!$Z$2:$AD$3</c:f>
              <c:strCache>
                <c:ptCount val="5"/>
                <c:pt idx="0">
                  <c:v>2014-15</c:v>
                </c:pt>
                <c:pt idx="1">
                  <c:v>2015-16</c:v>
                </c:pt>
                <c:pt idx="2">
                  <c:v>2016-17</c:v>
                </c:pt>
                <c:pt idx="3">
                  <c:v>2017-18</c:v>
                </c:pt>
                <c:pt idx="4">
                  <c:v>2018-19</c:v>
                </c:pt>
              </c:strCache>
            </c:strRef>
          </c:cat>
          <c:val>
            <c:numRef>
              <c:f>New_Ceased_LAC!$AM$165:$AQ$165</c:f>
              <c:numCache>
                <c:formatCode>0.0</c:formatCode>
                <c:ptCount val="5"/>
                <c:pt idx="0">
                  <c:v>49.402390438247018</c:v>
                </c:pt>
                <c:pt idx="1">
                  <c:v>49.603174603174601</c:v>
                </c:pt>
                <c:pt idx="2">
                  <c:v>42.519685039370074</c:v>
                </c:pt>
                <c:pt idx="3">
                  <c:v>40.15748031496063</c:v>
                </c:pt>
                <c:pt idx="4">
                  <c:v>46.456692913385822</c:v>
                </c:pt>
              </c:numCache>
            </c:numRef>
          </c:val>
          <c:smooth val="0"/>
          <c:extLst>
            <c:ext xmlns:c16="http://schemas.microsoft.com/office/drawing/2014/chart" uri="{C3380CC4-5D6E-409C-BE32-E72D297353CC}">
              <c16:uniqueId val="{00000012-8140-437C-B642-F80E02DBF629}"/>
            </c:ext>
          </c:extLst>
        </c:ser>
        <c:ser>
          <c:idx val="23"/>
          <c:order val="18"/>
          <c:tx>
            <c:strRef>
              <c:f>New_Ceased_LAC!$AL$166</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New_Ceased_LAC!$AM$166:$AQ$166</c:f>
              <c:numCache>
                <c:formatCode>0.0</c:formatCode>
                <c:ptCount val="5"/>
                <c:pt idx="0">
                  <c:v>18.258426966292134</c:v>
                </c:pt>
                <c:pt idx="1">
                  <c:v>19.327731092436974</c:v>
                </c:pt>
                <c:pt idx="2">
                  <c:v>20.612813370473539</c:v>
                </c:pt>
                <c:pt idx="3">
                  <c:v>24.022346368715084</c:v>
                </c:pt>
                <c:pt idx="4">
                  <c:v>14.887640449438202</c:v>
                </c:pt>
              </c:numCache>
            </c:numRef>
          </c:val>
          <c:smooth val="0"/>
          <c:extLst>
            <c:ext xmlns:c16="http://schemas.microsoft.com/office/drawing/2014/chart" uri="{C3380CC4-5D6E-409C-BE32-E72D297353CC}">
              <c16:uniqueId val="{00000013-8140-437C-B642-F80E02DBF629}"/>
            </c:ext>
          </c:extLst>
        </c:ser>
        <c:ser>
          <c:idx val="24"/>
          <c:order val="19"/>
          <c:tx>
            <c:strRef>
              <c:f>New_Ceased_LAC!$AL$167</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New_Ceased_LAC!$AM$167:$AQ$167</c:f>
              <c:numCache>
                <c:formatCode>0.0</c:formatCode>
                <c:ptCount val="5"/>
                <c:pt idx="0">
                  <c:v>19.431279620853083</c:v>
                </c:pt>
                <c:pt idx="1">
                  <c:v>22.652582159624412</c:v>
                </c:pt>
                <c:pt idx="2">
                  <c:v>20.779976717112923</c:v>
                </c:pt>
                <c:pt idx="3">
                  <c:v>19.503750721292555</c:v>
                </c:pt>
                <c:pt idx="4">
                  <c:v>20.263308528906698</c:v>
                </c:pt>
              </c:numCache>
            </c:numRef>
          </c:val>
          <c:smooth val="0"/>
          <c:extLst>
            <c:ext xmlns:c16="http://schemas.microsoft.com/office/drawing/2014/chart" uri="{C3380CC4-5D6E-409C-BE32-E72D297353CC}">
              <c16:uniqueId val="{00000014-8140-437C-B642-F80E02DBF629}"/>
            </c:ext>
          </c:extLst>
        </c:ser>
        <c:ser>
          <c:idx val="25"/>
          <c:order val="20"/>
          <c:tx>
            <c:strRef>
              <c:f>New_Ceased_LAC!$AL$168</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New_Ceased_LAC!$AM$168:$AQ$168</c:f>
              <c:numCache>
                <c:formatCode>0.0</c:formatCode>
                <c:ptCount val="5"/>
                <c:pt idx="0">
                  <c:v>14.071856287425149</c:v>
                </c:pt>
                <c:pt idx="1">
                  <c:v>12.759643916913946</c:v>
                </c:pt>
                <c:pt idx="2">
                  <c:v>10.233918128654972</c:v>
                </c:pt>
                <c:pt idx="3">
                  <c:v>14.244186046511627</c:v>
                </c:pt>
                <c:pt idx="4">
                  <c:v>15.028901734104045</c:v>
                </c:pt>
              </c:numCache>
            </c:numRef>
          </c:val>
          <c:smooth val="0"/>
          <c:extLst>
            <c:ext xmlns:c16="http://schemas.microsoft.com/office/drawing/2014/chart" uri="{C3380CC4-5D6E-409C-BE32-E72D297353CC}">
              <c16:uniqueId val="{00000015-8140-437C-B642-F80E02DBF629}"/>
            </c:ext>
          </c:extLst>
        </c:ser>
        <c:ser>
          <c:idx val="26"/>
          <c:order val="21"/>
          <c:tx>
            <c:strRef>
              <c:f>New_Ceased_LAC!$AL$169</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New_Ceased_LAC!$AM$169:$AQ$169</c:f>
              <c:numCache>
                <c:formatCode>0.0</c:formatCode>
                <c:ptCount val="5"/>
                <c:pt idx="0">
                  <c:v>10.56910569105691</c:v>
                </c:pt>
                <c:pt idx="1">
                  <c:v>9.1152815013404833</c:v>
                </c:pt>
                <c:pt idx="2">
                  <c:v>8.1578947368421044</c:v>
                </c:pt>
                <c:pt idx="3">
                  <c:v>9.3023255813953494</c:v>
                </c:pt>
                <c:pt idx="4">
                  <c:v>14.683544303797468</c:v>
                </c:pt>
              </c:numCache>
            </c:numRef>
          </c:val>
          <c:smooth val="0"/>
          <c:extLst>
            <c:ext xmlns:c16="http://schemas.microsoft.com/office/drawing/2014/chart" uri="{C3380CC4-5D6E-409C-BE32-E72D297353CC}">
              <c16:uniqueId val="{00000016-8140-437C-B642-F80E02DBF629}"/>
            </c:ext>
          </c:extLst>
        </c:ser>
        <c:ser>
          <c:idx val="4"/>
          <c:order val="22"/>
          <c:tx>
            <c:strRef>
              <c:f>New_Ceased_LAC!$AL$170</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New_Ceased_LAC!$AM$170:$AQ$170</c:f>
              <c:numCache>
                <c:formatCode>0.0</c:formatCode>
                <c:ptCount val="5"/>
                <c:pt idx="0">
                  <c:v>21.478836256695722</c:v>
                </c:pt>
                <c:pt idx="1">
                  <c:v>24.242740211667797</c:v>
                </c:pt>
                <c:pt idx="2">
                  <c:v>24.05338299193048</c:v>
                </c:pt>
                <c:pt idx="3">
                  <c:v>22.171922423993006</c:v>
                </c:pt>
                <c:pt idx="4">
                  <c:v>21.149425287356323</c:v>
                </c:pt>
              </c:numCache>
            </c:numRef>
          </c:val>
          <c:smooth val="0"/>
          <c:extLst>
            <c:ext xmlns:c16="http://schemas.microsoft.com/office/drawing/2014/chart" uri="{C3380CC4-5D6E-409C-BE32-E72D297353CC}">
              <c16:uniqueId val="{00000017-8140-437C-B642-F80E02DBF629}"/>
            </c:ext>
          </c:extLst>
        </c:ser>
        <c:ser>
          <c:idx val="14"/>
          <c:order val="23"/>
          <c:tx>
            <c:strRef>
              <c:f>New_Ceased_LAC!$AL$171</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2014-15</c:v>
                </c:pt>
                <c:pt idx="1">
                  <c:v>2015-16</c:v>
                </c:pt>
                <c:pt idx="2">
                  <c:v>2016-17</c:v>
                </c:pt>
                <c:pt idx="3">
                  <c:v>2017-18</c:v>
                </c:pt>
                <c:pt idx="4">
                  <c:v>2018-19</c:v>
                </c:pt>
              </c:strCache>
            </c:strRef>
          </c:cat>
          <c:val>
            <c:numRef>
              <c:f>New_Ceased_LAC!$AM$171:$AQ$171</c:f>
              <c:numCache>
                <c:formatCode>0.0</c:formatCode>
                <c:ptCount val="5"/>
                <c:pt idx="0">
                  <c:v>27.045213385439581</c:v>
                </c:pt>
                <c:pt idx="1">
                  <c:v>27.282302468765788</c:v>
                </c:pt>
                <c:pt idx="2">
                  <c:v>26.643360796924984</c:v>
                </c:pt>
                <c:pt idx="3">
                  <c:v>25.322322406673972</c:v>
                </c:pt>
                <c:pt idx="4">
                  <c:v>24.643233566995132</c:v>
                </c:pt>
              </c:numCache>
            </c:numRef>
          </c:val>
          <c:smooth val="0"/>
          <c:extLst>
            <c:ext xmlns:c16="http://schemas.microsoft.com/office/drawing/2014/chart" uri="{C3380CC4-5D6E-409C-BE32-E72D297353CC}">
              <c16:uniqueId val="{00000018-8140-437C-B642-F80E02DBF629}"/>
            </c:ext>
          </c:extLst>
        </c:ser>
        <c:ser>
          <c:idx val="6"/>
          <c:order val="24"/>
          <c:tx>
            <c:strRef>
              <c:f>New_Ceased_LAC!$AL$172</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2014-15</c:v>
                </c:pt>
                <c:pt idx="1">
                  <c:v>2015-16</c:v>
                </c:pt>
                <c:pt idx="2">
                  <c:v>2016-17</c:v>
                </c:pt>
                <c:pt idx="3">
                  <c:v>2017-18</c:v>
                </c:pt>
                <c:pt idx="4">
                  <c:v>2018-19</c:v>
                </c:pt>
              </c:strCache>
            </c:strRef>
          </c:cat>
          <c:val>
            <c:numRef>
              <c:f>New_Ceased_LAC!$AM$172:$AQ$172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140-437C-B642-F80E02DBF629}"/>
            </c:ext>
          </c:extLst>
        </c:ser>
        <c:dLbls>
          <c:showLegendKey val="0"/>
          <c:showVal val="0"/>
          <c:showCatName val="0"/>
          <c:showSerName val="0"/>
          <c:showPercent val="0"/>
          <c:showBubbleSize val="0"/>
        </c:dLbls>
        <c:marker val="1"/>
        <c:smooth val="0"/>
        <c:axId val="303882240"/>
        <c:axId val="303884160"/>
      </c:lineChart>
      <c:catAx>
        <c:axId val="303882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884160"/>
        <c:crosses val="autoZero"/>
        <c:auto val="1"/>
        <c:lblAlgn val="ctr"/>
        <c:lblOffset val="100"/>
        <c:tickLblSkip val="1"/>
        <c:tickMarkSkip val="1"/>
        <c:noMultiLvlLbl val="0"/>
      </c:catAx>
      <c:valAx>
        <c:axId val="30388416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88224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Ceasing to be Looked After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808314729889533"/>
          <c:y val="3.8613923259592556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2014-15</c:v>
                </c:pt>
                <c:pt idx="1">
                  <c:v>2015-16</c:v>
                </c:pt>
                <c:pt idx="2">
                  <c:v>2016-17</c:v>
                </c:pt>
                <c:pt idx="3">
                  <c:v>2017-18</c:v>
                </c:pt>
                <c:pt idx="4">
                  <c:v>2018-19</c:v>
                </c:pt>
              </c:strCache>
            </c:strRef>
          </c:cat>
          <c:val>
            <c:numRef>
              <c:f>New_Ceased_LAC!$AM$172:$AQ$172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810E-458E-8A30-61C20C010C12}"/>
            </c:ext>
          </c:extLst>
        </c:ser>
        <c:ser>
          <c:idx val="4"/>
          <c:order val="1"/>
          <c:tx>
            <c:strRef>
              <c:f>New_Ceased_LAC!$B$32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2014-15</c:v>
                </c:pt>
                <c:pt idx="1">
                  <c:v>2015-16</c:v>
                </c:pt>
                <c:pt idx="2">
                  <c:v>2016-17</c:v>
                </c:pt>
                <c:pt idx="3">
                  <c:v>2017-18</c:v>
                </c:pt>
                <c:pt idx="4">
                  <c:v>2018-19</c:v>
                </c:pt>
              </c:strCache>
            </c:strRef>
          </c:cat>
          <c:val>
            <c:numRef>
              <c:f>New_Ceased_LAC!$K$139:$O$139</c:f>
              <c:numCache>
                <c:formatCode>0.0</c:formatCode>
                <c:ptCount val="5"/>
                <c:pt idx="0">
                  <c:v>21.478836256695722</c:v>
                </c:pt>
                <c:pt idx="1">
                  <c:v>24.242740211667797</c:v>
                </c:pt>
                <c:pt idx="2">
                  <c:v>24.05338299193048</c:v>
                </c:pt>
                <c:pt idx="3">
                  <c:v>22.171922423993006</c:v>
                </c:pt>
                <c:pt idx="4">
                  <c:v>21.149425287356323</c:v>
                </c:pt>
              </c:numCache>
            </c:numRef>
          </c:val>
          <c:extLst>
            <c:ext xmlns:c16="http://schemas.microsoft.com/office/drawing/2014/chart" uri="{C3380CC4-5D6E-409C-BE32-E72D297353CC}">
              <c16:uniqueId val="{00000001-810E-458E-8A30-61C20C010C12}"/>
            </c:ext>
          </c:extLst>
        </c:ser>
        <c:ser>
          <c:idx val="0"/>
          <c:order val="2"/>
          <c:tx>
            <c:strRef>
              <c:f>New_Ceased_LAC!$B$33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2014-15</c:v>
                </c:pt>
                <c:pt idx="1">
                  <c:v>2015-16</c:v>
                </c:pt>
                <c:pt idx="2">
                  <c:v>2016-17</c:v>
                </c:pt>
                <c:pt idx="3">
                  <c:v>2017-18</c:v>
                </c:pt>
                <c:pt idx="4">
                  <c:v>2018-19</c:v>
                </c:pt>
              </c:strCache>
            </c:strRef>
          </c:cat>
          <c:val>
            <c:numRef>
              <c:f>New_Ceased_LAC!$K$140:$O$140</c:f>
              <c:numCache>
                <c:formatCode>0.0</c:formatCode>
                <c:ptCount val="5"/>
                <c:pt idx="0">
                  <c:v>27.045213385439581</c:v>
                </c:pt>
                <c:pt idx="1">
                  <c:v>27.282302468765788</c:v>
                </c:pt>
                <c:pt idx="2">
                  <c:v>26.643360796924984</c:v>
                </c:pt>
                <c:pt idx="3">
                  <c:v>25.322322406673972</c:v>
                </c:pt>
                <c:pt idx="4" formatCode="0%">
                  <c:v>24.643233566995132</c:v>
                </c:pt>
              </c:numCache>
            </c:numRef>
          </c:val>
          <c:extLst>
            <c:ext xmlns:c16="http://schemas.microsoft.com/office/drawing/2014/chart" uri="{C3380CC4-5D6E-409C-BE32-E72D297353CC}">
              <c16:uniqueId val="{00000002-810E-458E-8A30-61C20C010C12}"/>
            </c:ext>
          </c:extLst>
        </c:ser>
        <c:dLbls>
          <c:showLegendKey val="0"/>
          <c:showVal val="0"/>
          <c:showCatName val="0"/>
          <c:showSerName val="0"/>
          <c:showPercent val="0"/>
          <c:showBubbleSize val="0"/>
        </c:dLbls>
        <c:gapWidth val="100"/>
        <c:axId val="303918464"/>
        <c:axId val="303924352"/>
      </c:barChart>
      <c:catAx>
        <c:axId val="303918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924352"/>
        <c:crosses val="autoZero"/>
        <c:auto val="1"/>
        <c:lblAlgn val="ctr"/>
        <c:lblOffset val="100"/>
        <c:noMultiLvlLbl val="0"/>
      </c:catAx>
      <c:valAx>
        <c:axId val="30392435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91846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Care leavers aged 16+ who remained looked after until age 18 as a % of Discharged LAC</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8840167706309439"/>
          <c:w val="0.64607416380644722"/>
          <c:h val="0.46031427889695609"/>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2014-15</c:v>
                </c:pt>
                <c:pt idx="1">
                  <c:v>2015-16</c:v>
                </c:pt>
                <c:pt idx="2">
                  <c:v>2016-17</c:v>
                </c:pt>
                <c:pt idx="3">
                  <c:v>2017-18</c:v>
                </c:pt>
                <c:pt idx="4">
                  <c:v>2018-19</c:v>
                </c:pt>
              </c:strCache>
            </c:strRef>
          </c:cat>
          <c:val>
            <c:numRef>
              <c:f>New_Ceased_LAC!$AX$65:$BB$65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B126-4E4D-9675-B066526CD6BB}"/>
            </c:ext>
          </c:extLst>
        </c:ser>
        <c:ser>
          <c:idx val="4"/>
          <c:order val="1"/>
          <c:tx>
            <c:strRef>
              <c:f>New_Ceased_LAC!$B$99</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2014-15</c:v>
                </c:pt>
                <c:pt idx="1">
                  <c:v>2015-16</c:v>
                </c:pt>
                <c:pt idx="2">
                  <c:v>2016-17</c:v>
                </c:pt>
                <c:pt idx="3">
                  <c:v>2017-18</c:v>
                </c:pt>
                <c:pt idx="4">
                  <c:v>2018-19</c:v>
                </c:pt>
              </c:strCache>
            </c:strRef>
          </c:cat>
          <c:val>
            <c:numRef>
              <c:f>New_Ceased_LAC!$D$206:$H$206</c:f>
              <c:numCache>
                <c:formatCode>0%</c:formatCode>
                <c:ptCount val="5"/>
                <c:pt idx="0">
                  <c:v>#N/A</c:v>
                </c:pt>
                <c:pt idx="1">
                  <c:v>0.26881720430107525</c:v>
                </c:pt>
                <c:pt idx="2">
                  <c:v>0.31612903225806449</c:v>
                </c:pt>
                <c:pt idx="3">
                  <c:v>0.33642691415313225</c:v>
                </c:pt>
                <c:pt idx="4">
                  <c:v>#N/A</c:v>
                </c:pt>
              </c:numCache>
            </c:numRef>
          </c:val>
          <c:extLst>
            <c:ext xmlns:c16="http://schemas.microsoft.com/office/drawing/2014/chart" uri="{C3380CC4-5D6E-409C-BE32-E72D297353CC}">
              <c16:uniqueId val="{00000001-B126-4E4D-9675-B066526CD6BB}"/>
            </c:ext>
          </c:extLst>
        </c:ser>
        <c:ser>
          <c:idx val="0"/>
          <c:order val="2"/>
          <c:tx>
            <c:strRef>
              <c:f>New_Ceased_LAC!$B$100</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2014-15</c:v>
                </c:pt>
                <c:pt idx="1">
                  <c:v>2015-16</c:v>
                </c:pt>
                <c:pt idx="2">
                  <c:v>2016-17</c:v>
                </c:pt>
                <c:pt idx="3">
                  <c:v>2017-18</c:v>
                </c:pt>
                <c:pt idx="4">
                  <c:v>2018-19</c:v>
                </c:pt>
              </c:strCache>
            </c:strRef>
          </c:cat>
          <c:val>
            <c:numRef>
              <c:f>New_Ceased_LAC!$D$207:$H$207</c:f>
              <c:numCache>
                <c:formatCode>0%</c:formatCode>
                <c:ptCount val="5"/>
                <c:pt idx="0">
                  <c:v>#N/A</c:v>
                </c:pt>
                <c:pt idx="1">
                  <c:v>0.25109855618330196</c:v>
                </c:pt>
                <c:pt idx="2">
                  <c:v>0.27802547770700636</c:v>
                </c:pt>
                <c:pt idx="3">
                  <c:v>0.30815307820299503</c:v>
                </c:pt>
                <c:pt idx="4">
                  <c:v>#N/A</c:v>
                </c:pt>
              </c:numCache>
            </c:numRef>
          </c:val>
          <c:extLst>
            <c:ext xmlns:c16="http://schemas.microsoft.com/office/drawing/2014/chart" uri="{C3380CC4-5D6E-409C-BE32-E72D297353CC}">
              <c16:uniqueId val="{00000002-B126-4E4D-9675-B066526CD6BB}"/>
            </c:ext>
          </c:extLst>
        </c:ser>
        <c:dLbls>
          <c:showLegendKey val="0"/>
          <c:showVal val="0"/>
          <c:showCatName val="0"/>
          <c:showSerName val="0"/>
          <c:showPercent val="0"/>
          <c:showBubbleSize val="0"/>
        </c:dLbls>
        <c:gapWidth val="100"/>
        <c:axId val="303954560"/>
        <c:axId val="304038272"/>
      </c:barChart>
      <c:catAx>
        <c:axId val="303954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038272"/>
        <c:crosses val="autoZero"/>
        <c:auto val="1"/>
        <c:lblAlgn val="ctr"/>
        <c:lblOffset val="100"/>
        <c:noMultiLvlLbl val="0"/>
      </c:catAx>
      <c:valAx>
        <c:axId val="30403827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395456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GB" b="1"/>
              <a:t>Proportion of Children ceasing to be Looked After aged 16+ who remained looked after until their 18th birthday (%)</a:t>
            </a:r>
          </a:p>
        </c:rich>
      </c:tx>
      <c:layout>
        <c:manualLayout>
          <c:xMode val="edge"/>
          <c:yMode val="edge"/>
          <c:x val="0.10935894686315961"/>
          <c:y val="1.044932251364953E-2"/>
        </c:manualLayout>
      </c:layout>
      <c:overlay val="1"/>
    </c:title>
    <c:autoTitleDeleted val="0"/>
    <c:plotArea>
      <c:layout>
        <c:manualLayout>
          <c:layoutTarget val="inner"/>
          <c:xMode val="edge"/>
          <c:yMode val="edge"/>
          <c:x val="8.9669774541780586E-2"/>
          <c:y val="7.3549410974790952E-2"/>
          <c:w val="0.57508230927201043"/>
          <c:h val="0.85910956479277301"/>
        </c:manualLayout>
      </c:layout>
      <c:lineChart>
        <c:grouping val="standard"/>
        <c:varyColors val="0"/>
        <c:ser>
          <c:idx val="0"/>
          <c:order val="0"/>
          <c:tx>
            <c:strRef>
              <c:f>New_Ceased_LAC!$AL$148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590-4B8B-B662-BC8D58CB8615}"/>
              </c:ext>
            </c:extLst>
          </c:dPt>
          <c:cat>
            <c:strRef>
              <c:f>New_Ceased_LAC!$AS$146:$AW$147</c:f>
              <c:strCache>
                <c:ptCount val="5"/>
                <c:pt idx="0">
                  <c:v>2014-15</c:v>
                </c:pt>
                <c:pt idx="1">
                  <c:v>2015-16</c:v>
                </c:pt>
                <c:pt idx="2">
                  <c:v>2016-17</c:v>
                </c:pt>
                <c:pt idx="3">
                  <c:v>2017-18</c:v>
                </c:pt>
                <c:pt idx="4">
                  <c:v>2018-19</c:v>
                </c:pt>
              </c:strCache>
            </c:strRef>
          </c:cat>
          <c:val>
            <c:numRef>
              <c:f>New_Ceased_LAC!$AS$148:$AW$148</c:f>
              <c:numCache>
                <c:formatCode>0.0%</c:formatCode>
                <c:ptCount val="5"/>
                <c:pt idx="0">
                  <c:v>#N/A</c:v>
                </c:pt>
                <c:pt idx="1">
                  <c:v>0.17647058823529413</c:v>
                </c:pt>
                <c:pt idx="2">
                  <c:v>0.38775510204081631</c:v>
                </c:pt>
                <c:pt idx="3">
                  <c:v>0.26865671641791045</c:v>
                </c:pt>
                <c:pt idx="4">
                  <c:v>#N/A</c:v>
                </c:pt>
              </c:numCache>
            </c:numRef>
          </c:val>
          <c:smooth val="0"/>
          <c:extLst>
            <c:ext xmlns:c16="http://schemas.microsoft.com/office/drawing/2014/chart" uri="{C3380CC4-5D6E-409C-BE32-E72D297353CC}">
              <c16:uniqueId val="{00000001-C590-4B8B-B662-BC8D58CB8615}"/>
            </c:ext>
          </c:extLst>
        </c:ser>
        <c:ser>
          <c:idx val="1"/>
          <c:order val="1"/>
          <c:tx>
            <c:strRef>
              <c:f>New_Ceased_LAC!$AL$149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New_Ceased_LAC!$AS$149:$AW$149</c:f>
              <c:numCache>
                <c:formatCode>0.0%</c:formatCode>
                <c:ptCount val="5"/>
                <c:pt idx="0">
                  <c:v>#N/A</c:v>
                </c:pt>
                <c:pt idx="1">
                  <c:v>0.24081632653061225</c:v>
                </c:pt>
                <c:pt idx="2">
                  <c:v>0.34636871508379891</c:v>
                </c:pt>
                <c:pt idx="3">
                  <c:v>0.38636363636363635</c:v>
                </c:pt>
                <c:pt idx="4">
                  <c:v>#N/A</c:v>
                </c:pt>
              </c:numCache>
            </c:numRef>
          </c:val>
          <c:smooth val="0"/>
          <c:extLst>
            <c:ext xmlns:c16="http://schemas.microsoft.com/office/drawing/2014/chart" uri="{C3380CC4-5D6E-409C-BE32-E72D297353CC}">
              <c16:uniqueId val="{00000002-C590-4B8B-B662-BC8D58CB8615}"/>
            </c:ext>
          </c:extLst>
        </c:ser>
        <c:ser>
          <c:idx val="2"/>
          <c:order val="2"/>
          <c:tx>
            <c:strRef>
              <c:f>New_Ceased_LAC!$AL$150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New_Ceased_LAC!$AS$150:$AW$150</c:f>
              <c:numCache>
                <c:formatCode>0.0%</c:formatCode>
                <c:ptCount val="5"/>
                <c:pt idx="0">
                  <c:v>#N/A</c:v>
                </c:pt>
                <c:pt idx="1">
                  <c:v>0.24229074889867841</c:v>
                </c:pt>
                <c:pt idx="2">
                  <c:v>0.2558139534883721</c:v>
                </c:pt>
                <c:pt idx="3">
                  <c:v>0.26111111111111113</c:v>
                </c:pt>
                <c:pt idx="4">
                  <c:v>#N/A</c:v>
                </c:pt>
              </c:numCache>
            </c:numRef>
          </c:val>
          <c:smooth val="0"/>
          <c:extLst>
            <c:ext xmlns:c16="http://schemas.microsoft.com/office/drawing/2014/chart" uri="{C3380CC4-5D6E-409C-BE32-E72D297353CC}">
              <c16:uniqueId val="{00000003-C590-4B8B-B662-BC8D58CB8615}"/>
            </c:ext>
          </c:extLst>
        </c:ser>
        <c:ser>
          <c:idx val="5"/>
          <c:order val="3"/>
          <c:tx>
            <c:strRef>
              <c:f>New_Ceased_LAC!$AL$151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New_Ceased_LAC!$AS$151:$AW$151</c:f>
              <c:numCache>
                <c:formatCode>0.0%</c:formatCode>
                <c:ptCount val="5"/>
                <c:pt idx="0">
                  <c:v>#N/A</c:v>
                </c:pt>
                <c:pt idx="1">
                  <c:v>0.25520833333333331</c:v>
                </c:pt>
                <c:pt idx="2">
                  <c:v>0.2864864864864865</c:v>
                </c:pt>
                <c:pt idx="3">
                  <c:v>0.34567901234567899</c:v>
                </c:pt>
                <c:pt idx="4">
                  <c:v>#N/A</c:v>
                </c:pt>
              </c:numCache>
            </c:numRef>
          </c:val>
          <c:smooth val="0"/>
          <c:extLst>
            <c:ext xmlns:c16="http://schemas.microsoft.com/office/drawing/2014/chart" uri="{C3380CC4-5D6E-409C-BE32-E72D297353CC}">
              <c16:uniqueId val="{00000004-C590-4B8B-B662-BC8D58CB8615}"/>
            </c:ext>
          </c:extLst>
        </c:ser>
        <c:ser>
          <c:idx val="9"/>
          <c:order val="4"/>
          <c:tx>
            <c:strRef>
              <c:f>New_Ceased_LAC!$AL$152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New_Ceased_LAC!$AS$152:$AW$152</c:f>
              <c:numCache>
                <c:formatCode>0.0%</c:formatCode>
                <c:ptCount val="5"/>
                <c:pt idx="0">
                  <c:v>#N/A</c:v>
                </c:pt>
                <c:pt idx="1">
                  <c:v>0.26055045871559634</c:v>
                </c:pt>
                <c:pt idx="2">
                  <c:v>0.27255639097744361</c:v>
                </c:pt>
                <c:pt idx="3">
                  <c:v>0.30041152263374488</c:v>
                </c:pt>
                <c:pt idx="4">
                  <c:v>#N/A</c:v>
                </c:pt>
              </c:numCache>
            </c:numRef>
          </c:val>
          <c:smooth val="0"/>
          <c:extLst>
            <c:ext xmlns:c16="http://schemas.microsoft.com/office/drawing/2014/chart" uri="{C3380CC4-5D6E-409C-BE32-E72D297353CC}">
              <c16:uniqueId val="{00000005-C590-4B8B-B662-BC8D58CB8615}"/>
            </c:ext>
          </c:extLst>
        </c:ser>
        <c:ser>
          <c:idx val="10"/>
          <c:order val="5"/>
          <c:tx>
            <c:strRef>
              <c:f>New_Ceased_LAC!$AL$153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New_Ceased_LAC!$AS$153:$AW$153</c:f>
              <c:numCache>
                <c:formatCode>0.0%</c:formatCode>
                <c:ptCount val="5"/>
                <c:pt idx="0">
                  <c:v>#N/A</c:v>
                </c:pt>
                <c:pt idx="1">
                  <c:v>0.36986301369863012</c:v>
                </c:pt>
                <c:pt idx="2">
                  <c:v>0.26315789473684209</c:v>
                </c:pt>
                <c:pt idx="3">
                  <c:v>0.34146341463414637</c:v>
                </c:pt>
                <c:pt idx="4">
                  <c:v>#N/A</c:v>
                </c:pt>
              </c:numCache>
            </c:numRef>
          </c:val>
          <c:smooth val="0"/>
          <c:extLst>
            <c:ext xmlns:c16="http://schemas.microsoft.com/office/drawing/2014/chart" uri="{C3380CC4-5D6E-409C-BE32-E72D297353CC}">
              <c16:uniqueId val="{00000006-C590-4B8B-B662-BC8D58CB8615}"/>
            </c:ext>
          </c:extLst>
        </c:ser>
        <c:ser>
          <c:idx val="11"/>
          <c:order val="6"/>
          <c:tx>
            <c:strRef>
              <c:f>New_Ceased_LAC!$AL$154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New_Ceased_LAC!$AS$154:$AW$154</c:f>
              <c:numCache>
                <c:formatCode>0.0%</c:formatCode>
                <c:ptCount val="5"/>
                <c:pt idx="0">
                  <c:v>#N/A</c:v>
                </c:pt>
                <c:pt idx="1">
                  <c:v>0.36700648748841519</c:v>
                </c:pt>
                <c:pt idx="2">
                  <c:v>0.41109422492401215</c:v>
                </c:pt>
                <c:pt idx="3">
                  <c:v>0.40991420400381318</c:v>
                </c:pt>
                <c:pt idx="4">
                  <c:v>#N/A</c:v>
                </c:pt>
              </c:numCache>
            </c:numRef>
          </c:val>
          <c:smooth val="0"/>
          <c:extLst>
            <c:ext xmlns:c16="http://schemas.microsoft.com/office/drawing/2014/chart" uri="{C3380CC4-5D6E-409C-BE32-E72D297353CC}">
              <c16:uniqueId val="{00000007-C590-4B8B-B662-BC8D58CB8615}"/>
            </c:ext>
          </c:extLst>
        </c:ser>
        <c:ser>
          <c:idx val="12"/>
          <c:order val="7"/>
          <c:tx>
            <c:strRef>
              <c:f>New_Ceased_LAC!$AL$155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New_Ceased_LAC!$AS$155:$AW$155</c:f>
              <c:numCache>
                <c:formatCode>0.0%</c:formatCode>
                <c:ptCount val="5"/>
                <c:pt idx="0">
                  <c:v>#N/A</c:v>
                </c:pt>
                <c:pt idx="1">
                  <c:v>0.17142857142857143</c:v>
                </c:pt>
                <c:pt idx="2">
                  <c:v>0.20855614973262032</c:v>
                </c:pt>
                <c:pt idx="3">
                  <c:v>0.25786163522012578</c:v>
                </c:pt>
                <c:pt idx="4">
                  <c:v>#N/A</c:v>
                </c:pt>
              </c:numCache>
            </c:numRef>
          </c:val>
          <c:smooth val="0"/>
          <c:extLst>
            <c:ext xmlns:c16="http://schemas.microsoft.com/office/drawing/2014/chart" uri="{C3380CC4-5D6E-409C-BE32-E72D297353CC}">
              <c16:uniqueId val="{00000008-C590-4B8B-B662-BC8D58CB8615}"/>
            </c:ext>
          </c:extLst>
        </c:ser>
        <c:ser>
          <c:idx val="13"/>
          <c:order val="8"/>
          <c:tx>
            <c:strRef>
              <c:f>New_Ceased_LAC!$AL$156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New_Ceased_LAC!$AS$156:$AW$156</c:f>
              <c:numCache>
                <c:formatCode>0.0%</c:formatCode>
                <c:ptCount val="5"/>
                <c:pt idx="0">
                  <c:v>#N/A</c:v>
                </c:pt>
                <c:pt idx="1">
                  <c:v>0.23655913978494625</c:v>
                </c:pt>
                <c:pt idx="2">
                  <c:v>0.27631578947368424</c:v>
                </c:pt>
                <c:pt idx="3">
                  <c:v>0.31724137931034485</c:v>
                </c:pt>
                <c:pt idx="4">
                  <c:v>#N/A</c:v>
                </c:pt>
              </c:numCache>
            </c:numRef>
          </c:val>
          <c:smooth val="0"/>
          <c:extLst>
            <c:ext xmlns:c16="http://schemas.microsoft.com/office/drawing/2014/chart" uri="{C3380CC4-5D6E-409C-BE32-E72D297353CC}">
              <c16:uniqueId val="{00000009-C590-4B8B-B662-BC8D58CB8615}"/>
            </c:ext>
          </c:extLst>
        </c:ser>
        <c:ser>
          <c:idx val="15"/>
          <c:order val="9"/>
          <c:tx>
            <c:strRef>
              <c:f>New_Ceased_LAC!$AL$157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New_Ceased_LAC!$AS$157:$AW$157</c:f>
              <c:numCache>
                <c:formatCode>0.0%</c:formatCode>
                <c:ptCount val="5"/>
                <c:pt idx="0">
                  <c:v>#N/A</c:v>
                </c:pt>
                <c:pt idx="1">
                  <c:v>0.26071428571428573</c:v>
                </c:pt>
                <c:pt idx="2">
                  <c:v>0.27272727272727271</c:v>
                </c:pt>
                <c:pt idx="3">
                  <c:v>0.30201342281879195</c:v>
                </c:pt>
                <c:pt idx="4">
                  <c:v>#N/A</c:v>
                </c:pt>
              </c:numCache>
            </c:numRef>
          </c:val>
          <c:smooth val="0"/>
          <c:extLst>
            <c:ext xmlns:c16="http://schemas.microsoft.com/office/drawing/2014/chart" uri="{C3380CC4-5D6E-409C-BE32-E72D297353CC}">
              <c16:uniqueId val="{0000000A-C590-4B8B-B662-BC8D58CB8615}"/>
            </c:ext>
          </c:extLst>
        </c:ser>
        <c:ser>
          <c:idx val="16"/>
          <c:order val="10"/>
          <c:tx>
            <c:strRef>
              <c:f>New_Ceased_LAC!$AL$158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New_Ceased_LAC!$AS$158:$AW$158</c:f>
              <c:numCache>
                <c:formatCode>0.0%</c:formatCode>
                <c:ptCount val="5"/>
                <c:pt idx="0">
                  <c:v>#N/A</c:v>
                </c:pt>
                <c:pt idx="1">
                  <c:v>0.19047619047619047</c:v>
                </c:pt>
                <c:pt idx="2">
                  <c:v>0.23577235772357724</c:v>
                </c:pt>
                <c:pt idx="3">
                  <c:v>0.26881720430107525</c:v>
                </c:pt>
                <c:pt idx="4">
                  <c:v>#N/A</c:v>
                </c:pt>
              </c:numCache>
            </c:numRef>
          </c:val>
          <c:smooth val="0"/>
          <c:extLst>
            <c:ext xmlns:c16="http://schemas.microsoft.com/office/drawing/2014/chart" uri="{C3380CC4-5D6E-409C-BE32-E72D297353CC}">
              <c16:uniqueId val="{0000000B-C590-4B8B-B662-BC8D58CB8615}"/>
            </c:ext>
          </c:extLst>
        </c:ser>
        <c:ser>
          <c:idx val="17"/>
          <c:order val="11"/>
          <c:tx>
            <c:strRef>
              <c:f>New_Ceased_LAC!$AL$159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New_Ceased_LAC!$AS$159:$AW$159</c:f>
              <c:numCache>
                <c:formatCode>0.0%</c:formatCode>
                <c:ptCount val="5"/>
                <c:pt idx="0">
                  <c:v>#N/A</c:v>
                </c:pt>
                <c:pt idx="1">
                  <c:v>0.23577235772357724</c:v>
                </c:pt>
                <c:pt idx="2">
                  <c:v>0.24</c:v>
                </c:pt>
                <c:pt idx="3">
                  <c:v>0.38043478260869568</c:v>
                </c:pt>
                <c:pt idx="4">
                  <c:v>#N/A</c:v>
                </c:pt>
              </c:numCache>
            </c:numRef>
          </c:val>
          <c:smooth val="0"/>
          <c:extLst>
            <c:ext xmlns:c16="http://schemas.microsoft.com/office/drawing/2014/chart" uri="{C3380CC4-5D6E-409C-BE32-E72D297353CC}">
              <c16:uniqueId val="{0000000C-C590-4B8B-B662-BC8D58CB8615}"/>
            </c:ext>
          </c:extLst>
        </c:ser>
        <c:ser>
          <c:idx val="19"/>
          <c:order val="12"/>
          <c:tx>
            <c:strRef>
              <c:f>New_Ceased_LAC!$AL$160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New_Ceased_LAC!$AS$160:$AW$160</c:f>
              <c:numCache>
                <c:formatCode>0.0%</c:formatCode>
                <c:ptCount val="5"/>
                <c:pt idx="0">
                  <c:v>#N/A</c:v>
                </c:pt>
                <c:pt idx="1">
                  <c:v>0.13636363636363635</c:v>
                </c:pt>
                <c:pt idx="2">
                  <c:v>0.21428571428571427</c:v>
                </c:pt>
                <c:pt idx="3">
                  <c:v>0.25</c:v>
                </c:pt>
                <c:pt idx="4">
                  <c:v>#N/A</c:v>
                </c:pt>
              </c:numCache>
            </c:numRef>
          </c:val>
          <c:smooth val="0"/>
          <c:extLst>
            <c:ext xmlns:c16="http://schemas.microsoft.com/office/drawing/2014/chart" uri="{C3380CC4-5D6E-409C-BE32-E72D297353CC}">
              <c16:uniqueId val="{0000000D-C590-4B8B-B662-BC8D58CB8615}"/>
            </c:ext>
          </c:extLst>
        </c:ser>
        <c:ser>
          <c:idx val="3"/>
          <c:order val="13"/>
          <c:tx>
            <c:strRef>
              <c:f>New_Ceased_LAC!$AL$161</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New_Ceased_LAC!$AS$161:$AW$161</c:f>
              <c:numCache>
                <c:formatCode>0.0%</c:formatCode>
                <c:ptCount val="5"/>
                <c:pt idx="0">
                  <c:v>#N/A</c:v>
                </c:pt>
                <c:pt idx="1">
                  <c:v>0.1965065502183406</c:v>
                </c:pt>
                <c:pt idx="2">
                  <c:v>0.22988505747126436</c:v>
                </c:pt>
                <c:pt idx="3">
                  <c:v>0.26008968609865468</c:v>
                </c:pt>
                <c:pt idx="4">
                  <c:v>#N/A</c:v>
                </c:pt>
              </c:numCache>
            </c:numRef>
          </c:val>
          <c:smooth val="0"/>
          <c:extLst>
            <c:ext xmlns:c16="http://schemas.microsoft.com/office/drawing/2014/chart" uri="{C3380CC4-5D6E-409C-BE32-E72D297353CC}">
              <c16:uniqueId val="{0000000E-C590-4B8B-B662-BC8D58CB8615}"/>
            </c:ext>
          </c:extLst>
        </c:ser>
        <c:ser>
          <c:idx val="20"/>
          <c:order val="14"/>
          <c:tx>
            <c:strRef>
              <c:f>New_Ceased_LAC!$AL$162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New_Ceased_LAC!$AS$162:$AW$162</c:f>
              <c:numCache>
                <c:formatCode>0.0%</c:formatCode>
                <c:ptCount val="5"/>
                <c:pt idx="0">
                  <c:v>#N/A</c:v>
                </c:pt>
                <c:pt idx="1">
                  <c:v>0.15121951219512195</c:v>
                </c:pt>
                <c:pt idx="2">
                  <c:v>0.18552036199095023</c:v>
                </c:pt>
                <c:pt idx="3">
                  <c:v>0.16751269035532995</c:v>
                </c:pt>
                <c:pt idx="4">
                  <c:v>#N/A</c:v>
                </c:pt>
              </c:numCache>
            </c:numRef>
          </c:val>
          <c:smooth val="0"/>
          <c:extLst>
            <c:ext xmlns:c16="http://schemas.microsoft.com/office/drawing/2014/chart" uri="{C3380CC4-5D6E-409C-BE32-E72D297353CC}">
              <c16:uniqueId val="{0000000F-C590-4B8B-B662-BC8D58CB8615}"/>
            </c:ext>
          </c:extLst>
        </c:ser>
        <c:ser>
          <c:idx val="22"/>
          <c:order val="15"/>
          <c:tx>
            <c:strRef>
              <c:f>New_Ceased_LAC!$AL$163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New_Ceased_LAC!$AS$163:$AW$163</c:f>
              <c:numCache>
                <c:formatCode>0.0%</c:formatCode>
                <c:ptCount val="5"/>
                <c:pt idx="0">
                  <c:v>#N/A</c:v>
                </c:pt>
                <c:pt idx="1">
                  <c:v>0.27407407407407408</c:v>
                </c:pt>
                <c:pt idx="2">
                  <c:v>0.31742243436754175</c:v>
                </c:pt>
                <c:pt idx="3">
                  <c:v>0.41809290953545231</c:v>
                </c:pt>
                <c:pt idx="4">
                  <c:v>#N/A</c:v>
                </c:pt>
              </c:numCache>
            </c:numRef>
          </c:val>
          <c:smooth val="0"/>
          <c:extLst>
            <c:ext xmlns:c16="http://schemas.microsoft.com/office/drawing/2014/chart" uri="{C3380CC4-5D6E-409C-BE32-E72D297353CC}">
              <c16:uniqueId val="{00000010-C590-4B8B-B662-BC8D58CB8615}"/>
            </c:ext>
          </c:extLst>
        </c:ser>
        <c:ser>
          <c:idx val="7"/>
          <c:order val="16"/>
          <c:tx>
            <c:strRef>
              <c:f>New_Ceased_LAC!$AL$164</c:f>
              <c:strCache>
                <c:ptCount val="1"/>
                <c:pt idx="0">
                  <c:v>Swindon</c:v>
                </c:pt>
              </c:strCache>
            </c:strRef>
          </c:tx>
          <c:spPr>
            <a:ln w="15875"/>
          </c:spPr>
          <c:marker>
            <c:symbol val="triangle"/>
            <c:size val="5"/>
            <c:spPr>
              <a:solidFill>
                <a:schemeClr val="accent2">
                  <a:lumMod val="20000"/>
                  <a:lumOff val="80000"/>
                </a:schemeClr>
              </a:solidFill>
            </c:spPr>
          </c:marker>
          <c:cat>
            <c:strRef>
              <c:f>New_Ceased_LAC!$AS$146:$AW$147</c:f>
              <c:strCache>
                <c:ptCount val="5"/>
                <c:pt idx="0">
                  <c:v>2014-15</c:v>
                </c:pt>
                <c:pt idx="1">
                  <c:v>2015-16</c:v>
                </c:pt>
                <c:pt idx="2">
                  <c:v>2016-17</c:v>
                </c:pt>
                <c:pt idx="3">
                  <c:v>2017-18</c:v>
                </c:pt>
                <c:pt idx="4">
                  <c:v>2018-19</c:v>
                </c:pt>
              </c:strCache>
            </c:strRef>
          </c:cat>
          <c:val>
            <c:numRef>
              <c:f>New_Ceased_LAC!$AS$164:$AW$164</c:f>
              <c:numCache>
                <c:formatCode>0.0%</c:formatCode>
                <c:ptCount val="5"/>
                <c:pt idx="0">
                  <c:v>#N/A</c:v>
                </c:pt>
                <c:pt idx="1">
                  <c:v>0.23741007194244604</c:v>
                </c:pt>
                <c:pt idx="2">
                  <c:v>0.28666666666666668</c:v>
                </c:pt>
                <c:pt idx="3">
                  <c:v>0.23870967741935484</c:v>
                </c:pt>
                <c:pt idx="4">
                  <c:v>#N/A</c:v>
                </c:pt>
              </c:numCache>
            </c:numRef>
          </c:val>
          <c:smooth val="0"/>
          <c:extLst>
            <c:ext xmlns:c16="http://schemas.microsoft.com/office/drawing/2014/chart" uri="{C3380CC4-5D6E-409C-BE32-E72D297353CC}">
              <c16:uniqueId val="{00000011-C590-4B8B-B662-BC8D58CB8615}"/>
            </c:ext>
          </c:extLst>
        </c:ser>
        <c:ser>
          <c:idx val="8"/>
          <c:order val="17"/>
          <c:tx>
            <c:strRef>
              <c:f>New_Ceased_LAC!$AL$165</c:f>
              <c:strCache>
                <c:ptCount val="1"/>
                <c:pt idx="0">
                  <c:v>Torbay</c:v>
                </c:pt>
              </c:strCache>
            </c:strRef>
          </c:tx>
          <c:spPr>
            <a:ln w="15875"/>
          </c:spPr>
          <c:marker>
            <c:symbol val="circle"/>
            <c:size val="5"/>
            <c:spPr>
              <a:solidFill>
                <a:schemeClr val="accent3">
                  <a:lumMod val="20000"/>
                  <a:lumOff val="80000"/>
                </a:schemeClr>
              </a:solidFill>
            </c:spPr>
          </c:marker>
          <c:cat>
            <c:strRef>
              <c:f>New_Ceased_LAC!$AS$146:$AW$147</c:f>
              <c:strCache>
                <c:ptCount val="5"/>
                <c:pt idx="0">
                  <c:v>2014-15</c:v>
                </c:pt>
                <c:pt idx="1">
                  <c:v>2015-16</c:v>
                </c:pt>
                <c:pt idx="2">
                  <c:v>2016-17</c:v>
                </c:pt>
                <c:pt idx="3">
                  <c:v>2017-18</c:v>
                </c:pt>
                <c:pt idx="4">
                  <c:v>2018-19</c:v>
                </c:pt>
              </c:strCache>
            </c:strRef>
          </c:cat>
          <c:val>
            <c:numRef>
              <c:f>New_Ceased_LAC!$AS$165:$AW$165</c:f>
              <c:numCache>
                <c:formatCode>0.0%</c:formatCode>
                <c:ptCount val="5"/>
                <c:pt idx="0">
                  <c:v>#N/A</c:v>
                </c:pt>
                <c:pt idx="1">
                  <c:v>0.2</c:v>
                </c:pt>
                <c:pt idx="2">
                  <c:v>0.22222222222222221</c:v>
                </c:pt>
                <c:pt idx="3">
                  <c:v>#N/A</c:v>
                </c:pt>
                <c:pt idx="4">
                  <c:v>#N/A</c:v>
                </c:pt>
              </c:numCache>
            </c:numRef>
          </c:val>
          <c:smooth val="0"/>
          <c:extLst>
            <c:ext xmlns:c16="http://schemas.microsoft.com/office/drawing/2014/chart" uri="{C3380CC4-5D6E-409C-BE32-E72D297353CC}">
              <c16:uniqueId val="{00000012-C590-4B8B-B662-BC8D58CB8615}"/>
            </c:ext>
          </c:extLst>
        </c:ser>
        <c:ser>
          <c:idx val="23"/>
          <c:order val="18"/>
          <c:tx>
            <c:strRef>
              <c:f>New_Ceased_LAC!$AL$166</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New_Ceased_LAC!$AS$166:$AW$166</c:f>
              <c:numCache>
                <c:formatCode>0.0%</c:formatCode>
                <c:ptCount val="5"/>
                <c:pt idx="0">
                  <c:v>#N/A</c:v>
                </c:pt>
                <c:pt idx="1">
                  <c:v>0.20289855072463769</c:v>
                </c:pt>
                <c:pt idx="2">
                  <c:v>0.44594594594594594</c:v>
                </c:pt>
                <c:pt idx="3">
                  <c:v>0.26744186046511625</c:v>
                </c:pt>
                <c:pt idx="4">
                  <c:v>#N/A</c:v>
                </c:pt>
              </c:numCache>
            </c:numRef>
          </c:val>
          <c:smooth val="0"/>
          <c:extLst>
            <c:ext xmlns:c16="http://schemas.microsoft.com/office/drawing/2014/chart" uri="{C3380CC4-5D6E-409C-BE32-E72D297353CC}">
              <c16:uniqueId val="{00000013-C590-4B8B-B662-BC8D58CB8615}"/>
            </c:ext>
          </c:extLst>
        </c:ser>
        <c:ser>
          <c:idx val="24"/>
          <c:order val="19"/>
          <c:tx>
            <c:strRef>
              <c:f>New_Ceased_LAC!$AL$167</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New_Ceased_LAC!$AS$167:$AW$167</c:f>
              <c:numCache>
                <c:formatCode>0.0%</c:formatCode>
                <c:ptCount val="5"/>
                <c:pt idx="0">
                  <c:v>#N/A</c:v>
                </c:pt>
                <c:pt idx="1">
                  <c:v>0.27461139896373055</c:v>
                </c:pt>
                <c:pt idx="2">
                  <c:v>0.31092436974789917</c:v>
                </c:pt>
                <c:pt idx="3">
                  <c:v>0.31065088757396447</c:v>
                </c:pt>
                <c:pt idx="4">
                  <c:v>#N/A</c:v>
                </c:pt>
              </c:numCache>
            </c:numRef>
          </c:val>
          <c:smooth val="0"/>
          <c:extLst>
            <c:ext xmlns:c16="http://schemas.microsoft.com/office/drawing/2014/chart" uri="{C3380CC4-5D6E-409C-BE32-E72D297353CC}">
              <c16:uniqueId val="{00000014-C590-4B8B-B662-BC8D58CB8615}"/>
            </c:ext>
          </c:extLst>
        </c:ser>
        <c:ser>
          <c:idx val="25"/>
          <c:order val="20"/>
          <c:tx>
            <c:strRef>
              <c:f>New_Ceased_LAC!$AL$168</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New_Ceased_LAC!$AS$168:$AW$168</c:f>
              <c:numCache>
                <c:formatCode>0.0%</c:formatCode>
                <c:ptCount val="5"/>
                <c:pt idx="0">
                  <c:v>#N/A</c:v>
                </c:pt>
                <c:pt idx="1">
                  <c:v>0.37209302325581395</c:v>
                </c:pt>
                <c:pt idx="2">
                  <c:v>0.4</c:v>
                </c:pt>
                <c:pt idx="3">
                  <c:v>0.40816326530612246</c:v>
                </c:pt>
                <c:pt idx="4">
                  <c:v>#N/A</c:v>
                </c:pt>
              </c:numCache>
            </c:numRef>
          </c:val>
          <c:smooth val="0"/>
          <c:extLst>
            <c:ext xmlns:c16="http://schemas.microsoft.com/office/drawing/2014/chart" uri="{C3380CC4-5D6E-409C-BE32-E72D297353CC}">
              <c16:uniqueId val="{00000015-C590-4B8B-B662-BC8D58CB8615}"/>
            </c:ext>
          </c:extLst>
        </c:ser>
        <c:ser>
          <c:idx val="26"/>
          <c:order val="21"/>
          <c:tx>
            <c:strRef>
              <c:f>New_Ceased_LAC!$AL$169</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New_Ceased_LAC!$AS$169:$AW$169</c:f>
              <c:numCache>
                <c:formatCode>0.0%</c:formatCode>
                <c:ptCount val="5"/>
                <c:pt idx="0">
                  <c:v>#N/A</c:v>
                </c:pt>
                <c:pt idx="1">
                  <c:v>0.23529411764705882</c:v>
                </c:pt>
                <c:pt idx="2">
                  <c:v>0.25806451612903225</c:v>
                </c:pt>
                <c:pt idx="3">
                  <c:v>0.41666666666666669</c:v>
                </c:pt>
                <c:pt idx="4">
                  <c:v>#N/A</c:v>
                </c:pt>
              </c:numCache>
            </c:numRef>
          </c:val>
          <c:smooth val="0"/>
          <c:extLst>
            <c:ext xmlns:c16="http://schemas.microsoft.com/office/drawing/2014/chart" uri="{C3380CC4-5D6E-409C-BE32-E72D297353CC}">
              <c16:uniqueId val="{00000016-C590-4B8B-B662-BC8D58CB8615}"/>
            </c:ext>
          </c:extLst>
        </c:ser>
        <c:ser>
          <c:idx val="4"/>
          <c:order val="22"/>
          <c:tx>
            <c:strRef>
              <c:f>New_Ceased_LAC!$AL$170</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New_Ceased_LAC!$AS$146:$AW$147</c:f>
              <c:strCache>
                <c:ptCount val="5"/>
                <c:pt idx="0">
                  <c:v>2014-15</c:v>
                </c:pt>
                <c:pt idx="1">
                  <c:v>2015-16</c:v>
                </c:pt>
                <c:pt idx="2">
                  <c:v>2016-17</c:v>
                </c:pt>
                <c:pt idx="3">
                  <c:v>2017-18</c:v>
                </c:pt>
                <c:pt idx="4">
                  <c:v>2018-19</c:v>
                </c:pt>
              </c:strCache>
            </c:strRef>
          </c:cat>
          <c:val>
            <c:numRef>
              <c:f>New_Ceased_LAC!$AS$170:$AW$170</c:f>
              <c:numCache>
                <c:formatCode>0.0%</c:formatCode>
                <c:ptCount val="5"/>
                <c:pt idx="0">
                  <c:v>#N/A</c:v>
                </c:pt>
                <c:pt idx="1">
                  <c:v>0.26881720430107525</c:v>
                </c:pt>
                <c:pt idx="2">
                  <c:v>0.31612903225806449</c:v>
                </c:pt>
                <c:pt idx="3">
                  <c:v>0.33642691415313225</c:v>
                </c:pt>
                <c:pt idx="4">
                  <c:v>#N/A</c:v>
                </c:pt>
              </c:numCache>
            </c:numRef>
          </c:val>
          <c:smooth val="0"/>
          <c:extLst>
            <c:ext xmlns:c16="http://schemas.microsoft.com/office/drawing/2014/chart" uri="{C3380CC4-5D6E-409C-BE32-E72D297353CC}">
              <c16:uniqueId val="{00000017-C590-4B8B-B662-BC8D58CB8615}"/>
            </c:ext>
          </c:extLst>
        </c:ser>
        <c:ser>
          <c:idx val="14"/>
          <c:order val="23"/>
          <c:tx>
            <c:strRef>
              <c:f>New_Ceased_LAC!$AL$171</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New_Ceased_LAC!$AS$146:$AW$147</c:f>
              <c:strCache>
                <c:ptCount val="5"/>
                <c:pt idx="0">
                  <c:v>2014-15</c:v>
                </c:pt>
                <c:pt idx="1">
                  <c:v>2015-16</c:v>
                </c:pt>
                <c:pt idx="2">
                  <c:v>2016-17</c:v>
                </c:pt>
                <c:pt idx="3">
                  <c:v>2017-18</c:v>
                </c:pt>
                <c:pt idx="4">
                  <c:v>2018-19</c:v>
                </c:pt>
              </c:strCache>
            </c:strRef>
          </c:cat>
          <c:val>
            <c:numRef>
              <c:f>New_Ceased_LAC!$AS$171:$AW$171</c:f>
              <c:numCache>
                <c:formatCode>0.0%</c:formatCode>
                <c:ptCount val="5"/>
                <c:pt idx="0">
                  <c:v>#N/A</c:v>
                </c:pt>
                <c:pt idx="1">
                  <c:v>0.25109855618330196</c:v>
                </c:pt>
                <c:pt idx="2">
                  <c:v>0.27802547770700636</c:v>
                </c:pt>
                <c:pt idx="3">
                  <c:v>0.30815307820299503</c:v>
                </c:pt>
                <c:pt idx="4">
                  <c:v>#N/A</c:v>
                </c:pt>
              </c:numCache>
            </c:numRef>
          </c:val>
          <c:smooth val="0"/>
          <c:extLst>
            <c:ext xmlns:c16="http://schemas.microsoft.com/office/drawing/2014/chart" uri="{C3380CC4-5D6E-409C-BE32-E72D297353CC}">
              <c16:uniqueId val="{00000018-C590-4B8B-B662-BC8D58CB8615}"/>
            </c:ext>
          </c:extLst>
        </c:ser>
        <c:ser>
          <c:idx val="6"/>
          <c:order val="24"/>
          <c:tx>
            <c:strRef>
              <c:f>New_Ceased_LAC!$AL$172</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New_Ceased_LAC!$AS$146:$AW$147</c:f>
              <c:strCache>
                <c:ptCount val="5"/>
                <c:pt idx="0">
                  <c:v>2014-15</c:v>
                </c:pt>
                <c:pt idx="1">
                  <c:v>2015-16</c:v>
                </c:pt>
                <c:pt idx="2">
                  <c:v>2016-17</c:v>
                </c:pt>
                <c:pt idx="3">
                  <c:v>2017-18</c:v>
                </c:pt>
                <c:pt idx="4">
                  <c:v>2018-19</c:v>
                </c:pt>
              </c:strCache>
            </c:strRef>
          </c:cat>
          <c:val>
            <c:numRef>
              <c:f>New_Ceased_LAC!$AS$172:$AW$172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590-4B8B-B662-BC8D58CB8615}"/>
            </c:ext>
          </c:extLst>
        </c:ser>
        <c:dLbls>
          <c:showLegendKey val="0"/>
          <c:showVal val="0"/>
          <c:showCatName val="0"/>
          <c:showSerName val="0"/>
          <c:showPercent val="0"/>
          <c:showBubbleSize val="0"/>
        </c:dLbls>
        <c:marker val="1"/>
        <c:smooth val="0"/>
        <c:axId val="304099328"/>
        <c:axId val="304100864"/>
      </c:lineChart>
      <c:catAx>
        <c:axId val="304099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100864"/>
        <c:crosses val="autoZero"/>
        <c:auto val="1"/>
        <c:lblAlgn val="ctr"/>
        <c:lblOffset val="100"/>
        <c:tickLblSkip val="1"/>
        <c:tickMarkSkip val="1"/>
        <c:noMultiLvlLbl val="0"/>
      </c:catAx>
      <c:valAx>
        <c:axId val="30410086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09932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Starting</a:t>
            </a:r>
            <a:r>
              <a:rPr lang="en-GB" baseline="0"/>
              <a:t> to be </a:t>
            </a:r>
            <a:r>
              <a:rPr lang="en-GB"/>
              <a:t>Looked After</a:t>
            </a:r>
            <a:r>
              <a:rPr lang="en-GB" baseline="0"/>
              <a:t> </a:t>
            </a:r>
            <a:r>
              <a:rPr lang="en-GB"/>
              <a:t>vs. IDACI</a:t>
            </a:r>
          </a:p>
        </c:rich>
      </c:tx>
      <c:layout>
        <c:manualLayout>
          <c:xMode val="edge"/>
          <c:yMode val="edge"/>
          <c:x val="0.1456396411986963"/>
          <c:y val="3.612588966919675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0F22-4649-9BE3-4C533B8ACD4D}"/>
                </c:ext>
              </c:extLst>
            </c:dLbl>
            <c:dLbl>
              <c:idx val="1"/>
              <c:layout>
                <c:manualLayout>
                  <c:x val="-5.2631578947368529E-2"/>
                  <c:y val="3.0165912518853696E-2"/>
                </c:manualLayout>
              </c:layout>
              <c:tx>
                <c:strRef>
                  <c:f>New_Ceased_LAC!$AD$42</c:f>
                  <c:strCache>
                    <c:ptCount val="1"/>
                    <c:pt idx="0">
                      <c:v>r² = 0.42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{AA0A9EF3-6983-4934-AC5F-8FBD5285307E}</c15:txfldGUID>
                      <c15:f>New_Ceased_LAC!$AD$42</c15:f>
                      <c15:dlblFieldTableCache>
                        <c:ptCount val="1"/>
                        <c:pt idx="0">
                          <c:v>r² = 0.42</c:v>
                        </c:pt>
                      </c15:dlblFieldTableCache>
                    </c15:dlblFTEntry>
                  </c15:dlblFieldTable>
                  <c15:showDataLabelsRange val="0"/>
                </c:ext>
                <c:ext xmlns:c16="http://schemas.microsoft.com/office/drawing/2014/chart" uri="{C3380CC4-5D6E-409C-BE32-E72D297353CC}">
                  <c16:uniqueId val="{00000001-0F22-4649-9BE3-4C533B8ACD4D}"/>
                </c:ext>
              </c:extLst>
            </c:dLbl>
            <c:spPr>
              <a:noFill/>
              <a:ln>
                <a:noFill/>
              </a:ln>
              <a:effectLst/>
            </c:spPr>
            <c:txPr>
              <a:bodyPr wrap="square" lIns="38100" tIns="19050" rIns="38100" bIns="19050" anchor="ctr">
                <a:spAutoFit/>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New_Ceased_LAC!$AB$41:$AB$42</c:f>
              <c:numCache>
                <c:formatCode>General</c:formatCode>
                <c:ptCount val="2"/>
                <c:pt idx="0" formatCode="#,##0.0">
                  <c:v>5</c:v>
                </c:pt>
                <c:pt idx="1">
                  <c:v>35</c:v>
                </c:pt>
              </c:numCache>
            </c:numRef>
          </c:xVal>
          <c:yVal>
            <c:numRef>
              <c:f>New_Ceased_LAC!$AC$41:$AC$42</c:f>
              <c:numCache>
                <c:formatCode>0.0</c:formatCode>
                <c:ptCount val="2"/>
                <c:pt idx="0">
                  <c:v>15.65587979871189</c:v>
                </c:pt>
                <c:pt idx="1">
                  <c:v>50.690025657469583</c:v>
                </c:pt>
              </c:numCache>
            </c:numRef>
          </c:yVal>
          <c:smooth val="1"/>
          <c:extLst>
            <c:ext xmlns:c16="http://schemas.microsoft.com/office/drawing/2014/chart" uri="{C3380CC4-5D6E-409C-BE32-E72D297353CC}">
              <c16:uniqueId val="{00000002-0F22-4649-9BE3-4C533B8ACD4D}"/>
            </c:ext>
          </c:extLst>
        </c:ser>
        <c:dLbls>
          <c:showLegendKey val="0"/>
          <c:showVal val="0"/>
          <c:showCatName val="0"/>
          <c:showSerName val="0"/>
          <c:showPercent val="0"/>
          <c:showBubbleSize val="0"/>
        </c:dLbls>
        <c:axId val="304221184"/>
        <c:axId val="304276608"/>
      </c:scatterChart>
      <c:scatterChart>
        <c:scatterStyle val="lineMarker"/>
        <c:varyColors val="0"/>
        <c:ser>
          <c:idx val="0"/>
          <c:order val="0"/>
          <c:tx>
            <c:strRef>
              <c:f>New_Ceased_LAC!$AR$38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0F22-4649-9BE3-4C533B8ACD4D}"/>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{EA615A72-3E80-4F87-B6FB-6E600733002F}</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0F22-4649-9BE3-4C533B8ACD4D}"/>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{37BF02AB-C8D4-41E2-9E8A-49C4CB88BFD6}</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0F22-4649-9BE3-4C533B8ACD4D}"/>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{712A5A1B-3422-4AFF-A6C5-26EF8CFE43E4}</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0F22-4649-9BE3-4C533B8ACD4D}"/>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{47684D55-5562-45E2-BEA4-BE83693C2187}</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0F22-4649-9BE3-4C533B8ACD4D}"/>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{EC612BEA-ABA5-4E97-9E81-41432BD0AB95}</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0F22-4649-9BE3-4C533B8ACD4D}"/>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{A0D8F2C2-47C6-41C6-BD74-743D6C9BEC6D}</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0F22-4649-9BE3-4C533B8ACD4D}"/>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{39E4F217-E7A2-4A85-86E9-F8E976318CDB}</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0F22-4649-9BE3-4C533B8ACD4D}"/>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{67BD331F-A514-4413-83B9-8C4B6D4E26AA}</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0F22-4649-9BE3-4C533B8ACD4D}"/>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{459B50B1-5BDE-480C-94A9-12BC40F2019B}</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0F22-4649-9BE3-4C533B8ACD4D}"/>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{BA226611-4E30-4385-9026-9715A867F72C}</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0F22-4649-9BE3-4C533B8ACD4D}"/>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{4C68850A-28AF-4F9B-BB13-5874DD62E5AB}</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0F22-4649-9BE3-4C533B8ACD4D}"/>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{D266F41F-4F8F-46DF-90DA-956B27136391}</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0F22-4649-9BE3-4C533B8ACD4D}"/>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{5BA53B0B-1877-4768-8E1B-283B4DE9844A}</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0F22-4649-9BE3-4C533B8ACD4D}"/>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{810FEAA4-064E-4121-9CFF-2C666E15DE16}</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0F22-4649-9BE3-4C533B8ACD4D}"/>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{C65689CF-6175-45BB-8C50-98F9066572E8}</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0F22-4649-9BE3-4C533B8ACD4D}"/>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{A532D063-32DB-40D9-A9A8-774B635B7F1F}</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0F22-4649-9BE3-4C533B8ACD4D}"/>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{743EF2ED-5B51-4669-8E03-40F88ADB148C}</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0F22-4649-9BE3-4C533B8ACD4D}"/>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{EF8A68CB-4E56-4890-973D-40267C1D062B}</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0F22-4649-9BE3-4C533B8ACD4D}"/>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{E46CC2D2-574A-4D4E-B9BC-CEE943D4A99B}</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0F22-4649-9BE3-4C533B8ACD4D}"/>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(New_Ceased_LAC!$AR$41:$AR$53,New_Ceased_LAC!$AR$55:$AR$56,New_Ceased_LAC!$AR$59:$AR$62)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(New_Ceased_LAC!$AQ$41:$AQ$53,New_Ceased_LAC!$AQ$55:$AQ$56,New_Ceased_LAC!$AQ$59:$AQ$62)</c:f>
              <c:numCache>
                <c:formatCode>0.0</c:formatCode>
                <c:ptCount val="19"/>
                <c:pt idx="0">
                  <c:v>29.681978798586574</c:v>
                </c:pt>
                <c:pt idx="1">
                  <c:v>30.784313725490197</c:v>
                </c:pt>
                <c:pt idx="2">
                  <c:v>16.814159292035399</c:v>
                </c:pt>
                <c:pt idx="3">
                  <c:v>18.045112781954888</c:v>
                </c:pt>
                <c:pt idx="4">
                  <c:v>22.95774647887324</c:v>
                </c:pt>
                <c:pt idx="5">
                  <c:v>29.718875502008032</c:v>
                </c:pt>
                <c:pt idx="6">
                  <c:v>20.464569244339902</c:v>
                </c:pt>
                <c:pt idx="7">
                  <c:v>25.93167701863354</c:v>
                </c:pt>
                <c:pt idx="8">
                  <c:v>23.718887262079061</c:v>
                </c:pt>
                <c:pt idx="9">
                  <c:v>24.516574585635361</c:v>
                </c:pt>
                <c:pt idx="10">
                  <c:v>52.045454545454547</c:v>
                </c:pt>
                <c:pt idx="11">
                  <c:v>23.989218328840973</c:v>
                </c:pt>
                <c:pt idx="12">
                  <c:v>31.381733021077284</c:v>
                </c:pt>
                <c:pt idx="13">
                  <c:v>33.464566929133859</c:v>
                </c:pt>
                <c:pt idx="14">
                  <c:v>16.60939289805269</c:v>
                </c:pt>
                <c:pt idx="15">
                  <c:v>22.191011235955056</c:v>
                </c:pt>
                <c:pt idx="16">
                  <c:v>19.805380652547221</c:v>
                </c:pt>
                <c:pt idx="17">
                  <c:v>18.786127167630056</c:v>
                </c:pt>
                <c:pt idx="18">
                  <c:v>15.69620253164557</c:v>
                </c:pt>
              </c:numCache>
            </c:numRef>
          </c:yVal>
          <c:smooth val="0"/>
          <c:extLst>
            <c:ext xmlns:c16="http://schemas.microsoft.com/office/drawing/2014/chart" uri="{C3380CC4-5D6E-409C-BE32-E72D297353CC}">
              <c16:uniqueId val="{00000017-0F22-4649-9BE3-4C533B8ACD4D}"/>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0F22-4649-9BE3-4C533B8ACD4D}"/>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{25A2CAA9-7507-409E-8D3A-1C49C82B226F}</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0F22-4649-9BE3-4C533B8ACD4D}"/>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{A8D290EC-6EF8-4CAF-9688-28F40231E7B1}</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0F22-4649-9BE3-4C533B8ACD4D}"/>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{21B650AB-904A-4A9D-A382-51E6F49FFF9D}</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0F22-4649-9BE3-4C533B8ACD4D}"/>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(New_Ceased_LAC!$AR$54,New_Ceased_LAC!$AR$57:$AR$58)</c:f>
              <c:numCache>
                <c:formatCode>0.0</c:formatCode>
                <c:ptCount val="3"/>
                <c:pt idx="0">
                  <c:v>13.600000000000001</c:v>
                </c:pt>
                <c:pt idx="1">
                  <c:v>14.899999999999999</c:v>
                </c:pt>
                <c:pt idx="2">
                  <c:v>21.9</c:v>
                </c:pt>
              </c:numCache>
            </c:numRef>
          </c:xVal>
          <c:yVal>
            <c:numRef>
              <c:f>(New_Ceased_LAC!$AQ$54,New_Ceased_LAC!$AQ$57:$AQ$58)</c:f>
              <c:numCache>
                <c:formatCode>0.0</c:formatCode>
                <c:ptCount val="3"/>
                <c:pt idx="0">
                  <c:v>17.524841915085815</c:v>
                </c:pt>
                <c:pt idx="1">
                  <c:v>27.290836653386457</c:v>
                </c:pt>
                <c:pt idx="2">
                  <c:v>57.874015748031496</c:v>
                </c:pt>
              </c:numCache>
            </c:numRef>
          </c:yVal>
          <c:smooth val="0"/>
          <c:extLst>
            <c:ext xmlns:c16="http://schemas.microsoft.com/office/drawing/2014/chart" uri="{C3380CC4-5D6E-409C-BE32-E72D297353CC}">
              <c16:uniqueId val="{0000001B-0F22-4649-9BE3-4C533B8ACD4D}"/>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New_Ceased_LAC!$AR$65</c:f>
              <c:numCache>
                <c:formatCode>0.0</c:formatCode>
                <c:ptCount val="1"/>
                <c:pt idx="0">
                  <c:v>#N/A</c:v>
                </c:pt>
              </c:numCache>
            </c:numRef>
          </c:xVal>
          <c:yVal>
            <c:numRef>
              <c:f>New_Ceased_LAC!$AQ$65</c:f>
              <c:numCache>
                <c:formatCode>0.0</c:formatCode>
                <c:ptCount val="1"/>
                <c:pt idx="0">
                  <c:v>#N/A</c:v>
                </c:pt>
              </c:numCache>
            </c:numRef>
          </c:yVal>
          <c:smooth val="0"/>
          <c:extLst>
            <c:ext xmlns:c16="http://schemas.microsoft.com/office/drawing/2014/chart" uri="{C3380CC4-5D6E-409C-BE32-E72D297353CC}">
              <c16:uniqueId val="{0000001C-0F22-4649-9BE3-4C533B8ACD4D}"/>
            </c:ext>
          </c:extLst>
        </c:ser>
        <c:ser>
          <c:idx val="4"/>
          <c:order val="3"/>
          <c:tx>
            <c:strRef>
              <c:f>New_Ceased_LAC!$B$32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New_Ceased_LAC!$S$32</c:f>
              <c:numCache>
                <c:formatCode>0.0</c:formatCode>
                <c:ptCount val="1"/>
                <c:pt idx="0">
                  <c:v>12.371268250968637</c:v>
                </c:pt>
              </c:numCache>
            </c:numRef>
          </c:xVal>
          <c:yVal>
            <c:numRef>
              <c:f>New_Ceased_LAC!$O$32</c:f>
              <c:numCache>
                <c:formatCode>0.0</c:formatCode>
                <c:ptCount val="1"/>
                <c:pt idx="0">
                  <c:v>22.274445693266578</c:v>
                </c:pt>
              </c:numCache>
            </c:numRef>
          </c:yVal>
          <c:smooth val="0"/>
          <c:extLst>
            <c:ext xmlns:c16="http://schemas.microsoft.com/office/drawing/2014/chart" uri="{C3380CC4-5D6E-409C-BE32-E72D297353CC}">
              <c16:uniqueId val="{0000001D-0F22-4649-9BE3-4C533B8ACD4D}"/>
            </c:ext>
          </c:extLst>
        </c:ser>
        <c:ser>
          <c:idx val="2"/>
          <c:order val="4"/>
          <c:tx>
            <c:strRef>
              <c:f>New_Ceased_LAC!$Y$43</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0F22-4649-9BE3-4C533B8ACD4D}"/>
                </c:ext>
              </c:extLst>
            </c:dLbl>
            <c:dLbl>
              <c:idx val="1"/>
              <c:layout>
                <c:manualLayout>
                  <c:x val="-5.2631578947368529E-2"/>
                  <c:y val="4.8265460030165915E-2"/>
                </c:manualLayout>
              </c:layout>
              <c:tx>
                <c:strRef>
                  <c:f>New_Ceased_LAC!$AD$43</c:f>
                  <c:strCache>
                    <c:ptCount val="1"/>
                    <c:pt idx="0">
                      <c:v>r² = 0.112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{EBC56104-CAE3-46D5-9745-B2F2B4A8B37A}</c15:txfldGUID>
                      <c15:f>New_Ceased_LAC!$AD$43</c15:f>
                      <c15:dlblFieldTableCache>
                        <c:ptCount val="1"/>
                        <c:pt idx="0">
                          <c:v>r² = 0.112</c:v>
                        </c:pt>
                      </c15:dlblFieldTableCache>
                    </c15:dlblFTEntry>
                  </c15:dlblFieldTable>
                  <c15:showDataLabelsRange val="0"/>
                </c:ext>
                <c:ext xmlns:c16="http://schemas.microsoft.com/office/drawing/2014/chart" uri="{C3380CC4-5D6E-409C-BE32-E72D297353CC}">
                  <c16:uniqueId val="{0000001F-0F22-4649-9BE3-4C533B8ACD4D}"/>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New_Ceased_LAC!$AB$43:$AB$44</c:f>
              <c:numCache>
                <c:formatCode>General</c:formatCode>
                <c:ptCount val="2"/>
                <c:pt idx="0" formatCode="#,##0.0">
                  <c:v>5</c:v>
                </c:pt>
                <c:pt idx="1">
                  <c:v>35</c:v>
                </c:pt>
              </c:numCache>
            </c:numRef>
          </c:xVal>
          <c:yVal>
            <c:numRef>
              <c:f>New_Ceased_LAC!$AC$43:$AC$44</c:f>
              <c:numCache>
                <c:formatCode>0.0</c:formatCode>
                <c:ptCount val="2"/>
                <c:pt idx="0">
                  <c:v>17.467538405695883</c:v>
                </c:pt>
                <c:pt idx="1">
                  <c:v>47.027330316729518</c:v>
                </c:pt>
              </c:numCache>
            </c:numRef>
          </c:yVal>
          <c:smooth val="0"/>
          <c:extLst>
            <c:ext xmlns:c16="http://schemas.microsoft.com/office/drawing/2014/chart" uri="{C3380CC4-5D6E-409C-BE32-E72D297353CC}">
              <c16:uniqueId val="{00000020-0F22-4649-9BE3-4C533B8ACD4D}"/>
            </c:ext>
          </c:extLst>
        </c:ser>
        <c:dLbls>
          <c:showLegendKey val="0"/>
          <c:showVal val="0"/>
          <c:showCatName val="0"/>
          <c:showSerName val="0"/>
          <c:showPercent val="0"/>
          <c:showBubbleSize val="0"/>
        </c:dLbls>
        <c:axId val="304221184"/>
        <c:axId val="304276608"/>
      </c:scatterChart>
      <c:valAx>
        <c:axId val="30422118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276608"/>
        <c:crosses val="autoZero"/>
        <c:crossBetween val="midCat"/>
        <c:majorUnit val="5"/>
      </c:valAx>
      <c:valAx>
        <c:axId val="30427660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Starting to be Looked After 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22118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DA8426"/>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Referral_Source!$D$41:$D$64</c:f>
              <c:numCache>
                <c:formatCode>0.0</c:formatCode>
                <c:ptCount val="24"/>
                <c:pt idx="0">
                  <c:v>9.7153185720741089</c:v>
                </c:pt>
                <c:pt idx="1">
                  <c:v>3.2417412781722756</c:v>
                </c:pt>
                <c:pt idx="2">
                  <c:v>7.4738219895287967</c:v>
                </c:pt>
                <c:pt idx="3">
                  <c:v>10.614136732329085</c:v>
                </c:pt>
                <c:pt idx="4">
                  <c:v>10.461606015697898</c:v>
                </c:pt>
                <c:pt idx="5">
                  <c:v>7.438715131022823</c:v>
                </c:pt>
                <c:pt idx="6">
                  <c:v>8.5379861073128041</c:v>
                </c:pt>
                <c:pt idx="7">
                  <c:v>10.31055900621118</c:v>
                </c:pt>
                <c:pt idx="8">
                  <c:v>10.720956294359357</c:v>
                </c:pt>
                <c:pt idx="9">
                  <c:v>5.7825637999704966</c:v>
                </c:pt>
                <c:pt idx="10">
                  <c:v>7.7355836849507735</c:v>
                </c:pt>
                <c:pt idx="11">
                  <c:v>6.425702811244979</c:v>
                </c:pt>
                <c:pt idx="12">
                  <c:v>6.9873417721518987</c:v>
                </c:pt>
                <c:pt idx="13">
                  <c:v>3.5576179427687551</c:v>
                </c:pt>
                <c:pt idx="14">
                  <c:v>5.3126469205453688</c:v>
                </c:pt>
                <c:pt idx="15">
                  <c:v>11.506524317912218</c:v>
                </c:pt>
                <c:pt idx="16">
                  <c:v>8.6406743940990509</c:v>
                </c:pt>
                <c:pt idx="17">
                  <c:v>7.8414096916299556</c:v>
                </c:pt>
                <c:pt idx="18">
                  <c:v>8.3284457478005862</c:v>
                </c:pt>
                <c:pt idx="19">
                  <c:v>12.97650130548303</c:v>
                </c:pt>
                <c:pt idx="20">
                  <c:v>5.5212831585441089</c:v>
                </c:pt>
                <c:pt idx="21">
                  <c:v>8.1388730791121233</c:v>
                </c:pt>
                <c:pt idx="22">
                  <c:v>8.3259291796863302</c:v>
                </c:pt>
                <c:pt idx="23">
                  <c:v>7.9810114914275188</c:v>
                </c:pt>
              </c:numCache>
            </c:numRef>
          </c:val>
          <c:extLst>
            <c:ext xmlns:c16="http://schemas.microsoft.com/office/drawing/2014/chart" uri="{C3380CC4-5D6E-409C-BE32-E72D297353CC}">
              <c16:uniqueId val="{00000000-8D9D-409F-BC7E-DEF3C48DAE52}"/>
            </c:ext>
          </c:extLst>
        </c:ser>
        <c:dLbls>
          <c:showLegendKey val="0"/>
          <c:showVal val="0"/>
          <c:showCatName val="0"/>
          <c:showSerName val="0"/>
          <c:showPercent val="0"/>
          <c:showBubbleSize val="0"/>
        </c:dLbls>
        <c:gapWidth val="40"/>
        <c:axId val="602621056"/>
        <c:axId val="602622592"/>
      </c:barChart>
      <c:catAx>
        <c:axId val="602621056"/>
        <c:scaling>
          <c:orientation val="maxMin"/>
        </c:scaling>
        <c:delete val="1"/>
        <c:axPos val="l"/>
        <c:numFmt formatCode="General" sourceLinked="0"/>
        <c:majorTickMark val="out"/>
        <c:minorTickMark val="none"/>
        <c:tickLblPos val="nextTo"/>
        <c:crossAx val="602622592"/>
        <c:crosses val="autoZero"/>
        <c:auto val="1"/>
        <c:lblAlgn val="ctr"/>
        <c:lblOffset val="100"/>
        <c:noMultiLvlLbl val="0"/>
      </c:catAx>
      <c:valAx>
        <c:axId val="602622592"/>
        <c:scaling>
          <c:orientation val="minMax"/>
        </c:scaling>
        <c:delete val="1"/>
        <c:axPos val="b"/>
        <c:majorGridlines/>
        <c:numFmt formatCode="0.0" sourceLinked="1"/>
        <c:majorTickMark val="out"/>
        <c:minorTickMark val="none"/>
        <c:tickLblPos val="nextTo"/>
        <c:crossAx val="602621056"/>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Ceasing</a:t>
            </a:r>
            <a:r>
              <a:rPr lang="en-GB" baseline="0"/>
              <a:t> to be </a:t>
            </a:r>
            <a:r>
              <a:rPr lang="en-GB"/>
              <a:t>Looked After</a:t>
            </a:r>
            <a:r>
              <a:rPr lang="en-GB" baseline="0"/>
              <a:t> </a:t>
            </a:r>
            <a:r>
              <a:rPr lang="en-GB"/>
              <a:t>vs. IDACI</a:t>
            </a:r>
          </a:p>
        </c:rich>
      </c:tx>
      <c:layout>
        <c:manualLayout>
          <c:xMode val="edge"/>
          <c:yMode val="edge"/>
          <c:x val="0.1456396411986963"/>
          <c:y val="3.612588966919675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New_Ceased_LAC!$Y$173</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6F52-40E9-8A51-43A4E8BE9618}"/>
                </c:ext>
              </c:extLst>
            </c:dLbl>
            <c:dLbl>
              <c:idx val="1"/>
              <c:layout>
                <c:manualLayout>
                  <c:x val="-5.2631578947368314E-2"/>
                  <c:y val="-2.1021021021021023E-2"/>
                </c:manualLayout>
              </c:layout>
              <c:tx>
                <c:strRef>
                  <c:f>New_Ceased_LAC!$AD$174</c:f>
                  <c:strCache>
                    <c:ptCount val="1"/>
                    <c:pt idx="0">
                      <c:v>r² = 0.621</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{6654F1BA-FBA2-4D48-A0ED-E8D9F0281819}</c15:txfldGUID>
                      <c15:f>New_Ceased_LAC!$AD$174</c15:f>
                      <c15:dlblFieldTableCache>
                        <c:ptCount val="1"/>
                        <c:pt idx="0">
                          <c:v>r² = 0.621</c:v>
                        </c:pt>
                      </c15:dlblFieldTableCache>
                    </c15:dlblFTEntry>
                  </c15:dlblFieldTable>
                  <c15:showDataLabelsRange val="0"/>
                </c:ext>
                <c:ext xmlns:c16="http://schemas.microsoft.com/office/drawing/2014/chart" uri="{C3380CC4-5D6E-409C-BE32-E72D297353CC}">
                  <c16:uniqueId val="{00000001-6F52-40E9-8A51-43A4E8BE961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New_Ceased_LAC!$AB$173:$AB$174</c:f>
              <c:numCache>
                <c:formatCode>General</c:formatCode>
                <c:ptCount val="2"/>
                <c:pt idx="0" formatCode="#,##0.0">
                  <c:v>5</c:v>
                </c:pt>
                <c:pt idx="1">
                  <c:v>35</c:v>
                </c:pt>
              </c:numCache>
            </c:numRef>
          </c:xVal>
          <c:yVal>
            <c:numRef>
              <c:f>New_Ceased_LAC!$AC$173:$AC$174</c:f>
              <c:numCache>
                <c:formatCode>0.0</c:formatCode>
                <c:ptCount val="2"/>
                <c:pt idx="0">
                  <c:v>12.223349881597887</c:v>
                </c:pt>
                <c:pt idx="1">
                  <c:v>53.217354024315611</c:v>
                </c:pt>
              </c:numCache>
            </c:numRef>
          </c:yVal>
          <c:smooth val="1"/>
          <c:extLst>
            <c:ext xmlns:c16="http://schemas.microsoft.com/office/drawing/2014/chart" uri="{C3380CC4-5D6E-409C-BE32-E72D297353CC}">
              <c16:uniqueId val="{00000002-6F52-40E9-8A51-43A4E8BE9618}"/>
            </c:ext>
          </c:extLst>
        </c:ser>
        <c:dLbls>
          <c:showLegendKey val="0"/>
          <c:showVal val="0"/>
          <c:showCatName val="0"/>
          <c:showSerName val="0"/>
          <c:showPercent val="0"/>
          <c:showBubbleSize val="0"/>
        </c:dLbls>
        <c:axId val="304344064"/>
        <c:axId val="304465024"/>
      </c:scatterChart>
      <c:scatterChart>
        <c:scatterStyle val="lineMarker"/>
        <c:varyColors val="0"/>
        <c:ser>
          <c:idx val="0"/>
          <c:order val="0"/>
          <c:tx>
            <c:strRef>
              <c:f>New_Ceased_LAC!$AR$38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6F52-40E9-8A51-43A4E8BE9618}"/>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{42F5C756-85BB-48C3-946A-70DD81FD12DB}</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6F52-40E9-8A51-43A4E8BE9618}"/>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{400D2696-BB65-4FBF-81A6-418FBEE7CE49}</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6F52-40E9-8A51-43A4E8BE9618}"/>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{E1FA3892-FE00-4778-BBF1-D7774EF2E4FB}</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6F52-40E9-8A51-43A4E8BE9618}"/>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{827CE9CD-8F41-4BCB-B54D-8E545E83AD5D}</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6F52-40E9-8A51-43A4E8BE9618}"/>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{892784CD-DE06-4F87-84F6-22BBD60420A0}</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6F52-40E9-8A51-43A4E8BE9618}"/>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{125922CE-A4B2-48AC-A7BA-5470ECBACE1F}</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6F52-40E9-8A51-43A4E8BE9618}"/>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{86DFF375-8F97-4BE4-BD04-BE8159BF305B}</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6F52-40E9-8A51-43A4E8BE9618}"/>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{46C9610E-B3C9-4B25-AA6C-A45F9AD0B6D4}</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6F52-40E9-8A51-43A4E8BE9618}"/>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{272F9E5D-8D51-47EC-9B94-BE55137EDC22}</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6F52-40E9-8A51-43A4E8BE9618}"/>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{92502C5C-C233-4775-8FB3-A95D819A2E9C}</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6F52-40E9-8A51-43A4E8BE9618}"/>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{3996D5CA-94D4-4D9C-A7BB-3E2DDC79CFB6}</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6F52-40E9-8A51-43A4E8BE9618}"/>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{C89AD63F-579F-4D5B-92DE-DC4A81853506}</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6F52-40E9-8A51-43A4E8BE9618}"/>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{092C18F5-08A3-48BC-9685-8681ECEFE14E}</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6F52-40E9-8A51-43A4E8BE9618}"/>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{164BA4CB-8907-4761-9F05-131522337EA7}</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6F52-40E9-8A51-43A4E8BE9618}"/>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{4A9CCB1C-A0E1-444F-9709-80394B901916}</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6F52-40E9-8A51-43A4E8BE9618}"/>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{B73C718E-02AD-44A3-B8B7-BC7053D02D9A}</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6F52-40E9-8A51-43A4E8BE9618}"/>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{024E36AC-C154-4E95-B5B4-2F29B4030EE8}</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6F52-40E9-8A51-43A4E8BE9618}"/>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{18CF3585-B9D0-41B5-AE2C-E04FFB3BA858}</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6F52-40E9-8A51-43A4E8BE9618}"/>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{F5747C11-17E0-43B2-A898-4B4263D6E317}</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6F52-40E9-8A51-43A4E8BE9618}"/>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(New_Ceased_LAC!$AR$148:$AR$160,New_Ceased_LAC!$AR$162:$AR$163,New_Ceased_LAC!$AR$166:$AR$169)</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(New_Ceased_LAC!$AQ$148:$AQ$160,New_Ceased_LAC!$AQ$162:$AQ$163,New_Ceased_LAC!$AQ$166:$AQ$169)</c:f>
              <c:numCache>
                <c:formatCode>0.0</c:formatCode>
                <c:ptCount val="19"/>
                <c:pt idx="0">
                  <c:v>22.968197879858657</c:v>
                </c:pt>
                <c:pt idx="1">
                  <c:v>36.666666666666664</c:v>
                </c:pt>
                <c:pt idx="2">
                  <c:v>13.676588897827836</c:v>
                </c:pt>
                <c:pt idx="3">
                  <c:v>18.045112781954888</c:v>
                </c:pt>
                <c:pt idx="4">
                  <c:v>20.880281690140844</c:v>
                </c:pt>
                <c:pt idx="5">
                  <c:v>24.497991967871485</c:v>
                </c:pt>
                <c:pt idx="6">
                  <c:v>22.43457806527492</c:v>
                </c:pt>
                <c:pt idx="7">
                  <c:v>24.534161490683232</c:v>
                </c:pt>
                <c:pt idx="8">
                  <c:v>25.329428989751101</c:v>
                </c:pt>
                <c:pt idx="9">
                  <c:v>18.853591160220994</c:v>
                </c:pt>
                <c:pt idx="10">
                  <c:v>36.590909090909093</c:v>
                </c:pt>
                <c:pt idx="11">
                  <c:v>25.60646900269542</c:v>
                </c:pt>
                <c:pt idx="12">
                  <c:v>29.742388758782205</c:v>
                </c:pt>
                <c:pt idx="13">
                  <c:v>42.125984251968504</c:v>
                </c:pt>
                <c:pt idx="14">
                  <c:v>15.043909889270715</c:v>
                </c:pt>
                <c:pt idx="15">
                  <c:v>14.887640449438202</c:v>
                </c:pt>
                <c:pt idx="16">
                  <c:v>20.263308528906698</c:v>
                </c:pt>
                <c:pt idx="17">
                  <c:v>15.028901734104045</c:v>
                </c:pt>
                <c:pt idx="18">
                  <c:v>14.683544303797468</c:v>
                </c:pt>
              </c:numCache>
            </c:numRef>
          </c:yVal>
          <c:smooth val="0"/>
          <c:extLst>
            <c:ext xmlns:c16="http://schemas.microsoft.com/office/drawing/2014/chart" uri="{C3380CC4-5D6E-409C-BE32-E72D297353CC}">
              <c16:uniqueId val="{00000017-6F52-40E9-8A51-43A4E8BE9618}"/>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6F52-40E9-8A51-43A4E8BE9618}"/>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{E19D977D-5594-4C90-AF88-51B9B44E26D7}</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6F52-40E9-8A51-43A4E8BE9618}"/>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{EA59EB2A-1101-4A26-BB7C-425A0E8FE303}</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6F52-40E9-8A51-43A4E8BE9618}"/>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{D6EA8647-00A3-41AD-8F81-699AB15B55BF}</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6F52-40E9-8A51-43A4E8BE9618}"/>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(New_Ceased_LAC!$AR$161,New_Ceased_LAC!$AR$164:$AR$165)</c:f>
              <c:numCache>
                <c:formatCode>0.0</c:formatCode>
                <c:ptCount val="3"/>
                <c:pt idx="0">
                  <c:v>13.600000000000001</c:v>
                </c:pt>
                <c:pt idx="1">
                  <c:v>14.899999999999999</c:v>
                </c:pt>
                <c:pt idx="2">
                  <c:v>21.9</c:v>
                </c:pt>
              </c:numCache>
            </c:numRef>
          </c:xVal>
          <c:yVal>
            <c:numRef>
              <c:f>(New_Ceased_LAC!$AQ$161,New_Ceased_LAC!$AQ$164:$AQ$165)</c:f>
              <c:numCache>
                <c:formatCode>0.0</c:formatCode>
                <c:ptCount val="3"/>
                <c:pt idx="0">
                  <c:v>16.621499548328817</c:v>
                </c:pt>
                <c:pt idx="1">
                  <c:v>29.681274900398407</c:v>
                </c:pt>
                <c:pt idx="2">
                  <c:v>46.456692913385822</c:v>
                </c:pt>
              </c:numCache>
            </c:numRef>
          </c:yVal>
          <c:smooth val="0"/>
          <c:extLst>
            <c:ext xmlns:c16="http://schemas.microsoft.com/office/drawing/2014/chart" uri="{C3380CC4-5D6E-409C-BE32-E72D297353CC}">
              <c16:uniqueId val="{0000001B-6F52-40E9-8A51-43A4E8BE9618}"/>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New_Ceased_LAC!$AR$172</c:f>
              <c:numCache>
                <c:formatCode>0.0</c:formatCode>
                <c:ptCount val="1"/>
                <c:pt idx="0">
                  <c:v>#N/A</c:v>
                </c:pt>
              </c:numCache>
            </c:numRef>
          </c:xVal>
          <c:yVal>
            <c:numRef>
              <c:f>New_Ceased_LAC!$AQ$172</c:f>
              <c:numCache>
                <c:formatCode>0.0</c:formatCode>
                <c:ptCount val="1"/>
                <c:pt idx="0">
                  <c:v>#N/A</c:v>
                </c:pt>
              </c:numCache>
            </c:numRef>
          </c:yVal>
          <c:smooth val="0"/>
          <c:extLst>
            <c:ext xmlns:c16="http://schemas.microsoft.com/office/drawing/2014/chart" uri="{C3380CC4-5D6E-409C-BE32-E72D297353CC}">
              <c16:uniqueId val="{0000001C-6F52-40E9-8A51-43A4E8BE9618}"/>
            </c:ext>
          </c:extLst>
        </c:ser>
        <c:ser>
          <c:idx val="4"/>
          <c:order val="3"/>
          <c:tx>
            <c:strRef>
              <c:f>New_Ceased_LAC!$B$139</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New_Ceased_LAC!$S$139</c:f>
              <c:numCache>
                <c:formatCode>0.0</c:formatCode>
                <c:ptCount val="1"/>
                <c:pt idx="0">
                  <c:v>12.371268250968637</c:v>
                </c:pt>
              </c:numCache>
            </c:numRef>
          </c:xVal>
          <c:yVal>
            <c:numRef>
              <c:f>New_Ceased_LAC!$O$139</c:f>
              <c:numCache>
                <c:formatCode>0.0</c:formatCode>
                <c:ptCount val="1"/>
                <c:pt idx="0">
                  <c:v>21.149425287356323</c:v>
                </c:pt>
              </c:numCache>
            </c:numRef>
          </c:yVal>
          <c:smooth val="0"/>
          <c:extLst>
            <c:ext xmlns:c16="http://schemas.microsoft.com/office/drawing/2014/chart" uri="{C3380CC4-5D6E-409C-BE32-E72D297353CC}">
              <c16:uniqueId val="{0000001D-6F52-40E9-8A51-43A4E8BE9618}"/>
            </c:ext>
          </c:extLst>
        </c:ser>
        <c:ser>
          <c:idx val="2"/>
          <c:order val="4"/>
          <c:tx>
            <c:strRef>
              <c:f>New_Ceased_LAC!$Y$175</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6F52-40E9-8A51-43A4E8BE9618}"/>
                </c:ext>
              </c:extLst>
            </c:dLbl>
            <c:dLbl>
              <c:idx val="1"/>
              <c:layout>
                <c:manualLayout>
                  <c:x val="-4.3859649122806911E-2"/>
                  <c:y val="-9.0090090090090089E-3"/>
                </c:manualLayout>
              </c:layout>
              <c:tx>
                <c:strRef>
                  <c:f>New_Ceased_LAC!$AD$176</c:f>
                  <c:strCache>
                    <c:ptCount val="1"/>
                    <c:pt idx="0">
                      <c:v>r² = 0.204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{D808D3AC-AD25-4DDA-92E3-D3E37A4066AA}</c15:txfldGUID>
                      <c15:f>New_Ceased_LAC!$AD$176</c15:f>
                      <c15:dlblFieldTableCache>
                        <c:ptCount val="1"/>
                        <c:pt idx="0">
                          <c:v>r² = 0.204</c:v>
                        </c:pt>
                      </c15:dlblFieldTableCache>
                    </c15:dlblFTEntry>
                  </c15:dlblFieldTable>
                  <c15:showDataLabelsRange val="0"/>
                </c:ext>
                <c:ext xmlns:c16="http://schemas.microsoft.com/office/drawing/2014/chart" uri="{C3380CC4-5D6E-409C-BE32-E72D297353CC}">
                  <c16:uniqueId val="{0000001F-6F52-40E9-8A51-43A4E8BE9618}"/>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New_Ceased_LAC!$AB$175:$AB$176</c:f>
              <c:numCache>
                <c:formatCode>General</c:formatCode>
                <c:ptCount val="2"/>
                <c:pt idx="0" formatCode="#,##0.0">
                  <c:v>5</c:v>
                </c:pt>
                <c:pt idx="1">
                  <c:v>35</c:v>
                </c:pt>
              </c:numCache>
            </c:numRef>
          </c:xVal>
          <c:yVal>
            <c:numRef>
              <c:f>New_Ceased_LAC!$AC$175:$AC$176</c:f>
              <c:numCache>
                <c:formatCode>0.0</c:formatCode>
                <c:ptCount val="2"/>
                <c:pt idx="0">
                  <c:v>15.242704947010832</c:v>
                </c:pt>
                <c:pt idx="1">
                  <c:v>43.630048657323101</c:v>
                </c:pt>
              </c:numCache>
            </c:numRef>
          </c:yVal>
          <c:smooth val="0"/>
          <c:extLst>
            <c:ext xmlns:c16="http://schemas.microsoft.com/office/drawing/2014/chart" uri="{C3380CC4-5D6E-409C-BE32-E72D297353CC}">
              <c16:uniqueId val="{00000020-6F52-40E9-8A51-43A4E8BE9618}"/>
            </c:ext>
          </c:extLst>
        </c:ser>
        <c:dLbls>
          <c:showLegendKey val="0"/>
          <c:showVal val="0"/>
          <c:showCatName val="0"/>
          <c:showSerName val="0"/>
          <c:showPercent val="0"/>
          <c:showBubbleSize val="0"/>
        </c:dLbls>
        <c:axId val="304344064"/>
        <c:axId val="304465024"/>
      </c:scatterChart>
      <c:valAx>
        <c:axId val="30434406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465024"/>
        <c:crosses val="autoZero"/>
        <c:crossBetween val="midCat"/>
        <c:majorUnit val="5"/>
      </c:valAx>
      <c:valAx>
        <c:axId val="30446502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Ceasing to be Looked After 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34406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a:t>
            </a:r>
            <a:r>
              <a:rPr lang="en-GB" baseline="0"/>
              <a:t> Number of Children Starting to be Looked After</a:t>
            </a:r>
            <a:r>
              <a:rPr lang="en-GB"/>
              <a:t>, Rate per 10,000 0-17 year olds</a:t>
            </a:r>
          </a:p>
        </c:rich>
      </c:tx>
      <c:layout>
        <c:manualLayout>
          <c:xMode val="edge"/>
          <c:yMode val="edge"/>
          <c:x val="0.13931386701662293"/>
          <c:y val="1.053174079448831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New_Ceased_LAC!$AL$327</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9B5-4D51-94F2-3DC75FE5C2A9}"/>
              </c:ext>
            </c:extLst>
          </c:dPt>
          <c:cat>
            <c:strRef>
              <c:f>New_Ceased_LAC!$Z$2:$AD$3</c:f>
              <c:strCache>
                <c:ptCount val="5"/>
                <c:pt idx="0">
                  <c:v>2014-15</c:v>
                </c:pt>
                <c:pt idx="1">
                  <c:v>2015-16</c:v>
                </c:pt>
                <c:pt idx="2">
                  <c:v>2016-17</c:v>
                </c:pt>
                <c:pt idx="3">
                  <c:v>2017-18</c:v>
                </c:pt>
                <c:pt idx="4">
                  <c:v>2018-19</c:v>
                </c:pt>
              </c:strCache>
            </c:strRef>
          </c:cat>
          <c:val>
            <c:numRef>
              <c:f>New_Ceased_LAC!$AM$327:$AQ$327</c:f>
              <c:numCache>
                <c:formatCode>0.0</c:formatCode>
                <c:ptCount val="5"/>
                <c:pt idx="0">
                  <c:v>-4.3165467625899279</c:v>
                </c:pt>
                <c:pt idx="1">
                  <c:v>-2.8368794326241136</c:v>
                </c:pt>
                <c:pt idx="2">
                  <c:v>6.3829787234042552</c:v>
                </c:pt>
                <c:pt idx="3">
                  <c:v>6.04982206405694</c:v>
                </c:pt>
                <c:pt idx="4">
                  <c:v>6.7137809187279149</c:v>
                </c:pt>
              </c:numCache>
            </c:numRef>
          </c:val>
          <c:smooth val="0"/>
          <c:extLst>
            <c:ext xmlns:c16="http://schemas.microsoft.com/office/drawing/2014/chart" uri="{C3380CC4-5D6E-409C-BE32-E72D297353CC}">
              <c16:uniqueId val="{00000001-39B5-4D51-94F2-3DC75FE5C2A9}"/>
            </c:ext>
          </c:extLst>
        </c:ser>
        <c:ser>
          <c:idx val="1"/>
          <c:order val="1"/>
          <c:tx>
            <c:strRef>
              <c:f>New_Ceased_LAC!$AL$328</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New_Ceased_LAC!$AM$328:$AQ$328</c:f>
              <c:numCache>
                <c:formatCode>0.0</c:formatCode>
                <c:ptCount val="5"/>
                <c:pt idx="0">
                  <c:v>0.58823529411764708</c:v>
                </c:pt>
                <c:pt idx="1">
                  <c:v>-8.0078125</c:v>
                </c:pt>
                <c:pt idx="2">
                  <c:v>2.9239766081871346</c:v>
                </c:pt>
                <c:pt idx="3">
                  <c:v>-7.0588235294117654</c:v>
                </c:pt>
                <c:pt idx="4">
                  <c:v>-5.8823529411764701</c:v>
                </c:pt>
              </c:numCache>
            </c:numRef>
          </c:val>
          <c:smooth val="0"/>
          <c:extLst>
            <c:ext xmlns:c16="http://schemas.microsoft.com/office/drawing/2014/chart" uri="{C3380CC4-5D6E-409C-BE32-E72D297353CC}">
              <c16:uniqueId val="{00000002-39B5-4D51-94F2-3DC75FE5C2A9}"/>
            </c:ext>
          </c:extLst>
        </c:ser>
        <c:ser>
          <c:idx val="2"/>
          <c:order val="2"/>
          <c:tx>
            <c:strRef>
              <c:f>New_Ceased_LAC!$AL$329</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New_Ceased_LAC!$AM$329:$AQ$329</c:f>
              <c:numCache>
                <c:formatCode>0.0</c:formatCode>
                <c:ptCount val="5"/>
                <c:pt idx="0">
                  <c:v>-0.33641715727502103</c:v>
                </c:pt>
                <c:pt idx="1">
                  <c:v>1.8242122719734659</c:v>
                </c:pt>
                <c:pt idx="2">
                  <c:v>-0.65466448445171854</c:v>
                </c:pt>
                <c:pt idx="3">
                  <c:v>1.0560519902518279</c:v>
                </c:pt>
                <c:pt idx="4">
                  <c:v>3.1375703942075623</c:v>
                </c:pt>
              </c:numCache>
            </c:numRef>
          </c:val>
          <c:smooth val="0"/>
          <c:extLst>
            <c:ext xmlns:c16="http://schemas.microsoft.com/office/drawing/2014/chart" uri="{C3380CC4-5D6E-409C-BE32-E72D297353CC}">
              <c16:uniqueId val="{00000003-39B5-4D51-94F2-3DC75FE5C2A9}"/>
            </c:ext>
          </c:extLst>
        </c:ser>
        <c:ser>
          <c:idx val="5"/>
          <c:order val="3"/>
          <c:tx>
            <c:strRef>
              <c:f>New_Ceased_LAC!$AL$330</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New_Ceased_LAC!$AM$330:$AQ$330</c:f>
              <c:numCache>
                <c:formatCode>0.0</c:formatCode>
                <c:ptCount val="5"/>
                <c:pt idx="0">
                  <c:v>-3.1309297912713472</c:v>
                </c:pt>
                <c:pt idx="1">
                  <c:v>-0.75542965061378664</c:v>
                </c:pt>
                <c:pt idx="2">
                  <c:v>1.2275731822474032</c:v>
                </c:pt>
                <c:pt idx="3">
                  <c:v>3.8679245283018866</c:v>
                </c:pt>
                <c:pt idx="4">
                  <c:v>0</c:v>
                </c:pt>
              </c:numCache>
            </c:numRef>
          </c:val>
          <c:smooth val="0"/>
          <c:extLst>
            <c:ext xmlns:c16="http://schemas.microsoft.com/office/drawing/2014/chart" uri="{C3380CC4-5D6E-409C-BE32-E72D297353CC}">
              <c16:uniqueId val="{00000004-39B5-4D51-94F2-3DC75FE5C2A9}"/>
            </c:ext>
          </c:extLst>
        </c:ser>
        <c:ser>
          <c:idx val="9"/>
          <c:order val="4"/>
          <c:tx>
            <c:strRef>
              <c:f>New_Ceased_LAC!$AL$331</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New_Ceased_LAC!$AM$331:$AQ$331</c:f>
              <c:numCache>
                <c:formatCode>0.0</c:formatCode>
                <c:ptCount val="5"/>
                <c:pt idx="0">
                  <c:v>1.9182948490230907</c:v>
                </c:pt>
                <c:pt idx="1">
                  <c:v>-1.3479957431713374</c:v>
                </c:pt>
                <c:pt idx="2">
                  <c:v>4.0664780763790667</c:v>
                </c:pt>
                <c:pt idx="3">
                  <c:v>5.047652665019414</c:v>
                </c:pt>
                <c:pt idx="4">
                  <c:v>2.0774647887323945</c:v>
                </c:pt>
              </c:numCache>
            </c:numRef>
          </c:val>
          <c:smooth val="0"/>
          <c:extLst>
            <c:ext xmlns:c16="http://schemas.microsoft.com/office/drawing/2014/chart" uri="{C3380CC4-5D6E-409C-BE32-E72D297353CC}">
              <c16:uniqueId val="{00000005-39B5-4D51-94F2-3DC75FE5C2A9}"/>
            </c:ext>
          </c:extLst>
        </c:ser>
        <c:ser>
          <c:idx val="10"/>
          <c:order val="5"/>
          <c:tx>
            <c:strRef>
              <c:f>New_Ceased_LAC!$AL$332</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New_Ceased_LAC!$AM$332:$AQ$332</c:f>
              <c:numCache>
                <c:formatCode>0.0</c:formatCode>
                <c:ptCount val="5"/>
                <c:pt idx="0">
                  <c:v>2.7450980392156863</c:v>
                </c:pt>
                <c:pt idx="1">
                  <c:v>0</c:v>
                </c:pt>
                <c:pt idx="2">
                  <c:v>9.1269841269841283</c:v>
                </c:pt>
                <c:pt idx="3">
                  <c:v>-2.3904382470119523</c:v>
                </c:pt>
                <c:pt idx="4">
                  <c:v>5.2208835341365463</c:v>
                </c:pt>
              </c:numCache>
            </c:numRef>
          </c:val>
          <c:smooth val="0"/>
          <c:extLst>
            <c:ext xmlns:c16="http://schemas.microsoft.com/office/drawing/2014/chart" uri="{C3380CC4-5D6E-409C-BE32-E72D297353CC}">
              <c16:uniqueId val="{00000006-39B5-4D51-94F2-3DC75FE5C2A9}"/>
            </c:ext>
          </c:extLst>
        </c:ser>
        <c:ser>
          <c:idx val="11"/>
          <c:order val="6"/>
          <c:tx>
            <c:strRef>
              <c:f>New_Ceased_LAC!$AL$333</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New_Ceased_LAC!$AM$333:$AQ$333</c:f>
              <c:numCache>
                <c:formatCode>0.0</c:formatCode>
                <c:ptCount val="5"/>
                <c:pt idx="0">
                  <c:v>0.97471824550715802</c:v>
                </c:pt>
                <c:pt idx="1">
                  <c:v>12.86319612590799</c:v>
                </c:pt>
                <c:pt idx="2">
                  <c:v>-12.792792792792794</c:v>
                </c:pt>
                <c:pt idx="3">
                  <c:v>-8.3606069622136268</c:v>
                </c:pt>
                <c:pt idx="4">
                  <c:v>-1.9700088209350191</c:v>
                </c:pt>
              </c:numCache>
            </c:numRef>
          </c:val>
          <c:smooth val="0"/>
          <c:extLst>
            <c:ext xmlns:c16="http://schemas.microsoft.com/office/drawing/2014/chart" uri="{C3380CC4-5D6E-409C-BE32-E72D297353CC}">
              <c16:uniqueId val="{00000007-39B5-4D51-94F2-3DC75FE5C2A9}"/>
            </c:ext>
          </c:extLst>
        </c:ser>
        <c:ser>
          <c:idx val="12"/>
          <c:order val="7"/>
          <c:tx>
            <c:strRef>
              <c:f>New_Ceased_LAC!$AL$334</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New_Ceased_LAC!$AM$334:$AQ$334</c:f>
              <c:numCache>
                <c:formatCode>0.0</c:formatCode>
                <c:ptCount val="5"/>
                <c:pt idx="0">
                  <c:v>6.88</c:v>
                </c:pt>
                <c:pt idx="1">
                  <c:v>-0.31645569620253167</c:v>
                </c:pt>
                <c:pt idx="2">
                  <c:v>-6.5934065934065931</c:v>
                </c:pt>
                <c:pt idx="3">
                  <c:v>2.5039123630672928</c:v>
                </c:pt>
                <c:pt idx="4">
                  <c:v>1.3975155279503104</c:v>
                </c:pt>
              </c:numCache>
            </c:numRef>
          </c:val>
          <c:smooth val="0"/>
          <c:extLst>
            <c:ext xmlns:c16="http://schemas.microsoft.com/office/drawing/2014/chart" uri="{C3380CC4-5D6E-409C-BE32-E72D297353CC}">
              <c16:uniqueId val="{00000008-39B5-4D51-94F2-3DC75FE5C2A9}"/>
            </c:ext>
          </c:extLst>
        </c:ser>
        <c:ser>
          <c:idx val="13"/>
          <c:order val="8"/>
          <c:tx>
            <c:strRef>
              <c:f>New_Ceased_LAC!$AL$335</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New_Ceased_LAC!$AM$335:$AQ$335</c:f>
              <c:numCache>
                <c:formatCode>0.0</c:formatCode>
                <c:ptCount val="5"/>
                <c:pt idx="0">
                  <c:v>4.7546012269938647</c:v>
                </c:pt>
                <c:pt idx="1">
                  <c:v>-0.45385779122541603</c:v>
                </c:pt>
                <c:pt idx="2">
                  <c:v>6.7064083457526085</c:v>
                </c:pt>
                <c:pt idx="3">
                  <c:v>-0.73964497041420119</c:v>
                </c:pt>
                <c:pt idx="4">
                  <c:v>-1.6105417276720351</c:v>
                </c:pt>
              </c:numCache>
            </c:numRef>
          </c:val>
          <c:smooth val="0"/>
          <c:extLst>
            <c:ext xmlns:c16="http://schemas.microsoft.com/office/drawing/2014/chart" uri="{C3380CC4-5D6E-409C-BE32-E72D297353CC}">
              <c16:uniqueId val="{00000009-39B5-4D51-94F2-3DC75FE5C2A9}"/>
            </c:ext>
          </c:extLst>
        </c:ser>
        <c:ser>
          <c:idx val="15"/>
          <c:order val="9"/>
          <c:tx>
            <c:strRef>
              <c:f>New_Ceased_LAC!$AL$336</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New_Ceased_LAC!$AM$336:$AQ$336</c:f>
              <c:numCache>
                <c:formatCode>0.0</c:formatCode>
                <c:ptCount val="5"/>
                <c:pt idx="0">
                  <c:v>2.8328611898016995</c:v>
                </c:pt>
                <c:pt idx="1">
                  <c:v>5.4301833568406206</c:v>
                </c:pt>
                <c:pt idx="2">
                  <c:v>4.6885934219734082</c:v>
                </c:pt>
                <c:pt idx="3">
                  <c:v>0.34867503486750351</c:v>
                </c:pt>
                <c:pt idx="4">
                  <c:v>5.6629834254143638</c:v>
                </c:pt>
              </c:numCache>
            </c:numRef>
          </c:val>
          <c:smooth val="0"/>
          <c:extLst>
            <c:ext xmlns:c16="http://schemas.microsoft.com/office/drawing/2014/chart" uri="{C3380CC4-5D6E-409C-BE32-E72D297353CC}">
              <c16:uniqueId val="{0000000A-39B5-4D51-94F2-3DC75FE5C2A9}"/>
            </c:ext>
          </c:extLst>
        </c:ser>
        <c:ser>
          <c:idx val="16"/>
          <c:order val="10"/>
          <c:tx>
            <c:strRef>
              <c:f>New_Ceased_LAC!$AL$337</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New_Ceased_LAC!$AM$337:$AQ$337</c:f>
              <c:numCache>
                <c:formatCode>0.0</c:formatCode>
                <c:ptCount val="5"/>
                <c:pt idx="0">
                  <c:v>-2.0737327188940093</c:v>
                </c:pt>
                <c:pt idx="1">
                  <c:v>0.45662100456621008</c:v>
                </c:pt>
                <c:pt idx="2">
                  <c:v>8.1818181818181817</c:v>
                </c:pt>
                <c:pt idx="3">
                  <c:v>11.53846153846154</c:v>
                </c:pt>
                <c:pt idx="4">
                  <c:v>15.454545454545453</c:v>
                </c:pt>
              </c:numCache>
            </c:numRef>
          </c:val>
          <c:smooth val="0"/>
          <c:extLst>
            <c:ext xmlns:c16="http://schemas.microsoft.com/office/drawing/2014/chart" uri="{C3380CC4-5D6E-409C-BE32-E72D297353CC}">
              <c16:uniqueId val="{0000000B-39B5-4D51-94F2-3DC75FE5C2A9}"/>
            </c:ext>
          </c:extLst>
        </c:ser>
        <c:ser>
          <c:idx val="17"/>
          <c:order val="11"/>
          <c:tx>
            <c:strRef>
              <c:f>New_Ceased_LAC!$AL$338</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New_Ceased_LAC!$AM$338:$AQ$338</c:f>
              <c:numCache>
                <c:formatCode>0.0</c:formatCode>
                <c:ptCount val="5"/>
                <c:pt idx="0">
                  <c:v>0</c:v>
                </c:pt>
                <c:pt idx="1">
                  <c:v>1.9230769230769231</c:v>
                </c:pt>
                <c:pt idx="2">
                  <c:v>11.475409836065573</c:v>
                </c:pt>
                <c:pt idx="3">
                  <c:v>4.0431266846361185</c:v>
                </c:pt>
                <c:pt idx="4">
                  <c:v>-1.6172506738544474</c:v>
                </c:pt>
              </c:numCache>
            </c:numRef>
          </c:val>
          <c:smooth val="0"/>
          <c:extLst>
            <c:ext xmlns:c16="http://schemas.microsoft.com/office/drawing/2014/chart" uri="{C3380CC4-5D6E-409C-BE32-E72D297353CC}">
              <c16:uniqueId val="{0000000C-39B5-4D51-94F2-3DC75FE5C2A9}"/>
            </c:ext>
          </c:extLst>
        </c:ser>
        <c:ser>
          <c:idx val="19"/>
          <c:order val="12"/>
          <c:tx>
            <c:strRef>
              <c:f>New_Ceased_LAC!$AL$339</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New_Ceased_LAC!$AM$339:$AQ$339</c:f>
              <c:numCache>
                <c:formatCode>0.0</c:formatCode>
                <c:ptCount val="5"/>
                <c:pt idx="0">
                  <c:v>1.5037593984962405</c:v>
                </c:pt>
                <c:pt idx="1">
                  <c:v>-6.1576354679802954</c:v>
                </c:pt>
                <c:pt idx="2">
                  <c:v>1.4492753623188406</c:v>
                </c:pt>
                <c:pt idx="3">
                  <c:v>3.080568720379147</c:v>
                </c:pt>
                <c:pt idx="4">
                  <c:v>1.639344262295082</c:v>
                </c:pt>
              </c:numCache>
            </c:numRef>
          </c:val>
          <c:smooth val="0"/>
          <c:extLst>
            <c:ext xmlns:c16="http://schemas.microsoft.com/office/drawing/2014/chart" uri="{C3380CC4-5D6E-409C-BE32-E72D297353CC}">
              <c16:uniqueId val="{0000000D-39B5-4D51-94F2-3DC75FE5C2A9}"/>
            </c:ext>
          </c:extLst>
        </c:ser>
        <c:ser>
          <c:idx val="3"/>
          <c:order val="13"/>
          <c:tx>
            <c:strRef>
              <c:f>New_Ceased_LAC!$AL$340</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New_Ceased_LAC!$AM$340:$AQ$340</c:f>
              <c:numCache>
                <c:formatCode>0.0</c:formatCode>
                <c:ptCount val="5"/>
                <c:pt idx="0">
                  <c:v>-1.1019283746556474</c:v>
                </c:pt>
                <c:pt idx="1">
                  <c:v>0.5494505494505495</c:v>
                </c:pt>
                <c:pt idx="2">
                  <c:v>-2.825888787602552</c:v>
                </c:pt>
                <c:pt idx="3">
                  <c:v>3.1789282470481379</c:v>
                </c:pt>
                <c:pt idx="4">
                  <c:v>0.90334236675700097</c:v>
                </c:pt>
              </c:numCache>
            </c:numRef>
          </c:val>
          <c:smooth val="0"/>
          <c:extLst>
            <c:ext xmlns:c16="http://schemas.microsoft.com/office/drawing/2014/chart" uri="{C3380CC4-5D6E-409C-BE32-E72D297353CC}">
              <c16:uniqueId val="{0000000E-39B5-4D51-94F2-3DC75FE5C2A9}"/>
            </c:ext>
          </c:extLst>
        </c:ser>
        <c:ser>
          <c:idx val="20"/>
          <c:order val="14"/>
          <c:tx>
            <c:strRef>
              <c:f>New_Ceased_LAC!$AL$341</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New_Ceased_LAC!$AM$341:$AQ$341</c:f>
              <c:numCache>
                <c:formatCode>0.0</c:formatCode>
                <c:ptCount val="5"/>
                <c:pt idx="0">
                  <c:v>15.22633744855967</c:v>
                </c:pt>
                <c:pt idx="1">
                  <c:v>1.8292682926829269</c:v>
                </c:pt>
                <c:pt idx="2">
                  <c:v>-10.62124248496994</c:v>
                </c:pt>
                <c:pt idx="3">
                  <c:v>-3.7773359840954273</c:v>
                </c:pt>
                <c:pt idx="4">
                  <c:v>-8.6614173228346463</c:v>
                </c:pt>
              </c:numCache>
            </c:numRef>
          </c:val>
          <c:smooth val="0"/>
          <c:extLst>
            <c:ext xmlns:c16="http://schemas.microsoft.com/office/drawing/2014/chart" uri="{C3380CC4-5D6E-409C-BE32-E72D297353CC}">
              <c16:uniqueId val="{0000000F-39B5-4D51-94F2-3DC75FE5C2A9}"/>
            </c:ext>
          </c:extLst>
        </c:ser>
        <c:ser>
          <c:idx val="22"/>
          <c:order val="15"/>
          <c:tx>
            <c:strRef>
              <c:f>New_Ceased_LAC!$AL$342</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New_Ceased_LAC!$AM$342:$AQ$342</c:f>
              <c:numCache>
                <c:formatCode>0.0</c:formatCode>
                <c:ptCount val="5"/>
                <c:pt idx="0">
                  <c:v>-1.0212097407698351</c:v>
                </c:pt>
                <c:pt idx="1">
                  <c:v>3.2761310452418098</c:v>
                </c:pt>
                <c:pt idx="2">
                  <c:v>-0.34749034749034746</c:v>
                </c:pt>
                <c:pt idx="3">
                  <c:v>1.8056089127929311</c:v>
                </c:pt>
                <c:pt idx="4">
                  <c:v>1.565483008781978</c:v>
                </c:pt>
              </c:numCache>
            </c:numRef>
          </c:val>
          <c:smooth val="0"/>
          <c:extLst>
            <c:ext xmlns:c16="http://schemas.microsoft.com/office/drawing/2014/chart" uri="{C3380CC4-5D6E-409C-BE32-E72D297353CC}">
              <c16:uniqueId val="{00000010-39B5-4D51-94F2-3DC75FE5C2A9}"/>
            </c:ext>
          </c:extLst>
        </c:ser>
        <c:ser>
          <c:idx val="7"/>
          <c:order val="16"/>
          <c:tx>
            <c:strRef>
              <c:f>New_Ceased_LAC!$AL$343</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New_Ceased_LAC!$Z$2:$AD$3</c:f>
              <c:strCache>
                <c:ptCount val="5"/>
                <c:pt idx="0">
                  <c:v>2014-15</c:v>
                </c:pt>
                <c:pt idx="1">
                  <c:v>2015-16</c:v>
                </c:pt>
                <c:pt idx="2">
                  <c:v>2016-17</c:v>
                </c:pt>
                <c:pt idx="3">
                  <c:v>2017-18</c:v>
                </c:pt>
                <c:pt idx="4">
                  <c:v>2018-19</c:v>
                </c:pt>
              </c:strCache>
            </c:strRef>
          </c:cat>
          <c:val>
            <c:numRef>
              <c:f>New_Ceased_LAC!$AM$343:$AQ$343</c:f>
              <c:numCache>
                <c:formatCode>0.0</c:formatCode>
                <c:ptCount val="5"/>
                <c:pt idx="0">
                  <c:v>-1.0288065843621399</c:v>
                </c:pt>
                <c:pt idx="1">
                  <c:v>8.5714285714285712</c:v>
                </c:pt>
                <c:pt idx="2">
                  <c:v>6.4646464646464645</c:v>
                </c:pt>
                <c:pt idx="3">
                  <c:v>4.6092184368737472</c:v>
                </c:pt>
                <c:pt idx="4">
                  <c:v>-2.3904382470119523</c:v>
                </c:pt>
              </c:numCache>
            </c:numRef>
          </c:val>
          <c:smooth val="0"/>
          <c:extLst>
            <c:ext xmlns:c16="http://schemas.microsoft.com/office/drawing/2014/chart" uri="{C3380CC4-5D6E-409C-BE32-E72D297353CC}">
              <c16:uniqueId val="{00000011-39B5-4D51-94F2-3DC75FE5C2A9}"/>
            </c:ext>
          </c:extLst>
        </c:ser>
        <c:ser>
          <c:idx val="8"/>
          <c:order val="17"/>
          <c:tx>
            <c:strRef>
              <c:f>New_Ceased_LAC!$AL$344</c:f>
              <c:strCache>
                <c:ptCount val="1"/>
                <c:pt idx="0">
                  <c:v>Torbay</c:v>
                </c:pt>
              </c:strCache>
            </c:strRef>
          </c:tx>
          <c:spPr>
            <a:ln w="15875"/>
          </c:spPr>
          <c:marker>
            <c:symbol val="circle"/>
            <c:size val="5"/>
            <c:spPr>
              <a:solidFill>
                <a:schemeClr val="accent3">
                  <a:lumMod val="20000"/>
                  <a:lumOff val="80000"/>
                </a:schemeClr>
              </a:solidFill>
            </c:spPr>
          </c:marker>
          <c:cat>
            <c:strRef>
              <c:f>New_Ceased_LAC!$Z$2:$AD$3</c:f>
              <c:strCache>
                <c:ptCount val="5"/>
                <c:pt idx="0">
                  <c:v>2014-15</c:v>
                </c:pt>
                <c:pt idx="1">
                  <c:v>2015-16</c:v>
                </c:pt>
                <c:pt idx="2">
                  <c:v>2016-17</c:v>
                </c:pt>
                <c:pt idx="3">
                  <c:v>2017-18</c:v>
                </c:pt>
                <c:pt idx="4">
                  <c:v>2018-19</c:v>
                </c:pt>
              </c:strCache>
            </c:strRef>
          </c:cat>
          <c:val>
            <c:numRef>
              <c:f>New_Ceased_LAC!$AM$344:$AQ$344</c:f>
              <c:numCache>
                <c:formatCode>0.0</c:formatCode>
                <c:ptCount val="5"/>
                <c:pt idx="0">
                  <c:v>-0.79681274900398413</c:v>
                </c:pt>
                <c:pt idx="1">
                  <c:v>-11.507936507936508</c:v>
                </c:pt>
                <c:pt idx="2">
                  <c:v>2.7559055118110236</c:v>
                </c:pt>
                <c:pt idx="3">
                  <c:v>14.173228346456694</c:v>
                </c:pt>
                <c:pt idx="4">
                  <c:v>11.417322834645669</c:v>
                </c:pt>
              </c:numCache>
            </c:numRef>
          </c:val>
          <c:smooth val="0"/>
          <c:extLst>
            <c:ext xmlns:c16="http://schemas.microsoft.com/office/drawing/2014/chart" uri="{C3380CC4-5D6E-409C-BE32-E72D297353CC}">
              <c16:uniqueId val="{00000012-39B5-4D51-94F2-3DC75FE5C2A9}"/>
            </c:ext>
          </c:extLst>
        </c:ser>
        <c:ser>
          <c:idx val="23"/>
          <c:order val="18"/>
          <c:tx>
            <c:strRef>
              <c:f>New_Ceased_LAC!$AL$345</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New_Ceased_LAC!$AM$345:$AQ$345</c:f>
              <c:numCache>
                <c:formatCode>0.0</c:formatCode>
                <c:ptCount val="5"/>
                <c:pt idx="0">
                  <c:v>4.4943820224719104</c:v>
                </c:pt>
                <c:pt idx="1">
                  <c:v>-4.2016806722689077</c:v>
                </c:pt>
                <c:pt idx="2">
                  <c:v>0</c:v>
                </c:pt>
                <c:pt idx="3">
                  <c:v>-5.027932960893855</c:v>
                </c:pt>
                <c:pt idx="4">
                  <c:v>7.3033707865168536</c:v>
                </c:pt>
              </c:numCache>
            </c:numRef>
          </c:val>
          <c:smooth val="0"/>
          <c:extLst>
            <c:ext xmlns:c16="http://schemas.microsoft.com/office/drawing/2014/chart" uri="{C3380CC4-5D6E-409C-BE32-E72D297353CC}">
              <c16:uniqueId val="{00000013-39B5-4D51-94F2-3DC75FE5C2A9}"/>
            </c:ext>
          </c:extLst>
        </c:ser>
        <c:ser>
          <c:idx val="24"/>
          <c:order val="19"/>
          <c:tx>
            <c:strRef>
              <c:f>New_Ceased_LAC!$AL$346</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New_Ceased_LAC!$AM$346:$AQ$346</c:f>
              <c:numCache>
                <c:formatCode>0.0</c:formatCode>
                <c:ptCount val="5"/>
                <c:pt idx="0">
                  <c:v>2.2511848341232228</c:v>
                </c:pt>
                <c:pt idx="1">
                  <c:v>-0.35211267605633806</c:v>
                </c:pt>
                <c:pt idx="2">
                  <c:v>1.1641443538998837</c:v>
                </c:pt>
                <c:pt idx="3">
                  <c:v>2.3081361800346221</c:v>
                </c:pt>
                <c:pt idx="4">
                  <c:v>-0.45792787635947341</c:v>
                </c:pt>
              </c:numCache>
            </c:numRef>
          </c:val>
          <c:smooth val="0"/>
          <c:extLst>
            <c:ext xmlns:c16="http://schemas.microsoft.com/office/drawing/2014/chart" uri="{C3380CC4-5D6E-409C-BE32-E72D297353CC}">
              <c16:uniqueId val="{00000014-39B5-4D51-94F2-3DC75FE5C2A9}"/>
            </c:ext>
          </c:extLst>
        </c:ser>
        <c:ser>
          <c:idx val="25"/>
          <c:order val="20"/>
          <c:tx>
            <c:strRef>
              <c:f>New_Ceased_LAC!$AL$347</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New_Ceased_LAC!$AM$347:$AQ$347</c:f>
              <c:numCache>
                <c:formatCode>0.0</c:formatCode>
                <c:ptCount val="5"/>
                <c:pt idx="0">
                  <c:v>-2.3952095808383231</c:v>
                </c:pt>
                <c:pt idx="1">
                  <c:v>-3.2640949554896141</c:v>
                </c:pt>
                <c:pt idx="2">
                  <c:v>5.2631578947368416</c:v>
                </c:pt>
                <c:pt idx="3">
                  <c:v>-0.87209302325581395</c:v>
                </c:pt>
                <c:pt idx="4">
                  <c:v>3.7572254335260111</c:v>
                </c:pt>
              </c:numCache>
            </c:numRef>
          </c:val>
          <c:smooth val="0"/>
          <c:extLst>
            <c:ext xmlns:c16="http://schemas.microsoft.com/office/drawing/2014/chart" uri="{C3380CC4-5D6E-409C-BE32-E72D297353CC}">
              <c16:uniqueId val="{00000015-39B5-4D51-94F2-3DC75FE5C2A9}"/>
            </c:ext>
          </c:extLst>
        </c:ser>
        <c:ser>
          <c:idx val="26"/>
          <c:order val="21"/>
          <c:tx>
            <c:strRef>
              <c:f>New_Ceased_LAC!$AL$348</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New_Ceased_LAC!$AM$348:$AQ$348</c:f>
              <c:numCache>
                <c:formatCode>0.0</c:formatCode>
                <c:ptCount val="5"/>
                <c:pt idx="0">
                  <c:v>0.54200542005420049</c:v>
                </c:pt>
                <c:pt idx="1">
                  <c:v>1.0723860589812333</c:v>
                </c:pt>
                <c:pt idx="2">
                  <c:v>-1.5789473684210527</c:v>
                </c:pt>
                <c:pt idx="3">
                  <c:v>7.7519379844961236</c:v>
                </c:pt>
                <c:pt idx="4">
                  <c:v>1.0126582278481013</c:v>
                </c:pt>
              </c:numCache>
            </c:numRef>
          </c:val>
          <c:smooth val="0"/>
          <c:extLst>
            <c:ext xmlns:c16="http://schemas.microsoft.com/office/drawing/2014/chart" uri="{C3380CC4-5D6E-409C-BE32-E72D297353CC}">
              <c16:uniqueId val="{00000016-39B5-4D51-94F2-3DC75FE5C2A9}"/>
            </c:ext>
          </c:extLst>
        </c:ser>
        <c:ser>
          <c:idx val="4"/>
          <c:order val="22"/>
          <c:tx>
            <c:strRef>
              <c:f>New_Ceased_LAC!$AL$349</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New_Ceased_LAC!$Z$2:$AD$3</c:f>
              <c:strCache>
                <c:ptCount val="5"/>
                <c:pt idx="0">
                  <c:v>2014-15</c:v>
                </c:pt>
                <c:pt idx="1">
                  <c:v>2015-16</c:v>
                </c:pt>
                <c:pt idx="2">
                  <c:v>2016-17</c:v>
                </c:pt>
                <c:pt idx="3">
                  <c:v>2017-18</c:v>
                </c:pt>
                <c:pt idx="4">
                  <c:v>2018-19</c:v>
                </c:pt>
              </c:strCache>
            </c:strRef>
          </c:cat>
          <c:val>
            <c:numRef>
              <c:f>New_Ceased_LAC!$AM$349:$AQ$349</c:f>
              <c:numCache>
                <c:formatCode>0.0</c:formatCode>
                <c:ptCount val="5"/>
                <c:pt idx="0">
                  <c:v>1.3127494223902543</c:v>
                </c:pt>
                <c:pt idx="1">
                  <c:v>2.4503414837599706</c:v>
                </c:pt>
                <c:pt idx="2">
                  <c:v>-0.66732191816253683</c:v>
                </c:pt>
                <c:pt idx="3">
                  <c:v>0.31380215031637426</c:v>
                </c:pt>
                <c:pt idx="4">
                  <c:v>1.1086134668437724</c:v>
                </c:pt>
              </c:numCache>
            </c:numRef>
          </c:val>
          <c:smooth val="0"/>
          <c:extLst>
            <c:ext xmlns:c16="http://schemas.microsoft.com/office/drawing/2014/chart" uri="{C3380CC4-5D6E-409C-BE32-E72D297353CC}">
              <c16:uniqueId val="{00000017-39B5-4D51-94F2-3DC75FE5C2A9}"/>
            </c:ext>
          </c:extLst>
        </c:ser>
        <c:ser>
          <c:idx val="14"/>
          <c:order val="23"/>
          <c:tx>
            <c:strRef>
              <c:f>New_Ceased_LAC!$AL$350</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New_Ceased_LAC!$Z$2:$AD$3</c:f>
              <c:strCache>
                <c:ptCount val="5"/>
                <c:pt idx="0">
                  <c:v>2014-15</c:v>
                </c:pt>
                <c:pt idx="1">
                  <c:v>2015-16</c:v>
                </c:pt>
                <c:pt idx="2">
                  <c:v>2016-17</c:v>
                </c:pt>
                <c:pt idx="3">
                  <c:v>2017-18</c:v>
                </c:pt>
                <c:pt idx="4">
                  <c:v>2018-19</c:v>
                </c:pt>
              </c:strCache>
            </c:strRef>
          </c:cat>
          <c:val>
            <c:numRef>
              <c:f>New_Ceased_LAC!$AM$350:$AQ$350</c:f>
              <c:numCache>
                <c:formatCode>0.0</c:formatCode>
                <c:ptCount val="5"/>
                <c:pt idx="0">
                  <c:v>8.6268623239041733E-3</c:v>
                </c:pt>
                <c:pt idx="1">
                  <c:v>0.26545868692144992</c:v>
                </c:pt>
                <c:pt idx="2">
                  <c:v>1.30671259959441</c:v>
                </c:pt>
                <c:pt idx="3">
                  <c:v>1.8033201314569816</c:v>
                </c:pt>
                <c:pt idx="4">
                  <c:v>1.8570257474110385</c:v>
                </c:pt>
              </c:numCache>
            </c:numRef>
          </c:val>
          <c:smooth val="0"/>
          <c:extLst>
            <c:ext xmlns:c16="http://schemas.microsoft.com/office/drawing/2014/chart" uri="{C3380CC4-5D6E-409C-BE32-E72D297353CC}">
              <c16:uniqueId val="{00000018-39B5-4D51-94F2-3DC75FE5C2A9}"/>
            </c:ext>
          </c:extLst>
        </c:ser>
        <c:ser>
          <c:idx val="6"/>
          <c:order val="24"/>
          <c:tx>
            <c:strRef>
              <c:f>New_Ceased_LAC!$AL$351</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New_Ceased_LAC!$Z$2:$AD$3</c:f>
              <c:strCache>
                <c:ptCount val="5"/>
                <c:pt idx="0">
                  <c:v>2014-15</c:v>
                </c:pt>
                <c:pt idx="1">
                  <c:v>2015-16</c:v>
                </c:pt>
                <c:pt idx="2">
                  <c:v>2016-17</c:v>
                </c:pt>
                <c:pt idx="3">
                  <c:v>2017-18</c:v>
                </c:pt>
                <c:pt idx="4">
                  <c:v>2018-19</c:v>
                </c:pt>
              </c:strCache>
            </c:strRef>
          </c:cat>
          <c:val>
            <c:numRef>
              <c:f>New_Ceased_LAC!$AM$351:$AQ$351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9B5-4D51-94F2-3DC75FE5C2A9}"/>
            </c:ext>
          </c:extLst>
        </c:ser>
        <c:dLbls>
          <c:showLegendKey val="0"/>
          <c:showVal val="0"/>
          <c:showCatName val="0"/>
          <c:showSerName val="0"/>
          <c:showPercent val="0"/>
          <c:showBubbleSize val="0"/>
        </c:dLbls>
        <c:marker val="1"/>
        <c:smooth val="0"/>
        <c:axId val="304599040"/>
        <c:axId val="304600960"/>
      </c:lineChart>
      <c:catAx>
        <c:axId val="3045990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600960"/>
        <c:crossesAt val="0"/>
        <c:auto val="1"/>
        <c:lblAlgn val="ctr"/>
        <c:lblOffset val="100"/>
        <c:tickLblSkip val="1"/>
        <c:tickMarkSkip val="1"/>
        <c:noMultiLvlLbl val="0"/>
      </c:catAx>
      <c:valAx>
        <c:axId val="30460096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59904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 Number of Children Starting to be Looked After (Rate per 10,000 0-17 year olds) (Selected LA</a:t>
            </a:r>
            <a:r>
              <a:rPr lang="en-GB" baseline="0"/>
              <a:t> vs. SE)</a:t>
            </a:r>
            <a:r>
              <a:rPr lang="en-GB"/>
              <a:t> </a:t>
            </a:r>
          </a:p>
        </c:rich>
      </c:tx>
      <c:layout>
        <c:manualLayout>
          <c:xMode val="edge"/>
          <c:yMode val="edge"/>
          <c:x val="0.14566663782411815"/>
          <c:y val="3.8613923259592552E-3"/>
        </c:manualLayout>
      </c:layout>
      <c:overlay val="0"/>
      <c:spPr>
        <a:noFill/>
        <a:ln w="25400">
          <a:noFill/>
        </a:ln>
      </c:spPr>
    </c:title>
    <c:autoTitleDeleted val="0"/>
    <c:plotArea>
      <c:layout>
        <c:manualLayout>
          <c:layoutTarget val="inner"/>
          <c:xMode val="edge"/>
          <c:yMode val="edge"/>
          <c:x val="9.6909984154078643E-2"/>
          <c:y val="0.21898575178102736"/>
          <c:w val="0.65146216862752293"/>
          <c:h val="0.55067054118235226"/>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New_Ceased_LAC!$Z$2:$AD$3</c:f>
              <c:strCache>
                <c:ptCount val="5"/>
                <c:pt idx="0">
                  <c:v>2014-15</c:v>
                </c:pt>
                <c:pt idx="1">
                  <c:v>2015-16</c:v>
                </c:pt>
                <c:pt idx="2">
                  <c:v>2016-17</c:v>
                </c:pt>
                <c:pt idx="3">
                  <c:v>2017-18</c:v>
                </c:pt>
                <c:pt idx="4">
                  <c:v>2018-19</c:v>
                </c:pt>
              </c:strCache>
            </c:strRef>
          </c:cat>
          <c:val>
            <c:numRef>
              <c:f>New_Ceased_LAC!$AM$351:$AQ$351</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AEC-4D48-8D01-84060EC3A983}"/>
            </c:ext>
          </c:extLst>
        </c:ser>
        <c:ser>
          <c:idx val="4"/>
          <c:order val="1"/>
          <c:tx>
            <c:strRef>
              <c:f>New_Ceased_LAC!$B$32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New_Ceased_LAC!$Z$2:$AD$3</c:f>
              <c:strCache>
                <c:ptCount val="5"/>
                <c:pt idx="0">
                  <c:v>2014-15</c:v>
                </c:pt>
                <c:pt idx="1">
                  <c:v>2015-16</c:v>
                </c:pt>
                <c:pt idx="2">
                  <c:v>2016-17</c:v>
                </c:pt>
                <c:pt idx="3">
                  <c:v>2017-18</c:v>
                </c:pt>
                <c:pt idx="4">
                  <c:v>2018-19</c:v>
                </c:pt>
              </c:strCache>
            </c:strRef>
          </c:cat>
          <c:val>
            <c:numRef>
              <c:f>New_Ceased_LAC!$K$318:$O$318</c:f>
              <c:numCache>
                <c:formatCode>0.0</c:formatCode>
                <c:ptCount val="5"/>
                <c:pt idx="0">
                  <c:v>1.3127494223902543</c:v>
                </c:pt>
                <c:pt idx="1">
                  <c:v>2.4503414837599706</c:v>
                </c:pt>
                <c:pt idx="2">
                  <c:v>-0.66732191816253683</c:v>
                </c:pt>
                <c:pt idx="3">
                  <c:v>0.31380215031637426</c:v>
                </c:pt>
                <c:pt idx="4">
                  <c:v>1.1086134668437724</c:v>
                </c:pt>
              </c:numCache>
            </c:numRef>
          </c:val>
          <c:extLst>
            <c:ext xmlns:c16="http://schemas.microsoft.com/office/drawing/2014/chart" uri="{C3380CC4-5D6E-409C-BE32-E72D297353CC}">
              <c16:uniqueId val="{00000001-6AEC-4D48-8D01-84060EC3A983}"/>
            </c:ext>
          </c:extLst>
        </c:ser>
        <c:ser>
          <c:idx val="0"/>
          <c:order val="2"/>
          <c:tx>
            <c:strRef>
              <c:f>New_Ceased_LAC!$B$33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New_Ceased_LAC!$Z$2:$AD$3</c:f>
              <c:strCache>
                <c:ptCount val="5"/>
                <c:pt idx="0">
                  <c:v>2014-15</c:v>
                </c:pt>
                <c:pt idx="1">
                  <c:v>2015-16</c:v>
                </c:pt>
                <c:pt idx="2">
                  <c:v>2016-17</c:v>
                </c:pt>
                <c:pt idx="3">
                  <c:v>2017-18</c:v>
                </c:pt>
                <c:pt idx="4">
                  <c:v>2018-19</c:v>
                </c:pt>
              </c:strCache>
            </c:strRef>
          </c:cat>
          <c:val>
            <c:numRef>
              <c:f>New_Ceased_LAC!$K$319:$O$319</c:f>
              <c:numCache>
                <c:formatCode>0.0</c:formatCode>
                <c:ptCount val="5"/>
                <c:pt idx="0">
                  <c:v>8.6268623239041733E-3</c:v>
                </c:pt>
                <c:pt idx="1">
                  <c:v>0.26545868692144992</c:v>
                </c:pt>
                <c:pt idx="2">
                  <c:v>1.30671259959441</c:v>
                </c:pt>
                <c:pt idx="3">
                  <c:v>1.8033201314569816</c:v>
                </c:pt>
                <c:pt idx="4" formatCode="0%">
                  <c:v>1.8570257474110385</c:v>
                </c:pt>
              </c:numCache>
            </c:numRef>
          </c:val>
          <c:extLst>
            <c:ext xmlns:c16="http://schemas.microsoft.com/office/drawing/2014/chart" uri="{C3380CC4-5D6E-409C-BE32-E72D297353CC}">
              <c16:uniqueId val="{00000002-6AEC-4D48-8D01-84060EC3A983}"/>
            </c:ext>
          </c:extLst>
        </c:ser>
        <c:dLbls>
          <c:showLegendKey val="0"/>
          <c:showVal val="0"/>
          <c:showCatName val="0"/>
          <c:showSerName val="0"/>
          <c:showPercent val="0"/>
          <c:showBubbleSize val="0"/>
        </c:dLbls>
        <c:gapWidth val="100"/>
        <c:axId val="304711168"/>
        <c:axId val="304712704"/>
      </c:barChart>
      <c:catAx>
        <c:axId val="3047111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712704"/>
        <c:crosses val="autoZero"/>
        <c:auto val="1"/>
        <c:lblAlgn val="ctr"/>
        <c:lblOffset val="100"/>
        <c:noMultiLvlLbl val="0"/>
      </c:catAx>
      <c:valAx>
        <c:axId val="304712704"/>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711168"/>
        <c:crosses val="autoZero"/>
        <c:crossBetween val="between"/>
      </c:valAx>
      <c:spPr>
        <a:noFill/>
        <a:ln w="3175">
          <a:solidFill>
            <a:srgbClr val="000000"/>
          </a:solidFill>
          <a:prstDash val="solid"/>
        </a:ln>
      </c:spPr>
    </c:plotArea>
    <c:legend>
      <c:legendPos val="r"/>
      <c:layout>
        <c:manualLayout>
          <c:xMode val="edge"/>
          <c:yMode val="edge"/>
          <c:x val="0.75990284431229316"/>
          <c:y val="0.21128233970753657"/>
          <c:w val="0.24009715568770687"/>
          <c:h val="0.7887176602924634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Net Number of Children Starting to be Looked After (Rate per 10,000 0-17 year olds) vs. IDACI</a:t>
            </a:r>
          </a:p>
        </c:rich>
      </c:tx>
      <c:layout>
        <c:manualLayout>
          <c:xMode val="edge"/>
          <c:yMode val="edge"/>
          <c:x val="0.14857004412909924"/>
          <c:y val="1.2101865645172731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5"/>
          <c:tx>
            <c:strRef>
              <c:f>New_Ceased_LAC!$Y$327</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8CE4-4B65-9477-91FF7741AC58}"/>
                </c:ext>
              </c:extLst>
            </c:dLbl>
            <c:dLbl>
              <c:idx val="1"/>
              <c:layout>
                <c:manualLayout>
                  <c:x val="-6.1403508771929717E-2"/>
                  <c:y val="-2.7149321266968326E-2"/>
                </c:manualLayout>
              </c:layout>
              <c:tx>
                <c:strRef>
                  <c:f>New_Ceased_LAC!$AD$328</c:f>
                  <c:strCache>
                    <c:ptCount val="1"/>
                    <c:pt idx="0">
                      <c:v>r² = 0.032</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{E6D0671A-39CE-4A91-89BB-DFEFE774A675}</c15:txfldGUID>
                      <c15:f>New_Ceased_LAC!$AD$328</c15:f>
                      <c15:dlblFieldTableCache>
                        <c:ptCount val="1"/>
                        <c:pt idx="0">
                          <c:v>r² = 0.032</c:v>
                        </c:pt>
                      </c15:dlblFieldTableCache>
                    </c15:dlblFTEntry>
                  </c15:dlblFieldTable>
                  <c15:showDataLabelsRange val="0"/>
                </c:ext>
                <c:ext xmlns:c16="http://schemas.microsoft.com/office/drawing/2014/chart" uri="{C3380CC4-5D6E-409C-BE32-E72D297353CC}">
                  <c16:uniqueId val="{00000001-8CE4-4B65-9477-91FF7741AC5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New_Ceased_LAC!$AB$327:$AB$328</c:f>
              <c:numCache>
                <c:formatCode>General</c:formatCode>
                <c:ptCount val="2"/>
                <c:pt idx="0" formatCode="#,##0.0">
                  <c:v>5</c:v>
                </c:pt>
                <c:pt idx="1">
                  <c:v>35</c:v>
                </c:pt>
              </c:numCache>
            </c:numRef>
          </c:xVal>
          <c:yVal>
            <c:numRef>
              <c:f>New_Ceased_LAC!$AC$327:$AC$328</c:f>
              <c:numCache>
                <c:formatCode>0.0</c:formatCode>
                <c:ptCount val="2"/>
                <c:pt idx="0">
                  <c:v>3.4325299171140071</c:v>
                </c:pt>
                <c:pt idx="1">
                  <c:v>-2.5273283668460307</c:v>
                </c:pt>
              </c:numCache>
            </c:numRef>
          </c:yVal>
          <c:smooth val="1"/>
          <c:extLst>
            <c:ext xmlns:c16="http://schemas.microsoft.com/office/drawing/2014/chart" uri="{C3380CC4-5D6E-409C-BE32-E72D297353CC}">
              <c16:uniqueId val="{00000002-8CE4-4B65-9477-91FF7741AC58}"/>
            </c:ext>
          </c:extLst>
        </c:ser>
        <c:dLbls>
          <c:showLegendKey val="0"/>
          <c:showVal val="0"/>
          <c:showCatName val="0"/>
          <c:showSerName val="0"/>
          <c:showPercent val="0"/>
          <c:showBubbleSize val="0"/>
        </c:dLbls>
        <c:axId val="305059712"/>
        <c:axId val="304750592"/>
      </c:scatterChart>
      <c:scatterChart>
        <c:scatterStyle val="lineMarker"/>
        <c:varyColors val="0"/>
        <c:ser>
          <c:idx val="0"/>
          <c:order val="0"/>
          <c:tx>
            <c:strRef>
              <c:f>New_Ceased_LAC!$AR$145</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8CE4-4B65-9477-91FF7741AC58}"/>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{FE4355A0-EBEA-4E73-AEF8-5631021D5D3F}</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8CE4-4B65-9477-91FF7741AC58}"/>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{9116A808-31F1-4787-A27C-56562D861E16}</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8CE4-4B65-9477-91FF7741AC58}"/>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{2EE3607A-4E79-4330-A23E-ED67FF4F37F0}</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8CE4-4B65-9477-91FF7741AC58}"/>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{46A4E816-916B-4008-98A8-70C93CD1C417}</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8CE4-4B65-9477-91FF7741AC58}"/>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{B0043D18-5B5A-4D9B-9F34-E838812045BC}</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8CE4-4B65-9477-91FF7741AC58}"/>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{835DEFBE-22D7-4F4F-86FA-9543BE554CE6}</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8CE4-4B65-9477-91FF7741AC58}"/>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{EA781D2F-B1CF-4EC4-BF4A-A72B9C38CA10}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8CE4-4B65-9477-91FF7741AC58}"/>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{BEA3C356-A068-4D76-BA3A-46F3B8692A20}</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8CE4-4B65-9477-91FF7741AC58}"/>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{B7F47CFD-3742-484F-A6B7-34C4EFF69EAC}</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8CE4-4B65-9477-91FF7741AC58}"/>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{0A0CE1E4-6D00-4580-B38D-83BED5FF3FB7}</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8CE4-4B65-9477-91FF7741AC58}"/>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{41B0DB19-9115-4275-B9CE-A900FDAD148A}</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8CE4-4B65-9477-91FF7741AC58}"/>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{F6DDB2E2-D3B2-4FB4-88CF-C0902D628E06}</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8CE4-4B65-9477-91FF7741AC58}"/>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{7AE8E784-FB19-4971-811C-FF2A2FCD4046}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8CE4-4B65-9477-91FF7741AC58}"/>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{85C5D62C-6498-41F4-A08A-1E0EE31C3625}</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8CE4-4B65-9477-91FF7741AC58}"/>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{5F130F27-37AC-4958-995F-9BD949BDA029}</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8CE4-4B65-9477-91FF7741AC58}"/>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{0309659A-4A54-4DD0-85A0-B870543F3E37}</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8CE4-4B65-9477-91FF7741AC58}"/>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{C6EE48BF-0DF1-4E73-9FA5-D25FC02A5ADE}</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8CE4-4B65-9477-91FF7741AC58}"/>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{37C778F5-7993-4C04-B863-9651798FCE3B}</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8CE4-4B65-9477-91FF7741AC58}"/>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{9DB829FB-3867-443D-B57A-0C24A28F6D5C}</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8CE4-4B65-9477-91FF7741AC58}"/>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(New_Ceased_LAC!$AR$327:$AR$339,New_Ceased_LAC!$AR$341:$AR$342,New_Ceased_LAC!$AR$345:$AR$348)</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(New_Ceased_LAC!$AQ$327:$AQ$339,New_Ceased_LAC!$AQ$341:$AQ$342,New_Ceased_LAC!$AQ$345:$AQ$348)</c:f>
              <c:numCache>
                <c:formatCode>0.0</c:formatCode>
                <c:ptCount val="19"/>
                <c:pt idx="0">
                  <c:v>6.7137809187279149</c:v>
                </c:pt>
                <c:pt idx="1">
                  <c:v>-5.8823529411764701</c:v>
                </c:pt>
                <c:pt idx="2">
                  <c:v>3.1375703942075623</c:v>
                </c:pt>
                <c:pt idx="3">
                  <c:v>0</c:v>
                </c:pt>
                <c:pt idx="4">
                  <c:v>2.0774647887323945</c:v>
                </c:pt>
                <c:pt idx="5">
                  <c:v>5.2208835341365463</c:v>
                </c:pt>
                <c:pt idx="6">
                  <c:v>-1.9700088209350191</c:v>
                </c:pt>
                <c:pt idx="7">
                  <c:v>1.3975155279503104</c:v>
                </c:pt>
                <c:pt idx="8">
                  <c:v>-1.6105417276720351</c:v>
                </c:pt>
                <c:pt idx="9">
                  <c:v>5.6629834254143638</c:v>
                </c:pt>
                <c:pt idx="10">
                  <c:v>15.454545454545453</c:v>
                </c:pt>
                <c:pt idx="11">
                  <c:v>-1.6172506738544474</c:v>
                </c:pt>
                <c:pt idx="12">
                  <c:v>1.639344262295082</c:v>
                </c:pt>
                <c:pt idx="13">
                  <c:v>-8.6614173228346463</c:v>
                </c:pt>
                <c:pt idx="14">
                  <c:v>1.565483008781978</c:v>
                </c:pt>
                <c:pt idx="15">
                  <c:v>7.3033707865168536</c:v>
                </c:pt>
                <c:pt idx="16">
                  <c:v>-0.45792787635947341</c:v>
                </c:pt>
                <c:pt idx="17">
                  <c:v>3.7572254335260111</c:v>
                </c:pt>
                <c:pt idx="18">
                  <c:v>1.0126582278481013</c:v>
                </c:pt>
              </c:numCache>
            </c:numRef>
          </c:yVal>
          <c:smooth val="0"/>
          <c:extLst>
            <c:ext xmlns:c16="http://schemas.microsoft.com/office/drawing/2014/chart" uri="{C3380CC4-5D6E-409C-BE32-E72D297353CC}">
              <c16:uniqueId val="{00000017-8CE4-4B65-9477-91FF7741AC58}"/>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8CE4-4B65-9477-91FF7741AC58}"/>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{B4421865-C3A2-49BB-A987-1F68F82388E3}</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8CE4-4B65-9477-91FF7741AC58}"/>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{E0586918-A23D-4EE7-87BD-3C81E37FFC9B}</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8CE4-4B65-9477-91FF7741AC58}"/>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{D8E92BD5-5013-4343-9459-35AC17C84978}</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8CE4-4B65-9477-91FF7741AC58}"/>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(New_Ceased_LAC!$AR$340,New_Ceased_LAC!$AR$343:$AR$344)</c:f>
              <c:numCache>
                <c:formatCode>0.0</c:formatCode>
                <c:ptCount val="3"/>
                <c:pt idx="0">
                  <c:v>13.600000000000001</c:v>
                </c:pt>
                <c:pt idx="1">
                  <c:v>14.899999999999999</c:v>
                </c:pt>
                <c:pt idx="2">
                  <c:v>21.9</c:v>
                </c:pt>
              </c:numCache>
            </c:numRef>
          </c:xVal>
          <c:yVal>
            <c:numRef>
              <c:f>(New_Ceased_LAC!$AQ$340,New_Ceased_LAC!$AQ$343:$AQ$344)</c:f>
              <c:numCache>
                <c:formatCode>0.0</c:formatCode>
                <c:ptCount val="3"/>
                <c:pt idx="0">
                  <c:v>0.90334236675700097</c:v>
                </c:pt>
                <c:pt idx="1">
                  <c:v>-2.3904382470119523</c:v>
                </c:pt>
                <c:pt idx="2">
                  <c:v>11.417322834645669</c:v>
                </c:pt>
              </c:numCache>
            </c:numRef>
          </c:yVal>
          <c:smooth val="0"/>
          <c:extLst>
            <c:ext xmlns:c16="http://schemas.microsoft.com/office/drawing/2014/chart" uri="{C3380CC4-5D6E-409C-BE32-E72D297353CC}">
              <c16:uniqueId val="{0000001B-8CE4-4B65-9477-91FF7741AC58}"/>
            </c:ext>
          </c:extLst>
        </c:ser>
        <c:ser>
          <c:idx val="1"/>
          <c:order val="2"/>
          <c:tx>
            <c:strRef>
              <c:f>New_Ceased_LAC!$AA$4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New_Ceased_LAC!$AR$351</c:f>
              <c:numCache>
                <c:formatCode>0.0</c:formatCode>
                <c:ptCount val="1"/>
                <c:pt idx="0">
                  <c:v>#N/A</c:v>
                </c:pt>
              </c:numCache>
            </c:numRef>
          </c:xVal>
          <c:yVal>
            <c:numRef>
              <c:f>New_Ceased_LAC!$AQ$351</c:f>
              <c:numCache>
                <c:formatCode>0.0</c:formatCode>
                <c:ptCount val="1"/>
                <c:pt idx="0">
                  <c:v>#N/A</c:v>
                </c:pt>
              </c:numCache>
            </c:numRef>
          </c:yVal>
          <c:smooth val="0"/>
          <c:extLst>
            <c:ext xmlns:c16="http://schemas.microsoft.com/office/drawing/2014/chart" uri="{C3380CC4-5D6E-409C-BE32-E72D297353CC}">
              <c16:uniqueId val="{0000001C-8CE4-4B65-9477-91FF7741AC58}"/>
            </c:ext>
          </c:extLst>
        </c:ser>
        <c:ser>
          <c:idx val="4"/>
          <c:order val="3"/>
          <c:tx>
            <c:strRef>
              <c:f>New_Ceased_LAC!$B$139</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New_Ceased_LAC!$S$318</c:f>
              <c:numCache>
                <c:formatCode>0.0</c:formatCode>
                <c:ptCount val="1"/>
                <c:pt idx="0">
                  <c:v>12.371268250968637</c:v>
                </c:pt>
              </c:numCache>
            </c:numRef>
          </c:xVal>
          <c:yVal>
            <c:numRef>
              <c:f>New_Ceased_LAC!$O$318</c:f>
              <c:numCache>
                <c:formatCode>0.0</c:formatCode>
                <c:ptCount val="1"/>
                <c:pt idx="0">
                  <c:v>1.1086134668437724</c:v>
                </c:pt>
              </c:numCache>
            </c:numRef>
          </c:yVal>
          <c:smooth val="0"/>
          <c:extLst>
            <c:ext xmlns:c16="http://schemas.microsoft.com/office/drawing/2014/chart" uri="{C3380CC4-5D6E-409C-BE32-E72D297353CC}">
              <c16:uniqueId val="{0000001D-8CE4-4B65-9477-91FF7741AC58}"/>
            </c:ext>
          </c:extLst>
        </c:ser>
        <c:ser>
          <c:idx val="2"/>
          <c:order val="4"/>
          <c:tx>
            <c:strRef>
              <c:f>New_Ceased_LAC!$Y$175</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8CE4-4B65-9477-91FF7741AC58}"/>
                </c:ext>
              </c:extLst>
            </c:dLbl>
            <c:dLbl>
              <c:idx val="1"/>
              <c:layout>
                <c:manualLayout>
                  <c:x val="-4.6783625730994045E-2"/>
                  <c:y val="-1.8099547511312219E-2"/>
                </c:manualLayout>
              </c:layout>
              <c:tx>
                <c:strRef>
                  <c:f>New_Ceased_LAC!$AD$329</c:f>
                  <c:strCache>
                    <c:ptCount val="1"/>
                    <c:pt idx="0">
                      <c:v>r² = 0.001</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{DE91306A-0DC0-46F0-8197-66A05FCD9D41}</c15:txfldGUID>
                      <c15:f>New_Ceased_LAC!$AD$329</c15:f>
                      <c15:dlblFieldTableCache>
                        <c:ptCount val="1"/>
                        <c:pt idx="0">
                          <c:v>r² = 0.001</c:v>
                        </c:pt>
                      </c15:dlblFieldTableCache>
                    </c15:dlblFTEntry>
                  </c15:dlblFieldTable>
                  <c15:showDataLabelsRange val="0"/>
                </c:ext>
                <c:ext xmlns:c16="http://schemas.microsoft.com/office/drawing/2014/chart" uri="{C3380CC4-5D6E-409C-BE32-E72D297353CC}">
                  <c16:uniqueId val="{0000001F-8CE4-4B65-9477-91FF7741AC58}"/>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New_Ceased_LAC!$AB$329:$AB$330</c:f>
              <c:numCache>
                <c:formatCode>General</c:formatCode>
                <c:ptCount val="2"/>
                <c:pt idx="0" formatCode="#,##0.0">
                  <c:v>5</c:v>
                </c:pt>
                <c:pt idx="1">
                  <c:v>35</c:v>
                </c:pt>
              </c:numCache>
            </c:numRef>
          </c:xVal>
          <c:yVal>
            <c:numRef>
              <c:f>New_Ceased_LAC!$AC$329:$AC$330</c:f>
              <c:numCache>
                <c:formatCode>0.0</c:formatCode>
                <c:ptCount val="2"/>
                <c:pt idx="0">
                  <c:v>2.2248334586850707</c:v>
                </c:pt>
                <c:pt idx="1">
                  <c:v>3.3972816594064232</c:v>
                </c:pt>
              </c:numCache>
            </c:numRef>
          </c:yVal>
          <c:smooth val="0"/>
          <c:extLst>
            <c:ext xmlns:c16="http://schemas.microsoft.com/office/drawing/2014/chart" uri="{C3380CC4-5D6E-409C-BE32-E72D297353CC}">
              <c16:uniqueId val="{00000020-8CE4-4B65-9477-91FF7741AC58}"/>
            </c:ext>
          </c:extLst>
        </c:ser>
        <c:dLbls>
          <c:showLegendKey val="0"/>
          <c:showVal val="0"/>
          <c:showCatName val="0"/>
          <c:showSerName val="0"/>
          <c:showPercent val="0"/>
          <c:showBubbleSize val="0"/>
        </c:dLbls>
        <c:axId val="305059712"/>
        <c:axId val="304750592"/>
      </c:scatterChart>
      <c:valAx>
        <c:axId val="305059712"/>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4750592"/>
        <c:crosses val="autoZero"/>
        <c:crossBetween val="midCat"/>
        <c:majorUnit val="5"/>
      </c:valAx>
      <c:valAx>
        <c:axId val="30475059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Net Number of Children Starting to be Looked After</a:t>
                </a:r>
              </a:p>
              <a:p>
                <a:pPr>
                  <a:defRPr sz="800" b="1" i="0" u="none" strike="noStrike" baseline="0">
                    <a:solidFill>
                      <a:srgbClr val="000000"/>
                    </a:solidFill>
                    <a:latin typeface="Arial"/>
                    <a:ea typeface="Arial"/>
                    <a:cs typeface="Arial"/>
                  </a:defRPr>
                </a:pPr>
                <a:r>
                  <a:rPr lang="en-GB" sz="800" b="1" i="0" u="none" strike="noStrike" baseline="0">
                    <a:effectLst/>
                  </a:rPr>
                  <a:t> (Rate per 10,000 0-17 year olds)</a:t>
                </a:r>
                <a:endParaRPr lang="en-GB"/>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05059712"/>
        <c:crosses val="autoZero"/>
        <c:crossBetween val="midCat"/>
      </c:valAx>
      <c:spPr>
        <a:noFill/>
        <a:ln w="3175">
          <a:solidFill>
            <a:srgbClr val="000000"/>
          </a:solidFill>
          <a:prstDash val="solid"/>
        </a:ln>
      </c:spPr>
    </c:plotArea>
    <c:plotVisOnly val="0"/>
    <c:dispBlanksAs val="span"/>
    <c:showDLblsOverMax val="0"/>
  </c:chart>
  <c:spPr>
    <a:solidFill>
      <a:schemeClr val="bg1"/>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CAO</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145868399038699"/>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2014-15</c:v>
                </c:pt>
                <c:pt idx="1">
                  <c:v>2015-16</c:v>
                </c:pt>
                <c:pt idx="2">
                  <c:v>2016-17</c:v>
                </c:pt>
                <c:pt idx="3">
                  <c:v>2017-18</c:v>
                </c:pt>
                <c:pt idx="4">
                  <c:v>2018-19</c:v>
                </c:pt>
              </c:strCache>
            </c:strRef>
          </c:cat>
          <c:val>
            <c:numRef>
              <c:f>New_Ceased_LAC!$AX$172:$BB$172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37C-479E-8ED1-13A29FE0903D}"/>
            </c:ext>
          </c:extLst>
        </c:ser>
        <c:ser>
          <c:idx val="4"/>
          <c:order val="1"/>
          <c:tx>
            <c:strRef>
              <c:f>New_Ceased_LAC!$AL$63</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2014-15</c:v>
                </c:pt>
                <c:pt idx="1">
                  <c:v>2015-16</c:v>
                </c:pt>
                <c:pt idx="2">
                  <c:v>2016-17</c:v>
                </c:pt>
                <c:pt idx="3">
                  <c:v>2017-18</c:v>
                </c:pt>
                <c:pt idx="4">
                  <c:v>2018-19</c:v>
                </c:pt>
              </c:strCache>
            </c:strRef>
          </c:cat>
          <c:val>
            <c:numRef>
              <c:f>New_Ceased_LAC!$AX$170:$BB$170</c:f>
              <c:numCache>
                <c:formatCode>0.0%</c:formatCode>
                <c:ptCount val="5"/>
                <c:pt idx="0">
                  <c:v>2.4449877750611249E-2</c:v>
                </c:pt>
                <c:pt idx="1">
                  <c:v>2.7956989247311829E-2</c:v>
                </c:pt>
                <c:pt idx="2">
                  <c:v>2.7956989247311829E-2</c:v>
                </c:pt>
                <c:pt idx="3">
                  <c:v>2.7842227378190254E-2</c:v>
                </c:pt>
                <c:pt idx="4">
                  <c:v>2.6570048309178744E-2</c:v>
                </c:pt>
              </c:numCache>
            </c:numRef>
          </c:val>
          <c:extLst>
            <c:ext xmlns:c16="http://schemas.microsoft.com/office/drawing/2014/chart" uri="{C3380CC4-5D6E-409C-BE32-E72D297353CC}">
              <c16:uniqueId val="{00000001-437C-479E-8ED1-13A29FE0903D}"/>
            </c:ext>
          </c:extLst>
        </c:ser>
        <c:ser>
          <c:idx val="0"/>
          <c:order val="2"/>
          <c:tx>
            <c:strRef>
              <c:f>New_Ceased_LAC!$AL$171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2014-15</c:v>
                </c:pt>
                <c:pt idx="1">
                  <c:v>2015-16</c:v>
                </c:pt>
                <c:pt idx="2">
                  <c:v>2016-17</c:v>
                </c:pt>
                <c:pt idx="3">
                  <c:v>2017-18</c:v>
                </c:pt>
                <c:pt idx="4">
                  <c:v>2018-19</c:v>
                </c:pt>
              </c:strCache>
            </c:strRef>
          </c:cat>
          <c:val>
            <c:numRef>
              <c:f>New_Ceased_LAC!$AX$171:$BB$171</c:f>
              <c:numCache>
                <c:formatCode>0.0%</c:formatCode>
                <c:ptCount val="5"/>
                <c:pt idx="0">
                  <c:v>3.2535885167464113E-2</c:v>
                </c:pt>
                <c:pt idx="1">
                  <c:v>3.5153797865662272E-2</c:v>
                </c:pt>
                <c:pt idx="2">
                  <c:v>3.8216560509554139E-2</c:v>
                </c:pt>
                <c:pt idx="3">
                  <c:v>3.8935108153078206E-2</c:v>
                </c:pt>
                <c:pt idx="4">
                  <c:v>3.8017651052274268E-2</c:v>
                </c:pt>
              </c:numCache>
            </c:numRef>
          </c:val>
          <c:extLst>
            <c:ext xmlns:c16="http://schemas.microsoft.com/office/drawing/2014/chart" uri="{C3380CC4-5D6E-409C-BE32-E72D297353CC}">
              <c16:uniqueId val="{00000002-437C-479E-8ED1-13A29FE0903D}"/>
            </c:ext>
          </c:extLst>
        </c:ser>
        <c:dLbls>
          <c:showLegendKey val="0"/>
          <c:showVal val="0"/>
          <c:showCatName val="0"/>
          <c:showSerName val="0"/>
          <c:showPercent val="0"/>
          <c:showBubbleSize val="0"/>
        </c:dLbls>
        <c:gapWidth val="100"/>
        <c:axId val="331231616"/>
        <c:axId val="331233152"/>
      </c:barChart>
      <c:catAx>
        <c:axId val="331231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1233152"/>
        <c:crosses val="autoZero"/>
        <c:auto val="1"/>
        <c:lblAlgn val="ctr"/>
        <c:lblOffset val="100"/>
        <c:noMultiLvlLbl val="0"/>
      </c:catAx>
      <c:valAx>
        <c:axId val="33123315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1231616"/>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t>
            </a:r>
          </a:p>
          <a:p>
            <a:pPr>
              <a:defRPr sz="1000" b="1" i="0" u="none" strike="noStrike" baseline="0">
                <a:solidFill>
                  <a:srgbClr val="000000"/>
                </a:solidFill>
                <a:latin typeface="Arial"/>
                <a:ea typeface="Arial"/>
                <a:cs typeface="Arial"/>
              </a:defRPr>
            </a:pPr>
            <a:r>
              <a:rPr lang="en-GB"/>
              <a:t>granted a Child Arrangement Order (%)</a:t>
            </a:r>
          </a:p>
        </c:rich>
      </c:tx>
      <c:layout>
        <c:manualLayout>
          <c:xMode val="edge"/>
          <c:yMode val="edge"/>
          <c:x val="0.11896079723102342"/>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50930878282328"/>
        </c:manualLayout>
      </c:layout>
      <c:lineChart>
        <c:grouping val="standard"/>
        <c:varyColors val="0"/>
        <c:ser>
          <c:idx val="0"/>
          <c:order val="0"/>
          <c:tx>
            <c:strRef>
              <c:f>New_Ceased_LAC!$AL$148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BC1C-4EA8-934B-9CD50B60721C}"/>
              </c:ext>
            </c:extLst>
          </c:dPt>
          <c:cat>
            <c:strRef>
              <c:f>New_Ceased_LAC!$AX$147:$BB$147</c:f>
              <c:strCache>
                <c:ptCount val="5"/>
                <c:pt idx="0">
                  <c:v>2014-15</c:v>
                </c:pt>
                <c:pt idx="1">
                  <c:v>2015-16</c:v>
                </c:pt>
                <c:pt idx="2">
                  <c:v>2016-17</c:v>
                </c:pt>
                <c:pt idx="3">
                  <c:v>2017-18</c:v>
                </c:pt>
                <c:pt idx="4">
                  <c:v>2018-19</c:v>
                </c:pt>
              </c:strCache>
            </c:strRef>
          </c:cat>
          <c:val>
            <c:numRef>
              <c:f>New_Ceased_LAC!$AX$148:$BB$148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C1C-4EA8-934B-9CD50B60721C}"/>
            </c:ext>
          </c:extLst>
        </c:ser>
        <c:ser>
          <c:idx val="1"/>
          <c:order val="1"/>
          <c:tx>
            <c:strRef>
              <c:f>New_Ceased_LAC!$AL$149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New_Ceased_LAC!$AX$149:$BB$149</c:f>
              <c:numCache>
                <c:formatCode>0.0%</c:formatCode>
                <c:ptCount val="5"/>
                <c:pt idx="0">
                  <c:v>2.6041666666666668E-2</c:v>
                </c:pt>
                <c:pt idx="1">
                  <c:v>#N/A</c:v>
                </c:pt>
                <c:pt idx="2">
                  <c:v>#N/A</c:v>
                </c:pt>
                <c:pt idx="3">
                  <c:v>3.9772727272727272E-2</c:v>
                </c:pt>
                <c:pt idx="4">
                  <c:v>#N/A</c:v>
                </c:pt>
              </c:numCache>
            </c:numRef>
          </c:val>
          <c:smooth val="0"/>
          <c:extLst>
            <c:ext xmlns:c16="http://schemas.microsoft.com/office/drawing/2014/chart" uri="{C3380CC4-5D6E-409C-BE32-E72D297353CC}">
              <c16:uniqueId val="{00000002-BC1C-4EA8-934B-9CD50B60721C}"/>
            </c:ext>
          </c:extLst>
        </c:ser>
        <c:ser>
          <c:idx val="2"/>
          <c:order val="2"/>
          <c:tx>
            <c:strRef>
              <c:f>New_Ceased_LAC!$AL$150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New_Ceased_LAC!$AX$150:$BB$150</c:f>
              <c:numCache>
                <c:formatCode>0.0%</c:formatCode>
                <c:ptCount val="5"/>
                <c:pt idx="0">
                  <c:v>#N/A</c:v>
                </c:pt>
                <c:pt idx="1">
                  <c:v>2.2026431718061675E-2</c:v>
                </c:pt>
                <c:pt idx="2">
                  <c:v>3.7209302325581395E-2</c:v>
                </c:pt>
                <c:pt idx="3">
                  <c:v>#N/A</c:v>
                </c:pt>
                <c:pt idx="4">
                  <c:v>#N/A</c:v>
                </c:pt>
              </c:numCache>
            </c:numRef>
          </c:val>
          <c:smooth val="0"/>
          <c:extLst>
            <c:ext xmlns:c16="http://schemas.microsoft.com/office/drawing/2014/chart" uri="{C3380CC4-5D6E-409C-BE32-E72D297353CC}">
              <c16:uniqueId val="{00000003-BC1C-4EA8-934B-9CD50B60721C}"/>
            </c:ext>
          </c:extLst>
        </c:ser>
        <c:ser>
          <c:idx val="5"/>
          <c:order val="3"/>
          <c:tx>
            <c:strRef>
              <c:f>New_Ceased_LAC!$AL$151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New_Ceased_LAC!$AX$151:$BB$151</c:f>
              <c:numCache>
                <c:formatCode>0.0%</c:formatCode>
                <c:ptCount val="5"/>
                <c:pt idx="0">
                  <c:v>5.2910052910052907E-2</c:v>
                </c:pt>
                <c:pt idx="1">
                  <c:v>#N/A</c:v>
                </c:pt>
                <c:pt idx="2">
                  <c:v>#N/A</c:v>
                </c:pt>
                <c:pt idx="3">
                  <c:v>#N/A</c:v>
                </c:pt>
                <c:pt idx="4">
                  <c:v>#N/A</c:v>
                </c:pt>
              </c:numCache>
            </c:numRef>
          </c:val>
          <c:smooth val="0"/>
          <c:extLst>
            <c:ext xmlns:c16="http://schemas.microsoft.com/office/drawing/2014/chart" uri="{C3380CC4-5D6E-409C-BE32-E72D297353CC}">
              <c16:uniqueId val="{00000004-BC1C-4EA8-934B-9CD50B60721C}"/>
            </c:ext>
          </c:extLst>
        </c:ser>
        <c:ser>
          <c:idx val="9"/>
          <c:order val="4"/>
          <c:tx>
            <c:strRef>
              <c:f>New_Ceased_LAC!$AL$152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New_Ceased_LAC!$AX$152:$BB$152</c:f>
              <c:numCache>
                <c:formatCode>0.0%</c:formatCode>
                <c:ptCount val="5"/>
                <c:pt idx="0">
                  <c:v>1.8315018315018316E-2</c:v>
                </c:pt>
                <c:pt idx="1">
                  <c:v>9.1743119266055051E-3</c:v>
                </c:pt>
                <c:pt idx="2">
                  <c:v>3.9473684210526314E-2</c:v>
                </c:pt>
                <c:pt idx="3">
                  <c:v>4.1152263374485597E-2</c:v>
                </c:pt>
                <c:pt idx="4">
                  <c:v>3.0354131534569982E-2</c:v>
                </c:pt>
              </c:numCache>
            </c:numRef>
          </c:val>
          <c:smooth val="0"/>
          <c:extLst>
            <c:ext xmlns:c16="http://schemas.microsoft.com/office/drawing/2014/chart" uri="{C3380CC4-5D6E-409C-BE32-E72D297353CC}">
              <c16:uniqueId val="{00000005-BC1C-4EA8-934B-9CD50B60721C}"/>
            </c:ext>
          </c:extLst>
        </c:ser>
        <c:ser>
          <c:idx val="10"/>
          <c:order val="5"/>
          <c:tx>
            <c:strRef>
              <c:f>New_Ceased_LAC!$AL$153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New_Ceased_LAC!$AX$153:$BB$153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BC1C-4EA8-934B-9CD50B60721C}"/>
            </c:ext>
          </c:extLst>
        </c:ser>
        <c:ser>
          <c:idx val="11"/>
          <c:order val="6"/>
          <c:tx>
            <c:strRef>
              <c:f>New_Ceased_LAC!$AL$154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New_Ceased_LAC!$AX$154:$BB$154</c:f>
              <c:numCache>
                <c:formatCode>0.0%</c:formatCode>
                <c:ptCount val="5"/>
                <c:pt idx="0">
                  <c:v>2.8506271379703536E-2</c:v>
                </c:pt>
                <c:pt idx="1">
                  <c:v>9.2678405931417972E-3</c:v>
                </c:pt>
                <c:pt idx="2">
                  <c:v>8.3586626139817623E-3</c:v>
                </c:pt>
                <c:pt idx="3">
                  <c:v>1.5252621544327931E-2</c:v>
                </c:pt>
                <c:pt idx="4">
                  <c:v>1.310615989515072E-2</c:v>
                </c:pt>
              </c:numCache>
            </c:numRef>
          </c:val>
          <c:smooth val="0"/>
          <c:extLst>
            <c:ext xmlns:c16="http://schemas.microsoft.com/office/drawing/2014/chart" uri="{C3380CC4-5D6E-409C-BE32-E72D297353CC}">
              <c16:uniqueId val="{00000007-BC1C-4EA8-934B-9CD50B60721C}"/>
            </c:ext>
          </c:extLst>
        </c:ser>
        <c:ser>
          <c:idx val="12"/>
          <c:order val="7"/>
          <c:tx>
            <c:strRef>
              <c:f>New_Ceased_LAC!$AL$155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New_Ceased_LAC!$AX$155:$BB$155</c:f>
              <c:numCache>
                <c:formatCode>0.0%</c:formatCode>
                <c:ptCount val="5"/>
                <c:pt idx="0">
                  <c:v>0</c:v>
                </c:pt>
                <c:pt idx="1">
                  <c:v>9.5238095238095233E-2</c:v>
                </c:pt>
                <c:pt idx="2">
                  <c:v>6.4171122994652413E-2</c:v>
                </c:pt>
                <c:pt idx="3">
                  <c:v>#N/A</c:v>
                </c:pt>
                <c:pt idx="4">
                  <c:v>#N/A</c:v>
                </c:pt>
              </c:numCache>
            </c:numRef>
          </c:val>
          <c:smooth val="0"/>
          <c:extLst>
            <c:ext xmlns:c16="http://schemas.microsoft.com/office/drawing/2014/chart" uri="{C3380CC4-5D6E-409C-BE32-E72D297353CC}">
              <c16:uniqueId val="{00000008-BC1C-4EA8-934B-9CD50B60721C}"/>
            </c:ext>
          </c:extLst>
        </c:ser>
        <c:ser>
          <c:idx val="13"/>
          <c:order val="8"/>
          <c:tx>
            <c:strRef>
              <c:f>New_Ceased_LAC!$AL$156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New_Ceased_LAC!$AX$156:$BB$156</c:f>
              <c:numCache>
                <c:formatCode>0.0%</c:formatCode>
                <c:ptCount val="5"/>
                <c:pt idx="0">
                  <c:v>#N/A</c:v>
                </c:pt>
                <c:pt idx="1">
                  <c:v>2.6881720430107527E-2</c:v>
                </c:pt>
                <c:pt idx="2">
                  <c:v>#N/A</c:v>
                </c:pt>
                <c:pt idx="3">
                  <c:v>#N/A</c:v>
                </c:pt>
                <c:pt idx="4">
                  <c:v>#N/A</c:v>
                </c:pt>
              </c:numCache>
            </c:numRef>
          </c:val>
          <c:smooth val="0"/>
          <c:extLst>
            <c:ext xmlns:c16="http://schemas.microsoft.com/office/drawing/2014/chart" uri="{C3380CC4-5D6E-409C-BE32-E72D297353CC}">
              <c16:uniqueId val="{00000009-BC1C-4EA8-934B-9CD50B60721C}"/>
            </c:ext>
          </c:extLst>
        </c:ser>
        <c:ser>
          <c:idx val="15"/>
          <c:order val="9"/>
          <c:tx>
            <c:strRef>
              <c:f>New_Ceased_LAC!$AL$157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New_Ceased_LAC!$AX$157:$BB$157</c:f>
              <c:numCache>
                <c:formatCode>0.0%</c:formatCode>
                <c:ptCount val="5"/>
                <c:pt idx="0">
                  <c:v>4.0160642570281124E-2</c:v>
                </c:pt>
                <c:pt idx="1">
                  <c:v>3.5714285714285712E-2</c:v>
                </c:pt>
                <c:pt idx="2">
                  <c:v>6.9930069930069935E-2</c:v>
                </c:pt>
                <c:pt idx="3">
                  <c:v>2.6845637583892617E-2</c:v>
                </c:pt>
                <c:pt idx="4">
                  <c:v>6.95970695970696E-2</c:v>
                </c:pt>
              </c:numCache>
            </c:numRef>
          </c:val>
          <c:smooth val="0"/>
          <c:extLst>
            <c:ext xmlns:c16="http://schemas.microsoft.com/office/drawing/2014/chart" uri="{C3380CC4-5D6E-409C-BE32-E72D297353CC}">
              <c16:uniqueId val="{0000000A-BC1C-4EA8-934B-9CD50B60721C}"/>
            </c:ext>
          </c:extLst>
        </c:ser>
        <c:ser>
          <c:idx val="16"/>
          <c:order val="10"/>
          <c:tx>
            <c:strRef>
              <c:f>New_Ceased_LAC!$AL$158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New_Ceased_LAC!$AX$158:$BB$158</c:f>
              <c:numCache>
                <c:formatCode>0.0%</c:formatCode>
                <c:ptCount val="5"/>
                <c:pt idx="0">
                  <c:v>3.048780487804878E-2</c:v>
                </c:pt>
                <c:pt idx="1">
                  <c:v>0.11904761904761904</c:v>
                </c:pt>
                <c:pt idx="2">
                  <c:v>#N/A</c:v>
                </c:pt>
                <c:pt idx="3">
                  <c:v>4.3010752688172046E-2</c:v>
                </c:pt>
                <c:pt idx="4">
                  <c:v>6.2111801242236024E-2</c:v>
                </c:pt>
              </c:numCache>
            </c:numRef>
          </c:val>
          <c:smooth val="0"/>
          <c:extLst>
            <c:ext xmlns:c16="http://schemas.microsoft.com/office/drawing/2014/chart" uri="{C3380CC4-5D6E-409C-BE32-E72D297353CC}">
              <c16:uniqueId val="{0000000B-BC1C-4EA8-934B-9CD50B60721C}"/>
            </c:ext>
          </c:extLst>
        </c:ser>
        <c:ser>
          <c:idx val="17"/>
          <c:order val="11"/>
          <c:tx>
            <c:strRef>
              <c:f>New_Ceased_LAC!$AL$159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New_Ceased_LAC!$AX$159:$BB$159</c:f>
              <c:numCache>
                <c:formatCode>0.0%</c:formatCode>
                <c:ptCount val="5"/>
                <c:pt idx="0">
                  <c:v>0</c:v>
                </c:pt>
                <c:pt idx="1">
                  <c:v>8.1300813008130079E-2</c:v>
                </c:pt>
                <c:pt idx="2">
                  <c:v>0</c:v>
                </c:pt>
                <c:pt idx="3">
                  <c:v>#N/A</c:v>
                </c:pt>
                <c:pt idx="4">
                  <c:v>0</c:v>
                </c:pt>
              </c:numCache>
            </c:numRef>
          </c:val>
          <c:smooth val="0"/>
          <c:extLst>
            <c:ext xmlns:c16="http://schemas.microsoft.com/office/drawing/2014/chart" uri="{C3380CC4-5D6E-409C-BE32-E72D297353CC}">
              <c16:uniqueId val="{0000000C-BC1C-4EA8-934B-9CD50B60721C}"/>
            </c:ext>
          </c:extLst>
        </c:ser>
        <c:ser>
          <c:idx val="19"/>
          <c:order val="12"/>
          <c:tx>
            <c:strRef>
              <c:f>New_Ceased_LAC!$AL$160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New_Ceased_LAC!$AX$160:$BB$160</c:f>
              <c:numCache>
                <c:formatCode>0.0%</c:formatCode>
                <c:ptCount val="5"/>
                <c:pt idx="0">
                  <c:v>#N/A</c:v>
                </c:pt>
                <c:pt idx="1">
                  <c:v>6.4935064935064929E-2</c:v>
                </c:pt>
                <c:pt idx="2">
                  <c:v>8.0357142857142863E-2</c:v>
                </c:pt>
                <c:pt idx="3">
                  <c:v>#N/A</c:v>
                </c:pt>
                <c:pt idx="4">
                  <c:v>#N/A</c:v>
                </c:pt>
              </c:numCache>
            </c:numRef>
          </c:val>
          <c:smooth val="0"/>
          <c:extLst>
            <c:ext xmlns:c16="http://schemas.microsoft.com/office/drawing/2014/chart" uri="{C3380CC4-5D6E-409C-BE32-E72D297353CC}">
              <c16:uniqueId val="{0000000D-BC1C-4EA8-934B-9CD50B60721C}"/>
            </c:ext>
          </c:extLst>
        </c:ser>
        <c:ser>
          <c:idx val="3"/>
          <c:order val="13"/>
          <c:tx>
            <c:strRef>
              <c:f>New_Ceased_LAC!$AL$161</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New_Ceased_LAC!$AX$161:$BB$161</c:f>
              <c:numCache>
                <c:formatCode>0.0%</c:formatCode>
                <c:ptCount val="5"/>
                <c:pt idx="0">
                  <c:v>1.6722408026755852E-2</c:v>
                </c:pt>
                <c:pt idx="1">
                  <c:v>#N/A</c:v>
                </c:pt>
                <c:pt idx="2">
                  <c:v>4.5977011494252873E-2</c:v>
                </c:pt>
                <c:pt idx="3">
                  <c:v>2.6905829596412557E-2</c:v>
                </c:pt>
                <c:pt idx="4">
                  <c:v>#N/A</c:v>
                </c:pt>
              </c:numCache>
            </c:numRef>
          </c:val>
          <c:smooth val="0"/>
          <c:extLst>
            <c:ext xmlns:c16="http://schemas.microsoft.com/office/drawing/2014/chart" uri="{C3380CC4-5D6E-409C-BE32-E72D297353CC}">
              <c16:uniqueId val="{0000000E-BC1C-4EA8-934B-9CD50B60721C}"/>
            </c:ext>
          </c:extLst>
        </c:ser>
        <c:ser>
          <c:idx val="20"/>
          <c:order val="14"/>
          <c:tx>
            <c:strRef>
              <c:f>New_Ceased_LAC!$AL$162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New_Ceased_LAC!$AX$162:$BB$162</c:f>
              <c:numCache>
                <c:formatCode>0.0%</c:formatCode>
                <c:ptCount val="5"/>
                <c:pt idx="0">
                  <c:v>5.2083333333333336E-2</c:v>
                </c:pt>
                <c:pt idx="1">
                  <c:v>#N/A</c:v>
                </c:pt>
                <c:pt idx="2">
                  <c:v>#N/A</c:v>
                </c:pt>
                <c:pt idx="3">
                  <c:v>6.5989847715736044E-2</c:v>
                </c:pt>
                <c:pt idx="4">
                  <c:v>3.7383177570093455E-2</c:v>
                </c:pt>
              </c:numCache>
            </c:numRef>
          </c:val>
          <c:smooth val="0"/>
          <c:extLst>
            <c:ext xmlns:c16="http://schemas.microsoft.com/office/drawing/2014/chart" uri="{C3380CC4-5D6E-409C-BE32-E72D297353CC}">
              <c16:uniqueId val="{0000000F-BC1C-4EA8-934B-9CD50B60721C}"/>
            </c:ext>
          </c:extLst>
        </c:ser>
        <c:ser>
          <c:idx val="22"/>
          <c:order val="15"/>
          <c:tx>
            <c:strRef>
              <c:f>New_Ceased_LAC!$AL$163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New_Ceased_LAC!$AX$163:$BB$163</c:f>
              <c:numCache>
                <c:formatCode>0.0%</c:formatCode>
                <c:ptCount val="5"/>
                <c:pt idx="0">
                  <c:v>1.3368983957219251E-2</c:v>
                </c:pt>
                <c:pt idx="1">
                  <c:v>3.7037037037037035E-2</c:v>
                </c:pt>
                <c:pt idx="2">
                  <c:v>1.6706443914081145E-2</c:v>
                </c:pt>
                <c:pt idx="3">
                  <c:v>3.1784841075794622E-2</c:v>
                </c:pt>
                <c:pt idx="4">
                  <c:v>2.7918781725888325E-2</c:v>
                </c:pt>
              </c:numCache>
            </c:numRef>
          </c:val>
          <c:smooth val="0"/>
          <c:extLst>
            <c:ext xmlns:c16="http://schemas.microsoft.com/office/drawing/2014/chart" uri="{C3380CC4-5D6E-409C-BE32-E72D297353CC}">
              <c16:uniqueId val="{00000010-BC1C-4EA8-934B-9CD50B60721C}"/>
            </c:ext>
          </c:extLst>
        </c:ser>
        <c:ser>
          <c:idx val="7"/>
          <c:order val="16"/>
          <c:tx>
            <c:strRef>
              <c:f>New_Ceased_LAC!$AL$164</c:f>
              <c:strCache>
                <c:ptCount val="1"/>
                <c:pt idx="0">
                  <c:v>Swindon</c:v>
                </c:pt>
              </c:strCache>
            </c:strRef>
          </c:tx>
          <c:spPr>
            <a:ln w="15875"/>
          </c:spPr>
          <c:marker>
            <c:symbol val="triangle"/>
            <c:size val="5"/>
            <c:spPr>
              <a:solidFill>
                <a:schemeClr val="accent2">
                  <a:lumMod val="20000"/>
                  <a:lumOff val="80000"/>
                </a:schemeClr>
              </a:solidFill>
            </c:spPr>
          </c:marker>
          <c:cat>
            <c:strRef>
              <c:f>New_Ceased_LAC!$AX$147:$BB$147</c:f>
              <c:strCache>
                <c:ptCount val="5"/>
                <c:pt idx="0">
                  <c:v>2014-15</c:v>
                </c:pt>
                <c:pt idx="1">
                  <c:v>2015-16</c:v>
                </c:pt>
                <c:pt idx="2">
                  <c:v>2016-17</c:v>
                </c:pt>
                <c:pt idx="3">
                  <c:v>2017-18</c:v>
                </c:pt>
                <c:pt idx="4">
                  <c:v>2018-19</c:v>
                </c:pt>
              </c:strCache>
            </c:strRef>
          </c:cat>
          <c:val>
            <c:numRef>
              <c:f>New_Ceased_LAC!$AX$164:$BB$164</c:f>
              <c:numCache>
                <c:formatCode>0.0%</c:formatCode>
                <c:ptCount val="5"/>
                <c:pt idx="0">
                  <c:v>#N/A</c:v>
                </c:pt>
                <c:pt idx="1">
                  <c:v>#N/A</c:v>
                </c:pt>
                <c:pt idx="2">
                  <c:v>6.6666666666666666E-2</c:v>
                </c:pt>
                <c:pt idx="3">
                  <c:v>5.1612903225806452E-2</c:v>
                </c:pt>
                <c:pt idx="4">
                  <c:v>#N/A</c:v>
                </c:pt>
              </c:numCache>
            </c:numRef>
          </c:val>
          <c:smooth val="0"/>
          <c:extLst>
            <c:ext xmlns:c16="http://schemas.microsoft.com/office/drawing/2014/chart" uri="{C3380CC4-5D6E-409C-BE32-E72D297353CC}">
              <c16:uniqueId val="{00000011-BC1C-4EA8-934B-9CD50B60721C}"/>
            </c:ext>
          </c:extLst>
        </c:ser>
        <c:ser>
          <c:idx val="8"/>
          <c:order val="17"/>
          <c:tx>
            <c:strRef>
              <c:f>New_Ceased_LAC!$AL$165</c:f>
              <c:strCache>
                <c:ptCount val="1"/>
                <c:pt idx="0">
                  <c:v>Torbay</c:v>
                </c:pt>
              </c:strCache>
            </c:strRef>
          </c:tx>
          <c:spPr>
            <a:ln w="15875"/>
          </c:spPr>
          <c:marker>
            <c:symbol val="circle"/>
            <c:size val="5"/>
            <c:spPr>
              <a:solidFill>
                <a:schemeClr val="accent3">
                  <a:lumMod val="20000"/>
                  <a:lumOff val="80000"/>
                </a:schemeClr>
              </a:solidFill>
            </c:spPr>
          </c:marker>
          <c:cat>
            <c:strRef>
              <c:f>New_Ceased_LAC!$AX$147:$BB$147</c:f>
              <c:strCache>
                <c:ptCount val="5"/>
                <c:pt idx="0">
                  <c:v>2014-15</c:v>
                </c:pt>
                <c:pt idx="1">
                  <c:v>2015-16</c:v>
                </c:pt>
                <c:pt idx="2">
                  <c:v>2016-17</c:v>
                </c:pt>
                <c:pt idx="3">
                  <c:v>2017-18</c:v>
                </c:pt>
                <c:pt idx="4">
                  <c:v>2018-19</c:v>
                </c:pt>
              </c:strCache>
            </c:strRef>
          </c:cat>
          <c:val>
            <c:numRef>
              <c:f>New_Ceased_LAC!$AX$165:$BB$165</c:f>
              <c:numCache>
                <c:formatCode>0.0%</c:formatCode>
                <c:ptCount val="5"/>
                <c:pt idx="0">
                  <c:v>4.0322580645161289E-2</c:v>
                </c:pt>
                <c:pt idx="1">
                  <c:v>0.04</c:v>
                </c:pt>
                <c:pt idx="2">
                  <c:v>0.1111111111111111</c:v>
                </c:pt>
                <c:pt idx="3">
                  <c:v>5.8823529411764705E-2</c:v>
                </c:pt>
                <c:pt idx="4">
                  <c:v>6.7796610169491525E-2</c:v>
                </c:pt>
              </c:numCache>
            </c:numRef>
          </c:val>
          <c:smooth val="0"/>
          <c:extLst>
            <c:ext xmlns:c16="http://schemas.microsoft.com/office/drawing/2014/chart" uri="{C3380CC4-5D6E-409C-BE32-E72D297353CC}">
              <c16:uniqueId val="{00000012-BC1C-4EA8-934B-9CD50B60721C}"/>
            </c:ext>
          </c:extLst>
        </c:ser>
        <c:ser>
          <c:idx val="23"/>
          <c:order val="18"/>
          <c:tx>
            <c:strRef>
              <c:f>New_Ceased_LAC!$AL$166</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New_Ceased_LAC!$AX$166:$BB$166</c:f>
              <c:numCache>
                <c:formatCode>0.0%</c:formatCode>
                <c:ptCount val="5"/>
                <c:pt idx="0">
                  <c:v>7.6923076923076927E-2</c:v>
                </c:pt>
                <c:pt idx="1">
                  <c:v>0.14492753623188406</c:v>
                </c:pt>
                <c:pt idx="2">
                  <c:v>9.45945945945946E-2</c:v>
                </c:pt>
                <c:pt idx="3">
                  <c:v>0.10465116279069768</c:v>
                </c:pt>
                <c:pt idx="4">
                  <c:v>#N/A</c:v>
                </c:pt>
              </c:numCache>
            </c:numRef>
          </c:val>
          <c:smooth val="0"/>
          <c:extLst>
            <c:ext xmlns:c16="http://schemas.microsoft.com/office/drawing/2014/chart" uri="{C3380CC4-5D6E-409C-BE32-E72D297353CC}">
              <c16:uniqueId val="{00000013-BC1C-4EA8-934B-9CD50B60721C}"/>
            </c:ext>
          </c:extLst>
        </c:ser>
        <c:ser>
          <c:idx val="24"/>
          <c:order val="19"/>
          <c:tx>
            <c:strRef>
              <c:f>New_Ceased_LAC!$AL$167</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New_Ceased_LAC!$AX$167:$BB$167</c:f>
              <c:numCache>
                <c:formatCode>0.0%</c:formatCode>
                <c:ptCount val="5"/>
                <c:pt idx="0">
                  <c:v>0</c:v>
                </c:pt>
                <c:pt idx="1">
                  <c:v>#N/A</c:v>
                </c:pt>
                <c:pt idx="2">
                  <c:v>0</c:v>
                </c:pt>
                <c:pt idx="3">
                  <c:v>0</c:v>
                </c:pt>
                <c:pt idx="4">
                  <c:v>#N/A</c:v>
                </c:pt>
              </c:numCache>
            </c:numRef>
          </c:val>
          <c:smooth val="0"/>
          <c:extLst>
            <c:ext xmlns:c16="http://schemas.microsoft.com/office/drawing/2014/chart" uri="{C3380CC4-5D6E-409C-BE32-E72D297353CC}">
              <c16:uniqueId val="{00000014-BC1C-4EA8-934B-9CD50B60721C}"/>
            </c:ext>
          </c:extLst>
        </c:ser>
        <c:ser>
          <c:idx val="25"/>
          <c:order val="20"/>
          <c:tx>
            <c:strRef>
              <c:f>New_Ceased_LAC!$AL$168</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New_Ceased_LAC!$AX$168:$BB$168</c:f>
              <c:numCache>
                <c:formatCode>0.0%</c:formatCode>
                <c:ptCount val="5"/>
                <c:pt idx="0">
                  <c:v>0</c:v>
                </c:pt>
                <c:pt idx="1">
                  <c:v>#N/A</c:v>
                </c:pt>
                <c:pt idx="2">
                  <c:v>#N/A</c:v>
                </c:pt>
                <c:pt idx="3">
                  <c:v>#N/A</c:v>
                </c:pt>
                <c:pt idx="4">
                  <c:v>0</c:v>
                </c:pt>
              </c:numCache>
            </c:numRef>
          </c:val>
          <c:smooth val="0"/>
          <c:extLst>
            <c:ext xmlns:c16="http://schemas.microsoft.com/office/drawing/2014/chart" uri="{C3380CC4-5D6E-409C-BE32-E72D297353CC}">
              <c16:uniqueId val="{00000015-BC1C-4EA8-934B-9CD50B60721C}"/>
            </c:ext>
          </c:extLst>
        </c:ser>
        <c:ser>
          <c:idx val="26"/>
          <c:order val="21"/>
          <c:tx>
            <c:strRef>
              <c:f>New_Ceased_LAC!$AL$169</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New_Ceased_LAC!$AX$169:$BB$169</c:f>
              <c:numCache>
                <c:formatCode>0.0%</c:formatCode>
                <c:ptCount val="5"/>
                <c:pt idx="0">
                  <c:v>#N/A</c:v>
                </c:pt>
                <c:pt idx="1">
                  <c:v>0</c:v>
                </c:pt>
                <c:pt idx="2">
                  <c:v>#N/A</c:v>
                </c:pt>
                <c:pt idx="3">
                  <c:v>0</c:v>
                </c:pt>
                <c:pt idx="4">
                  <c:v>#N/A</c:v>
                </c:pt>
              </c:numCache>
            </c:numRef>
          </c:val>
          <c:smooth val="0"/>
          <c:extLst>
            <c:ext xmlns:c16="http://schemas.microsoft.com/office/drawing/2014/chart" uri="{C3380CC4-5D6E-409C-BE32-E72D297353CC}">
              <c16:uniqueId val="{00000016-BC1C-4EA8-934B-9CD50B60721C}"/>
            </c:ext>
          </c:extLst>
        </c:ser>
        <c:ser>
          <c:idx val="4"/>
          <c:order val="22"/>
          <c:tx>
            <c:strRef>
              <c:f>New_Ceased_LAC!$AL$170</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New_Ceased_LAC!$AX$147:$BB$147</c:f>
              <c:strCache>
                <c:ptCount val="5"/>
                <c:pt idx="0">
                  <c:v>2014-15</c:v>
                </c:pt>
                <c:pt idx="1">
                  <c:v>2015-16</c:v>
                </c:pt>
                <c:pt idx="2">
                  <c:v>2016-17</c:v>
                </c:pt>
                <c:pt idx="3">
                  <c:v>2017-18</c:v>
                </c:pt>
                <c:pt idx="4">
                  <c:v>2018-19</c:v>
                </c:pt>
              </c:strCache>
            </c:strRef>
          </c:cat>
          <c:val>
            <c:numRef>
              <c:f>New_Ceased_LAC!$AX$170:$BB$170</c:f>
              <c:numCache>
                <c:formatCode>0.0%</c:formatCode>
                <c:ptCount val="5"/>
                <c:pt idx="0">
                  <c:v>2.4449877750611249E-2</c:v>
                </c:pt>
                <c:pt idx="1">
                  <c:v>2.7956989247311829E-2</c:v>
                </c:pt>
                <c:pt idx="2">
                  <c:v>2.7956989247311829E-2</c:v>
                </c:pt>
                <c:pt idx="3">
                  <c:v>2.7842227378190254E-2</c:v>
                </c:pt>
                <c:pt idx="4">
                  <c:v>2.6570048309178744E-2</c:v>
                </c:pt>
              </c:numCache>
            </c:numRef>
          </c:val>
          <c:smooth val="0"/>
          <c:extLst>
            <c:ext xmlns:c16="http://schemas.microsoft.com/office/drawing/2014/chart" uri="{C3380CC4-5D6E-409C-BE32-E72D297353CC}">
              <c16:uniqueId val="{00000017-BC1C-4EA8-934B-9CD50B60721C}"/>
            </c:ext>
          </c:extLst>
        </c:ser>
        <c:ser>
          <c:idx val="14"/>
          <c:order val="23"/>
          <c:tx>
            <c:strRef>
              <c:f>New_Ceased_LAC!$AL$171</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New_Ceased_LAC!$AX$147:$BB$147</c:f>
              <c:strCache>
                <c:ptCount val="5"/>
                <c:pt idx="0">
                  <c:v>2014-15</c:v>
                </c:pt>
                <c:pt idx="1">
                  <c:v>2015-16</c:v>
                </c:pt>
                <c:pt idx="2">
                  <c:v>2016-17</c:v>
                </c:pt>
                <c:pt idx="3">
                  <c:v>2017-18</c:v>
                </c:pt>
                <c:pt idx="4">
                  <c:v>2018-19</c:v>
                </c:pt>
              </c:strCache>
            </c:strRef>
          </c:cat>
          <c:val>
            <c:numRef>
              <c:f>New_Ceased_LAC!$AX$171:$BB$171</c:f>
              <c:numCache>
                <c:formatCode>0.0%</c:formatCode>
                <c:ptCount val="5"/>
                <c:pt idx="0">
                  <c:v>3.2535885167464113E-2</c:v>
                </c:pt>
                <c:pt idx="1">
                  <c:v>3.5153797865662272E-2</c:v>
                </c:pt>
                <c:pt idx="2">
                  <c:v>3.8216560509554139E-2</c:v>
                </c:pt>
                <c:pt idx="3">
                  <c:v>3.8935108153078206E-2</c:v>
                </c:pt>
                <c:pt idx="4">
                  <c:v>3.8017651052274268E-2</c:v>
                </c:pt>
              </c:numCache>
            </c:numRef>
          </c:val>
          <c:smooth val="0"/>
          <c:extLst>
            <c:ext xmlns:c16="http://schemas.microsoft.com/office/drawing/2014/chart" uri="{C3380CC4-5D6E-409C-BE32-E72D297353CC}">
              <c16:uniqueId val="{00000018-BC1C-4EA8-934B-9CD50B60721C}"/>
            </c:ext>
          </c:extLst>
        </c:ser>
        <c:ser>
          <c:idx val="6"/>
          <c:order val="24"/>
          <c:tx>
            <c:strRef>
              <c:f>New_Ceased_LAC!$AL$172</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New_Ceased_LAC!$AX$147:$BB$147</c:f>
              <c:strCache>
                <c:ptCount val="5"/>
                <c:pt idx="0">
                  <c:v>2014-15</c:v>
                </c:pt>
                <c:pt idx="1">
                  <c:v>2015-16</c:v>
                </c:pt>
                <c:pt idx="2">
                  <c:v>2016-17</c:v>
                </c:pt>
                <c:pt idx="3">
                  <c:v>2017-18</c:v>
                </c:pt>
                <c:pt idx="4">
                  <c:v>2018-19</c:v>
                </c:pt>
              </c:strCache>
            </c:strRef>
          </c:cat>
          <c:val>
            <c:numRef>
              <c:f>New_Ceased_LAC!$AX$172:$BB$172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BC1C-4EA8-934B-9CD50B60721C}"/>
            </c:ext>
          </c:extLst>
        </c:ser>
        <c:dLbls>
          <c:showLegendKey val="0"/>
          <c:showVal val="0"/>
          <c:showCatName val="0"/>
          <c:showSerName val="0"/>
          <c:showPercent val="0"/>
          <c:showBubbleSize val="0"/>
        </c:dLbls>
        <c:marker val="1"/>
        <c:smooth val="0"/>
        <c:axId val="331490432"/>
        <c:axId val="331492352"/>
      </c:lineChart>
      <c:catAx>
        <c:axId val="331490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1492352"/>
        <c:crosses val="autoZero"/>
        <c:auto val="1"/>
        <c:lblAlgn val="ctr"/>
        <c:lblOffset val="100"/>
        <c:tickLblSkip val="1"/>
        <c:tickMarkSkip val="1"/>
        <c:noMultiLvlLbl val="0"/>
      </c:catAx>
      <c:valAx>
        <c:axId val="33149235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14904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149370983799438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a:t>
            </a:r>
            <a:r>
              <a:rPr lang="en-GB" sz="900" baseline="0"/>
              <a:t>SGO</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New_Ceased_LAC!$AA$4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2014-15</c:v>
                </c:pt>
                <c:pt idx="1">
                  <c:v>2015-16</c:v>
                </c:pt>
                <c:pt idx="2">
                  <c:v>2016-17</c:v>
                </c:pt>
                <c:pt idx="3">
                  <c:v>2017-18</c:v>
                </c:pt>
                <c:pt idx="4">
                  <c:v>2018-19</c:v>
                </c:pt>
              </c:strCache>
            </c:strRef>
          </c:cat>
          <c:val>
            <c:numRef>
              <c:f>New_Ceased_LAC!$BC$172:$BG$172</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D9E-4E1D-8EC3-AC758EE8ED12}"/>
            </c:ext>
          </c:extLst>
        </c:ser>
        <c:ser>
          <c:idx val="4"/>
          <c:order val="1"/>
          <c:tx>
            <c:strRef>
              <c:f>New_Ceased_LAC!$AL$170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2014-15</c:v>
                </c:pt>
                <c:pt idx="1">
                  <c:v>2015-16</c:v>
                </c:pt>
                <c:pt idx="2">
                  <c:v>2016-17</c:v>
                </c:pt>
                <c:pt idx="3">
                  <c:v>2017-18</c:v>
                </c:pt>
                <c:pt idx="4">
                  <c:v>2018-19</c:v>
                </c:pt>
              </c:strCache>
            </c:strRef>
          </c:cat>
          <c:val>
            <c:numRef>
              <c:f>New_Ceased_LAC!$BC$170:$BG$170</c:f>
              <c:numCache>
                <c:formatCode>0.0%</c:formatCode>
                <c:ptCount val="5"/>
                <c:pt idx="0">
                  <c:v>9.2909535452322736E-2</c:v>
                </c:pt>
                <c:pt idx="1">
                  <c:v>9.6774193548387094E-2</c:v>
                </c:pt>
                <c:pt idx="2">
                  <c:v>9.8924731182795697E-2</c:v>
                </c:pt>
                <c:pt idx="3">
                  <c:v>0.11600928074245939</c:v>
                </c:pt>
                <c:pt idx="4">
                  <c:v>0.11835748792270531</c:v>
                </c:pt>
              </c:numCache>
            </c:numRef>
          </c:val>
          <c:extLst>
            <c:ext xmlns:c16="http://schemas.microsoft.com/office/drawing/2014/chart" uri="{C3380CC4-5D6E-409C-BE32-E72D297353CC}">
              <c16:uniqueId val="{00000001-7D9E-4E1D-8EC3-AC758EE8ED12}"/>
            </c:ext>
          </c:extLst>
        </c:ser>
        <c:ser>
          <c:idx val="0"/>
          <c:order val="2"/>
          <c:tx>
            <c:strRef>
              <c:f>New_Ceased_LAC!$AL$171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2014-15</c:v>
                </c:pt>
                <c:pt idx="1">
                  <c:v>2015-16</c:v>
                </c:pt>
                <c:pt idx="2">
                  <c:v>2016-17</c:v>
                </c:pt>
                <c:pt idx="3">
                  <c:v>2017-18</c:v>
                </c:pt>
                <c:pt idx="4">
                  <c:v>2018-19</c:v>
                </c:pt>
              </c:strCache>
            </c:strRef>
          </c:cat>
          <c:val>
            <c:numRef>
              <c:f>New_Ceased_LAC!$BC$171:$BG$171</c:f>
              <c:numCache>
                <c:formatCode>0.0%</c:formatCode>
                <c:ptCount val="5"/>
                <c:pt idx="0">
                  <c:v>0.11323763955342903</c:v>
                </c:pt>
                <c:pt idx="1">
                  <c:v>0.12115505335844319</c:v>
                </c:pt>
                <c:pt idx="2">
                  <c:v>0.11751592356687898</c:v>
                </c:pt>
                <c:pt idx="3">
                  <c:v>0.11414309484193012</c:v>
                </c:pt>
                <c:pt idx="4">
                  <c:v>0.13034623217922606</c:v>
                </c:pt>
              </c:numCache>
            </c:numRef>
          </c:val>
          <c:extLst>
            <c:ext xmlns:c16="http://schemas.microsoft.com/office/drawing/2014/chart" uri="{C3380CC4-5D6E-409C-BE32-E72D297353CC}">
              <c16:uniqueId val="{00000002-7D9E-4E1D-8EC3-AC758EE8ED12}"/>
            </c:ext>
          </c:extLst>
        </c:ser>
        <c:dLbls>
          <c:showLegendKey val="0"/>
          <c:showVal val="0"/>
          <c:showCatName val="0"/>
          <c:showSerName val="0"/>
          <c:showPercent val="0"/>
          <c:showBubbleSize val="0"/>
        </c:dLbls>
        <c:gapWidth val="100"/>
        <c:axId val="331547392"/>
        <c:axId val="331548928"/>
      </c:barChart>
      <c:catAx>
        <c:axId val="331547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1548928"/>
        <c:crosses val="autoZero"/>
        <c:auto val="1"/>
        <c:lblAlgn val="ctr"/>
        <c:lblOffset val="100"/>
        <c:noMultiLvlLbl val="0"/>
      </c:catAx>
      <c:valAx>
        <c:axId val="33154892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154739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t>
            </a:r>
          </a:p>
          <a:p>
            <a:pPr>
              <a:defRPr sz="1000" b="1" i="0" u="none" strike="noStrike" baseline="0">
                <a:solidFill>
                  <a:srgbClr val="000000"/>
                </a:solidFill>
                <a:latin typeface="Arial"/>
                <a:ea typeface="Arial"/>
                <a:cs typeface="Arial"/>
              </a:defRPr>
            </a:pPr>
            <a:r>
              <a:rPr lang="en-GB"/>
              <a:t>granted a Special Guardianship Order (%)</a:t>
            </a:r>
          </a:p>
        </c:rich>
      </c:tx>
      <c:layout>
        <c:manualLayout>
          <c:xMode val="edge"/>
          <c:yMode val="edge"/>
          <c:x val="0.11896079723102342"/>
          <c:y val="1.0301221879597805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50930878282328"/>
        </c:manualLayout>
      </c:layout>
      <c:lineChart>
        <c:grouping val="standard"/>
        <c:varyColors val="0"/>
        <c:ser>
          <c:idx val="0"/>
          <c:order val="0"/>
          <c:tx>
            <c:strRef>
              <c:f>New_Ceased_LAC!$AL$148</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7EA-4567-A4F6-FEA0BEA0AE24}"/>
              </c:ext>
            </c:extLst>
          </c:dPt>
          <c:cat>
            <c:strRef>
              <c:f>New_Ceased_LAC!$BC$147:$BG$147</c:f>
              <c:strCache>
                <c:ptCount val="5"/>
                <c:pt idx="0">
                  <c:v>2014-15</c:v>
                </c:pt>
                <c:pt idx="1">
                  <c:v>2015-16</c:v>
                </c:pt>
                <c:pt idx="2">
                  <c:v>2016-17</c:v>
                </c:pt>
                <c:pt idx="3">
                  <c:v>2017-18</c:v>
                </c:pt>
                <c:pt idx="4">
                  <c:v>2018-19</c:v>
                </c:pt>
              </c:strCache>
            </c:strRef>
          </c:cat>
          <c:val>
            <c:numRef>
              <c:f>New_Ceased_LAC!$BC$148:$BG$148</c:f>
              <c:numCache>
                <c:formatCode>0.0%</c:formatCode>
                <c:ptCount val="5"/>
                <c:pt idx="0">
                  <c:v>0.17241379310344829</c:v>
                </c:pt>
                <c:pt idx="1">
                  <c:v>0.14705882352941177</c:v>
                </c:pt>
                <c:pt idx="2">
                  <c:v>0.20408163265306123</c:v>
                </c:pt>
                <c:pt idx="3">
                  <c:v>#N/A</c:v>
                </c:pt>
                <c:pt idx="4">
                  <c:v>0</c:v>
                </c:pt>
              </c:numCache>
            </c:numRef>
          </c:val>
          <c:smooth val="0"/>
          <c:extLst>
            <c:ext xmlns:c16="http://schemas.microsoft.com/office/drawing/2014/chart" uri="{C3380CC4-5D6E-409C-BE32-E72D297353CC}">
              <c16:uniqueId val="{00000001-C7EA-4567-A4F6-FEA0BEA0AE24}"/>
            </c:ext>
          </c:extLst>
        </c:ser>
        <c:ser>
          <c:idx val="1"/>
          <c:order val="1"/>
          <c:tx>
            <c:strRef>
              <c:f>New_Ceased_LAC!$AL$149</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New_Ceased_LAC!$BC$149:$BG$149</c:f>
              <c:numCache>
                <c:formatCode>0.0%</c:formatCode>
                <c:ptCount val="5"/>
                <c:pt idx="0">
                  <c:v>0.13020833333333334</c:v>
                </c:pt>
                <c:pt idx="1">
                  <c:v>0.16326530612244897</c:v>
                </c:pt>
                <c:pt idx="2">
                  <c:v>9.4972067039106142E-2</c:v>
                </c:pt>
                <c:pt idx="3">
                  <c:v>0.14204545454545456</c:v>
                </c:pt>
                <c:pt idx="4">
                  <c:v>0.13368983957219252</c:v>
                </c:pt>
              </c:numCache>
            </c:numRef>
          </c:val>
          <c:smooth val="0"/>
          <c:extLst>
            <c:ext xmlns:c16="http://schemas.microsoft.com/office/drawing/2014/chart" uri="{C3380CC4-5D6E-409C-BE32-E72D297353CC}">
              <c16:uniqueId val="{00000002-C7EA-4567-A4F6-FEA0BEA0AE24}"/>
            </c:ext>
          </c:extLst>
        </c:ser>
        <c:ser>
          <c:idx val="2"/>
          <c:order val="2"/>
          <c:tx>
            <c:strRef>
              <c:f>New_Ceased_LAC!$AL$150</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New_Ceased_LAC!$BC$150:$BG$150</c:f>
              <c:numCache>
                <c:formatCode>0.0%</c:formatCode>
                <c:ptCount val="5"/>
                <c:pt idx="0">
                  <c:v>0.12345679012345678</c:v>
                </c:pt>
                <c:pt idx="1">
                  <c:v>8.8105726872246701E-2</c:v>
                </c:pt>
                <c:pt idx="2">
                  <c:v>8.3720930232558138E-2</c:v>
                </c:pt>
                <c:pt idx="3">
                  <c:v>0.17222222222222222</c:v>
                </c:pt>
                <c:pt idx="4">
                  <c:v>8.2352941176470587E-2</c:v>
                </c:pt>
              </c:numCache>
            </c:numRef>
          </c:val>
          <c:smooth val="0"/>
          <c:extLst>
            <c:ext xmlns:c16="http://schemas.microsoft.com/office/drawing/2014/chart" uri="{C3380CC4-5D6E-409C-BE32-E72D297353CC}">
              <c16:uniqueId val="{00000003-C7EA-4567-A4F6-FEA0BEA0AE24}"/>
            </c:ext>
          </c:extLst>
        </c:ser>
        <c:ser>
          <c:idx val="5"/>
          <c:order val="3"/>
          <c:tx>
            <c:strRef>
              <c:f>New_Ceased_LAC!$AL$151</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New_Ceased_LAC!$BC$151:$BG$151</c:f>
              <c:numCache>
                <c:formatCode>0.0%</c:formatCode>
                <c:ptCount val="5"/>
                <c:pt idx="0">
                  <c:v>7.9365079365079361E-2</c:v>
                </c:pt>
                <c:pt idx="1">
                  <c:v>0.10416666666666667</c:v>
                </c:pt>
                <c:pt idx="2">
                  <c:v>0.16216216216216217</c:v>
                </c:pt>
                <c:pt idx="3">
                  <c:v>0.1111111111111111</c:v>
                </c:pt>
                <c:pt idx="4">
                  <c:v>0.125</c:v>
                </c:pt>
              </c:numCache>
            </c:numRef>
          </c:val>
          <c:smooth val="0"/>
          <c:extLst>
            <c:ext xmlns:c16="http://schemas.microsoft.com/office/drawing/2014/chart" uri="{C3380CC4-5D6E-409C-BE32-E72D297353CC}">
              <c16:uniqueId val="{00000004-C7EA-4567-A4F6-FEA0BEA0AE24}"/>
            </c:ext>
          </c:extLst>
        </c:ser>
        <c:ser>
          <c:idx val="9"/>
          <c:order val="4"/>
          <c:tx>
            <c:strRef>
              <c:f>New_Ceased_LAC!$AL$152</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New_Ceased_LAC!$BC$152:$BG$152</c:f>
              <c:numCache>
                <c:formatCode>0.0%</c:formatCode>
                <c:ptCount val="5"/>
                <c:pt idx="0">
                  <c:v>7.3260073260073263E-2</c:v>
                </c:pt>
                <c:pt idx="1">
                  <c:v>8.2568807339449546E-2</c:v>
                </c:pt>
                <c:pt idx="2">
                  <c:v>9.5864661654135333E-2</c:v>
                </c:pt>
                <c:pt idx="3">
                  <c:v>0.11522633744855967</c:v>
                </c:pt>
                <c:pt idx="4">
                  <c:v>0.1551433389544688</c:v>
                </c:pt>
              </c:numCache>
            </c:numRef>
          </c:val>
          <c:smooth val="0"/>
          <c:extLst>
            <c:ext xmlns:c16="http://schemas.microsoft.com/office/drawing/2014/chart" uri="{C3380CC4-5D6E-409C-BE32-E72D297353CC}">
              <c16:uniqueId val="{00000005-C7EA-4567-A4F6-FEA0BEA0AE24}"/>
            </c:ext>
          </c:extLst>
        </c:ser>
        <c:ser>
          <c:idx val="10"/>
          <c:order val="5"/>
          <c:tx>
            <c:strRef>
              <c:f>New_Ceased_LAC!$AL$153</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New_Ceased_LAC!$BC$153:$BG$153</c:f>
              <c:numCache>
                <c:formatCode>0.0%</c:formatCode>
                <c:ptCount val="5"/>
                <c:pt idx="0">
                  <c:v>6.3291139240506333E-2</c:v>
                </c:pt>
                <c:pt idx="1">
                  <c:v>0.13698630136986301</c:v>
                </c:pt>
                <c:pt idx="2">
                  <c:v>#N/A</c:v>
                </c:pt>
                <c:pt idx="3">
                  <c:v>#N/A</c:v>
                </c:pt>
                <c:pt idx="4">
                  <c:v>0</c:v>
                </c:pt>
              </c:numCache>
            </c:numRef>
          </c:val>
          <c:smooth val="0"/>
          <c:extLst>
            <c:ext xmlns:c16="http://schemas.microsoft.com/office/drawing/2014/chart" uri="{C3380CC4-5D6E-409C-BE32-E72D297353CC}">
              <c16:uniqueId val="{00000006-C7EA-4567-A4F6-FEA0BEA0AE24}"/>
            </c:ext>
          </c:extLst>
        </c:ser>
        <c:ser>
          <c:idx val="11"/>
          <c:order val="6"/>
          <c:tx>
            <c:strRef>
              <c:f>New_Ceased_LAC!$AL$154</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New_Ceased_LAC!$BC$154:$BG$154</c:f>
              <c:numCache>
                <c:formatCode>0.0%</c:formatCode>
                <c:ptCount val="5"/>
                <c:pt idx="0">
                  <c:v>6.2713797035347782E-2</c:v>
                </c:pt>
                <c:pt idx="1">
                  <c:v>4.1705282669138088E-2</c:v>
                </c:pt>
                <c:pt idx="2">
                  <c:v>4.1033434650455926E-2</c:v>
                </c:pt>
                <c:pt idx="3">
                  <c:v>4.0991420400381312E-2</c:v>
                </c:pt>
                <c:pt idx="4">
                  <c:v>5.8977719528178242E-2</c:v>
                </c:pt>
              </c:numCache>
            </c:numRef>
          </c:val>
          <c:smooth val="0"/>
          <c:extLst>
            <c:ext xmlns:c16="http://schemas.microsoft.com/office/drawing/2014/chart" uri="{C3380CC4-5D6E-409C-BE32-E72D297353CC}">
              <c16:uniqueId val="{00000007-C7EA-4567-A4F6-FEA0BEA0AE24}"/>
            </c:ext>
          </c:extLst>
        </c:ser>
        <c:ser>
          <c:idx val="12"/>
          <c:order val="7"/>
          <c:tx>
            <c:strRef>
              <c:f>New_Ceased_LAC!$AL$155</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New_Ceased_LAC!$BC$155:$BG$155</c:f>
              <c:numCache>
                <c:formatCode>0.0%</c:formatCode>
                <c:ptCount val="5"/>
                <c:pt idx="0">
                  <c:v>5.128205128205128E-2</c:v>
                </c:pt>
                <c:pt idx="1">
                  <c:v>0.11904761904761904</c:v>
                </c:pt>
                <c:pt idx="2">
                  <c:v>0.1497326203208556</c:v>
                </c:pt>
                <c:pt idx="3">
                  <c:v>0.11949685534591195</c:v>
                </c:pt>
                <c:pt idx="4">
                  <c:v>0.15822784810126583</c:v>
                </c:pt>
              </c:numCache>
            </c:numRef>
          </c:val>
          <c:smooth val="0"/>
          <c:extLst>
            <c:ext xmlns:c16="http://schemas.microsoft.com/office/drawing/2014/chart" uri="{C3380CC4-5D6E-409C-BE32-E72D297353CC}">
              <c16:uniqueId val="{00000008-C7EA-4567-A4F6-FEA0BEA0AE24}"/>
            </c:ext>
          </c:extLst>
        </c:ser>
        <c:ser>
          <c:idx val="13"/>
          <c:order val="8"/>
          <c:tx>
            <c:strRef>
              <c:f>New_Ceased_LAC!$AL$156</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New_Ceased_LAC!$BC$156:$BG$156</c:f>
              <c:numCache>
                <c:formatCode>0.0%</c:formatCode>
                <c:ptCount val="5"/>
                <c:pt idx="0">
                  <c:v>0.10948905109489052</c:v>
                </c:pt>
                <c:pt idx="1">
                  <c:v>0.10752688172043011</c:v>
                </c:pt>
                <c:pt idx="2">
                  <c:v>0.17763157894736842</c:v>
                </c:pt>
                <c:pt idx="3">
                  <c:v>0.24827586206896551</c:v>
                </c:pt>
                <c:pt idx="4">
                  <c:v>0.15028901734104047</c:v>
                </c:pt>
              </c:numCache>
            </c:numRef>
          </c:val>
          <c:smooth val="0"/>
          <c:extLst>
            <c:ext xmlns:c16="http://schemas.microsoft.com/office/drawing/2014/chart" uri="{C3380CC4-5D6E-409C-BE32-E72D297353CC}">
              <c16:uniqueId val="{00000009-C7EA-4567-A4F6-FEA0BEA0AE24}"/>
            </c:ext>
          </c:extLst>
        </c:ser>
        <c:ser>
          <c:idx val="15"/>
          <c:order val="9"/>
          <c:tx>
            <c:strRef>
              <c:f>New_Ceased_LAC!$AL$157</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New_Ceased_LAC!$BC$157:$BG$157</c:f>
              <c:numCache>
                <c:formatCode>0.0%</c:formatCode>
                <c:ptCount val="5"/>
                <c:pt idx="0">
                  <c:v>0.1606425702811245</c:v>
                </c:pt>
                <c:pt idx="1">
                  <c:v>0.10714285714285714</c:v>
                </c:pt>
                <c:pt idx="2">
                  <c:v>5.5944055944055944E-2</c:v>
                </c:pt>
                <c:pt idx="3">
                  <c:v>0.1476510067114094</c:v>
                </c:pt>
                <c:pt idx="4">
                  <c:v>9.5238095238095233E-2</c:v>
                </c:pt>
              </c:numCache>
            </c:numRef>
          </c:val>
          <c:smooth val="0"/>
          <c:extLst>
            <c:ext xmlns:c16="http://schemas.microsoft.com/office/drawing/2014/chart" uri="{C3380CC4-5D6E-409C-BE32-E72D297353CC}">
              <c16:uniqueId val="{0000000A-C7EA-4567-A4F6-FEA0BEA0AE24}"/>
            </c:ext>
          </c:extLst>
        </c:ser>
        <c:ser>
          <c:idx val="16"/>
          <c:order val="10"/>
          <c:tx>
            <c:strRef>
              <c:f>New_Ceased_LAC!$AL$158</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New_Ceased_LAC!$BC$158:$BG$158</c:f>
              <c:numCache>
                <c:formatCode>0.0%</c:formatCode>
                <c:ptCount val="5"/>
                <c:pt idx="0">
                  <c:v>9.1463414634146339E-2</c:v>
                </c:pt>
                <c:pt idx="1">
                  <c:v>0.11904761904761904</c:v>
                </c:pt>
                <c:pt idx="2">
                  <c:v>9.7560975609756101E-2</c:v>
                </c:pt>
                <c:pt idx="3">
                  <c:v>0.11827956989247312</c:v>
                </c:pt>
                <c:pt idx="4">
                  <c:v>4.3478260869565216E-2</c:v>
                </c:pt>
              </c:numCache>
            </c:numRef>
          </c:val>
          <c:smooth val="0"/>
          <c:extLst>
            <c:ext xmlns:c16="http://schemas.microsoft.com/office/drawing/2014/chart" uri="{C3380CC4-5D6E-409C-BE32-E72D297353CC}">
              <c16:uniqueId val="{0000000B-C7EA-4567-A4F6-FEA0BEA0AE24}"/>
            </c:ext>
          </c:extLst>
        </c:ser>
        <c:ser>
          <c:idx val="17"/>
          <c:order val="11"/>
          <c:tx>
            <c:strRef>
              <c:f>New_Ceased_LAC!$AL$159</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New_Ceased_LAC!$BC$159:$BG$159</c:f>
              <c:numCache>
                <c:formatCode>0.0%</c:formatCode>
                <c:ptCount val="5"/>
                <c:pt idx="0">
                  <c:v>0.17857142857142858</c:v>
                </c:pt>
                <c:pt idx="1">
                  <c:v>0.16260162601626016</c:v>
                </c:pt>
                <c:pt idx="2">
                  <c:v>0.08</c:v>
                </c:pt>
                <c:pt idx="3">
                  <c:v>0.15217391304347827</c:v>
                </c:pt>
                <c:pt idx="4">
                  <c:v>0.14736842105263157</c:v>
                </c:pt>
              </c:numCache>
            </c:numRef>
          </c:val>
          <c:smooth val="0"/>
          <c:extLst>
            <c:ext xmlns:c16="http://schemas.microsoft.com/office/drawing/2014/chart" uri="{C3380CC4-5D6E-409C-BE32-E72D297353CC}">
              <c16:uniqueId val="{0000000C-C7EA-4567-A4F6-FEA0BEA0AE24}"/>
            </c:ext>
          </c:extLst>
        </c:ser>
        <c:ser>
          <c:idx val="19"/>
          <c:order val="12"/>
          <c:tx>
            <c:strRef>
              <c:f>New_Ceased_LAC!$AL$160</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New_Ceased_LAC!$BC$160:$BG$160</c:f>
              <c:numCache>
                <c:formatCode>0.0%</c:formatCode>
                <c:ptCount val="5"/>
                <c:pt idx="0">
                  <c:v>4.4247787610619468E-2</c:v>
                </c:pt>
                <c:pt idx="1">
                  <c:v>0.16233766233766234</c:v>
                </c:pt>
                <c:pt idx="2">
                  <c:v>8.9285714285714288E-2</c:v>
                </c:pt>
                <c:pt idx="3">
                  <c:v>0.125</c:v>
                </c:pt>
                <c:pt idx="4">
                  <c:v>7.0866141732283464E-2</c:v>
                </c:pt>
              </c:numCache>
            </c:numRef>
          </c:val>
          <c:smooth val="0"/>
          <c:extLst>
            <c:ext xmlns:c16="http://schemas.microsoft.com/office/drawing/2014/chart" uri="{C3380CC4-5D6E-409C-BE32-E72D297353CC}">
              <c16:uniqueId val="{0000000D-C7EA-4567-A4F6-FEA0BEA0AE24}"/>
            </c:ext>
          </c:extLst>
        </c:ser>
        <c:ser>
          <c:idx val="3"/>
          <c:order val="13"/>
          <c:tx>
            <c:strRef>
              <c:f>New_Ceased_LAC!$AL$161</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New_Ceased_LAC!$BC$161:$BG$161</c:f>
              <c:numCache>
                <c:formatCode>0.0%</c:formatCode>
                <c:ptCount val="5"/>
                <c:pt idx="0">
                  <c:v>5.016722408026756E-2</c:v>
                </c:pt>
                <c:pt idx="1">
                  <c:v>6.5502183406113537E-2</c:v>
                </c:pt>
                <c:pt idx="2">
                  <c:v>0.11494252873563218</c:v>
                </c:pt>
                <c:pt idx="3">
                  <c:v>0.12556053811659193</c:v>
                </c:pt>
                <c:pt idx="4">
                  <c:v>7.0652173913043473E-2</c:v>
                </c:pt>
              </c:numCache>
            </c:numRef>
          </c:val>
          <c:smooth val="0"/>
          <c:extLst>
            <c:ext xmlns:c16="http://schemas.microsoft.com/office/drawing/2014/chart" uri="{C3380CC4-5D6E-409C-BE32-E72D297353CC}">
              <c16:uniqueId val="{0000000E-C7EA-4567-A4F6-FEA0BEA0AE24}"/>
            </c:ext>
          </c:extLst>
        </c:ser>
        <c:ser>
          <c:idx val="20"/>
          <c:order val="14"/>
          <c:tx>
            <c:strRef>
              <c:f>New_Ceased_LAC!$AL$162</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New_Ceased_LAC!$BC$162:$BG$162</c:f>
              <c:numCache>
                <c:formatCode>0.0%</c:formatCode>
                <c:ptCount val="5"/>
                <c:pt idx="0">
                  <c:v>5.2083333333333336E-2</c:v>
                </c:pt>
                <c:pt idx="1">
                  <c:v>0.14634146341463414</c:v>
                </c:pt>
                <c:pt idx="2">
                  <c:v>0.15837104072398189</c:v>
                </c:pt>
                <c:pt idx="3">
                  <c:v>0.19796954314720813</c:v>
                </c:pt>
                <c:pt idx="4">
                  <c:v>0.17289719626168223</c:v>
                </c:pt>
              </c:numCache>
            </c:numRef>
          </c:val>
          <c:smooth val="0"/>
          <c:extLst>
            <c:ext xmlns:c16="http://schemas.microsoft.com/office/drawing/2014/chart" uri="{C3380CC4-5D6E-409C-BE32-E72D297353CC}">
              <c16:uniqueId val="{0000000F-C7EA-4567-A4F6-FEA0BEA0AE24}"/>
            </c:ext>
          </c:extLst>
        </c:ser>
        <c:ser>
          <c:idx val="22"/>
          <c:order val="15"/>
          <c:tx>
            <c:strRef>
              <c:f>New_Ceased_LAC!$AL$163</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New_Ceased_LAC!$BC$163:$BG$163</c:f>
              <c:numCache>
                <c:formatCode>0.0%</c:formatCode>
                <c:ptCount val="5"/>
                <c:pt idx="0">
                  <c:v>0.13368983957219252</c:v>
                </c:pt>
                <c:pt idx="1">
                  <c:v>9.8765432098765427E-2</c:v>
                </c:pt>
                <c:pt idx="2">
                  <c:v>0.13365155131264916</c:v>
                </c:pt>
                <c:pt idx="3">
                  <c:v>0.12469437652811736</c:v>
                </c:pt>
                <c:pt idx="4">
                  <c:v>0.10913705583756345</c:v>
                </c:pt>
              </c:numCache>
            </c:numRef>
          </c:val>
          <c:smooth val="0"/>
          <c:extLst>
            <c:ext xmlns:c16="http://schemas.microsoft.com/office/drawing/2014/chart" uri="{C3380CC4-5D6E-409C-BE32-E72D297353CC}">
              <c16:uniqueId val="{00000010-C7EA-4567-A4F6-FEA0BEA0AE24}"/>
            </c:ext>
          </c:extLst>
        </c:ser>
        <c:ser>
          <c:idx val="7"/>
          <c:order val="16"/>
          <c:tx>
            <c:strRef>
              <c:f>New_Ceased_LAC!$AL$164</c:f>
              <c:strCache>
                <c:ptCount val="1"/>
                <c:pt idx="0">
                  <c:v>Swindon</c:v>
                </c:pt>
              </c:strCache>
            </c:strRef>
          </c:tx>
          <c:spPr>
            <a:ln w="15875"/>
          </c:spPr>
          <c:marker>
            <c:symbol val="triangle"/>
            <c:size val="5"/>
            <c:spPr>
              <a:solidFill>
                <a:schemeClr val="accent2">
                  <a:lumMod val="20000"/>
                  <a:lumOff val="80000"/>
                </a:schemeClr>
              </a:solidFill>
            </c:spPr>
          </c:marker>
          <c:cat>
            <c:strRef>
              <c:f>New_Ceased_LAC!$BC$147:$BG$147</c:f>
              <c:strCache>
                <c:ptCount val="5"/>
                <c:pt idx="0">
                  <c:v>2014-15</c:v>
                </c:pt>
                <c:pt idx="1">
                  <c:v>2015-16</c:v>
                </c:pt>
                <c:pt idx="2">
                  <c:v>2016-17</c:v>
                </c:pt>
                <c:pt idx="3">
                  <c:v>2017-18</c:v>
                </c:pt>
                <c:pt idx="4">
                  <c:v>2018-19</c:v>
                </c:pt>
              </c:strCache>
            </c:strRef>
          </c:cat>
          <c:val>
            <c:numRef>
              <c:f>New_Ceased_LAC!$BC$164:$BG$164</c:f>
              <c:numCache>
                <c:formatCode>0.0%</c:formatCode>
                <c:ptCount val="5"/>
                <c:pt idx="0">
                  <c:v>7.407407407407407E-2</c:v>
                </c:pt>
                <c:pt idx="1">
                  <c:v>7.1942446043165464E-2</c:v>
                </c:pt>
                <c:pt idx="2">
                  <c:v>0.12666666666666668</c:v>
                </c:pt>
                <c:pt idx="3">
                  <c:v>0.18064516129032257</c:v>
                </c:pt>
                <c:pt idx="4">
                  <c:v>0.21476510067114093</c:v>
                </c:pt>
              </c:numCache>
            </c:numRef>
          </c:val>
          <c:smooth val="0"/>
          <c:extLst>
            <c:ext xmlns:c16="http://schemas.microsoft.com/office/drawing/2014/chart" uri="{C3380CC4-5D6E-409C-BE32-E72D297353CC}">
              <c16:uniqueId val="{00000011-C7EA-4567-A4F6-FEA0BEA0AE24}"/>
            </c:ext>
          </c:extLst>
        </c:ser>
        <c:ser>
          <c:idx val="8"/>
          <c:order val="17"/>
          <c:tx>
            <c:strRef>
              <c:f>New_Ceased_LAC!$AL$165</c:f>
              <c:strCache>
                <c:ptCount val="1"/>
                <c:pt idx="0">
                  <c:v>Torbay</c:v>
                </c:pt>
              </c:strCache>
            </c:strRef>
          </c:tx>
          <c:spPr>
            <a:ln w="15875"/>
          </c:spPr>
          <c:marker>
            <c:symbol val="circle"/>
            <c:size val="5"/>
            <c:spPr>
              <a:solidFill>
                <a:schemeClr val="accent3">
                  <a:lumMod val="20000"/>
                  <a:lumOff val="80000"/>
                </a:schemeClr>
              </a:solidFill>
            </c:spPr>
          </c:marker>
          <c:cat>
            <c:strRef>
              <c:f>New_Ceased_LAC!$BC$147:$BG$147</c:f>
              <c:strCache>
                <c:ptCount val="5"/>
                <c:pt idx="0">
                  <c:v>2014-15</c:v>
                </c:pt>
                <c:pt idx="1">
                  <c:v>2015-16</c:v>
                </c:pt>
                <c:pt idx="2">
                  <c:v>2016-17</c:v>
                </c:pt>
                <c:pt idx="3">
                  <c:v>2017-18</c:v>
                </c:pt>
                <c:pt idx="4">
                  <c:v>2018-19</c:v>
                </c:pt>
              </c:strCache>
            </c:strRef>
          </c:cat>
          <c:val>
            <c:numRef>
              <c:f>New_Ceased_LAC!$BC$165:$BG$165</c:f>
              <c:numCache>
                <c:formatCode>0.0%</c:formatCode>
                <c:ptCount val="5"/>
                <c:pt idx="0">
                  <c:v>8.0645161290322578E-2</c:v>
                </c:pt>
                <c:pt idx="1">
                  <c:v>0.08</c:v>
                </c:pt>
                <c:pt idx="2">
                  <c:v>0.14814814814814814</c:v>
                </c:pt>
                <c:pt idx="3">
                  <c:v>9.8039215686274508E-2</c:v>
                </c:pt>
                <c:pt idx="4">
                  <c:v>0.10169491525423729</c:v>
                </c:pt>
              </c:numCache>
            </c:numRef>
          </c:val>
          <c:smooth val="0"/>
          <c:extLst>
            <c:ext xmlns:c16="http://schemas.microsoft.com/office/drawing/2014/chart" uri="{C3380CC4-5D6E-409C-BE32-E72D297353CC}">
              <c16:uniqueId val="{00000012-C7EA-4567-A4F6-FEA0BEA0AE24}"/>
            </c:ext>
          </c:extLst>
        </c:ser>
        <c:ser>
          <c:idx val="23"/>
          <c:order val="18"/>
          <c:tx>
            <c:strRef>
              <c:f>New_Ceased_LAC!$AL$166</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New_Ceased_LAC!$BC$166:$BG$166</c:f>
              <c:numCache>
                <c:formatCode>0.0%</c:formatCode>
                <c:ptCount val="5"/>
                <c:pt idx="0">
                  <c:v>0.15384615384615385</c:v>
                </c:pt>
                <c:pt idx="1">
                  <c:v>0.14492753623188406</c:v>
                </c:pt>
                <c:pt idx="2">
                  <c:v>#N/A</c:v>
                </c:pt>
                <c:pt idx="3">
                  <c:v>0.23255813953488372</c:v>
                </c:pt>
                <c:pt idx="4">
                  <c:v>0.30188679245283018</c:v>
                </c:pt>
              </c:numCache>
            </c:numRef>
          </c:val>
          <c:smooth val="0"/>
          <c:extLst>
            <c:ext xmlns:c16="http://schemas.microsoft.com/office/drawing/2014/chart" uri="{C3380CC4-5D6E-409C-BE32-E72D297353CC}">
              <c16:uniqueId val="{00000013-C7EA-4567-A4F6-FEA0BEA0AE24}"/>
            </c:ext>
          </c:extLst>
        </c:ser>
        <c:ser>
          <c:idx val="24"/>
          <c:order val="19"/>
          <c:tx>
            <c:strRef>
              <c:f>New_Ceased_LAC!$AL$167</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New_Ceased_LAC!$BC$167:$BG$167</c:f>
              <c:numCache>
                <c:formatCode>0.0%</c:formatCode>
                <c:ptCount val="5"/>
                <c:pt idx="0">
                  <c:v>6.097560975609756E-2</c:v>
                </c:pt>
                <c:pt idx="1">
                  <c:v>0.11658031088082901</c:v>
                </c:pt>
                <c:pt idx="2">
                  <c:v>8.4033613445378158E-2</c:v>
                </c:pt>
                <c:pt idx="3">
                  <c:v>0.10946745562130178</c:v>
                </c:pt>
                <c:pt idx="4">
                  <c:v>9.6045197740112997E-2</c:v>
                </c:pt>
              </c:numCache>
            </c:numRef>
          </c:val>
          <c:smooth val="0"/>
          <c:extLst>
            <c:ext xmlns:c16="http://schemas.microsoft.com/office/drawing/2014/chart" uri="{C3380CC4-5D6E-409C-BE32-E72D297353CC}">
              <c16:uniqueId val="{00000014-C7EA-4567-A4F6-FEA0BEA0AE24}"/>
            </c:ext>
          </c:extLst>
        </c:ser>
        <c:ser>
          <c:idx val="25"/>
          <c:order val="20"/>
          <c:tx>
            <c:strRef>
              <c:f>New_Ceased_LAC!$AL$168</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New_Ceased_LAC!$BC$168:$BG$168</c:f>
              <c:numCache>
                <c:formatCode>0.0%</c:formatCode>
                <c:ptCount val="5"/>
                <c:pt idx="0">
                  <c:v>0.21276595744680851</c:v>
                </c:pt>
                <c:pt idx="1">
                  <c:v>#N/A</c:v>
                </c:pt>
                <c:pt idx="2">
                  <c:v>#N/A</c:v>
                </c:pt>
                <c:pt idx="3">
                  <c:v>#N/A</c:v>
                </c:pt>
                <c:pt idx="4">
                  <c:v>0</c:v>
                </c:pt>
              </c:numCache>
            </c:numRef>
          </c:val>
          <c:smooth val="0"/>
          <c:extLst>
            <c:ext xmlns:c16="http://schemas.microsoft.com/office/drawing/2014/chart" uri="{C3380CC4-5D6E-409C-BE32-E72D297353CC}">
              <c16:uniqueId val="{00000015-C7EA-4567-A4F6-FEA0BEA0AE24}"/>
            </c:ext>
          </c:extLst>
        </c:ser>
        <c:ser>
          <c:idx val="26"/>
          <c:order val="21"/>
          <c:tx>
            <c:strRef>
              <c:f>New_Ceased_LAC!$AL$169</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New_Ceased_LAC!$BC$169:$BG$169</c:f>
              <c:numCache>
                <c:formatCode>0.0%</c:formatCode>
                <c:ptCount val="5"/>
                <c:pt idx="0">
                  <c:v>#N/A</c:v>
                </c:pt>
                <c:pt idx="1">
                  <c:v>#N/A</c:v>
                </c:pt>
                <c:pt idx="2">
                  <c:v>#N/A</c:v>
                </c:pt>
                <c:pt idx="3">
                  <c:v>#N/A</c:v>
                </c:pt>
                <c:pt idx="4">
                  <c:v>0.15517241379310345</c:v>
                </c:pt>
              </c:numCache>
            </c:numRef>
          </c:val>
          <c:smooth val="0"/>
          <c:extLst>
            <c:ext xmlns:c16="http://schemas.microsoft.com/office/drawing/2014/chart" uri="{C3380CC4-5D6E-409C-BE32-E72D297353CC}">
              <c16:uniqueId val="{00000016-C7EA-4567-A4F6-FEA0BEA0AE24}"/>
            </c:ext>
          </c:extLst>
        </c:ser>
        <c:ser>
          <c:idx val="4"/>
          <c:order val="22"/>
          <c:tx>
            <c:strRef>
              <c:f>New_Ceased_LAC!$AL$170</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New_Ceased_LAC!$BC$147:$BG$147</c:f>
              <c:strCache>
                <c:ptCount val="5"/>
                <c:pt idx="0">
                  <c:v>2014-15</c:v>
                </c:pt>
                <c:pt idx="1">
                  <c:v>2015-16</c:v>
                </c:pt>
                <c:pt idx="2">
                  <c:v>2016-17</c:v>
                </c:pt>
                <c:pt idx="3">
                  <c:v>2017-18</c:v>
                </c:pt>
                <c:pt idx="4">
                  <c:v>2018-19</c:v>
                </c:pt>
              </c:strCache>
            </c:strRef>
          </c:cat>
          <c:val>
            <c:numRef>
              <c:f>New_Ceased_LAC!$BC$170:$BG$170</c:f>
              <c:numCache>
                <c:formatCode>0.0%</c:formatCode>
                <c:ptCount val="5"/>
                <c:pt idx="0">
                  <c:v>9.2909535452322736E-2</c:v>
                </c:pt>
                <c:pt idx="1">
                  <c:v>9.6774193548387094E-2</c:v>
                </c:pt>
                <c:pt idx="2">
                  <c:v>9.8924731182795697E-2</c:v>
                </c:pt>
                <c:pt idx="3">
                  <c:v>0.11600928074245939</c:v>
                </c:pt>
                <c:pt idx="4">
                  <c:v>0.11835748792270531</c:v>
                </c:pt>
              </c:numCache>
            </c:numRef>
          </c:val>
          <c:smooth val="0"/>
          <c:extLst>
            <c:ext xmlns:c16="http://schemas.microsoft.com/office/drawing/2014/chart" uri="{C3380CC4-5D6E-409C-BE32-E72D297353CC}">
              <c16:uniqueId val="{00000017-C7EA-4567-A4F6-FEA0BEA0AE24}"/>
            </c:ext>
          </c:extLst>
        </c:ser>
        <c:ser>
          <c:idx val="14"/>
          <c:order val="23"/>
          <c:tx>
            <c:strRef>
              <c:f>New_Ceased_LAC!$AL$171</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New_Ceased_LAC!$BC$147:$BG$147</c:f>
              <c:strCache>
                <c:ptCount val="5"/>
                <c:pt idx="0">
                  <c:v>2014-15</c:v>
                </c:pt>
                <c:pt idx="1">
                  <c:v>2015-16</c:v>
                </c:pt>
                <c:pt idx="2">
                  <c:v>2016-17</c:v>
                </c:pt>
                <c:pt idx="3">
                  <c:v>2017-18</c:v>
                </c:pt>
                <c:pt idx="4">
                  <c:v>2018-19</c:v>
                </c:pt>
              </c:strCache>
            </c:strRef>
          </c:cat>
          <c:val>
            <c:numRef>
              <c:f>New_Ceased_LAC!$BC$171:$BG$171</c:f>
              <c:numCache>
                <c:formatCode>0.0%</c:formatCode>
                <c:ptCount val="5"/>
                <c:pt idx="0">
                  <c:v>0.11323763955342903</c:v>
                </c:pt>
                <c:pt idx="1">
                  <c:v>0.12115505335844319</c:v>
                </c:pt>
                <c:pt idx="2">
                  <c:v>0.11751592356687898</c:v>
                </c:pt>
                <c:pt idx="3">
                  <c:v>0.11414309484193012</c:v>
                </c:pt>
                <c:pt idx="4">
                  <c:v>0.13034623217922606</c:v>
                </c:pt>
              </c:numCache>
            </c:numRef>
          </c:val>
          <c:smooth val="0"/>
          <c:extLst>
            <c:ext xmlns:c16="http://schemas.microsoft.com/office/drawing/2014/chart" uri="{C3380CC4-5D6E-409C-BE32-E72D297353CC}">
              <c16:uniqueId val="{00000018-C7EA-4567-A4F6-FEA0BEA0AE24}"/>
            </c:ext>
          </c:extLst>
        </c:ser>
        <c:ser>
          <c:idx val="6"/>
          <c:order val="24"/>
          <c:tx>
            <c:strRef>
              <c:f>New_Ceased_LAC!$AL$172</c:f>
              <c:strCache>
                <c:ptCount val="1"/>
                <c:pt idx="0">
                  <c:v>Selected LA- (none)</c:v>
                </c:pt>
              </c:strCache>
            </c:strRef>
          </c:tx>
          <c:cat>
            <c:strRef>
              <c:f>New_Ceased_LAC!$BC$147:$BG$147</c:f>
              <c:strCache>
                <c:ptCount val="5"/>
                <c:pt idx="0">
                  <c:v>2014-15</c:v>
                </c:pt>
                <c:pt idx="1">
                  <c:v>2015-16</c:v>
                </c:pt>
                <c:pt idx="2">
                  <c:v>2016-17</c:v>
                </c:pt>
                <c:pt idx="3">
                  <c:v>2017-18</c:v>
                </c:pt>
                <c:pt idx="4">
                  <c:v>2018-19</c:v>
                </c:pt>
              </c:strCache>
            </c:strRef>
          </c:cat>
          <c:val>
            <c:numRef>
              <c:f>New_Ceased_LAC!$BC$172:$BG$172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7EA-4567-A4F6-FEA0BEA0AE24}"/>
            </c:ext>
          </c:extLst>
        </c:ser>
        <c:dLbls>
          <c:showLegendKey val="0"/>
          <c:showVal val="0"/>
          <c:showCatName val="0"/>
          <c:showSerName val="0"/>
          <c:showPercent val="0"/>
          <c:showBubbleSize val="0"/>
        </c:dLbls>
        <c:marker val="1"/>
        <c:smooth val="0"/>
        <c:axId val="331744000"/>
        <c:axId val="331745536"/>
      </c:lineChart>
      <c:catAx>
        <c:axId val="331744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1745536"/>
        <c:crosses val="autoZero"/>
        <c:auto val="1"/>
        <c:lblAlgn val="ctr"/>
        <c:lblOffset val="100"/>
        <c:tickLblSkip val="1"/>
        <c:tickMarkSkip val="1"/>
        <c:noMultiLvlLbl val="0"/>
      </c:catAx>
      <c:valAx>
        <c:axId val="33174553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317440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29355454109092394"/>
          <c:h val="0.7756316902393470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Leavers</a:t>
            </a:r>
            <a:r>
              <a:rPr lang="en-GB" baseline="0"/>
              <a:t> (Aged 19-21)</a:t>
            </a:r>
            <a:r>
              <a:rPr lang="en-GB"/>
              <a:t>, per 10,000 0-17 year olds</a:t>
            </a:r>
          </a:p>
        </c:rich>
      </c:tx>
      <c:layout>
        <c:manualLayout>
          <c:xMode val="edge"/>
          <c:yMode val="edge"/>
          <c:x val="0.10289835662760959"/>
          <c:y val="2.285834825365868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Care_Leavers!$AK$41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F74-49D3-B662-A8E9494310E2}"/>
              </c:ext>
            </c:extLst>
          </c:dPt>
          <c:cat>
            <c:strRef>
              <c:f>Care_Leavers!$Y$2:$AC$3</c:f>
              <c:strCache>
                <c:ptCount val="5"/>
                <c:pt idx="0">
                  <c:v>2014-15</c:v>
                </c:pt>
                <c:pt idx="1">
                  <c:v>2015-16</c:v>
                </c:pt>
                <c:pt idx="2">
                  <c:v>2016-17</c:v>
                </c:pt>
                <c:pt idx="3">
                  <c:v>2017-18</c:v>
                </c:pt>
                <c:pt idx="4">
                  <c:v>2018-19</c:v>
                </c:pt>
              </c:strCache>
            </c:strRef>
          </c:cat>
          <c:val>
            <c:numRef>
              <c:f>Care_Leavers!$AL$41:$AP$41</c:f>
              <c:numCache>
                <c:formatCode>0.0</c:formatCode>
                <c:ptCount val="5"/>
                <c:pt idx="0">
                  <c:v>121.875</c:v>
                </c:pt>
                <c:pt idx="1">
                  <c:v>121.21212121212122</c:v>
                </c:pt>
                <c:pt idx="2">
                  <c:v>103.2258064516129</c:v>
                </c:pt>
                <c:pt idx="3">
                  <c:v>131.25</c:v>
                </c:pt>
                <c:pt idx="4">
                  <c:v>142.42424242424241</c:v>
                </c:pt>
              </c:numCache>
            </c:numRef>
          </c:val>
          <c:smooth val="0"/>
          <c:extLst>
            <c:ext xmlns:c16="http://schemas.microsoft.com/office/drawing/2014/chart" uri="{C3380CC4-5D6E-409C-BE32-E72D297353CC}">
              <c16:uniqueId val="{00000001-6F74-49D3-B662-A8E9494310E2}"/>
            </c:ext>
          </c:extLst>
        </c:ser>
        <c:ser>
          <c:idx val="1"/>
          <c:order val="1"/>
          <c:tx>
            <c:strRef>
              <c:f>Care_Leavers!$AK$42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Care_Leavers!$AL$42:$AP$42</c:f>
              <c:numCache>
                <c:formatCode>0.0</c:formatCode>
                <c:ptCount val="5"/>
                <c:pt idx="0">
                  <c:v>98.876404494382015</c:v>
                </c:pt>
                <c:pt idx="1">
                  <c:v>88.461538461538453</c:v>
                </c:pt>
                <c:pt idx="2">
                  <c:v>90.155440414507765</c:v>
                </c:pt>
                <c:pt idx="3">
                  <c:v>95.588235294117652</c:v>
                </c:pt>
                <c:pt idx="4">
                  <c:v>103.7914691943128</c:v>
                </c:pt>
              </c:numCache>
            </c:numRef>
          </c:val>
          <c:smooth val="0"/>
          <c:extLst>
            <c:ext xmlns:c16="http://schemas.microsoft.com/office/drawing/2014/chart" uri="{C3380CC4-5D6E-409C-BE32-E72D297353CC}">
              <c16:uniqueId val="{00000002-6F74-49D3-B662-A8E9494310E2}"/>
            </c:ext>
          </c:extLst>
        </c:ser>
        <c:ser>
          <c:idx val="2"/>
          <c:order val="2"/>
          <c:tx>
            <c:strRef>
              <c:f>Care_Leavers!$AK$43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Care_Leavers!$AL$43:$AP$43</c:f>
              <c:numCache>
                <c:formatCode>0.0</c:formatCode>
                <c:ptCount val="5"/>
                <c:pt idx="0">
                  <c:v>83.892617449664428</c:v>
                </c:pt>
                <c:pt idx="1">
                  <c:v>102.72108843537416</c:v>
                </c:pt>
                <c:pt idx="2">
                  <c:v>118.05555555555556</c:v>
                </c:pt>
                <c:pt idx="3">
                  <c:v>145.25547445255475</c:v>
                </c:pt>
                <c:pt idx="4">
                  <c:v>139.84962406015038</c:v>
                </c:pt>
              </c:numCache>
            </c:numRef>
          </c:val>
          <c:smooth val="0"/>
          <c:extLst>
            <c:ext xmlns:c16="http://schemas.microsoft.com/office/drawing/2014/chart" uri="{C3380CC4-5D6E-409C-BE32-E72D297353CC}">
              <c16:uniqueId val="{00000003-6F74-49D3-B662-A8E9494310E2}"/>
            </c:ext>
          </c:extLst>
        </c:ser>
        <c:ser>
          <c:idx val="5"/>
          <c:order val="3"/>
          <c:tx>
            <c:strRef>
              <c:f>Care_Leavers!$AK$44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Care_Leavers!$AL$44:$AP$44</c:f>
              <c:numCache>
                <c:formatCode>0.0</c:formatCode>
                <c:ptCount val="5"/>
                <c:pt idx="0">
                  <c:v>104.375</c:v>
                </c:pt>
                <c:pt idx="1">
                  <c:v>95.59748427672956</c:v>
                </c:pt>
                <c:pt idx="2">
                  <c:v>94.904458598726109</c:v>
                </c:pt>
                <c:pt idx="3">
                  <c:v>99.354838709677423</c:v>
                </c:pt>
                <c:pt idx="4">
                  <c:v>109.86842105263158</c:v>
                </c:pt>
              </c:numCache>
            </c:numRef>
          </c:val>
          <c:smooth val="0"/>
          <c:extLst>
            <c:ext xmlns:c16="http://schemas.microsoft.com/office/drawing/2014/chart" uri="{C3380CC4-5D6E-409C-BE32-E72D297353CC}">
              <c16:uniqueId val="{00000004-6F74-49D3-B662-A8E9494310E2}"/>
            </c:ext>
          </c:extLst>
        </c:ser>
        <c:ser>
          <c:idx val="9"/>
          <c:order val="4"/>
          <c:tx>
            <c:strRef>
              <c:f>Care_Leavers!$AK$45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Care_Leavers!$AL$45:$AP$45</c:f>
              <c:numCache>
                <c:formatCode>0.0</c:formatCode>
                <c:ptCount val="5"/>
                <c:pt idx="0">
                  <c:v>109.82800982800983</c:v>
                </c:pt>
                <c:pt idx="1">
                  <c:v>121.46341463414635</c:v>
                </c:pt>
                <c:pt idx="2">
                  <c:v>123.77450980392156</c:v>
                </c:pt>
                <c:pt idx="3">
                  <c:v>133.50125944584383</c:v>
                </c:pt>
                <c:pt idx="4">
                  <c:v>131.12244897959184</c:v>
                </c:pt>
              </c:numCache>
            </c:numRef>
          </c:val>
          <c:smooth val="0"/>
          <c:extLst>
            <c:ext xmlns:c16="http://schemas.microsoft.com/office/drawing/2014/chart" uri="{C3380CC4-5D6E-409C-BE32-E72D297353CC}">
              <c16:uniqueId val="{00000005-6F74-49D3-B662-A8E9494310E2}"/>
            </c:ext>
          </c:extLst>
        </c:ser>
        <c:ser>
          <c:idx val="10"/>
          <c:order val="5"/>
          <c:tx>
            <c:strRef>
              <c:f>Care_Leavers!$AK$46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Care_Leavers!$AL$46:$AP$46</c:f>
              <c:numCache>
                <c:formatCode>0.0</c:formatCode>
                <c:ptCount val="5"/>
                <c:pt idx="0">
                  <c:v>214.99999999999997</c:v>
                </c:pt>
                <c:pt idx="1">
                  <c:v>219.51219512195121</c:v>
                </c:pt>
                <c:pt idx="2">
                  <c:v>235</c:v>
                </c:pt>
                <c:pt idx="3">
                  <c:v>234.21052631578948</c:v>
                </c:pt>
                <c:pt idx="4">
                  <c:v>234.21052631578948</c:v>
                </c:pt>
              </c:numCache>
            </c:numRef>
          </c:val>
          <c:smooth val="0"/>
          <c:extLst>
            <c:ext xmlns:c16="http://schemas.microsoft.com/office/drawing/2014/chart" uri="{C3380CC4-5D6E-409C-BE32-E72D297353CC}">
              <c16:uniqueId val="{00000006-6F74-49D3-B662-A8E9494310E2}"/>
            </c:ext>
          </c:extLst>
        </c:ser>
        <c:ser>
          <c:idx val="11"/>
          <c:order val="6"/>
          <c:tx>
            <c:strRef>
              <c:f>Care_Leavers!$AK$47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Care_Leavers!$AL$47:$AP$47</c:f>
              <c:numCache>
                <c:formatCode>0.0</c:formatCode>
                <c:ptCount val="5"/>
                <c:pt idx="0">
                  <c:v>172.02166064981949</c:v>
                </c:pt>
                <c:pt idx="1">
                  <c:v>174.35424354243543</c:v>
                </c:pt>
                <c:pt idx="2">
                  <c:v>202.43445692883896</c:v>
                </c:pt>
                <c:pt idx="3">
                  <c:v>255.49242424242425</c:v>
                </c:pt>
                <c:pt idx="4">
                  <c:v>290.43977055449329</c:v>
                </c:pt>
              </c:numCache>
            </c:numRef>
          </c:val>
          <c:smooth val="0"/>
          <c:extLst>
            <c:ext xmlns:c16="http://schemas.microsoft.com/office/drawing/2014/chart" uri="{C3380CC4-5D6E-409C-BE32-E72D297353CC}">
              <c16:uniqueId val="{00000007-6F74-49D3-B662-A8E9494310E2}"/>
            </c:ext>
          </c:extLst>
        </c:ser>
        <c:ser>
          <c:idx val="12"/>
          <c:order val="7"/>
          <c:tx>
            <c:strRef>
              <c:f>Care_Leavers!$AK$48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Care_Leavers!$AL$48:$AP$48</c:f>
              <c:numCache>
                <c:formatCode>0.0</c:formatCode>
                <c:ptCount val="5"/>
                <c:pt idx="0">
                  <c:v>170.90909090909091</c:v>
                </c:pt>
                <c:pt idx="1">
                  <c:v>145.79439252336448</c:v>
                </c:pt>
                <c:pt idx="2">
                  <c:v>113.59223300970874</c:v>
                </c:pt>
                <c:pt idx="3">
                  <c:v>113.13131313131314</c:v>
                </c:pt>
                <c:pt idx="4">
                  <c:v>123.95833333333333</c:v>
                </c:pt>
              </c:numCache>
            </c:numRef>
          </c:val>
          <c:smooth val="0"/>
          <c:extLst>
            <c:ext xmlns:c16="http://schemas.microsoft.com/office/drawing/2014/chart" uri="{C3380CC4-5D6E-409C-BE32-E72D297353CC}">
              <c16:uniqueId val="{00000008-6F74-49D3-B662-A8E9494310E2}"/>
            </c:ext>
          </c:extLst>
        </c:ser>
        <c:ser>
          <c:idx val="13"/>
          <c:order val="8"/>
          <c:tx>
            <c:strRef>
              <c:f>Care_Leavers!$AK$49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Care_Leavers!$AL$49:$AP$49</c:f>
              <c:numCache>
                <c:formatCode>0.0</c:formatCode>
                <c:ptCount val="5"/>
                <c:pt idx="0">
                  <c:v>163.38028169014086</c:v>
                </c:pt>
                <c:pt idx="1">
                  <c:v>164.78873239436621</c:v>
                </c:pt>
                <c:pt idx="2">
                  <c:v>204.47761194029849</c:v>
                </c:pt>
                <c:pt idx="3">
                  <c:v>222.38805970149252</c:v>
                </c:pt>
                <c:pt idx="4">
                  <c:v>256.92307692307691</c:v>
                </c:pt>
              </c:numCache>
            </c:numRef>
          </c:val>
          <c:smooth val="0"/>
          <c:extLst>
            <c:ext xmlns:c16="http://schemas.microsoft.com/office/drawing/2014/chart" uri="{C3380CC4-5D6E-409C-BE32-E72D297353CC}">
              <c16:uniqueId val="{00000009-6F74-49D3-B662-A8E9494310E2}"/>
            </c:ext>
          </c:extLst>
        </c:ser>
        <c:ser>
          <c:idx val="15"/>
          <c:order val="9"/>
          <c:tx>
            <c:strRef>
              <c:f>Care_Leavers!$AK$50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Care_Leavers!$AL$50:$AP$50</c:f>
              <c:numCache>
                <c:formatCode>0.0</c:formatCode>
                <c:ptCount val="5"/>
                <c:pt idx="0">
                  <c:v>87.171052631578945</c:v>
                </c:pt>
                <c:pt idx="1">
                  <c:v>83.828382838283829</c:v>
                </c:pt>
                <c:pt idx="2">
                  <c:v>75.65789473684211</c:v>
                </c:pt>
                <c:pt idx="3">
                  <c:v>80.936454849498318</c:v>
                </c:pt>
                <c:pt idx="4">
                  <c:v>91.973244147157203</c:v>
                </c:pt>
              </c:numCache>
            </c:numRef>
          </c:val>
          <c:smooth val="0"/>
          <c:extLst>
            <c:ext xmlns:c16="http://schemas.microsoft.com/office/drawing/2014/chart" uri="{C3380CC4-5D6E-409C-BE32-E72D297353CC}">
              <c16:uniqueId val="{0000000A-6F74-49D3-B662-A8E9494310E2}"/>
            </c:ext>
          </c:extLst>
        </c:ser>
        <c:ser>
          <c:idx val="16"/>
          <c:order val="10"/>
          <c:tx>
            <c:strRef>
              <c:f>Care_Leavers!$AK$51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Care_Leavers!$AL$51:$AP$51</c:f>
              <c:numCache>
                <c:formatCode>0.0</c:formatCode>
                <c:ptCount val="5"/>
                <c:pt idx="0">
                  <c:v>66.88741721854305</c:v>
                </c:pt>
                <c:pt idx="1">
                  <c:v>69.736842105263165</c:v>
                </c:pt>
                <c:pt idx="2">
                  <c:v>72.903225806451616</c:v>
                </c:pt>
                <c:pt idx="3">
                  <c:v>70.987654320987659</c:v>
                </c:pt>
                <c:pt idx="4">
                  <c:v>75</c:v>
                </c:pt>
              </c:numCache>
            </c:numRef>
          </c:val>
          <c:smooth val="0"/>
          <c:extLst>
            <c:ext xmlns:c16="http://schemas.microsoft.com/office/drawing/2014/chart" uri="{C3380CC4-5D6E-409C-BE32-E72D297353CC}">
              <c16:uniqueId val="{0000000B-6F74-49D3-B662-A8E9494310E2}"/>
            </c:ext>
          </c:extLst>
        </c:ser>
        <c:ser>
          <c:idx val="17"/>
          <c:order val="11"/>
          <c:tx>
            <c:strRef>
              <c:f>Care_Leavers!$AK$52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Care_Leavers!$AL$52:$AP$52</c:f>
              <c:numCache>
                <c:formatCode>0.0</c:formatCode>
                <c:ptCount val="5"/>
                <c:pt idx="0">
                  <c:v>72.727272727272734</c:v>
                </c:pt>
                <c:pt idx="1">
                  <c:v>77.27272727272728</c:v>
                </c:pt>
                <c:pt idx="2">
                  <c:v>88.63636363636364</c:v>
                </c:pt>
                <c:pt idx="3">
                  <c:v>95.604395604395592</c:v>
                </c:pt>
                <c:pt idx="4">
                  <c:v>104.25531914893618</c:v>
                </c:pt>
              </c:numCache>
            </c:numRef>
          </c:val>
          <c:smooth val="0"/>
          <c:extLst>
            <c:ext xmlns:c16="http://schemas.microsoft.com/office/drawing/2014/chart" uri="{C3380CC4-5D6E-409C-BE32-E72D297353CC}">
              <c16:uniqueId val="{0000000C-6F74-49D3-B662-A8E9494310E2}"/>
            </c:ext>
          </c:extLst>
        </c:ser>
        <c:ser>
          <c:idx val="19"/>
          <c:order val="12"/>
          <c:tx>
            <c:strRef>
              <c:f>Care_Leavers!$AK$53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Care_Leavers!$AL$53:$AP$53</c:f>
              <c:numCache>
                <c:formatCode>0.0</c:formatCode>
                <c:ptCount val="5"/>
                <c:pt idx="0">
                  <c:v>172.72727272727272</c:v>
                </c:pt>
                <c:pt idx="1">
                  <c:v>197.77777777777777</c:v>
                </c:pt>
                <c:pt idx="2">
                  <c:v>188.63636363636363</c:v>
                </c:pt>
                <c:pt idx="3">
                  <c:v>206.97674418604649</c:v>
                </c:pt>
                <c:pt idx="4">
                  <c:v>207.14285714285714</c:v>
                </c:pt>
              </c:numCache>
            </c:numRef>
          </c:val>
          <c:smooth val="0"/>
          <c:extLst>
            <c:ext xmlns:c16="http://schemas.microsoft.com/office/drawing/2014/chart" uri="{C3380CC4-5D6E-409C-BE32-E72D297353CC}">
              <c16:uniqueId val="{0000000D-6F74-49D3-B662-A8E9494310E2}"/>
            </c:ext>
          </c:extLst>
        </c:ser>
        <c:ser>
          <c:idx val="3"/>
          <c:order val="13"/>
          <c:tx>
            <c:strRef>
              <c:f>Care_Leavers!$AK$54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Care_Leavers!$AL$54:$AP$54</c:f>
              <c:numCache>
                <c:formatCode>0.0</c:formatCode>
                <c:ptCount val="5"/>
                <c:pt idx="0">
                  <c:v>173.54838709677418</c:v>
                </c:pt>
                <c:pt idx="1">
                  <c:v>169.93464052287581</c:v>
                </c:pt>
                <c:pt idx="2">
                  <c:v>147.65100671140939</c:v>
                </c:pt>
                <c:pt idx="3">
                  <c:v>135.81081081081081</c:v>
                </c:pt>
                <c:pt idx="4">
                  <c:v>124.82758620689656</c:v>
                </c:pt>
              </c:numCache>
            </c:numRef>
          </c:val>
          <c:smooth val="0"/>
          <c:extLst>
            <c:ext xmlns:c16="http://schemas.microsoft.com/office/drawing/2014/chart" uri="{C3380CC4-5D6E-409C-BE32-E72D297353CC}">
              <c16:uniqueId val="{0000000E-6F74-49D3-B662-A8E9494310E2}"/>
            </c:ext>
          </c:extLst>
        </c:ser>
        <c:ser>
          <c:idx val="20"/>
          <c:order val="14"/>
          <c:tx>
            <c:strRef>
              <c:f>Care_Leavers!$AK$55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Care_Leavers!$AL$55:$AP$55</c:f>
              <c:numCache>
                <c:formatCode>0.0</c:formatCode>
                <c:ptCount val="5"/>
                <c:pt idx="0">
                  <c:v>57.894736842105267</c:v>
                </c:pt>
                <c:pt idx="1">
                  <c:v>62.5</c:v>
                </c:pt>
                <c:pt idx="2">
                  <c:v>56.88073394495413</c:v>
                </c:pt>
                <c:pt idx="3">
                  <c:v>56.108597285067873</c:v>
                </c:pt>
                <c:pt idx="4">
                  <c:v>57.727272727272734</c:v>
                </c:pt>
              </c:numCache>
            </c:numRef>
          </c:val>
          <c:smooth val="0"/>
          <c:extLst>
            <c:ext xmlns:c16="http://schemas.microsoft.com/office/drawing/2014/chart" uri="{C3380CC4-5D6E-409C-BE32-E72D297353CC}">
              <c16:uniqueId val="{0000000F-6F74-49D3-B662-A8E9494310E2}"/>
            </c:ext>
          </c:extLst>
        </c:ser>
        <c:ser>
          <c:idx val="22"/>
          <c:order val="15"/>
          <c:tx>
            <c:strRef>
              <c:f>Care_Leavers!$AK$56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Care_Leavers!$AL$56:$AP$56</c:f>
              <c:numCache>
                <c:formatCode>0.0</c:formatCode>
                <c:ptCount val="5"/>
                <c:pt idx="0">
                  <c:v>99.442896935933149</c:v>
                </c:pt>
                <c:pt idx="1">
                  <c:v>98.910081743869213</c:v>
                </c:pt>
                <c:pt idx="2">
                  <c:v>103.82513661202186</c:v>
                </c:pt>
                <c:pt idx="3">
                  <c:v>112.36559139784946</c:v>
                </c:pt>
                <c:pt idx="4">
                  <c:v>126.66666666666666</c:v>
                </c:pt>
              </c:numCache>
            </c:numRef>
          </c:val>
          <c:smooth val="0"/>
          <c:extLst>
            <c:ext xmlns:c16="http://schemas.microsoft.com/office/drawing/2014/chart" uri="{C3380CC4-5D6E-409C-BE32-E72D297353CC}">
              <c16:uniqueId val="{00000010-6F74-49D3-B662-A8E9494310E2}"/>
            </c:ext>
          </c:extLst>
        </c:ser>
        <c:ser>
          <c:idx val="7"/>
          <c:order val="16"/>
          <c:tx>
            <c:strRef>
              <c:f>Care_Leavers!$AK$57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Care_Leavers!$Y$2:$AC$3</c:f>
              <c:strCache>
                <c:ptCount val="5"/>
                <c:pt idx="0">
                  <c:v>2014-15</c:v>
                </c:pt>
                <c:pt idx="1">
                  <c:v>2015-16</c:v>
                </c:pt>
                <c:pt idx="2">
                  <c:v>2016-17</c:v>
                </c:pt>
                <c:pt idx="3">
                  <c:v>2017-18</c:v>
                </c:pt>
                <c:pt idx="4">
                  <c:v>2018-19</c:v>
                </c:pt>
              </c:strCache>
            </c:strRef>
          </c:cat>
          <c:val>
            <c:numRef>
              <c:f>Care_Leavers!$AL$57:$AP$57</c:f>
              <c:numCache>
                <c:formatCode>0.0</c:formatCode>
                <c:ptCount val="5"/>
                <c:pt idx="0">
                  <c:v>213.84615384615384</c:v>
                </c:pt>
                <c:pt idx="1">
                  <c:v>218.46153846153845</c:v>
                </c:pt>
                <c:pt idx="2">
                  <c:v>201.58730158730157</c:v>
                </c:pt>
                <c:pt idx="3">
                  <c:v>196.82539682539684</c:v>
                </c:pt>
                <c:pt idx="4">
                  <c:v>214.28571428571428</c:v>
                </c:pt>
              </c:numCache>
            </c:numRef>
          </c:val>
          <c:smooth val="0"/>
          <c:extLst>
            <c:ext xmlns:c16="http://schemas.microsoft.com/office/drawing/2014/chart" uri="{C3380CC4-5D6E-409C-BE32-E72D297353CC}">
              <c16:uniqueId val="{00000011-6F74-49D3-B662-A8E9494310E2}"/>
            </c:ext>
          </c:extLst>
        </c:ser>
        <c:ser>
          <c:idx val="8"/>
          <c:order val="17"/>
          <c:tx>
            <c:strRef>
              <c:f>Care_Leavers!$AK$58</c:f>
              <c:strCache>
                <c:ptCount val="1"/>
                <c:pt idx="0">
                  <c:v>Torbay</c:v>
                </c:pt>
              </c:strCache>
            </c:strRef>
          </c:tx>
          <c:spPr>
            <a:ln w="15875"/>
          </c:spPr>
          <c:marker>
            <c:symbol val="circle"/>
            <c:size val="5"/>
            <c:spPr>
              <a:solidFill>
                <a:schemeClr val="accent3">
                  <a:lumMod val="20000"/>
                  <a:lumOff val="80000"/>
                </a:schemeClr>
              </a:solidFill>
            </c:spPr>
          </c:marker>
          <c:cat>
            <c:strRef>
              <c:f>Care_Leavers!$Y$2:$AC$3</c:f>
              <c:strCache>
                <c:ptCount val="5"/>
                <c:pt idx="0">
                  <c:v>2014-15</c:v>
                </c:pt>
                <c:pt idx="1">
                  <c:v>2015-16</c:v>
                </c:pt>
                <c:pt idx="2">
                  <c:v>2016-17</c:v>
                </c:pt>
                <c:pt idx="3">
                  <c:v>2017-18</c:v>
                </c:pt>
                <c:pt idx="4">
                  <c:v>2018-19</c:v>
                </c:pt>
              </c:strCache>
            </c:strRef>
          </c:cat>
          <c:val>
            <c:numRef>
              <c:f>Care_Leavers!$AL$58:$AP$58</c:f>
              <c:numCache>
                <c:formatCode>0.0</c:formatCode>
                <c:ptCount val="5"/>
                <c:pt idx="0">
                  <c:v>269.23076923076923</c:v>
                </c:pt>
                <c:pt idx="1">
                  <c:v>252.63157894736841</c:v>
                </c:pt>
                <c:pt idx="2">
                  <c:v>254.05405405405406</c:v>
                </c:pt>
                <c:pt idx="3">
                  <c:v>297.22222222222223</c:v>
                </c:pt>
                <c:pt idx="4">
                  <c:v>297.14285714285717</c:v>
                </c:pt>
              </c:numCache>
            </c:numRef>
          </c:val>
          <c:smooth val="0"/>
          <c:extLst>
            <c:ext xmlns:c16="http://schemas.microsoft.com/office/drawing/2014/chart" uri="{C3380CC4-5D6E-409C-BE32-E72D297353CC}">
              <c16:uniqueId val="{00000012-6F74-49D3-B662-A8E9494310E2}"/>
            </c:ext>
          </c:extLst>
        </c:ser>
        <c:ser>
          <c:idx val="23"/>
          <c:order val="18"/>
          <c:tx>
            <c:strRef>
              <c:f>Care_Leavers!$AK$59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Care_Leavers!$AL$59:$AP$59</c:f>
              <c:numCache>
                <c:formatCode>0.0</c:formatCode>
                <c:ptCount val="5"/>
                <c:pt idx="0">
                  <c:v>143.58974358974359</c:v>
                </c:pt>
                <c:pt idx="1">
                  <c:v>144.73684210526315</c:v>
                </c:pt>
                <c:pt idx="2">
                  <c:v>143.58974358974359</c:v>
                </c:pt>
                <c:pt idx="3">
                  <c:v>205.26315789473685</c:v>
                </c:pt>
                <c:pt idx="4">
                  <c:v>200</c:v>
                </c:pt>
              </c:numCache>
            </c:numRef>
          </c:val>
          <c:smooth val="0"/>
          <c:extLst>
            <c:ext xmlns:c16="http://schemas.microsoft.com/office/drawing/2014/chart" uri="{C3380CC4-5D6E-409C-BE32-E72D297353CC}">
              <c16:uniqueId val="{00000013-6F74-49D3-B662-A8E9494310E2}"/>
            </c:ext>
          </c:extLst>
        </c:ser>
        <c:ser>
          <c:idx val="24"/>
          <c:order val="19"/>
          <c:tx>
            <c:strRef>
              <c:f>Care_Leavers!$AK$60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Care_Leavers!$AL$60:$AP$60</c:f>
              <c:numCache>
                <c:formatCode>0.0</c:formatCode>
                <c:ptCount val="5"/>
                <c:pt idx="0">
                  <c:v>137.76824034334763</c:v>
                </c:pt>
                <c:pt idx="1">
                  <c:v>129.78723404255319</c:v>
                </c:pt>
                <c:pt idx="2">
                  <c:v>138.96103896103895</c:v>
                </c:pt>
                <c:pt idx="3">
                  <c:v>152.63157894736841</c:v>
                </c:pt>
                <c:pt idx="4">
                  <c:v>161.33333333333331</c:v>
                </c:pt>
              </c:numCache>
            </c:numRef>
          </c:val>
          <c:smooth val="0"/>
          <c:extLst>
            <c:ext xmlns:c16="http://schemas.microsoft.com/office/drawing/2014/chart" uri="{C3380CC4-5D6E-409C-BE32-E72D297353CC}">
              <c16:uniqueId val="{00000014-6F74-49D3-B662-A8E9494310E2}"/>
            </c:ext>
          </c:extLst>
        </c:ser>
        <c:ser>
          <c:idx val="25"/>
          <c:order val="20"/>
          <c:tx>
            <c:strRef>
              <c:f>Care_Leavers!$AK$61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Care_Leavers!$AL$61:$AP$61</c:f>
              <c:numCache>
                <c:formatCode>0.0</c:formatCode>
                <c:ptCount val="5"/>
                <c:pt idx="0">
                  <c:v>153.125</c:v>
                </c:pt>
                <c:pt idx="1">
                  <c:v>135.48387096774192</c:v>
                </c:pt>
                <c:pt idx="2">
                  <c:v>145.16129032258064</c:v>
                </c:pt>
                <c:pt idx="3">
                  <c:v>154.83870967741936</c:v>
                </c:pt>
                <c:pt idx="4">
                  <c:v>175.00000000000003</c:v>
                </c:pt>
              </c:numCache>
            </c:numRef>
          </c:val>
          <c:smooth val="0"/>
          <c:extLst>
            <c:ext xmlns:c16="http://schemas.microsoft.com/office/drawing/2014/chart" uri="{C3380CC4-5D6E-409C-BE32-E72D297353CC}">
              <c16:uniqueId val="{00000015-6F74-49D3-B662-A8E9494310E2}"/>
            </c:ext>
          </c:extLst>
        </c:ser>
        <c:ser>
          <c:idx val="26"/>
          <c:order val="21"/>
          <c:tx>
            <c:strRef>
              <c:f>Care_Leavers!$AK$62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Care_Leavers!$AL$62:$AP$62</c:f>
              <c:numCache>
                <c:formatCode>0.0</c:formatCode>
                <c:ptCount val="5"/>
                <c:pt idx="0">
                  <c:v>88.63636363636364</c:v>
                </c:pt>
                <c:pt idx="1">
                  <c:v>70.454545454545453</c:v>
                </c:pt>
                <c:pt idx="2">
                  <c:v>74.418604651162795</c:v>
                </c:pt>
                <c:pt idx="3">
                  <c:v>63.63636363636364</c:v>
                </c:pt>
                <c:pt idx="4">
                  <c:v>86.36363636363636</c:v>
                </c:pt>
              </c:numCache>
            </c:numRef>
          </c:val>
          <c:smooth val="0"/>
          <c:extLst>
            <c:ext xmlns:c16="http://schemas.microsoft.com/office/drawing/2014/chart" uri="{C3380CC4-5D6E-409C-BE32-E72D297353CC}">
              <c16:uniqueId val="{00000016-6F74-49D3-B662-A8E9494310E2}"/>
            </c:ext>
          </c:extLst>
        </c:ser>
        <c:ser>
          <c:idx val="4"/>
          <c:order val="22"/>
          <c:tx>
            <c:strRef>
              <c:f>Care_Leavers!$AK$63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Care_Leavers!$AL$63:$AP$63</c:f>
              <c:numCache>
                <c:formatCode>0.0</c:formatCode>
                <c:ptCount val="5"/>
                <c:pt idx="0">
                  <c:v>117.04119850187267</c:v>
                </c:pt>
                <c:pt idx="1">
                  <c:v>117.07773961910709</c:v>
                </c:pt>
                <c:pt idx="2">
                  <c:v>122.65331664580727</c:v>
                </c:pt>
                <c:pt idx="3">
                  <c:v>138.10420590081608</c:v>
                </c:pt>
                <c:pt idx="4">
                  <c:v>149.55919395465995</c:v>
                </c:pt>
              </c:numCache>
            </c:numRef>
          </c:val>
          <c:smooth val="0"/>
          <c:extLst>
            <c:ext xmlns:c16="http://schemas.microsoft.com/office/drawing/2014/chart" uri="{C3380CC4-5D6E-409C-BE32-E72D297353CC}">
              <c16:uniqueId val="{00000017-6F74-49D3-B662-A8E9494310E2}"/>
            </c:ext>
          </c:extLst>
        </c:ser>
        <c:ser>
          <c:idx val="6"/>
          <c:order val="23"/>
          <c:tx>
            <c:strRef>
              <c:f>Care_Leavers!$AK$64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2014-15</c:v>
                </c:pt>
                <c:pt idx="1">
                  <c:v>2015-16</c:v>
                </c:pt>
                <c:pt idx="2">
                  <c:v>2016-17</c:v>
                </c:pt>
                <c:pt idx="3">
                  <c:v>2017-18</c:v>
                </c:pt>
                <c:pt idx="4">
                  <c:v>2018-19</c:v>
                </c:pt>
              </c:strCache>
            </c:strRef>
          </c:cat>
          <c:val>
            <c:numRef>
              <c:f>Care_Leavers!$AL$64:$AP$64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6F74-49D3-B662-A8E9494310E2}"/>
            </c:ext>
          </c:extLst>
        </c:ser>
        <c:dLbls>
          <c:showLegendKey val="0"/>
          <c:showVal val="0"/>
          <c:showCatName val="0"/>
          <c:showSerName val="0"/>
          <c:showPercent val="0"/>
          <c:showBubbleSize val="0"/>
        </c:dLbls>
        <c:marker val="1"/>
        <c:smooth val="0"/>
        <c:axId val="316748160"/>
        <c:axId val="316750080"/>
      </c:lineChart>
      <c:catAx>
        <c:axId val="3167481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6750080"/>
        <c:crosses val="autoZero"/>
        <c:auto val="1"/>
        <c:lblAlgn val="ctr"/>
        <c:lblOffset val="100"/>
        <c:tickLblSkip val="1"/>
        <c:tickMarkSkip val="1"/>
        <c:noMultiLvlLbl val="0"/>
      </c:catAx>
      <c:valAx>
        <c:axId val="316750080"/>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674816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9186580017915818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Care Leavers (Aged 19-21)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5559696170928181"/>
          <c:y val="4.0025470189007442E-3"/>
        </c:manualLayout>
      </c:layout>
      <c:overlay val="0"/>
      <c:spPr>
        <a:noFill/>
        <a:ln w="25400">
          <a:noFill/>
        </a:ln>
      </c:spPr>
    </c:title>
    <c:autoTitleDeleted val="0"/>
    <c:plotArea>
      <c:layout>
        <c:manualLayout>
          <c:layoutTarget val="inner"/>
          <c:xMode val="edge"/>
          <c:yMode val="edge"/>
          <c:x val="9.6909984154078643E-2"/>
          <c:y val="0.2187038158691702"/>
          <c:w val="0.65146216862752293"/>
          <c:h val="0.54957337433412534"/>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2014-15</c:v>
                </c:pt>
                <c:pt idx="1">
                  <c:v>2015-16</c:v>
                </c:pt>
                <c:pt idx="2">
                  <c:v>2016-17</c:v>
                </c:pt>
                <c:pt idx="3">
                  <c:v>2017-18</c:v>
                </c:pt>
                <c:pt idx="4">
                  <c:v>2018-19</c:v>
                </c:pt>
              </c:strCache>
            </c:strRef>
          </c:cat>
          <c:val>
            <c:numRef>
              <c:f>Care_Leavers!$AL$64:$AP$64</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89E2-467E-B54B-2E93EA9E257D}"/>
            </c:ext>
          </c:extLst>
        </c:ser>
        <c:ser>
          <c:idx val="4"/>
          <c:order val="1"/>
          <c:tx>
            <c:strRef>
              <c:f>Care_Leavers!$B$32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2014-15</c:v>
                </c:pt>
                <c:pt idx="1">
                  <c:v>2015-16</c:v>
                </c:pt>
                <c:pt idx="2">
                  <c:v>2016-17</c:v>
                </c:pt>
                <c:pt idx="3">
                  <c:v>2017-18</c:v>
                </c:pt>
                <c:pt idx="4">
                  <c:v>2018-19</c:v>
                </c:pt>
              </c:strCache>
            </c:strRef>
          </c:cat>
          <c:val>
            <c:numRef>
              <c:f>Care_Leavers!$L$32:$P$32</c:f>
              <c:numCache>
                <c:formatCode>0.0</c:formatCode>
                <c:ptCount val="5"/>
                <c:pt idx="0">
                  <c:v>117.04119850187267</c:v>
                </c:pt>
                <c:pt idx="1">
                  <c:v>117.07773961910709</c:v>
                </c:pt>
                <c:pt idx="2">
                  <c:v>122.65331664580727</c:v>
                </c:pt>
                <c:pt idx="3">
                  <c:v>138.10420590081608</c:v>
                </c:pt>
                <c:pt idx="4">
                  <c:v>149.55919395465995</c:v>
                </c:pt>
              </c:numCache>
            </c:numRef>
          </c:val>
          <c:extLst>
            <c:ext xmlns:c16="http://schemas.microsoft.com/office/drawing/2014/chart" uri="{C3380CC4-5D6E-409C-BE32-E72D297353CC}">
              <c16:uniqueId val="{00000001-89E2-467E-B54B-2E93EA9E257D}"/>
            </c:ext>
          </c:extLst>
        </c:ser>
        <c:dLbls>
          <c:showLegendKey val="0"/>
          <c:showVal val="0"/>
          <c:showCatName val="0"/>
          <c:showSerName val="0"/>
          <c:showPercent val="0"/>
          <c:showBubbleSize val="0"/>
        </c:dLbls>
        <c:gapWidth val="100"/>
        <c:axId val="316795520"/>
        <c:axId val="316887424"/>
      </c:barChart>
      <c:catAx>
        <c:axId val="316795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6887424"/>
        <c:crosses val="autoZero"/>
        <c:auto val="1"/>
        <c:lblAlgn val="ctr"/>
        <c:lblOffset val="100"/>
        <c:noMultiLvlLbl val="0"/>
      </c:catAx>
      <c:valAx>
        <c:axId val="31688742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6795520"/>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C8C300"/>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Referral_Source!$F$41:$F$64</c:f>
              <c:numCache>
                <c:formatCode>0.0</c:formatCode>
                <c:ptCount val="24"/>
                <c:pt idx="0">
                  <c:v>26.751016719385451</c:v>
                </c:pt>
                <c:pt idx="1">
                  <c:v>18.802099413399198</c:v>
                </c:pt>
                <c:pt idx="2">
                  <c:v>20.366492146596855</c:v>
                </c:pt>
                <c:pt idx="3">
                  <c:v>19.884125144843569</c:v>
                </c:pt>
                <c:pt idx="4">
                  <c:v>24.320764037543224</c:v>
                </c:pt>
                <c:pt idx="5">
                  <c:v>28.698224852071007</c:v>
                </c:pt>
                <c:pt idx="6">
                  <c:v>18.082371602034677</c:v>
                </c:pt>
                <c:pt idx="7">
                  <c:v>21.639751552795033</c:v>
                </c:pt>
                <c:pt idx="8">
                  <c:v>21.180425849831902</c:v>
                </c:pt>
                <c:pt idx="9">
                  <c:v>20.932290898362588</c:v>
                </c:pt>
                <c:pt idx="10">
                  <c:v>19.901547116736989</c:v>
                </c:pt>
                <c:pt idx="11">
                  <c:v>19.532676159182184</c:v>
                </c:pt>
                <c:pt idx="12">
                  <c:v>23.240506329113924</c:v>
                </c:pt>
                <c:pt idx="13">
                  <c:v>21.69373549883991</c:v>
                </c:pt>
                <c:pt idx="14">
                  <c:v>21.231781852374237</c:v>
                </c:pt>
                <c:pt idx="15">
                  <c:v>19.157769869513643</c:v>
                </c:pt>
                <c:pt idx="16">
                  <c:v>21.559536354056902</c:v>
                </c:pt>
                <c:pt idx="17">
                  <c:v>16.21145374449339</c:v>
                </c:pt>
                <c:pt idx="18">
                  <c:v>20.234604105571847</c:v>
                </c:pt>
                <c:pt idx="19">
                  <c:v>15.091383812010443</c:v>
                </c:pt>
                <c:pt idx="20">
                  <c:v>20.141887723627391</c:v>
                </c:pt>
                <c:pt idx="21">
                  <c:v>16.789982925441095</c:v>
                </c:pt>
                <c:pt idx="22">
                  <c:v>20.864738591779894</c:v>
                </c:pt>
                <c:pt idx="23">
                  <c:v>20.397283844404843</c:v>
                </c:pt>
              </c:numCache>
            </c:numRef>
          </c:val>
          <c:extLst>
            <c:ext xmlns:c16="http://schemas.microsoft.com/office/drawing/2014/chart" uri="{C3380CC4-5D6E-409C-BE32-E72D297353CC}">
              <c16:uniqueId val="{00000000-42AC-4791-9D47-5EF1BC1FE95C}"/>
            </c:ext>
          </c:extLst>
        </c:ser>
        <c:dLbls>
          <c:showLegendKey val="0"/>
          <c:showVal val="0"/>
          <c:showCatName val="0"/>
          <c:showSerName val="0"/>
          <c:showPercent val="0"/>
          <c:showBubbleSize val="0"/>
        </c:dLbls>
        <c:gapWidth val="40"/>
        <c:axId val="607391744"/>
        <c:axId val="607394048"/>
      </c:barChart>
      <c:catAx>
        <c:axId val="607391744"/>
        <c:scaling>
          <c:orientation val="maxMin"/>
        </c:scaling>
        <c:delete val="1"/>
        <c:axPos val="l"/>
        <c:numFmt formatCode="General" sourceLinked="0"/>
        <c:majorTickMark val="out"/>
        <c:minorTickMark val="none"/>
        <c:tickLblPos val="nextTo"/>
        <c:crossAx val="607394048"/>
        <c:crosses val="autoZero"/>
        <c:auto val="1"/>
        <c:lblAlgn val="ctr"/>
        <c:lblOffset val="100"/>
        <c:noMultiLvlLbl val="0"/>
      </c:catAx>
      <c:valAx>
        <c:axId val="607394048"/>
        <c:scaling>
          <c:orientation val="minMax"/>
        </c:scaling>
        <c:delete val="1"/>
        <c:axPos val="b"/>
        <c:majorGridlines/>
        <c:numFmt formatCode="0.0" sourceLinked="1"/>
        <c:majorTickMark val="out"/>
        <c:minorTickMark val="none"/>
        <c:tickLblPos val="nextTo"/>
        <c:crossAx val="607391744"/>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Care leavers aged 19-21 who were in Suitable Accommodation (Selected LA</a:t>
            </a:r>
            <a:r>
              <a:rPr lang="en-GB" sz="900" baseline="0"/>
              <a:t> vs. SE)</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2014-15</c:v>
                </c:pt>
                <c:pt idx="1">
                  <c:v>2015-16</c:v>
                </c:pt>
                <c:pt idx="2">
                  <c:v>2016-17</c:v>
                </c:pt>
                <c:pt idx="3">
                  <c:v>2017-18</c:v>
                </c:pt>
                <c:pt idx="4">
                  <c:v>2018-19</c:v>
                </c:pt>
              </c:strCache>
            </c:strRef>
          </c:cat>
          <c:val>
            <c:numRef>
              <c:f>Care_Leavers!$AW$64:$BA$64</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CEDE-46ED-81F6-9DD59CAC2960}"/>
            </c:ext>
          </c:extLst>
        </c:ser>
        <c:ser>
          <c:idx val="4"/>
          <c:order val="1"/>
          <c:tx>
            <c:strRef>
              <c:f>Care_Leavers!$B$135</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2014-15</c:v>
                </c:pt>
                <c:pt idx="1">
                  <c:v>2015-16</c:v>
                </c:pt>
                <c:pt idx="2">
                  <c:v>2016-17</c:v>
                </c:pt>
                <c:pt idx="3">
                  <c:v>2017-18</c:v>
                </c:pt>
                <c:pt idx="4">
                  <c:v>2018-19</c:v>
                </c:pt>
              </c:strCache>
            </c:strRef>
          </c:cat>
          <c:val>
            <c:numRef>
              <c:f>Care_Leavers!$D$135:$H$135</c:f>
              <c:numCache>
                <c:formatCode>0%</c:formatCode>
                <c:ptCount val="5"/>
                <c:pt idx="0">
                  <c:v>0.7573333333333333</c:v>
                </c:pt>
                <c:pt idx="1">
                  <c:v>0.7573333333333333</c:v>
                </c:pt>
                <c:pt idx="2">
                  <c:v>0.79081632653061229</c:v>
                </c:pt>
                <c:pt idx="3">
                  <c:v>0.78863636363636369</c:v>
                </c:pt>
                <c:pt idx="4">
                  <c:v>0.79789473684210521</c:v>
                </c:pt>
              </c:numCache>
            </c:numRef>
          </c:val>
          <c:extLst>
            <c:ext xmlns:c16="http://schemas.microsoft.com/office/drawing/2014/chart" uri="{C3380CC4-5D6E-409C-BE32-E72D297353CC}">
              <c16:uniqueId val="{00000001-CEDE-46ED-81F6-9DD59CAC2960}"/>
            </c:ext>
          </c:extLst>
        </c:ser>
        <c:dLbls>
          <c:showLegendKey val="0"/>
          <c:showVal val="0"/>
          <c:showCatName val="0"/>
          <c:showSerName val="0"/>
          <c:showPercent val="0"/>
          <c:showBubbleSize val="0"/>
        </c:dLbls>
        <c:gapWidth val="100"/>
        <c:axId val="316847232"/>
        <c:axId val="316848768"/>
      </c:barChart>
      <c:catAx>
        <c:axId val="316847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6848768"/>
        <c:crosses val="autoZero"/>
        <c:auto val="1"/>
        <c:lblAlgn val="ctr"/>
        <c:lblOffset val="100"/>
        <c:noMultiLvlLbl val="0"/>
      </c:catAx>
      <c:valAx>
        <c:axId val="31684876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684723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Suitable</a:t>
            </a:r>
            <a:r>
              <a:rPr lang="en-GB" baseline="0"/>
              <a:t> Accommodation</a:t>
            </a:r>
            <a:endParaRPr lang="en-GB"/>
          </a:p>
        </c:rich>
      </c:tx>
      <c:layout>
        <c:manualLayout>
          <c:xMode val="edge"/>
          <c:yMode val="edge"/>
          <c:x val="0.18273207832988811"/>
          <c:y val="6.1214683711112525E-3"/>
        </c:manualLayout>
      </c:layout>
      <c:overlay val="0"/>
      <c:spPr>
        <a:noFill/>
        <a:ln w="25400">
          <a:noFill/>
        </a:ln>
      </c:spPr>
    </c:title>
    <c:autoTitleDeleted val="0"/>
    <c:plotArea>
      <c:layout>
        <c:manualLayout>
          <c:layoutTarget val="inner"/>
          <c:xMode val="edge"/>
          <c:yMode val="edge"/>
          <c:x val="8.9669774541780586E-2"/>
          <c:y val="6.3213503951413688E-2"/>
          <c:w val="0.57508230927201043"/>
          <c:h val="0.87574900448744453"/>
        </c:manualLayout>
      </c:layout>
      <c:lineChart>
        <c:grouping val="standard"/>
        <c:varyColors val="0"/>
        <c:ser>
          <c:idx val="0"/>
          <c:order val="0"/>
          <c:tx>
            <c:strRef>
              <c:f>Care_Leavers!$AK$41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4912-484B-AC66-69EE79EC943A}"/>
              </c:ext>
            </c:extLst>
          </c:dPt>
          <c:cat>
            <c:strRef>
              <c:f>Care_Leavers!$Y$2:$AC$3</c:f>
              <c:strCache>
                <c:ptCount val="5"/>
                <c:pt idx="0">
                  <c:v>2014-15</c:v>
                </c:pt>
                <c:pt idx="1">
                  <c:v>2015-16</c:v>
                </c:pt>
                <c:pt idx="2">
                  <c:v>2016-17</c:v>
                </c:pt>
                <c:pt idx="3">
                  <c:v>2017-18</c:v>
                </c:pt>
                <c:pt idx="4">
                  <c:v>2018-19</c:v>
                </c:pt>
              </c:strCache>
            </c:strRef>
          </c:cat>
          <c:val>
            <c:numRef>
              <c:f>Care_Leavers!$AW$41:$BA$41</c:f>
              <c:numCache>
                <c:formatCode>0.0%</c:formatCode>
                <c:ptCount val="5"/>
                <c:pt idx="0">
                  <c:v>0.94871794871794868</c:v>
                </c:pt>
                <c:pt idx="1">
                  <c:v>0.9</c:v>
                </c:pt>
                <c:pt idx="2">
                  <c:v>0.96875</c:v>
                </c:pt>
                <c:pt idx="3">
                  <c:v>1</c:v>
                </c:pt>
                <c:pt idx="4">
                  <c:v>#N/A</c:v>
                </c:pt>
              </c:numCache>
            </c:numRef>
          </c:val>
          <c:smooth val="0"/>
          <c:extLst>
            <c:ext xmlns:c16="http://schemas.microsoft.com/office/drawing/2014/chart" uri="{C3380CC4-5D6E-409C-BE32-E72D297353CC}">
              <c16:uniqueId val="{00000001-4912-484B-AC66-69EE79EC943A}"/>
            </c:ext>
          </c:extLst>
        </c:ser>
        <c:ser>
          <c:idx val="1"/>
          <c:order val="1"/>
          <c:tx>
            <c:strRef>
              <c:f>Care_Leavers!$AK$42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Care_Leavers!$AW$42:$BA$42</c:f>
              <c:numCache>
                <c:formatCode>0.0%</c:formatCode>
                <c:ptCount val="5"/>
                <c:pt idx="0">
                  <c:v>0.94318181818181823</c:v>
                </c:pt>
                <c:pt idx="1">
                  <c:v>0.95652173913043481</c:v>
                </c:pt>
                <c:pt idx="2">
                  <c:v>0.94252873563218387</c:v>
                </c:pt>
                <c:pt idx="3">
                  <c:v>0.9128205128205128</c:v>
                </c:pt>
                <c:pt idx="4">
                  <c:v>0.90410958904109584</c:v>
                </c:pt>
              </c:numCache>
            </c:numRef>
          </c:val>
          <c:smooth val="0"/>
          <c:extLst>
            <c:ext xmlns:c16="http://schemas.microsoft.com/office/drawing/2014/chart" uri="{C3380CC4-5D6E-409C-BE32-E72D297353CC}">
              <c16:uniqueId val="{00000002-4912-484B-AC66-69EE79EC943A}"/>
            </c:ext>
          </c:extLst>
        </c:ser>
        <c:ser>
          <c:idx val="2"/>
          <c:order val="2"/>
          <c:tx>
            <c:strRef>
              <c:f>Care_Leavers!$AK$43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Care_Leavers!$AW$43:$BA$43</c:f>
              <c:numCache>
                <c:formatCode>0.0%</c:formatCode>
                <c:ptCount val="5"/>
                <c:pt idx="0">
                  <c:v>0.8</c:v>
                </c:pt>
                <c:pt idx="1">
                  <c:v>0.79470198675496684</c:v>
                </c:pt>
                <c:pt idx="2">
                  <c:v>0.68823529411764706</c:v>
                </c:pt>
                <c:pt idx="3">
                  <c:v>0.76884422110552764</c:v>
                </c:pt>
                <c:pt idx="4">
                  <c:v>0.89247311827956988</c:v>
                </c:pt>
              </c:numCache>
            </c:numRef>
          </c:val>
          <c:smooth val="0"/>
          <c:extLst>
            <c:ext xmlns:c16="http://schemas.microsoft.com/office/drawing/2014/chart" uri="{C3380CC4-5D6E-409C-BE32-E72D297353CC}">
              <c16:uniqueId val="{00000003-4912-484B-AC66-69EE79EC943A}"/>
            </c:ext>
          </c:extLst>
        </c:ser>
        <c:ser>
          <c:idx val="5"/>
          <c:order val="3"/>
          <c:tx>
            <c:strRef>
              <c:f>Care_Leavers!$AK$44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Care_Leavers!$AW$44:$BA$44</c:f>
              <c:numCache>
                <c:formatCode>0.0%</c:formatCode>
                <c:ptCount val="5"/>
                <c:pt idx="0">
                  <c:v>0.77844311377245512</c:v>
                </c:pt>
                <c:pt idx="1">
                  <c:v>0.81578947368421051</c:v>
                </c:pt>
                <c:pt idx="2">
                  <c:v>0.7651006711409396</c:v>
                </c:pt>
                <c:pt idx="3">
                  <c:v>0.77272727272727271</c:v>
                </c:pt>
                <c:pt idx="4">
                  <c:v>0.78443113772455086</c:v>
                </c:pt>
              </c:numCache>
            </c:numRef>
          </c:val>
          <c:smooth val="0"/>
          <c:extLst>
            <c:ext xmlns:c16="http://schemas.microsoft.com/office/drawing/2014/chart" uri="{C3380CC4-5D6E-409C-BE32-E72D297353CC}">
              <c16:uniqueId val="{00000004-4912-484B-AC66-69EE79EC943A}"/>
            </c:ext>
          </c:extLst>
        </c:ser>
        <c:ser>
          <c:idx val="9"/>
          <c:order val="4"/>
          <c:tx>
            <c:strRef>
              <c:f>Care_Leavers!$AK$45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Care_Leavers!$AW$45:$BA$45</c:f>
              <c:numCache>
                <c:formatCode>0.0%</c:formatCode>
                <c:ptCount val="5"/>
                <c:pt idx="0">
                  <c:v>0.73601789709172261</c:v>
                </c:pt>
                <c:pt idx="1">
                  <c:v>0.71084337349397586</c:v>
                </c:pt>
                <c:pt idx="2">
                  <c:v>0.75445544554455446</c:v>
                </c:pt>
                <c:pt idx="3">
                  <c:v>0.70754716981132071</c:v>
                </c:pt>
                <c:pt idx="4">
                  <c:v>0.65758754863813229</c:v>
                </c:pt>
              </c:numCache>
            </c:numRef>
          </c:val>
          <c:smooth val="0"/>
          <c:extLst>
            <c:ext xmlns:c16="http://schemas.microsoft.com/office/drawing/2014/chart" uri="{C3380CC4-5D6E-409C-BE32-E72D297353CC}">
              <c16:uniqueId val="{00000005-4912-484B-AC66-69EE79EC943A}"/>
            </c:ext>
          </c:extLst>
        </c:ser>
        <c:ser>
          <c:idx val="10"/>
          <c:order val="5"/>
          <c:tx>
            <c:strRef>
              <c:f>Care_Leavers!$AK$46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Care_Leavers!$AW$46:$BA$46</c:f>
              <c:numCache>
                <c:formatCode>0.0%</c:formatCode>
                <c:ptCount val="5"/>
                <c:pt idx="0">
                  <c:v>0.93023255813953487</c:v>
                </c:pt>
                <c:pt idx="1">
                  <c:v>0.91111111111111109</c:v>
                </c:pt>
                <c:pt idx="2">
                  <c:v>0.71276595744680848</c:v>
                </c:pt>
                <c:pt idx="3">
                  <c:v>#N/A</c:v>
                </c:pt>
                <c:pt idx="4">
                  <c:v>0.88764044943820219</c:v>
                </c:pt>
              </c:numCache>
            </c:numRef>
          </c:val>
          <c:smooth val="0"/>
          <c:extLst>
            <c:ext xmlns:c16="http://schemas.microsoft.com/office/drawing/2014/chart" uri="{C3380CC4-5D6E-409C-BE32-E72D297353CC}">
              <c16:uniqueId val="{00000006-4912-484B-AC66-69EE79EC943A}"/>
            </c:ext>
          </c:extLst>
        </c:ser>
        <c:ser>
          <c:idx val="11"/>
          <c:order val="6"/>
          <c:tx>
            <c:strRef>
              <c:f>Care_Leavers!$AK$47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Care_Leavers!$AW$47:$BA$47</c:f>
              <c:numCache>
                <c:formatCode>0.0%</c:formatCode>
                <c:ptCount val="5"/>
                <c:pt idx="0">
                  <c:v>0.64533053515215111</c:v>
                </c:pt>
                <c:pt idx="1">
                  <c:v>0.67513227513227514</c:v>
                </c:pt>
                <c:pt idx="2">
                  <c:v>0.76133209990749307</c:v>
                </c:pt>
                <c:pt idx="3">
                  <c:v>0.76278724981467749</c:v>
                </c:pt>
                <c:pt idx="4">
                  <c:v>0.7695852534562212</c:v>
                </c:pt>
              </c:numCache>
            </c:numRef>
          </c:val>
          <c:smooth val="0"/>
          <c:extLst>
            <c:ext xmlns:c16="http://schemas.microsoft.com/office/drawing/2014/chart" uri="{C3380CC4-5D6E-409C-BE32-E72D297353CC}">
              <c16:uniqueId val="{00000007-4912-484B-AC66-69EE79EC943A}"/>
            </c:ext>
          </c:extLst>
        </c:ser>
        <c:ser>
          <c:idx val="12"/>
          <c:order val="7"/>
          <c:tx>
            <c:strRef>
              <c:f>Care_Leavers!$AK$48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Care_Leavers!$AW$48:$BA$48</c:f>
              <c:numCache>
                <c:formatCode>0.0%</c:formatCode>
                <c:ptCount val="5"/>
                <c:pt idx="0">
                  <c:v>0.86170212765957444</c:v>
                </c:pt>
                <c:pt idx="1">
                  <c:v>0.89743589743589747</c:v>
                </c:pt>
                <c:pt idx="2">
                  <c:v>0.88034188034188032</c:v>
                </c:pt>
                <c:pt idx="3">
                  <c:v>0.9285714285714286</c:v>
                </c:pt>
                <c:pt idx="4">
                  <c:v>0.90756302521008403</c:v>
                </c:pt>
              </c:numCache>
            </c:numRef>
          </c:val>
          <c:smooth val="0"/>
          <c:extLst>
            <c:ext xmlns:c16="http://schemas.microsoft.com/office/drawing/2014/chart" uri="{C3380CC4-5D6E-409C-BE32-E72D297353CC}">
              <c16:uniqueId val="{00000008-4912-484B-AC66-69EE79EC943A}"/>
            </c:ext>
          </c:extLst>
        </c:ser>
        <c:ser>
          <c:idx val="13"/>
          <c:order val="8"/>
          <c:tx>
            <c:strRef>
              <c:f>Care_Leavers!$AK$49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Care_Leavers!$AW$49:$BA$49</c:f>
              <c:numCache>
                <c:formatCode>0.0%</c:formatCode>
                <c:ptCount val="5"/>
                <c:pt idx="0">
                  <c:v>0.73275862068965514</c:v>
                </c:pt>
                <c:pt idx="1">
                  <c:v>0.77777777777777779</c:v>
                </c:pt>
                <c:pt idx="2">
                  <c:v>0.82481751824817517</c:v>
                </c:pt>
                <c:pt idx="3">
                  <c:v>0.79865771812080533</c:v>
                </c:pt>
                <c:pt idx="4">
                  <c:v>0.81437125748502992</c:v>
                </c:pt>
              </c:numCache>
            </c:numRef>
          </c:val>
          <c:smooth val="0"/>
          <c:extLst>
            <c:ext xmlns:c16="http://schemas.microsoft.com/office/drawing/2014/chart" uri="{C3380CC4-5D6E-409C-BE32-E72D297353CC}">
              <c16:uniqueId val="{00000009-4912-484B-AC66-69EE79EC943A}"/>
            </c:ext>
          </c:extLst>
        </c:ser>
        <c:ser>
          <c:idx val="15"/>
          <c:order val="9"/>
          <c:tx>
            <c:strRef>
              <c:f>Care_Leavers!$AK$50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Care_Leavers!$AW$50:$BA$50</c:f>
              <c:numCache>
                <c:formatCode>0.0%</c:formatCode>
                <c:ptCount val="5"/>
                <c:pt idx="0">
                  <c:v>0.73207547169811316</c:v>
                </c:pt>
                <c:pt idx="1">
                  <c:v>0.70472440944881887</c:v>
                </c:pt>
                <c:pt idx="2">
                  <c:v>0.80869565217391304</c:v>
                </c:pt>
                <c:pt idx="3">
                  <c:v>0.77272727272727271</c:v>
                </c:pt>
                <c:pt idx="4">
                  <c:v>0.74545454545454548</c:v>
                </c:pt>
              </c:numCache>
            </c:numRef>
          </c:val>
          <c:smooth val="0"/>
          <c:extLst>
            <c:ext xmlns:c16="http://schemas.microsoft.com/office/drawing/2014/chart" uri="{C3380CC4-5D6E-409C-BE32-E72D297353CC}">
              <c16:uniqueId val="{0000000A-4912-484B-AC66-69EE79EC943A}"/>
            </c:ext>
          </c:extLst>
        </c:ser>
        <c:ser>
          <c:idx val="16"/>
          <c:order val="10"/>
          <c:tx>
            <c:strRef>
              <c:f>Care_Leavers!$AK$51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Care_Leavers!$AW$51:$BA$51</c:f>
              <c:numCache>
                <c:formatCode>0.0%</c:formatCode>
                <c:ptCount val="5"/>
                <c:pt idx="0">
                  <c:v>0.71287128712871284</c:v>
                </c:pt>
                <c:pt idx="1">
                  <c:v>0.63207547169811318</c:v>
                </c:pt>
                <c:pt idx="2">
                  <c:v>0.65486725663716816</c:v>
                </c:pt>
                <c:pt idx="3">
                  <c:v>0.69565217391304346</c:v>
                </c:pt>
                <c:pt idx="4">
                  <c:v>0.68292682926829273</c:v>
                </c:pt>
              </c:numCache>
            </c:numRef>
          </c:val>
          <c:smooth val="0"/>
          <c:extLst>
            <c:ext xmlns:c16="http://schemas.microsoft.com/office/drawing/2014/chart" uri="{C3380CC4-5D6E-409C-BE32-E72D297353CC}">
              <c16:uniqueId val="{0000000B-4912-484B-AC66-69EE79EC943A}"/>
            </c:ext>
          </c:extLst>
        </c:ser>
        <c:ser>
          <c:idx val="17"/>
          <c:order val="11"/>
          <c:tx>
            <c:strRef>
              <c:f>Care_Leavers!$AK$52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Care_Leavers!$AW$52:$BA$52</c:f>
              <c:numCache>
                <c:formatCode>0.0%</c:formatCode>
                <c:ptCount val="5"/>
                <c:pt idx="0">
                  <c:v>0.828125</c:v>
                </c:pt>
                <c:pt idx="1">
                  <c:v>0.8970588235294118</c:v>
                </c:pt>
                <c:pt idx="2">
                  <c:v>0.88461538461538458</c:v>
                </c:pt>
                <c:pt idx="3">
                  <c:v>0.7816091954022989</c:v>
                </c:pt>
                <c:pt idx="4">
                  <c:v>0.87755102040816324</c:v>
                </c:pt>
              </c:numCache>
            </c:numRef>
          </c:val>
          <c:smooth val="0"/>
          <c:extLst>
            <c:ext xmlns:c16="http://schemas.microsoft.com/office/drawing/2014/chart" uri="{C3380CC4-5D6E-409C-BE32-E72D297353CC}">
              <c16:uniqueId val="{0000000C-4912-484B-AC66-69EE79EC943A}"/>
            </c:ext>
          </c:extLst>
        </c:ser>
        <c:ser>
          <c:idx val="19"/>
          <c:order val="12"/>
          <c:tx>
            <c:strRef>
              <c:f>Care_Leavers!$AK$53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Care_Leavers!$AW$53:$BA$53</c:f>
              <c:numCache>
                <c:formatCode>0.0%</c:formatCode>
                <c:ptCount val="5"/>
                <c:pt idx="0">
                  <c:v>0.84210526315789469</c:v>
                </c:pt>
                <c:pt idx="1">
                  <c:v>0.6741573033707865</c:v>
                </c:pt>
                <c:pt idx="2">
                  <c:v>0.68674698795180722</c:v>
                </c:pt>
                <c:pt idx="3">
                  <c:v>0.6741573033707865</c:v>
                </c:pt>
                <c:pt idx="4">
                  <c:v>0.7931034482758621</c:v>
                </c:pt>
              </c:numCache>
            </c:numRef>
          </c:val>
          <c:smooth val="0"/>
          <c:extLst>
            <c:ext xmlns:c16="http://schemas.microsoft.com/office/drawing/2014/chart" uri="{C3380CC4-5D6E-409C-BE32-E72D297353CC}">
              <c16:uniqueId val="{0000000D-4912-484B-AC66-69EE79EC943A}"/>
            </c:ext>
          </c:extLst>
        </c:ser>
        <c:ser>
          <c:idx val="3"/>
          <c:order val="13"/>
          <c:tx>
            <c:strRef>
              <c:f>Care_Leavers!$AK$54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Care_Leavers!$AW$54:$BA$54</c:f>
              <c:numCache>
                <c:formatCode>0.0%</c:formatCode>
                <c:ptCount val="5"/>
                <c:pt idx="0">
                  <c:v>0.86617100371747213</c:v>
                </c:pt>
                <c:pt idx="1">
                  <c:v>0.88846153846153841</c:v>
                </c:pt>
                <c:pt idx="2">
                  <c:v>0.92272727272727273</c:v>
                </c:pt>
                <c:pt idx="3">
                  <c:v>0.93034825870646765</c:v>
                </c:pt>
                <c:pt idx="4">
                  <c:v>#N/A</c:v>
                </c:pt>
              </c:numCache>
            </c:numRef>
          </c:val>
          <c:smooth val="0"/>
          <c:extLst>
            <c:ext xmlns:c16="http://schemas.microsoft.com/office/drawing/2014/chart" uri="{C3380CC4-5D6E-409C-BE32-E72D297353CC}">
              <c16:uniqueId val="{0000000E-4912-484B-AC66-69EE79EC943A}"/>
            </c:ext>
          </c:extLst>
        </c:ser>
        <c:ser>
          <c:idx val="20"/>
          <c:order val="14"/>
          <c:tx>
            <c:strRef>
              <c:f>Care_Leavers!$AK$55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Care_Leavers!$AW$55:$BA$55</c:f>
              <c:numCache>
                <c:formatCode>0.0%</c:formatCode>
                <c:ptCount val="5"/>
                <c:pt idx="0">
                  <c:v>0.74380165289256195</c:v>
                </c:pt>
                <c:pt idx="1">
                  <c:v>0.63076923076923075</c:v>
                </c:pt>
                <c:pt idx="2">
                  <c:v>0.77419354838709675</c:v>
                </c:pt>
                <c:pt idx="3">
                  <c:v>0.79838709677419351</c:v>
                </c:pt>
                <c:pt idx="4">
                  <c:v>0.83464566929133854</c:v>
                </c:pt>
              </c:numCache>
            </c:numRef>
          </c:val>
          <c:smooth val="0"/>
          <c:extLst>
            <c:ext xmlns:c16="http://schemas.microsoft.com/office/drawing/2014/chart" uri="{C3380CC4-5D6E-409C-BE32-E72D297353CC}">
              <c16:uniqueId val="{0000000F-4912-484B-AC66-69EE79EC943A}"/>
            </c:ext>
          </c:extLst>
        </c:ser>
        <c:ser>
          <c:idx val="22"/>
          <c:order val="15"/>
          <c:tx>
            <c:strRef>
              <c:f>Care_Leavers!$AK$56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Care_Leavers!$AW$56:$BA$56</c:f>
              <c:numCache>
                <c:formatCode>0.0%</c:formatCode>
                <c:ptCount val="5"/>
                <c:pt idx="0">
                  <c:v>0.80672268907563027</c:v>
                </c:pt>
                <c:pt idx="1">
                  <c:v>0.84297520661157022</c:v>
                </c:pt>
                <c:pt idx="2">
                  <c:v>0.83421052631578951</c:v>
                </c:pt>
                <c:pt idx="3">
                  <c:v>0.81578947368421051</c:v>
                </c:pt>
                <c:pt idx="4">
                  <c:v>0.84842105263157896</c:v>
                </c:pt>
              </c:numCache>
            </c:numRef>
          </c:val>
          <c:smooth val="0"/>
          <c:extLst>
            <c:ext xmlns:c16="http://schemas.microsoft.com/office/drawing/2014/chart" uri="{C3380CC4-5D6E-409C-BE32-E72D297353CC}">
              <c16:uniqueId val="{00000010-4912-484B-AC66-69EE79EC943A}"/>
            </c:ext>
          </c:extLst>
        </c:ser>
        <c:ser>
          <c:idx val="7"/>
          <c:order val="16"/>
          <c:tx>
            <c:strRef>
              <c:f>Care_Leavers!$AK$57</c:f>
              <c:strCache>
                <c:ptCount val="1"/>
                <c:pt idx="0">
                  <c:v>Swindon</c:v>
                </c:pt>
              </c:strCache>
            </c:strRef>
          </c:tx>
          <c:spPr>
            <a:ln w="15875"/>
          </c:spPr>
          <c:marker>
            <c:symbol val="triangle"/>
            <c:size val="5"/>
            <c:spPr>
              <a:solidFill>
                <a:schemeClr val="accent2">
                  <a:lumMod val="20000"/>
                  <a:lumOff val="80000"/>
                </a:schemeClr>
              </a:solidFill>
            </c:spPr>
          </c:marker>
          <c:cat>
            <c:strRef>
              <c:f>Care_Leavers!$Y$2:$AC$3</c:f>
              <c:strCache>
                <c:ptCount val="5"/>
                <c:pt idx="0">
                  <c:v>2014-15</c:v>
                </c:pt>
                <c:pt idx="1">
                  <c:v>2015-16</c:v>
                </c:pt>
                <c:pt idx="2">
                  <c:v>2016-17</c:v>
                </c:pt>
                <c:pt idx="3">
                  <c:v>2017-18</c:v>
                </c:pt>
                <c:pt idx="4">
                  <c:v>2018-19</c:v>
                </c:pt>
              </c:strCache>
            </c:strRef>
          </c:cat>
          <c:val>
            <c:numRef>
              <c:f>Care_Leavers!$AW$57:$BA$57</c:f>
              <c:numCache>
                <c:formatCode>0.0%</c:formatCode>
                <c:ptCount val="5"/>
                <c:pt idx="0">
                  <c:v>0.75539568345323738</c:v>
                </c:pt>
                <c:pt idx="1">
                  <c:v>0.84507042253521125</c:v>
                </c:pt>
                <c:pt idx="2">
                  <c:v>0.83464566929133854</c:v>
                </c:pt>
                <c:pt idx="3">
                  <c:v>0.88709677419354838</c:v>
                </c:pt>
                <c:pt idx="4">
                  <c:v>0.82222222222222219</c:v>
                </c:pt>
              </c:numCache>
            </c:numRef>
          </c:val>
          <c:smooth val="0"/>
          <c:extLst>
            <c:ext xmlns:c16="http://schemas.microsoft.com/office/drawing/2014/chart" uri="{C3380CC4-5D6E-409C-BE32-E72D297353CC}">
              <c16:uniqueId val="{00000011-4912-484B-AC66-69EE79EC943A}"/>
            </c:ext>
          </c:extLst>
        </c:ser>
        <c:ser>
          <c:idx val="8"/>
          <c:order val="17"/>
          <c:tx>
            <c:strRef>
              <c:f>Care_Leavers!$AK$58</c:f>
              <c:strCache>
                <c:ptCount val="1"/>
                <c:pt idx="0">
                  <c:v>Torbay</c:v>
                </c:pt>
              </c:strCache>
            </c:strRef>
          </c:tx>
          <c:spPr>
            <a:ln w="15875"/>
          </c:spPr>
          <c:marker>
            <c:symbol val="circle"/>
            <c:size val="5"/>
            <c:spPr>
              <a:solidFill>
                <a:schemeClr val="accent3">
                  <a:lumMod val="20000"/>
                  <a:lumOff val="80000"/>
                </a:schemeClr>
              </a:solidFill>
            </c:spPr>
          </c:marker>
          <c:cat>
            <c:strRef>
              <c:f>Care_Leavers!$Y$2:$AC$3</c:f>
              <c:strCache>
                <c:ptCount val="5"/>
                <c:pt idx="0">
                  <c:v>2014-15</c:v>
                </c:pt>
                <c:pt idx="1">
                  <c:v>2015-16</c:v>
                </c:pt>
                <c:pt idx="2">
                  <c:v>2016-17</c:v>
                </c:pt>
                <c:pt idx="3">
                  <c:v>2017-18</c:v>
                </c:pt>
                <c:pt idx="4">
                  <c:v>2018-19</c:v>
                </c:pt>
              </c:strCache>
            </c:strRef>
          </c:cat>
          <c:val>
            <c:numRef>
              <c:f>Care_Leavers!$AW$58:$BA$58</c:f>
              <c:numCache>
                <c:formatCode>0.0%</c:formatCode>
                <c:ptCount val="5"/>
                <c:pt idx="0">
                  <c:v>0.97142857142857142</c:v>
                </c:pt>
                <c:pt idx="1">
                  <c:v>0.9375</c:v>
                </c:pt>
                <c:pt idx="2">
                  <c:v>0.94680851063829785</c:v>
                </c:pt>
                <c:pt idx="3">
                  <c:v>#N/A</c:v>
                </c:pt>
                <c:pt idx="4">
                  <c:v>0.91346153846153844</c:v>
                </c:pt>
              </c:numCache>
            </c:numRef>
          </c:val>
          <c:smooth val="0"/>
          <c:extLst>
            <c:ext xmlns:c16="http://schemas.microsoft.com/office/drawing/2014/chart" uri="{C3380CC4-5D6E-409C-BE32-E72D297353CC}">
              <c16:uniqueId val="{00000012-4912-484B-AC66-69EE79EC943A}"/>
            </c:ext>
          </c:extLst>
        </c:ser>
        <c:ser>
          <c:idx val="23"/>
          <c:order val="18"/>
          <c:tx>
            <c:strRef>
              <c:f>Care_Leavers!$AK$59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Care_Leavers!$AW$59:$BA$59</c:f>
              <c:numCache>
                <c:formatCode>0.0%</c:formatCode>
                <c:ptCount val="5"/>
                <c:pt idx="0">
                  <c:v>0.8035714285714286</c:v>
                </c:pt>
                <c:pt idx="1">
                  <c:v>0.69090909090909092</c:v>
                </c:pt>
                <c:pt idx="2">
                  <c:v>0.6428571428571429</c:v>
                </c:pt>
                <c:pt idx="3">
                  <c:v>0.70512820512820518</c:v>
                </c:pt>
                <c:pt idx="4">
                  <c:v>#N/A</c:v>
                </c:pt>
              </c:numCache>
            </c:numRef>
          </c:val>
          <c:smooth val="0"/>
          <c:extLst>
            <c:ext xmlns:c16="http://schemas.microsoft.com/office/drawing/2014/chart" uri="{C3380CC4-5D6E-409C-BE32-E72D297353CC}">
              <c16:uniqueId val="{00000013-4912-484B-AC66-69EE79EC943A}"/>
            </c:ext>
          </c:extLst>
        </c:ser>
        <c:ser>
          <c:idx val="24"/>
          <c:order val="19"/>
          <c:tx>
            <c:strRef>
              <c:f>Care_Leavers!$AK$60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Care_Leavers!$AW$60:$BA$60</c:f>
              <c:numCache>
                <c:formatCode>0.0%</c:formatCode>
                <c:ptCount val="5"/>
                <c:pt idx="0">
                  <c:v>0.80685358255451711</c:v>
                </c:pt>
                <c:pt idx="1">
                  <c:v>0.84918032786885245</c:v>
                </c:pt>
                <c:pt idx="2">
                  <c:v>0.90342679127725856</c:v>
                </c:pt>
                <c:pt idx="3">
                  <c:v>0.91379310344827591</c:v>
                </c:pt>
                <c:pt idx="4">
                  <c:v>0.87603305785123964</c:v>
                </c:pt>
              </c:numCache>
            </c:numRef>
          </c:val>
          <c:smooth val="0"/>
          <c:extLst>
            <c:ext xmlns:c16="http://schemas.microsoft.com/office/drawing/2014/chart" uri="{C3380CC4-5D6E-409C-BE32-E72D297353CC}">
              <c16:uniqueId val="{00000014-4912-484B-AC66-69EE79EC943A}"/>
            </c:ext>
          </c:extLst>
        </c:ser>
        <c:ser>
          <c:idx val="25"/>
          <c:order val="20"/>
          <c:tx>
            <c:strRef>
              <c:f>Care_Leavers!$AK$61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Care_Leavers!$AW$61:$BA$61</c:f>
              <c:numCache>
                <c:formatCode>0.0%</c:formatCode>
                <c:ptCount val="5"/>
                <c:pt idx="0">
                  <c:v>0.69387755102040816</c:v>
                </c:pt>
                <c:pt idx="1">
                  <c:v>0.69047619047619047</c:v>
                </c:pt>
                <c:pt idx="2">
                  <c:v>0.77777777777777779</c:v>
                </c:pt>
                <c:pt idx="3">
                  <c:v>0.6875</c:v>
                </c:pt>
                <c:pt idx="4">
                  <c:v>0.875</c:v>
                </c:pt>
              </c:numCache>
            </c:numRef>
          </c:val>
          <c:smooth val="0"/>
          <c:extLst>
            <c:ext xmlns:c16="http://schemas.microsoft.com/office/drawing/2014/chart" uri="{C3380CC4-5D6E-409C-BE32-E72D297353CC}">
              <c16:uniqueId val="{00000015-4912-484B-AC66-69EE79EC943A}"/>
            </c:ext>
          </c:extLst>
        </c:ser>
        <c:ser>
          <c:idx val="26"/>
          <c:order val="21"/>
          <c:tx>
            <c:strRef>
              <c:f>Care_Leavers!$AK$62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Care_Leavers!$AW$62:$BA$62</c:f>
              <c:numCache>
                <c:formatCode>0.0%</c:formatCode>
                <c:ptCount val="5"/>
                <c:pt idx="0">
                  <c:v>0.92307692307692313</c:v>
                </c:pt>
                <c:pt idx="1">
                  <c:v>0.77419354838709675</c:v>
                </c:pt>
                <c:pt idx="2">
                  <c:v>0.84375</c:v>
                </c:pt>
                <c:pt idx="3">
                  <c:v>#N/A</c:v>
                </c:pt>
                <c:pt idx="4">
                  <c:v>#N/A</c:v>
                </c:pt>
              </c:numCache>
            </c:numRef>
          </c:val>
          <c:smooth val="0"/>
          <c:extLst>
            <c:ext xmlns:c16="http://schemas.microsoft.com/office/drawing/2014/chart" uri="{C3380CC4-5D6E-409C-BE32-E72D297353CC}">
              <c16:uniqueId val="{00000016-4912-484B-AC66-69EE79EC943A}"/>
            </c:ext>
          </c:extLst>
        </c:ser>
        <c:ser>
          <c:idx val="4"/>
          <c:order val="22"/>
          <c:tx>
            <c:strRef>
              <c:f>Care_Leavers!$AK$63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Care_Leavers!$AW$63:$BA$63</c:f>
              <c:numCache>
                <c:formatCode>0.0%</c:formatCode>
                <c:ptCount val="5"/>
                <c:pt idx="0">
                  <c:v>0.7573333333333333</c:v>
                </c:pt>
                <c:pt idx="1">
                  <c:v>0.7573333333333333</c:v>
                </c:pt>
                <c:pt idx="2">
                  <c:v>0.79081632653061229</c:v>
                </c:pt>
                <c:pt idx="3">
                  <c:v>0.78863636363636369</c:v>
                </c:pt>
                <c:pt idx="4">
                  <c:v>0.79789473684210521</c:v>
                </c:pt>
              </c:numCache>
            </c:numRef>
          </c:val>
          <c:smooth val="0"/>
          <c:extLst>
            <c:ext xmlns:c16="http://schemas.microsoft.com/office/drawing/2014/chart" uri="{C3380CC4-5D6E-409C-BE32-E72D297353CC}">
              <c16:uniqueId val="{00000017-4912-484B-AC66-69EE79EC943A}"/>
            </c:ext>
          </c:extLst>
        </c:ser>
        <c:ser>
          <c:idx val="6"/>
          <c:order val="23"/>
          <c:tx>
            <c:strRef>
              <c:f>Care_Leavers!$AK$64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2014-15</c:v>
                </c:pt>
                <c:pt idx="1">
                  <c:v>2015-16</c:v>
                </c:pt>
                <c:pt idx="2">
                  <c:v>2016-17</c:v>
                </c:pt>
                <c:pt idx="3">
                  <c:v>2017-18</c:v>
                </c:pt>
                <c:pt idx="4">
                  <c:v>2018-19</c:v>
                </c:pt>
              </c:strCache>
            </c:strRef>
          </c:cat>
          <c:val>
            <c:numRef>
              <c:f>Care_Leavers!$AW$64:$BA$64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4912-484B-AC66-69EE79EC943A}"/>
            </c:ext>
          </c:extLst>
        </c:ser>
        <c:dLbls>
          <c:showLegendKey val="0"/>
          <c:showVal val="0"/>
          <c:showCatName val="0"/>
          <c:showSerName val="0"/>
          <c:showPercent val="0"/>
          <c:showBubbleSize val="0"/>
        </c:dLbls>
        <c:marker val="1"/>
        <c:smooth val="0"/>
        <c:axId val="317133568"/>
        <c:axId val="317135488"/>
      </c:lineChart>
      <c:catAx>
        <c:axId val="31713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135488"/>
        <c:crosses val="autoZero"/>
        <c:auto val="1"/>
        <c:lblAlgn val="ctr"/>
        <c:lblOffset val="100"/>
        <c:tickLblSkip val="1"/>
        <c:tickMarkSkip val="1"/>
        <c:noMultiLvlLbl val="0"/>
      </c:catAx>
      <c:valAx>
        <c:axId val="31713548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13356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181229189807188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a:t>
            </a:r>
            <a:r>
              <a:rPr lang="en-GB" sz="900" b="1" i="0" u="none" strike="noStrike" baseline="0">
                <a:effectLst/>
              </a:rPr>
              <a:t>Care leavers aged 19-21 who were 'In Touch</a:t>
            </a:r>
            <a:endParaRPr lang="en-GB" sz="900" baseline="0"/>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4973746463510243"/>
          <c:y val="3.8616300816810812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2014-15</c:v>
                </c:pt>
                <c:pt idx="1">
                  <c:v>2015-16</c:v>
                </c:pt>
                <c:pt idx="2">
                  <c:v>2016-17</c:v>
                </c:pt>
                <c:pt idx="3">
                  <c:v>2017-18</c:v>
                </c:pt>
                <c:pt idx="4">
                  <c:v>2018-19</c:v>
                </c:pt>
              </c:strCache>
            </c:strRef>
          </c:cat>
          <c:val>
            <c:numRef>
              <c:f>Care_Leavers!$AR$64:$AV$64</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6680-4564-9AF8-B1AA91A67ECB}"/>
            </c:ext>
          </c:extLst>
        </c:ser>
        <c:ser>
          <c:idx val="4"/>
          <c:order val="1"/>
          <c:tx>
            <c:strRef>
              <c:f>Care_Leavers!$B$135</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2014-15</c:v>
                </c:pt>
                <c:pt idx="1">
                  <c:v>2015-16</c:v>
                </c:pt>
                <c:pt idx="2">
                  <c:v>2016-17</c:v>
                </c:pt>
                <c:pt idx="3">
                  <c:v>2017-18</c:v>
                </c:pt>
                <c:pt idx="4">
                  <c:v>2018-19</c:v>
                </c:pt>
              </c:strCache>
            </c:strRef>
          </c:cat>
          <c:val>
            <c:numRef>
              <c:f>Care_Leavers!$D$99:$H$99</c:f>
              <c:numCache>
                <c:formatCode>0%</c:formatCode>
                <c:ptCount val="5"/>
                <c:pt idx="0">
                  <c:v>#N/A</c:v>
                </c:pt>
                <c:pt idx="1">
                  <c:v>#N/A</c:v>
                </c:pt>
                <c:pt idx="2">
                  <c:v>0.84948979591836737</c:v>
                </c:pt>
                <c:pt idx="3">
                  <c:v>0.84090909090909094</c:v>
                </c:pt>
                <c:pt idx="4">
                  <c:v>0.86526315789473685</c:v>
                </c:pt>
              </c:numCache>
            </c:numRef>
          </c:val>
          <c:extLst>
            <c:ext xmlns:c16="http://schemas.microsoft.com/office/drawing/2014/chart" uri="{C3380CC4-5D6E-409C-BE32-E72D297353CC}">
              <c16:uniqueId val="{00000001-6680-4564-9AF8-B1AA91A67ECB}"/>
            </c:ext>
          </c:extLst>
        </c:ser>
        <c:dLbls>
          <c:showLegendKey val="0"/>
          <c:showVal val="0"/>
          <c:showCatName val="0"/>
          <c:showSerName val="0"/>
          <c:showPercent val="0"/>
          <c:showBubbleSize val="0"/>
        </c:dLbls>
        <c:gapWidth val="100"/>
        <c:axId val="317160832"/>
        <c:axId val="317191296"/>
      </c:barChart>
      <c:catAx>
        <c:axId val="31716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191296"/>
        <c:crosses val="autoZero"/>
        <c:auto val="1"/>
        <c:lblAlgn val="ctr"/>
        <c:lblOffset val="100"/>
        <c:noMultiLvlLbl val="0"/>
      </c:catAx>
      <c:valAx>
        <c:axId val="31719129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16083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Touch'</a:t>
            </a:r>
          </a:p>
        </c:rich>
      </c:tx>
      <c:layout>
        <c:manualLayout>
          <c:xMode val="edge"/>
          <c:yMode val="edge"/>
          <c:x val="0.17975815523059618"/>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Care_Leavers!$AK$41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4D4-4862-B6E8-9CFBFB927754}"/>
              </c:ext>
            </c:extLst>
          </c:dPt>
          <c:cat>
            <c:strRef>
              <c:f>Care_Leavers!$Y$2:$AC$3</c:f>
              <c:strCache>
                <c:ptCount val="5"/>
                <c:pt idx="0">
                  <c:v>2014-15</c:v>
                </c:pt>
                <c:pt idx="1">
                  <c:v>2015-16</c:v>
                </c:pt>
                <c:pt idx="2">
                  <c:v>2016-17</c:v>
                </c:pt>
                <c:pt idx="3">
                  <c:v>2017-18</c:v>
                </c:pt>
                <c:pt idx="4">
                  <c:v>2018-19</c:v>
                </c:pt>
              </c:strCache>
            </c:strRef>
          </c:cat>
          <c:val>
            <c:numRef>
              <c:f>Care_Leavers!$AR$41:$AV$41</c:f>
              <c:numCache>
                <c:formatCode>0.0%</c:formatCode>
                <c:ptCount val="5"/>
                <c:pt idx="0">
                  <c:v>#N/A</c:v>
                </c:pt>
                <c:pt idx="1">
                  <c:v>#N/A</c:v>
                </c:pt>
                <c:pt idx="2">
                  <c:v>1</c:v>
                </c:pt>
                <c:pt idx="3">
                  <c:v>1</c:v>
                </c:pt>
                <c:pt idx="4">
                  <c:v>0.53191489361702127</c:v>
                </c:pt>
              </c:numCache>
            </c:numRef>
          </c:val>
          <c:smooth val="0"/>
          <c:extLst>
            <c:ext xmlns:c16="http://schemas.microsoft.com/office/drawing/2014/chart" uri="{C3380CC4-5D6E-409C-BE32-E72D297353CC}">
              <c16:uniqueId val="{00000001-94D4-4862-B6E8-9CFBFB927754}"/>
            </c:ext>
          </c:extLst>
        </c:ser>
        <c:ser>
          <c:idx val="1"/>
          <c:order val="1"/>
          <c:tx>
            <c:strRef>
              <c:f>Care_Leavers!$AK$42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Care_Leavers!$AR$42:$AV$42</c:f>
              <c:numCache>
                <c:formatCode>0.0%</c:formatCode>
                <c:ptCount val="5"/>
                <c:pt idx="0">
                  <c:v>#N/A</c:v>
                </c:pt>
                <c:pt idx="1">
                  <c:v>#N/A</c:v>
                </c:pt>
                <c:pt idx="2">
                  <c:v>#N/A</c:v>
                </c:pt>
                <c:pt idx="3">
                  <c:v>#N/A</c:v>
                </c:pt>
                <c:pt idx="4">
                  <c:v>0.9634703196347032</c:v>
                </c:pt>
              </c:numCache>
            </c:numRef>
          </c:val>
          <c:smooth val="0"/>
          <c:extLst>
            <c:ext xmlns:c16="http://schemas.microsoft.com/office/drawing/2014/chart" uri="{C3380CC4-5D6E-409C-BE32-E72D297353CC}">
              <c16:uniqueId val="{00000002-94D4-4862-B6E8-9CFBFB927754}"/>
            </c:ext>
          </c:extLst>
        </c:ser>
        <c:ser>
          <c:idx val="2"/>
          <c:order val="2"/>
          <c:tx>
            <c:strRef>
              <c:f>Care_Leavers!$AK$43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Care_Leavers!$AR$43:$AV$43</c:f>
              <c:numCache>
                <c:formatCode>0.0%</c:formatCode>
                <c:ptCount val="5"/>
                <c:pt idx="0">
                  <c:v>#N/A</c:v>
                </c:pt>
                <c:pt idx="1">
                  <c:v>#N/A</c:v>
                </c:pt>
                <c:pt idx="2">
                  <c:v>0.73529411764705888</c:v>
                </c:pt>
                <c:pt idx="3">
                  <c:v>0.78894472361809043</c:v>
                </c:pt>
                <c:pt idx="4">
                  <c:v>0.956989247311828</c:v>
                </c:pt>
              </c:numCache>
            </c:numRef>
          </c:val>
          <c:smooth val="0"/>
          <c:extLst>
            <c:ext xmlns:c16="http://schemas.microsoft.com/office/drawing/2014/chart" uri="{C3380CC4-5D6E-409C-BE32-E72D297353CC}">
              <c16:uniqueId val="{00000003-94D4-4862-B6E8-9CFBFB927754}"/>
            </c:ext>
          </c:extLst>
        </c:ser>
        <c:ser>
          <c:idx val="5"/>
          <c:order val="3"/>
          <c:tx>
            <c:strRef>
              <c:f>Care_Leavers!$AK$44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Care_Leavers!$AR$44:$AV$44</c:f>
              <c:numCache>
                <c:formatCode>0.0%</c:formatCode>
                <c:ptCount val="5"/>
                <c:pt idx="0">
                  <c:v>#N/A</c:v>
                </c:pt>
                <c:pt idx="1">
                  <c:v>#N/A</c:v>
                </c:pt>
                <c:pt idx="2">
                  <c:v>0.8523489932885906</c:v>
                </c:pt>
                <c:pt idx="3">
                  <c:v>0.79220779220779225</c:v>
                </c:pt>
                <c:pt idx="4">
                  <c:v>0.85029940119760483</c:v>
                </c:pt>
              </c:numCache>
            </c:numRef>
          </c:val>
          <c:smooth val="0"/>
          <c:extLst>
            <c:ext xmlns:c16="http://schemas.microsoft.com/office/drawing/2014/chart" uri="{C3380CC4-5D6E-409C-BE32-E72D297353CC}">
              <c16:uniqueId val="{00000004-94D4-4862-B6E8-9CFBFB927754}"/>
            </c:ext>
          </c:extLst>
        </c:ser>
        <c:ser>
          <c:idx val="9"/>
          <c:order val="4"/>
          <c:tx>
            <c:strRef>
              <c:f>Care_Leavers!$AK$45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Care_Leavers!$AR$45:$AV$45</c:f>
              <c:numCache>
                <c:formatCode>0.0%</c:formatCode>
                <c:ptCount val="5"/>
                <c:pt idx="0">
                  <c:v>#N/A</c:v>
                </c:pt>
                <c:pt idx="1">
                  <c:v>#N/A</c:v>
                </c:pt>
                <c:pt idx="2">
                  <c:v>0.81980198019801975</c:v>
                </c:pt>
                <c:pt idx="3">
                  <c:v>0.80188679245283023</c:v>
                </c:pt>
                <c:pt idx="4">
                  <c:v>0.72957198443579763</c:v>
                </c:pt>
              </c:numCache>
            </c:numRef>
          </c:val>
          <c:smooth val="0"/>
          <c:extLst>
            <c:ext xmlns:c16="http://schemas.microsoft.com/office/drawing/2014/chart" uri="{C3380CC4-5D6E-409C-BE32-E72D297353CC}">
              <c16:uniqueId val="{00000005-94D4-4862-B6E8-9CFBFB927754}"/>
            </c:ext>
          </c:extLst>
        </c:ser>
        <c:ser>
          <c:idx val="10"/>
          <c:order val="5"/>
          <c:tx>
            <c:strRef>
              <c:f>Care_Leavers!$AK$46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Care_Leavers!$AR$46:$AV$46</c:f>
              <c:numCache>
                <c:formatCode>0.0%</c:formatCode>
                <c:ptCount val="5"/>
                <c:pt idx="0">
                  <c:v>#N/A</c:v>
                </c:pt>
                <c:pt idx="1">
                  <c:v>#N/A</c:v>
                </c:pt>
                <c:pt idx="2">
                  <c:v>0.82978723404255317</c:v>
                </c:pt>
                <c:pt idx="3">
                  <c:v>#N/A</c:v>
                </c:pt>
                <c:pt idx="4">
                  <c:v>1</c:v>
                </c:pt>
              </c:numCache>
            </c:numRef>
          </c:val>
          <c:smooth val="0"/>
          <c:extLst>
            <c:ext xmlns:c16="http://schemas.microsoft.com/office/drawing/2014/chart" uri="{C3380CC4-5D6E-409C-BE32-E72D297353CC}">
              <c16:uniqueId val="{00000006-94D4-4862-B6E8-9CFBFB927754}"/>
            </c:ext>
          </c:extLst>
        </c:ser>
        <c:ser>
          <c:idx val="11"/>
          <c:order val="6"/>
          <c:tx>
            <c:strRef>
              <c:f>Care_Leavers!$AK$47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Care_Leavers!$AR$47:$AV$47</c:f>
              <c:numCache>
                <c:formatCode>0.0%</c:formatCode>
                <c:ptCount val="5"/>
                <c:pt idx="0">
                  <c:v>#N/A</c:v>
                </c:pt>
                <c:pt idx="1">
                  <c:v>#N/A</c:v>
                </c:pt>
                <c:pt idx="2">
                  <c:v>0.81128584643848289</c:v>
                </c:pt>
                <c:pt idx="3">
                  <c:v>0.81541882876204597</c:v>
                </c:pt>
                <c:pt idx="4">
                  <c:v>0.82949308755760365</c:v>
                </c:pt>
              </c:numCache>
            </c:numRef>
          </c:val>
          <c:smooth val="0"/>
          <c:extLst>
            <c:ext xmlns:c16="http://schemas.microsoft.com/office/drawing/2014/chart" uri="{C3380CC4-5D6E-409C-BE32-E72D297353CC}">
              <c16:uniqueId val="{00000007-94D4-4862-B6E8-9CFBFB927754}"/>
            </c:ext>
          </c:extLst>
        </c:ser>
        <c:ser>
          <c:idx val="12"/>
          <c:order val="7"/>
          <c:tx>
            <c:strRef>
              <c:f>Care_Leavers!$AK$48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Care_Leavers!$AR$48:$AV$48</c:f>
              <c:numCache>
                <c:formatCode>0.0%</c:formatCode>
                <c:ptCount val="5"/>
                <c:pt idx="0">
                  <c:v>#N/A</c:v>
                </c:pt>
                <c:pt idx="1">
                  <c:v>#N/A</c:v>
                </c:pt>
                <c:pt idx="2">
                  <c:v>#N/A</c:v>
                </c:pt>
                <c:pt idx="3">
                  <c:v>#N/A</c:v>
                </c:pt>
                <c:pt idx="4">
                  <c:v>0.49579831932773111</c:v>
                </c:pt>
              </c:numCache>
            </c:numRef>
          </c:val>
          <c:smooth val="0"/>
          <c:extLst>
            <c:ext xmlns:c16="http://schemas.microsoft.com/office/drawing/2014/chart" uri="{C3380CC4-5D6E-409C-BE32-E72D297353CC}">
              <c16:uniqueId val="{00000008-94D4-4862-B6E8-9CFBFB927754}"/>
            </c:ext>
          </c:extLst>
        </c:ser>
        <c:ser>
          <c:idx val="13"/>
          <c:order val="8"/>
          <c:tx>
            <c:strRef>
              <c:f>Care_Leavers!$AK$49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Care_Leavers!$AR$49:$AV$49</c:f>
              <c:numCache>
                <c:formatCode>0.0%</c:formatCode>
                <c:ptCount val="5"/>
                <c:pt idx="0">
                  <c:v>#N/A</c:v>
                </c:pt>
                <c:pt idx="1">
                  <c:v>#N/A</c:v>
                </c:pt>
                <c:pt idx="2">
                  <c:v>0.82481751824817517</c:v>
                </c:pt>
                <c:pt idx="3">
                  <c:v>0.86577181208053688</c:v>
                </c:pt>
                <c:pt idx="4">
                  <c:v>0.91017964071856283</c:v>
                </c:pt>
              </c:numCache>
            </c:numRef>
          </c:val>
          <c:smooth val="0"/>
          <c:extLst>
            <c:ext xmlns:c16="http://schemas.microsoft.com/office/drawing/2014/chart" uri="{C3380CC4-5D6E-409C-BE32-E72D297353CC}">
              <c16:uniqueId val="{00000009-94D4-4862-B6E8-9CFBFB927754}"/>
            </c:ext>
          </c:extLst>
        </c:ser>
        <c:ser>
          <c:idx val="15"/>
          <c:order val="9"/>
          <c:tx>
            <c:strRef>
              <c:f>Care_Leavers!$AK$50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Care_Leavers!$AR$50:$AV$50</c:f>
              <c:numCache>
                <c:formatCode>0.0%</c:formatCode>
                <c:ptCount val="5"/>
                <c:pt idx="0">
                  <c:v>#N/A</c:v>
                </c:pt>
                <c:pt idx="1">
                  <c:v>#N/A</c:v>
                </c:pt>
                <c:pt idx="2">
                  <c:v>0.86086956521739133</c:v>
                </c:pt>
                <c:pt idx="3">
                  <c:v>0.81818181818181823</c:v>
                </c:pt>
                <c:pt idx="4">
                  <c:v>0.81818181818181823</c:v>
                </c:pt>
              </c:numCache>
            </c:numRef>
          </c:val>
          <c:smooth val="0"/>
          <c:extLst>
            <c:ext xmlns:c16="http://schemas.microsoft.com/office/drawing/2014/chart" uri="{C3380CC4-5D6E-409C-BE32-E72D297353CC}">
              <c16:uniqueId val="{0000000A-94D4-4862-B6E8-9CFBFB927754}"/>
            </c:ext>
          </c:extLst>
        </c:ser>
        <c:ser>
          <c:idx val="16"/>
          <c:order val="10"/>
          <c:tx>
            <c:strRef>
              <c:f>Care_Leavers!$AK$51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Care_Leavers!$AR$51:$AV$51</c:f>
              <c:numCache>
                <c:formatCode>0.0%</c:formatCode>
                <c:ptCount val="5"/>
                <c:pt idx="0">
                  <c:v>#N/A</c:v>
                </c:pt>
                <c:pt idx="1">
                  <c:v>#N/A</c:v>
                </c:pt>
                <c:pt idx="2">
                  <c:v>0.79646017699115046</c:v>
                </c:pt>
                <c:pt idx="3">
                  <c:v>0.76521739130434785</c:v>
                </c:pt>
                <c:pt idx="4">
                  <c:v>0.77235772357723576</c:v>
                </c:pt>
              </c:numCache>
            </c:numRef>
          </c:val>
          <c:smooth val="0"/>
          <c:extLst>
            <c:ext xmlns:c16="http://schemas.microsoft.com/office/drawing/2014/chart" uri="{C3380CC4-5D6E-409C-BE32-E72D297353CC}">
              <c16:uniqueId val="{0000000B-94D4-4862-B6E8-9CFBFB927754}"/>
            </c:ext>
          </c:extLst>
        </c:ser>
        <c:ser>
          <c:idx val="17"/>
          <c:order val="11"/>
          <c:tx>
            <c:strRef>
              <c:f>Care_Leavers!$AK$52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Care_Leavers!$AR$52:$AV$52</c:f>
              <c:numCache>
                <c:formatCode>0.0%</c:formatCode>
                <c:ptCount val="5"/>
                <c:pt idx="0">
                  <c:v>#N/A</c:v>
                </c:pt>
                <c:pt idx="1">
                  <c:v>#N/A</c:v>
                </c:pt>
                <c:pt idx="2">
                  <c:v>0.91025641025641024</c:v>
                </c:pt>
                <c:pt idx="3">
                  <c:v>0.83908045977011492</c:v>
                </c:pt>
                <c:pt idx="4">
                  <c:v>0.48979591836734693</c:v>
                </c:pt>
              </c:numCache>
            </c:numRef>
          </c:val>
          <c:smooth val="0"/>
          <c:extLst>
            <c:ext xmlns:c16="http://schemas.microsoft.com/office/drawing/2014/chart" uri="{C3380CC4-5D6E-409C-BE32-E72D297353CC}">
              <c16:uniqueId val="{0000000C-94D4-4862-B6E8-9CFBFB927754}"/>
            </c:ext>
          </c:extLst>
        </c:ser>
        <c:ser>
          <c:idx val="19"/>
          <c:order val="12"/>
          <c:tx>
            <c:strRef>
              <c:f>Care_Leavers!$AK$53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Care_Leavers!$AR$53:$AV$53</c:f>
              <c:numCache>
                <c:formatCode>0.0%</c:formatCode>
                <c:ptCount val="5"/>
                <c:pt idx="0">
                  <c:v>#N/A</c:v>
                </c:pt>
                <c:pt idx="1">
                  <c:v>#N/A</c:v>
                </c:pt>
                <c:pt idx="2">
                  <c:v>0.77108433734939763</c:v>
                </c:pt>
                <c:pt idx="3">
                  <c:v>0.8314606741573034</c:v>
                </c:pt>
                <c:pt idx="4">
                  <c:v>0.90804597701149425</c:v>
                </c:pt>
              </c:numCache>
            </c:numRef>
          </c:val>
          <c:smooth val="0"/>
          <c:extLst>
            <c:ext xmlns:c16="http://schemas.microsoft.com/office/drawing/2014/chart" uri="{C3380CC4-5D6E-409C-BE32-E72D297353CC}">
              <c16:uniqueId val="{0000000D-94D4-4862-B6E8-9CFBFB927754}"/>
            </c:ext>
          </c:extLst>
        </c:ser>
        <c:ser>
          <c:idx val="3"/>
          <c:order val="13"/>
          <c:tx>
            <c:strRef>
              <c:f>Care_Leavers!$AK$54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Care_Leavers!$AR$54:$AV$54</c:f>
              <c:numCache>
                <c:formatCode>0.0%</c:formatCode>
                <c:ptCount val="5"/>
                <c:pt idx="0">
                  <c:v>#N/A</c:v>
                </c:pt>
                <c:pt idx="1">
                  <c:v>#N/A</c:v>
                </c:pt>
                <c:pt idx="2">
                  <c:v>0.97272727272727277</c:v>
                </c:pt>
                <c:pt idx="3">
                  <c:v>#N/A</c:v>
                </c:pt>
                <c:pt idx="4">
                  <c:v>0.574585635359116</c:v>
                </c:pt>
              </c:numCache>
            </c:numRef>
          </c:val>
          <c:smooth val="0"/>
          <c:extLst>
            <c:ext xmlns:c16="http://schemas.microsoft.com/office/drawing/2014/chart" uri="{C3380CC4-5D6E-409C-BE32-E72D297353CC}">
              <c16:uniqueId val="{0000000E-94D4-4862-B6E8-9CFBFB927754}"/>
            </c:ext>
          </c:extLst>
        </c:ser>
        <c:ser>
          <c:idx val="20"/>
          <c:order val="14"/>
          <c:tx>
            <c:strRef>
              <c:f>Care_Leavers!$AK$55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Care_Leavers!$AR$55:$AV$55</c:f>
              <c:numCache>
                <c:formatCode>0.0%</c:formatCode>
                <c:ptCount val="5"/>
                <c:pt idx="0">
                  <c:v>#N/A</c:v>
                </c:pt>
                <c:pt idx="1">
                  <c:v>#N/A</c:v>
                </c:pt>
                <c:pt idx="2">
                  <c:v>0.87096774193548387</c:v>
                </c:pt>
                <c:pt idx="3">
                  <c:v>0.86290322580645162</c:v>
                </c:pt>
                <c:pt idx="4">
                  <c:v>0.93700787401574803</c:v>
                </c:pt>
              </c:numCache>
            </c:numRef>
          </c:val>
          <c:smooth val="0"/>
          <c:extLst>
            <c:ext xmlns:c16="http://schemas.microsoft.com/office/drawing/2014/chart" uri="{C3380CC4-5D6E-409C-BE32-E72D297353CC}">
              <c16:uniqueId val="{0000000F-94D4-4862-B6E8-9CFBFB927754}"/>
            </c:ext>
          </c:extLst>
        </c:ser>
        <c:ser>
          <c:idx val="22"/>
          <c:order val="15"/>
          <c:tx>
            <c:strRef>
              <c:f>Care_Leavers!$AK$56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Care_Leavers!$AR$56:$AV$56</c:f>
              <c:numCache>
                <c:formatCode>0.0%</c:formatCode>
                <c:ptCount val="5"/>
                <c:pt idx="0">
                  <c:v>#N/A</c:v>
                </c:pt>
                <c:pt idx="1">
                  <c:v>#N/A</c:v>
                </c:pt>
                <c:pt idx="2">
                  <c:v>0.86578947368421055</c:v>
                </c:pt>
                <c:pt idx="3">
                  <c:v>0.83971291866028708</c:v>
                </c:pt>
                <c:pt idx="4">
                  <c:v>0.91157894736842104</c:v>
                </c:pt>
              </c:numCache>
            </c:numRef>
          </c:val>
          <c:smooth val="0"/>
          <c:extLst>
            <c:ext xmlns:c16="http://schemas.microsoft.com/office/drawing/2014/chart" uri="{C3380CC4-5D6E-409C-BE32-E72D297353CC}">
              <c16:uniqueId val="{00000010-94D4-4862-B6E8-9CFBFB927754}"/>
            </c:ext>
          </c:extLst>
        </c:ser>
        <c:ser>
          <c:idx val="7"/>
          <c:order val="16"/>
          <c:tx>
            <c:strRef>
              <c:f>Care_Leavers!$AK$57</c:f>
              <c:strCache>
                <c:ptCount val="1"/>
                <c:pt idx="0">
                  <c:v>Swindon</c:v>
                </c:pt>
              </c:strCache>
            </c:strRef>
          </c:tx>
          <c:spPr>
            <a:ln w="15875"/>
          </c:spPr>
          <c:marker>
            <c:symbol val="triangle"/>
            <c:size val="5"/>
            <c:spPr>
              <a:solidFill>
                <a:schemeClr val="accent2">
                  <a:lumMod val="20000"/>
                  <a:lumOff val="80000"/>
                </a:schemeClr>
              </a:solidFill>
            </c:spPr>
          </c:marker>
          <c:cat>
            <c:strRef>
              <c:f>Care_Leavers!$Y$2:$AC$3</c:f>
              <c:strCache>
                <c:ptCount val="5"/>
                <c:pt idx="0">
                  <c:v>2014-15</c:v>
                </c:pt>
                <c:pt idx="1">
                  <c:v>2015-16</c:v>
                </c:pt>
                <c:pt idx="2">
                  <c:v>2016-17</c:v>
                </c:pt>
                <c:pt idx="3">
                  <c:v>2017-18</c:v>
                </c:pt>
                <c:pt idx="4">
                  <c:v>2018-19</c:v>
                </c:pt>
              </c:strCache>
            </c:strRef>
          </c:cat>
          <c:val>
            <c:numRef>
              <c:f>Care_Leavers!$AR$57:$AV$57</c:f>
              <c:numCache>
                <c:formatCode>0.0%</c:formatCode>
                <c:ptCount val="5"/>
                <c:pt idx="0">
                  <c:v>#N/A</c:v>
                </c:pt>
                <c:pt idx="1">
                  <c:v>#N/A</c:v>
                </c:pt>
                <c:pt idx="2">
                  <c:v>#N/A</c:v>
                </c:pt>
                <c:pt idx="3">
                  <c:v>1</c:v>
                </c:pt>
                <c:pt idx="4">
                  <c:v>0.94814814814814818</c:v>
                </c:pt>
              </c:numCache>
            </c:numRef>
          </c:val>
          <c:smooth val="0"/>
          <c:extLst>
            <c:ext xmlns:c16="http://schemas.microsoft.com/office/drawing/2014/chart" uri="{C3380CC4-5D6E-409C-BE32-E72D297353CC}">
              <c16:uniqueId val="{00000011-94D4-4862-B6E8-9CFBFB927754}"/>
            </c:ext>
          </c:extLst>
        </c:ser>
        <c:ser>
          <c:idx val="8"/>
          <c:order val="17"/>
          <c:tx>
            <c:strRef>
              <c:f>Care_Leavers!$AK$58</c:f>
              <c:strCache>
                <c:ptCount val="1"/>
                <c:pt idx="0">
                  <c:v>Torbay</c:v>
                </c:pt>
              </c:strCache>
            </c:strRef>
          </c:tx>
          <c:spPr>
            <a:ln w="15875"/>
          </c:spPr>
          <c:marker>
            <c:symbol val="circle"/>
            <c:size val="5"/>
            <c:spPr>
              <a:solidFill>
                <a:schemeClr val="accent3">
                  <a:lumMod val="20000"/>
                  <a:lumOff val="80000"/>
                </a:schemeClr>
              </a:solidFill>
            </c:spPr>
          </c:marker>
          <c:cat>
            <c:strRef>
              <c:f>Care_Leavers!$Y$2:$AC$3</c:f>
              <c:strCache>
                <c:ptCount val="5"/>
                <c:pt idx="0">
                  <c:v>2014-15</c:v>
                </c:pt>
                <c:pt idx="1">
                  <c:v>2015-16</c:v>
                </c:pt>
                <c:pt idx="2">
                  <c:v>2016-17</c:v>
                </c:pt>
                <c:pt idx="3">
                  <c:v>2017-18</c:v>
                </c:pt>
                <c:pt idx="4">
                  <c:v>2018-19</c:v>
                </c:pt>
              </c:strCache>
            </c:strRef>
          </c:cat>
          <c:val>
            <c:numRef>
              <c:f>Care_Leavers!$AR$58:$AV$58</c:f>
              <c:numCache>
                <c:formatCode>0.0%</c:formatCode>
                <c:ptCount val="5"/>
                <c:pt idx="0">
                  <c:v>#N/A</c:v>
                </c:pt>
                <c:pt idx="1">
                  <c:v>#N/A</c:v>
                </c:pt>
                <c:pt idx="2">
                  <c:v>0.88297872340425532</c:v>
                </c:pt>
                <c:pt idx="3">
                  <c:v>#N/A</c:v>
                </c:pt>
                <c:pt idx="4">
                  <c:v>0.55769230769230771</c:v>
                </c:pt>
              </c:numCache>
            </c:numRef>
          </c:val>
          <c:smooth val="0"/>
          <c:extLst>
            <c:ext xmlns:c16="http://schemas.microsoft.com/office/drawing/2014/chart" uri="{C3380CC4-5D6E-409C-BE32-E72D297353CC}">
              <c16:uniqueId val="{00000012-94D4-4862-B6E8-9CFBFB927754}"/>
            </c:ext>
          </c:extLst>
        </c:ser>
        <c:ser>
          <c:idx val="23"/>
          <c:order val="18"/>
          <c:tx>
            <c:strRef>
              <c:f>Care_Leavers!$AK$59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Care_Leavers!$AR$59:$AV$59</c:f>
              <c:numCache>
                <c:formatCode>0.0%</c:formatCode>
                <c:ptCount val="5"/>
                <c:pt idx="0">
                  <c:v>#N/A</c:v>
                </c:pt>
                <c:pt idx="1">
                  <c:v>#N/A</c:v>
                </c:pt>
                <c:pt idx="2">
                  <c:v>0.6428571428571429</c:v>
                </c:pt>
                <c:pt idx="3">
                  <c:v>0.74358974358974361</c:v>
                </c:pt>
                <c:pt idx="4">
                  <c:v>0.88157894736842102</c:v>
                </c:pt>
              </c:numCache>
            </c:numRef>
          </c:val>
          <c:smooth val="0"/>
          <c:extLst>
            <c:ext xmlns:c16="http://schemas.microsoft.com/office/drawing/2014/chart" uri="{C3380CC4-5D6E-409C-BE32-E72D297353CC}">
              <c16:uniqueId val="{00000013-94D4-4862-B6E8-9CFBFB927754}"/>
            </c:ext>
          </c:extLst>
        </c:ser>
        <c:ser>
          <c:idx val="24"/>
          <c:order val="19"/>
          <c:tx>
            <c:strRef>
              <c:f>Care_Leavers!$AK$60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Care_Leavers!$AR$60:$AV$60</c:f>
              <c:numCache>
                <c:formatCode>0.0%</c:formatCode>
                <c:ptCount val="5"/>
                <c:pt idx="0">
                  <c:v>#N/A</c:v>
                </c:pt>
                <c:pt idx="1">
                  <c:v>#N/A</c:v>
                </c:pt>
                <c:pt idx="2">
                  <c:v>0.96261682242990654</c:v>
                </c:pt>
                <c:pt idx="3">
                  <c:v>0.92816091954022983</c:v>
                </c:pt>
                <c:pt idx="4">
                  <c:v>0.92011019283746553</c:v>
                </c:pt>
              </c:numCache>
            </c:numRef>
          </c:val>
          <c:smooth val="0"/>
          <c:extLst>
            <c:ext xmlns:c16="http://schemas.microsoft.com/office/drawing/2014/chart" uri="{C3380CC4-5D6E-409C-BE32-E72D297353CC}">
              <c16:uniqueId val="{00000014-94D4-4862-B6E8-9CFBFB927754}"/>
            </c:ext>
          </c:extLst>
        </c:ser>
        <c:ser>
          <c:idx val="25"/>
          <c:order val="20"/>
          <c:tx>
            <c:strRef>
              <c:f>Care_Leavers!$AK$61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Care_Leavers!$AR$61:$AV$61</c:f>
              <c:numCache>
                <c:formatCode>0.0%</c:formatCode>
                <c:ptCount val="5"/>
                <c:pt idx="0">
                  <c:v>#N/A</c:v>
                </c:pt>
                <c:pt idx="1">
                  <c:v>#N/A</c:v>
                </c:pt>
                <c:pt idx="2">
                  <c:v>0.8666666666666667</c:v>
                </c:pt>
                <c:pt idx="3">
                  <c:v>0.83333333333333337</c:v>
                </c:pt>
                <c:pt idx="4">
                  <c:v>0.875</c:v>
                </c:pt>
              </c:numCache>
            </c:numRef>
          </c:val>
          <c:smooth val="0"/>
          <c:extLst>
            <c:ext xmlns:c16="http://schemas.microsoft.com/office/drawing/2014/chart" uri="{C3380CC4-5D6E-409C-BE32-E72D297353CC}">
              <c16:uniqueId val="{00000015-94D4-4862-B6E8-9CFBFB927754}"/>
            </c:ext>
          </c:extLst>
        </c:ser>
        <c:ser>
          <c:idx val="26"/>
          <c:order val="21"/>
          <c:tx>
            <c:strRef>
              <c:f>Care_Leavers!$AK$62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Care_Leavers!$AR$62:$AV$62</c:f>
              <c:numCache>
                <c:formatCode>0.0%</c:formatCode>
                <c:ptCount val="5"/>
                <c:pt idx="0">
                  <c:v>#N/A</c:v>
                </c:pt>
                <c:pt idx="1">
                  <c:v>#N/A</c:v>
                </c:pt>
                <c:pt idx="2">
                  <c:v>#N/A</c:v>
                </c:pt>
                <c:pt idx="3">
                  <c:v>#N/A</c:v>
                </c:pt>
                <c:pt idx="4">
                  <c:v>1</c:v>
                </c:pt>
              </c:numCache>
            </c:numRef>
          </c:val>
          <c:smooth val="0"/>
          <c:extLst>
            <c:ext xmlns:c16="http://schemas.microsoft.com/office/drawing/2014/chart" uri="{C3380CC4-5D6E-409C-BE32-E72D297353CC}">
              <c16:uniqueId val="{00000016-94D4-4862-B6E8-9CFBFB927754}"/>
            </c:ext>
          </c:extLst>
        </c:ser>
        <c:ser>
          <c:idx val="4"/>
          <c:order val="22"/>
          <c:tx>
            <c:strRef>
              <c:f>Care_Leavers!$AK$63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Care_Leavers!$AR$63:$AV$63</c:f>
              <c:numCache>
                <c:formatCode>0.0%</c:formatCode>
                <c:ptCount val="5"/>
                <c:pt idx="0">
                  <c:v>#N/A</c:v>
                </c:pt>
                <c:pt idx="1">
                  <c:v>#N/A</c:v>
                </c:pt>
                <c:pt idx="2">
                  <c:v>0.84948979591836737</c:v>
                </c:pt>
                <c:pt idx="3">
                  <c:v>0.84090909090909094</c:v>
                </c:pt>
                <c:pt idx="4">
                  <c:v>0.86526315789473685</c:v>
                </c:pt>
              </c:numCache>
            </c:numRef>
          </c:val>
          <c:smooth val="0"/>
          <c:extLst>
            <c:ext xmlns:c16="http://schemas.microsoft.com/office/drawing/2014/chart" uri="{C3380CC4-5D6E-409C-BE32-E72D297353CC}">
              <c16:uniqueId val="{00000017-94D4-4862-B6E8-9CFBFB927754}"/>
            </c:ext>
          </c:extLst>
        </c:ser>
        <c:ser>
          <c:idx val="6"/>
          <c:order val="23"/>
          <c:tx>
            <c:strRef>
              <c:f>Care_Leavers!$AK$64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2014-15</c:v>
                </c:pt>
                <c:pt idx="1">
                  <c:v>2015-16</c:v>
                </c:pt>
                <c:pt idx="2">
                  <c:v>2016-17</c:v>
                </c:pt>
                <c:pt idx="3">
                  <c:v>2017-18</c:v>
                </c:pt>
                <c:pt idx="4">
                  <c:v>2018-19</c:v>
                </c:pt>
              </c:strCache>
            </c:strRef>
          </c:cat>
          <c:val>
            <c:numRef>
              <c:f>Care_Leavers!$AR$64:$AV$64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94D4-4862-B6E8-9CFBFB927754}"/>
            </c:ext>
          </c:extLst>
        </c:ser>
        <c:dLbls>
          <c:showLegendKey val="0"/>
          <c:showVal val="0"/>
          <c:showCatName val="0"/>
          <c:showSerName val="0"/>
          <c:showPercent val="0"/>
          <c:showBubbleSize val="0"/>
        </c:dLbls>
        <c:marker val="1"/>
        <c:smooth val="0"/>
        <c:axId val="317361536"/>
        <c:axId val="317380096"/>
      </c:lineChart>
      <c:catAx>
        <c:axId val="317361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380096"/>
        <c:crosses val="autoZero"/>
        <c:auto val="1"/>
        <c:lblAlgn val="ctr"/>
        <c:lblOffset val="100"/>
        <c:tickLblSkip val="1"/>
        <c:tickMarkSkip val="1"/>
        <c:noMultiLvlLbl val="0"/>
      </c:catAx>
      <c:valAx>
        <c:axId val="31738009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361536"/>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143598210220292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Care leavers aged 19-21 who were EET</a:t>
            </a:r>
          </a:p>
          <a:p>
            <a:pPr>
              <a:defRPr sz="900" b="1" i="0" u="none" strike="noStrike" baseline="0">
                <a:solidFill>
                  <a:srgbClr val="000000"/>
                </a:solidFill>
                <a:latin typeface="Arial"/>
                <a:ea typeface="Arial"/>
                <a:cs typeface="Arial"/>
              </a:defRPr>
            </a:pPr>
            <a:r>
              <a:rPr lang="en-GB" sz="900"/>
              <a:t>(Selected LA</a:t>
            </a:r>
            <a:r>
              <a:rPr lang="en-GB" sz="900" baseline="0"/>
              <a:t> vs. SE)</a:t>
            </a:r>
            <a:r>
              <a:rPr lang="en-GB" sz="900"/>
              <a:t> </a:t>
            </a:r>
          </a:p>
        </c:rich>
      </c:tx>
      <c:layout>
        <c:manualLayout>
          <c:xMode val="edge"/>
          <c:yMode val="edge"/>
          <c:x val="0.15417745509084091"/>
          <c:y val="3.861468535945202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5355867101978107"/>
        </c:manualLayout>
      </c:layout>
      <c:barChart>
        <c:barDir val="col"/>
        <c:grouping val="clustered"/>
        <c:varyColors val="0"/>
        <c:ser>
          <c:idx val="6"/>
          <c:order val="0"/>
          <c:tx>
            <c:strRef>
              <c:f>Care_Leavers!$Z$4</c:f>
              <c:strCache>
                <c:ptCount val="1"/>
                <c:pt idx="0">
                  <c:v>Selected LA- (none)</c:v>
                </c:pt>
              </c:strCache>
            </c:strRef>
          </c:tx>
          <c:spPr>
            <a:solidFill>
              <a:srgbClr val="66FF99"/>
            </a:solidFill>
            <a:ln>
              <a:solidFill>
                <a:schemeClr val="tx1">
                  <a:lumMod val="75000"/>
                  <a:lumOff val="25000"/>
                </a:schemeClr>
              </a:solidFill>
            </a:ln>
          </c:spPr>
          <c:invertIfNegative val="0"/>
          <c:cat>
            <c:strRef>
              <c:f>Care_Leavers!$Y$2:$AC$3</c:f>
              <c:strCache>
                <c:ptCount val="5"/>
                <c:pt idx="0">
                  <c:v>2014-15</c:v>
                </c:pt>
                <c:pt idx="1">
                  <c:v>2015-16</c:v>
                </c:pt>
                <c:pt idx="2">
                  <c:v>2016-17</c:v>
                </c:pt>
                <c:pt idx="3">
                  <c:v>2017-18</c:v>
                </c:pt>
                <c:pt idx="4">
                  <c:v>2018-19</c:v>
                </c:pt>
              </c:strCache>
            </c:strRef>
          </c:cat>
          <c:val>
            <c:numRef>
              <c:f>Care_Leavers!$BB$64:$BF$64</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872-4C3D-83BB-7EB7863DAB03}"/>
            </c:ext>
          </c:extLst>
        </c:ser>
        <c:ser>
          <c:idx val="4"/>
          <c:order val="1"/>
          <c:tx>
            <c:strRef>
              <c:f>Care_Leavers!$B$135</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Care_Leavers!$Y$2:$AC$3</c:f>
              <c:strCache>
                <c:ptCount val="5"/>
                <c:pt idx="0">
                  <c:v>2014-15</c:v>
                </c:pt>
                <c:pt idx="1">
                  <c:v>2015-16</c:v>
                </c:pt>
                <c:pt idx="2">
                  <c:v>2016-17</c:v>
                </c:pt>
                <c:pt idx="3">
                  <c:v>2017-18</c:v>
                </c:pt>
                <c:pt idx="4">
                  <c:v>2018-19</c:v>
                </c:pt>
              </c:strCache>
            </c:strRef>
          </c:cat>
          <c:val>
            <c:numRef>
              <c:f>Care_Leavers!$D$171:$H$171</c:f>
              <c:numCache>
                <c:formatCode>0%</c:formatCode>
                <c:ptCount val="5"/>
                <c:pt idx="0">
                  <c:v>#N/A</c:v>
                </c:pt>
                <c:pt idx="1">
                  <c:v>#N/A</c:v>
                </c:pt>
                <c:pt idx="2">
                  <c:v>#N/A</c:v>
                </c:pt>
                <c:pt idx="3">
                  <c:v>0.52272727272727271</c:v>
                </c:pt>
                <c:pt idx="4">
                  <c:v>0.53894736842105262</c:v>
                </c:pt>
              </c:numCache>
            </c:numRef>
          </c:val>
          <c:extLst>
            <c:ext xmlns:c16="http://schemas.microsoft.com/office/drawing/2014/chart" uri="{C3380CC4-5D6E-409C-BE32-E72D297353CC}">
              <c16:uniqueId val="{00000001-5872-4C3D-83BB-7EB7863DAB03}"/>
            </c:ext>
          </c:extLst>
        </c:ser>
        <c:dLbls>
          <c:showLegendKey val="0"/>
          <c:showVal val="0"/>
          <c:showCatName val="0"/>
          <c:showSerName val="0"/>
          <c:showPercent val="0"/>
          <c:showBubbleSize val="0"/>
        </c:dLbls>
        <c:gapWidth val="100"/>
        <c:axId val="317483264"/>
        <c:axId val="317485056"/>
      </c:barChart>
      <c:catAx>
        <c:axId val="317483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485056"/>
        <c:crosses val="autoZero"/>
        <c:auto val="1"/>
        <c:lblAlgn val="ctr"/>
        <c:lblOffset val="100"/>
        <c:noMultiLvlLbl val="0"/>
      </c:catAx>
      <c:valAx>
        <c:axId val="31748505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48326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3287177517444468"/>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ysClr val="window" lastClr="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Care leavers aged 19-21 who were in Employment,</a:t>
            </a:r>
            <a:r>
              <a:rPr lang="en-GB" baseline="0"/>
              <a:t> Education or Training (EET)</a:t>
            </a:r>
            <a:endParaRPr lang="en-GB"/>
          </a:p>
        </c:rich>
      </c:tx>
      <c:layout>
        <c:manualLayout>
          <c:xMode val="edge"/>
          <c:yMode val="edge"/>
          <c:x val="0.14489872132716877"/>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37915654714237"/>
        </c:manualLayout>
      </c:layout>
      <c:lineChart>
        <c:grouping val="standard"/>
        <c:varyColors val="0"/>
        <c:ser>
          <c:idx val="0"/>
          <c:order val="0"/>
          <c:tx>
            <c:strRef>
              <c:f>Care_Leavers!$AK$41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E7C8-4458-BBF7-221EF319123C}"/>
              </c:ext>
            </c:extLst>
          </c:dPt>
          <c:cat>
            <c:strRef>
              <c:f>Care_Leavers!$Y$2:$AC$3</c:f>
              <c:strCache>
                <c:ptCount val="5"/>
                <c:pt idx="0">
                  <c:v>2014-15</c:v>
                </c:pt>
                <c:pt idx="1">
                  <c:v>2015-16</c:v>
                </c:pt>
                <c:pt idx="2">
                  <c:v>2016-17</c:v>
                </c:pt>
                <c:pt idx="3">
                  <c:v>2017-18</c:v>
                </c:pt>
                <c:pt idx="4">
                  <c:v>2018-19</c:v>
                </c:pt>
              </c:strCache>
            </c:strRef>
          </c:cat>
          <c:val>
            <c:numRef>
              <c:f>Care_Leavers!$BB$41:$BF$41</c:f>
              <c:numCache>
                <c:formatCode>0.0%</c:formatCode>
                <c:ptCount val="5"/>
                <c:pt idx="0">
                  <c:v>#N/A</c:v>
                </c:pt>
                <c:pt idx="1">
                  <c:v>#N/A</c:v>
                </c:pt>
                <c:pt idx="2">
                  <c:v>#N/A</c:v>
                </c:pt>
                <c:pt idx="3">
                  <c:v>0.66666666666666663</c:v>
                </c:pt>
                <c:pt idx="4">
                  <c:v>0.53191489361702127</c:v>
                </c:pt>
              </c:numCache>
            </c:numRef>
          </c:val>
          <c:smooth val="0"/>
          <c:extLst>
            <c:ext xmlns:c16="http://schemas.microsoft.com/office/drawing/2014/chart" uri="{C3380CC4-5D6E-409C-BE32-E72D297353CC}">
              <c16:uniqueId val="{00000001-E7C8-4458-BBF7-221EF319123C}"/>
            </c:ext>
          </c:extLst>
        </c:ser>
        <c:ser>
          <c:idx val="1"/>
          <c:order val="1"/>
          <c:tx>
            <c:strRef>
              <c:f>Care_Leavers!$AK$42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Care_Leavers!$BB$42:$BF$42</c:f>
              <c:numCache>
                <c:formatCode>0.0%</c:formatCode>
                <c:ptCount val="5"/>
                <c:pt idx="0">
                  <c:v>#N/A</c:v>
                </c:pt>
                <c:pt idx="1">
                  <c:v>#N/A</c:v>
                </c:pt>
                <c:pt idx="2">
                  <c:v>#N/A</c:v>
                </c:pt>
                <c:pt idx="3">
                  <c:v>0.69230769230769229</c:v>
                </c:pt>
                <c:pt idx="4">
                  <c:v>0.69406392694063923</c:v>
                </c:pt>
              </c:numCache>
            </c:numRef>
          </c:val>
          <c:smooth val="0"/>
          <c:extLst>
            <c:ext xmlns:c16="http://schemas.microsoft.com/office/drawing/2014/chart" uri="{C3380CC4-5D6E-409C-BE32-E72D297353CC}">
              <c16:uniqueId val="{00000002-E7C8-4458-BBF7-221EF319123C}"/>
            </c:ext>
          </c:extLst>
        </c:ser>
        <c:ser>
          <c:idx val="2"/>
          <c:order val="2"/>
          <c:tx>
            <c:strRef>
              <c:f>Care_Leavers!$AK$43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Care_Leavers!$BB$43:$BF$43</c:f>
              <c:numCache>
                <c:formatCode>0.0%</c:formatCode>
                <c:ptCount val="5"/>
                <c:pt idx="0">
                  <c:v>#N/A</c:v>
                </c:pt>
                <c:pt idx="1">
                  <c:v>#N/A</c:v>
                </c:pt>
                <c:pt idx="2">
                  <c:v>#N/A</c:v>
                </c:pt>
                <c:pt idx="3">
                  <c:v>0.51256281407035176</c:v>
                </c:pt>
                <c:pt idx="4">
                  <c:v>0.55913978494623651</c:v>
                </c:pt>
              </c:numCache>
            </c:numRef>
          </c:val>
          <c:smooth val="0"/>
          <c:extLst>
            <c:ext xmlns:c16="http://schemas.microsoft.com/office/drawing/2014/chart" uri="{C3380CC4-5D6E-409C-BE32-E72D297353CC}">
              <c16:uniqueId val="{00000003-E7C8-4458-BBF7-221EF319123C}"/>
            </c:ext>
          </c:extLst>
        </c:ser>
        <c:ser>
          <c:idx val="5"/>
          <c:order val="3"/>
          <c:tx>
            <c:strRef>
              <c:f>Care_Leavers!$AK$44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Care_Leavers!$BB$44:$BF$44</c:f>
              <c:numCache>
                <c:formatCode>0.0%</c:formatCode>
                <c:ptCount val="5"/>
                <c:pt idx="0">
                  <c:v>#N/A</c:v>
                </c:pt>
                <c:pt idx="1">
                  <c:v>#N/A</c:v>
                </c:pt>
                <c:pt idx="2">
                  <c:v>#N/A</c:v>
                </c:pt>
                <c:pt idx="3">
                  <c:v>0.51948051948051943</c:v>
                </c:pt>
                <c:pt idx="4">
                  <c:v>0.52095808383233533</c:v>
                </c:pt>
              </c:numCache>
            </c:numRef>
          </c:val>
          <c:smooth val="0"/>
          <c:extLst>
            <c:ext xmlns:c16="http://schemas.microsoft.com/office/drawing/2014/chart" uri="{C3380CC4-5D6E-409C-BE32-E72D297353CC}">
              <c16:uniqueId val="{00000004-E7C8-4458-BBF7-221EF319123C}"/>
            </c:ext>
          </c:extLst>
        </c:ser>
        <c:ser>
          <c:idx val="9"/>
          <c:order val="4"/>
          <c:tx>
            <c:strRef>
              <c:f>Care_Leavers!$AK$45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Care_Leavers!$BB$45:$BF$45</c:f>
              <c:numCache>
                <c:formatCode>0.0%</c:formatCode>
                <c:ptCount val="5"/>
                <c:pt idx="0">
                  <c:v>#N/A</c:v>
                </c:pt>
                <c:pt idx="1">
                  <c:v>#N/A</c:v>
                </c:pt>
                <c:pt idx="2">
                  <c:v>#N/A</c:v>
                </c:pt>
                <c:pt idx="3">
                  <c:v>0.44905660377358492</c:v>
                </c:pt>
                <c:pt idx="4">
                  <c:v>0.44941634241245138</c:v>
                </c:pt>
              </c:numCache>
            </c:numRef>
          </c:val>
          <c:smooth val="0"/>
          <c:extLst>
            <c:ext xmlns:c16="http://schemas.microsoft.com/office/drawing/2014/chart" uri="{C3380CC4-5D6E-409C-BE32-E72D297353CC}">
              <c16:uniqueId val="{00000005-E7C8-4458-BBF7-221EF319123C}"/>
            </c:ext>
          </c:extLst>
        </c:ser>
        <c:ser>
          <c:idx val="10"/>
          <c:order val="5"/>
          <c:tx>
            <c:strRef>
              <c:f>Care_Leavers!$AK$46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Care_Leavers!$BB$46:$BF$46</c:f>
              <c:numCache>
                <c:formatCode>0.0%</c:formatCode>
                <c:ptCount val="5"/>
                <c:pt idx="0">
                  <c:v>#N/A</c:v>
                </c:pt>
                <c:pt idx="1">
                  <c:v>#N/A</c:v>
                </c:pt>
                <c:pt idx="2">
                  <c:v>#N/A</c:v>
                </c:pt>
                <c:pt idx="3">
                  <c:v>0.5280898876404494</c:v>
                </c:pt>
                <c:pt idx="4">
                  <c:v>0.5955056179775281</c:v>
                </c:pt>
              </c:numCache>
            </c:numRef>
          </c:val>
          <c:smooth val="0"/>
          <c:extLst>
            <c:ext xmlns:c16="http://schemas.microsoft.com/office/drawing/2014/chart" uri="{C3380CC4-5D6E-409C-BE32-E72D297353CC}">
              <c16:uniqueId val="{00000006-E7C8-4458-BBF7-221EF319123C}"/>
            </c:ext>
          </c:extLst>
        </c:ser>
        <c:ser>
          <c:idx val="11"/>
          <c:order val="6"/>
          <c:tx>
            <c:strRef>
              <c:f>Care_Leavers!$AK$47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Care_Leavers!$BB$47:$BF$47</c:f>
              <c:numCache>
                <c:formatCode>0.0%</c:formatCode>
                <c:ptCount val="5"/>
                <c:pt idx="0">
                  <c:v>#N/A</c:v>
                </c:pt>
                <c:pt idx="1">
                  <c:v>#N/A</c:v>
                </c:pt>
                <c:pt idx="2">
                  <c:v>#N/A</c:v>
                </c:pt>
                <c:pt idx="3">
                  <c:v>0.52038547071905117</c:v>
                </c:pt>
                <c:pt idx="4">
                  <c:v>0.54838709677419351</c:v>
                </c:pt>
              </c:numCache>
            </c:numRef>
          </c:val>
          <c:smooth val="0"/>
          <c:extLst>
            <c:ext xmlns:c16="http://schemas.microsoft.com/office/drawing/2014/chart" uri="{C3380CC4-5D6E-409C-BE32-E72D297353CC}">
              <c16:uniqueId val="{00000007-E7C8-4458-BBF7-221EF319123C}"/>
            </c:ext>
          </c:extLst>
        </c:ser>
        <c:ser>
          <c:idx val="12"/>
          <c:order val="7"/>
          <c:tx>
            <c:strRef>
              <c:f>Care_Leavers!$AK$48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Care_Leavers!$BB$48:$BF$48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E7C8-4458-BBF7-221EF319123C}"/>
            </c:ext>
          </c:extLst>
        </c:ser>
        <c:ser>
          <c:idx val="13"/>
          <c:order val="8"/>
          <c:tx>
            <c:strRef>
              <c:f>Care_Leavers!$AK$49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Care_Leavers!$BB$49:$BF$49</c:f>
              <c:numCache>
                <c:formatCode>0.0%</c:formatCode>
                <c:ptCount val="5"/>
                <c:pt idx="0">
                  <c:v>#N/A</c:v>
                </c:pt>
                <c:pt idx="1">
                  <c:v>#N/A</c:v>
                </c:pt>
                <c:pt idx="2">
                  <c:v>#N/A</c:v>
                </c:pt>
                <c:pt idx="3">
                  <c:v>0.4563758389261745</c:v>
                </c:pt>
                <c:pt idx="4">
                  <c:v>0.40119760479041916</c:v>
                </c:pt>
              </c:numCache>
            </c:numRef>
          </c:val>
          <c:smooth val="0"/>
          <c:extLst>
            <c:ext xmlns:c16="http://schemas.microsoft.com/office/drawing/2014/chart" uri="{C3380CC4-5D6E-409C-BE32-E72D297353CC}">
              <c16:uniqueId val="{00000009-E7C8-4458-BBF7-221EF319123C}"/>
            </c:ext>
          </c:extLst>
        </c:ser>
        <c:ser>
          <c:idx val="15"/>
          <c:order val="9"/>
          <c:tx>
            <c:strRef>
              <c:f>Care_Leavers!$AK$50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Care_Leavers!$BB$50:$BF$50</c:f>
              <c:numCache>
                <c:formatCode>0.0%</c:formatCode>
                <c:ptCount val="5"/>
                <c:pt idx="0">
                  <c:v>#N/A</c:v>
                </c:pt>
                <c:pt idx="1">
                  <c:v>#N/A</c:v>
                </c:pt>
                <c:pt idx="2">
                  <c:v>#N/A</c:v>
                </c:pt>
                <c:pt idx="3">
                  <c:v>0.48347107438016529</c:v>
                </c:pt>
                <c:pt idx="4">
                  <c:v>0.49454545454545457</c:v>
                </c:pt>
              </c:numCache>
            </c:numRef>
          </c:val>
          <c:smooth val="0"/>
          <c:extLst>
            <c:ext xmlns:c16="http://schemas.microsoft.com/office/drawing/2014/chart" uri="{C3380CC4-5D6E-409C-BE32-E72D297353CC}">
              <c16:uniqueId val="{0000000A-E7C8-4458-BBF7-221EF319123C}"/>
            </c:ext>
          </c:extLst>
        </c:ser>
        <c:ser>
          <c:idx val="16"/>
          <c:order val="10"/>
          <c:tx>
            <c:strRef>
              <c:f>Care_Leavers!$AK$51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Care_Leavers!$BB$51:$BF$51</c:f>
              <c:numCache>
                <c:formatCode>0.0%</c:formatCode>
                <c:ptCount val="5"/>
                <c:pt idx="0">
                  <c:v>#N/A</c:v>
                </c:pt>
                <c:pt idx="1">
                  <c:v>#N/A</c:v>
                </c:pt>
                <c:pt idx="2">
                  <c:v>#N/A</c:v>
                </c:pt>
                <c:pt idx="3">
                  <c:v>0.37391304347826088</c:v>
                </c:pt>
                <c:pt idx="4">
                  <c:v>0.44715447154471544</c:v>
                </c:pt>
              </c:numCache>
            </c:numRef>
          </c:val>
          <c:smooth val="0"/>
          <c:extLst>
            <c:ext xmlns:c16="http://schemas.microsoft.com/office/drawing/2014/chart" uri="{C3380CC4-5D6E-409C-BE32-E72D297353CC}">
              <c16:uniqueId val="{0000000B-E7C8-4458-BBF7-221EF319123C}"/>
            </c:ext>
          </c:extLst>
        </c:ser>
        <c:ser>
          <c:idx val="17"/>
          <c:order val="11"/>
          <c:tx>
            <c:strRef>
              <c:f>Care_Leavers!$AK$52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Care_Leavers!$BB$52:$BF$52</c:f>
              <c:numCache>
                <c:formatCode>0.0%</c:formatCode>
                <c:ptCount val="5"/>
                <c:pt idx="0">
                  <c:v>#N/A</c:v>
                </c:pt>
                <c:pt idx="1">
                  <c:v>#N/A</c:v>
                </c:pt>
                <c:pt idx="2">
                  <c:v>#N/A</c:v>
                </c:pt>
                <c:pt idx="3">
                  <c:v>0.42528735632183906</c:v>
                </c:pt>
                <c:pt idx="4">
                  <c:v>#N/A</c:v>
                </c:pt>
              </c:numCache>
            </c:numRef>
          </c:val>
          <c:smooth val="0"/>
          <c:extLst>
            <c:ext xmlns:c16="http://schemas.microsoft.com/office/drawing/2014/chart" uri="{C3380CC4-5D6E-409C-BE32-E72D297353CC}">
              <c16:uniqueId val="{0000000C-E7C8-4458-BBF7-221EF319123C}"/>
            </c:ext>
          </c:extLst>
        </c:ser>
        <c:ser>
          <c:idx val="19"/>
          <c:order val="12"/>
          <c:tx>
            <c:strRef>
              <c:f>Care_Leavers!$AK$53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Care_Leavers!$BB$53:$BF$53</c:f>
              <c:numCache>
                <c:formatCode>0.0%</c:formatCode>
                <c:ptCount val="5"/>
                <c:pt idx="0">
                  <c:v>#N/A</c:v>
                </c:pt>
                <c:pt idx="1">
                  <c:v>#N/A</c:v>
                </c:pt>
                <c:pt idx="2">
                  <c:v>#N/A</c:v>
                </c:pt>
                <c:pt idx="3">
                  <c:v>0.38202247191011235</c:v>
                </c:pt>
                <c:pt idx="4">
                  <c:v>0.58620689655172409</c:v>
                </c:pt>
              </c:numCache>
            </c:numRef>
          </c:val>
          <c:smooth val="0"/>
          <c:extLst>
            <c:ext xmlns:c16="http://schemas.microsoft.com/office/drawing/2014/chart" uri="{C3380CC4-5D6E-409C-BE32-E72D297353CC}">
              <c16:uniqueId val="{0000000D-E7C8-4458-BBF7-221EF319123C}"/>
            </c:ext>
          </c:extLst>
        </c:ser>
        <c:ser>
          <c:idx val="3"/>
          <c:order val="13"/>
          <c:tx>
            <c:strRef>
              <c:f>Care_Leavers!$AK$54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Care_Leavers!$BB$54:$BF$54</c:f>
              <c:numCache>
                <c:formatCode>0.0%</c:formatCode>
                <c:ptCount val="5"/>
                <c:pt idx="0">
                  <c:v>#N/A</c:v>
                </c:pt>
                <c:pt idx="1">
                  <c:v>#N/A</c:v>
                </c:pt>
                <c:pt idx="2">
                  <c:v>#N/A</c:v>
                </c:pt>
                <c:pt idx="3">
                  <c:v>0.57711442786069655</c:v>
                </c:pt>
                <c:pt idx="4">
                  <c:v>0.574585635359116</c:v>
                </c:pt>
              </c:numCache>
            </c:numRef>
          </c:val>
          <c:smooth val="0"/>
          <c:extLst>
            <c:ext xmlns:c16="http://schemas.microsoft.com/office/drawing/2014/chart" uri="{C3380CC4-5D6E-409C-BE32-E72D297353CC}">
              <c16:uniqueId val="{0000000E-E7C8-4458-BBF7-221EF319123C}"/>
            </c:ext>
          </c:extLst>
        </c:ser>
        <c:ser>
          <c:idx val="20"/>
          <c:order val="14"/>
          <c:tx>
            <c:strRef>
              <c:f>Care_Leavers!$AK$55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Care_Leavers!$BB$55:$BF$55</c:f>
              <c:numCache>
                <c:formatCode>0.0%</c:formatCode>
                <c:ptCount val="5"/>
                <c:pt idx="0">
                  <c:v>#N/A</c:v>
                </c:pt>
                <c:pt idx="1">
                  <c:v>#N/A</c:v>
                </c:pt>
                <c:pt idx="2">
                  <c:v>#N/A</c:v>
                </c:pt>
                <c:pt idx="3">
                  <c:v>0.41129032258064518</c:v>
                </c:pt>
                <c:pt idx="4">
                  <c:v>0.44881889763779526</c:v>
                </c:pt>
              </c:numCache>
            </c:numRef>
          </c:val>
          <c:smooth val="0"/>
          <c:extLst>
            <c:ext xmlns:c16="http://schemas.microsoft.com/office/drawing/2014/chart" uri="{C3380CC4-5D6E-409C-BE32-E72D297353CC}">
              <c16:uniqueId val="{0000000F-E7C8-4458-BBF7-221EF319123C}"/>
            </c:ext>
          </c:extLst>
        </c:ser>
        <c:ser>
          <c:idx val="22"/>
          <c:order val="15"/>
          <c:tx>
            <c:strRef>
              <c:f>Care_Leavers!$AK$56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Care_Leavers!$BB$56:$BF$56</c:f>
              <c:numCache>
                <c:formatCode>0.0%</c:formatCode>
                <c:ptCount val="5"/>
                <c:pt idx="0">
                  <c:v>#N/A</c:v>
                </c:pt>
                <c:pt idx="1">
                  <c:v>#N/A</c:v>
                </c:pt>
                <c:pt idx="2">
                  <c:v>#N/A</c:v>
                </c:pt>
                <c:pt idx="3">
                  <c:v>0.56220095693779903</c:v>
                </c:pt>
                <c:pt idx="4">
                  <c:v>0.57894736842105265</c:v>
                </c:pt>
              </c:numCache>
            </c:numRef>
          </c:val>
          <c:smooth val="0"/>
          <c:extLst>
            <c:ext xmlns:c16="http://schemas.microsoft.com/office/drawing/2014/chart" uri="{C3380CC4-5D6E-409C-BE32-E72D297353CC}">
              <c16:uniqueId val="{00000010-E7C8-4458-BBF7-221EF319123C}"/>
            </c:ext>
          </c:extLst>
        </c:ser>
        <c:ser>
          <c:idx val="7"/>
          <c:order val="16"/>
          <c:tx>
            <c:strRef>
              <c:f>Care_Leavers!$AK$57</c:f>
              <c:strCache>
                <c:ptCount val="1"/>
                <c:pt idx="0">
                  <c:v>Swindon</c:v>
                </c:pt>
              </c:strCache>
            </c:strRef>
          </c:tx>
          <c:spPr>
            <a:ln w="15875"/>
          </c:spPr>
          <c:marker>
            <c:symbol val="triangle"/>
            <c:size val="5"/>
            <c:spPr>
              <a:solidFill>
                <a:schemeClr val="accent2">
                  <a:lumMod val="20000"/>
                  <a:lumOff val="80000"/>
                </a:schemeClr>
              </a:solidFill>
            </c:spPr>
          </c:marker>
          <c:cat>
            <c:strRef>
              <c:f>Care_Leavers!$Y$2:$AC$3</c:f>
              <c:strCache>
                <c:ptCount val="5"/>
                <c:pt idx="0">
                  <c:v>2014-15</c:v>
                </c:pt>
                <c:pt idx="1">
                  <c:v>2015-16</c:v>
                </c:pt>
                <c:pt idx="2">
                  <c:v>2016-17</c:v>
                </c:pt>
                <c:pt idx="3">
                  <c:v>2017-18</c:v>
                </c:pt>
                <c:pt idx="4">
                  <c:v>2018-19</c:v>
                </c:pt>
              </c:strCache>
            </c:strRef>
          </c:cat>
          <c:val>
            <c:numRef>
              <c:f>Care_Leavers!$BB$57:$BF$57</c:f>
              <c:numCache>
                <c:formatCode>0.0%</c:formatCode>
                <c:ptCount val="5"/>
                <c:pt idx="0">
                  <c:v>#N/A</c:v>
                </c:pt>
                <c:pt idx="1">
                  <c:v>#N/A</c:v>
                </c:pt>
                <c:pt idx="2">
                  <c:v>#N/A</c:v>
                </c:pt>
                <c:pt idx="3">
                  <c:v>0.59677419354838712</c:v>
                </c:pt>
                <c:pt idx="4">
                  <c:v>0.51851851851851849</c:v>
                </c:pt>
              </c:numCache>
            </c:numRef>
          </c:val>
          <c:smooth val="0"/>
          <c:extLst>
            <c:ext xmlns:c16="http://schemas.microsoft.com/office/drawing/2014/chart" uri="{C3380CC4-5D6E-409C-BE32-E72D297353CC}">
              <c16:uniqueId val="{00000011-E7C8-4458-BBF7-221EF319123C}"/>
            </c:ext>
          </c:extLst>
        </c:ser>
        <c:ser>
          <c:idx val="8"/>
          <c:order val="17"/>
          <c:tx>
            <c:strRef>
              <c:f>Care_Leavers!$AK$58</c:f>
              <c:strCache>
                <c:ptCount val="1"/>
                <c:pt idx="0">
                  <c:v>Torbay</c:v>
                </c:pt>
              </c:strCache>
            </c:strRef>
          </c:tx>
          <c:spPr>
            <a:ln w="15875"/>
          </c:spPr>
          <c:marker>
            <c:symbol val="circle"/>
            <c:size val="5"/>
            <c:spPr>
              <a:solidFill>
                <a:schemeClr val="accent3">
                  <a:lumMod val="20000"/>
                  <a:lumOff val="80000"/>
                </a:schemeClr>
              </a:solidFill>
            </c:spPr>
          </c:marker>
          <c:cat>
            <c:strRef>
              <c:f>Care_Leavers!$Y$2:$AC$3</c:f>
              <c:strCache>
                <c:ptCount val="5"/>
                <c:pt idx="0">
                  <c:v>2014-15</c:v>
                </c:pt>
                <c:pt idx="1">
                  <c:v>2015-16</c:v>
                </c:pt>
                <c:pt idx="2">
                  <c:v>2016-17</c:v>
                </c:pt>
                <c:pt idx="3">
                  <c:v>2017-18</c:v>
                </c:pt>
                <c:pt idx="4">
                  <c:v>2018-19</c:v>
                </c:pt>
              </c:strCache>
            </c:strRef>
          </c:cat>
          <c:val>
            <c:numRef>
              <c:f>Care_Leavers!$BB$58:$BF$58</c:f>
              <c:numCache>
                <c:formatCode>0.0%</c:formatCode>
                <c:ptCount val="5"/>
                <c:pt idx="0">
                  <c:v>#N/A</c:v>
                </c:pt>
                <c:pt idx="1">
                  <c:v>#N/A</c:v>
                </c:pt>
                <c:pt idx="2">
                  <c:v>#N/A</c:v>
                </c:pt>
                <c:pt idx="3">
                  <c:v>#N/A</c:v>
                </c:pt>
                <c:pt idx="4">
                  <c:v>0.55769230769230771</c:v>
                </c:pt>
              </c:numCache>
            </c:numRef>
          </c:val>
          <c:smooth val="0"/>
          <c:extLst>
            <c:ext xmlns:c16="http://schemas.microsoft.com/office/drawing/2014/chart" uri="{C3380CC4-5D6E-409C-BE32-E72D297353CC}">
              <c16:uniqueId val="{00000012-E7C8-4458-BBF7-221EF319123C}"/>
            </c:ext>
          </c:extLst>
        </c:ser>
        <c:ser>
          <c:idx val="23"/>
          <c:order val="18"/>
          <c:tx>
            <c:strRef>
              <c:f>Care_Leavers!$AK$59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Care_Leavers!$BB$59:$BF$59</c:f>
              <c:numCache>
                <c:formatCode>0.0%</c:formatCode>
                <c:ptCount val="5"/>
                <c:pt idx="0">
                  <c:v>#N/A</c:v>
                </c:pt>
                <c:pt idx="1">
                  <c:v>#N/A</c:v>
                </c:pt>
                <c:pt idx="2">
                  <c:v>#N/A</c:v>
                </c:pt>
                <c:pt idx="3">
                  <c:v>0.48717948717948717</c:v>
                </c:pt>
                <c:pt idx="4">
                  <c:v>0.46052631578947367</c:v>
                </c:pt>
              </c:numCache>
            </c:numRef>
          </c:val>
          <c:smooth val="0"/>
          <c:extLst>
            <c:ext xmlns:c16="http://schemas.microsoft.com/office/drawing/2014/chart" uri="{C3380CC4-5D6E-409C-BE32-E72D297353CC}">
              <c16:uniqueId val="{00000013-E7C8-4458-BBF7-221EF319123C}"/>
            </c:ext>
          </c:extLst>
        </c:ser>
        <c:ser>
          <c:idx val="24"/>
          <c:order val="19"/>
          <c:tx>
            <c:strRef>
              <c:f>Care_Leavers!$AK$60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Care_Leavers!$BB$60:$BF$60</c:f>
              <c:numCache>
                <c:formatCode>0.0%</c:formatCode>
                <c:ptCount val="5"/>
                <c:pt idx="0">
                  <c:v>#N/A</c:v>
                </c:pt>
                <c:pt idx="1">
                  <c:v>#N/A</c:v>
                </c:pt>
                <c:pt idx="2">
                  <c:v>#N/A</c:v>
                </c:pt>
                <c:pt idx="3">
                  <c:v>0.71551724137931039</c:v>
                </c:pt>
                <c:pt idx="4">
                  <c:v>0.6584022038567493</c:v>
                </c:pt>
              </c:numCache>
            </c:numRef>
          </c:val>
          <c:smooth val="0"/>
          <c:extLst>
            <c:ext xmlns:c16="http://schemas.microsoft.com/office/drawing/2014/chart" uri="{C3380CC4-5D6E-409C-BE32-E72D297353CC}">
              <c16:uniqueId val="{00000014-E7C8-4458-BBF7-221EF319123C}"/>
            </c:ext>
          </c:extLst>
        </c:ser>
        <c:ser>
          <c:idx val="25"/>
          <c:order val="20"/>
          <c:tx>
            <c:strRef>
              <c:f>Care_Leavers!$AK$61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Care_Leavers!$BB$61:$BF$61</c:f>
              <c:numCache>
                <c:formatCode>0.0%</c:formatCode>
                <c:ptCount val="5"/>
                <c:pt idx="0">
                  <c:v>#N/A</c:v>
                </c:pt>
                <c:pt idx="1">
                  <c:v>#N/A</c:v>
                </c:pt>
                <c:pt idx="2">
                  <c:v>#N/A</c:v>
                </c:pt>
                <c:pt idx="3">
                  <c:v>0.52083333333333337</c:v>
                </c:pt>
                <c:pt idx="4">
                  <c:v>0.5535714285714286</c:v>
                </c:pt>
              </c:numCache>
            </c:numRef>
          </c:val>
          <c:smooth val="0"/>
          <c:extLst>
            <c:ext xmlns:c16="http://schemas.microsoft.com/office/drawing/2014/chart" uri="{C3380CC4-5D6E-409C-BE32-E72D297353CC}">
              <c16:uniqueId val="{00000015-E7C8-4458-BBF7-221EF319123C}"/>
            </c:ext>
          </c:extLst>
        </c:ser>
        <c:ser>
          <c:idx val="26"/>
          <c:order val="21"/>
          <c:tx>
            <c:strRef>
              <c:f>Care_Leavers!$AK$62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Care_Leavers!$BB$62:$BF$62</c:f>
              <c:numCache>
                <c:formatCode>0.0%</c:formatCode>
                <c:ptCount val="5"/>
                <c:pt idx="0">
                  <c:v>#N/A</c:v>
                </c:pt>
                <c:pt idx="1">
                  <c:v>#N/A</c:v>
                </c:pt>
                <c:pt idx="2">
                  <c:v>#N/A</c:v>
                </c:pt>
                <c:pt idx="3">
                  <c:v>0.6071428571428571</c:v>
                </c:pt>
                <c:pt idx="4">
                  <c:v>0.55263157894736847</c:v>
                </c:pt>
              </c:numCache>
            </c:numRef>
          </c:val>
          <c:smooth val="0"/>
          <c:extLst>
            <c:ext xmlns:c16="http://schemas.microsoft.com/office/drawing/2014/chart" uri="{C3380CC4-5D6E-409C-BE32-E72D297353CC}">
              <c16:uniqueId val="{00000016-E7C8-4458-BBF7-221EF319123C}"/>
            </c:ext>
          </c:extLst>
        </c:ser>
        <c:ser>
          <c:idx val="4"/>
          <c:order val="22"/>
          <c:tx>
            <c:strRef>
              <c:f>Care_Leavers!$AK$63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Care_Leavers!$Y$2:$AC$3</c:f>
              <c:strCache>
                <c:ptCount val="5"/>
                <c:pt idx="0">
                  <c:v>2014-15</c:v>
                </c:pt>
                <c:pt idx="1">
                  <c:v>2015-16</c:v>
                </c:pt>
                <c:pt idx="2">
                  <c:v>2016-17</c:v>
                </c:pt>
                <c:pt idx="3">
                  <c:v>2017-18</c:v>
                </c:pt>
                <c:pt idx="4">
                  <c:v>2018-19</c:v>
                </c:pt>
              </c:strCache>
            </c:strRef>
          </c:cat>
          <c:val>
            <c:numRef>
              <c:f>Care_Leavers!$BB$63:$BF$63</c:f>
              <c:numCache>
                <c:formatCode>0.0%</c:formatCode>
                <c:ptCount val="5"/>
                <c:pt idx="0">
                  <c:v>#N/A</c:v>
                </c:pt>
                <c:pt idx="1">
                  <c:v>#N/A</c:v>
                </c:pt>
                <c:pt idx="2">
                  <c:v>#N/A</c:v>
                </c:pt>
                <c:pt idx="3">
                  <c:v>0.52272727272727271</c:v>
                </c:pt>
                <c:pt idx="4">
                  <c:v>0.53894736842105262</c:v>
                </c:pt>
              </c:numCache>
            </c:numRef>
          </c:val>
          <c:smooth val="0"/>
          <c:extLst>
            <c:ext xmlns:c16="http://schemas.microsoft.com/office/drawing/2014/chart" uri="{C3380CC4-5D6E-409C-BE32-E72D297353CC}">
              <c16:uniqueId val="{00000017-E7C8-4458-BBF7-221EF319123C}"/>
            </c:ext>
          </c:extLst>
        </c:ser>
        <c:ser>
          <c:idx val="6"/>
          <c:order val="23"/>
          <c:tx>
            <c:strRef>
              <c:f>Care_Leavers!$AK$64</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Care_Leavers!$Y$2:$AC$3</c:f>
              <c:strCache>
                <c:ptCount val="5"/>
                <c:pt idx="0">
                  <c:v>2014-15</c:v>
                </c:pt>
                <c:pt idx="1">
                  <c:v>2015-16</c:v>
                </c:pt>
                <c:pt idx="2">
                  <c:v>2016-17</c:v>
                </c:pt>
                <c:pt idx="3">
                  <c:v>2017-18</c:v>
                </c:pt>
                <c:pt idx="4">
                  <c:v>2018-19</c:v>
                </c:pt>
              </c:strCache>
            </c:strRef>
          </c:cat>
          <c:val>
            <c:numRef>
              <c:f>Care_Leavers!$BB$64:$BF$64</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E7C8-4458-BBF7-221EF319123C}"/>
            </c:ext>
          </c:extLst>
        </c:ser>
        <c:dLbls>
          <c:showLegendKey val="0"/>
          <c:showVal val="0"/>
          <c:showCatName val="0"/>
          <c:showSerName val="0"/>
          <c:showPercent val="0"/>
          <c:showBubbleSize val="0"/>
        </c:dLbls>
        <c:marker val="1"/>
        <c:smooth val="0"/>
        <c:axId val="317536128"/>
        <c:axId val="317554688"/>
      </c:lineChart>
      <c:catAx>
        <c:axId val="317536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554688"/>
        <c:crosses val="autoZero"/>
        <c:auto val="1"/>
        <c:lblAlgn val="ctr"/>
        <c:lblOffset val="100"/>
        <c:tickLblSkip val="1"/>
        <c:tickMarkSkip val="1"/>
        <c:noMultiLvlLbl val="0"/>
      </c:catAx>
      <c:valAx>
        <c:axId val="31755468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53612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085687571180867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Leavers (Aged 19-21) vs. IDACI</a:t>
            </a:r>
          </a:p>
        </c:rich>
      </c:tx>
      <c:layout>
        <c:manualLayout>
          <c:xMode val="edge"/>
          <c:yMode val="edge"/>
          <c:x val="0.20188592864248134"/>
          <c:y val="3.011988366319074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Care_Leavers!$AQ$38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B799-4C52-AD2D-264E391C71B2}"/>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{984E5985-4BC3-4728-8E66-C4E91E526B92}</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B799-4C52-AD2D-264E391C71B2}"/>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{9968D83A-DDC9-4AA3-B158-8E9004862D09}</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B799-4C52-AD2D-264E391C71B2}"/>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{39336935-AA76-44DA-9D99-7EFACAFEEBF7}</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B799-4C52-AD2D-264E391C71B2}"/>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{FF0CC0E5-5483-449D-B454-3E0F4E359CE3}</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B799-4C52-AD2D-264E391C71B2}"/>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{31A7AF7E-3755-4735-90BF-204177F727E4}</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B799-4C52-AD2D-264E391C71B2}"/>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{9E1C09A3-A250-4495-8B9C-037944BB924E}</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B799-4C52-AD2D-264E391C71B2}"/>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{B9A710E5-9CB6-48B4-9F90-99A90DACC6E2}</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B799-4C52-AD2D-264E391C71B2}"/>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{8C0E1D70-5F10-4083-8F2E-EE0AFBEBAF26}</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B799-4C52-AD2D-264E391C71B2}"/>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{FC7FEAA5-74AD-4258-8523-AAE3FEBDF423}</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B799-4C52-AD2D-264E391C71B2}"/>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{9C51FFA6-673B-471E-ABFE-526FFB1EFCF7}</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B799-4C52-AD2D-264E391C71B2}"/>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{B254F6BE-FE10-4E0F-9707-064892D7199D}</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B799-4C52-AD2D-264E391C71B2}"/>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{CFBAD4B5-1C2C-40AE-9633-C61CA9911582}</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B799-4C52-AD2D-264E391C71B2}"/>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{C93DFD4D-C7D0-44ED-ABD2-4CB8CE972E89}</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B799-4C52-AD2D-264E391C71B2}"/>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{0BD22078-E96B-4FF7-B04F-3B08506E5260}</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B799-4C52-AD2D-264E391C71B2}"/>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{16664AED-DDC8-4279-98FB-BEA5E6172901}</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B799-4C52-AD2D-264E391C71B2}"/>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{CE52BF4D-CFFB-4FCE-A8F0-8D0248D25B10}</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B799-4C52-AD2D-264E391C71B2}"/>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{89723B39-3C9B-4318-9636-71319896EB6F}</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B799-4C52-AD2D-264E391C71B2}"/>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{4970D2C3-6C7A-428D-8498-B109305536FE}</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B799-4C52-AD2D-264E391C71B2}"/>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{C51AAB26-930F-4FD3-AF71-EEC2BAB086BA}</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B799-4C52-AD2D-264E391C71B2}"/>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(Care_Leavers!$AQ$41:$AQ$53,Care_Leavers!$AQ$55:$AQ$56,Care_Leavers!$AQ$59:$AQ$62)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(Care_Leavers!$AP$41:$AP$53,Care_Leavers!$AP$55:$AP$56,Care_Leavers!$AP$59:$AP$62)</c:f>
              <c:numCache>
                <c:formatCode>0.0</c:formatCode>
                <c:ptCount val="19"/>
                <c:pt idx="0">
                  <c:v>142.42424242424241</c:v>
                </c:pt>
                <c:pt idx="1">
                  <c:v>103.7914691943128</c:v>
                </c:pt>
                <c:pt idx="2">
                  <c:v>139.84962406015038</c:v>
                </c:pt>
                <c:pt idx="3">
                  <c:v>109.86842105263158</c:v>
                </c:pt>
                <c:pt idx="4">
                  <c:v>131.12244897959184</c:v>
                </c:pt>
                <c:pt idx="5">
                  <c:v>234.21052631578948</c:v>
                </c:pt>
                <c:pt idx="6">
                  <c:v>290.43977055449329</c:v>
                </c:pt>
                <c:pt idx="7">
                  <c:v>123.95833333333333</c:v>
                </c:pt>
                <c:pt idx="8">
                  <c:v>256.92307692307691</c:v>
                </c:pt>
                <c:pt idx="9">
                  <c:v>91.973244147157203</c:v>
                </c:pt>
                <c:pt idx="10">
                  <c:v>75</c:v>
                </c:pt>
                <c:pt idx="11">
                  <c:v>104.25531914893618</c:v>
                </c:pt>
                <c:pt idx="12">
                  <c:v>207.14285714285714</c:v>
                </c:pt>
                <c:pt idx="13">
                  <c:v>57.727272727272734</c:v>
                </c:pt>
                <c:pt idx="14">
                  <c:v>126.66666666666666</c:v>
                </c:pt>
                <c:pt idx="15">
                  <c:v>200</c:v>
                </c:pt>
                <c:pt idx="16">
                  <c:v>161.33333333333331</c:v>
                </c:pt>
                <c:pt idx="17">
                  <c:v>175.00000000000003</c:v>
                </c:pt>
                <c:pt idx="18">
                  <c:v>86.36363636363636</c:v>
                </c:pt>
              </c:numCache>
            </c:numRef>
          </c:yVal>
          <c:smooth val="0"/>
          <c:extLst>
            <c:ext xmlns:c16="http://schemas.microsoft.com/office/drawing/2014/chart" uri="{C3380CC4-5D6E-409C-BE32-E72D297353CC}">
              <c16:uniqueId val="{00000017-B799-4C52-AD2D-264E391C71B2}"/>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B799-4C52-AD2D-264E391C71B2}"/>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{EC83DF4B-42AE-4BA4-A6F4-9539C5841542}</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B799-4C52-AD2D-264E391C71B2}"/>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{CC6EC5FF-4278-413A-B8A4-61E19176F58D}</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B799-4C52-AD2D-264E391C71B2}"/>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{FE19EE8C-7DDD-4F04-BF09-8F693715C67C}</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B799-4C52-AD2D-264E391C71B2}"/>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(Care_Leavers!$AQ$54,Care_Leavers!$AQ$57:$AQ$58)</c:f>
              <c:numCache>
                <c:formatCode>0.0</c:formatCode>
                <c:ptCount val="3"/>
                <c:pt idx="0">
                  <c:v>13.600000000000001</c:v>
                </c:pt>
                <c:pt idx="1">
                  <c:v>14.899999999999999</c:v>
                </c:pt>
                <c:pt idx="2">
                  <c:v>21.9</c:v>
                </c:pt>
              </c:numCache>
            </c:numRef>
          </c:xVal>
          <c:yVal>
            <c:numRef>
              <c:f>(Care_Leavers!$AP$54,Care_Leavers!$AP$57:$AP$58)</c:f>
              <c:numCache>
                <c:formatCode>0.0</c:formatCode>
                <c:ptCount val="3"/>
                <c:pt idx="0">
                  <c:v>124.82758620689656</c:v>
                </c:pt>
                <c:pt idx="1">
                  <c:v>214.28571428571428</c:v>
                </c:pt>
                <c:pt idx="2">
                  <c:v>297.14285714285717</c:v>
                </c:pt>
              </c:numCache>
            </c:numRef>
          </c:yVal>
          <c:smooth val="0"/>
          <c:extLst>
            <c:ext xmlns:c16="http://schemas.microsoft.com/office/drawing/2014/chart" uri="{C3380CC4-5D6E-409C-BE32-E72D297353CC}">
              <c16:uniqueId val="{0000001B-B799-4C52-AD2D-264E391C71B2}"/>
            </c:ext>
          </c:extLst>
        </c:ser>
        <c:ser>
          <c:idx val="1"/>
          <c:order val="2"/>
          <c:tx>
            <c:strRef>
              <c:f>Care_Leavers!$Z$4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Care_Leavers!$AQ$64</c:f>
              <c:numCache>
                <c:formatCode>0.0</c:formatCode>
                <c:ptCount val="1"/>
                <c:pt idx="0">
                  <c:v>#N/A</c:v>
                </c:pt>
              </c:numCache>
            </c:numRef>
          </c:xVal>
          <c:yVal>
            <c:numRef>
              <c:f>Care_Leavers!$AP$64</c:f>
              <c:numCache>
                <c:formatCode>0.0</c:formatCode>
                <c:ptCount val="1"/>
                <c:pt idx="0">
                  <c:v>#N/A</c:v>
                </c:pt>
              </c:numCache>
            </c:numRef>
          </c:yVal>
          <c:smooth val="0"/>
          <c:extLst>
            <c:ext xmlns:c16="http://schemas.microsoft.com/office/drawing/2014/chart" uri="{C3380CC4-5D6E-409C-BE32-E72D297353CC}">
              <c16:uniqueId val="{0000001C-B799-4C52-AD2D-264E391C71B2}"/>
            </c:ext>
          </c:extLst>
        </c:ser>
        <c:ser>
          <c:idx val="4"/>
          <c:order val="3"/>
          <c:tx>
            <c:strRef>
              <c:f>Care_Leavers!$B$32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Care_Leavers!$T$32</c:f>
              <c:numCache>
                <c:formatCode>0.0</c:formatCode>
                <c:ptCount val="1"/>
                <c:pt idx="0">
                  <c:v>12.371268250968637</c:v>
                </c:pt>
              </c:numCache>
            </c:numRef>
          </c:xVal>
          <c:yVal>
            <c:numRef>
              <c:f>Care_Leavers!$P$32</c:f>
              <c:numCache>
                <c:formatCode>0.0</c:formatCode>
                <c:ptCount val="1"/>
                <c:pt idx="0">
                  <c:v>149.55919395465995</c:v>
                </c:pt>
              </c:numCache>
            </c:numRef>
          </c:yVal>
          <c:smooth val="0"/>
          <c:extLst>
            <c:ext xmlns:c16="http://schemas.microsoft.com/office/drawing/2014/chart" uri="{C3380CC4-5D6E-409C-BE32-E72D297353CC}">
              <c16:uniqueId val="{0000001D-B799-4C52-AD2D-264E391C71B2}"/>
            </c:ext>
          </c:extLst>
        </c:ser>
        <c:dLbls>
          <c:showLegendKey val="0"/>
          <c:showVal val="0"/>
          <c:showCatName val="0"/>
          <c:showSerName val="0"/>
          <c:showPercent val="0"/>
          <c:showBubbleSize val="0"/>
        </c:dLbls>
        <c:axId val="317707392"/>
        <c:axId val="317709696"/>
      </c:scatterChart>
      <c:scatterChart>
        <c:scatterStyle val="smoothMarker"/>
        <c:varyColors val="0"/>
        <c:ser>
          <c:idx val="2"/>
          <c:order val="4"/>
          <c:tx>
            <c:strRef>
              <c:f>Care_Leavers!$X$41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B799-4C52-AD2D-264E391C71B2}"/>
                </c:ext>
              </c:extLst>
            </c:dLbl>
            <c:dLbl>
              <c:idx val="1"/>
              <c:layout>
                <c:manualLayout>
                  <c:x val="-6.511627906976733E-2"/>
                  <c:y val="-3.3182503770739065E-2"/>
                </c:manualLayout>
              </c:layout>
              <c:tx>
                <c:strRef>
                  <c:f>Care_Leavers!$AC$42</c:f>
                  <c:strCache>
                    <c:ptCount val="1"/>
                    <c:pt idx="0">
                      <c:v>r² = 0.001</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{E05428F4-F59A-4FE9-9C2E-0539964DCBD5}</c15:txfldGUID>
                      <c15:f>Care_Leavers!$AC$42</c15:f>
                      <c15:dlblFieldTableCache>
                        <c:ptCount val="1"/>
                        <c:pt idx="0">
                          <c:v>r² = 0.001</c:v>
                        </c:pt>
                      </c15:dlblFieldTableCache>
                    </c15:dlblFTEntry>
                  </c15:dlblFieldTable>
                  <c15:showDataLabelsRange val="0"/>
                </c:ext>
                <c:ext xmlns:c16="http://schemas.microsoft.com/office/drawing/2014/chart" uri="{C3380CC4-5D6E-409C-BE32-E72D297353CC}">
                  <c16:uniqueId val="{00000001-B799-4C52-AD2D-264E391C71B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Care_Leavers!$AA$41:$AA$42</c:f>
              <c:numCache>
                <c:formatCode>General</c:formatCode>
                <c:ptCount val="2"/>
                <c:pt idx="0" formatCode="#,##0.0">
                  <c:v>5</c:v>
                </c:pt>
                <c:pt idx="1">
                  <c:v>35</c:v>
                </c:pt>
              </c:numCache>
            </c:numRef>
          </c:xVal>
          <c:yVal>
            <c:numRef>
              <c:f>Care_Leavers!$AB$41:$AB$42</c:f>
              <c:numCache>
                <c:formatCode>0.0</c:formatCode>
                <c:ptCount val="2"/>
                <c:pt idx="0">
                  <c:v>151.16542925178422</c:v>
                </c:pt>
                <c:pt idx="1">
                  <c:v>140.58663262536601</c:v>
                </c:pt>
              </c:numCache>
            </c:numRef>
          </c:yVal>
          <c:smooth val="1"/>
          <c:extLst>
            <c:ext xmlns:c16="http://schemas.microsoft.com/office/drawing/2014/chart" uri="{C3380CC4-5D6E-409C-BE32-E72D297353CC}">
              <c16:uniqueId val="{00000002-B799-4C52-AD2D-264E391C71B2}"/>
            </c:ext>
          </c:extLst>
        </c:ser>
        <c:ser>
          <c:idx val="5"/>
          <c:order val="5"/>
          <c:tx>
            <c:strRef>
              <c:f>Care_Leavers!$X$43</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6D6A-4C9F-805F-E4B5B0E455AD}"/>
                </c:ext>
              </c:extLst>
            </c:dLbl>
            <c:dLbl>
              <c:idx val="1"/>
              <c:layout>
                <c:manualLayout>
                  <c:x val="-7.4418604651162901E-2"/>
                  <c:y val="3.9215686274509803E-2"/>
                </c:manualLayout>
              </c:layout>
              <c:tx>
                <c:strRef>
                  <c:f>Care_Leavers!$AC$43</c:f>
                  <c:strCache>
                    <c:ptCount val="1"/>
                    <c:pt idx="0">
                      <c:v>r² = 0.101</c:v>
                    </c:pt>
                  </c:strCache>
                </c:strRef>
              </c:tx>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{6F06E4FB-7F75-46EF-A83B-87A19464E585}</c15:txfldGUID>
                      <c15:f>Care_Leavers!$AC$43</c15:f>
                      <c15:dlblFieldTableCache>
                        <c:ptCount val="1"/>
                        <c:pt idx="0">
                          <c:v>r² = 0.101</c:v>
                        </c:pt>
                      </c15:dlblFieldTableCache>
                    </c15:dlblFTEntry>
                  </c15:dlblFieldTable>
                  <c15:showDataLabelsRange val="0"/>
                </c:ext>
                <c:ext xmlns:c16="http://schemas.microsoft.com/office/drawing/2014/chart" uri="{C3380CC4-5D6E-409C-BE32-E72D297353CC}">
                  <c16:uniqueId val="{00000006-6D6A-4C9F-805F-E4B5B0E455AD}"/>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Care_Leavers!$AA$43:$AA$44</c:f>
              <c:numCache>
                <c:formatCode>General</c:formatCode>
                <c:ptCount val="2"/>
                <c:pt idx="0" formatCode="#,##0.0">
                  <c:v>5</c:v>
                </c:pt>
                <c:pt idx="1">
                  <c:v>35</c:v>
                </c:pt>
              </c:numCache>
            </c:numRef>
          </c:xVal>
          <c:yVal>
            <c:numRef>
              <c:f>Care_Leavers!$AB$43:$AB$44</c:f>
              <c:numCache>
                <c:formatCode>0.0</c:formatCode>
                <c:ptCount val="2"/>
                <c:pt idx="0">
                  <c:v>18.848167550055919</c:v>
                </c:pt>
                <c:pt idx="1">
                  <c:v>36.745782546153769</c:v>
                </c:pt>
              </c:numCache>
            </c:numRef>
          </c:yVal>
          <c:smooth val="1"/>
          <c:extLst>
            <c:ext xmlns:c16="http://schemas.microsoft.com/office/drawing/2014/chart" uri="{C3380CC4-5D6E-409C-BE32-E72D297353CC}">
              <c16:uniqueId val="{00000002-6D6A-4C9F-805F-E4B5B0E455AD}"/>
            </c:ext>
          </c:extLst>
        </c:ser>
        <c:dLbls>
          <c:showLegendKey val="0"/>
          <c:showVal val="0"/>
          <c:showCatName val="0"/>
          <c:showSerName val="0"/>
          <c:showPercent val="0"/>
          <c:showBubbleSize val="0"/>
        </c:dLbls>
        <c:axId val="317707392"/>
        <c:axId val="317709696"/>
      </c:scatterChart>
      <c:valAx>
        <c:axId val="317707392"/>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709696"/>
        <c:crosses val="autoZero"/>
        <c:crossBetween val="midCat"/>
        <c:majorUnit val="5"/>
      </c:valAx>
      <c:valAx>
        <c:axId val="317709696"/>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Care Leavers (Aged 19-21) </a:t>
                </a:r>
                <a:r>
                  <a:rPr lang="en-GB"/>
                  <a:t>per</a:t>
                </a:r>
              </a:p>
              <a:p>
                <a:pPr>
                  <a:defRPr sz="800" b="1" i="0" u="none" strike="noStrike" baseline="0">
                    <a:solidFill>
                      <a:srgbClr val="000000"/>
                    </a:solidFill>
                    <a:latin typeface="Arial"/>
                    <a:ea typeface="Arial"/>
                    <a:cs typeface="Arial"/>
                  </a:defRPr>
                </a:pPr>
                <a:r>
                  <a:rPr lang="en-GB"/>
                  <a:t>10,000 19-21 year olds</a:t>
                </a:r>
              </a:p>
            </c:rich>
          </c:tx>
          <c:layout>
            <c:manualLayout>
              <c:xMode val="edge"/>
              <c:yMode val="edge"/>
              <c:x val="2.7638634211819415E-2"/>
              <c:y val="0.218250455179589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1770739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 at last</a:t>
            </a:r>
            <a:r>
              <a:rPr lang="en-GB" baseline="0"/>
              <a:t> day in period </a:t>
            </a:r>
            <a:r>
              <a:rPr lang="en-GB"/>
              <a:t>per </a:t>
            </a:r>
          </a:p>
          <a:p>
            <a:pPr>
              <a:defRPr sz="1000" b="1" i="0" u="none" strike="noStrike" baseline="0">
                <a:solidFill>
                  <a:srgbClr val="000000"/>
                </a:solidFill>
                <a:latin typeface="Arial"/>
                <a:ea typeface="Arial"/>
                <a:cs typeface="Arial"/>
              </a:defRPr>
            </a:pPr>
            <a:r>
              <a:rPr lang="en-GB"/>
              <a:t>10,000 0-17 year olds</a:t>
            </a:r>
          </a:p>
        </c:rich>
      </c:tx>
      <c:layout>
        <c:manualLayout>
          <c:xMode val="edge"/>
          <c:yMode val="edge"/>
          <c:x val="0.10916144830377505"/>
          <c:y val="1.2605231944076981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Adoption!$AO$42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CF5-40A6-A3E3-746F1E575642}"/>
              </c:ext>
            </c:extLst>
          </c:dPt>
          <c:cat>
            <c:strRef>
              <c:f>Adoption!$Z$2:$AD$3</c:f>
              <c:strCache>
                <c:ptCount val="5"/>
                <c:pt idx="0">
                  <c:v>2014-15</c:v>
                </c:pt>
                <c:pt idx="1">
                  <c:v>2015-16</c:v>
                </c:pt>
                <c:pt idx="2">
                  <c:v>2016-17</c:v>
                </c:pt>
                <c:pt idx="3">
                  <c:v>2017-18</c:v>
                </c:pt>
                <c:pt idx="4">
                  <c:v>2018-19</c:v>
                </c:pt>
              </c:strCache>
            </c:strRef>
          </c:cat>
          <c:val>
            <c:numRef>
              <c:f>Adoption!$AP$42:$AT$42</c:f>
              <c:numCache>
                <c:formatCode>0.0</c:formatCode>
                <c:ptCount val="5"/>
                <c:pt idx="0">
                  <c:v>1.7985611510791368</c:v>
                </c:pt>
                <c:pt idx="1">
                  <c:v>1.773049645390071</c:v>
                </c:pt>
                <c:pt idx="2">
                  <c:v>#N/A</c:v>
                </c:pt>
                <c:pt idx="3">
                  <c:v>#N/A</c:v>
                </c:pt>
                <c:pt idx="4">
                  <c:v>#N/A</c:v>
                </c:pt>
              </c:numCache>
            </c:numRef>
          </c:val>
          <c:smooth val="0"/>
          <c:extLst>
            <c:ext xmlns:c16="http://schemas.microsoft.com/office/drawing/2014/chart" uri="{C3380CC4-5D6E-409C-BE32-E72D297353CC}">
              <c16:uniqueId val="{00000001-ACF5-40A6-A3E3-746F1E575642}"/>
            </c:ext>
          </c:extLst>
        </c:ser>
        <c:ser>
          <c:idx val="1"/>
          <c:order val="1"/>
          <c:tx>
            <c:strRef>
              <c:f>Adoption!$AO$43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2014-15</c:v>
                </c:pt>
                <c:pt idx="1">
                  <c:v>2015-16</c:v>
                </c:pt>
                <c:pt idx="2">
                  <c:v>2016-17</c:v>
                </c:pt>
                <c:pt idx="3">
                  <c:v>2017-18</c:v>
                </c:pt>
                <c:pt idx="4">
                  <c:v>2018-19</c:v>
                </c:pt>
              </c:strCache>
            </c:strRef>
          </c:cat>
          <c:val>
            <c:numRef>
              <c:f>Adoption!$AP$43:$AT$43</c:f>
              <c:numCache>
                <c:formatCode>0.0</c:formatCode>
                <c:ptCount val="5"/>
                <c:pt idx="0">
                  <c:v>4.9019607843137258</c:v>
                </c:pt>
                <c:pt idx="1">
                  <c:v>2.9296875</c:v>
                </c:pt>
                <c:pt idx="2">
                  <c:v>6.0428849902534116</c:v>
                </c:pt>
                <c:pt idx="3">
                  <c:v>3.7254901960784315</c:v>
                </c:pt>
                <c:pt idx="4">
                  <c:v>1.9607843137254901</c:v>
                </c:pt>
              </c:numCache>
            </c:numRef>
          </c:val>
          <c:smooth val="0"/>
          <c:extLst>
            <c:ext xmlns:c16="http://schemas.microsoft.com/office/drawing/2014/chart" uri="{C3380CC4-5D6E-409C-BE32-E72D297353CC}">
              <c16:uniqueId val="{00000002-ACF5-40A6-A3E3-746F1E575642}"/>
            </c:ext>
          </c:extLst>
        </c:ser>
        <c:ser>
          <c:idx val="2"/>
          <c:order val="2"/>
          <c:tx>
            <c:strRef>
              <c:f>Adoption!$AO$44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2014-15</c:v>
                </c:pt>
                <c:pt idx="1">
                  <c:v>2015-16</c:v>
                </c:pt>
                <c:pt idx="2">
                  <c:v>2016-17</c:v>
                </c:pt>
                <c:pt idx="3">
                  <c:v>2017-18</c:v>
                </c:pt>
                <c:pt idx="4">
                  <c:v>2018-19</c:v>
                </c:pt>
              </c:strCache>
            </c:strRef>
          </c:cat>
          <c:val>
            <c:numRef>
              <c:f>Adoption!$AP$44:$AT$44</c:f>
              <c:numCache>
                <c:formatCode>0.0</c:formatCode>
                <c:ptCount val="5"/>
                <c:pt idx="0">
                  <c:v>2.1026072329688814</c:v>
                </c:pt>
                <c:pt idx="1">
                  <c:v>2.0729684908789388</c:v>
                </c:pt>
                <c:pt idx="2">
                  <c:v>1.1456628477905073</c:v>
                </c:pt>
                <c:pt idx="3">
                  <c:v>0.73111291632818842</c:v>
                </c:pt>
                <c:pt idx="4">
                  <c:v>1.4481094127111824</c:v>
                </c:pt>
              </c:numCache>
            </c:numRef>
          </c:val>
          <c:smooth val="0"/>
          <c:extLst>
            <c:ext xmlns:c16="http://schemas.microsoft.com/office/drawing/2014/chart" uri="{C3380CC4-5D6E-409C-BE32-E72D297353CC}">
              <c16:uniqueId val="{00000003-ACF5-40A6-A3E3-746F1E575642}"/>
            </c:ext>
          </c:extLst>
        </c:ser>
        <c:ser>
          <c:idx val="5"/>
          <c:order val="3"/>
          <c:tx>
            <c:strRef>
              <c:f>Adoption!$AO$45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2014-15</c:v>
                </c:pt>
                <c:pt idx="1">
                  <c:v>2015-16</c:v>
                </c:pt>
                <c:pt idx="2">
                  <c:v>2016-17</c:v>
                </c:pt>
                <c:pt idx="3">
                  <c:v>2017-18</c:v>
                </c:pt>
                <c:pt idx="4">
                  <c:v>2018-19</c:v>
                </c:pt>
              </c:strCache>
            </c:strRef>
          </c:cat>
          <c:val>
            <c:numRef>
              <c:f>Adoption!$AP$45:$AT$45</c:f>
              <c:numCache>
                <c:formatCode>0.0</c:formatCode>
                <c:ptCount val="5"/>
                <c:pt idx="0">
                  <c:v>3.795066413662239</c:v>
                </c:pt>
                <c:pt idx="1">
                  <c:v>2.8328611898016995</c:v>
                </c:pt>
                <c:pt idx="2">
                  <c:v>2.8328611898016995</c:v>
                </c:pt>
                <c:pt idx="3">
                  <c:v>2.4528301886792452</c:v>
                </c:pt>
                <c:pt idx="4">
                  <c:v>#N/A</c:v>
                </c:pt>
              </c:numCache>
            </c:numRef>
          </c:val>
          <c:smooth val="0"/>
          <c:extLst>
            <c:ext xmlns:c16="http://schemas.microsoft.com/office/drawing/2014/chart" uri="{C3380CC4-5D6E-409C-BE32-E72D297353CC}">
              <c16:uniqueId val="{00000004-ACF5-40A6-A3E3-746F1E575642}"/>
            </c:ext>
          </c:extLst>
        </c:ser>
        <c:ser>
          <c:idx val="9"/>
          <c:order val="4"/>
          <c:tx>
            <c:strRef>
              <c:f>Adoption!$AO$46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2014-15</c:v>
                </c:pt>
                <c:pt idx="1">
                  <c:v>2015-16</c:v>
                </c:pt>
                <c:pt idx="2">
                  <c:v>2016-17</c:v>
                </c:pt>
                <c:pt idx="3">
                  <c:v>2017-18</c:v>
                </c:pt>
                <c:pt idx="4">
                  <c:v>2018-19</c:v>
                </c:pt>
              </c:strCache>
            </c:strRef>
          </c:cat>
          <c:val>
            <c:numRef>
              <c:f>Adoption!$AP$46:$AT$46</c:f>
              <c:numCache>
                <c:formatCode>0.0</c:formatCode>
                <c:ptCount val="5"/>
                <c:pt idx="0">
                  <c:v>2.4866785079928952</c:v>
                </c:pt>
                <c:pt idx="1">
                  <c:v>2.1284143313231643</c:v>
                </c:pt>
                <c:pt idx="2">
                  <c:v>1.4497878359264498</c:v>
                </c:pt>
                <c:pt idx="3">
                  <c:v>1.9414048711613132</c:v>
                </c:pt>
                <c:pt idx="4">
                  <c:v>1.6901408450704225</c:v>
                </c:pt>
              </c:numCache>
            </c:numRef>
          </c:val>
          <c:smooth val="0"/>
          <c:extLst>
            <c:ext xmlns:c16="http://schemas.microsoft.com/office/drawing/2014/chart" uri="{C3380CC4-5D6E-409C-BE32-E72D297353CC}">
              <c16:uniqueId val="{00000005-ACF5-40A6-A3E3-746F1E575642}"/>
            </c:ext>
          </c:extLst>
        </c:ser>
        <c:ser>
          <c:idx val="10"/>
          <c:order val="5"/>
          <c:tx>
            <c:strRef>
              <c:f>Adoption!$AO$47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2014-15</c:v>
                </c:pt>
                <c:pt idx="1">
                  <c:v>2015-16</c:v>
                </c:pt>
                <c:pt idx="2">
                  <c:v>2016-17</c:v>
                </c:pt>
                <c:pt idx="3">
                  <c:v>2017-18</c:v>
                </c:pt>
                <c:pt idx="4">
                  <c:v>2018-19</c:v>
                </c:pt>
              </c:strCache>
            </c:strRef>
          </c:cat>
          <c:val>
            <c:numRef>
              <c:f>Adoption!$AP$47:$AT$47</c:f>
              <c:numCache>
                <c:formatCode>0.0</c:formatCode>
                <c:ptCount val="5"/>
                <c:pt idx="0">
                  <c:v>3.9215686274509802</c:v>
                </c:pt>
                <c:pt idx="1">
                  <c:v>#N/A</c:v>
                </c:pt>
                <c:pt idx="2">
                  <c:v>3.9682539682539684</c:v>
                </c:pt>
                <c:pt idx="3">
                  <c:v>#N/A</c:v>
                </c:pt>
                <c:pt idx="4">
                  <c:v>#N/A</c:v>
                </c:pt>
              </c:numCache>
            </c:numRef>
          </c:val>
          <c:smooth val="0"/>
          <c:extLst>
            <c:ext xmlns:c16="http://schemas.microsoft.com/office/drawing/2014/chart" uri="{C3380CC4-5D6E-409C-BE32-E72D297353CC}">
              <c16:uniqueId val="{00000006-ACF5-40A6-A3E3-746F1E575642}"/>
            </c:ext>
          </c:extLst>
        </c:ser>
        <c:ser>
          <c:idx val="11"/>
          <c:order val="6"/>
          <c:tx>
            <c:strRef>
              <c:f>Adoption!$AO$48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2014-15</c:v>
                </c:pt>
                <c:pt idx="1">
                  <c:v>2015-16</c:v>
                </c:pt>
                <c:pt idx="2">
                  <c:v>2016-17</c:v>
                </c:pt>
                <c:pt idx="3">
                  <c:v>2017-18</c:v>
                </c:pt>
                <c:pt idx="4">
                  <c:v>2018-19</c:v>
                </c:pt>
              </c:strCache>
            </c:strRef>
          </c:cat>
          <c:val>
            <c:numRef>
              <c:f>Adoption!$AP$48:$AT$48</c:f>
              <c:numCache>
                <c:formatCode>0.0</c:formatCode>
                <c:ptCount val="5"/>
                <c:pt idx="0">
                  <c:v>2.1321961620469083</c:v>
                </c:pt>
                <c:pt idx="1">
                  <c:v>1.513317191283293</c:v>
                </c:pt>
                <c:pt idx="2">
                  <c:v>1.6516516516516517</c:v>
                </c:pt>
                <c:pt idx="3">
                  <c:v>1.6661707825052068</c:v>
                </c:pt>
                <c:pt idx="4">
                  <c:v>1.1173184357541899</c:v>
                </c:pt>
              </c:numCache>
            </c:numRef>
          </c:val>
          <c:smooth val="0"/>
          <c:extLst>
            <c:ext xmlns:c16="http://schemas.microsoft.com/office/drawing/2014/chart" uri="{C3380CC4-5D6E-409C-BE32-E72D297353CC}">
              <c16:uniqueId val="{00000007-ACF5-40A6-A3E3-746F1E575642}"/>
            </c:ext>
          </c:extLst>
        </c:ser>
        <c:ser>
          <c:idx val="12"/>
          <c:order val="7"/>
          <c:tx>
            <c:strRef>
              <c:f>Adoption!$AO$49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2014-15</c:v>
                </c:pt>
                <c:pt idx="1">
                  <c:v>2015-16</c:v>
                </c:pt>
                <c:pt idx="2">
                  <c:v>2016-17</c:v>
                </c:pt>
                <c:pt idx="3">
                  <c:v>2017-18</c:v>
                </c:pt>
                <c:pt idx="4">
                  <c:v>2018-19</c:v>
                </c:pt>
              </c:strCache>
            </c:strRef>
          </c:cat>
          <c:val>
            <c:numRef>
              <c:f>Adoption!$AP$49:$AT$49</c:f>
              <c:numCache>
                <c:formatCode>0.0</c:formatCode>
                <c:ptCount val="5"/>
                <c:pt idx="0">
                  <c:v>3.2</c:v>
                </c:pt>
                <c:pt idx="1">
                  <c:v>3.9556962025316453</c:v>
                </c:pt>
                <c:pt idx="2">
                  <c:v>5.6514913657770807</c:v>
                </c:pt>
                <c:pt idx="3">
                  <c:v>3.5993740219092332</c:v>
                </c:pt>
                <c:pt idx="4">
                  <c:v>1.5527950310559007</c:v>
                </c:pt>
              </c:numCache>
            </c:numRef>
          </c:val>
          <c:smooth val="0"/>
          <c:extLst>
            <c:ext xmlns:c16="http://schemas.microsoft.com/office/drawing/2014/chart" uri="{C3380CC4-5D6E-409C-BE32-E72D297353CC}">
              <c16:uniqueId val="{00000008-ACF5-40A6-A3E3-746F1E575642}"/>
            </c:ext>
          </c:extLst>
        </c:ser>
        <c:ser>
          <c:idx val="13"/>
          <c:order val="8"/>
          <c:tx>
            <c:strRef>
              <c:f>Adoption!$AO$50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2014-15</c:v>
                </c:pt>
                <c:pt idx="1">
                  <c:v>2015-16</c:v>
                </c:pt>
                <c:pt idx="2">
                  <c:v>2016-17</c:v>
                </c:pt>
                <c:pt idx="3">
                  <c:v>2017-18</c:v>
                </c:pt>
                <c:pt idx="4">
                  <c:v>2018-19</c:v>
                </c:pt>
              </c:strCache>
            </c:strRef>
          </c:cat>
          <c:val>
            <c:numRef>
              <c:f>Adoption!$AP$50:$AT$50</c:f>
              <c:numCache>
                <c:formatCode>0.0</c:formatCode>
                <c:ptCount val="5"/>
                <c:pt idx="0">
                  <c:v>1.5337423312883436</c:v>
                </c:pt>
                <c:pt idx="1">
                  <c:v>#N/A</c:v>
                </c:pt>
                <c:pt idx="2">
                  <c:v>0.89418777943368111</c:v>
                </c:pt>
                <c:pt idx="3">
                  <c:v>#N/A</c:v>
                </c:pt>
                <c:pt idx="4">
                  <c:v>0.87847730600292828</c:v>
                </c:pt>
              </c:numCache>
            </c:numRef>
          </c:val>
          <c:smooth val="0"/>
          <c:extLst>
            <c:ext xmlns:c16="http://schemas.microsoft.com/office/drawing/2014/chart" uri="{C3380CC4-5D6E-409C-BE32-E72D297353CC}">
              <c16:uniqueId val="{00000009-ACF5-40A6-A3E3-746F1E575642}"/>
            </c:ext>
          </c:extLst>
        </c:ser>
        <c:ser>
          <c:idx val="15"/>
          <c:order val="9"/>
          <c:tx>
            <c:strRef>
              <c:f>Adoption!$AO$51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2014-15</c:v>
                </c:pt>
                <c:pt idx="1">
                  <c:v>2015-16</c:v>
                </c:pt>
                <c:pt idx="2">
                  <c:v>2016-17</c:v>
                </c:pt>
                <c:pt idx="3">
                  <c:v>2017-18</c:v>
                </c:pt>
                <c:pt idx="4">
                  <c:v>2018-19</c:v>
                </c:pt>
              </c:strCache>
            </c:strRef>
          </c:cat>
          <c:val>
            <c:numRef>
              <c:f>Adoption!$AP$51:$AT$51</c:f>
              <c:numCache>
                <c:formatCode>0.0</c:formatCode>
                <c:ptCount val="5"/>
                <c:pt idx="0">
                  <c:v>2.1246458923512748</c:v>
                </c:pt>
                <c:pt idx="1">
                  <c:v>1.4104372355430184</c:v>
                </c:pt>
                <c:pt idx="2">
                  <c:v>1.8894331700489853</c:v>
                </c:pt>
                <c:pt idx="3">
                  <c:v>1.3249651324965133</c:v>
                </c:pt>
                <c:pt idx="4">
                  <c:v>2.0027624309392262</c:v>
                </c:pt>
              </c:numCache>
            </c:numRef>
          </c:val>
          <c:smooth val="0"/>
          <c:extLst>
            <c:ext xmlns:c16="http://schemas.microsoft.com/office/drawing/2014/chart" uri="{C3380CC4-5D6E-409C-BE32-E72D297353CC}">
              <c16:uniqueId val="{0000000A-ACF5-40A6-A3E3-746F1E575642}"/>
            </c:ext>
          </c:extLst>
        </c:ser>
        <c:ser>
          <c:idx val="16"/>
          <c:order val="10"/>
          <c:tx>
            <c:strRef>
              <c:f>Adoption!$AO$52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2014-15</c:v>
                </c:pt>
                <c:pt idx="1">
                  <c:v>2015-16</c:v>
                </c:pt>
                <c:pt idx="2">
                  <c:v>2016-17</c:v>
                </c:pt>
                <c:pt idx="3">
                  <c:v>2017-18</c:v>
                </c:pt>
                <c:pt idx="4">
                  <c:v>2018-19</c:v>
                </c:pt>
              </c:strCache>
            </c:strRef>
          </c:cat>
          <c:val>
            <c:numRef>
              <c:f>Adoption!$AP$52:$AT$52</c:f>
              <c:numCache>
                <c:formatCode>0.0</c:formatCode>
                <c:ptCount val="5"/>
                <c:pt idx="0">
                  <c:v>3.4562211981566819</c:v>
                </c:pt>
                <c:pt idx="1">
                  <c:v>4.5662100456621006</c:v>
                </c:pt>
                <c:pt idx="2">
                  <c:v>#N/A</c:v>
                </c:pt>
                <c:pt idx="3">
                  <c:v>#N/A</c:v>
                </c:pt>
                <c:pt idx="4">
                  <c:v>#N/A</c:v>
                </c:pt>
              </c:numCache>
            </c:numRef>
          </c:val>
          <c:smooth val="0"/>
          <c:extLst>
            <c:ext xmlns:c16="http://schemas.microsoft.com/office/drawing/2014/chart" uri="{C3380CC4-5D6E-409C-BE32-E72D297353CC}">
              <c16:uniqueId val="{0000000B-ACF5-40A6-A3E3-746F1E575642}"/>
            </c:ext>
          </c:extLst>
        </c:ser>
        <c:ser>
          <c:idx val="17"/>
          <c:order val="11"/>
          <c:tx>
            <c:strRef>
              <c:f>Adoption!$AO$53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2014-15</c:v>
                </c:pt>
                <c:pt idx="1">
                  <c:v>2015-16</c:v>
                </c:pt>
                <c:pt idx="2">
                  <c:v>2016-17</c:v>
                </c:pt>
                <c:pt idx="3">
                  <c:v>2017-18</c:v>
                </c:pt>
                <c:pt idx="4">
                  <c:v>2018-19</c:v>
                </c:pt>
              </c:strCache>
            </c:strRef>
          </c:cat>
          <c:val>
            <c:numRef>
              <c:f>Adoption!$AP$53:$AT$53</c:f>
              <c:numCache>
                <c:formatCode>0.0</c:formatCode>
                <c:ptCount val="5"/>
                <c:pt idx="0">
                  <c:v>5.5710306406685239</c:v>
                </c:pt>
                <c:pt idx="1">
                  <c:v>1.3736263736263736</c:v>
                </c:pt>
                <c:pt idx="2">
                  <c:v>#N/A</c:v>
                </c:pt>
                <c:pt idx="3">
                  <c:v>3.2345013477088949</c:v>
                </c:pt>
                <c:pt idx="4">
                  <c:v>1.8867924528301885</c:v>
                </c:pt>
              </c:numCache>
            </c:numRef>
          </c:val>
          <c:smooth val="0"/>
          <c:extLst>
            <c:ext xmlns:c16="http://schemas.microsoft.com/office/drawing/2014/chart" uri="{C3380CC4-5D6E-409C-BE32-E72D297353CC}">
              <c16:uniqueId val="{0000000C-ACF5-40A6-A3E3-746F1E575642}"/>
            </c:ext>
          </c:extLst>
        </c:ser>
        <c:ser>
          <c:idx val="19"/>
          <c:order val="12"/>
          <c:tx>
            <c:strRef>
              <c:f>Adoption!$AO$54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2014-15</c:v>
                </c:pt>
                <c:pt idx="1">
                  <c:v>2015-16</c:v>
                </c:pt>
                <c:pt idx="2">
                  <c:v>2016-17</c:v>
                </c:pt>
                <c:pt idx="3">
                  <c:v>2017-18</c:v>
                </c:pt>
                <c:pt idx="4">
                  <c:v>2018-19</c:v>
                </c:pt>
              </c:strCache>
            </c:strRef>
          </c:cat>
          <c:val>
            <c:numRef>
              <c:f>Adoption!$AP$54:$AT$54</c:f>
              <c:numCache>
                <c:formatCode>0.0</c:formatCode>
                <c:ptCount val="5"/>
                <c:pt idx="0">
                  <c:v>#N/A</c:v>
                </c:pt>
                <c:pt idx="1">
                  <c:v>1.2315270935960589</c:v>
                </c:pt>
                <c:pt idx="2">
                  <c:v>1.932367149758454</c:v>
                </c:pt>
                <c:pt idx="3">
                  <c:v>1.8957345971563981</c:v>
                </c:pt>
                <c:pt idx="4">
                  <c:v>#N/A</c:v>
                </c:pt>
              </c:numCache>
            </c:numRef>
          </c:val>
          <c:smooth val="0"/>
          <c:extLst>
            <c:ext xmlns:c16="http://schemas.microsoft.com/office/drawing/2014/chart" uri="{C3380CC4-5D6E-409C-BE32-E72D297353CC}">
              <c16:uniqueId val="{0000000D-ACF5-40A6-A3E3-746F1E575642}"/>
            </c:ext>
          </c:extLst>
        </c:ser>
        <c:ser>
          <c:idx val="3"/>
          <c:order val="13"/>
          <c:tx>
            <c:strRef>
              <c:f>Adoption!$AO$55</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2014-15</c:v>
                </c:pt>
                <c:pt idx="1">
                  <c:v>2015-16</c:v>
                </c:pt>
                <c:pt idx="2">
                  <c:v>2016-17</c:v>
                </c:pt>
                <c:pt idx="3">
                  <c:v>2017-18</c:v>
                </c:pt>
                <c:pt idx="4">
                  <c:v>2018-19</c:v>
                </c:pt>
              </c:strCache>
            </c:strRef>
          </c:cat>
          <c:val>
            <c:numRef>
              <c:f>Adoption!$AP$55:$AT$55</c:f>
              <c:numCache>
                <c:formatCode>0.0</c:formatCode>
                <c:ptCount val="5"/>
                <c:pt idx="0">
                  <c:v>2.2956841138659319</c:v>
                </c:pt>
                <c:pt idx="1">
                  <c:v>1.3736263736263736</c:v>
                </c:pt>
                <c:pt idx="2">
                  <c:v>1.4585232452142205</c:v>
                </c:pt>
                <c:pt idx="3">
                  <c:v>#N/A</c:v>
                </c:pt>
                <c:pt idx="4">
                  <c:v>#N/A</c:v>
                </c:pt>
              </c:numCache>
            </c:numRef>
          </c:val>
          <c:smooth val="0"/>
          <c:extLst>
            <c:ext xmlns:c16="http://schemas.microsoft.com/office/drawing/2014/chart" uri="{C3380CC4-5D6E-409C-BE32-E72D297353CC}">
              <c16:uniqueId val="{0000000E-ACF5-40A6-A3E3-746F1E575642}"/>
            </c:ext>
          </c:extLst>
        </c:ser>
        <c:ser>
          <c:idx val="20"/>
          <c:order val="14"/>
          <c:tx>
            <c:strRef>
              <c:f>Adoption!$AO$56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2014-15</c:v>
                </c:pt>
                <c:pt idx="1">
                  <c:v>2015-16</c:v>
                </c:pt>
                <c:pt idx="2">
                  <c:v>2016-17</c:v>
                </c:pt>
                <c:pt idx="3">
                  <c:v>2017-18</c:v>
                </c:pt>
                <c:pt idx="4">
                  <c:v>2018-19</c:v>
                </c:pt>
              </c:strCache>
            </c:strRef>
          </c:cat>
          <c:val>
            <c:numRef>
              <c:f>Adoption!$AP$56:$AT$56</c:f>
              <c:numCache>
                <c:formatCode>0.0</c:formatCode>
                <c:ptCount val="5"/>
                <c:pt idx="0">
                  <c:v>10.2880658436214</c:v>
                </c:pt>
                <c:pt idx="1">
                  <c:v>12.195121951219512</c:v>
                </c:pt>
                <c:pt idx="2">
                  <c:v>8.0160320641282556</c:v>
                </c:pt>
                <c:pt idx="3">
                  <c:v>5.5666003976143141</c:v>
                </c:pt>
                <c:pt idx="4">
                  <c:v>2.5590551181102366</c:v>
                </c:pt>
              </c:numCache>
            </c:numRef>
          </c:val>
          <c:smooth val="0"/>
          <c:extLst>
            <c:ext xmlns:c16="http://schemas.microsoft.com/office/drawing/2014/chart" uri="{C3380CC4-5D6E-409C-BE32-E72D297353CC}">
              <c16:uniqueId val="{0000000F-ACF5-40A6-A3E3-746F1E575642}"/>
            </c:ext>
          </c:extLst>
        </c:ser>
        <c:ser>
          <c:idx val="22"/>
          <c:order val="15"/>
          <c:tx>
            <c:strRef>
              <c:f>Adoption!$AO$57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2014-15</c:v>
                </c:pt>
                <c:pt idx="1">
                  <c:v>2015-16</c:v>
                </c:pt>
                <c:pt idx="2">
                  <c:v>2016-17</c:v>
                </c:pt>
                <c:pt idx="3">
                  <c:v>2017-18</c:v>
                </c:pt>
                <c:pt idx="4">
                  <c:v>2018-19</c:v>
                </c:pt>
              </c:strCache>
            </c:strRef>
          </c:cat>
          <c:val>
            <c:numRef>
              <c:f>Adoption!$AP$57:$AT$57</c:f>
              <c:numCache>
                <c:formatCode>0.0</c:formatCode>
                <c:ptCount val="5"/>
                <c:pt idx="0">
                  <c:v>1.5710919088766693</c:v>
                </c:pt>
                <c:pt idx="1">
                  <c:v>1.3650546021840875</c:v>
                </c:pt>
                <c:pt idx="2">
                  <c:v>0.84942084942084939</c:v>
                </c:pt>
                <c:pt idx="3">
                  <c:v>0.53784095274683064</c:v>
                </c:pt>
                <c:pt idx="4">
                  <c:v>0.49637266132111491</c:v>
                </c:pt>
              </c:numCache>
            </c:numRef>
          </c:val>
          <c:smooth val="0"/>
          <c:extLst>
            <c:ext xmlns:c16="http://schemas.microsoft.com/office/drawing/2014/chart" uri="{C3380CC4-5D6E-409C-BE32-E72D297353CC}">
              <c16:uniqueId val="{00000010-ACF5-40A6-A3E3-746F1E575642}"/>
            </c:ext>
          </c:extLst>
        </c:ser>
        <c:ser>
          <c:idx val="7"/>
          <c:order val="16"/>
          <c:tx>
            <c:strRef>
              <c:f>Adoption!$AO$58</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Adoption!$Z$2:$AD$3</c:f>
              <c:strCache>
                <c:ptCount val="5"/>
                <c:pt idx="0">
                  <c:v>2014-15</c:v>
                </c:pt>
                <c:pt idx="1">
                  <c:v>2015-16</c:v>
                </c:pt>
                <c:pt idx="2">
                  <c:v>2016-17</c:v>
                </c:pt>
                <c:pt idx="3">
                  <c:v>2017-18</c:v>
                </c:pt>
                <c:pt idx="4">
                  <c:v>2018-19</c:v>
                </c:pt>
              </c:strCache>
            </c:strRef>
          </c:cat>
          <c:val>
            <c:numRef>
              <c:f>Adoption!$AP$58:$AT$58</c:f>
              <c:numCache>
                <c:formatCode>0.0</c:formatCode>
                <c:ptCount val="5"/>
                <c:pt idx="0">
                  <c:v>#N/A</c:v>
                </c:pt>
                <c:pt idx="1">
                  <c:v>1.0204081632653061</c:v>
                </c:pt>
                <c:pt idx="2">
                  <c:v>#N/A</c:v>
                </c:pt>
                <c:pt idx="3">
                  <c:v>#N/A</c:v>
                </c:pt>
                <c:pt idx="4">
                  <c:v>1.9920318725099602</c:v>
                </c:pt>
              </c:numCache>
            </c:numRef>
          </c:val>
          <c:smooth val="0"/>
          <c:extLst>
            <c:ext xmlns:c16="http://schemas.microsoft.com/office/drawing/2014/chart" uri="{C3380CC4-5D6E-409C-BE32-E72D297353CC}">
              <c16:uniqueId val="{00000011-ACF5-40A6-A3E3-746F1E575642}"/>
            </c:ext>
          </c:extLst>
        </c:ser>
        <c:ser>
          <c:idx val="8"/>
          <c:order val="17"/>
          <c:tx>
            <c:strRef>
              <c:f>Adoption!$AO$59</c:f>
              <c:strCache>
                <c:ptCount val="1"/>
                <c:pt idx="0">
                  <c:v>Torbay</c:v>
                </c:pt>
              </c:strCache>
            </c:strRef>
          </c:tx>
          <c:spPr>
            <a:ln w="15875"/>
          </c:spPr>
          <c:marker>
            <c:symbol val="circle"/>
            <c:size val="5"/>
            <c:spPr>
              <a:solidFill>
                <a:schemeClr val="accent3">
                  <a:lumMod val="20000"/>
                  <a:lumOff val="80000"/>
                </a:schemeClr>
              </a:solidFill>
            </c:spPr>
          </c:marker>
          <c:cat>
            <c:strRef>
              <c:f>Adoption!$Z$2:$AD$3</c:f>
              <c:strCache>
                <c:ptCount val="5"/>
                <c:pt idx="0">
                  <c:v>2014-15</c:v>
                </c:pt>
                <c:pt idx="1">
                  <c:v>2015-16</c:v>
                </c:pt>
                <c:pt idx="2">
                  <c:v>2016-17</c:v>
                </c:pt>
                <c:pt idx="3">
                  <c:v>2017-18</c:v>
                </c:pt>
                <c:pt idx="4">
                  <c:v>2018-19</c:v>
                </c:pt>
              </c:strCache>
            </c:strRef>
          </c:cat>
          <c:val>
            <c:numRef>
              <c:f>Adoption!$AP$59:$AT$59</c:f>
              <c:numCache>
                <c:formatCode>0.0</c:formatCode>
                <c:ptCount val="5"/>
                <c:pt idx="0">
                  <c:v>7.9681274900398407</c:v>
                </c:pt>
                <c:pt idx="1">
                  <c:v>3.9682539682539684</c:v>
                </c:pt>
                <c:pt idx="2">
                  <c:v>5.5118110236220472</c:v>
                </c:pt>
                <c:pt idx="3">
                  <c:v>2.7559055118110236</c:v>
                </c:pt>
                <c:pt idx="4">
                  <c:v>8.2677165354330704</c:v>
                </c:pt>
              </c:numCache>
            </c:numRef>
          </c:val>
          <c:smooth val="0"/>
          <c:extLst>
            <c:ext xmlns:c16="http://schemas.microsoft.com/office/drawing/2014/chart" uri="{C3380CC4-5D6E-409C-BE32-E72D297353CC}">
              <c16:uniqueId val="{00000012-ACF5-40A6-A3E3-746F1E575642}"/>
            </c:ext>
          </c:extLst>
        </c:ser>
        <c:ser>
          <c:idx val="23"/>
          <c:order val="18"/>
          <c:tx>
            <c:strRef>
              <c:f>Adoption!$AO$60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2014-15</c:v>
                </c:pt>
                <c:pt idx="1">
                  <c:v>2015-16</c:v>
                </c:pt>
                <c:pt idx="2">
                  <c:v>2016-17</c:v>
                </c:pt>
                <c:pt idx="3">
                  <c:v>2017-18</c:v>
                </c:pt>
                <c:pt idx="4">
                  <c:v>2018-19</c:v>
                </c:pt>
              </c:strCache>
            </c:strRef>
          </c:cat>
          <c:val>
            <c:numRef>
              <c:f>Adoption!$AP$60:$AT$60</c:f>
              <c:numCache>
                <c:formatCode>0.0</c:formatCode>
                <c:ptCount val="5"/>
                <c:pt idx="0">
                  <c:v>#N/A</c:v>
                </c:pt>
                <c:pt idx="1">
                  <c:v>2.8011204481792715</c:v>
                </c:pt>
                <c:pt idx="2">
                  <c:v>#N/A</c:v>
                </c:pt>
                <c:pt idx="3">
                  <c:v>#N/A</c:v>
                </c:pt>
                <c:pt idx="4">
                  <c:v>#N/A</c:v>
                </c:pt>
              </c:numCache>
            </c:numRef>
          </c:val>
          <c:smooth val="0"/>
          <c:extLst>
            <c:ext xmlns:c16="http://schemas.microsoft.com/office/drawing/2014/chart" uri="{C3380CC4-5D6E-409C-BE32-E72D297353CC}">
              <c16:uniqueId val="{00000013-ACF5-40A6-A3E3-746F1E575642}"/>
            </c:ext>
          </c:extLst>
        </c:ser>
        <c:ser>
          <c:idx val="24"/>
          <c:order val="19"/>
          <c:tx>
            <c:strRef>
              <c:f>Adoption!$AO$61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2014-15</c:v>
                </c:pt>
                <c:pt idx="1">
                  <c:v>2015-16</c:v>
                </c:pt>
                <c:pt idx="2">
                  <c:v>2016-17</c:v>
                </c:pt>
                <c:pt idx="3">
                  <c:v>2017-18</c:v>
                </c:pt>
                <c:pt idx="4">
                  <c:v>2018-19</c:v>
                </c:pt>
              </c:strCache>
            </c:strRef>
          </c:cat>
          <c:val>
            <c:numRef>
              <c:f>Adoption!$AP$61:$AT$61</c:f>
              <c:numCache>
                <c:formatCode>0.0</c:formatCode>
                <c:ptCount val="5"/>
                <c:pt idx="0">
                  <c:v>1.777251184834123</c:v>
                </c:pt>
                <c:pt idx="1">
                  <c:v>2.640845070422535</c:v>
                </c:pt>
                <c:pt idx="2">
                  <c:v>1.7462165308498254</c:v>
                </c:pt>
                <c:pt idx="3">
                  <c:v>2.3658395845354878</c:v>
                </c:pt>
                <c:pt idx="4">
                  <c:v>2.0034344590726958</c:v>
                </c:pt>
              </c:numCache>
            </c:numRef>
          </c:val>
          <c:smooth val="0"/>
          <c:extLst>
            <c:ext xmlns:c16="http://schemas.microsoft.com/office/drawing/2014/chart" uri="{C3380CC4-5D6E-409C-BE32-E72D297353CC}">
              <c16:uniqueId val="{00000014-ACF5-40A6-A3E3-746F1E575642}"/>
            </c:ext>
          </c:extLst>
        </c:ser>
        <c:ser>
          <c:idx val="25"/>
          <c:order val="20"/>
          <c:tx>
            <c:strRef>
              <c:f>Adoption!$AO$62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2014-15</c:v>
                </c:pt>
                <c:pt idx="1">
                  <c:v>2015-16</c:v>
                </c:pt>
                <c:pt idx="2">
                  <c:v>2016-17</c:v>
                </c:pt>
                <c:pt idx="3">
                  <c:v>2017-18</c:v>
                </c:pt>
                <c:pt idx="4">
                  <c:v>2018-19</c:v>
                </c:pt>
              </c:strCache>
            </c:strRef>
          </c:cat>
          <c:val>
            <c:numRef>
              <c:f>Adoption!$AP$62:$AT$62</c:f>
              <c:numCache>
                <c:formatCode>0.0</c:formatCode>
                <c:ptCount val="5"/>
                <c:pt idx="0">
                  <c:v>2.9940119760479043</c:v>
                </c:pt>
                <c:pt idx="1">
                  <c:v>#N/A</c:v>
                </c:pt>
                <c:pt idx="2">
                  <c:v>#N/A</c:v>
                </c:pt>
                <c:pt idx="3">
                  <c:v>#N/A</c:v>
                </c:pt>
                <c:pt idx="4">
                  <c:v>#N/A</c:v>
                </c:pt>
              </c:numCache>
            </c:numRef>
          </c:val>
          <c:smooth val="0"/>
          <c:extLst>
            <c:ext xmlns:c16="http://schemas.microsoft.com/office/drawing/2014/chart" uri="{C3380CC4-5D6E-409C-BE32-E72D297353CC}">
              <c16:uniqueId val="{00000015-ACF5-40A6-A3E3-746F1E575642}"/>
            </c:ext>
          </c:extLst>
        </c:ser>
        <c:ser>
          <c:idx val="26"/>
          <c:order val="21"/>
          <c:tx>
            <c:strRef>
              <c:f>Adoption!$AO$63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2014-15</c:v>
                </c:pt>
                <c:pt idx="1">
                  <c:v>2015-16</c:v>
                </c:pt>
                <c:pt idx="2">
                  <c:v>2016-17</c:v>
                </c:pt>
                <c:pt idx="3">
                  <c:v>2017-18</c:v>
                </c:pt>
                <c:pt idx="4">
                  <c:v>2018-19</c:v>
                </c:pt>
              </c:strCache>
            </c:strRef>
          </c:cat>
          <c:val>
            <c:numRef>
              <c:f>Adoption!$AP$63:$AT$63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ACF5-40A6-A3E3-746F1E575642}"/>
            </c:ext>
          </c:extLst>
        </c:ser>
        <c:ser>
          <c:idx val="4"/>
          <c:order val="22"/>
          <c:tx>
            <c:strRef>
              <c:f>Adoption!$AO$64</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2014-15</c:v>
                </c:pt>
                <c:pt idx="1">
                  <c:v>2015-16</c:v>
                </c:pt>
                <c:pt idx="2">
                  <c:v>2016-17</c:v>
                </c:pt>
                <c:pt idx="3">
                  <c:v>2017-18</c:v>
                </c:pt>
                <c:pt idx="4">
                  <c:v>2018-19</c:v>
                </c:pt>
              </c:strCache>
            </c:strRef>
          </c:cat>
          <c:val>
            <c:numRef>
              <c:f>Adoption!$AP$64:$AT$64</c:f>
              <c:numCache>
                <c:formatCode>0.0</c:formatCode>
                <c:ptCount val="5"/>
                <c:pt idx="0">
                  <c:v>2.7901785714285712</c:v>
                </c:pt>
                <c:pt idx="1">
                  <c:v>2.3352508970780885</c:v>
                </c:pt>
                <c:pt idx="2">
                  <c:v>2.2141941498659832</c:v>
                </c:pt>
                <c:pt idx="3">
                  <c:v>2.0359281437125749</c:v>
                </c:pt>
                <c:pt idx="4">
                  <c:v>1.7484700886724116</c:v>
                </c:pt>
              </c:numCache>
            </c:numRef>
          </c:val>
          <c:smooth val="0"/>
          <c:extLst>
            <c:ext xmlns:c16="http://schemas.microsoft.com/office/drawing/2014/chart" uri="{C3380CC4-5D6E-409C-BE32-E72D297353CC}">
              <c16:uniqueId val="{00000017-ACF5-40A6-A3E3-746F1E575642}"/>
            </c:ext>
          </c:extLst>
        </c:ser>
        <c:ser>
          <c:idx val="14"/>
          <c:order val="23"/>
          <c:tx>
            <c:strRef>
              <c:f>Adoption!$AO$65</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Adoption!$Z$2:$AD$3</c:f>
              <c:strCache>
                <c:ptCount val="5"/>
                <c:pt idx="0">
                  <c:v>2014-15</c:v>
                </c:pt>
                <c:pt idx="1">
                  <c:v>2015-16</c:v>
                </c:pt>
                <c:pt idx="2">
                  <c:v>2016-17</c:v>
                </c:pt>
                <c:pt idx="3">
                  <c:v>2017-18</c:v>
                </c:pt>
                <c:pt idx="4">
                  <c:v>2018-19</c:v>
                </c:pt>
              </c:strCache>
            </c:strRef>
          </c:cat>
          <c:val>
            <c:numRef>
              <c:f>Adoption!$AP$65:$AT$65</c:f>
              <c:numCache>
                <c:formatCode>0.0</c:formatCode>
                <c:ptCount val="5"/>
                <c:pt idx="0">
                  <c:v>2.8641182915361854</c:v>
                </c:pt>
                <c:pt idx="1">
                  <c:v>2.5175759340292343</c:v>
                </c:pt>
                <c:pt idx="2">
                  <c:v>2.1382569811544894</c:v>
                </c:pt>
                <c:pt idx="3">
                  <c:v>1.8791606977332098</c:v>
                </c:pt>
                <c:pt idx="4">
                  <c:v>1.8319308048784566</c:v>
                </c:pt>
              </c:numCache>
            </c:numRef>
          </c:val>
          <c:smooth val="0"/>
          <c:extLst>
            <c:ext xmlns:c16="http://schemas.microsoft.com/office/drawing/2014/chart" uri="{C3380CC4-5D6E-409C-BE32-E72D297353CC}">
              <c16:uniqueId val="{00000018-ACF5-40A6-A3E3-746F1E575642}"/>
            </c:ext>
          </c:extLst>
        </c:ser>
        <c:ser>
          <c:idx val="6"/>
          <c:order val="24"/>
          <c:tx>
            <c:strRef>
              <c:f>Adoption!$AO$66</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2014-15</c:v>
                </c:pt>
                <c:pt idx="1">
                  <c:v>2015-16</c:v>
                </c:pt>
                <c:pt idx="2">
                  <c:v>2016-17</c:v>
                </c:pt>
                <c:pt idx="3">
                  <c:v>2017-18</c:v>
                </c:pt>
                <c:pt idx="4">
                  <c:v>2018-19</c:v>
                </c:pt>
              </c:strCache>
            </c:strRef>
          </c:cat>
          <c:val>
            <c:numRef>
              <c:f>Adoption!$AP$66:$AT$66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CF5-40A6-A3E3-746F1E575642}"/>
            </c:ext>
          </c:extLst>
        </c:ser>
        <c:dLbls>
          <c:showLegendKey val="0"/>
          <c:showVal val="0"/>
          <c:showCatName val="0"/>
          <c:showSerName val="0"/>
          <c:showPercent val="0"/>
          <c:showBubbleSize val="0"/>
        </c:dLbls>
        <c:marker val="1"/>
        <c:smooth val="0"/>
        <c:axId val="328868992"/>
        <c:axId val="328870528"/>
      </c:lineChart>
      <c:catAx>
        <c:axId val="328868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28870528"/>
        <c:crosses val="autoZero"/>
        <c:auto val="1"/>
        <c:lblAlgn val="ctr"/>
        <c:lblOffset val="100"/>
        <c:tickLblSkip val="1"/>
        <c:tickMarkSkip val="1"/>
        <c:noMultiLvlLbl val="0"/>
      </c:catAx>
      <c:valAx>
        <c:axId val="3288705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2886899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90836993428112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Children Placed for Adoption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0835954946191171"/>
          <c:y val="3.8613923259592552E-3"/>
        </c:manualLayout>
      </c:layout>
      <c:overlay val="0"/>
      <c:spPr>
        <a:noFill/>
        <a:ln w="25400">
          <a:noFill/>
        </a:ln>
      </c:spPr>
    </c:title>
    <c:autoTitleDeleted val="0"/>
    <c:plotArea>
      <c:layout>
        <c:manualLayout>
          <c:layoutTarget val="inner"/>
          <c:xMode val="edge"/>
          <c:yMode val="edge"/>
          <c:x val="7.8261965506059988E-2"/>
          <c:y val="0.21104924384451942"/>
          <c:w val="0.67011018727554161"/>
          <c:h val="0.55860704911886017"/>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2014-15</c:v>
                </c:pt>
                <c:pt idx="1">
                  <c:v>2015-16</c:v>
                </c:pt>
                <c:pt idx="2">
                  <c:v>2016-17</c:v>
                </c:pt>
                <c:pt idx="3">
                  <c:v>2017-18</c:v>
                </c:pt>
                <c:pt idx="4">
                  <c:v>2018-19</c:v>
                </c:pt>
              </c:strCache>
            </c:strRef>
          </c:cat>
          <c:val>
            <c:numRef>
              <c:f>Adoption!$AP$66:$AT$66</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2E5-463C-887C-40756BA67248}"/>
            </c:ext>
          </c:extLst>
        </c:ser>
        <c:ser>
          <c:idx val="4"/>
          <c:order val="1"/>
          <c:tx>
            <c:strRef>
              <c:f>Adoption!$B$32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2014-15</c:v>
                </c:pt>
                <c:pt idx="1">
                  <c:v>2015-16</c:v>
                </c:pt>
                <c:pt idx="2">
                  <c:v>2016-17</c:v>
                </c:pt>
                <c:pt idx="3">
                  <c:v>2017-18</c:v>
                </c:pt>
                <c:pt idx="4">
                  <c:v>2018-19</c:v>
                </c:pt>
              </c:strCache>
            </c:strRef>
          </c:cat>
          <c:val>
            <c:numRef>
              <c:f>Adoption!$L$32:$P$32</c:f>
              <c:numCache>
                <c:formatCode>0.0</c:formatCode>
                <c:ptCount val="5"/>
                <c:pt idx="0">
                  <c:v>2.7901785714285712</c:v>
                </c:pt>
                <c:pt idx="1">
                  <c:v>2.3352508970780885</c:v>
                </c:pt>
                <c:pt idx="2">
                  <c:v>2.2141941498659832</c:v>
                </c:pt>
                <c:pt idx="3">
                  <c:v>2.0359281437125749</c:v>
                </c:pt>
                <c:pt idx="4">
                  <c:v>1.7484700886724116</c:v>
                </c:pt>
              </c:numCache>
            </c:numRef>
          </c:val>
          <c:extLst>
            <c:ext xmlns:c16="http://schemas.microsoft.com/office/drawing/2014/chart" uri="{C3380CC4-5D6E-409C-BE32-E72D297353CC}">
              <c16:uniqueId val="{00000001-B2E5-463C-887C-40756BA67248}"/>
            </c:ext>
          </c:extLst>
        </c:ser>
        <c:ser>
          <c:idx val="0"/>
          <c:order val="2"/>
          <c:tx>
            <c:strRef>
              <c:f>Adoption!$B$33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2014-15</c:v>
                </c:pt>
                <c:pt idx="1">
                  <c:v>2015-16</c:v>
                </c:pt>
                <c:pt idx="2">
                  <c:v>2016-17</c:v>
                </c:pt>
                <c:pt idx="3">
                  <c:v>2017-18</c:v>
                </c:pt>
                <c:pt idx="4">
                  <c:v>2018-19</c:v>
                </c:pt>
              </c:strCache>
            </c:strRef>
          </c:cat>
          <c:val>
            <c:numRef>
              <c:f>Adoption!$L$33:$P$33</c:f>
              <c:numCache>
                <c:formatCode>0.0</c:formatCode>
                <c:ptCount val="5"/>
                <c:pt idx="0">
                  <c:v>2.8641182915361854</c:v>
                </c:pt>
                <c:pt idx="1">
                  <c:v>2.5175759340292343</c:v>
                </c:pt>
                <c:pt idx="2">
                  <c:v>2.1382569811544894</c:v>
                </c:pt>
                <c:pt idx="3">
                  <c:v>1.8791606977332098</c:v>
                </c:pt>
                <c:pt idx="4" formatCode="0">
                  <c:v>1.8319308048784566</c:v>
                </c:pt>
              </c:numCache>
            </c:numRef>
          </c:val>
          <c:extLst>
            <c:ext xmlns:c16="http://schemas.microsoft.com/office/drawing/2014/chart" uri="{C3380CC4-5D6E-409C-BE32-E72D297353CC}">
              <c16:uniqueId val="{00000002-B2E5-463C-887C-40756BA67248}"/>
            </c:ext>
          </c:extLst>
        </c:ser>
        <c:dLbls>
          <c:showLegendKey val="0"/>
          <c:showVal val="0"/>
          <c:showCatName val="0"/>
          <c:showSerName val="0"/>
          <c:showPercent val="0"/>
          <c:showBubbleSize val="0"/>
        </c:dLbls>
        <c:gapWidth val="100"/>
        <c:axId val="328917376"/>
        <c:axId val="328918912"/>
      </c:barChart>
      <c:catAx>
        <c:axId val="328917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28918912"/>
        <c:crosses val="autoZero"/>
        <c:auto val="1"/>
        <c:lblAlgn val="ctr"/>
        <c:lblOffset val="100"/>
        <c:noMultiLvlLbl val="0"/>
      </c:catAx>
      <c:valAx>
        <c:axId val="328918912"/>
        <c:scaling>
          <c:orientation val="minMax"/>
        </c:scaling>
        <c:delete val="0"/>
        <c:axPos val="l"/>
        <c:majorGridlines>
          <c:spPr>
            <a:ln w="12700">
              <a:solidFill>
                <a:schemeClr val="bg1">
                  <a:lumMod val="75000"/>
                </a:schemeClr>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28917376"/>
        <c:crosses val="autoZero"/>
        <c:crossBetween val="between"/>
      </c:valAx>
      <c:spPr>
        <a:noFill/>
        <a:ln w="3175">
          <a:solidFill>
            <a:srgbClr val="000000"/>
          </a:solidFill>
          <a:prstDash val="solid"/>
        </a:ln>
      </c:spPr>
    </c:plotArea>
    <c:legend>
      <c:legendPos val="r"/>
      <c:layout>
        <c:manualLayout>
          <c:xMode val="edge"/>
          <c:yMode val="edge"/>
          <c:x val="0.75990284431229316"/>
          <c:y val="0.18747281589801273"/>
          <c:w val="0.24009715568770687"/>
          <c:h val="0.812527184101987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LAC to Adoption (Selected LA vs. SE &amp; National) </a:t>
            </a:r>
          </a:p>
        </c:rich>
      </c:tx>
      <c:layout>
        <c:manualLayout>
          <c:xMode val="edge"/>
          <c:yMode val="edge"/>
          <c:x val="0.15128205128205127"/>
          <c:y val="3.1258763887390788E-2"/>
        </c:manualLayout>
      </c:layout>
      <c:overlay val="0"/>
      <c:spPr>
        <a:noFill/>
        <a:ln w="25400">
          <a:noFill/>
        </a:ln>
      </c:spPr>
    </c:title>
    <c:autoTitleDeleted val="0"/>
    <c:plotArea>
      <c:layout>
        <c:manualLayout>
          <c:layoutTarget val="inner"/>
          <c:xMode val="edge"/>
          <c:yMode val="edge"/>
          <c:x val="9.8666564984461691E-2"/>
          <c:y val="0.2018215904830078"/>
          <c:w val="0.64607416380644722"/>
          <c:h val="0.54689436547704262"/>
        </c:manualLayout>
      </c:layout>
      <c:barChart>
        <c:barDir val="col"/>
        <c:grouping val="clustered"/>
        <c:varyColors val="0"/>
        <c:ser>
          <c:idx val="6"/>
          <c:order val="0"/>
          <c:tx>
            <c:strRef>
              <c:f>Adoption!$Z$4</c:f>
              <c:strCache>
                <c:ptCount val="1"/>
                <c:pt idx="0">
                  <c:v>Selected LA- (none)</c:v>
                </c:pt>
              </c:strCache>
            </c:strRef>
          </c:tx>
          <c:spPr>
            <a:solidFill>
              <a:srgbClr val="66FF99"/>
            </a:solidFill>
            <a:ln>
              <a:solidFill>
                <a:schemeClr val="tx1">
                  <a:lumMod val="75000"/>
                  <a:lumOff val="25000"/>
                </a:schemeClr>
              </a:solidFill>
            </a:ln>
          </c:spPr>
          <c:invertIfNegative val="0"/>
          <c:cat>
            <c:strRef>
              <c:f>Adoption!$Z$2:$AD$3</c:f>
              <c:strCache>
                <c:ptCount val="5"/>
                <c:pt idx="0">
                  <c:v>2014-15</c:v>
                </c:pt>
                <c:pt idx="1">
                  <c:v>2015-16</c:v>
                </c:pt>
                <c:pt idx="2">
                  <c:v>2016-17</c:v>
                </c:pt>
                <c:pt idx="3">
                  <c:v>2017-18</c:v>
                </c:pt>
                <c:pt idx="4">
                  <c:v>2018-19</c:v>
                </c:pt>
              </c:strCache>
            </c:strRef>
          </c:cat>
          <c:val>
            <c:numRef>
              <c:f>Adoption!$BA$66:$BE$66</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034B-4570-94EF-FC2A9B0726AF}"/>
            </c:ext>
          </c:extLst>
        </c:ser>
        <c:ser>
          <c:idx val="4"/>
          <c:order val="1"/>
          <c:tx>
            <c:strRef>
              <c:f>Adoption!$B$100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Adoption!$Z$2:$AD$3</c:f>
              <c:strCache>
                <c:ptCount val="5"/>
                <c:pt idx="0">
                  <c:v>2014-15</c:v>
                </c:pt>
                <c:pt idx="1">
                  <c:v>2015-16</c:v>
                </c:pt>
                <c:pt idx="2">
                  <c:v>2016-17</c:v>
                </c:pt>
                <c:pt idx="3">
                  <c:v>2017-18</c:v>
                </c:pt>
                <c:pt idx="4">
                  <c:v>2018-19</c:v>
                </c:pt>
              </c:strCache>
            </c:strRef>
          </c:cat>
          <c:val>
            <c:numRef>
              <c:f>Adoption!$D$100:$H$100</c:f>
              <c:numCache>
                <c:formatCode>0%</c:formatCode>
                <c:ptCount val="5"/>
                <c:pt idx="0">
                  <c:v>0.18092909535452323</c:v>
                </c:pt>
                <c:pt idx="1">
                  <c:v>0.14193548387096774</c:v>
                </c:pt>
                <c:pt idx="2">
                  <c:v>0.13118279569892474</c:v>
                </c:pt>
                <c:pt idx="3">
                  <c:v>0.12296983758700696</c:v>
                </c:pt>
                <c:pt idx="4">
                  <c:v>0.12318840579710146</c:v>
                </c:pt>
              </c:numCache>
            </c:numRef>
          </c:val>
          <c:extLst>
            <c:ext xmlns:c16="http://schemas.microsoft.com/office/drawing/2014/chart" uri="{C3380CC4-5D6E-409C-BE32-E72D297353CC}">
              <c16:uniqueId val="{00000001-034B-4570-94EF-FC2A9B0726AF}"/>
            </c:ext>
          </c:extLst>
        </c:ser>
        <c:ser>
          <c:idx val="0"/>
          <c:order val="2"/>
          <c:tx>
            <c:strRef>
              <c:f>Adoption!$B$101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Adoption!$Z$2:$AD$3</c:f>
              <c:strCache>
                <c:ptCount val="5"/>
                <c:pt idx="0">
                  <c:v>2014-15</c:v>
                </c:pt>
                <c:pt idx="1">
                  <c:v>2015-16</c:v>
                </c:pt>
                <c:pt idx="2">
                  <c:v>2016-17</c:v>
                </c:pt>
                <c:pt idx="3">
                  <c:v>2017-18</c:v>
                </c:pt>
                <c:pt idx="4">
                  <c:v>2018-19</c:v>
                </c:pt>
              </c:strCache>
            </c:strRef>
          </c:cat>
          <c:val>
            <c:numRef>
              <c:f>Adoption!$D$101:$H$101</c:f>
              <c:numCache>
                <c:formatCode>0%</c:formatCode>
                <c:ptCount val="5"/>
                <c:pt idx="0">
                  <c:v>0.17097288676236044</c:v>
                </c:pt>
                <c:pt idx="1">
                  <c:v>0.14783427495291901</c:v>
                </c:pt>
                <c:pt idx="2">
                  <c:v>0.13917197452229299</c:v>
                </c:pt>
                <c:pt idx="3">
                  <c:v>0.1281198003327787</c:v>
                </c:pt>
                <c:pt idx="4">
                  <c:v>0.12118126272912423</c:v>
                </c:pt>
              </c:numCache>
            </c:numRef>
          </c:val>
          <c:extLst>
            <c:ext xmlns:c16="http://schemas.microsoft.com/office/drawing/2014/chart" uri="{C3380CC4-5D6E-409C-BE32-E72D297353CC}">
              <c16:uniqueId val="{00000002-034B-4570-94EF-FC2A9B0726AF}"/>
            </c:ext>
          </c:extLst>
        </c:ser>
        <c:dLbls>
          <c:showLegendKey val="0"/>
          <c:showVal val="0"/>
          <c:showCatName val="0"/>
          <c:showSerName val="0"/>
          <c:showPercent val="0"/>
          <c:showBubbleSize val="0"/>
        </c:dLbls>
        <c:gapWidth val="100"/>
        <c:axId val="328965504"/>
        <c:axId val="328971392"/>
      </c:barChart>
      <c:catAx>
        <c:axId val="328965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28971392"/>
        <c:crosses val="autoZero"/>
        <c:auto val="1"/>
        <c:lblAlgn val="ctr"/>
        <c:lblOffset val="100"/>
        <c:noMultiLvlLbl val="0"/>
      </c:catAx>
      <c:valAx>
        <c:axId val="32897139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2896550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62A73B"/>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Referral_Source!$H$41:$H$64</c:f>
              <c:numCache>
                <c:formatCode>0.0</c:formatCode>
                <c:ptCount val="24"/>
                <c:pt idx="0">
                  <c:v>11.477632173520108</c:v>
                </c:pt>
                <c:pt idx="1">
                  <c:v>9.4164865699289901</c:v>
                </c:pt>
                <c:pt idx="2">
                  <c:v>15.471204188481675</c:v>
                </c:pt>
                <c:pt idx="3">
                  <c:v>9.4553881807647748</c:v>
                </c:pt>
                <c:pt idx="4">
                  <c:v>16.812119216202863</c:v>
                </c:pt>
                <c:pt idx="5">
                  <c:v>13.017751479289942</c:v>
                </c:pt>
                <c:pt idx="6">
                  <c:v>12.722200951703769</c:v>
                </c:pt>
                <c:pt idx="7">
                  <c:v>8.9192546583850945</c:v>
                </c:pt>
                <c:pt idx="8">
                  <c:v>12.401942472917444</c:v>
                </c:pt>
                <c:pt idx="9">
                  <c:v>9.1901460392388259</c:v>
                </c:pt>
                <c:pt idx="10">
                  <c:v>13.045007032348805</c:v>
                </c:pt>
                <c:pt idx="11">
                  <c:v>14.494341000365097</c:v>
                </c:pt>
                <c:pt idx="12">
                  <c:v>10.582278481012658</c:v>
                </c:pt>
                <c:pt idx="13">
                  <c:v>14.037122969837586</c:v>
                </c:pt>
                <c:pt idx="14">
                  <c:v>13.511988716502115</c:v>
                </c:pt>
                <c:pt idx="15">
                  <c:v>8.8967971530249113</c:v>
                </c:pt>
                <c:pt idx="16">
                  <c:v>12.002107481559536</c:v>
                </c:pt>
                <c:pt idx="17">
                  <c:v>11.453744493392071</c:v>
                </c:pt>
                <c:pt idx="18">
                  <c:v>14.838709677419354</c:v>
                </c:pt>
                <c:pt idx="19">
                  <c:v>15.874673629242819</c:v>
                </c:pt>
                <c:pt idx="20">
                  <c:v>12.769895126465144</c:v>
                </c:pt>
                <c:pt idx="21">
                  <c:v>13.375071143995445</c:v>
                </c:pt>
                <c:pt idx="22">
                  <c:v>13.211672273857181</c:v>
                </c:pt>
                <c:pt idx="23">
                  <c:v>14.605481472377557</c:v>
                </c:pt>
              </c:numCache>
            </c:numRef>
          </c:val>
          <c:extLst>
            <c:ext xmlns:c16="http://schemas.microsoft.com/office/drawing/2014/chart" uri="{C3380CC4-5D6E-409C-BE32-E72D297353CC}">
              <c16:uniqueId val="{00000000-C93B-471E-9E42-8F9D2726D8CA}"/>
            </c:ext>
          </c:extLst>
        </c:ser>
        <c:dLbls>
          <c:showLegendKey val="0"/>
          <c:showVal val="0"/>
          <c:showCatName val="0"/>
          <c:showSerName val="0"/>
          <c:showPercent val="0"/>
          <c:showBubbleSize val="0"/>
        </c:dLbls>
        <c:gapWidth val="40"/>
        <c:axId val="614589184"/>
        <c:axId val="614590720"/>
      </c:barChart>
      <c:catAx>
        <c:axId val="614589184"/>
        <c:scaling>
          <c:orientation val="maxMin"/>
        </c:scaling>
        <c:delete val="1"/>
        <c:axPos val="l"/>
        <c:numFmt formatCode="General" sourceLinked="0"/>
        <c:majorTickMark val="out"/>
        <c:minorTickMark val="none"/>
        <c:tickLblPos val="nextTo"/>
        <c:crossAx val="614590720"/>
        <c:crosses val="autoZero"/>
        <c:auto val="1"/>
        <c:lblAlgn val="ctr"/>
        <c:lblOffset val="100"/>
        <c:noMultiLvlLbl val="0"/>
      </c:catAx>
      <c:valAx>
        <c:axId val="614590720"/>
        <c:scaling>
          <c:orientation val="minMax"/>
        </c:scaling>
        <c:delete val="1"/>
        <c:axPos val="b"/>
        <c:majorGridlines/>
        <c:numFmt formatCode="0.0" sourceLinked="1"/>
        <c:majorTickMark val="out"/>
        <c:minorTickMark val="none"/>
        <c:tickLblPos val="nextTo"/>
        <c:crossAx val="614589184"/>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Children ceasing to be Looked After in year who were Adopted (%)</a:t>
            </a:r>
          </a:p>
        </c:rich>
      </c:tx>
      <c:layout>
        <c:manualLayout>
          <c:xMode val="edge"/>
          <c:yMode val="edge"/>
          <c:x val="0.15267364124574609"/>
          <c:y val="1.2391086382327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Adoption!$AO$42</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AE9-4C6C-9B1F-D8EC454187F0}"/>
              </c:ext>
            </c:extLst>
          </c:dPt>
          <c:cat>
            <c:strRef>
              <c:f>Adoption!$Z$2:$AD$3</c:f>
              <c:strCache>
                <c:ptCount val="5"/>
                <c:pt idx="0">
                  <c:v>2014-15</c:v>
                </c:pt>
                <c:pt idx="1">
                  <c:v>2015-16</c:v>
                </c:pt>
                <c:pt idx="2">
                  <c:v>2016-17</c:v>
                </c:pt>
                <c:pt idx="3">
                  <c:v>2017-18</c:v>
                </c:pt>
                <c:pt idx="4">
                  <c:v>2018-19</c:v>
                </c:pt>
              </c:strCache>
            </c:strRef>
          </c:cat>
          <c:val>
            <c:numRef>
              <c:f>Adoption!$BA$42:$BE$42</c:f>
              <c:numCache>
                <c:formatCode>0.0%</c:formatCode>
                <c:ptCount val="5"/>
                <c:pt idx="0">
                  <c:v>0.10344827586206896</c:v>
                </c:pt>
                <c:pt idx="1">
                  <c:v>0.13235294117647059</c:v>
                </c:pt>
                <c:pt idx="2">
                  <c:v>#N/A</c:v>
                </c:pt>
                <c:pt idx="3">
                  <c:v>#N/A</c:v>
                </c:pt>
                <c:pt idx="4">
                  <c:v>0.1076923076923077</c:v>
                </c:pt>
              </c:numCache>
            </c:numRef>
          </c:val>
          <c:smooth val="0"/>
          <c:extLst>
            <c:ext xmlns:c16="http://schemas.microsoft.com/office/drawing/2014/chart" uri="{C3380CC4-5D6E-409C-BE32-E72D297353CC}">
              <c16:uniqueId val="{00000001-2AE9-4C6C-9B1F-D8EC454187F0}"/>
            </c:ext>
          </c:extLst>
        </c:ser>
        <c:ser>
          <c:idx val="1"/>
          <c:order val="1"/>
          <c:tx>
            <c:strRef>
              <c:f>Adoption!$AO$43</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Adoption!$Z$2:$AD$3</c:f>
              <c:strCache>
                <c:ptCount val="5"/>
                <c:pt idx="0">
                  <c:v>2014-15</c:v>
                </c:pt>
                <c:pt idx="1">
                  <c:v>2015-16</c:v>
                </c:pt>
                <c:pt idx="2">
                  <c:v>2016-17</c:v>
                </c:pt>
                <c:pt idx="3">
                  <c:v>2017-18</c:v>
                </c:pt>
                <c:pt idx="4">
                  <c:v>2018-19</c:v>
                </c:pt>
              </c:strCache>
            </c:strRef>
          </c:cat>
          <c:val>
            <c:numRef>
              <c:f>Adoption!$BA$43:$BE$43</c:f>
              <c:numCache>
                <c:formatCode>0.0%</c:formatCode>
                <c:ptCount val="5"/>
                <c:pt idx="0">
                  <c:v>0.265625</c:v>
                </c:pt>
                <c:pt idx="1">
                  <c:v>0.15918367346938775</c:v>
                </c:pt>
                <c:pt idx="2">
                  <c:v>0.12849162011173185</c:v>
                </c:pt>
                <c:pt idx="3">
                  <c:v>0.18181818181818182</c:v>
                </c:pt>
                <c:pt idx="4">
                  <c:v>0.18181818181818182</c:v>
                </c:pt>
              </c:numCache>
            </c:numRef>
          </c:val>
          <c:smooth val="0"/>
          <c:extLst>
            <c:ext xmlns:c16="http://schemas.microsoft.com/office/drawing/2014/chart" uri="{C3380CC4-5D6E-409C-BE32-E72D297353CC}">
              <c16:uniqueId val="{00000002-2AE9-4C6C-9B1F-D8EC454187F0}"/>
            </c:ext>
          </c:extLst>
        </c:ser>
        <c:ser>
          <c:idx val="2"/>
          <c:order val="2"/>
          <c:tx>
            <c:strRef>
              <c:f>Adoption!$AO$44</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Adoption!$Z$2:$AD$3</c:f>
              <c:strCache>
                <c:ptCount val="5"/>
                <c:pt idx="0">
                  <c:v>2014-15</c:v>
                </c:pt>
                <c:pt idx="1">
                  <c:v>2015-16</c:v>
                </c:pt>
                <c:pt idx="2">
                  <c:v>2016-17</c:v>
                </c:pt>
                <c:pt idx="3">
                  <c:v>2017-18</c:v>
                </c:pt>
                <c:pt idx="4">
                  <c:v>2018-19</c:v>
                </c:pt>
              </c:strCache>
            </c:strRef>
          </c:cat>
          <c:val>
            <c:numRef>
              <c:f>Adoption!$BA$44:$BE$44</c:f>
              <c:numCache>
                <c:formatCode>0.0%</c:formatCode>
                <c:ptCount val="5"/>
                <c:pt idx="0">
                  <c:v>0.19753086419753085</c:v>
                </c:pt>
                <c:pt idx="1">
                  <c:v>0.16740088105726872</c:v>
                </c:pt>
                <c:pt idx="2">
                  <c:v>0.17674418604651163</c:v>
                </c:pt>
                <c:pt idx="3">
                  <c:v>0.12777777777777777</c:v>
                </c:pt>
                <c:pt idx="4">
                  <c:v>0.10588235294117647</c:v>
                </c:pt>
              </c:numCache>
            </c:numRef>
          </c:val>
          <c:smooth val="0"/>
          <c:extLst>
            <c:ext xmlns:c16="http://schemas.microsoft.com/office/drawing/2014/chart" uri="{C3380CC4-5D6E-409C-BE32-E72D297353CC}">
              <c16:uniqueId val="{00000003-2AE9-4C6C-9B1F-D8EC454187F0}"/>
            </c:ext>
          </c:extLst>
        </c:ser>
        <c:ser>
          <c:idx val="5"/>
          <c:order val="3"/>
          <c:tx>
            <c:strRef>
              <c:f>Adoption!$AO$45</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Adoption!$Z$2:$AD$3</c:f>
              <c:strCache>
                <c:ptCount val="5"/>
                <c:pt idx="0">
                  <c:v>2014-15</c:v>
                </c:pt>
                <c:pt idx="1">
                  <c:v>2015-16</c:v>
                </c:pt>
                <c:pt idx="2">
                  <c:v>2016-17</c:v>
                </c:pt>
                <c:pt idx="3">
                  <c:v>2017-18</c:v>
                </c:pt>
                <c:pt idx="4">
                  <c:v>2018-19</c:v>
                </c:pt>
              </c:strCache>
            </c:strRef>
          </c:cat>
          <c:val>
            <c:numRef>
              <c:f>Adoption!$BA$45:$BE$45</c:f>
              <c:numCache>
                <c:formatCode>0.0%</c:formatCode>
                <c:ptCount val="5"/>
                <c:pt idx="0">
                  <c:v>0.2275132275132275</c:v>
                </c:pt>
                <c:pt idx="1">
                  <c:v>0.24479166666666666</c:v>
                </c:pt>
                <c:pt idx="2">
                  <c:v>0.2</c:v>
                </c:pt>
                <c:pt idx="3">
                  <c:v>0.19753086419753085</c:v>
                </c:pt>
                <c:pt idx="4">
                  <c:v>0.15625</c:v>
                </c:pt>
              </c:numCache>
            </c:numRef>
          </c:val>
          <c:smooth val="0"/>
          <c:extLst>
            <c:ext xmlns:c16="http://schemas.microsoft.com/office/drawing/2014/chart" uri="{C3380CC4-5D6E-409C-BE32-E72D297353CC}">
              <c16:uniqueId val="{00000004-2AE9-4C6C-9B1F-D8EC454187F0}"/>
            </c:ext>
          </c:extLst>
        </c:ser>
        <c:ser>
          <c:idx val="9"/>
          <c:order val="4"/>
          <c:tx>
            <c:strRef>
              <c:f>Adoption!$AO$46</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Adoption!$Z$2:$AD$3</c:f>
              <c:strCache>
                <c:ptCount val="5"/>
                <c:pt idx="0">
                  <c:v>2014-15</c:v>
                </c:pt>
                <c:pt idx="1">
                  <c:v>2015-16</c:v>
                </c:pt>
                <c:pt idx="2">
                  <c:v>2016-17</c:v>
                </c:pt>
                <c:pt idx="3">
                  <c:v>2017-18</c:v>
                </c:pt>
                <c:pt idx="4">
                  <c:v>2018-19</c:v>
                </c:pt>
              </c:strCache>
            </c:strRef>
          </c:cat>
          <c:val>
            <c:numRef>
              <c:f>Adoption!$BA$46:$BE$46</c:f>
              <c:numCache>
                <c:formatCode>0.0%</c:formatCode>
                <c:ptCount val="5"/>
                <c:pt idx="0">
                  <c:v>0.1575091575091575</c:v>
                </c:pt>
                <c:pt idx="1">
                  <c:v>0.15412844036697249</c:v>
                </c:pt>
                <c:pt idx="2">
                  <c:v>0.13157894736842105</c:v>
                </c:pt>
                <c:pt idx="3">
                  <c:v>0.11316872427983539</c:v>
                </c:pt>
                <c:pt idx="4">
                  <c:v>0.1163575042158516</c:v>
                </c:pt>
              </c:numCache>
            </c:numRef>
          </c:val>
          <c:smooth val="0"/>
          <c:extLst>
            <c:ext xmlns:c16="http://schemas.microsoft.com/office/drawing/2014/chart" uri="{C3380CC4-5D6E-409C-BE32-E72D297353CC}">
              <c16:uniqueId val="{00000005-2AE9-4C6C-9B1F-D8EC454187F0}"/>
            </c:ext>
          </c:extLst>
        </c:ser>
        <c:ser>
          <c:idx val="10"/>
          <c:order val="5"/>
          <c:tx>
            <c:strRef>
              <c:f>Adoption!$AO$47</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Adoption!$Z$2:$AD$3</c:f>
              <c:strCache>
                <c:ptCount val="5"/>
                <c:pt idx="0">
                  <c:v>2014-15</c:v>
                </c:pt>
                <c:pt idx="1">
                  <c:v>2015-16</c:v>
                </c:pt>
                <c:pt idx="2">
                  <c:v>2016-17</c:v>
                </c:pt>
                <c:pt idx="3">
                  <c:v>2017-18</c:v>
                </c:pt>
                <c:pt idx="4">
                  <c:v>2018-19</c:v>
                </c:pt>
              </c:strCache>
            </c:strRef>
          </c:cat>
          <c:val>
            <c:numRef>
              <c:f>Adoption!$BA$47:$BE$47</c:f>
              <c:numCache>
                <c:formatCode>0.0%</c:formatCode>
                <c:ptCount val="5"/>
                <c:pt idx="0">
                  <c:v>8.8607594936708861E-2</c:v>
                </c:pt>
                <c:pt idx="1">
                  <c:v>0.12328767123287671</c:v>
                </c:pt>
                <c:pt idx="2">
                  <c:v>0.21052631578947367</c:v>
                </c:pt>
                <c:pt idx="3">
                  <c:v>0.15853658536585366</c:v>
                </c:pt>
                <c:pt idx="4">
                  <c:v>0.18032786885245902</c:v>
                </c:pt>
              </c:numCache>
            </c:numRef>
          </c:val>
          <c:smooth val="0"/>
          <c:extLst>
            <c:ext xmlns:c16="http://schemas.microsoft.com/office/drawing/2014/chart" uri="{C3380CC4-5D6E-409C-BE32-E72D297353CC}">
              <c16:uniqueId val="{00000006-2AE9-4C6C-9B1F-D8EC454187F0}"/>
            </c:ext>
          </c:extLst>
        </c:ser>
        <c:ser>
          <c:idx val="11"/>
          <c:order val="6"/>
          <c:tx>
            <c:strRef>
              <c:f>Adoption!$AO$48</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Adoption!$Z$2:$AD$3</c:f>
              <c:strCache>
                <c:ptCount val="5"/>
                <c:pt idx="0">
                  <c:v>2014-15</c:v>
                </c:pt>
                <c:pt idx="1">
                  <c:v>2015-16</c:v>
                </c:pt>
                <c:pt idx="2">
                  <c:v>2016-17</c:v>
                </c:pt>
                <c:pt idx="3">
                  <c:v>2017-18</c:v>
                </c:pt>
                <c:pt idx="4">
                  <c:v>2018-19</c:v>
                </c:pt>
              </c:strCache>
            </c:strRef>
          </c:cat>
          <c:val>
            <c:numRef>
              <c:f>Adoption!$BA$48:$BE$48</c:f>
              <c:numCache>
                <c:formatCode>0.0%</c:formatCode>
                <c:ptCount val="5"/>
                <c:pt idx="0">
                  <c:v>0.20638540478905359</c:v>
                </c:pt>
                <c:pt idx="1">
                  <c:v>0.10009267840593142</c:v>
                </c:pt>
                <c:pt idx="2">
                  <c:v>6.0790273556231005E-2</c:v>
                </c:pt>
                <c:pt idx="3">
                  <c:v>9.9142040038131554E-2</c:v>
                </c:pt>
                <c:pt idx="4">
                  <c:v>0.12581913499344691</c:v>
                </c:pt>
              </c:numCache>
            </c:numRef>
          </c:val>
          <c:smooth val="0"/>
          <c:extLst>
            <c:ext xmlns:c16="http://schemas.microsoft.com/office/drawing/2014/chart" uri="{C3380CC4-5D6E-409C-BE32-E72D297353CC}">
              <c16:uniqueId val="{00000007-2AE9-4C6C-9B1F-D8EC454187F0}"/>
            </c:ext>
          </c:extLst>
        </c:ser>
        <c:ser>
          <c:idx val="12"/>
          <c:order val="7"/>
          <c:tx>
            <c:strRef>
              <c:f>Adoption!$AO$49</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Adoption!$Z$2:$AD$3</c:f>
              <c:strCache>
                <c:ptCount val="5"/>
                <c:pt idx="0">
                  <c:v>2014-15</c:v>
                </c:pt>
                <c:pt idx="1">
                  <c:v>2015-16</c:v>
                </c:pt>
                <c:pt idx="2">
                  <c:v>2016-17</c:v>
                </c:pt>
                <c:pt idx="3">
                  <c:v>2017-18</c:v>
                </c:pt>
                <c:pt idx="4">
                  <c:v>2018-19</c:v>
                </c:pt>
              </c:strCache>
            </c:strRef>
          </c:cat>
          <c:val>
            <c:numRef>
              <c:f>Adoption!$BA$49:$BE$49</c:f>
              <c:numCache>
                <c:formatCode>0.0%</c:formatCode>
                <c:ptCount val="5"/>
                <c:pt idx="0">
                  <c:v>0.24615384615384617</c:v>
                </c:pt>
                <c:pt idx="1">
                  <c:v>0.11428571428571428</c:v>
                </c:pt>
                <c:pt idx="2">
                  <c:v>0.17647058823529413</c:v>
                </c:pt>
                <c:pt idx="3">
                  <c:v>0.22012578616352202</c:v>
                </c:pt>
                <c:pt idx="4">
                  <c:v>0.15189873417721519</c:v>
                </c:pt>
              </c:numCache>
            </c:numRef>
          </c:val>
          <c:smooth val="0"/>
          <c:extLst>
            <c:ext xmlns:c16="http://schemas.microsoft.com/office/drawing/2014/chart" uri="{C3380CC4-5D6E-409C-BE32-E72D297353CC}">
              <c16:uniqueId val="{00000008-2AE9-4C6C-9B1F-D8EC454187F0}"/>
            </c:ext>
          </c:extLst>
        </c:ser>
        <c:ser>
          <c:idx val="13"/>
          <c:order val="8"/>
          <c:tx>
            <c:strRef>
              <c:f>Adoption!$AO$50</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Adoption!$Z$2:$AD$3</c:f>
              <c:strCache>
                <c:ptCount val="5"/>
                <c:pt idx="0">
                  <c:v>2014-15</c:v>
                </c:pt>
                <c:pt idx="1">
                  <c:v>2015-16</c:v>
                </c:pt>
                <c:pt idx="2">
                  <c:v>2016-17</c:v>
                </c:pt>
                <c:pt idx="3">
                  <c:v>2017-18</c:v>
                </c:pt>
                <c:pt idx="4">
                  <c:v>2018-19</c:v>
                </c:pt>
              </c:strCache>
            </c:strRef>
          </c:cat>
          <c:val>
            <c:numRef>
              <c:f>Adoption!$BA$50:$BE$50</c:f>
              <c:numCache>
                <c:formatCode>0.0%</c:formatCode>
                <c:ptCount val="5"/>
                <c:pt idx="0">
                  <c:v>8.7591240875912413E-2</c:v>
                </c:pt>
                <c:pt idx="1">
                  <c:v>0.10215053763440861</c:v>
                </c:pt>
                <c:pt idx="2">
                  <c:v>6.5789473684210523E-2</c:v>
                </c:pt>
                <c:pt idx="3">
                  <c:v>6.2068965517241378E-2</c:v>
                </c:pt>
                <c:pt idx="4">
                  <c:v>0.11560693641618497</c:v>
                </c:pt>
              </c:numCache>
            </c:numRef>
          </c:val>
          <c:smooth val="0"/>
          <c:extLst>
            <c:ext xmlns:c16="http://schemas.microsoft.com/office/drawing/2014/chart" uri="{C3380CC4-5D6E-409C-BE32-E72D297353CC}">
              <c16:uniqueId val="{00000009-2AE9-4C6C-9B1F-D8EC454187F0}"/>
            </c:ext>
          </c:extLst>
        </c:ser>
        <c:ser>
          <c:idx val="15"/>
          <c:order val="9"/>
          <c:tx>
            <c:strRef>
              <c:f>Adoption!$AO$51</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Adoption!$Z$2:$AD$3</c:f>
              <c:strCache>
                <c:ptCount val="5"/>
                <c:pt idx="0">
                  <c:v>2014-15</c:v>
                </c:pt>
                <c:pt idx="1">
                  <c:v>2015-16</c:v>
                </c:pt>
                <c:pt idx="2">
                  <c:v>2016-17</c:v>
                </c:pt>
                <c:pt idx="3">
                  <c:v>2017-18</c:v>
                </c:pt>
                <c:pt idx="4">
                  <c:v>2018-19</c:v>
                </c:pt>
              </c:strCache>
            </c:strRef>
          </c:cat>
          <c:val>
            <c:numRef>
              <c:f>Adoption!$BA$51:$BE$51</c:f>
              <c:numCache>
                <c:formatCode>0.0%</c:formatCode>
                <c:ptCount val="5"/>
                <c:pt idx="0">
                  <c:v>0.14859437751004015</c:v>
                </c:pt>
                <c:pt idx="1">
                  <c:v>0.17857142857142858</c:v>
                </c:pt>
                <c:pt idx="2">
                  <c:v>0.13286713286713286</c:v>
                </c:pt>
                <c:pt idx="3">
                  <c:v>0.12080536912751678</c:v>
                </c:pt>
                <c:pt idx="4">
                  <c:v>9.1575091575091569E-2</c:v>
                </c:pt>
              </c:numCache>
            </c:numRef>
          </c:val>
          <c:smooth val="0"/>
          <c:extLst>
            <c:ext xmlns:c16="http://schemas.microsoft.com/office/drawing/2014/chart" uri="{C3380CC4-5D6E-409C-BE32-E72D297353CC}">
              <c16:uniqueId val="{0000000A-2AE9-4C6C-9B1F-D8EC454187F0}"/>
            </c:ext>
          </c:extLst>
        </c:ser>
        <c:ser>
          <c:idx val="16"/>
          <c:order val="10"/>
          <c:tx>
            <c:strRef>
              <c:f>Adoption!$AO$52</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Adoption!$Z$2:$AD$3</c:f>
              <c:strCache>
                <c:ptCount val="5"/>
                <c:pt idx="0">
                  <c:v>2014-15</c:v>
                </c:pt>
                <c:pt idx="1">
                  <c:v>2015-16</c:v>
                </c:pt>
                <c:pt idx="2">
                  <c:v>2016-17</c:v>
                </c:pt>
                <c:pt idx="3">
                  <c:v>2017-18</c:v>
                </c:pt>
                <c:pt idx="4">
                  <c:v>2018-19</c:v>
                </c:pt>
              </c:strCache>
            </c:strRef>
          </c:cat>
          <c:val>
            <c:numRef>
              <c:f>Adoption!$BA$52:$BE$52</c:f>
              <c:numCache>
                <c:formatCode>0.0%</c:formatCode>
                <c:ptCount val="5"/>
                <c:pt idx="0">
                  <c:v>0.2073170731707317</c:v>
                </c:pt>
                <c:pt idx="1">
                  <c:v>0.21428571428571427</c:v>
                </c:pt>
                <c:pt idx="2">
                  <c:v>0.28455284552845528</c:v>
                </c:pt>
                <c:pt idx="3">
                  <c:v>0.16129032258064516</c:v>
                </c:pt>
                <c:pt idx="4">
                  <c:v>9.3167701863354033E-2</c:v>
                </c:pt>
              </c:numCache>
            </c:numRef>
          </c:val>
          <c:smooth val="0"/>
          <c:extLst>
            <c:ext xmlns:c16="http://schemas.microsoft.com/office/drawing/2014/chart" uri="{C3380CC4-5D6E-409C-BE32-E72D297353CC}">
              <c16:uniqueId val="{0000000B-2AE9-4C6C-9B1F-D8EC454187F0}"/>
            </c:ext>
          </c:extLst>
        </c:ser>
        <c:ser>
          <c:idx val="17"/>
          <c:order val="11"/>
          <c:tx>
            <c:strRef>
              <c:f>Adoption!$AO$53</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Adoption!$Z$2:$AD$3</c:f>
              <c:strCache>
                <c:ptCount val="5"/>
                <c:pt idx="0">
                  <c:v>2014-15</c:v>
                </c:pt>
                <c:pt idx="1">
                  <c:v>2015-16</c:v>
                </c:pt>
                <c:pt idx="2">
                  <c:v>2016-17</c:v>
                </c:pt>
                <c:pt idx="3">
                  <c:v>2017-18</c:v>
                </c:pt>
                <c:pt idx="4">
                  <c:v>2018-19</c:v>
                </c:pt>
              </c:strCache>
            </c:strRef>
          </c:cat>
          <c:val>
            <c:numRef>
              <c:f>Adoption!$BA$53:$BE$53</c:f>
              <c:numCache>
                <c:formatCode>0.0%</c:formatCode>
                <c:ptCount val="5"/>
                <c:pt idx="0">
                  <c:v>0.22619047619047619</c:v>
                </c:pt>
                <c:pt idx="1">
                  <c:v>0.2032520325203252</c:v>
                </c:pt>
                <c:pt idx="2">
                  <c:v>0.16</c:v>
                </c:pt>
                <c:pt idx="3">
                  <c:v>0.14130434782608695</c:v>
                </c:pt>
                <c:pt idx="4">
                  <c:v>0.21052631578947367</c:v>
                </c:pt>
              </c:numCache>
            </c:numRef>
          </c:val>
          <c:smooth val="0"/>
          <c:extLst>
            <c:ext xmlns:c16="http://schemas.microsoft.com/office/drawing/2014/chart" uri="{C3380CC4-5D6E-409C-BE32-E72D297353CC}">
              <c16:uniqueId val="{0000000C-2AE9-4C6C-9B1F-D8EC454187F0}"/>
            </c:ext>
          </c:extLst>
        </c:ser>
        <c:ser>
          <c:idx val="19"/>
          <c:order val="12"/>
          <c:tx>
            <c:strRef>
              <c:f>Adoption!$AO$54</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Adoption!$Z$2:$AD$3</c:f>
              <c:strCache>
                <c:ptCount val="5"/>
                <c:pt idx="0">
                  <c:v>2014-15</c:v>
                </c:pt>
                <c:pt idx="1">
                  <c:v>2015-16</c:v>
                </c:pt>
                <c:pt idx="2">
                  <c:v>2016-17</c:v>
                </c:pt>
                <c:pt idx="3">
                  <c:v>2017-18</c:v>
                </c:pt>
                <c:pt idx="4">
                  <c:v>2018-19</c:v>
                </c:pt>
              </c:strCache>
            </c:strRef>
          </c:cat>
          <c:val>
            <c:numRef>
              <c:f>Adoption!$BA$54:$BE$54</c:f>
              <c:numCache>
                <c:formatCode>0.0%</c:formatCode>
                <c:ptCount val="5"/>
                <c:pt idx="0">
                  <c:v>0.20353982300884957</c:v>
                </c:pt>
                <c:pt idx="1">
                  <c:v>0.1038961038961039</c:v>
                </c:pt>
                <c:pt idx="2">
                  <c:v>9.8214285714285712E-2</c:v>
                </c:pt>
                <c:pt idx="3">
                  <c:v>0.11607142857142858</c:v>
                </c:pt>
                <c:pt idx="4">
                  <c:v>0.11023622047244094</c:v>
                </c:pt>
              </c:numCache>
            </c:numRef>
          </c:val>
          <c:smooth val="0"/>
          <c:extLst>
            <c:ext xmlns:c16="http://schemas.microsoft.com/office/drawing/2014/chart" uri="{C3380CC4-5D6E-409C-BE32-E72D297353CC}">
              <c16:uniqueId val="{0000000D-2AE9-4C6C-9B1F-D8EC454187F0}"/>
            </c:ext>
          </c:extLst>
        </c:ser>
        <c:ser>
          <c:idx val="3"/>
          <c:order val="13"/>
          <c:tx>
            <c:strRef>
              <c:f>Adoption!$AO$55</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Adoption!$Z$2:$AD$3</c:f>
              <c:strCache>
                <c:ptCount val="5"/>
                <c:pt idx="0">
                  <c:v>2014-15</c:v>
                </c:pt>
                <c:pt idx="1">
                  <c:v>2015-16</c:v>
                </c:pt>
                <c:pt idx="2">
                  <c:v>2016-17</c:v>
                </c:pt>
                <c:pt idx="3">
                  <c:v>2017-18</c:v>
                </c:pt>
                <c:pt idx="4">
                  <c:v>2018-19</c:v>
                </c:pt>
              </c:strCache>
            </c:strRef>
          </c:cat>
          <c:val>
            <c:numRef>
              <c:f>Adoption!$BA$55:$BE$55</c:f>
              <c:numCache>
                <c:formatCode>0.0%</c:formatCode>
                <c:ptCount val="5"/>
                <c:pt idx="0">
                  <c:v>0.19063545150501673</c:v>
                </c:pt>
                <c:pt idx="1">
                  <c:v>0.22270742358078602</c:v>
                </c:pt>
                <c:pt idx="2">
                  <c:v>0.13026819923371646</c:v>
                </c:pt>
                <c:pt idx="3">
                  <c:v>0.13901345291479822</c:v>
                </c:pt>
                <c:pt idx="4">
                  <c:v>0.125</c:v>
                </c:pt>
              </c:numCache>
            </c:numRef>
          </c:val>
          <c:smooth val="0"/>
          <c:extLst>
            <c:ext xmlns:c16="http://schemas.microsoft.com/office/drawing/2014/chart" uri="{C3380CC4-5D6E-409C-BE32-E72D297353CC}">
              <c16:uniqueId val="{0000000E-2AE9-4C6C-9B1F-D8EC454187F0}"/>
            </c:ext>
          </c:extLst>
        </c:ser>
        <c:ser>
          <c:idx val="20"/>
          <c:order val="14"/>
          <c:tx>
            <c:strRef>
              <c:f>Adoption!$AO$56</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Adoption!$Z$2:$AD$3</c:f>
              <c:strCache>
                <c:ptCount val="5"/>
                <c:pt idx="0">
                  <c:v>2014-15</c:v>
                </c:pt>
                <c:pt idx="1">
                  <c:v>2015-16</c:v>
                </c:pt>
                <c:pt idx="2">
                  <c:v>2016-17</c:v>
                </c:pt>
                <c:pt idx="3">
                  <c:v>2017-18</c:v>
                </c:pt>
                <c:pt idx="4">
                  <c:v>2018-19</c:v>
                </c:pt>
              </c:strCache>
            </c:strRef>
          </c:cat>
          <c:val>
            <c:numRef>
              <c:f>Adoption!$BA$56:$BE$56</c:f>
              <c:numCache>
                <c:formatCode>0.0%</c:formatCode>
                <c:ptCount val="5"/>
                <c:pt idx="0">
                  <c:v>0.265625</c:v>
                </c:pt>
                <c:pt idx="1">
                  <c:v>0.3073170731707317</c:v>
                </c:pt>
                <c:pt idx="2">
                  <c:v>0.34841628959276016</c:v>
                </c:pt>
                <c:pt idx="3">
                  <c:v>0.27411167512690354</c:v>
                </c:pt>
                <c:pt idx="4">
                  <c:v>0.22429906542056074</c:v>
                </c:pt>
              </c:numCache>
            </c:numRef>
          </c:val>
          <c:smooth val="0"/>
          <c:extLst>
            <c:ext xmlns:c16="http://schemas.microsoft.com/office/drawing/2014/chart" uri="{C3380CC4-5D6E-409C-BE32-E72D297353CC}">
              <c16:uniqueId val="{0000000F-2AE9-4C6C-9B1F-D8EC454187F0}"/>
            </c:ext>
          </c:extLst>
        </c:ser>
        <c:ser>
          <c:idx val="22"/>
          <c:order val="15"/>
          <c:tx>
            <c:strRef>
              <c:f>Adoption!$AO$57</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Adoption!$Z$2:$AD$3</c:f>
              <c:strCache>
                <c:ptCount val="5"/>
                <c:pt idx="0">
                  <c:v>2014-15</c:v>
                </c:pt>
                <c:pt idx="1">
                  <c:v>2015-16</c:v>
                </c:pt>
                <c:pt idx="2">
                  <c:v>2016-17</c:v>
                </c:pt>
                <c:pt idx="3">
                  <c:v>2017-18</c:v>
                </c:pt>
                <c:pt idx="4">
                  <c:v>2018-19</c:v>
                </c:pt>
              </c:strCache>
            </c:strRef>
          </c:cat>
          <c:val>
            <c:numRef>
              <c:f>Adoption!$BA$57:$BE$57</c:f>
              <c:numCache>
                <c:formatCode>0.0%</c:formatCode>
                <c:ptCount val="5"/>
                <c:pt idx="0">
                  <c:v>0.13368983957219252</c:v>
                </c:pt>
                <c:pt idx="1">
                  <c:v>0.12592592592592591</c:v>
                </c:pt>
                <c:pt idx="2">
                  <c:v>0.12171837708830549</c:v>
                </c:pt>
                <c:pt idx="3">
                  <c:v>8.0684596577017112E-2</c:v>
                </c:pt>
                <c:pt idx="4">
                  <c:v>6.0913705583756347E-2</c:v>
                </c:pt>
              </c:numCache>
            </c:numRef>
          </c:val>
          <c:smooth val="0"/>
          <c:extLst>
            <c:ext xmlns:c16="http://schemas.microsoft.com/office/drawing/2014/chart" uri="{C3380CC4-5D6E-409C-BE32-E72D297353CC}">
              <c16:uniqueId val="{00000010-2AE9-4C6C-9B1F-D8EC454187F0}"/>
            </c:ext>
          </c:extLst>
        </c:ser>
        <c:ser>
          <c:idx val="7"/>
          <c:order val="16"/>
          <c:tx>
            <c:strRef>
              <c:f>Adoption!$AO$58</c:f>
              <c:strCache>
                <c:ptCount val="1"/>
                <c:pt idx="0">
                  <c:v>Swindon</c:v>
                </c:pt>
              </c:strCache>
            </c:strRef>
          </c:tx>
          <c:spPr>
            <a:ln w="15875"/>
          </c:spPr>
          <c:marker>
            <c:symbol val="triangle"/>
            <c:size val="5"/>
            <c:spPr>
              <a:solidFill>
                <a:schemeClr val="accent2">
                  <a:lumMod val="20000"/>
                  <a:lumOff val="80000"/>
                </a:schemeClr>
              </a:solidFill>
            </c:spPr>
          </c:marker>
          <c:cat>
            <c:strRef>
              <c:f>Adoption!$Z$2:$AD$3</c:f>
              <c:strCache>
                <c:ptCount val="5"/>
                <c:pt idx="0">
                  <c:v>2014-15</c:v>
                </c:pt>
                <c:pt idx="1">
                  <c:v>2015-16</c:v>
                </c:pt>
                <c:pt idx="2">
                  <c:v>2016-17</c:v>
                </c:pt>
                <c:pt idx="3">
                  <c:v>2017-18</c:v>
                </c:pt>
                <c:pt idx="4">
                  <c:v>2018-19</c:v>
                </c:pt>
              </c:strCache>
            </c:strRef>
          </c:cat>
          <c:val>
            <c:numRef>
              <c:f>Adoption!$BA$58:$BE$58</c:f>
              <c:numCache>
                <c:formatCode>0.0%</c:formatCode>
                <c:ptCount val="5"/>
                <c:pt idx="0">
                  <c:v>9.6296296296296297E-2</c:v>
                </c:pt>
                <c:pt idx="1">
                  <c:v>5.0359712230215826E-2</c:v>
                </c:pt>
                <c:pt idx="2">
                  <c:v>0.12666666666666668</c:v>
                </c:pt>
                <c:pt idx="3">
                  <c:v>0.1032258064516129</c:v>
                </c:pt>
                <c:pt idx="4">
                  <c:v>0.10738255033557047</c:v>
                </c:pt>
              </c:numCache>
            </c:numRef>
          </c:val>
          <c:smooth val="0"/>
          <c:extLst>
            <c:ext xmlns:c16="http://schemas.microsoft.com/office/drawing/2014/chart" uri="{C3380CC4-5D6E-409C-BE32-E72D297353CC}">
              <c16:uniqueId val="{00000011-2AE9-4C6C-9B1F-D8EC454187F0}"/>
            </c:ext>
          </c:extLst>
        </c:ser>
        <c:ser>
          <c:idx val="8"/>
          <c:order val="17"/>
          <c:tx>
            <c:strRef>
              <c:f>Adoption!$AO$59</c:f>
              <c:strCache>
                <c:ptCount val="1"/>
                <c:pt idx="0">
                  <c:v>Torbay</c:v>
                </c:pt>
              </c:strCache>
            </c:strRef>
          </c:tx>
          <c:spPr>
            <a:ln w="15875"/>
          </c:spPr>
          <c:marker>
            <c:symbol val="circle"/>
            <c:size val="5"/>
            <c:spPr>
              <a:solidFill>
                <a:schemeClr val="accent3">
                  <a:lumMod val="20000"/>
                  <a:lumOff val="80000"/>
                </a:schemeClr>
              </a:solidFill>
            </c:spPr>
          </c:marker>
          <c:cat>
            <c:strRef>
              <c:f>Adoption!$Z$2:$AD$3</c:f>
              <c:strCache>
                <c:ptCount val="5"/>
                <c:pt idx="0">
                  <c:v>2014-15</c:v>
                </c:pt>
                <c:pt idx="1">
                  <c:v>2015-16</c:v>
                </c:pt>
                <c:pt idx="2">
                  <c:v>2016-17</c:v>
                </c:pt>
                <c:pt idx="3">
                  <c:v>2017-18</c:v>
                </c:pt>
                <c:pt idx="4">
                  <c:v>2018-19</c:v>
                </c:pt>
              </c:strCache>
            </c:strRef>
          </c:cat>
          <c:val>
            <c:numRef>
              <c:f>Adoption!$BA$59:$BE$59</c:f>
              <c:numCache>
                <c:formatCode>0.0%</c:formatCode>
                <c:ptCount val="5"/>
                <c:pt idx="0">
                  <c:v>0.15322580645161291</c:v>
                </c:pt>
                <c:pt idx="1">
                  <c:v>0.224</c:v>
                </c:pt>
                <c:pt idx="2">
                  <c:v>0.12962962962962962</c:v>
                </c:pt>
                <c:pt idx="3">
                  <c:v>0.19607843137254902</c:v>
                </c:pt>
                <c:pt idx="4">
                  <c:v>9.3220338983050849E-2</c:v>
                </c:pt>
              </c:numCache>
            </c:numRef>
          </c:val>
          <c:smooth val="0"/>
          <c:extLst>
            <c:ext xmlns:c16="http://schemas.microsoft.com/office/drawing/2014/chart" uri="{C3380CC4-5D6E-409C-BE32-E72D297353CC}">
              <c16:uniqueId val="{00000012-2AE9-4C6C-9B1F-D8EC454187F0}"/>
            </c:ext>
          </c:extLst>
        </c:ser>
        <c:ser>
          <c:idx val="23"/>
          <c:order val="18"/>
          <c:tx>
            <c:strRef>
              <c:f>Adoption!$AO$60</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Adoption!$Z$2:$AD$3</c:f>
              <c:strCache>
                <c:ptCount val="5"/>
                <c:pt idx="0">
                  <c:v>2014-15</c:v>
                </c:pt>
                <c:pt idx="1">
                  <c:v>2015-16</c:v>
                </c:pt>
                <c:pt idx="2">
                  <c:v>2016-17</c:v>
                </c:pt>
                <c:pt idx="3">
                  <c:v>2017-18</c:v>
                </c:pt>
                <c:pt idx="4">
                  <c:v>2018-19</c:v>
                </c:pt>
              </c:strCache>
            </c:strRef>
          </c:cat>
          <c:val>
            <c:numRef>
              <c:f>Adoption!$BA$60:$BE$60</c:f>
              <c:numCache>
                <c:formatCode>0.0%</c:formatCode>
                <c:ptCount val="5"/>
                <c:pt idx="0">
                  <c:v>#N/A</c:v>
                </c:pt>
                <c:pt idx="1">
                  <c:v>0.10144927536231885</c:v>
                </c:pt>
                <c:pt idx="2">
                  <c:v>0.16216216216216217</c:v>
                </c:pt>
                <c:pt idx="3">
                  <c:v>#N/A</c:v>
                </c:pt>
                <c:pt idx="4">
                  <c:v>0.11320754716981132</c:v>
                </c:pt>
              </c:numCache>
            </c:numRef>
          </c:val>
          <c:smooth val="0"/>
          <c:extLst>
            <c:ext xmlns:c16="http://schemas.microsoft.com/office/drawing/2014/chart" uri="{C3380CC4-5D6E-409C-BE32-E72D297353CC}">
              <c16:uniqueId val="{00000013-2AE9-4C6C-9B1F-D8EC454187F0}"/>
            </c:ext>
          </c:extLst>
        </c:ser>
        <c:ser>
          <c:idx val="24"/>
          <c:order val="19"/>
          <c:tx>
            <c:strRef>
              <c:f>Adoption!$AO$61</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Adoption!$Z$2:$AD$3</c:f>
              <c:strCache>
                <c:ptCount val="5"/>
                <c:pt idx="0">
                  <c:v>2014-15</c:v>
                </c:pt>
                <c:pt idx="1">
                  <c:v>2015-16</c:v>
                </c:pt>
                <c:pt idx="2">
                  <c:v>2016-17</c:v>
                </c:pt>
                <c:pt idx="3">
                  <c:v>2017-18</c:v>
                </c:pt>
                <c:pt idx="4">
                  <c:v>2018-19</c:v>
                </c:pt>
              </c:strCache>
            </c:strRef>
          </c:cat>
          <c:val>
            <c:numRef>
              <c:f>Adoption!$BA$61:$BE$61</c:f>
              <c:numCache>
                <c:formatCode>0.0%</c:formatCode>
                <c:ptCount val="5"/>
                <c:pt idx="0">
                  <c:v>0.125</c:v>
                </c:pt>
                <c:pt idx="1">
                  <c:v>8.549222797927461E-2</c:v>
                </c:pt>
                <c:pt idx="2">
                  <c:v>0.12885154061624648</c:v>
                </c:pt>
                <c:pt idx="3">
                  <c:v>0.10355029585798817</c:v>
                </c:pt>
                <c:pt idx="4">
                  <c:v>0.11864406779661017</c:v>
                </c:pt>
              </c:numCache>
            </c:numRef>
          </c:val>
          <c:smooth val="0"/>
          <c:extLst>
            <c:ext xmlns:c16="http://schemas.microsoft.com/office/drawing/2014/chart" uri="{C3380CC4-5D6E-409C-BE32-E72D297353CC}">
              <c16:uniqueId val="{00000014-2AE9-4C6C-9B1F-D8EC454187F0}"/>
            </c:ext>
          </c:extLst>
        </c:ser>
        <c:ser>
          <c:idx val="25"/>
          <c:order val="20"/>
          <c:tx>
            <c:strRef>
              <c:f>Adoption!$AO$62</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Adoption!$Z$2:$AD$3</c:f>
              <c:strCache>
                <c:ptCount val="5"/>
                <c:pt idx="0">
                  <c:v>2014-15</c:v>
                </c:pt>
                <c:pt idx="1">
                  <c:v>2015-16</c:v>
                </c:pt>
                <c:pt idx="2">
                  <c:v>2016-17</c:v>
                </c:pt>
                <c:pt idx="3">
                  <c:v>2017-18</c:v>
                </c:pt>
                <c:pt idx="4">
                  <c:v>2018-19</c:v>
                </c:pt>
              </c:strCache>
            </c:strRef>
          </c:cat>
          <c:val>
            <c:numRef>
              <c:f>Adoption!$BA$62:$BE$62</c:f>
              <c:numCache>
                <c:formatCode>0.0%</c:formatCode>
                <c:ptCount val="5"/>
                <c:pt idx="0">
                  <c:v>0.14893617021276595</c:v>
                </c:pt>
                <c:pt idx="1">
                  <c:v>0.16279069767441862</c:v>
                </c:pt>
                <c:pt idx="2">
                  <c:v>0.17142857142857143</c:v>
                </c:pt>
                <c:pt idx="3">
                  <c:v>#N/A</c:v>
                </c:pt>
                <c:pt idx="4">
                  <c:v>0.13461538461538461</c:v>
                </c:pt>
              </c:numCache>
            </c:numRef>
          </c:val>
          <c:smooth val="0"/>
          <c:extLst>
            <c:ext xmlns:c16="http://schemas.microsoft.com/office/drawing/2014/chart" uri="{C3380CC4-5D6E-409C-BE32-E72D297353CC}">
              <c16:uniqueId val="{00000015-2AE9-4C6C-9B1F-D8EC454187F0}"/>
            </c:ext>
          </c:extLst>
        </c:ser>
        <c:ser>
          <c:idx val="26"/>
          <c:order val="21"/>
          <c:tx>
            <c:strRef>
              <c:f>Adoption!$AO$63</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Adoption!$Z$2:$AD$3</c:f>
              <c:strCache>
                <c:ptCount val="5"/>
                <c:pt idx="0">
                  <c:v>2014-15</c:v>
                </c:pt>
                <c:pt idx="1">
                  <c:v>2015-16</c:v>
                </c:pt>
                <c:pt idx="2">
                  <c:v>2016-17</c:v>
                </c:pt>
                <c:pt idx="3">
                  <c:v>2017-18</c:v>
                </c:pt>
                <c:pt idx="4">
                  <c:v>2018-19</c:v>
                </c:pt>
              </c:strCache>
            </c:strRef>
          </c:cat>
          <c:val>
            <c:numRef>
              <c:f>Adoption!$BA$63:$BE$63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2AE9-4C6C-9B1F-D8EC454187F0}"/>
            </c:ext>
          </c:extLst>
        </c:ser>
        <c:ser>
          <c:idx val="4"/>
          <c:order val="22"/>
          <c:tx>
            <c:strRef>
              <c:f>Adoption!$AO$64</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Adoption!$Z$2:$AD$3</c:f>
              <c:strCache>
                <c:ptCount val="5"/>
                <c:pt idx="0">
                  <c:v>2014-15</c:v>
                </c:pt>
                <c:pt idx="1">
                  <c:v>2015-16</c:v>
                </c:pt>
                <c:pt idx="2">
                  <c:v>2016-17</c:v>
                </c:pt>
                <c:pt idx="3">
                  <c:v>2017-18</c:v>
                </c:pt>
                <c:pt idx="4">
                  <c:v>2018-19</c:v>
                </c:pt>
              </c:strCache>
            </c:strRef>
          </c:cat>
          <c:val>
            <c:numRef>
              <c:f>Adoption!$BA$64:$BE$64</c:f>
              <c:numCache>
                <c:formatCode>0.0%</c:formatCode>
                <c:ptCount val="5"/>
                <c:pt idx="0">
                  <c:v>0.18092909535452323</c:v>
                </c:pt>
                <c:pt idx="1">
                  <c:v>0.14193548387096774</c:v>
                </c:pt>
                <c:pt idx="2">
                  <c:v>0.13118279569892474</c:v>
                </c:pt>
                <c:pt idx="3">
                  <c:v>0.12296983758700696</c:v>
                </c:pt>
                <c:pt idx="4">
                  <c:v>0.12318840579710146</c:v>
                </c:pt>
              </c:numCache>
            </c:numRef>
          </c:val>
          <c:smooth val="0"/>
          <c:extLst>
            <c:ext xmlns:c16="http://schemas.microsoft.com/office/drawing/2014/chart" uri="{C3380CC4-5D6E-409C-BE32-E72D297353CC}">
              <c16:uniqueId val="{00000017-2AE9-4C6C-9B1F-D8EC454187F0}"/>
            </c:ext>
          </c:extLst>
        </c:ser>
        <c:ser>
          <c:idx val="14"/>
          <c:order val="23"/>
          <c:tx>
            <c:strRef>
              <c:f>Adoption!$AO$65</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Adoption!$Z$2:$AD$3</c:f>
              <c:strCache>
                <c:ptCount val="5"/>
                <c:pt idx="0">
                  <c:v>2014-15</c:v>
                </c:pt>
                <c:pt idx="1">
                  <c:v>2015-16</c:v>
                </c:pt>
                <c:pt idx="2">
                  <c:v>2016-17</c:v>
                </c:pt>
                <c:pt idx="3">
                  <c:v>2017-18</c:v>
                </c:pt>
                <c:pt idx="4">
                  <c:v>2018-19</c:v>
                </c:pt>
              </c:strCache>
            </c:strRef>
          </c:cat>
          <c:val>
            <c:numRef>
              <c:f>Adoption!$BA$65:$BE$65</c:f>
              <c:numCache>
                <c:formatCode>0.0%</c:formatCode>
                <c:ptCount val="5"/>
                <c:pt idx="0">
                  <c:v>0.17097288676236044</c:v>
                </c:pt>
                <c:pt idx="1">
                  <c:v>0.14783427495291901</c:v>
                </c:pt>
                <c:pt idx="2">
                  <c:v>0.13917197452229299</c:v>
                </c:pt>
                <c:pt idx="3">
                  <c:v>0.1281198003327787</c:v>
                </c:pt>
                <c:pt idx="4">
                  <c:v>0.12118126272912423</c:v>
                </c:pt>
              </c:numCache>
            </c:numRef>
          </c:val>
          <c:smooth val="0"/>
          <c:extLst>
            <c:ext xmlns:c16="http://schemas.microsoft.com/office/drawing/2014/chart" uri="{C3380CC4-5D6E-409C-BE32-E72D297353CC}">
              <c16:uniqueId val="{00000018-2AE9-4C6C-9B1F-D8EC454187F0}"/>
            </c:ext>
          </c:extLst>
        </c:ser>
        <c:ser>
          <c:idx val="6"/>
          <c:order val="24"/>
          <c:tx>
            <c:strRef>
              <c:f>Adoption!$AO$66</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Adoption!$Z$2:$AD$3</c:f>
              <c:strCache>
                <c:ptCount val="5"/>
                <c:pt idx="0">
                  <c:v>2014-15</c:v>
                </c:pt>
                <c:pt idx="1">
                  <c:v>2015-16</c:v>
                </c:pt>
                <c:pt idx="2">
                  <c:v>2016-17</c:v>
                </c:pt>
                <c:pt idx="3">
                  <c:v>2017-18</c:v>
                </c:pt>
                <c:pt idx="4">
                  <c:v>2018-19</c:v>
                </c:pt>
              </c:strCache>
            </c:strRef>
          </c:cat>
          <c:val>
            <c:numRef>
              <c:f>Adoption!$BA$66:$BE$66</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AE9-4C6C-9B1F-D8EC454187F0}"/>
            </c:ext>
          </c:extLst>
        </c:ser>
        <c:dLbls>
          <c:showLegendKey val="0"/>
          <c:showVal val="0"/>
          <c:showCatName val="0"/>
          <c:showSerName val="0"/>
          <c:showPercent val="0"/>
          <c:showBubbleSize val="0"/>
        </c:dLbls>
        <c:marker val="1"/>
        <c:smooth val="0"/>
        <c:axId val="329200000"/>
        <c:axId val="329201536"/>
      </c:lineChart>
      <c:catAx>
        <c:axId val="329200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29201536"/>
        <c:crosses val="autoZero"/>
        <c:auto val="1"/>
        <c:lblAlgn val="ctr"/>
        <c:lblOffset val="100"/>
        <c:tickLblSkip val="1"/>
        <c:tickMarkSkip val="1"/>
        <c:noMultiLvlLbl val="0"/>
      </c:catAx>
      <c:valAx>
        <c:axId val="329201536"/>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292000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02039164719006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Placed for Adoption vs. IDACI</a:t>
            </a:r>
          </a:p>
        </c:rich>
      </c:tx>
      <c:layout>
        <c:manualLayout>
          <c:xMode val="edge"/>
          <c:yMode val="edge"/>
          <c:x val="0.15926796821630174"/>
          <c:y val="3.0147147896105751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Adoption!$AU$39</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B78D-444C-8CF7-7E56EB908B4A}"/>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{70F3A569-E3F1-4B07-AF84-3E6BFB7E49A2}</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B78D-444C-8CF7-7E56EB908B4A}"/>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{969DF6CC-C652-4273-9AED-35BF7D5D471B}</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B78D-444C-8CF7-7E56EB908B4A}"/>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{15C88D01-37E3-4A79-AA1D-19E8D7F4C8E9}</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B78D-444C-8CF7-7E56EB908B4A}"/>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{06F429D3-ABD7-443D-AEAC-2F4966374AF3}</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B78D-444C-8CF7-7E56EB908B4A}"/>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{8D655B95-AA68-4B63-ABD5-1728169019BA}</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B78D-444C-8CF7-7E56EB908B4A}"/>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{63425F78-4CA9-4E3E-A3A6-65C3858B92E1}</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B78D-444C-8CF7-7E56EB908B4A}"/>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{3618BB1F-55E4-4FC3-B9FC-E1838B740F48}</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B78D-444C-8CF7-7E56EB908B4A}"/>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{9377B586-3931-436A-B453-0DBBE9262098}</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B78D-444C-8CF7-7E56EB908B4A}"/>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{0EDFFE5E-423F-4C12-A31E-E186BD207BAE}</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B78D-444C-8CF7-7E56EB908B4A}"/>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{45BB9FEB-6145-457D-94F5-CAA64BBEC760}</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B78D-444C-8CF7-7E56EB908B4A}"/>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{3BA548B8-3263-4ED6-85C9-DD625BB856B2}</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B78D-444C-8CF7-7E56EB908B4A}"/>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{526AAAE8-A299-4ECF-B02E-798C93741404}</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B78D-444C-8CF7-7E56EB908B4A}"/>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{3C1E2DC5-19DB-4738-9FD5-DDA4027FA821}</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B78D-444C-8CF7-7E56EB908B4A}"/>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{A825553F-0638-4F13-91C6-53E1B101735D}</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B78D-444C-8CF7-7E56EB908B4A}"/>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{ACA1DD71-97D9-4012-95F3-22497237932F}</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B78D-444C-8CF7-7E56EB908B4A}"/>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{D36BB4E8-6D9A-441F-B244-9BB4B484C0FE}</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B78D-444C-8CF7-7E56EB908B4A}"/>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{58C37500-0A3D-44C7-A02C-8F0B4A68B190}</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B78D-444C-8CF7-7E56EB908B4A}"/>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{949A5C3F-F738-4C78-90EF-D66EB327BECD}</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B78D-444C-8CF7-7E56EB908B4A}"/>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{F320D9DC-15DD-4DF5-820C-C2A4367F34E1}</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B78D-444C-8CF7-7E56EB908B4A}"/>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trendline>
            <c:spPr>
              <a:ln>
                <a:solidFill>
                  <a:srgbClr val="C00000"/>
                </a:solidFill>
              </a:ln>
            </c:spPr>
            <c:trendlineType val="linear"/>
            <c:dispRSqr val="1"/>
            <c:dispEq val="0"/>
            <c:trendlineLbl>
              <c:layout>
                <c:manualLayout>
                  <c:x val="0.3085908563755112"/>
                  <c:y val="-0.1026256220234914"/>
                </c:manualLayout>
              </c:layout>
              <c:numFmt formatCode="General" sourceLinked="0"/>
              <c:txPr>
                <a:bodyPr/>
                <a:lstStyle/>
                <a:p>
                  <a:pPr>
                    <a:defRPr sz="900">
                      <a:solidFill>
                        <a:srgbClr val="C00000"/>
                      </a:solidFill>
                    </a:defRPr>
                  </a:pPr>
                  <a:endParaRPr lang="en-US"/>
                </a:p>
              </c:txPr>
            </c:trendlineLbl>
          </c:trendline>
          <c:xVal>
            <c:numRef>
              <c:f>(Adoption!$AU$42:$AU$54,Adoption!$AU$56:$AU$57,Adoption!$AU$60:$AU$63)</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(Adoption!$AT$42:$AT$54,Adoption!$AT$56:$AT$57,Adoption!$AT$60:$AT$63)</c:f>
              <c:numCache>
                <c:formatCode>0.0</c:formatCode>
                <c:ptCount val="19"/>
                <c:pt idx="0">
                  <c:v>#N/A</c:v>
                </c:pt>
                <c:pt idx="1">
                  <c:v>1.9607843137254901</c:v>
                </c:pt>
                <c:pt idx="2">
                  <c:v>1.4481094127111824</c:v>
                </c:pt>
                <c:pt idx="3">
                  <c:v>#N/A</c:v>
                </c:pt>
                <c:pt idx="4">
                  <c:v>1.6901408450704225</c:v>
                </c:pt>
                <c:pt idx="5">
                  <c:v>#N/A</c:v>
                </c:pt>
                <c:pt idx="6">
                  <c:v>1.1173184357541899</c:v>
                </c:pt>
                <c:pt idx="7">
                  <c:v>1.5527950310559007</c:v>
                </c:pt>
                <c:pt idx="8">
                  <c:v>0.87847730600292828</c:v>
                </c:pt>
                <c:pt idx="9">
                  <c:v>2.0027624309392262</c:v>
                </c:pt>
                <c:pt idx="10">
                  <c:v>#N/A</c:v>
                </c:pt>
                <c:pt idx="11">
                  <c:v>1.8867924528301885</c:v>
                </c:pt>
                <c:pt idx="12">
                  <c:v>#N/A</c:v>
                </c:pt>
                <c:pt idx="13">
                  <c:v>2.5590551181102366</c:v>
                </c:pt>
                <c:pt idx="14">
                  <c:v>0.49637266132111491</c:v>
                </c:pt>
                <c:pt idx="15">
                  <c:v>#N/A</c:v>
                </c:pt>
                <c:pt idx="16">
                  <c:v>2.0034344590726958</c:v>
                </c:pt>
                <c:pt idx="17">
                  <c:v>#N/A</c:v>
                </c:pt>
                <c:pt idx="18">
                  <c:v>#N/A</c:v>
                </c:pt>
              </c:numCache>
            </c:numRef>
          </c:yVal>
          <c:smooth val="0"/>
          <c:extLst>
            <c:ext xmlns:c16="http://schemas.microsoft.com/office/drawing/2014/chart" uri="{C3380CC4-5D6E-409C-BE32-E72D297353CC}">
              <c16:uniqueId val="{00000015-B78D-444C-8CF7-7E56EB908B4A}"/>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B78D-444C-8CF7-7E56EB908B4A}"/>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{C100E940-E944-41B2-9113-19DE7DD7B7D1}</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B78D-444C-8CF7-7E56EB908B4A}"/>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{79BDA79E-CD56-4368-806D-59251EC3DF07}</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B78D-444C-8CF7-7E56EB908B4A}"/>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{A53C738C-A3F4-4C91-B7AB-95595D83CF67}</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8-B78D-444C-8CF7-7E56EB908B4A}"/>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(Adoption!$AU$55,Adoption!$AU$58,Adoption!$AU$59)</c:f>
              <c:numCache>
                <c:formatCode>0.0</c:formatCode>
                <c:ptCount val="3"/>
                <c:pt idx="0">
                  <c:v>13.600000000000001</c:v>
                </c:pt>
                <c:pt idx="1">
                  <c:v>14.899999999999999</c:v>
                </c:pt>
                <c:pt idx="2">
                  <c:v>21.9</c:v>
                </c:pt>
              </c:numCache>
            </c:numRef>
          </c:xVal>
          <c:yVal>
            <c:numRef>
              <c:f>(Adoption!$AT$55,Adoption!$AT$58,Adoption!$AT$59)</c:f>
              <c:numCache>
                <c:formatCode>0.0</c:formatCode>
                <c:ptCount val="3"/>
                <c:pt idx="0">
                  <c:v>#N/A</c:v>
                </c:pt>
                <c:pt idx="1">
                  <c:v>1.9920318725099602</c:v>
                </c:pt>
                <c:pt idx="2">
                  <c:v>8.2677165354330704</c:v>
                </c:pt>
              </c:numCache>
            </c:numRef>
          </c:yVal>
          <c:smooth val="0"/>
          <c:extLst>
            <c:ext xmlns:c16="http://schemas.microsoft.com/office/drawing/2014/chart" uri="{C3380CC4-5D6E-409C-BE32-E72D297353CC}">
              <c16:uniqueId val="{00000019-B78D-444C-8CF7-7E56EB908B4A}"/>
            </c:ext>
          </c:extLst>
        </c:ser>
        <c:ser>
          <c:idx val="1"/>
          <c:order val="2"/>
          <c:tx>
            <c:strRef>
              <c:f>Adoption!$Z$4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Adoption!$AU$66</c:f>
              <c:numCache>
                <c:formatCode>0.0</c:formatCode>
                <c:ptCount val="1"/>
                <c:pt idx="0">
                  <c:v>#N/A</c:v>
                </c:pt>
              </c:numCache>
            </c:numRef>
          </c:xVal>
          <c:yVal>
            <c:numRef>
              <c:f>Adoption!$AT$66</c:f>
              <c:numCache>
                <c:formatCode>0.0</c:formatCode>
                <c:ptCount val="1"/>
                <c:pt idx="0">
                  <c:v>#N/A</c:v>
                </c:pt>
              </c:numCache>
            </c:numRef>
          </c:yVal>
          <c:smooth val="0"/>
          <c:extLst>
            <c:ext xmlns:c16="http://schemas.microsoft.com/office/drawing/2014/chart" uri="{C3380CC4-5D6E-409C-BE32-E72D297353CC}">
              <c16:uniqueId val="{0000001A-B78D-444C-8CF7-7E56EB908B4A}"/>
            </c:ext>
          </c:extLst>
        </c:ser>
        <c:ser>
          <c:idx val="4"/>
          <c:order val="3"/>
          <c:tx>
            <c:strRef>
              <c:f>Adoption!$B$32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Adoption!$T$32</c:f>
              <c:numCache>
                <c:formatCode>0.0</c:formatCode>
                <c:ptCount val="1"/>
                <c:pt idx="0">
                  <c:v>12.17834235917393</c:v>
                </c:pt>
              </c:numCache>
            </c:numRef>
          </c:xVal>
          <c:yVal>
            <c:numRef>
              <c:f>Adoption!$P$32</c:f>
              <c:numCache>
                <c:formatCode>0.0</c:formatCode>
                <c:ptCount val="1"/>
                <c:pt idx="0">
                  <c:v>1.7484700886724116</c:v>
                </c:pt>
              </c:numCache>
            </c:numRef>
          </c:yVal>
          <c:smooth val="0"/>
          <c:extLst>
            <c:ext xmlns:c16="http://schemas.microsoft.com/office/drawing/2014/chart" uri="{C3380CC4-5D6E-409C-BE32-E72D297353CC}">
              <c16:uniqueId val="{0000001B-B78D-444C-8CF7-7E56EB908B4A}"/>
            </c:ext>
          </c:extLst>
        </c:ser>
        <c:dLbls>
          <c:showLegendKey val="0"/>
          <c:showVal val="0"/>
          <c:showCatName val="0"/>
          <c:showSerName val="0"/>
          <c:showPercent val="0"/>
          <c:showBubbleSize val="0"/>
        </c:dLbls>
        <c:axId val="329914240"/>
        <c:axId val="329933184"/>
      </c:scatterChart>
      <c:scatterChart>
        <c:scatterStyle val="smoothMarker"/>
        <c:varyColors val="0"/>
        <c:ser>
          <c:idx val="2"/>
          <c:order val="4"/>
          <c:tx>
            <c:strRef>
              <c:f>Adoption!$X$42</c:f>
              <c:strCache>
                <c:ptCount val="1"/>
                <c:pt idx="0">
                  <c:v>South East LA Trend</c:v>
                </c:pt>
              </c:strCache>
            </c:strRef>
          </c:tx>
          <c:marker>
            <c:symbol val="none"/>
          </c:marker>
          <c:dPt>
            <c:idx val="1"/>
            <c:bubble3D val="0"/>
            <c:spPr>
              <a:ln w="12700">
                <a:solidFill>
                  <a:srgbClr val="C00000"/>
                </a:solidFill>
              </a:ln>
            </c:spPr>
            <c:extLst>
              <c:ext xmlns:c16="http://schemas.microsoft.com/office/drawing/2014/chart" uri="{C3380CC4-5D6E-409C-BE32-E72D297353CC}">
                <c16:uniqueId val="{00000004-2589-4CFB-A548-60230BDF4DC4}"/>
              </c:ext>
            </c:extLst>
          </c:dPt>
          <c:xVal>
            <c:numRef>
              <c:f>Adoption!$AA$42:$AA$43</c:f>
              <c:numCache>
                <c:formatCode>General</c:formatCode>
                <c:ptCount val="2"/>
                <c:pt idx="0" formatCode="#,##0.0">
                  <c:v>5</c:v>
                </c:pt>
                <c:pt idx="1">
                  <c:v>35</c:v>
                </c:pt>
              </c:numCache>
            </c:numRef>
          </c:xVal>
          <c:yVal>
            <c:numRef>
              <c:f>Adoption!$AB$42:$AB$43</c:f>
              <c:numCache>
                <c:formatCode>0.0</c:formatCode>
                <c:ptCount val="2"/>
                <c:pt idx="0">
                  <c:v>1.1398610339528488</c:v>
                </c:pt>
                <c:pt idx="1">
                  <c:v>2.7454391587503855</c:v>
                </c:pt>
              </c:numCache>
            </c:numRef>
          </c:yVal>
          <c:smooth val="1"/>
          <c:extLst>
            <c:ext xmlns:c16="http://schemas.microsoft.com/office/drawing/2014/chart" uri="{C3380CC4-5D6E-409C-BE32-E72D297353CC}">
              <c16:uniqueId val="{00000003-2589-4CFB-A548-60230BDF4DC4}"/>
            </c:ext>
          </c:extLst>
        </c:ser>
        <c:dLbls>
          <c:showLegendKey val="0"/>
          <c:showVal val="0"/>
          <c:showCatName val="0"/>
          <c:showSerName val="0"/>
          <c:showPercent val="0"/>
          <c:showBubbleSize val="0"/>
        </c:dLbls>
        <c:axId val="329914240"/>
        <c:axId val="329933184"/>
      </c:scatterChart>
      <c:valAx>
        <c:axId val="329914240"/>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29933184"/>
        <c:crosses val="autoZero"/>
        <c:crossBetween val="midCat"/>
        <c:majorUnit val="5"/>
      </c:valAx>
      <c:valAx>
        <c:axId val="32993318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sz="800" b="1" i="0" u="none" strike="noStrike" baseline="0">
                    <a:effectLst/>
                  </a:rPr>
                  <a:t>Rate of Children Placed for Adoption </a:t>
                </a:r>
                <a:r>
                  <a:rPr lang="en-GB"/>
                  <a:t>per</a:t>
                </a:r>
              </a:p>
              <a:p>
                <a:pPr>
                  <a:defRPr sz="800" b="1" i="0" u="none" strike="noStrike" baseline="0">
                    <a:solidFill>
                      <a:srgbClr val="000000"/>
                    </a:solidFill>
                    <a:latin typeface="Arial"/>
                    <a:ea typeface="Arial"/>
                    <a:cs typeface="Arial"/>
                  </a:defRPr>
                </a:pPr>
                <a:r>
                  <a:rPr lang="en-GB"/>
                  <a:t>10,000 0-17 year olds</a:t>
                </a:r>
              </a:p>
            </c:rich>
          </c:tx>
          <c:layout>
            <c:manualLayout>
              <c:xMode val="edge"/>
              <c:yMode val="edge"/>
              <c:x val="4.8947650774422424E-2"/>
              <c:y val="0.1972294341585680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32991424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E090A9"/>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Referral_Source!$J$41:$J$64</c:f>
              <c:numCache>
                <c:formatCode>0.0</c:formatCode>
                <c:ptCount val="24"/>
                <c:pt idx="0">
                  <c:v>1.3556258472661544</c:v>
                </c:pt>
                <c:pt idx="1">
                  <c:v>1.2658227848101267</c:v>
                </c:pt>
                <c:pt idx="2">
                  <c:v>0.86387434554973819</c:v>
                </c:pt>
                <c:pt idx="3">
                  <c:v>2.271147161066049</c:v>
                </c:pt>
                <c:pt idx="4">
                  <c:v>0</c:v>
                </c:pt>
                <c:pt idx="5">
                  <c:v>0</c:v>
                </c:pt>
                <c:pt idx="6">
                  <c:v>1.9854509653776733</c:v>
                </c:pt>
                <c:pt idx="7">
                  <c:v>1.6645962732919253</c:v>
                </c:pt>
                <c:pt idx="8">
                  <c:v>1.6062756817332835</c:v>
                </c:pt>
                <c:pt idx="9">
                  <c:v>0.78182622805723567</c:v>
                </c:pt>
                <c:pt idx="10">
                  <c:v>3.79746835443038</c:v>
                </c:pt>
                <c:pt idx="11">
                  <c:v>2.774735304855787</c:v>
                </c:pt>
                <c:pt idx="12">
                  <c:v>0</c:v>
                </c:pt>
                <c:pt idx="13">
                  <c:v>0</c:v>
                </c:pt>
                <c:pt idx="14">
                  <c:v>1.3634226610249176</c:v>
                </c:pt>
                <c:pt idx="15">
                  <c:v>1.8979833926453145</c:v>
                </c:pt>
                <c:pt idx="16">
                  <c:v>1.5068493150684932</c:v>
                </c:pt>
                <c:pt idx="17">
                  <c:v>0.88105726872246704</c:v>
                </c:pt>
                <c:pt idx="18">
                  <c:v>0.52785923753665687</c:v>
                </c:pt>
                <c:pt idx="19">
                  <c:v>0.835509138381201</c:v>
                </c:pt>
                <c:pt idx="20">
                  <c:v>1.1721159777914869</c:v>
                </c:pt>
                <c:pt idx="21">
                  <c:v>0</c:v>
                </c:pt>
                <c:pt idx="22">
                  <c:v>1.1989737343888827</c:v>
                </c:pt>
                <c:pt idx="23">
                  <c:v>1.3119891845388068</c:v>
                </c:pt>
              </c:numCache>
            </c:numRef>
          </c:val>
          <c:extLst>
            <c:ext xmlns:c16="http://schemas.microsoft.com/office/drawing/2014/chart" uri="{C3380CC4-5D6E-409C-BE32-E72D297353CC}">
              <c16:uniqueId val="{00000000-4235-488F-A348-872D46EDE696}"/>
            </c:ext>
          </c:extLst>
        </c:ser>
        <c:dLbls>
          <c:showLegendKey val="0"/>
          <c:showVal val="0"/>
          <c:showCatName val="0"/>
          <c:showSerName val="0"/>
          <c:showPercent val="0"/>
          <c:showBubbleSize val="0"/>
        </c:dLbls>
        <c:gapWidth val="40"/>
        <c:axId val="614745984"/>
        <c:axId val="614747520"/>
      </c:barChart>
      <c:catAx>
        <c:axId val="614745984"/>
        <c:scaling>
          <c:orientation val="maxMin"/>
        </c:scaling>
        <c:delete val="1"/>
        <c:axPos val="l"/>
        <c:numFmt formatCode="General" sourceLinked="0"/>
        <c:majorTickMark val="out"/>
        <c:minorTickMark val="none"/>
        <c:tickLblPos val="nextTo"/>
        <c:crossAx val="614747520"/>
        <c:crosses val="autoZero"/>
        <c:auto val="1"/>
        <c:lblAlgn val="ctr"/>
        <c:lblOffset val="100"/>
        <c:noMultiLvlLbl val="0"/>
      </c:catAx>
      <c:valAx>
        <c:axId val="614747520"/>
        <c:scaling>
          <c:orientation val="minMax"/>
        </c:scaling>
        <c:delete val="1"/>
        <c:axPos val="b"/>
        <c:majorGridlines/>
        <c:numFmt formatCode="0.0" sourceLinked="1"/>
        <c:majorTickMark val="out"/>
        <c:minorTickMark val="none"/>
        <c:tickLblPos val="nextTo"/>
        <c:crossAx val="614745984"/>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8F77AD"/>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Referral_Source!$L$41:$L$64</c:f>
              <c:numCache>
                <c:formatCode>0.0</c:formatCode>
                <c:ptCount val="24"/>
                <c:pt idx="0">
                  <c:v>21.057388160867603</c:v>
                </c:pt>
                <c:pt idx="1">
                  <c:v>12.936091386230316</c:v>
                </c:pt>
                <c:pt idx="2">
                  <c:v>10.026178010471204</c:v>
                </c:pt>
                <c:pt idx="3">
                  <c:v>16.361529548088065</c:v>
                </c:pt>
                <c:pt idx="4">
                  <c:v>9.1168560294198375</c:v>
                </c:pt>
                <c:pt idx="5">
                  <c:v>9.5942519019442098</c:v>
                </c:pt>
                <c:pt idx="6">
                  <c:v>12.476070666739595</c:v>
                </c:pt>
                <c:pt idx="7">
                  <c:v>12.571428571428573</c:v>
                </c:pt>
                <c:pt idx="8">
                  <c:v>15.61449383638401</c:v>
                </c:pt>
                <c:pt idx="9">
                  <c:v>4.882726065791414</c:v>
                </c:pt>
                <c:pt idx="10">
                  <c:v>18.037974683544302</c:v>
                </c:pt>
                <c:pt idx="11">
                  <c:v>9.0909090909090917</c:v>
                </c:pt>
                <c:pt idx="12">
                  <c:v>16.759493670886076</c:v>
                </c:pt>
                <c:pt idx="13">
                  <c:v>16.744006187161638</c:v>
                </c:pt>
                <c:pt idx="14">
                  <c:v>12.214386459802538</c:v>
                </c:pt>
                <c:pt idx="15">
                  <c:v>17.793594306049823</c:v>
                </c:pt>
                <c:pt idx="16">
                  <c:v>15.732349841938884</c:v>
                </c:pt>
                <c:pt idx="17">
                  <c:v>6.784140969162995</c:v>
                </c:pt>
                <c:pt idx="18">
                  <c:v>8.8563049853372426</c:v>
                </c:pt>
                <c:pt idx="19">
                  <c:v>15.091383812010445</c:v>
                </c:pt>
                <c:pt idx="20">
                  <c:v>8.359037631091919</c:v>
                </c:pt>
                <c:pt idx="21">
                  <c:v>15.139442231075698</c:v>
                </c:pt>
                <c:pt idx="22">
                  <c:v>11.719194561191586</c:v>
                </c:pt>
                <c:pt idx="23">
                  <c:v>13.336508326676089</c:v>
                </c:pt>
              </c:numCache>
            </c:numRef>
          </c:val>
          <c:extLst>
            <c:ext xmlns:c16="http://schemas.microsoft.com/office/drawing/2014/chart" uri="{C3380CC4-5D6E-409C-BE32-E72D297353CC}">
              <c16:uniqueId val="{00000000-DA9D-4E7F-A4BE-F0E9A907CF80}"/>
            </c:ext>
          </c:extLst>
        </c:ser>
        <c:dLbls>
          <c:showLegendKey val="0"/>
          <c:showVal val="0"/>
          <c:showCatName val="0"/>
          <c:showSerName val="0"/>
          <c:showPercent val="0"/>
          <c:showBubbleSize val="0"/>
        </c:dLbls>
        <c:gapWidth val="40"/>
        <c:axId val="619879424"/>
        <c:axId val="619901696"/>
      </c:barChart>
      <c:catAx>
        <c:axId val="619879424"/>
        <c:scaling>
          <c:orientation val="maxMin"/>
        </c:scaling>
        <c:delete val="1"/>
        <c:axPos val="l"/>
        <c:numFmt formatCode="General" sourceLinked="0"/>
        <c:majorTickMark val="out"/>
        <c:minorTickMark val="none"/>
        <c:tickLblPos val="nextTo"/>
        <c:crossAx val="619901696"/>
        <c:crosses val="autoZero"/>
        <c:auto val="1"/>
        <c:lblAlgn val="ctr"/>
        <c:lblOffset val="100"/>
        <c:noMultiLvlLbl val="0"/>
      </c:catAx>
      <c:valAx>
        <c:axId val="619901696"/>
        <c:scaling>
          <c:orientation val="minMax"/>
        </c:scaling>
        <c:delete val="1"/>
        <c:axPos val="b"/>
        <c:majorGridlines/>
        <c:numFmt formatCode="0.0" sourceLinked="1"/>
        <c:majorTickMark val="out"/>
        <c:minorTickMark val="none"/>
        <c:tickLblPos val="nextTo"/>
        <c:crossAx val="619879424"/>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009BD2"/>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Referral_Source!$N$41:$N$64</c:f>
              <c:numCache>
                <c:formatCode>0.0</c:formatCode>
                <c:ptCount val="24"/>
                <c:pt idx="0">
                  <c:v>20.018075011296883</c:v>
                </c:pt>
                <c:pt idx="1">
                  <c:v>24.081506637851188</c:v>
                </c:pt>
                <c:pt idx="2">
                  <c:v>35.497382198952884</c:v>
                </c:pt>
                <c:pt idx="3">
                  <c:v>26.60486674391657</c:v>
                </c:pt>
                <c:pt idx="4">
                  <c:v>25.023327295680332</c:v>
                </c:pt>
                <c:pt idx="5">
                  <c:v>23.45731191885038</c:v>
                </c:pt>
                <c:pt idx="6">
                  <c:v>34.403544276103482</c:v>
                </c:pt>
                <c:pt idx="7">
                  <c:v>33.316770186335404</c:v>
                </c:pt>
                <c:pt idx="8">
                  <c:v>28.165857302951064</c:v>
                </c:pt>
                <c:pt idx="9">
                  <c:v>30.682991591680185</c:v>
                </c:pt>
                <c:pt idx="10">
                  <c:v>24.613220815752463</c:v>
                </c:pt>
                <c:pt idx="11">
                  <c:v>38.773274917853229</c:v>
                </c:pt>
                <c:pt idx="12">
                  <c:v>31.594936708860761</c:v>
                </c:pt>
                <c:pt idx="13">
                  <c:v>31.438515081206496</c:v>
                </c:pt>
                <c:pt idx="14">
                  <c:v>36.314057357780911</c:v>
                </c:pt>
                <c:pt idx="15">
                  <c:v>32.325029655990512</c:v>
                </c:pt>
                <c:pt idx="16">
                  <c:v>26.933614330874605</c:v>
                </c:pt>
                <c:pt idx="17">
                  <c:v>35.330396475770925</c:v>
                </c:pt>
                <c:pt idx="18">
                  <c:v>36.187683284457478</c:v>
                </c:pt>
                <c:pt idx="19">
                  <c:v>26.318537859007833</c:v>
                </c:pt>
                <c:pt idx="20">
                  <c:v>37.446020974706975</c:v>
                </c:pt>
                <c:pt idx="21">
                  <c:v>29.2544109277177</c:v>
                </c:pt>
                <c:pt idx="22">
                  <c:v>30.756022322275356</c:v>
                </c:pt>
                <c:pt idx="23">
                  <c:v>29.175628341424449</c:v>
                </c:pt>
              </c:numCache>
            </c:numRef>
          </c:val>
          <c:extLst>
            <c:ext xmlns:c16="http://schemas.microsoft.com/office/drawing/2014/chart" uri="{C3380CC4-5D6E-409C-BE32-E72D297353CC}">
              <c16:uniqueId val="{00000000-E159-4040-87F1-045AA0E57597}"/>
            </c:ext>
          </c:extLst>
        </c:ser>
        <c:dLbls>
          <c:showLegendKey val="0"/>
          <c:showVal val="0"/>
          <c:showCatName val="0"/>
          <c:showSerName val="0"/>
          <c:showPercent val="0"/>
          <c:showBubbleSize val="0"/>
        </c:dLbls>
        <c:gapWidth val="40"/>
        <c:axId val="621124224"/>
        <c:axId val="621150592"/>
      </c:barChart>
      <c:catAx>
        <c:axId val="621124224"/>
        <c:scaling>
          <c:orientation val="maxMin"/>
        </c:scaling>
        <c:delete val="1"/>
        <c:axPos val="l"/>
        <c:numFmt formatCode="General" sourceLinked="0"/>
        <c:majorTickMark val="out"/>
        <c:minorTickMark val="none"/>
        <c:tickLblPos val="nextTo"/>
        <c:crossAx val="621150592"/>
        <c:crosses val="autoZero"/>
        <c:auto val="1"/>
        <c:lblAlgn val="ctr"/>
        <c:lblOffset val="100"/>
        <c:noMultiLvlLbl val="0"/>
      </c:catAx>
      <c:valAx>
        <c:axId val="621150592"/>
        <c:scaling>
          <c:orientation val="minMax"/>
        </c:scaling>
        <c:delete val="1"/>
        <c:axPos val="b"/>
        <c:majorGridlines/>
        <c:numFmt formatCode="0.0" sourceLinked="1"/>
        <c:majorTickMark val="out"/>
        <c:minorTickMark val="none"/>
        <c:tickLblPos val="nextTo"/>
        <c:crossAx val="621124224"/>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4D7FBB"/>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Referral_Source!$P$41:$P$64</c:f>
              <c:numCache>
                <c:formatCode>0.0</c:formatCode>
                <c:ptCount val="24"/>
                <c:pt idx="0">
                  <c:v>2.3949389968368728</c:v>
                </c:pt>
                <c:pt idx="1">
                  <c:v>2.4698981167026859</c:v>
                </c:pt>
                <c:pt idx="2">
                  <c:v>3.1937172774869111</c:v>
                </c:pt>
                <c:pt idx="3">
                  <c:v>5.0289687137891077</c:v>
                </c:pt>
                <c:pt idx="4">
                  <c:v>3.2548438443383279</c:v>
                </c:pt>
                <c:pt idx="5">
                  <c:v>2.4936601859678782</c:v>
                </c:pt>
                <c:pt idx="6">
                  <c:v>4.8350927090740026</c:v>
                </c:pt>
                <c:pt idx="7">
                  <c:v>3.354037267080745</c:v>
                </c:pt>
                <c:pt idx="8">
                  <c:v>3.9970115801270079</c:v>
                </c:pt>
                <c:pt idx="9">
                  <c:v>1.0768549933618528</c:v>
                </c:pt>
                <c:pt idx="10">
                  <c:v>5.309423347398031</c:v>
                </c:pt>
                <c:pt idx="11">
                  <c:v>2.5921869295363273</c:v>
                </c:pt>
                <c:pt idx="12">
                  <c:v>3.4936708860759493</c:v>
                </c:pt>
                <c:pt idx="13">
                  <c:v>2.5135344160866202</c:v>
                </c:pt>
                <c:pt idx="14">
                  <c:v>3.1969910672308415</c:v>
                </c:pt>
                <c:pt idx="15">
                  <c:v>2.7876631079478056</c:v>
                </c:pt>
                <c:pt idx="16">
                  <c:v>3.0769230769230771</c:v>
                </c:pt>
                <c:pt idx="17">
                  <c:v>2.3788546255506611</c:v>
                </c:pt>
                <c:pt idx="18">
                  <c:v>2.404692082111437</c:v>
                </c:pt>
                <c:pt idx="19">
                  <c:v>3.5509138381201044</c:v>
                </c:pt>
                <c:pt idx="20">
                  <c:v>3.8247995064774831</c:v>
                </c:pt>
                <c:pt idx="21">
                  <c:v>1.6505406943653957</c:v>
                </c:pt>
                <c:pt idx="22">
                  <c:v>3.4471742754744481</c:v>
                </c:pt>
                <c:pt idx="23">
                  <c:v>3.6532907269710564</c:v>
                </c:pt>
              </c:numCache>
            </c:numRef>
          </c:val>
          <c:extLst>
            <c:ext xmlns:c16="http://schemas.microsoft.com/office/drawing/2014/chart" uri="{C3380CC4-5D6E-409C-BE32-E72D297353CC}">
              <c16:uniqueId val="{00000000-1AAD-4023-9205-DFFDCF7D9BA5}"/>
            </c:ext>
          </c:extLst>
        </c:ser>
        <c:dLbls>
          <c:showLegendKey val="0"/>
          <c:showVal val="0"/>
          <c:showCatName val="0"/>
          <c:showSerName val="0"/>
          <c:showPercent val="0"/>
          <c:showBubbleSize val="0"/>
        </c:dLbls>
        <c:gapWidth val="40"/>
        <c:axId val="625763072"/>
        <c:axId val="625764608"/>
      </c:barChart>
      <c:catAx>
        <c:axId val="625763072"/>
        <c:scaling>
          <c:orientation val="maxMin"/>
        </c:scaling>
        <c:delete val="1"/>
        <c:axPos val="l"/>
        <c:numFmt formatCode="General" sourceLinked="0"/>
        <c:majorTickMark val="out"/>
        <c:minorTickMark val="none"/>
        <c:tickLblPos val="nextTo"/>
        <c:crossAx val="625764608"/>
        <c:crosses val="autoZero"/>
        <c:auto val="1"/>
        <c:lblAlgn val="ctr"/>
        <c:lblOffset val="100"/>
        <c:noMultiLvlLbl val="0"/>
      </c:catAx>
      <c:valAx>
        <c:axId val="625764608"/>
        <c:scaling>
          <c:orientation val="minMax"/>
        </c:scaling>
        <c:delete val="1"/>
        <c:axPos val="b"/>
        <c:majorGridlines/>
        <c:numFmt formatCode="0.0" sourceLinked="1"/>
        <c:majorTickMark val="out"/>
        <c:minorTickMark val="none"/>
        <c:tickLblPos val="nextTo"/>
        <c:crossAx val="625763072"/>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214F87"/>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Referral_Source!$R$41:$R$64</c:f>
              <c:numCache>
                <c:formatCode>0.0</c:formatCode>
                <c:ptCount val="24"/>
                <c:pt idx="0">
                  <c:v>4.2928151830094894</c:v>
                </c:pt>
                <c:pt idx="1">
                  <c:v>4.8163013275702378</c:v>
                </c:pt>
                <c:pt idx="2">
                  <c:v>4.5157068062827221</c:v>
                </c:pt>
                <c:pt idx="3">
                  <c:v>7.3696407879490149</c:v>
                </c:pt>
                <c:pt idx="4">
                  <c:v>6.8499917668368191</c:v>
                </c:pt>
                <c:pt idx="5">
                  <c:v>12.721893491124261</c:v>
                </c:pt>
                <c:pt idx="6">
                  <c:v>3.8177541978887493</c:v>
                </c:pt>
                <c:pt idx="7">
                  <c:v>4.0496894409937889</c:v>
                </c:pt>
                <c:pt idx="8">
                  <c:v>3.9596563317146058</c:v>
                </c:pt>
                <c:pt idx="9">
                  <c:v>14.382652308600088</c:v>
                </c:pt>
                <c:pt idx="10">
                  <c:v>5.2390998593530238</c:v>
                </c:pt>
                <c:pt idx="11">
                  <c:v>5.0383351588170866</c:v>
                </c:pt>
                <c:pt idx="12">
                  <c:v>6.2784810126582284</c:v>
                </c:pt>
                <c:pt idx="13">
                  <c:v>6.921887084300077</c:v>
                </c:pt>
                <c:pt idx="14">
                  <c:v>5.5195110484250121</c:v>
                </c:pt>
                <c:pt idx="15">
                  <c:v>2.2538552787663106</c:v>
                </c:pt>
                <c:pt idx="16">
                  <c:v>6.4172813487881983</c:v>
                </c:pt>
                <c:pt idx="17">
                  <c:v>13.039647577092511</c:v>
                </c:pt>
                <c:pt idx="18">
                  <c:v>5.1026392961876832</c:v>
                </c:pt>
                <c:pt idx="19">
                  <c:v>6.1096605744125325</c:v>
                </c:pt>
                <c:pt idx="20">
                  <c:v>2.4059222702035781</c:v>
                </c:pt>
                <c:pt idx="21">
                  <c:v>9.277177006260672</c:v>
                </c:pt>
                <c:pt idx="22">
                  <c:v>5.9928720462418514</c:v>
                </c:pt>
                <c:pt idx="23">
                  <c:v>5.4968352485712533</c:v>
                </c:pt>
              </c:numCache>
            </c:numRef>
          </c:val>
          <c:extLst>
            <c:ext xmlns:c16="http://schemas.microsoft.com/office/drawing/2014/chart" uri="{C3380CC4-5D6E-409C-BE32-E72D297353CC}">
              <c16:uniqueId val="{00000000-30C4-4C8A-AB4B-E27202BAD51E}"/>
            </c:ext>
          </c:extLst>
        </c:ser>
        <c:dLbls>
          <c:showLegendKey val="0"/>
          <c:showVal val="0"/>
          <c:showCatName val="0"/>
          <c:showSerName val="0"/>
          <c:showPercent val="0"/>
          <c:showBubbleSize val="0"/>
        </c:dLbls>
        <c:gapWidth val="40"/>
        <c:axId val="632642944"/>
        <c:axId val="632699520"/>
      </c:barChart>
      <c:catAx>
        <c:axId val="632642944"/>
        <c:scaling>
          <c:orientation val="maxMin"/>
        </c:scaling>
        <c:delete val="1"/>
        <c:axPos val="l"/>
        <c:numFmt formatCode="General" sourceLinked="0"/>
        <c:majorTickMark val="out"/>
        <c:minorTickMark val="none"/>
        <c:tickLblPos val="nextTo"/>
        <c:crossAx val="632699520"/>
        <c:crosses val="autoZero"/>
        <c:auto val="1"/>
        <c:lblAlgn val="ctr"/>
        <c:lblOffset val="100"/>
        <c:noMultiLvlLbl val="0"/>
      </c:catAx>
      <c:valAx>
        <c:axId val="632699520"/>
        <c:scaling>
          <c:orientation val="minMax"/>
        </c:scaling>
        <c:delete val="1"/>
        <c:axPos val="b"/>
        <c:majorGridlines/>
        <c:numFmt formatCode="0.0" sourceLinked="1"/>
        <c:majorTickMark val="out"/>
        <c:minorTickMark val="none"/>
        <c:tickLblPos val="nextTo"/>
        <c:crossAx val="632642944"/>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rgbClr val="3C8AA6"/>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Referral_Source!$T$41:$T$64</c:f>
              <c:numCache>
                <c:formatCode>0.0</c:formatCode>
                <c:ptCount val="24"/>
                <c:pt idx="0">
                  <c:v>2.937189335743335</c:v>
                </c:pt>
                <c:pt idx="1">
                  <c:v>1.3584439641864774</c:v>
                </c:pt>
                <c:pt idx="2">
                  <c:v>2.4345549738219896</c:v>
                </c:pt>
                <c:pt idx="3">
                  <c:v>1.9003476245654694</c:v>
                </c:pt>
                <c:pt idx="4">
                  <c:v>2.7169438498271035</c:v>
                </c:pt>
                <c:pt idx="5">
                  <c:v>0</c:v>
                </c:pt>
                <c:pt idx="6">
                  <c:v>2.0510857080347864</c:v>
                </c:pt>
                <c:pt idx="7">
                  <c:v>2.2111801242236022</c:v>
                </c:pt>
                <c:pt idx="8">
                  <c:v>2.3533806499813221</c:v>
                </c:pt>
                <c:pt idx="9">
                  <c:v>1.0326006785661601</c:v>
                </c:pt>
                <c:pt idx="10">
                  <c:v>2.3206751054852321</c:v>
                </c:pt>
                <c:pt idx="11">
                  <c:v>1.2778386272362174</c:v>
                </c:pt>
                <c:pt idx="12">
                  <c:v>1.0632911392405064</c:v>
                </c:pt>
                <c:pt idx="13">
                  <c:v>2.1655065738592421</c:v>
                </c:pt>
                <c:pt idx="14">
                  <c:v>1.3352139163140573</c:v>
                </c:pt>
                <c:pt idx="15">
                  <c:v>2.1945432977461445</c:v>
                </c:pt>
                <c:pt idx="16">
                  <c:v>0</c:v>
                </c:pt>
                <c:pt idx="17">
                  <c:v>1.6740088105726871</c:v>
                </c:pt>
                <c:pt idx="18">
                  <c:v>1.6422287390029326</c:v>
                </c:pt>
                <c:pt idx="19">
                  <c:v>3.9686684073107048</c:v>
                </c:pt>
                <c:pt idx="20">
                  <c:v>2.9611351017890191</c:v>
                </c:pt>
                <c:pt idx="21">
                  <c:v>4.4393853158793402</c:v>
                </c:pt>
                <c:pt idx="22">
                  <c:v>2.1204164961215546</c:v>
                </c:pt>
                <c:pt idx="23">
                  <c:v>2.3935353038775884</c:v>
                </c:pt>
              </c:numCache>
            </c:numRef>
          </c:val>
          <c:extLst>
            <c:ext xmlns:c16="http://schemas.microsoft.com/office/drawing/2014/chart" uri="{C3380CC4-5D6E-409C-BE32-E72D297353CC}">
              <c16:uniqueId val="{00000000-32B1-4234-A1DB-D5D6EF9B2262}"/>
            </c:ext>
          </c:extLst>
        </c:ser>
        <c:dLbls>
          <c:showLegendKey val="0"/>
          <c:showVal val="0"/>
          <c:showCatName val="0"/>
          <c:showSerName val="0"/>
          <c:showPercent val="0"/>
          <c:showBubbleSize val="0"/>
        </c:dLbls>
        <c:gapWidth val="40"/>
        <c:axId val="642191360"/>
        <c:axId val="642192896"/>
      </c:barChart>
      <c:catAx>
        <c:axId val="642191360"/>
        <c:scaling>
          <c:orientation val="maxMin"/>
        </c:scaling>
        <c:delete val="1"/>
        <c:axPos val="l"/>
        <c:numFmt formatCode="General" sourceLinked="0"/>
        <c:majorTickMark val="out"/>
        <c:minorTickMark val="none"/>
        <c:tickLblPos val="nextTo"/>
        <c:crossAx val="642192896"/>
        <c:crosses val="autoZero"/>
        <c:auto val="1"/>
        <c:lblAlgn val="ctr"/>
        <c:lblOffset val="100"/>
        <c:noMultiLvlLbl val="0"/>
      </c:catAx>
      <c:valAx>
        <c:axId val="642192896"/>
        <c:scaling>
          <c:orientation val="minMax"/>
        </c:scaling>
        <c:delete val="1"/>
        <c:axPos val="b"/>
        <c:majorGridlines/>
        <c:numFmt formatCode="0.0" sourceLinked="1"/>
        <c:majorTickMark val="out"/>
        <c:minorTickMark val="none"/>
        <c:tickLblPos val="nextTo"/>
        <c:crossAx val="642191360"/>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per 10,000 0-17 year olds</a:t>
            </a:r>
          </a:p>
        </c:rich>
      </c:tx>
      <c:layout>
        <c:manualLayout>
          <c:xMode val="edge"/>
          <c:yMode val="edge"/>
          <c:x val="0.21074562554680665"/>
          <c:y val="2.0819646288138149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Referrals!$AL$41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1374-4A6A-B173-7A3EF553F167}"/>
              </c:ext>
            </c:extLst>
          </c:dPt>
          <c:cat>
            <c:strRef>
              <c:f>Referrals!$Z$2:$AD$3</c:f>
              <c:strCache>
                <c:ptCount val="5"/>
                <c:pt idx="0">
                  <c:v>2014-15</c:v>
                </c:pt>
                <c:pt idx="1">
                  <c:v>2015-16</c:v>
                </c:pt>
                <c:pt idx="2">
                  <c:v>2016-17</c:v>
                </c:pt>
                <c:pt idx="3">
                  <c:v>2017-18</c:v>
                </c:pt>
                <c:pt idx="4">
                  <c:v>2018-19</c:v>
                </c:pt>
              </c:strCache>
            </c:strRef>
          </c:cat>
          <c:val>
            <c:numRef>
              <c:f>Referrals!$AM$41:$AQ$41</c:f>
              <c:numCache>
                <c:formatCode>0.0</c:formatCode>
                <c:ptCount val="5"/>
                <c:pt idx="0">
                  <c:v>381.29496402877697</c:v>
                </c:pt>
                <c:pt idx="1">
                  <c:v>463.12056737588654</c:v>
                </c:pt>
                <c:pt idx="2">
                  <c:v>582.97872340425533</c:v>
                </c:pt>
                <c:pt idx="3">
                  <c:v>647.3309608540925</c:v>
                </c:pt>
                <c:pt idx="4">
                  <c:v>791.51943462897532</c:v>
                </c:pt>
              </c:numCache>
            </c:numRef>
          </c:val>
          <c:smooth val="0"/>
          <c:extLst>
            <c:ext xmlns:c16="http://schemas.microsoft.com/office/drawing/2014/chart" uri="{C3380CC4-5D6E-409C-BE32-E72D297353CC}">
              <c16:uniqueId val="{00000001-1374-4A6A-B173-7A3EF553F167}"/>
            </c:ext>
          </c:extLst>
        </c:ser>
        <c:ser>
          <c:idx val="1"/>
          <c:order val="1"/>
          <c:tx>
            <c:strRef>
              <c:f>Referrals!$AL$42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2014-15</c:v>
                </c:pt>
                <c:pt idx="1">
                  <c:v>2015-16</c:v>
                </c:pt>
                <c:pt idx="2">
                  <c:v>2016-17</c:v>
                </c:pt>
                <c:pt idx="3">
                  <c:v>2017-18</c:v>
                </c:pt>
                <c:pt idx="4">
                  <c:v>2018-19</c:v>
                </c:pt>
              </c:strCache>
            </c:strRef>
          </c:cat>
          <c:val>
            <c:numRef>
              <c:f>Referrals!$AM$42:$AQ$42</c:f>
              <c:numCache>
                <c:formatCode>0.0</c:formatCode>
                <c:ptCount val="5"/>
                <c:pt idx="0">
                  <c:v>1432.7450980392157</c:v>
                </c:pt>
                <c:pt idx="1">
                  <c:v>669.140625</c:v>
                </c:pt>
                <c:pt idx="2">
                  <c:v>663.74269005847941</c:v>
                </c:pt>
                <c:pt idx="3">
                  <c:v>655.68627450980398</c:v>
                </c:pt>
                <c:pt idx="4">
                  <c:v>635.0980392156863</c:v>
                </c:pt>
              </c:numCache>
            </c:numRef>
          </c:val>
          <c:smooth val="0"/>
          <c:extLst>
            <c:ext xmlns:c16="http://schemas.microsoft.com/office/drawing/2014/chart" uri="{C3380CC4-5D6E-409C-BE32-E72D297353CC}">
              <c16:uniqueId val="{00000002-1374-4A6A-B173-7A3EF553F167}"/>
            </c:ext>
          </c:extLst>
        </c:ser>
        <c:ser>
          <c:idx val="2"/>
          <c:order val="2"/>
          <c:tx>
            <c:strRef>
              <c:f>Referrals!$AL$43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2014-15</c:v>
                </c:pt>
                <c:pt idx="1">
                  <c:v>2015-16</c:v>
                </c:pt>
                <c:pt idx="2">
                  <c:v>2016-17</c:v>
                </c:pt>
                <c:pt idx="3">
                  <c:v>2017-18</c:v>
                </c:pt>
                <c:pt idx="4">
                  <c:v>2018-19</c:v>
                </c:pt>
              </c:strCache>
            </c:strRef>
          </c:cat>
          <c:val>
            <c:numRef>
              <c:f>Referrals!$AM$43:$AQ$43</c:f>
              <c:numCache>
                <c:formatCode>0.0</c:formatCode>
                <c:ptCount val="5"/>
                <c:pt idx="0">
                  <c:v>431.37089991589573</c:v>
                </c:pt>
                <c:pt idx="1">
                  <c:v>576.94859038142624</c:v>
                </c:pt>
                <c:pt idx="2">
                  <c:v>753.19148936170211</c:v>
                </c:pt>
                <c:pt idx="3">
                  <c:v>839.7238017871648</c:v>
                </c:pt>
                <c:pt idx="4">
                  <c:v>614.64199517296868</c:v>
                </c:pt>
              </c:numCache>
            </c:numRef>
          </c:val>
          <c:smooth val="0"/>
          <c:extLst>
            <c:ext xmlns:c16="http://schemas.microsoft.com/office/drawing/2014/chart" uri="{C3380CC4-5D6E-409C-BE32-E72D297353CC}">
              <c16:uniqueId val="{00000003-1374-4A6A-B173-7A3EF553F167}"/>
            </c:ext>
          </c:extLst>
        </c:ser>
        <c:ser>
          <c:idx val="5"/>
          <c:order val="3"/>
          <c:tx>
            <c:strRef>
              <c:f>Referrals!$AL$44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2014-15</c:v>
                </c:pt>
                <c:pt idx="1">
                  <c:v>2015-16</c:v>
                </c:pt>
                <c:pt idx="2">
                  <c:v>2016-17</c:v>
                </c:pt>
                <c:pt idx="3">
                  <c:v>2017-18</c:v>
                </c:pt>
                <c:pt idx="4">
                  <c:v>2018-19</c:v>
                </c:pt>
              </c:strCache>
            </c:strRef>
          </c:cat>
          <c:val>
            <c:numRef>
              <c:f>Referrals!$AM$44:$AQ$44</c:f>
              <c:numCache>
                <c:formatCode>0.0</c:formatCode>
                <c:ptCount val="5"/>
                <c:pt idx="0">
                  <c:v>378.55787476280835</c:v>
                </c:pt>
                <c:pt idx="1">
                  <c:v>301.98300283286119</c:v>
                </c:pt>
                <c:pt idx="2">
                  <c:v>347.11992445703493</c:v>
                </c:pt>
                <c:pt idx="3">
                  <c:v>411.98113207547169</c:v>
                </c:pt>
                <c:pt idx="4">
                  <c:v>405.54511278195491</c:v>
                </c:pt>
              </c:numCache>
            </c:numRef>
          </c:val>
          <c:smooth val="0"/>
          <c:extLst>
            <c:ext xmlns:c16="http://schemas.microsoft.com/office/drawing/2014/chart" uri="{C3380CC4-5D6E-409C-BE32-E72D297353CC}">
              <c16:uniqueId val="{00000004-1374-4A6A-B173-7A3EF553F167}"/>
            </c:ext>
          </c:extLst>
        </c:ser>
        <c:ser>
          <c:idx val="9"/>
          <c:order val="4"/>
          <c:tx>
            <c:strRef>
              <c:f>Referrals!$AL$45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2014-15</c:v>
                </c:pt>
                <c:pt idx="1">
                  <c:v>2015-16</c:v>
                </c:pt>
                <c:pt idx="2">
                  <c:v>2016-17</c:v>
                </c:pt>
                <c:pt idx="3">
                  <c:v>2017-18</c:v>
                </c:pt>
                <c:pt idx="4">
                  <c:v>2018-19</c:v>
                </c:pt>
              </c:strCache>
            </c:strRef>
          </c:cat>
          <c:val>
            <c:numRef>
              <c:f>Referrals!$AM$45:$AQ$45</c:f>
              <c:numCache>
                <c:formatCode>0.0</c:formatCode>
                <c:ptCount val="5"/>
                <c:pt idx="0">
                  <c:v>594.99111900532853</c:v>
                </c:pt>
                <c:pt idx="1">
                  <c:v>591.20255409719766</c:v>
                </c:pt>
                <c:pt idx="2">
                  <c:v>687.23479490806221</c:v>
                </c:pt>
                <c:pt idx="3">
                  <c:v>568.83162725026466</c:v>
                </c:pt>
                <c:pt idx="4">
                  <c:v>648.16901408450701</c:v>
                </c:pt>
              </c:numCache>
            </c:numRef>
          </c:val>
          <c:smooth val="0"/>
          <c:extLst>
            <c:ext xmlns:c16="http://schemas.microsoft.com/office/drawing/2014/chart" uri="{C3380CC4-5D6E-409C-BE32-E72D297353CC}">
              <c16:uniqueId val="{00000005-1374-4A6A-B173-7A3EF553F167}"/>
            </c:ext>
          </c:extLst>
        </c:ser>
        <c:ser>
          <c:idx val="10"/>
          <c:order val="5"/>
          <c:tx>
            <c:strRef>
              <c:f>Referrals!$AL$46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2014-15</c:v>
                </c:pt>
                <c:pt idx="1">
                  <c:v>2015-16</c:v>
                </c:pt>
                <c:pt idx="2">
                  <c:v>2016-17</c:v>
                </c:pt>
                <c:pt idx="3">
                  <c:v>2017-18</c:v>
                </c:pt>
                <c:pt idx="4">
                  <c:v>2018-19</c:v>
                </c:pt>
              </c:strCache>
            </c:strRef>
          </c:cat>
          <c:val>
            <c:numRef>
              <c:f>Referrals!$AM$46:$AQ$46</c:f>
              <c:numCache>
                <c:formatCode>0.0</c:formatCode>
                <c:ptCount val="5"/>
                <c:pt idx="0">
                  <c:v>931.37254901960785</c:v>
                </c:pt>
                <c:pt idx="1">
                  <c:v>944.26877470355737</c:v>
                </c:pt>
                <c:pt idx="2">
                  <c:v>1036.9047619047619</c:v>
                </c:pt>
                <c:pt idx="3">
                  <c:v>881.27490039840632</c:v>
                </c:pt>
                <c:pt idx="4">
                  <c:v>973.49397590361446</c:v>
                </c:pt>
              </c:numCache>
            </c:numRef>
          </c:val>
          <c:smooth val="0"/>
          <c:extLst>
            <c:ext xmlns:c16="http://schemas.microsoft.com/office/drawing/2014/chart" uri="{C3380CC4-5D6E-409C-BE32-E72D297353CC}">
              <c16:uniqueId val="{00000006-1374-4A6A-B173-7A3EF553F167}"/>
            </c:ext>
          </c:extLst>
        </c:ser>
        <c:ser>
          <c:idx val="11"/>
          <c:order val="6"/>
          <c:tx>
            <c:strRef>
              <c:f>Referrals!$AL$47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2014-15</c:v>
                </c:pt>
                <c:pt idx="1">
                  <c:v>2015-16</c:v>
                </c:pt>
                <c:pt idx="2">
                  <c:v>2016-17</c:v>
                </c:pt>
                <c:pt idx="3">
                  <c:v>2017-18</c:v>
                </c:pt>
                <c:pt idx="4">
                  <c:v>2018-19</c:v>
                </c:pt>
              </c:strCache>
            </c:strRef>
          </c:cat>
          <c:val>
            <c:numRef>
              <c:f>Referrals!$AM$47:$AQ$47</c:f>
              <c:numCache>
                <c:formatCode>0.0</c:formatCode>
                <c:ptCount val="5"/>
                <c:pt idx="0">
                  <c:v>503.4724337496192</c:v>
                </c:pt>
                <c:pt idx="1">
                  <c:v>464.34624697336562</c:v>
                </c:pt>
                <c:pt idx="2">
                  <c:v>474.62462462462463</c:v>
                </c:pt>
                <c:pt idx="3">
                  <c:v>576.40583159773882</c:v>
                </c:pt>
                <c:pt idx="4">
                  <c:v>537.57718318141724</c:v>
                </c:pt>
              </c:numCache>
            </c:numRef>
          </c:val>
          <c:smooth val="0"/>
          <c:extLst>
            <c:ext xmlns:c16="http://schemas.microsoft.com/office/drawing/2014/chart" uri="{C3380CC4-5D6E-409C-BE32-E72D297353CC}">
              <c16:uniqueId val="{00000007-1374-4A6A-B173-7A3EF553F167}"/>
            </c:ext>
          </c:extLst>
        </c:ser>
        <c:ser>
          <c:idx val="12"/>
          <c:order val="7"/>
          <c:tx>
            <c:strRef>
              <c:f>Referrals!$AL$48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2014-15</c:v>
                </c:pt>
                <c:pt idx="1">
                  <c:v>2015-16</c:v>
                </c:pt>
                <c:pt idx="2">
                  <c:v>2016-17</c:v>
                </c:pt>
                <c:pt idx="3">
                  <c:v>2017-18</c:v>
                </c:pt>
                <c:pt idx="4">
                  <c:v>2018-19</c:v>
                </c:pt>
              </c:strCache>
            </c:strRef>
          </c:cat>
          <c:val>
            <c:numRef>
              <c:f>Referrals!$AM$48:$AQ$48</c:f>
              <c:numCache>
                <c:formatCode>0.0</c:formatCode>
                <c:ptCount val="5"/>
                <c:pt idx="0">
                  <c:v>492.79999999999995</c:v>
                </c:pt>
                <c:pt idx="1">
                  <c:v>532.91139240506334</c:v>
                </c:pt>
                <c:pt idx="2">
                  <c:v>428.88540031397173</c:v>
                </c:pt>
                <c:pt idx="3">
                  <c:v>408.76369327073553</c:v>
                </c:pt>
                <c:pt idx="4">
                  <c:v>625</c:v>
                </c:pt>
              </c:numCache>
            </c:numRef>
          </c:val>
          <c:smooth val="0"/>
          <c:extLst>
            <c:ext xmlns:c16="http://schemas.microsoft.com/office/drawing/2014/chart" uri="{C3380CC4-5D6E-409C-BE32-E72D297353CC}">
              <c16:uniqueId val="{00000008-1374-4A6A-B173-7A3EF553F167}"/>
            </c:ext>
          </c:extLst>
        </c:ser>
        <c:ser>
          <c:idx val="13"/>
          <c:order val="8"/>
          <c:tx>
            <c:strRef>
              <c:f>Referrals!$AL$49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2014-15</c:v>
                </c:pt>
                <c:pt idx="1">
                  <c:v>2015-16</c:v>
                </c:pt>
                <c:pt idx="2">
                  <c:v>2016-17</c:v>
                </c:pt>
                <c:pt idx="3">
                  <c:v>2017-18</c:v>
                </c:pt>
                <c:pt idx="4">
                  <c:v>2018-19</c:v>
                </c:pt>
              </c:strCache>
            </c:strRef>
          </c:cat>
          <c:val>
            <c:numRef>
              <c:f>Referrals!$AM$49:$AQ$49</c:f>
              <c:numCache>
                <c:formatCode>0.0</c:formatCode>
                <c:ptCount val="5"/>
                <c:pt idx="0">
                  <c:v>394.01840490797548</c:v>
                </c:pt>
                <c:pt idx="1">
                  <c:v>418.91074130105898</c:v>
                </c:pt>
                <c:pt idx="2">
                  <c:v>459.46348733233981</c:v>
                </c:pt>
                <c:pt idx="3">
                  <c:v>348.96449704142009</c:v>
                </c:pt>
                <c:pt idx="4">
                  <c:v>397.80380673499269</c:v>
                </c:pt>
              </c:numCache>
            </c:numRef>
          </c:val>
          <c:smooth val="0"/>
          <c:extLst>
            <c:ext xmlns:c16="http://schemas.microsoft.com/office/drawing/2014/chart" uri="{C3380CC4-5D6E-409C-BE32-E72D297353CC}">
              <c16:uniqueId val="{00000009-1374-4A6A-B173-7A3EF553F167}"/>
            </c:ext>
          </c:extLst>
        </c:ser>
        <c:ser>
          <c:idx val="15"/>
          <c:order val="9"/>
          <c:tx>
            <c:strRef>
              <c:f>Referrals!$AL$50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2014-15</c:v>
                </c:pt>
                <c:pt idx="1">
                  <c:v>2015-16</c:v>
                </c:pt>
                <c:pt idx="2">
                  <c:v>2016-17</c:v>
                </c:pt>
                <c:pt idx="3">
                  <c:v>2017-18</c:v>
                </c:pt>
                <c:pt idx="4">
                  <c:v>2018-19</c:v>
                </c:pt>
              </c:strCache>
            </c:strRef>
          </c:cat>
          <c:val>
            <c:numRef>
              <c:f>Referrals!$AM$50:$AQ$50</c:f>
              <c:numCache>
                <c:formatCode>0.0</c:formatCode>
                <c:ptCount val="5"/>
                <c:pt idx="0">
                  <c:v>401.06232294617564</c:v>
                </c:pt>
                <c:pt idx="1">
                  <c:v>476.02256699576873</c:v>
                </c:pt>
                <c:pt idx="2">
                  <c:v>494.47165850244926</c:v>
                </c:pt>
                <c:pt idx="3">
                  <c:v>475.17433751743374</c:v>
                </c:pt>
                <c:pt idx="4">
                  <c:v>468.16298342541438</c:v>
                </c:pt>
              </c:numCache>
            </c:numRef>
          </c:val>
          <c:smooth val="0"/>
          <c:extLst>
            <c:ext xmlns:c16="http://schemas.microsoft.com/office/drawing/2014/chart" uri="{C3380CC4-5D6E-409C-BE32-E72D297353CC}">
              <c16:uniqueId val="{0000000A-1374-4A6A-B173-7A3EF553F167}"/>
            </c:ext>
          </c:extLst>
        </c:ser>
        <c:ser>
          <c:idx val="16"/>
          <c:order val="10"/>
          <c:tx>
            <c:strRef>
              <c:f>Referrals!$AL$51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2014-15</c:v>
                </c:pt>
                <c:pt idx="1">
                  <c:v>2015-16</c:v>
                </c:pt>
                <c:pt idx="2">
                  <c:v>2016-17</c:v>
                </c:pt>
                <c:pt idx="3">
                  <c:v>2017-18</c:v>
                </c:pt>
                <c:pt idx="4">
                  <c:v>2018-19</c:v>
                </c:pt>
              </c:strCache>
            </c:strRef>
          </c:cat>
          <c:val>
            <c:numRef>
              <c:f>Referrals!$AM$51:$AQ$51</c:f>
              <c:numCache>
                <c:formatCode>0.0</c:formatCode>
                <c:ptCount val="5"/>
                <c:pt idx="0">
                  <c:v>442.62672811059912</c:v>
                </c:pt>
                <c:pt idx="1">
                  <c:v>477.85388127853878</c:v>
                </c:pt>
                <c:pt idx="2">
                  <c:v>565.22727272727275</c:v>
                </c:pt>
                <c:pt idx="3">
                  <c:v>643.66515837104066</c:v>
                </c:pt>
                <c:pt idx="4">
                  <c:v>646.36363636363626</c:v>
                </c:pt>
              </c:numCache>
            </c:numRef>
          </c:val>
          <c:smooth val="0"/>
          <c:extLst>
            <c:ext xmlns:c16="http://schemas.microsoft.com/office/drawing/2014/chart" uri="{C3380CC4-5D6E-409C-BE32-E72D297353CC}">
              <c16:uniqueId val="{0000000B-1374-4A6A-B173-7A3EF553F167}"/>
            </c:ext>
          </c:extLst>
        </c:ser>
        <c:ser>
          <c:idx val="17"/>
          <c:order val="11"/>
          <c:tx>
            <c:strRef>
              <c:f>Referrals!$AL$52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2014-15</c:v>
                </c:pt>
                <c:pt idx="1">
                  <c:v>2015-16</c:v>
                </c:pt>
                <c:pt idx="2">
                  <c:v>2016-17</c:v>
                </c:pt>
                <c:pt idx="3">
                  <c:v>2017-18</c:v>
                </c:pt>
                <c:pt idx="4">
                  <c:v>2018-19</c:v>
                </c:pt>
              </c:strCache>
            </c:strRef>
          </c:cat>
          <c:val>
            <c:numRef>
              <c:f>Referrals!$AM$52:$AQ$52</c:f>
              <c:numCache>
                <c:formatCode>0.0</c:formatCode>
                <c:ptCount val="5"/>
                <c:pt idx="0">
                  <c:v>466.01671309192204</c:v>
                </c:pt>
                <c:pt idx="1">
                  <c:v>845.60439560439556</c:v>
                </c:pt>
                <c:pt idx="2">
                  <c:v>892.62295081967216</c:v>
                </c:pt>
                <c:pt idx="3">
                  <c:v>708.35579514824803</c:v>
                </c:pt>
                <c:pt idx="4">
                  <c:v>738.27493261455527</c:v>
                </c:pt>
              </c:numCache>
            </c:numRef>
          </c:val>
          <c:smooth val="0"/>
          <c:extLst>
            <c:ext xmlns:c16="http://schemas.microsoft.com/office/drawing/2014/chart" uri="{C3380CC4-5D6E-409C-BE32-E72D297353CC}">
              <c16:uniqueId val="{0000000C-1374-4A6A-B173-7A3EF553F167}"/>
            </c:ext>
          </c:extLst>
        </c:ser>
        <c:ser>
          <c:idx val="19"/>
          <c:order val="12"/>
          <c:tx>
            <c:strRef>
              <c:f>Referrals!$AL$53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2014-15</c:v>
                </c:pt>
                <c:pt idx="1">
                  <c:v>2015-16</c:v>
                </c:pt>
                <c:pt idx="2">
                  <c:v>2016-17</c:v>
                </c:pt>
                <c:pt idx="3">
                  <c:v>2017-18</c:v>
                </c:pt>
                <c:pt idx="4">
                  <c:v>2018-19</c:v>
                </c:pt>
              </c:strCache>
            </c:strRef>
          </c:cat>
          <c:val>
            <c:numRef>
              <c:f>Referrals!$AM$53:$AQ$53</c:f>
              <c:numCache>
                <c:formatCode>0.0</c:formatCode>
                <c:ptCount val="5"/>
                <c:pt idx="0">
                  <c:v>571.92982456140351</c:v>
                </c:pt>
                <c:pt idx="1">
                  <c:v>683.25123152709364</c:v>
                </c:pt>
                <c:pt idx="2">
                  <c:v>1373.913043478261</c:v>
                </c:pt>
                <c:pt idx="3">
                  <c:v>377.01421800947867</c:v>
                </c:pt>
                <c:pt idx="4">
                  <c:v>464.87119437939111</c:v>
                </c:pt>
              </c:numCache>
            </c:numRef>
          </c:val>
          <c:smooth val="0"/>
          <c:extLst>
            <c:ext xmlns:c16="http://schemas.microsoft.com/office/drawing/2014/chart" uri="{C3380CC4-5D6E-409C-BE32-E72D297353CC}">
              <c16:uniqueId val="{0000000D-1374-4A6A-B173-7A3EF553F167}"/>
            </c:ext>
          </c:extLst>
        </c:ser>
        <c:ser>
          <c:idx val="3"/>
          <c:order val="13"/>
          <c:tx>
            <c:strRef>
              <c:f>Referrals!$AL$54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2014-15</c:v>
                </c:pt>
                <c:pt idx="1">
                  <c:v>2015-16</c:v>
                </c:pt>
                <c:pt idx="2">
                  <c:v>2016-17</c:v>
                </c:pt>
                <c:pt idx="3">
                  <c:v>2017-18</c:v>
                </c:pt>
                <c:pt idx="4">
                  <c:v>2018-19</c:v>
                </c:pt>
              </c:strCache>
            </c:strRef>
          </c:cat>
          <c:val>
            <c:numRef>
              <c:f>Referrals!$AM$54:$AQ$54</c:f>
              <c:numCache>
                <c:formatCode>0.0</c:formatCode>
                <c:ptCount val="5"/>
                <c:pt idx="0">
                  <c:v>513.40679522497703</c:v>
                </c:pt>
                <c:pt idx="1">
                  <c:v>378.47985347985349</c:v>
                </c:pt>
                <c:pt idx="2">
                  <c:v>435.46034639927075</c:v>
                </c:pt>
                <c:pt idx="3">
                  <c:v>469.11898274296095</c:v>
                </c:pt>
                <c:pt idx="4">
                  <c:v>345.98012646793137</c:v>
                </c:pt>
              </c:numCache>
            </c:numRef>
          </c:val>
          <c:smooth val="0"/>
          <c:extLst>
            <c:ext xmlns:c16="http://schemas.microsoft.com/office/drawing/2014/chart" uri="{C3380CC4-5D6E-409C-BE32-E72D297353CC}">
              <c16:uniqueId val="{0000000E-1374-4A6A-B173-7A3EF553F167}"/>
            </c:ext>
          </c:extLst>
        </c:ser>
        <c:ser>
          <c:idx val="20"/>
          <c:order val="14"/>
          <c:tx>
            <c:strRef>
              <c:f>Referrals!$AL$55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2014-15</c:v>
                </c:pt>
                <c:pt idx="1">
                  <c:v>2015-16</c:v>
                </c:pt>
                <c:pt idx="2">
                  <c:v>2016-17</c:v>
                </c:pt>
                <c:pt idx="3">
                  <c:v>2017-18</c:v>
                </c:pt>
                <c:pt idx="4">
                  <c:v>2018-19</c:v>
                </c:pt>
              </c:strCache>
            </c:strRef>
          </c:cat>
          <c:val>
            <c:numRef>
              <c:f>Referrals!$AM$55:$AQ$55</c:f>
              <c:numCache>
                <c:formatCode>0.0</c:formatCode>
                <c:ptCount val="5"/>
                <c:pt idx="0">
                  <c:v>1318.3127572016463</c:v>
                </c:pt>
                <c:pt idx="1">
                  <c:v>836.58536585365857</c:v>
                </c:pt>
                <c:pt idx="2">
                  <c:v>610.02004008016036</c:v>
                </c:pt>
                <c:pt idx="3">
                  <c:v>519.48310139165005</c:v>
                </c:pt>
                <c:pt idx="4">
                  <c:v>511.41732283464569</c:v>
                </c:pt>
              </c:numCache>
            </c:numRef>
          </c:val>
          <c:smooth val="0"/>
          <c:extLst>
            <c:ext xmlns:c16="http://schemas.microsoft.com/office/drawing/2014/chart" uri="{C3380CC4-5D6E-409C-BE32-E72D297353CC}">
              <c16:uniqueId val="{0000000F-1374-4A6A-B173-7A3EF553F167}"/>
            </c:ext>
          </c:extLst>
        </c:ser>
        <c:ser>
          <c:idx val="22"/>
          <c:order val="15"/>
          <c:tx>
            <c:strRef>
              <c:f>Referrals!$AL$56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2014-15</c:v>
                </c:pt>
                <c:pt idx="1">
                  <c:v>2015-16</c:v>
                </c:pt>
                <c:pt idx="2">
                  <c:v>2016-17</c:v>
                </c:pt>
                <c:pt idx="3">
                  <c:v>2017-18</c:v>
                </c:pt>
                <c:pt idx="4">
                  <c:v>2018-19</c:v>
                </c:pt>
              </c:strCache>
            </c:strRef>
          </c:cat>
          <c:val>
            <c:numRef>
              <c:f>Referrals!$AM$56:$AQ$56</c:f>
              <c:numCache>
                <c:formatCode>0.0</c:formatCode>
                <c:ptCount val="5"/>
                <c:pt idx="0">
                  <c:v>391.9481539670071</c:v>
                </c:pt>
                <c:pt idx="1">
                  <c:v>458.97035881435261</c:v>
                </c:pt>
                <c:pt idx="2">
                  <c:v>450.92664092664091</c:v>
                </c:pt>
                <c:pt idx="3">
                  <c:v>523.47291586630809</c:v>
                </c:pt>
                <c:pt idx="4">
                  <c:v>406.07101947308132</c:v>
                </c:pt>
              </c:numCache>
            </c:numRef>
          </c:val>
          <c:smooth val="0"/>
          <c:extLst>
            <c:ext xmlns:c16="http://schemas.microsoft.com/office/drawing/2014/chart" uri="{C3380CC4-5D6E-409C-BE32-E72D297353CC}">
              <c16:uniqueId val="{00000010-1374-4A6A-B173-7A3EF553F167}"/>
            </c:ext>
          </c:extLst>
        </c:ser>
        <c:ser>
          <c:idx val="7"/>
          <c:order val="16"/>
          <c:tx>
            <c:strRef>
              <c:f>Referrals!$AL$57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Referrals!$Z$2:$AD$3</c:f>
              <c:strCache>
                <c:ptCount val="5"/>
                <c:pt idx="0">
                  <c:v>2014-15</c:v>
                </c:pt>
                <c:pt idx="1">
                  <c:v>2015-16</c:v>
                </c:pt>
                <c:pt idx="2">
                  <c:v>2016-17</c:v>
                </c:pt>
                <c:pt idx="3">
                  <c:v>2017-18</c:v>
                </c:pt>
                <c:pt idx="4">
                  <c:v>2018-19</c:v>
                </c:pt>
              </c:strCache>
            </c:strRef>
          </c:cat>
          <c:val>
            <c:numRef>
              <c:f>Referrals!$AM$57:$AQ$57</c:f>
              <c:numCache>
                <c:formatCode>0.0</c:formatCode>
                <c:ptCount val="5"/>
                <c:pt idx="0">
                  <c:v>545.26748971193422</c:v>
                </c:pt>
                <c:pt idx="1">
                  <c:v>694.89795918367349</c:v>
                </c:pt>
                <c:pt idx="2">
                  <c:v>610.30303030303037</c:v>
                </c:pt>
                <c:pt idx="3">
                  <c:v>726.85370741482973</c:v>
                </c:pt>
                <c:pt idx="4">
                  <c:v>645.81673306772905</c:v>
                </c:pt>
              </c:numCache>
            </c:numRef>
          </c:val>
          <c:smooth val="0"/>
          <c:extLst>
            <c:ext xmlns:c16="http://schemas.microsoft.com/office/drawing/2014/chart" uri="{C3380CC4-5D6E-409C-BE32-E72D297353CC}">
              <c16:uniqueId val="{00000011-1374-4A6A-B173-7A3EF553F167}"/>
            </c:ext>
          </c:extLst>
        </c:ser>
        <c:ser>
          <c:idx val="8"/>
          <c:order val="17"/>
          <c:tx>
            <c:strRef>
              <c:f>Referrals!$AL$58</c:f>
              <c:strCache>
                <c:ptCount val="1"/>
                <c:pt idx="0">
                  <c:v>Torbay</c:v>
                </c:pt>
              </c:strCache>
            </c:strRef>
          </c:tx>
          <c:spPr>
            <a:ln w="15875"/>
          </c:spPr>
          <c:marker>
            <c:symbol val="circle"/>
            <c:size val="5"/>
            <c:spPr>
              <a:solidFill>
                <a:schemeClr val="accent3">
                  <a:lumMod val="20000"/>
                  <a:lumOff val="80000"/>
                </a:schemeClr>
              </a:solidFill>
            </c:spPr>
          </c:marker>
          <c:cat>
            <c:strRef>
              <c:f>Referrals!$Z$2:$AD$3</c:f>
              <c:strCache>
                <c:ptCount val="5"/>
                <c:pt idx="0">
                  <c:v>2014-15</c:v>
                </c:pt>
                <c:pt idx="1">
                  <c:v>2015-16</c:v>
                </c:pt>
                <c:pt idx="2">
                  <c:v>2016-17</c:v>
                </c:pt>
                <c:pt idx="3">
                  <c:v>2017-18</c:v>
                </c:pt>
                <c:pt idx="4">
                  <c:v>2018-19</c:v>
                </c:pt>
              </c:strCache>
            </c:strRef>
          </c:cat>
          <c:val>
            <c:numRef>
              <c:f>Referrals!$AM$58:$AQ$58</c:f>
              <c:numCache>
                <c:formatCode>0.0</c:formatCode>
                <c:ptCount val="5"/>
                <c:pt idx="0">
                  <c:v>850.19920318725099</c:v>
                </c:pt>
                <c:pt idx="1">
                  <c:v>788.8888888888888</c:v>
                </c:pt>
                <c:pt idx="2">
                  <c:v>636.22047244094483</c:v>
                </c:pt>
                <c:pt idx="3">
                  <c:v>710.6299212598426</c:v>
                </c:pt>
                <c:pt idx="4">
                  <c:v>695.27559055118104</c:v>
                </c:pt>
              </c:numCache>
            </c:numRef>
          </c:val>
          <c:smooth val="0"/>
          <c:extLst>
            <c:ext xmlns:c16="http://schemas.microsoft.com/office/drawing/2014/chart" uri="{C3380CC4-5D6E-409C-BE32-E72D297353CC}">
              <c16:uniqueId val="{00000012-1374-4A6A-B173-7A3EF553F167}"/>
            </c:ext>
          </c:extLst>
        </c:ser>
        <c:ser>
          <c:idx val="23"/>
          <c:order val="18"/>
          <c:tx>
            <c:strRef>
              <c:f>Referrals!$AL$59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2014-15</c:v>
                </c:pt>
                <c:pt idx="1">
                  <c:v>2015-16</c:v>
                </c:pt>
                <c:pt idx="2">
                  <c:v>2016-17</c:v>
                </c:pt>
                <c:pt idx="3">
                  <c:v>2017-18</c:v>
                </c:pt>
                <c:pt idx="4">
                  <c:v>2018-19</c:v>
                </c:pt>
              </c:strCache>
            </c:strRef>
          </c:cat>
          <c:val>
            <c:numRef>
              <c:f>Referrals!$AM$59:$AQ$59</c:f>
              <c:numCache>
                <c:formatCode>0.0</c:formatCode>
                <c:ptCount val="5"/>
                <c:pt idx="0">
                  <c:v>353.65168539325845</c:v>
                </c:pt>
                <c:pt idx="1">
                  <c:v>382.35294117647061</c:v>
                </c:pt>
                <c:pt idx="2">
                  <c:v>460.16713091922003</c:v>
                </c:pt>
                <c:pt idx="3">
                  <c:v>422.34636871508377</c:v>
                </c:pt>
                <c:pt idx="4">
                  <c:v>473.59550561797755</c:v>
                </c:pt>
              </c:numCache>
            </c:numRef>
          </c:val>
          <c:smooth val="0"/>
          <c:extLst>
            <c:ext xmlns:c16="http://schemas.microsoft.com/office/drawing/2014/chart" uri="{C3380CC4-5D6E-409C-BE32-E72D297353CC}">
              <c16:uniqueId val="{00000013-1374-4A6A-B173-7A3EF553F167}"/>
            </c:ext>
          </c:extLst>
        </c:ser>
        <c:ser>
          <c:idx val="24"/>
          <c:order val="19"/>
          <c:tx>
            <c:strRef>
              <c:f>Referrals!$AL$60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2014-15</c:v>
                </c:pt>
                <c:pt idx="1">
                  <c:v>2015-16</c:v>
                </c:pt>
                <c:pt idx="2">
                  <c:v>2016-17</c:v>
                </c:pt>
                <c:pt idx="3">
                  <c:v>2017-18</c:v>
                </c:pt>
                <c:pt idx="4">
                  <c:v>2018-19</c:v>
                </c:pt>
              </c:strCache>
            </c:strRef>
          </c:cat>
          <c:val>
            <c:numRef>
              <c:f>Referrals!$AM$60:$AQ$60</c:f>
              <c:numCache>
                <c:formatCode>0.0</c:formatCode>
                <c:ptCount val="5"/>
                <c:pt idx="0">
                  <c:v>409.7748815165877</c:v>
                </c:pt>
                <c:pt idx="1">
                  <c:v>478.11032863849766</c:v>
                </c:pt>
                <c:pt idx="2">
                  <c:v>508.78928987194411</c:v>
                </c:pt>
                <c:pt idx="3">
                  <c:v>576.74552798615116</c:v>
                </c:pt>
                <c:pt idx="4">
                  <c:v>543.21694333142534</c:v>
                </c:pt>
              </c:numCache>
            </c:numRef>
          </c:val>
          <c:smooth val="0"/>
          <c:extLst>
            <c:ext xmlns:c16="http://schemas.microsoft.com/office/drawing/2014/chart" uri="{C3380CC4-5D6E-409C-BE32-E72D297353CC}">
              <c16:uniqueId val="{00000014-1374-4A6A-B173-7A3EF553F167}"/>
            </c:ext>
          </c:extLst>
        </c:ser>
        <c:ser>
          <c:idx val="25"/>
          <c:order val="20"/>
          <c:tx>
            <c:strRef>
              <c:f>Referrals!$AL$61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2014-15</c:v>
                </c:pt>
                <c:pt idx="1">
                  <c:v>2015-16</c:v>
                </c:pt>
                <c:pt idx="2">
                  <c:v>2016-17</c:v>
                </c:pt>
                <c:pt idx="3">
                  <c:v>2017-18</c:v>
                </c:pt>
                <c:pt idx="4">
                  <c:v>2018-19</c:v>
                </c:pt>
              </c:strCache>
            </c:strRef>
          </c:cat>
          <c:val>
            <c:numRef>
              <c:f>Referrals!$AM$61:$AQ$61</c:f>
              <c:numCache>
                <c:formatCode>0.0</c:formatCode>
                <c:ptCount val="5"/>
                <c:pt idx="0">
                  <c:v>313.77245508982037</c:v>
                </c:pt>
                <c:pt idx="1">
                  <c:v>330.86053412462905</c:v>
                </c:pt>
                <c:pt idx="2">
                  <c:v>290.05847953216374</c:v>
                </c:pt>
                <c:pt idx="3">
                  <c:v>308.43023255813955</c:v>
                </c:pt>
                <c:pt idx="4">
                  <c:v>328.03468208092482</c:v>
                </c:pt>
              </c:numCache>
            </c:numRef>
          </c:val>
          <c:smooth val="0"/>
          <c:extLst>
            <c:ext xmlns:c16="http://schemas.microsoft.com/office/drawing/2014/chart" uri="{C3380CC4-5D6E-409C-BE32-E72D297353CC}">
              <c16:uniqueId val="{00000015-1374-4A6A-B173-7A3EF553F167}"/>
            </c:ext>
          </c:extLst>
        </c:ser>
        <c:ser>
          <c:idx val="26"/>
          <c:order val="21"/>
          <c:tx>
            <c:strRef>
              <c:f>Referrals!$AL$62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2014-15</c:v>
                </c:pt>
                <c:pt idx="1">
                  <c:v>2015-16</c:v>
                </c:pt>
                <c:pt idx="2">
                  <c:v>2016-17</c:v>
                </c:pt>
                <c:pt idx="3">
                  <c:v>2017-18</c:v>
                </c:pt>
                <c:pt idx="4">
                  <c:v>2018-19</c:v>
                </c:pt>
              </c:strCache>
            </c:strRef>
          </c:cat>
          <c:val>
            <c:numRef>
              <c:f>Referrals!$AM$62:$AQ$62</c:f>
              <c:numCache>
                <c:formatCode>0.0</c:formatCode>
                <c:ptCount val="5"/>
                <c:pt idx="0">
                  <c:v>268.29268292682929</c:v>
                </c:pt>
                <c:pt idx="1">
                  <c:v>303.21715817694371</c:v>
                </c:pt>
                <c:pt idx="2">
                  <c:v>238.68421052631581</c:v>
                </c:pt>
                <c:pt idx="3">
                  <c:v>354.26356589147287</c:v>
                </c:pt>
                <c:pt idx="4">
                  <c:v>431.64556962025313</c:v>
                </c:pt>
              </c:numCache>
            </c:numRef>
          </c:val>
          <c:smooth val="0"/>
          <c:extLst>
            <c:ext xmlns:c16="http://schemas.microsoft.com/office/drawing/2014/chart" uri="{C3380CC4-5D6E-409C-BE32-E72D297353CC}">
              <c16:uniqueId val="{00000016-1374-4A6A-B173-7A3EF553F167}"/>
            </c:ext>
          </c:extLst>
        </c:ser>
        <c:ser>
          <c:idx val="4"/>
          <c:order val="22"/>
          <c:tx>
            <c:strRef>
              <c:f>Referrals!$AL$63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2014-15</c:v>
                </c:pt>
                <c:pt idx="1">
                  <c:v>2015-16</c:v>
                </c:pt>
                <c:pt idx="2">
                  <c:v>2016-17</c:v>
                </c:pt>
                <c:pt idx="3">
                  <c:v>2017-18</c:v>
                </c:pt>
                <c:pt idx="4">
                  <c:v>2018-19</c:v>
                </c:pt>
              </c:strCache>
            </c:strRef>
          </c:cat>
          <c:val>
            <c:numRef>
              <c:f>Referrals!$AM$63:$AQ$63</c:f>
              <c:numCache>
                <c:formatCode>0.0</c:formatCode>
                <c:ptCount val="5"/>
                <c:pt idx="0">
                  <c:v>508.82167611846251</c:v>
                </c:pt>
                <c:pt idx="1">
                  <c:v>509.67102862207395</c:v>
                </c:pt>
                <c:pt idx="2">
                  <c:v>554.13584398117018</c:v>
                </c:pt>
                <c:pt idx="3">
                  <c:v>548.33067544626783</c:v>
                </c:pt>
                <c:pt idx="4">
                  <c:v>535.86390109328704</c:v>
                </c:pt>
              </c:numCache>
            </c:numRef>
          </c:val>
          <c:smooth val="0"/>
          <c:extLst>
            <c:ext xmlns:c16="http://schemas.microsoft.com/office/drawing/2014/chart" uri="{C3380CC4-5D6E-409C-BE32-E72D297353CC}">
              <c16:uniqueId val="{00000017-1374-4A6A-B173-7A3EF553F167}"/>
            </c:ext>
          </c:extLst>
        </c:ser>
        <c:ser>
          <c:idx val="14"/>
          <c:order val="23"/>
          <c:tx>
            <c:strRef>
              <c:f>Referrals!$AL$64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Referrals!$Z$2:$AD$3</c:f>
              <c:strCache>
                <c:ptCount val="5"/>
                <c:pt idx="0">
                  <c:v>2014-15</c:v>
                </c:pt>
                <c:pt idx="1">
                  <c:v>2015-16</c:v>
                </c:pt>
                <c:pt idx="2">
                  <c:v>2016-17</c:v>
                </c:pt>
                <c:pt idx="3">
                  <c:v>2017-18</c:v>
                </c:pt>
                <c:pt idx="4">
                  <c:v>2018-19</c:v>
                </c:pt>
              </c:strCache>
            </c:strRef>
          </c:cat>
          <c:val>
            <c:numRef>
              <c:f>Referrals!$AM$64:$AQ$64</c:f>
              <c:numCache>
                <c:formatCode>0.0</c:formatCode>
                <c:ptCount val="5"/>
                <c:pt idx="0">
                  <c:v>548.32336930734925</c:v>
                </c:pt>
                <c:pt idx="1">
                  <c:v>532.17616180991445</c:v>
                </c:pt>
                <c:pt idx="2">
                  <c:v>548.24230185061049</c:v>
                </c:pt>
                <c:pt idx="3">
                  <c:v>552.48167186314993</c:v>
                </c:pt>
                <c:pt idx="4">
                  <c:v>544.50169809111139</c:v>
                </c:pt>
              </c:numCache>
            </c:numRef>
          </c:val>
          <c:smooth val="0"/>
          <c:extLst>
            <c:ext xmlns:c16="http://schemas.microsoft.com/office/drawing/2014/chart" uri="{C3380CC4-5D6E-409C-BE32-E72D297353CC}">
              <c16:uniqueId val="{00000018-1374-4A6A-B173-7A3EF553F167}"/>
            </c:ext>
          </c:extLst>
        </c:ser>
        <c:ser>
          <c:idx val="6"/>
          <c:order val="24"/>
          <c:tx>
            <c:strRef>
              <c:f>Referrals!$AL$65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2014-15</c:v>
                </c:pt>
                <c:pt idx="1">
                  <c:v>2015-16</c:v>
                </c:pt>
                <c:pt idx="2">
                  <c:v>2016-17</c:v>
                </c:pt>
                <c:pt idx="3">
                  <c:v>2017-18</c:v>
                </c:pt>
                <c:pt idx="4">
                  <c:v>2018-19</c:v>
                </c:pt>
              </c:strCache>
            </c:strRef>
          </c:cat>
          <c:val>
            <c:numRef>
              <c:f>Referrals!$AM$65:$AQ$65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1374-4A6A-B173-7A3EF553F167}"/>
            </c:ext>
          </c:extLst>
        </c:ser>
        <c:dLbls>
          <c:showLegendKey val="0"/>
          <c:showVal val="0"/>
          <c:showCatName val="0"/>
          <c:showSerName val="0"/>
          <c:showPercent val="0"/>
          <c:showBubbleSize val="0"/>
        </c:dLbls>
        <c:marker val="1"/>
        <c:smooth val="0"/>
        <c:axId val="517869568"/>
        <c:axId val="517872640"/>
      </c:lineChart>
      <c:catAx>
        <c:axId val="517869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7872640"/>
        <c:crosses val="autoZero"/>
        <c:auto val="1"/>
        <c:lblAlgn val="ctr"/>
        <c:lblOffset val="100"/>
        <c:tickLblSkip val="1"/>
        <c:tickMarkSkip val="1"/>
        <c:noMultiLvlLbl val="0"/>
      </c:catAx>
      <c:valAx>
        <c:axId val="5178726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1786956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barChart>
        <c:barDir val="bar"/>
        <c:grouping val="clustered"/>
        <c:varyColors val="0"/>
        <c:ser>
          <c:idx val="0"/>
          <c:order val="0"/>
          <c:tx>
            <c:strRef>
              <c:f>Referral_Source!$D$40</c:f>
              <c:strCache>
                <c:ptCount val="1"/>
                <c:pt idx="0">
                  <c:v>Individual</c:v>
                </c:pt>
              </c:strCache>
            </c:strRef>
          </c:tx>
          <c:spPr>
            <a:solidFill>
              <a:schemeClr val="bg1">
                <a:lumMod val="65000"/>
              </a:schemeClr>
            </a:solidFill>
            <a:ln>
              <a:noFill/>
            </a:ln>
          </c:spPr>
          <c:invertIfNegative val="0"/>
          <c:cat>
            <c:strRef>
              <c:f>Referral_Source!$B$41:$B$64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Referral_Source!$V$41:$V$64</c:f>
              <c:numCache>
                <c:formatCode>0.0</c:formatCode>
                <c:ptCount val="24"/>
                <c:pt idx="0">
                  <c:v>0</c:v>
                </c:pt>
                <c:pt idx="1">
                  <c:v>21.611608521148504</c:v>
                </c:pt>
                <c:pt idx="2">
                  <c:v>0.15706806282722513</c:v>
                </c:pt>
                <c:pt idx="3">
                  <c:v>0.50984936268829661</c:v>
                </c:pt>
                <c:pt idx="4">
                  <c:v>1.4435479444535926</c:v>
                </c:pt>
                <c:pt idx="5">
                  <c:v>2.5781910397295009</c:v>
                </c:pt>
                <c:pt idx="6">
                  <c:v>1.08844281573046</c:v>
                </c:pt>
                <c:pt idx="7">
                  <c:v>1.9627329192546585</c:v>
                </c:pt>
                <c:pt idx="8">
                  <c:v>0</c:v>
                </c:pt>
                <c:pt idx="9">
                  <c:v>11.255347396371146</c:v>
                </c:pt>
                <c:pt idx="10">
                  <c:v>0</c:v>
                </c:pt>
                <c:pt idx="11">
                  <c:v>0</c:v>
                </c:pt>
                <c:pt idx="12">
                  <c:v>0</c:v>
                </c:pt>
                <c:pt idx="13">
                  <c:v>0.92807424593967514</c:v>
                </c:pt>
                <c:pt idx="14">
                  <c:v>0</c:v>
                </c:pt>
                <c:pt idx="15">
                  <c:v>1.1862396204033214</c:v>
                </c:pt>
                <c:pt idx="16">
                  <c:v>4.1306638566912541</c:v>
                </c:pt>
                <c:pt idx="17">
                  <c:v>4.4052863436123353</c:v>
                </c:pt>
                <c:pt idx="18">
                  <c:v>1.8768328445747802</c:v>
                </c:pt>
                <c:pt idx="19">
                  <c:v>0.18276762402088773</c:v>
                </c:pt>
                <c:pt idx="20">
                  <c:v>5.3979025293028995</c:v>
                </c:pt>
                <c:pt idx="21">
                  <c:v>1.9351166761525329</c:v>
                </c:pt>
                <c:pt idx="22">
                  <c:v>2.3630065189829188</c:v>
                </c:pt>
                <c:pt idx="23">
                  <c:v>1.6484360597308425</c:v>
                </c:pt>
              </c:numCache>
            </c:numRef>
          </c:val>
          <c:extLst>
            <c:ext xmlns:c16="http://schemas.microsoft.com/office/drawing/2014/chart" uri="{C3380CC4-5D6E-409C-BE32-E72D297353CC}">
              <c16:uniqueId val="{00000000-BE91-4FC3-BF3C-69E352DAE010}"/>
            </c:ext>
          </c:extLst>
        </c:ser>
        <c:dLbls>
          <c:showLegendKey val="0"/>
          <c:showVal val="0"/>
          <c:showCatName val="0"/>
          <c:showSerName val="0"/>
          <c:showPercent val="0"/>
          <c:showBubbleSize val="0"/>
        </c:dLbls>
        <c:gapWidth val="40"/>
        <c:axId val="642241664"/>
        <c:axId val="642243200"/>
      </c:barChart>
      <c:catAx>
        <c:axId val="642241664"/>
        <c:scaling>
          <c:orientation val="maxMin"/>
        </c:scaling>
        <c:delete val="1"/>
        <c:axPos val="l"/>
        <c:numFmt formatCode="General" sourceLinked="0"/>
        <c:majorTickMark val="out"/>
        <c:minorTickMark val="none"/>
        <c:tickLblPos val="nextTo"/>
        <c:crossAx val="642243200"/>
        <c:crosses val="autoZero"/>
        <c:auto val="1"/>
        <c:lblAlgn val="ctr"/>
        <c:lblOffset val="100"/>
        <c:noMultiLvlLbl val="0"/>
      </c:catAx>
      <c:valAx>
        <c:axId val="642243200"/>
        <c:scaling>
          <c:orientation val="minMax"/>
        </c:scaling>
        <c:delete val="1"/>
        <c:axPos val="b"/>
        <c:majorGridlines/>
        <c:numFmt formatCode="0.0" sourceLinked="1"/>
        <c:majorTickMark val="out"/>
        <c:minorTickMark val="none"/>
        <c:tickLblPos val="nextTo"/>
        <c:crossAx val="642241664"/>
        <c:crosses val="max"/>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'Re-referrals'!$AL$41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C1F-4799-8317-23D2EB93959F}"/>
              </c:ext>
            </c:extLst>
          </c:dPt>
          <c:cat>
            <c:strRef>
              <c:f>'Re-referrals'!$Z$2:$AD$3</c:f>
              <c:strCache>
                <c:ptCount val="5"/>
                <c:pt idx="0">
                  <c:v>2014-15</c:v>
                </c:pt>
                <c:pt idx="1">
                  <c:v>2015-16</c:v>
                </c:pt>
                <c:pt idx="2">
                  <c:v>2016-17</c:v>
                </c:pt>
                <c:pt idx="3">
                  <c:v>2017-18</c:v>
                </c:pt>
                <c:pt idx="4">
                  <c:v>2018-19</c:v>
                </c:pt>
              </c:strCache>
            </c:strRef>
          </c:cat>
          <c:val>
            <c:numRef>
              <c:f>'Re-referrals'!$AM$41:$AQ$41</c:f>
              <c:numCache>
                <c:formatCode>0.0</c:formatCode>
                <c:ptCount val="5"/>
                <c:pt idx="0">
                  <c:v>78.057553956834539</c:v>
                </c:pt>
                <c:pt idx="1">
                  <c:v>79.787234042553166</c:v>
                </c:pt>
                <c:pt idx="2">
                  <c:v>137.2340425531915</c:v>
                </c:pt>
                <c:pt idx="3">
                  <c:v>152.31316725978647</c:v>
                </c:pt>
                <c:pt idx="4">
                  <c:v>217.66784452296818</c:v>
                </c:pt>
              </c:numCache>
            </c:numRef>
          </c:val>
          <c:smooth val="0"/>
          <c:extLst>
            <c:ext xmlns:c16="http://schemas.microsoft.com/office/drawing/2014/chart" uri="{C3380CC4-5D6E-409C-BE32-E72D297353CC}">
              <c16:uniqueId val="{00000001-AC1F-4799-8317-23D2EB93959F}"/>
            </c:ext>
          </c:extLst>
        </c:ser>
        <c:ser>
          <c:idx val="1"/>
          <c:order val="1"/>
          <c:tx>
            <c:strRef>
              <c:f>'Re-referrals'!$AL$42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'Re-referrals'!$Z$2:$AD$3</c:f>
              <c:strCache>
                <c:ptCount val="5"/>
                <c:pt idx="0">
                  <c:v>2014-15</c:v>
                </c:pt>
                <c:pt idx="1">
                  <c:v>2015-16</c:v>
                </c:pt>
                <c:pt idx="2">
                  <c:v>2016-17</c:v>
                </c:pt>
                <c:pt idx="3">
                  <c:v>2017-18</c:v>
                </c:pt>
                <c:pt idx="4">
                  <c:v>2018-19</c:v>
                </c:pt>
              </c:strCache>
            </c:strRef>
          </c:cat>
          <c:val>
            <c:numRef>
              <c:f>'Re-referrals'!$AM$42:$AQ$42</c:f>
              <c:numCache>
                <c:formatCode>0.0</c:formatCode>
                <c:ptCount val="5"/>
                <c:pt idx="0">
                  <c:v>519.41176470588221</c:v>
                </c:pt>
                <c:pt idx="1">
                  <c:v>215.03906250000014</c:v>
                </c:pt>
                <c:pt idx="2">
                  <c:v>163.93762183235867</c:v>
                </c:pt>
                <c:pt idx="3">
                  <c:v>185.68627450980392</c:v>
                </c:pt>
                <c:pt idx="4">
                  <c:v>155.88235294117646</c:v>
                </c:pt>
              </c:numCache>
            </c:numRef>
          </c:val>
          <c:smooth val="0"/>
          <c:extLst>
            <c:ext xmlns:c16="http://schemas.microsoft.com/office/drawing/2014/chart" uri="{C3380CC4-5D6E-409C-BE32-E72D297353CC}">
              <c16:uniqueId val="{00000002-AC1F-4799-8317-23D2EB93959F}"/>
            </c:ext>
          </c:extLst>
        </c:ser>
        <c:ser>
          <c:idx val="2"/>
          <c:order val="2"/>
          <c:tx>
            <c:strRef>
              <c:f>'Re-referrals'!$AL$43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'Re-referrals'!$Z$2:$AD$3</c:f>
              <c:strCache>
                <c:ptCount val="5"/>
                <c:pt idx="0">
                  <c:v>2014-15</c:v>
                </c:pt>
                <c:pt idx="1">
                  <c:v>2015-16</c:v>
                </c:pt>
                <c:pt idx="2">
                  <c:v>2016-17</c:v>
                </c:pt>
                <c:pt idx="3">
                  <c:v>2017-18</c:v>
                </c:pt>
                <c:pt idx="4">
                  <c:v>2018-19</c:v>
                </c:pt>
              </c:strCache>
            </c:strRef>
          </c:cat>
          <c:val>
            <c:numRef>
              <c:f>'Re-referrals'!$AM$43:$AQ$43</c:f>
              <c:numCache>
                <c:formatCode>0.0</c:formatCode>
                <c:ptCount val="5"/>
                <c:pt idx="0">
                  <c:v>117.57779646761976</c:v>
                </c:pt>
                <c:pt idx="1">
                  <c:v>152.65339966832482</c:v>
                </c:pt>
                <c:pt idx="2">
                  <c:v>247.87234042553192</c:v>
                </c:pt>
                <c:pt idx="3">
                  <c:v>261.33225020308691</c:v>
                </c:pt>
                <c:pt idx="4">
                  <c:v>195.01206757843926</c:v>
                </c:pt>
              </c:numCache>
            </c:numRef>
          </c:val>
          <c:smooth val="0"/>
          <c:extLst>
            <c:ext xmlns:c16="http://schemas.microsoft.com/office/drawing/2014/chart" uri="{C3380CC4-5D6E-409C-BE32-E72D297353CC}">
              <c16:uniqueId val="{00000003-AC1F-4799-8317-23D2EB93959F}"/>
            </c:ext>
          </c:extLst>
        </c:ser>
        <c:ser>
          <c:idx val="5"/>
          <c:order val="3"/>
          <c:tx>
            <c:strRef>
              <c:f>'Re-referrals'!$AL$44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'Re-referrals'!$Z$2:$AD$3</c:f>
              <c:strCache>
                <c:ptCount val="5"/>
                <c:pt idx="0">
                  <c:v>2014-15</c:v>
                </c:pt>
                <c:pt idx="1">
                  <c:v>2015-16</c:v>
                </c:pt>
                <c:pt idx="2">
                  <c:v>2016-17</c:v>
                </c:pt>
                <c:pt idx="3">
                  <c:v>2017-18</c:v>
                </c:pt>
                <c:pt idx="4">
                  <c:v>2018-19</c:v>
                </c:pt>
              </c:strCache>
            </c:strRef>
          </c:cat>
          <c:val>
            <c:numRef>
              <c:f>'Re-referrals'!$AM$44:$AQ$44</c:f>
              <c:numCache>
                <c:formatCode>0.0</c:formatCode>
                <c:ptCount val="5"/>
                <c:pt idx="0">
                  <c:v>89.184060721062608</c:v>
                </c:pt>
                <c:pt idx="1">
                  <c:v>43.909348441926362</c:v>
                </c:pt>
                <c:pt idx="2">
                  <c:v>51.652502360717662</c:v>
                </c:pt>
                <c:pt idx="3">
                  <c:v>72.830188679245282</c:v>
                </c:pt>
                <c:pt idx="4">
                  <c:v>76.597744360902254</c:v>
                </c:pt>
              </c:numCache>
            </c:numRef>
          </c:val>
          <c:smooth val="0"/>
          <c:extLst>
            <c:ext xmlns:c16="http://schemas.microsoft.com/office/drawing/2014/chart" uri="{C3380CC4-5D6E-409C-BE32-E72D297353CC}">
              <c16:uniqueId val="{00000004-AC1F-4799-8317-23D2EB93959F}"/>
            </c:ext>
          </c:extLst>
        </c:ser>
        <c:ser>
          <c:idx val="9"/>
          <c:order val="4"/>
          <c:tx>
            <c:strRef>
              <c:f>'Re-referrals'!$AL$45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'Re-referrals'!$Z$2:$AD$3</c:f>
              <c:strCache>
                <c:ptCount val="5"/>
                <c:pt idx="0">
                  <c:v>2014-15</c:v>
                </c:pt>
                <c:pt idx="1">
                  <c:v>2015-16</c:v>
                </c:pt>
                <c:pt idx="2">
                  <c:v>2016-17</c:v>
                </c:pt>
                <c:pt idx="3">
                  <c:v>2017-18</c:v>
                </c:pt>
                <c:pt idx="4">
                  <c:v>2018-19</c:v>
                </c:pt>
              </c:strCache>
            </c:strRef>
          </c:cat>
          <c:val>
            <c:numRef>
              <c:f>'Re-referrals'!$AM$45:$AQ$45</c:f>
              <c:numCache>
                <c:formatCode>0.0</c:formatCode>
                <c:ptCount val="5"/>
                <c:pt idx="0">
                  <c:v>189.16518650088807</c:v>
                </c:pt>
                <c:pt idx="1">
                  <c:v>166.54842142603761</c:v>
                </c:pt>
                <c:pt idx="2">
                  <c:v>210.96181046676097</c:v>
                </c:pt>
                <c:pt idx="3">
                  <c:v>168.44334627603246</c:v>
                </c:pt>
                <c:pt idx="4">
                  <c:v>188.69718309859155</c:v>
                </c:pt>
              </c:numCache>
            </c:numRef>
          </c:val>
          <c:smooth val="0"/>
          <c:extLst>
            <c:ext xmlns:c16="http://schemas.microsoft.com/office/drawing/2014/chart" uri="{C3380CC4-5D6E-409C-BE32-E72D297353CC}">
              <c16:uniqueId val="{00000005-AC1F-4799-8317-23D2EB93959F}"/>
            </c:ext>
          </c:extLst>
        </c:ser>
        <c:ser>
          <c:idx val="10"/>
          <c:order val="5"/>
          <c:tx>
            <c:strRef>
              <c:f>'Re-referrals'!$AL$46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'Re-referrals'!$Z$2:$AD$3</c:f>
              <c:strCache>
                <c:ptCount val="5"/>
                <c:pt idx="0">
                  <c:v>2014-15</c:v>
                </c:pt>
                <c:pt idx="1">
                  <c:v>2015-16</c:v>
                </c:pt>
                <c:pt idx="2">
                  <c:v>2016-17</c:v>
                </c:pt>
                <c:pt idx="3">
                  <c:v>2017-18</c:v>
                </c:pt>
                <c:pt idx="4">
                  <c:v>2018-19</c:v>
                </c:pt>
              </c:strCache>
            </c:strRef>
          </c:cat>
          <c:val>
            <c:numRef>
              <c:f>'Re-referrals'!$AM$46:$AQ$46</c:f>
              <c:numCache>
                <c:formatCode>0.0</c:formatCode>
                <c:ptCount val="5"/>
                <c:pt idx="0">
                  <c:v>321.96078431372536</c:v>
                </c:pt>
                <c:pt idx="1">
                  <c:v>310.67193675889325</c:v>
                </c:pt>
                <c:pt idx="2">
                  <c:v>314.28571428571433</c:v>
                </c:pt>
                <c:pt idx="3">
                  <c:v>270.51792828685257</c:v>
                </c:pt>
                <c:pt idx="4">
                  <c:v>332.1285140562249</c:v>
                </c:pt>
              </c:numCache>
            </c:numRef>
          </c:val>
          <c:smooth val="0"/>
          <c:extLst>
            <c:ext xmlns:c16="http://schemas.microsoft.com/office/drawing/2014/chart" uri="{C3380CC4-5D6E-409C-BE32-E72D297353CC}">
              <c16:uniqueId val="{00000006-AC1F-4799-8317-23D2EB93959F}"/>
            </c:ext>
          </c:extLst>
        </c:ser>
        <c:ser>
          <c:idx val="11"/>
          <c:order val="6"/>
          <c:tx>
            <c:strRef>
              <c:f>'Re-referrals'!$AL$47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'Re-referrals'!$Z$2:$AD$3</c:f>
              <c:strCache>
                <c:ptCount val="5"/>
                <c:pt idx="0">
                  <c:v>2014-15</c:v>
                </c:pt>
                <c:pt idx="1">
                  <c:v>2015-16</c:v>
                </c:pt>
                <c:pt idx="2">
                  <c:v>2016-17</c:v>
                </c:pt>
                <c:pt idx="3">
                  <c:v>2017-18</c:v>
                </c:pt>
                <c:pt idx="4">
                  <c:v>2018-19</c:v>
                </c:pt>
              </c:strCache>
            </c:strRef>
          </c:cat>
          <c:val>
            <c:numRef>
              <c:f>'Re-referrals'!$AM$47:$AQ$47</c:f>
              <c:numCache>
                <c:formatCode>0.0</c:formatCode>
                <c:ptCount val="5"/>
                <c:pt idx="0">
                  <c:v>142.64392324093816</c:v>
                </c:pt>
                <c:pt idx="1">
                  <c:v>96.761501210653833</c:v>
                </c:pt>
                <c:pt idx="2">
                  <c:v>109.18918918918918</c:v>
                </c:pt>
                <c:pt idx="3">
                  <c:v>133.05563820291582</c:v>
                </c:pt>
                <c:pt idx="4">
                  <c:v>140.31167303734196</c:v>
                </c:pt>
              </c:numCache>
            </c:numRef>
          </c:val>
          <c:smooth val="0"/>
          <c:extLst>
            <c:ext xmlns:c16="http://schemas.microsoft.com/office/drawing/2014/chart" uri="{C3380CC4-5D6E-409C-BE32-E72D297353CC}">
              <c16:uniqueId val="{00000007-AC1F-4799-8317-23D2EB93959F}"/>
            </c:ext>
          </c:extLst>
        </c:ser>
        <c:ser>
          <c:idx val="12"/>
          <c:order val="7"/>
          <c:tx>
            <c:strRef>
              <c:f>'Re-referrals'!$AL$48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'Re-referrals'!$Z$2:$AD$3</c:f>
              <c:strCache>
                <c:ptCount val="5"/>
                <c:pt idx="0">
                  <c:v>2014-15</c:v>
                </c:pt>
                <c:pt idx="1">
                  <c:v>2015-16</c:v>
                </c:pt>
                <c:pt idx="2">
                  <c:v>2016-17</c:v>
                </c:pt>
                <c:pt idx="3">
                  <c:v>2017-18</c:v>
                </c:pt>
                <c:pt idx="4">
                  <c:v>2018-19</c:v>
                </c:pt>
              </c:strCache>
            </c:strRef>
          </c:cat>
          <c:val>
            <c:numRef>
              <c:f>'Re-referrals'!$AM$48:$AQ$48</c:f>
              <c:numCache>
                <c:formatCode>0.0</c:formatCode>
                <c:ptCount val="5"/>
                <c:pt idx="0">
                  <c:v>98.399999999999949</c:v>
                </c:pt>
                <c:pt idx="1">
                  <c:v>87.974683544303801</c:v>
                </c:pt>
                <c:pt idx="2">
                  <c:v>75.510204081632651</c:v>
                </c:pt>
                <c:pt idx="3">
                  <c:v>69.483568075117375</c:v>
                </c:pt>
                <c:pt idx="4">
                  <c:v>89.440993788819867</c:v>
                </c:pt>
              </c:numCache>
            </c:numRef>
          </c:val>
          <c:smooth val="0"/>
          <c:extLst>
            <c:ext xmlns:c16="http://schemas.microsoft.com/office/drawing/2014/chart" uri="{C3380CC4-5D6E-409C-BE32-E72D297353CC}">
              <c16:uniqueId val="{00000008-AC1F-4799-8317-23D2EB93959F}"/>
            </c:ext>
          </c:extLst>
        </c:ser>
        <c:ser>
          <c:idx val="13"/>
          <c:order val="8"/>
          <c:tx>
            <c:strRef>
              <c:f>'Re-referrals'!$AL$49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'Re-referrals'!$Z$2:$AD$3</c:f>
              <c:strCache>
                <c:ptCount val="5"/>
                <c:pt idx="0">
                  <c:v>2014-15</c:v>
                </c:pt>
                <c:pt idx="1">
                  <c:v>2015-16</c:v>
                </c:pt>
                <c:pt idx="2">
                  <c:v>2016-17</c:v>
                </c:pt>
                <c:pt idx="3">
                  <c:v>2017-18</c:v>
                </c:pt>
                <c:pt idx="4">
                  <c:v>2018-19</c:v>
                </c:pt>
              </c:strCache>
            </c:strRef>
          </c:cat>
          <c:val>
            <c:numRef>
              <c:f>'Re-referrals'!$AM$49:$AQ$49</c:f>
              <c:numCache>
                <c:formatCode>0.0</c:formatCode>
                <c:ptCount val="5"/>
                <c:pt idx="0">
                  <c:v>91.25766871165645</c:v>
                </c:pt>
                <c:pt idx="1">
                  <c:v>87.745839636913772</c:v>
                </c:pt>
                <c:pt idx="2">
                  <c:v>87.630402384500755</c:v>
                </c:pt>
                <c:pt idx="3">
                  <c:v>71.745562130177518</c:v>
                </c:pt>
                <c:pt idx="4">
                  <c:v>78.916544655929712</c:v>
                </c:pt>
              </c:numCache>
            </c:numRef>
          </c:val>
          <c:smooth val="0"/>
          <c:extLst>
            <c:ext xmlns:c16="http://schemas.microsoft.com/office/drawing/2014/chart" uri="{C3380CC4-5D6E-409C-BE32-E72D297353CC}">
              <c16:uniqueId val="{00000009-AC1F-4799-8317-23D2EB93959F}"/>
            </c:ext>
          </c:extLst>
        </c:ser>
        <c:ser>
          <c:idx val="15"/>
          <c:order val="9"/>
          <c:tx>
            <c:strRef>
              <c:f>'Re-referrals'!$AL$50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'Re-referrals'!$Z$2:$AD$3</c:f>
              <c:strCache>
                <c:ptCount val="5"/>
                <c:pt idx="0">
                  <c:v>2014-15</c:v>
                </c:pt>
                <c:pt idx="1">
                  <c:v>2015-16</c:v>
                </c:pt>
                <c:pt idx="2">
                  <c:v>2016-17</c:v>
                </c:pt>
                <c:pt idx="3">
                  <c:v>2017-18</c:v>
                </c:pt>
                <c:pt idx="4">
                  <c:v>2018-19</c:v>
                </c:pt>
              </c:strCache>
            </c:strRef>
          </c:cat>
          <c:val>
            <c:numRef>
              <c:f>'Re-referrals'!$AM$50:$AQ$50</c:f>
              <c:numCache>
                <c:formatCode>0.0</c:formatCode>
                <c:ptCount val="5"/>
                <c:pt idx="0">
                  <c:v>97.521246458923528</c:v>
                </c:pt>
                <c:pt idx="1">
                  <c:v>120.73342736248237</c:v>
                </c:pt>
                <c:pt idx="2">
                  <c:v>98.320503848845348</c:v>
                </c:pt>
                <c:pt idx="3">
                  <c:v>88.423988842398899</c:v>
                </c:pt>
                <c:pt idx="4">
                  <c:v>85.635359116022087</c:v>
                </c:pt>
              </c:numCache>
            </c:numRef>
          </c:val>
          <c:smooth val="0"/>
          <c:extLst>
            <c:ext xmlns:c16="http://schemas.microsoft.com/office/drawing/2014/chart" uri="{C3380CC4-5D6E-409C-BE32-E72D297353CC}">
              <c16:uniqueId val="{0000000A-AC1F-4799-8317-23D2EB93959F}"/>
            </c:ext>
          </c:extLst>
        </c:ser>
        <c:ser>
          <c:idx val="16"/>
          <c:order val="10"/>
          <c:tx>
            <c:strRef>
              <c:f>'Re-referrals'!$AL$51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'Re-referrals'!$Z$2:$AD$3</c:f>
              <c:strCache>
                <c:ptCount val="5"/>
                <c:pt idx="0">
                  <c:v>2014-15</c:v>
                </c:pt>
                <c:pt idx="1">
                  <c:v>2015-16</c:v>
                </c:pt>
                <c:pt idx="2">
                  <c:v>2016-17</c:v>
                </c:pt>
                <c:pt idx="3">
                  <c:v>2017-18</c:v>
                </c:pt>
                <c:pt idx="4">
                  <c:v>2018-19</c:v>
                </c:pt>
              </c:strCache>
            </c:strRef>
          </c:cat>
          <c:val>
            <c:numRef>
              <c:f>'Re-referrals'!$AM$51:$AQ$51</c:f>
              <c:numCache>
                <c:formatCode>0.0</c:formatCode>
                <c:ptCount val="5"/>
                <c:pt idx="0">
                  <c:v>87.557603686635858</c:v>
                </c:pt>
                <c:pt idx="1">
                  <c:v>92.922374429223723</c:v>
                </c:pt>
                <c:pt idx="2">
                  <c:v>146.59090909090909</c:v>
                </c:pt>
                <c:pt idx="3">
                  <c:v>146.38009049773754</c:v>
                </c:pt>
                <c:pt idx="4">
                  <c:v>165.68181818181819</c:v>
                </c:pt>
              </c:numCache>
            </c:numRef>
          </c:val>
          <c:smooth val="0"/>
          <c:extLst>
            <c:ext xmlns:c16="http://schemas.microsoft.com/office/drawing/2014/chart" uri="{C3380CC4-5D6E-409C-BE32-E72D297353CC}">
              <c16:uniqueId val="{0000000B-AC1F-4799-8317-23D2EB93959F}"/>
            </c:ext>
          </c:extLst>
        </c:ser>
        <c:ser>
          <c:idx val="17"/>
          <c:order val="11"/>
          <c:tx>
            <c:strRef>
              <c:f>'Re-referrals'!$AL$52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'Re-referrals'!$Z$2:$AD$3</c:f>
              <c:strCache>
                <c:ptCount val="5"/>
                <c:pt idx="0">
                  <c:v>2014-15</c:v>
                </c:pt>
                <c:pt idx="1">
                  <c:v>2015-16</c:v>
                </c:pt>
                <c:pt idx="2">
                  <c:v>2016-17</c:v>
                </c:pt>
                <c:pt idx="3">
                  <c:v>2017-18</c:v>
                </c:pt>
                <c:pt idx="4">
                  <c:v>2018-19</c:v>
                </c:pt>
              </c:strCache>
            </c:strRef>
          </c:cat>
          <c:val>
            <c:numRef>
              <c:f>'Re-referrals'!$AM$52:$AQ$52</c:f>
              <c:numCache>
                <c:formatCode>0.0</c:formatCode>
                <c:ptCount val="5"/>
                <c:pt idx="0">
                  <c:v>98.32869080779939</c:v>
                </c:pt>
                <c:pt idx="1">
                  <c:v>177.47252747252747</c:v>
                </c:pt>
                <c:pt idx="2">
                  <c:v>254.09836065573771</c:v>
                </c:pt>
                <c:pt idx="3">
                  <c:v>158.49056603773585</c:v>
                </c:pt>
                <c:pt idx="4">
                  <c:v>201.07816711590297</c:v>
                </c:pt>
              </c:numCache>
            </c:numRef>
          </c:val>
          <c:smooth val="0"/>
          <c:extLst>
            <c:ext xmlns:c16="http://schemas.microsoft.com/office/drawing/2014/chart" uri="{C3380CC4-5D6E-409C-BE32-E72D297353CC}">
              <c16:uniqueId val="{0000000C-AC1F-4799-8317-23D2EB93959F}"/>
            </c:ext>
          </c:extLst>
        </c:ser>
        <c:ser>
          <c:idx val="19"/>
          <c:order val="12"/>
          <c:tx>
            <c:strRef>
              <c:f>'Re-referrals'!$AL$53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'Re-referrals'!$Z$2:$AD$3</c:f>
              <c:strCache>
                <c:ptCount val="5"/>
                <c:pt idx="0">
                  <c:v>2014-15</c:v>
                </c:pt>
                <c:pt idx="1">
                  <c:v>2015-16</c:v>
                </c:pt>
                <c:pt idx="2">
                  <c:v>2016-17</c:v>
                </c:pt>
                <c:pt idx="3">
                  <c:v>2017-18</c:v>
                </c:pt>
                <c:pt idx="4">
                  <c:v>2018-19</c:v>
                </c:pt>
              </c:strCache>
            </c:strRef>
          </c:cat>
          <c:val>
            <c:numRef>
              <c:f>'Re-referrals'!$AM$53:$AQ$53</c:f>
              <c:numCache>
                <c:formatCode>0.0</c:formatCode>
                <c:ptCount val="5"/>
                <c:pt idx="0">
                  <c:v>120.30075187969929</c:v>
                </c:pt>
                <c:pt idx="1">
                  <c:v>128.57142857142861</c:v>
                </c:pt>
                <c:pt idx="2">
                  <c:v>399.03381642512079</c:v>
                </c:pt>
                <c:pt idx="3">
                  <c:v>92.417061611374407</c:v>
                </c:pt>
                <c:pt idx="4">
                  <c:v>68.618266978922719</c:v>
                </c:pt>
              </c:numCache>
            </c:numRef>
          </c:val>
          <c:smooth val="0"/>
          <c:extLst>
            <c:ext xmlns:c16="http://schemas.microsoft.com/office/drawing/2014/chart" uri="{C3380CC4-5D6E-409C-BE32-E72D297353CC}">
              <c16:uniqueId val="{0000000D-AC1F-4799-8317-23D2EB93959F}"/>
            </c:ext>
          </c:extLst>
        </c:ser>
        <c:ser>
          <c:idx val="3"/>
          <c:order val="13"/>
          <c:tx>
            <c:strRef>
              <c:f>'Re-referrals'!$AL$54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'Re-referrals'!$Z$2:$AD$3</c:f>
              <c:strCache>
                <c:ptCount val="5"/>
                <c:pt idx="0">
                  <c:v>2014-15</c:v>
                </c:pt>
                <c:pt idx="1">
                  <c:v>2015-16</c:v>
                </c:pt>
                <c:pt idx="2">
                  <c:v>2016-17</c:v>
                </c:pt>
                <c:pt idx="3">
                  <c:v>2017-18</c:v>
                </c:pt>
                <c:pt idx="4">
                  <c:v>2018-19</c:v>
                </c:pt>
              </c:strCache>
            </c:strRef>
          </c:cat>
          <c:val>
            <c:numRef>
              <c:f>'Re-referrals'!$AM$54:$AQ$54</c:f>
              <c:numCache>
                <c:formatCode>0.0</c:formatCode>
                <c:ptCount val="5"/>
                <c:pt idx="0">
                  <c:v>138.4756657483928</c:v>
                </c:pt>
                <c:pt idx="1">
                  <c:v>90.201465201465197</c:v>
                </c:pt>
                <c:pt idx="2">
                  <c:v>86.599817684594356</c:v>
                </c:pt>
                <c:pt idx="3">
                  <c:v>100.27247956403271</c:v>
                </c:pt>
                <c:pt idx="4">
                  <c:v>82.565492321589886</c:v>
                </c:pt>
              </c:numCache>
            </c:numRef>
          </c:val>
          <c:smooth val="0"/>
          <c:extLst>
            <c:ext xmlns:c16="http://schemas.microsoft.com/office/drawing/2014/chart" uri="{C3380CC4-5D6E-409C-BE32-E72D297353CC}">
              <c16:uniqueId val="{0000000E-AC1F-4799-8317-23D2EB93959F}"/>
            </c:ext>
          </c:extLst>
        </c:ser>
        <c:ser>
          <c:idx val="20"/>
          <c:order val="14"/>
          <c:tx>
            <c:strRef>
              <c:f>'Re-referrals'!$AL$55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'Re-referrals'!$Z$2:$AD$3</c:f>
              <c:strCache>
                <c:ptCount val="5"/>
                <c:pt idx="0">
                  <c:v>2014-15</c:v>
                </c:pt>
                <c:pt idx="1">
                  <c:v>2015-16</c:v>
                </c:pt>
                <c:pt idx="2">
                  <c:v>2016-17</c:v>
                </c:pt>
                <c:pt idx="3">
                  <c:v>2017-18</c:v>
                </c:pt>
                <c:pt idx="4">
                  <c:v>2018-19</c:v>
                </c:pt>
              </c:strCache>
            </c:strRef>
          </c:cat>
          <c:val>
            <c:numRef>
              <c:f>'Re-referrals'!$AM$55:$AQ$55</c:f>
              <c:numCache>
                <c:formatCode>0.0</c:formatCode>
                <c:ptCount val="5"/>
                <c:pt idx="0">
                  <c:v>455.5555555555556</c:v>
                </c:pt>
                <c:pt idx="1">
                  <c:v>160.5691056910569</c:v>
                </c:pt>
                <c:pt idx="2">
                  <c:v>162.32464929859719</c:v>
                </c:pt>
                <c:pt idx="3">
                  <c:v>105.36779324055665</c:v>
                </c:pt>
                <c:pt idx="4">
                  <c:v>86.811023622047244</c:v>
                </c:pt>
              </c:numCache>
            </c:numRef>
          </c:val>
          <c:smooth val="0"/>
          <c:extLst>
            <c:ext xmlns:c16="http://schemas.microsoft.com/office/drawing/2014/chart" uri="{C3380CC4-5D6E-409C-BE32-E72D297353CC}">
              <c16:uniqueId val="{0000000F-AC1F-4799-8317-23D2EB93959F}"/>
            </c:ext>
          </c:extLst>
        </c:ser>
        <c:ser>
          <c:idx val="22"/>
          <c:order val="15"/>
          <c:tx>
            <c:strRef>
              <c:f>'Re-referrals'!$AL$56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'Re-referrals'!$Z$2:$AD$3</c:f>
              <c:strCache>
                <c:ptCount val="5"/>
                <c:pt idx="0">
                  <c:v>2014-15</c:v>
                </c:pt>
                <c:pt idx="1">
                  <c:v>2015-16</c:v>
                </c:pt>
                <c:pt idx="2">
                  <c:v>2016-17</c:v>
                </c:pt>
                <c:pt idx="3">
                  <c:v>2017-18</c:v>
                </c:pt>
                <c:pt idx="4">
                  <c:v>2018-19</c:v>
                </c:pt>
              </c:strCache>
            </c:strRef>
          </c:cat>
          <c:val>
            <c:numRef>
              <c:f>'Re-referrals'!$AM$56:$AQ$56</c:f>
              <c:numCache>
                <c:formatCode>0.0</c:formatCode>
                <c:ptCount val="5"/>
                <c:pt idx="0">
                  <c:v>99.410840534171143</c:v>
                </c:pt>
                <c:pt idx="1">
                  <c:v>110.7644305772231</c:v>
                </c:pt>
                <c:pt idx="2">
                  <c:v>111.81467181467183</c:v>
                </c:pt>
                <c:pt idx="3">
                  <c:v>143.06569343065695</c:v>
                </c:pt>
                <c:pt idx="4">
                  <c:v>103.66552119129439</c:v>
                </c:pt>
              </c:numCache>
            </c:numRef>
          </c:val>
          <c:smooth val="0"/>
          <c:extLst>
            <c:ext xmlns:c16="http://schemas.microsoft.com/office/drawing/2014/chart" uri="{C3380CC4-5D6E-409C-BE32-E72D297353CC}">
              <c16:uniqueId val="{00000010-AC1F-4799-8317-23D2EB93959F}"/>
            </c:ext>
          </c:extLst>
        </c:ser>
        <c:ser>
          <c:idx val="7"/>
          <c:order val="16"/>
          <c:tx>
            <c:strRef>
              <c:f>'Re-referrals'!$AL$57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'Re-referrals'!$Z$2:$AD$3</c:f>
              <c:strCache>
                <c:ptCount val="5"/>
                <c:pt idx="0">
                  <c:v>2014-15</c:v>
                </c:pt>
                <c:pt idx="1">
                  <c:v>2015-16</c:v>
                </c:pt>
                <c:pt idx="2">
                  <c:v>2016-17</c:v>
                </c:pt>
                <c:pt idx="3">
                  <c:v>2017-18</c:v>
                </c:pt>
                <c:pt idx="4">
                  <c:v>2018-19</c:v>
                </c:pt>
              </c:strCache>
            </c:strRef>
          </c:cat>
          <c:val>
            <c:numRef>
              <c:f>'Re-referrals'!$AM$57:$AQ$57</c:f>
              <c:numCache>
                <c:formatCode>0.0</c:formatCode>
                <c:ptCount val="5"/>
                <c:pt idx="0">
                  <c:v>109.25925925925928</c:v>
                </c:pt>
                <c:pt idx="1">
                  <c:v>193.67346938775509</c:v>
                </c:pt>
                <c:pt idx="2">
                  <c:v>162.42424242424244</c:v>
                </c:pt>
                <c:pt idx="3">
                  <c:v>175.751503006012</c:v>
                </c:pt>
                <c:pt idx="4">
                  <c:v>115.93625498007968</c:v>
                </c:pt>
              </c:numCache>
            </c:numRef>
          </c:val>
          <c:smooth val="0"/>
          <c:extLst>
            <c:ext xmlns:c16="http://schemas.microsoft.com/office/drawing/2014/chart" uri="{C3380CC4-5D6E-409C-BE32-E72D297353CC}">
              <c16:uniqueId val="{00000011-AC1F-4799-8317-23D2EB93959F}"/>
            </c:ext>
          </c:extLst>
        </c:ser>
        <c:ser>
          <c:idx val="8"/>
          <c:order val="17"/>
          <c:tx>
            <c:strRef>
              <c:f>'Re-referrals'!$AL$58</c:f>
              <c:strCache>
                <c:ptCount val="1"/>
                <c:pt idx="0">
                  <c:v>Torbay</c:v>
                </c:pt>
              </c:strCache>
            </c:strRef>
          </c:tx>
          <c:spPr>
            <a:ln w="15875"/>
          </c:spPr>
          <c:marker>
            <c:symbol val="circle"/>
            <c:size val="5"/>
            <c:spPr>
              <a:solidFill>
                <a:schemeClr val="accent3">
                  <a:lumMod val="20000"/>
                  <a:lumOff val="80000"/>
                </a:schemeClr>
              </a:solidFill>
            </c:spPr>
          </c:marker>
          <c:cat>
            <c:strRef>
              <c:f>'Re-referrals'!$Z$2:$AD$3</c:f>
              <c:strCache>
                <c:ptCount val="5"/>
                <c:pt idx="0">
                  <c:v>2014-15</c:v>
                </c:pt>
                <c:pt idx="1">
                  <c:v>2015-16</c:v>
                </c:pt>
                <c:pt idx="2">
                  <c:v>2016-17</c:v>
                </c:pt>
                <c:pt idx="3">
                  <c:v>2017-18</c:v>
                </c:pt>
                <c:pt idx="4">
                  <c:v>2018-19</c:v>
                </c:pt>
              </c:strCache>
            </c:strRef>
          </c:cat>
          <c:val>
            <c:numRef>
              <c:f>'Re-referrals'!$AM$58:$AQ$58</c:f>
              <c:numCache>
                <c:formatCode>0.0</c:formatCode>
                <c:ptCount val="5"/>
                <c:pt idx="0">
                  <c:v>211.95219123505979</c:v>
                </c:pt>
                <c:pt idx="1">
                  <c:v>227.77777777777783</c:v>
                </c:pt>
                <c:pt idx="2">
                  <c:v>172.04724409448821</c:v>
                </c:pt>
                <c:pt idx="3">
                  <c:v>174.8031496062992</c:v>
                </c:pt>
                <c:pt idx="4">
                  <c:v>183.46456692913387</c:v>
                </c:pt>
              </c:numCache>
            </c:numRef>
          </c:val>
          <c:smooth val="0"/>
          <c:extLst>
            <c:ext xmlns:c16="http://schemas.microsoft.com/office/drawing/2014/chart" uri="{C3380CC4-5D6E-409C-BE32-E72D297353CC}">
              <c16:uniqueId val="{00000012-AC1F-4799-8317-23D2EB93959F}"/>
            </c:ext>
          </c:extLst>
        </c:ser>
        <c:ser>
          <c:idx val="23"/>
          <c:order val="18"/>
          <c:tx>
            <c:strRef>
              <c:f>'Re-referrals'!$AL$59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'Re-referrals'!$Z$2:$AD$3</c:f>
              <c:strCache>
                <c:ptCount val="5"/>
                <c:pt idx="0">
                  <c:v>2014-15</c:v>
                </c:pt>
                <c:pt idx="1">
                  <c:v>2015-16</c:v>
                </c:pt>
                <c:pt idx="2">
                  <c:v>2016-17</c:v>
                </c:pt>
                <c:pt idx="3">
                  <c:v>2017-18</c:v>
                </c:pt>
                <c:pt idx="4">
                  <c:v>2018-19</c:v>
                </c:pt>
              </c:strCache>
            </c:strRef>
          </c:cat>
          <c:val>
            <c:numRef>
              <c:f>'Re-referrals'!$AM$59:$AQ$59</c:f>
              <c:numCache>
                <c:formatCode>0.0</c:formatCode>
                <c:ptCount val="5"/>
                <c:pt idx="0">
                  <c:v>85.112359550561791</c:v>
                </c:pt>
                <c:pt idx="1">
                  <c:v>61.344537815126053</c:v>
                </c:pt>
                <c:pt idx="2">
                  <c:v>108.63509749303621</c:v>
                </c:pt>
                <c:pt idx="3">
                  <c:v>113.68715083798882</c:v>
                </c:pt>
                <c:pt idx="4">
                  <c:v>123.87640449438202</c:v>
                </c:pt>
              </c:numCache>
            </c:numRef>
          </c:val>
          <c:smooth val="0"/>
          <c:extLst>
            <c:ext xmlns:c16="http://schemas.microsoft.com/office/drawing/2014/chart" uri="{C3380CC4-5D6E-409C-BE32-E72D297353CC}">
              <c16:uniqueId val="{00000013-AC1F-4799-8317-23D2EB93959F}"/>
            </c:ext>
          </c:extLst>
        </c:ser>
        <c:ser>
          <c:idx val="24"/>
          <c:order val="19"/>
          <c:tx>
            <c:strRef>
              <c:f>'Re-referrals'!$AL$60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'Re-referrals'!$Z$2:$AD$3</c:f>
              <c:strCache>
                <c:ptCount val="5"/>
                <c:pt idx="0">
                  <c:v>2014-15</c:v>
                </c:pt>
                <c:pt idx="1">
                  <c:v>2015-16</c:v>
                </c:pt>
                <c:pt idx="2">
                  <c:v>2016-17</c:v>
                </c:pt>
                <c:pt idx="3">
                  <c:v>2017-18</c:v>
                </c:pt>
                <c:pt idx="4">
                  <c:v>2018-19</c:v>
                </c:pt>
              </c:strCache>
            </c:strRef>
          </c:cat>
          <c:val>
            <c:numRef>
              <c:f>'Re-referrals'!$AM$60:$AQ$60</c:f>
              <c:numCache>
                <c:formatCode>0.0</c:formatCode>
                <c:ptCount val="5"/>
                <c:pt idx="0">
                  <c:v>89.040284360189588</c:v>
                </c:pt>
                <c:pt idx="1">
                  <c:v>116.60798122065709</c:v>
                </c:pt>
                <c:pt idx="2">
                  <c:v>128.57974388824215</c:v>
                </c:pt>
                <c:pt idx="3">
                  <c:v>154.5874206578188</c:v>
                </c:pt>
                <c:pt idx="4">
                  <c:v>140.01144819690899</c:v>
                </c:pt>
              </c:numCache>
            </c:numRef>
          </c:val>
          <c:smooth val="0"/>
          <c:extLst>
            <c:ext xmlns:c16="http://schemas.microsoft.com/office/drawing/2014/chart" uri="{C3380CC4-5D6E-409C-BE32-E72D297353CC}">
              <c16:uniqueId val="{00000014-AC1F-4799-8317-23D2EB93959F}"/>
            </c:ext>
          </c:extLst>
        </c:ser>
        <c:ser>
          <c:idx val="25"/>
          <c:order val="20"/>
          <c:tx>
            <c:strRef>
              <c:f>'Re-referrals'!$AL$61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'Re-referrals'!$Z$2:$AD$3</c:f>
              <c:strCache>
                <c:ptCount val="5"/>
                <c:pt idx="0">
                  <c:v>2014-15</c:v>
                </c:pt>
                <c:pt idx="1">
                  <c:v>2015-16</c:v>
                </c:pt>
                <c:pt idx="2">
                  <c:v>2016-17</c:v>
                </c:pt>
                <c:pt idx="3">
                  <c:v>2017-18</c:v>
                </c:pt>
                <c:pt idx="4">
                  <c:v>2018-19</c:v>
                </c:pt>
              </c:strCache>
            </c:strRef>
          </c:cat>
          <c:val>
            <c:numRef>
              <c:f>'Re-referrals'!$AM$61:$AQ$61</c:f>
              <c:numCache>
                <c:formatCode>0.0</c:formatCode>
                <c:ptCount val="5"/>
                <c:pt idx="0">
                  <c:v>56.287425149700624</c:v>
                </c:pt>
                <c:pt idx="1">
                  <c:v>57.270029673590507</c:v>
                </c:pt>
                <c:pt idx="2">
                  <c:v>34.210526315789473</c:v>
                </c:pt>
                <c:pt idx="3">
                  <c:v>48.255813953488371</c:v>
                </c:pt>
                <c:pt idx="4">
                  <c:v>68.786127167630056</c:v>
                </c:pt>
              </c:numCache>
            </c:numRef>
          </c:val>
          <c:smooth val="0"/>
          <c:extLst>
            <c:ext xmlns:c16="http://schemas.microsoft.com/office/drawing/2014/chart" uri="{C3380CC4-5D6E-409C-BE32-E72D297353CC}">
              <c16:uniqueId val="{00000015-AC1F-4799-8317-23D2EB93959F}"/>
            </c:ext>
          </c:extLst>
        </c:ser>
        <c:ser>
          <c:idx val="26"/>
          <c:order val="21"/>
          <c:tx>
            <c:strRef>
              <c:f>'Re-referrals'!$AL$62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'Re-referrals'!$Z$2:$AD$3</c:f>
              <c:strCache>
                <c:ptCount val="5"/>
                <c:pt idx="0">
                  <c:v>2014-15</c:v>
                </c:pt>
                <c:pt idx="1">
                  <c:v>2015-16</c:v>
                </c:pt>
                <c:pt idx="2">
                  <c:v>2016-17</c:v>
                </c:pt>
                <c:pt idx="3">
                  <c:v>2017-18</c:v>
                </c:pt>
                <c:pt idx="4">
                  <c:v>2018-19</c:v>
                </c:pt>
              </c:strCache>
            </c:strRef>
          </c:cat>
          <c:val>
            <c:numRef>
              <c:f>'Re-referrals'!$AM$62:$AQ$62</c:f>
              <c:numCache>
                <c:formatCode>0.0</c:formatCode>
                <c:ptCount val="5"/>
                <c:pt idx="0">
                  <c:v>70.189701897018992</c:v>
                </c:pt>
                <c:pt idx="1">
                  <c:v>52.278820375335123</c:v>
                </c:pt>
                <c:pt idx="2">
                  <c:v>44.736842105263158</c:v>
                </c:pt>
                <c:pt idx="3">
                  <c:v>58.656330749354005</c:v>
                </c:pt>
                <c:pt idx="4">
                  <c:v>90.886075949367097</c:v>
                </c:pt>
              </c:numCache>
            </c:numRef>
          </c:val>
          <c:smooth val="0"/>
          <c:extLst>
            <c:ext xmlns:c16="http://schemas.microsoft.com/office/drawing/2014/chart" uri="{C3380CC4-5D6E-409C-BE32-E72D297353CC}">
              <c16:uniqueId val="{00000016-AC1F-4799-8317-23D2EB93959F}"/>
            </c:ext>
          </c:extLst>
        </c:ser>
        <c:ser>
          <c:idx val="4"/>
          <c:order val="22"/>
          <c:tx>
            <c:strRef>
              <c:f>'Re-referrals'!$AL$63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'Re-referrals'!$Z$2:$AD$3</c:f>
              <c:strCache>
                <c:ptCount val="5"/>
                <c:pt idx="0">
                  <c:v>2014-15</c:v>
                </c:pt>
                <c:pt idx="1">
                  <c:v>2015-16</c:v>
                </c:pt>
                <c:pt idx="2">
                  <c:v>2016-17</c:v>
                </c:pt>
                <c:pt idx="3">
                  <c:v>2017-18</c:v>
                </c:pt>
                <c:pt idx="4">
                  <c:v>2018-19</c:v>
                </c:pt>
              </c:strCache>
            </c:strRef>
          </c:cat>
          <c:val>
            <c:numRef>
              <c:f>'Re-referrals'!$AM$63:$AQ$63</c:f>
              <c:numCache>
                <c:formatCode>0.0</c:formatCode>
                <c:ptCount val="5"/>
                <c:pt idx="0">
                  <c:v>140.72673808023524</c:v>
                </c:pt>
                <c:pt idx="1">
                  <c:v>119.70178822793389</c:v>
                </c:pt>
                <c:pt idx="2">
                  <c:v>142.20681806424915</c:v>
                </c:pt>
                <c:pt idx="3">
                  <c:v>138.0729461392047</c:v>
                </c:pt>
                <c:pt idx="4">
                  <c:v>137.12067027689793</c:v>
                </c:pt>
              </c:numCache>
            </c:numRef>
          </c:val>
          <c:smooth val="0"/>
          <c:extLst>
            <c:ext xmlns:c16="http://schemas.microsoft.com/office/drawing/2014/chart" uri="{C3380CC4-5D6E-409C-BE32-E72D297353CC}">
              <c16:uniqueId val="{00000017-AC1F-4799-8317-23D2EB93959F}"/>
            </c:ext>
          </c:extLst>
        </c:ser>
        <c:ser>
          <c:idx val="14"/>
          <c:order val="23"/>
          <c:tx>
            <c:strRef>
              <c:f>'Re-referrals'!$AL$64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'Re-referrals'!$Z$2:$AD$3</c:f>
              <c:strCache>
                <c:ptCount val="5"/>
                <c:pt idx="0">
                  <c:v>2014-15</c:v>
                </c:pt>
                <c:pt idx="1">
                  <c:v>2015-16</c:v>
                </c:pt>
                <c:pt idx="2">
                  <c:v>2016-17</c:v>
                </c:pt>
                <c:pt idx="3">
                  <c:v>2017-18</c:v>
                </c:pt>
                <c:pt idx="4">
                  <c:v>2018-19</c:v>
                </c:pt>
              </c:strCache>
            </c:strRef>
          </c:cat>
          <c:val>
            <c:numRef>
              <c:f>'Re-referrals'!$AM$64:$AQ$64</c:f>
              <c:numCache>
                <c:formatCode>0.0</c:formatCode>
                <c:ptCount val="5"/>
                <c:pt idx="0">
                  <c:v>#N/A</c:v>
                </c:pt>
                <c:pt idx="1">
                  <c:v>118.77135443872615</c:v>
                </c:pt>
                <c:pt idx="2">
                  <c:v>120.11573740167836</c:v>
                </c:pt>
                <c:pt idx="3">
                  <c:v>121.18479817982642</c:v>
                </c:pt>
                <c:pt idx="4">
                  <c:v>123.09069312231274</c:v>
                </c:pt>
              </c:numCache>
            </c:numRef>
          </c:val>
          <c:smooth val="0"/>
          <c:extLst>
            <c:ext xmlns:c16="http://schemas.microsoft.com/office/drawing/2014/chart" uri="{C3380CC4-5D6E-409C-BE32-E72D297353CC}">
              <c16:uniqueId val="{00000018-AC1F-4799-8317-23D2EB93959F}"/>
            </c:ext>
          </c:extLst>
        </c:ser>
        <c:ser>
          <c:idx val="6"/>
          <c:order val="24"/>
          <c:tx>
            <c:strRef>
              <c:f>'Re-referrals'!$AL$65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'Re-referrals'!$Z$2:$AD$3</c:f>
              <c:strCache>
                <c:ptCount val="5"/>
                <c:pt idx="0">
                  <c:v>2014-15</c:v>
                </c:pt>
                <c:pt idx="1">
                  <c:v>2015-16</c:v>
                </c:pt>
                <c:pt idx="2">
                  <c:v>2016-17</c:v>
                </c:pt>
                <c:pt idx="3">
                  <c:v>2017-18</c:v>
                </c:pt>
                <c:pt idx="4">
                  <c:v>2018-19</c:v>
                </c:pt>
              </c:strCache>
            </c:strRef>
          </c:cat>
          <c:val>
            <c:numRef>
              <c:f>'Re-referrals'!$AM$65:$AQ$65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C1F-4799-8317-23D2EB93959F}"/>
            </c:ext>
          </c:extLst>
        </c:ser>
        <c:dLbls>
          <c:showLegendKey val="0"/>
          <c:showVal val="0"/>
          <c:showCatName val="0"/>
          <c:showSerName val="0"/>
          <c:showPercent val="0"/>
          <c:showBubbleSize val="0"/>
        </c:dLbls>
        <c:marker val="1"/>
        <c:smooth val="0"/>
        <c:axId val="663297408"/>
        <c:axId val="663324160"/>
      </c:lineChart>
      <c:catAx>
        <c:axId val="663297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324160"/>
        <c:crosses val="autoZero"/>
        <c:auto val="1"/>
        <c:lblAlgn val="ctr"/>
        <c:lblOffset val="100"/>
        <c:tickLblSkip val="1"/>
        <c:tickMarkSkip val="1"/>
        <c:noMultiLvlLbl val="0"/>
      </c:catAx>
      <c:valAx>
        <c:axId val="66332416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63297408"/>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953981800179168"/>
        </c:manualLayout>
      </c:layout>
      <c:barChart>
        <c:barDir val="col"/>
        <c:grouping val="clustered"/>
        <c:varyColors val="0"/>
        <c:ser>
          <c:idx val="6"/>
          <c:order val="0"/>
          <c:tx>
            <c:strRef>
              <c:f>'Re-referrals'!$AA$4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'Re-referrals'!$Z$2:$AD$3</c:f>
              <c:strCache>
                <c:ptCount val="5"/>
                <c:pt idx="0">
                  <c:v>2014-15</c:v>
                </c:pt>
                <c:pt idx="1">
                  <c:v>2015-16</c:v>
                </c:pt>
                <c:pt idx="2">
                  <c:v>2016-17</c:v>
                </c:pt>
                <c:pt idx="3">
                  <c:v>2017-18</c:v>
                </c:pt>
                <c:pt idx="4">
                  <c:v>2018-19</c:v>
                </c:pt>
              </c:strCache>
            </c:strRef>
          </c:cat>
          <c:val>
            <c:numRef>
              <c:f>'Re-referrals'!$AM$65:$AQ$65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360-4033-8F34-F706C1EB0F5E}"/>
            </c:ext>
          </c:extLst>
        </c:ser>
        <c:ser>
          <c:idx val="4"/>
          <c:order val="1"/>
          <c:tx>
            <c:strRef>
              <c:f>'Re-referrals'!$B$32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'Re-referrals'!$Z$2:$AD$3</c:f>
              <c:strCache>
                <c:ptCount val="5"/>
                <c:pt idx="0">
                  <c:v>2014-15</c:v>
                </c:pt>
                <c:pt idx="1">
                  <c:v>2015-16</c:v>
                </c:pt>
                <c:pt idx="2">
                  <c:v>2016-17</c:v>
                </c:pt>
                <c:pt idx="3">
                  <c:v>2017-18</c:v>
                </c:pt>
                <c:pt idx="4">
                  <c:v>2018-19</c:v>
                </c:pt>
              </c:strCache>
            </c:strRef>
          </c:cat>
          <c:val>
            <c:numRef>
              <c:f>'Re-referrals'!$K$32:$O$32</c:f>
              <c:numCache>
                <c:formatCode>0.0</c:formatCode>
                <c:ptCount val="5"/>
                <c:pt idx="0">
                  <c:v>140.72673808023524</c:v>
                </c:pt>
                <c:pt idx="1">
                  <c:v>119.70178822793389</c:v>
                </c:pt>
                <c:pt idx="2">
                  <c:v>142.20681806424915</c:v>
                </c:pt>
                <c:pt idx="3">
                  <c:v>138.0729461392047</c:v>
                </c:pt>
                <c:pt idx="4">
                  <c:v>137.12067027689793</c:v>
                </c:pt>
              </c:numCache>
            </c:numRef>
          </c:val>
          <c:extLst>
            <c:ext xmlns:c16="http://schemas.microsoft.com/office/drawing/2014/chart" uri="{C3380CC4-5D6E-409C-BE32-E72D297353CC}">
              <c16:uniqueId val="{00000001-B360-4033-8F34-F706C1EB0F5E}"/>
            </c:ext>
          </c:extLst>
        </c:ser>
        <c:ser>
          <c:idx val="0"/>
          <c:order val="2"/>
          <c:tx>
            <c:strRef>
              <c:f>'Re-referrals'!$B$33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'Re-referrals'!$Z$2:$AD$3</c:f>
              <c:strCache>
                <c:ptCount val="5"/>
                <c:pt idx="0">
                  <c:v>2014-15</c:v>
                </c:pt>
                <c:pt idx="1">
                  <c:v>2015-16</c:v>
                </c:pt>
                <c:pt idx="2">
                  <c:v>2016-17</c:v>
                </c:pt>
                <c:pt idx="3">
                  <c:v>2017-18</c:v>
                </c:pt>
                <c:pt idx="4">
                  <c:v>2018-19</c:v>
                </c:pt>
              </c:strCache>
            </c:strRef>
          </c:cat>
          <c:val>
            <c:numRef>
              <c:f>'Re-referrals'!$K$33:$O$33</c:f>
              <c:numCache>
                <c:formatCode>0.0</c:formatCode>
                <c:ptCount val="5"/>
                <c:pt idx="0">
                  <c:v>#N/A</c:v>
                </c:pt>
                <c:pt idx="1">
                  <c:v>118.77135443872615</c:v>
                </c:pt>
                <c:pt idx="2">
                  <c:v>120.11573740167836</c:v>
                </c:pt>
                <c:pt idx="3">
                  <c:v>121.18479817982642</c:v>
                </c:pt>
                <c:pt idx="4">
                  <c:v>123.09069312231274</c:v>
                </c:pt>
              </c:numCache>
            </c:numRef>
          </c:val>
          <c:extLst>
            <c:ext xmlns:c16="http://schemas.microsoft.com/office/drawing/2014/chart" uri="{C3380CC4-5D6E-409C-BE32-E72D297353CC}">
              <c16:uniqueId val="{00000002-B360-4033-8F34-F706C1EB0F5E}"/>
            </c:ext>
          </c:extLst>
        </c:ser>
        <c:dLbls>
          <c:showLegendKey val="0"/>
          <c:showVal val="0"/>
          <c:showCatName val="0"/>
          <c:showSerName val="0"/>
          <c:showPercent val="0"/>
          <c:showBubbleSize val="0"/>
        </c:dLbls>
        <c:gapWidth val="100"/>
        <c:axId val="673115520"/>
        <c:axId val="674190464"/>
      </c:barChart>
      <c:catAx>
        <c:axId val="673115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4190464"/>
        <c:crosses val="autoZero"/>
        <c:auto val="1"/>
        <c:lblAlgn val="ctr"/>
        <c:lblOffset val="100"/>
        <c:noMultiLvlLbl val="0"/>
      </c:catAx>
      <c:valAx>
        <c:axId val="67419046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73115520"/>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Re-referrals</a:t>
            </a:r>
            <a:r>
              <a:rPr lang="en-GB" baseline="0"/>
              <a:t> </a:t>
            </a:r>
            <a:r>
              <a:rPr lang="en-GB"/>
              <a:t>(Selected LA</a:t>
            </a:r>
            <a:r>
              <a:rPr lang="en-GB" baseline="0"/>
              <a:t> vs. SE &amp; National)</a:t>
            </a:r>
            <a:r>
              <a:rPr lang="en-GB"/>
              <a:t> </a:t>
            </a:r>
          </a:p>
        </c:rich>
      </c:tx>
      <c:layout>
        <c:manualLayout>
          <c:xMode val="edge"/>
          <c:yMode val="edge"/>
          <c:x val="0.16985543023338298"/>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'Re-referrals'!$AA$4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'Re-referrals'!$Z$2:$AD$3</c:f>
              <c:strCache>
                <c:ptCount val="5"/>
                <c:pt idx="0">
                  <c:v>2014-15</c:v>
                </c:pt>
                <c:pt idx="1">
                  <c:v>2015-16</c:v>
                </c:pt>
                <c:pt idx="2">
                  <c:v>2016-17</c:v>
                </c:pt>
                <c:pt idx="3">
                  <c:v>2017-18</c:v>
                </c:pt>
                <c:pt idx="4">
                  <c:v>2018-19</c:v>
                </c:pt>
              </c:strCache>
            </c:strRef>
          </c:cat>
          <c:val>
            <c:numRef>
              <c:f>'Re-referrals'!$AS$65:$AW$65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FC4-4A7F-B32D-9D43C4318DA5}"/>
            </c:ext>
          </c:extLst>
        </c:ser>
        <c:ser>
          <c:idx val="4"/>
          <c:order val="1"/>
          <c:tx>
            <c:strRef>
              <c:f>'Re-referrals'!$B$134</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'Re-referrals'!$Z$2:$AD$3</c:f>
              <c:strCache>
                <c:ptCount val="5"/>
                <c:pt idx="0">
                  <c:v>2014-15</c:v>
                </c:pt>
                <c:pt idx="1">
                  <c:v>2015-16</c:v>
                </c:pt>
                <c:pt idx="2">
                  <c:v>2016-17</c:v>
                </c:pt>
                <c:pt idx="3">
                  <c:v>2017-18</c:v>
                </c:pt>
                <c:pt idx="4">
                  <c:v>2018-19</c:v>
                </c:pt>
              </c:strCache>
            </c:strRef>
          </c:cat>
          <c:val>
            <c:numRef>
              <c:f>'Re-referrals'!$D$134:$H$134</c:f>
              <c:numCache>
                <c:formatCode>0%</c:formatCode>
                <c:ptCount val="5"/>
                <c:pt idx="0">
                  <c:v>0.27657378740970073</c:v>
                </c:pt>
                <c:pt idx="1">
                  <c:v>0.234860883797054</c:v>
                </c:pt>
                <c:pt idx="2">
                  <c:v>0.25662808065720688</c:v>
                </c:pt>
                <c:pt idx="3">
                  <c:v>0.25180598555211559</c:v>
                </c:pt>
                <c:pt idx="4">
                  <c:v>0.2558871198398322</c:v>
                </c:pt>
              </c:numCache>
            </c:numRef>
          </c:val>
          <c:extLst>
            <c:ext xmlns:c16="http://schemas.microsoft.com/office/drawing/2014/chart" uri="{C3380CC4-5D6E-409C-BE32-E72D297353CC}">
              <c16:uniqueId val="{00000001-5FC4-4A7F-B32D-9D43C4318DA5}"/>
            </c:ext>
          </c:extLst>
        </c:ser>
        <c:ser>
          <c:idx val="0"/>
          <c:order val="2"/>
          <c:tx>
            <c:strRef>
              <c:f>'Re-referrals'!$B$135</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'Re-referrals'!$Z$2:$AD$3</c:f>
              <c:strCache>
                <c:ptCount val="5"/>
                <c:pt idx="0">
                  <c:v>2014-15</c:v>
                </c:pt>
                <c:pt idx="1">
                  <c:v>2015-16</c:v>
                </c:pt>
                <c:pt idx="2">
                  <c:v>2016-17</c:v>
                </c:pt>
                <c:pt idx="3">
                  <c:v>2017-18</c:v>
                </c:pt>
                <c:pt idx="4">
                  <c:v>2018-19</c:v>
                </c:pt>
              </c:strCache>
            </c:strRef>
          </c:cat>
          <c:val>
            <c:numRef>
              <c:f>'Re-referrals'!$D$135:$H$135</c:f>
              <c:numCache>
                <c:formatCode>0%</c:formatCode>
                <c:ptCount val="5"/>
                <c:pt idx="0">
                  <c:v>#N/A</c:v>
                </c:pt>
                <c:pt idx="1">
                  <c:v>0.22318052359727741</c:v>
                </c:pt>
                <c:pt idx="2">
                  <c:v>0.21909242865102457</c:v>
                </c:pt>
                <c:pt idx="3">
                  <c:v>0.21934627762610009</c:v>
                </c:pt>
                <c:pt idx="4">
                  <c:v>0.22606117401256665</c:v>
                </c:pt>
              </c:numCache>
            </c:numRef>
          </c:val>
          <c:extLst>
            <c:ext xmlns:c16="http://schemas.microsoft.com/office/drawing/2014/chart" uri="{C3380CC4-5D6E-409C-BE32-E72D297353CC}">
              <c16:uniqueId val="{00000002-5FC4-4A7F-B32D-9D43C4318DA5}"/>
            </c:ext>
          </c:extLst>
        </c:ser>
        <c:dLbls>
          <c:showLegendKey val="0"/>
          <c:showVal val="0"/>
          <c:showCatName val="0"/>
          <c:showSerName val="0"/>
          <c:showPercent val="0"/>
          <c:showBubbleSize val="0"/>
        </c:dLbls>
        <c:gapWidth val="100"/>
        <c:axId val="685067648"/>
        <c:axId val="695386112"/>
      </c:barChart>
      <c:catAx>
        <c:axId val="685067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95386112"/>
        <c:crosses val="autoZero"/>
        <c:auto val="1"/>
        <c:lblAlgn val="ctr"/>
        <c:lblOffset val="100"/>
        <c:noMultiLvlLbl val="0"/>
      </c:catAx>
      <c:valAx>
        <c:axId val="69538611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68506764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6465282748747321"/>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which were Re-referrals</a:t>
            </a:r>
          </a:p>
        </c:rich>
      </c:tx>
      <c:layout>
        <c:manualLayout>
          <c:xMode val="edge"/>
          <c:yMode val="edge"/>
          <c:x val="0.2190790586323153"/>
          <c:y val="2.0819683542766424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'Re-referrals'!$AL$41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3B7-41AE-AFCF-1ECD455E82FA}"/>
              </c:ext>
            </c:extLst>
          </c:dPt>
          <c:cat>
            <c:strRef>
              <c:f>'Re-referrals'!$Z$2:$AD$3</c:f>
              <c:strCache>
                <c:ptCount val="5"/>
                <c:pt idx="0">
                  <c:v>2014-15</c:v>
                </c:pt>
                <c:pt idx="1">
                  <c:v>2015-16</c:v>
                </c:pt>
                <c:pt idx="2">
                  <c:v>2016-17</c:v>
                </c:pt>
                <c:pt idx="3">
                  <c:v>2017-18</c:v>
                </c:pt>
                <c:pt idx="4">
                  <c:v>2018-19</c:v>
                </c:pt>
              </c:strCache>
            </c:strRef>
          </c:cat>
          <c:val>
            <c:numRef>
              <c:f>'Re-referrals'!$AS$41:$AW$41</c:f>
              <c:numCache>
                <c:formatCode>0.0%</c:formatCode>
                <c:ptCount val="5"/>
                <c:pt idx="0">
                  <c:v>0.20471698113207551</c:v>
                </c:pt>
                <c:pt idx="1">
                  <c:v>0.172281776416539</c:v>
                </c:pt>
                <c:pt idx="2">
                  <c:v>0.23540145985401459</c:v>
                </c:pt>
                <c:pt idx="3">
                  <c:v>0.23529411764705882</c:v>
                </c:pt>
                <c:pt idx="4">
                  <c:v>0.27500000000000002</c:v>
                </c:pt>
              </c:numCache>
            </c:numRef>
          </c:val>
          <c:smooth val="0"/>
          <c:extLst>
            <c:ext xmlns:c16="http://schemas.microsoft.com/office/drawing/2014/chart" uri="{C3380CC4-5D6E-409C-BE32-E72D297353CC}">
              <c16:uniqueId val="{00000001-93B7-41AE-AFCF-1ECD455E82FA}"/>
            </c:ext>
          </c:extLst>
        </c:ser>
        <c:ser>
          <c:idx val="1"/>
          <c:order val="1"/>
          <c:tx>
            <c:strRef>
              <c:f>'Re-referrals'!$AL$42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'Re-referrals'!$Z$2:$AD$3</c:f>
              <c:strCache>
                <c:ptCount val="5"/>
                <c:pt idx="0">
                  <c:v>2014-15</c:v>
                </c:pt>
                <c:pt idx="1">
                  <c:v>2015-16</c:v>
                </c:pt>
                <c:pt idx="2">
                  <c:v>2016-17</c:v>
                </c:pt>
                <c:pt idx="3">
                  <c:v>2017-18</c:v>
                </c:pt>
                <c:pt idx="4">
                  <c:v>2018-19</c:v>
                </c:pt>
              </c:strCache>
            </c:strRef>
          </c:cat>
          <c:val>
            <c:numRef>
              <c:f>'Re-referrals'!$AS$42:$AW$42</c:f>
              <c:numCache>
                <c:formatCode>0.0%</c:formatCode>
                <c:ptCount val="5"/>
                <c:pt idx="0">
                  <c:v>0.36252908170247694</c:v>
                </c:pt>
                <c:pt idx="1">
                  <c:v>0.32136602451838897</c:v>
                </c:pt>
                <c:pt idx="2">
                  <c:v>0.24698972099853156</c:v>
                </c:pt>
                <c:pt idx="3">
                  <c:v>0.28319377990430622</c:v>
                </c:pt>
                <c:pt idx="4">
                  <c:v>0.24544612534732943</c:v>
                </c:pt>
              </c:numCache>
            </c:numRef>
          </c:val>
          <c:smooth val="0"/>
          <c:extLst>
            <c:ext xmlns:c16="http://schemas.microsoft.com/office/drawing/2014/chart" uri="{C3380CC4-5D6E-409C-BE32-E72D297353CC}">
              <c16:uniqueId val="{00000002-93B7-41AE-AFCF-1ECD455E82FA}"/>
            </c:ext>
          </c:extLst>
        </c:ser>
        <c:ser>
          <c:idx val="2"/>
          <c:order val="2"/>
          <c:tx>
            <c:strRef>
              <c:f>'Re-referrals'!$AL$43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'Re-referrals'!$Z$2:$AD$3</c:f>
              <c:strCache>
                <c:ptCount val="5"/>
                <c:pt idx="0">
                  <c:v>2014-15</c:v>
                </c:pt>
                <c:pt idx="1">
                  <c:v>2015-16</c:v>
                </c:pt>
                <c:pt idx="2">
                  <c:v>2016-17</c:v>
                </c:pt>
                <c:pt idx="3">
                  <c:v>2017-18</c:v>
                </c:pt>
                <c:pt idx="4">
                  <c:v>2018-19</c:v>
                </c:pt>
              </c:strCache>
            </c:strRef>
          </c:cat>
          <c:val>
            <c:numRef>
              <c:f>'Re-referrals'!$AS$43:$AW$43</c:f>
              <c:numCache>
                <c:formatCode>0.0%</c:formatCode>
                <c:ptCount val="5"/>
                <c:pt idx="0">
                  <c:v>0.27256775199844008</c:v>
                </c:pt>
                <c:pt idx="1">
                  <c:v>0.26458752515090506</c:v>
                </c:pt>
                <c:pt idx="2">
                  <c:v>0.32909604519774011</c:v>
                </c:pt>
                <c:pt idx="3">
                  <c:v>0.31121215052723228</c:v>
                </c:pt>
                <c:pt idx="4">
                  <c:v>0.31727748691099478</c:v>
                </c:pt>
              </c:numCache>
            </c:numRef>
          </c:val>
          <c:smooth val="0"/>
          <c:extLst>
            <c:ext xmlns:c16="http://schemas.microsoft.com/office/drawing/2014/chart" uri="{C3380CC4-5D6E-409C-BE32-E72D297353CC}">
              <c16:uniqueId val="{00000003-93B7-41AE-AFCF-1ECD455E82FA}"/>
            </c:ext>
          </c:extLst>
        </c:ser>
        <c:ser>
          <c:idx val="5"/>
          <c:order val="3"/>
          <c:tx>
            <c:strRef>
              <c:f>'Re-referrals'!$AL$44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'Re-referrals'!$Z$2:$AD$3</c:f>
              <c:strCache>
                <c:ptCount val="5"/>
                <c:pt idx="0">
                  <c:v>2014-15</c:v>
                </c:pt>
                <c:pt idx="1">
                  <c:v>2015-16</c:v>
                </c:pt>
                <c:pt idx="2">
                  <c:v>2016-17</c:v>
                </c:pt>
                <c:pt idx="3">
                  <c:v>2017-18</c:v>
                </c:pt>
                <c:pt idx="4">
                  <c:v>2018-19</c:v>
                </c:pt>
              </c:strCache>
            </c:strRef>
          </c:cat>
          <c:val>
            <c:numRef>
              <c:f>'Re-referrals'!$AS$44:$AW$44</c:f>
              <c:numCache>
                <c:formatCode>0.0%</c:formatCode>
                <c:ptCount val="5"/>
                <c:pt idx="0">
                  <c:v>0.23558897243107765</c:v>
                </c:pt>
                <c:pt idx="1">
                  <c:v>0.14540337711069423</c:v>
                </c:pt>
                <c:pt idx="2">
                  <c:v>0.14880304678998912</c:v>
                </c:pt>
                <c:pt idx="3">
                  <c:v>0.17678039844286697</c:v>
                </c:pt>
                <c:pt idx="4">
                  <c:v>0.18887601390498263</c:v>
                </c:pt>
              </c:numCache>
            </c:numRef>
          </c:val>
          <c:smooth val="0"/>
          <c:extLst>
            <c:ext xmlns:c16="http://schemas.microsoft.com/office/drawing/2014/chart" uri="{C3380CC4-5D6E-409C-BE32-E72D297353CC}">
              <c16:uniqueId val="{00000004-93B7-41AE-AFCF-1ECD455E82FA}"/>
            </c:ext>
          </c:extLst>
        </c:ser>
        <c:ser>
          <c:idx val="9"/>
          <c:order val="4"/>
          <c:tx>
            <c:strRef>
              <c:f>'Re-referrals'!$AL$45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'Re-referrals'!$Z$2:$AD$3</c:f>
              <c:strCache>
                <c:ptCount val="5"/>
                <c:pt idx="0">
                  <c:v>2014-15</c:v>
                </c:pt>
                <c:pt idx="1">
                  <c:v>2015-16</c:v>
                </c:pt>
                <c:pt idx="2">
                  <c:v>2016-17</c:v>
                </c:pt>
                <c:pt idx="3">
                  <c:v>2017-18</c:v>
                </c:pt>
                <c:pt idx="4">
                  <c:v>2018-19</c:v>
                </c:pt>
              </c:strCache>
            </c:strRef>
          </c:cat>
          <c:val>
            <c:numRef>
              <c:f>'Re-referrals'!$AS$45:$AW$45</c:f>
              <c:numCache>
                <c:formatCode>0.0%</c:formatCode>
                <c:ptCount val="5"/>
                <c:pt idx="0">
                  <c:v>0.31792942862260426</c:v>
                </c:pt>
                <c:pt idx="1">
                  <c:v>0.28171126845073802</c:v>
                </c:pt>
                <c:pt idx="2">
                  <c:v>0.30697195780807823</c:v>
                </c:pt>
                <c:pt idx="3">
                  <c:v>0.29612162581445856</c:v>
                </c:pt>
                <c:pt idx="4">
                  <c:v>0.29112342459800089</c:v>
                </c:pt>
              </c:numCache>
            </c:numRef>
          </c:val>
          <c:smooth val="0"/>
          <c:extLst>
            <c:ext xmlns:c16="http://schemas.microsoft.com/office/drawing/2014/chart" uri="{C3380CC4-5D6E-409C-BE32-E72D297353CC}">
              <c16:uniqueId val="{00000005-93B7-41AE-AFCF-1ECD455E82FA}"/>
            </c:ext>
          </c:extLst>
        </c:ser>
        <c:ser>
          <c:idx val="10"/>
          <c:order val="5"/>
          <c:tx>
            <c:strRef>
              <c:f>'Re-referrals'!$AL$46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'Re-referrals'!$Z$2:$AD$3</c:f>
              <c:strCache>
                <c:ptCount val="5"/>
                <c:pt idx="0">
                  <c:v>2014-15</c:v>
                </c:pt>
                <c:pt idx="1">
                  <c:v>2015-16</c:v>
                </c:pt>
                <c:pt idx="2">
                  <c:v>2016-17</c:v>
                </c:pt>
                <c:pt idx="3">
                  <c:v>2017-18</c:v>
                </c:pt>
                <c:pt idx="4">
                  <c:v>2018-19</c:v>
                </c:pt>
              </c:strCache>
            </c:strRef>
          </c:cat>
          <c:val>
            <c:numRef>
              <c:f>'Re-referrals'!$AS$46:$AW$46</c:f>
              <c:numCache>
                <c:formatCode>0.0%</c:formatCode>
                <c:ptCount val="5"/>
                <c:pt idx="0">
                  <c:v>0.34568421052631571</c:v>
                </c:pt>
                <c:pt idx="1">
                  <c:v>0.3290079531184596</c:v>
                </c:pt>
                <c:pt idx="2">
                  <c:v>0.30309988518943742</c:v>
                </c:pt>
                <c:pt idx="3">
                  <c:v>0.30696202531645572</c:v>
                </c:pt>
                <c:pt idx="4">
                  <c:v>0.34117161716171618</c:v>
                </c:pt>
              </c:numCache>
            </c:numRef>
          </c:val>
          <c:smooth val="0"/>
          <c:extLst>
            <c:ext xmlns:c16="http://schemas.microsoft.com/office/drawing/2014/chart" uri="{C3380CC4-5D6E-409C-BE32-E72D297353CC}">
              <c16:uniqueId val="{00000006-93B7-41AE-AFCF-1ECD455E82FA}"/>
            </c:ext>
          </c:extLst>
        </c:ser>
        <c:ser>
          <c:idx val="11"/>
          <c:order val="6"/>
          <c:tx>
            <c:strRef>
              <c:f>'Re-referrals'!$AL$47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'Re-referrals'!$Z$2:$AD$3</c:f>
              <c:strCache>
                <c:ptCount val="5"/>
                <c:pt idx="0">
                  <c:v>2014-15</c:v>
                </c:pt>
                <c:pt idx="1">
                  <c:v>2015-16</c:v>
                </c:pt>
                <c:pt idx="2">
                  <c:v>2016-17</c:v>
                </c:pt>
                <c:pt idx="3">
                  <c:v>2017-18</c:v>
                </c:pt>
                <c:pt idx="4">
                  <c:v>2018-19</c:v>
                </c:pt>
              </c:strCache>
            </c:strRef>
          </c:cat>
          <c:val>
            <c:numRef>
              <c:f>'Re-referrals'!$AS$47:$AW$47</c:f>
              <c:numCache>
                <c:formatCode>0.0%</c:formatCode>
                <c:ptCount val="5"/>
                <c:pt idx="0">
                  <c:v>0.28332022505898724</c:v>
                </c:pt>
                <c:pt idx="1">
                  <c:v>0.20838221874592638</c:v>
                </c:pt>
                <c:pt idx="2">
                  <c:v>0.23005378044922492</c:v>
                </c:pt>
                <c:pt idx="3">
                  <c:v>0.23083673153357767</c:v>
                </c:pt>
                <c:pt idx="4">
                  <c:v>0.26100749329978667</c:v>
                </c:pt>
              </c:numCache>
            </c:numRef>
          </c:val>
          <c:smooth val="0"/>
          <c:extLst>
            <c:ext xmlns:c16="http://schemas.microsoft.com/office/drawing/2014/chart" uri="{C3380CC4-5D6E-409C-BE32-E72D297353CC}">
              <c16:uniqueId val="{00000007-93B7-41AE-AFCF-1ECD455E82FA}"/>
            </c:ext>
          </c:extLst>
        </c:ser>
        <c:ser>
          <c:idx val="12"/>
          <c:order val="7"/>
          <c:tx>
            <c:strRef>
              <c:f>'Re-referrals'!$AL$48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'Re-referrals'!$Z$2:$AD$3</c:f>
              <c:strCache>
                <c:ptCount val="5"/>
                <c:pt idx="0">
                  <c:v>2014-15</c:v>
                </c:pt>
                <c:pt idx="1">
                  <c:v>2015-16</c:v>
                </c:pt>
                <c:pt idx="2">
                  <c:v>2016-17</c:v>
                </c:pt>
                <c:pt idx="3">
                  <c:v>2017-18</c:v>
                </c:pt>
                <c:pt idx="4">
                  <c:v>2018-19</c:v>
                </c:pt>
              </c:strCache>
            </c:strRef>
          </c:cat>
          <c:val>
            <c:numRef>
              <c:f>'Re-referrals'!$AS$48:$AW$48</c:f>
              <c:numCache>
                <c:formatCode>0.0%</c:formatCode>
                <c:ptCount val="5"/>
                <c:pt idx="0">
                  <c:v>0.19967532467532456</c:v>
                </c:pt>
                <c:pt idx="1">
                  <c:v>0.16508313539192399</c:v>
                </c:pt>
                <c:pt idx="2">
                  <c:v>0.17606149341142022</c:v>
                </c:pt>
                <c:pt idx="3">
                  <c:v>0.16998468606431852</c:v>
                </c:pt>
                <c:pt idx="4">
                  <c:v>0.14310559006211179</c:v>
                </c:pt>
              </c:numCache>
            </c:numRef>
          </c:val>
          <c:smooth val="0"/>
          <c:extLst>
            <c:ext xmlns:c16="http://schemas.microsoft.com/office/drawing/2014/chart" uri="{C3380CC4-5D6E-409C-BE32-E72D297353CC}">
              <c16:uniqueId val="{00000008-93B7-41AE-AFCF-1ECD455E82FA}"/>
            </c:ext>
          </c:extLst>
        </c:ser>
        <c:ser>
          <c:idx val="13"/>
          <c:order val="8"/>
          <c:tx>
            <c:strRef>
              <c:f>'Re-referrals'!$AL$49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'Re-referrals'!$Z$2:$AD$3</c:f>
              <c:strCache>
                <c:ptCount val="5"/>
                <c:pt idx="0">
                  <c:v>2014-15</c:v>
                </c:pt>
                <c:pt idx="1">
                  <c:v>2015-16</c:v>
                </c:pt>
                <c:pt idx="2">
                  <c:v>2016-17</c:v>
                </c:pt>
                <c:pt idx="3">
                  <c:v>2017-18</c:v>
                </c:pt>
                <c:pt idx="4">
                  <c:v>2018-19</c:v>
                </c:pt>
              </c:strCache>
            </c:strRef>
          </c:cat>
          <c:val>
            <c:numRef>
              <c:f>'Re-referrals'!$AS$49:$AW$49</c:f>
              <c:numCache>
                <c:formatCode>0.0%</c:formatCode>
                <c:ptCount val="5"/>
                <c:pt idx="0">
                  <c:v>0.23160762942779295</c:v>
                </c:pt>
                <c:pt idx="1">
                  <c:v>0.20946189960274467</c:v>
                </c:pt>
                <c:pt idx="2">
                  <c:v>0.19072332144015569</c:v>
                </c:pt>
                <c:pt idx="3">
                  <c:v>0.2055955913522679</c:v>
                </c:pt>
                <c:pt idx="4">
                  <c:v>0.19838056680161945</c:v>
                </c:pt>
              </c:numCache>
            </c:numRef>
          </c:val>
          <c:smooth val="0"/>
          <c:extLst>
            <c:ext xmlns:c16="http://schemas.microsoft.com/office/drawing/2014/chart" uri="{C3380CC4-5D6E-409C-BE32-E72D297353CC}">
              <c16:uniqueId val="{00000009-93B7-41AE-AFCF-1ECD455E82FA}"/>
            </c:ext>
          </c:extLst>
        </c:ser>
        <c:ser>
          <c:idx val="15"/>
          <c:order val="9"/>
          <c:tx>
            <c:strRef>
              <c:f>'Re-referrals'!$AL$50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'Re-referrals'!$Z$2:$AD$3</c:f>
              <c:strCache>
                <c:ptCount val="5"/>
                <c:pt idx="0">
                  <c:v>2014-15</c:v>
                </c:pt>
                <c:pt idx="1">
                  <c:v>2015-16</c:v>
                </c:pt>
                <c:pt idx="2">
                  <c:v>2016-17</c:v>
                </c:pt>
                <c:pt idx="3">
                  <c:v>2017-18</c:v>
                </c:pt>
                <c:pt idx="4">
                  <c:v>2018-19</c:v>
                </c:pt>
              </c:strCache>
            </c:strRef>
          </c:cat>
          <c:val>
            <c:numRef>
              <c:f>'Re-referrals'!$AS$50:$AW$50</c:f>
              <c:numCache>
                <c:formatCode>0.0%</c:formatCode>
                <c:ptCount val="5"/>
                <c:pt idx="0">
                  <c:v>0.24315733710047682</c:v>
                </c:pt>
                <c:pt idx="1">
                  <c:v>0.25362962962962965</c:v>
                </c:pt>
                <c:pt idx="2">
                  <c:v>0.19883951316161902</c:v>
                </c:pt>
                <c:pt idx="3">
                  <c:v>0.18608746697974757</c:v>
                </c:pt>
                <c:pt idx="4">
                  <c:v>0.18291783448886267</c:v>
                </c:pt>
              </c:numCache>
            </c:numRef>
          </c:val>
          <c:smooth val="0"/>
          <c:extLst>
            <c:ext xmlns:c16="http://schemas.microsoft.com/office/drawing/2014/chart" uri="{C3380CC4-5D6E-409C-BE32-E72D297353CC}">
              <c16:uniqueId val="{0000000A-93B7-41AE-AFCF-1ECD455E82FA}"/>
            </c:ext>
          </c:extLst>
        </c:ser>
        <c:ser>
          <c:idx val="16"/>
          <c:order val="10"/>
          <c:tx>
            <c:strRef>
              <c:f>'Re-referrals'!$AL$51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'Re-referrals'!$Z$2:$AD$3</c:f>
              <c:strCache>
                <c:ptCount val="5"/>
                <c:pt idx="0">
                  <c:v>2014-15</c:v>
                </c:pt>
                <c:pt idx="1">
                  <c:v>2015-16</c:v>
                </c:pt>
                <c:pt idx="2">
                  <c:v>2016-17</c:v>
                </c:pt>
                <c:pt idx="3">
                  <c:v>2017-18</c:v>
                </c:pt>
                <c:pt idx="4">
                  <c:v>2018-19</c:v>
                </c:pt>
              </c:strCache>
            </c:strRef>
          </c:cat>
          <c:val>
            <c:numRef>
              <c:f>'Re-referrals'!$AS$51:$AW$51</c:f>
              <c:numCache>
                <c:formatCode>0.0%</c:formatCode>
                <c:ptCount val="5"/>
                <c:pt idx="0">
                  <c:v>0.19781363872982802</c:v>
                </c:pt>
                <c:pt idx="1">
                  <c:v>0.19445771619684657</c:v>
                </c:pt>
                <c:pt idx="2">
                  <c:v>0.25934861278648974</c:v>
                </c:pt>
                <c:pt idx="3">
                  <c:v>0.22741652021089631</c:v>
                </c:pt>
                <c:pt idx="4">
                  <c:v>0.25632911392405061</c:v>
                </c:pt>
              </c:numCache>
            </c:numRef>
          </c:val>
          <c:smooth val="0"/>
          <c:extLst>
            <c:ext xmlns:c16="http://schemas.microsoft.com/office/drawing/2014/chart" uri="{C3380CC4-5D6E-409C-BE32-E72D297353CC}">
              <c16:uniqueId val="{0000000B-93B7-41AE-AFCF-1ECD455E82FA}"/>
            </c:ext>
          </c:extLst>
        </c:ser>
        <c:ser>
          <c:idx val="17"/>
          <c:order val="11"/>
          <c:tx>
            <c:strRef>
              <c:f>'Re-referrals'!$AL$52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'Re-referrals'!$Z$2:$AD$3</c:f>
              <c:strCache>
                <c:ptCount val="5"/>
                <c:pt idx="0">
                  <c:v>2014-15</c:v>
                </c:pt>
                <c:pt idx="1">
                  <c:v>2015-16</c:v>
                </c:pt>
                <c:pt idx="2">
                  <c:v>2016-17</c:v>
                </c:pt>
                <c:pt idx="3">
                  <c:v>2017-18</c:v>
                </c:pt>
                <c:pt idx="4">
                  <c:v>2018-19</c:v>
                </c:pt>
              </c:strCache>
            </c:strRef>
          </c:cat>
          <c:val>
            <c:numRef>
              <c:f>'Re-referrals'!$AS$52:$AW$52</c:f>
              <c:numCache>
                <c:formatCode>0.0%</c:formatCode>
                <c:ptCount val="5"/>
                <c:pt idx="0">
                  <c:v>0.2109982068141063</c:v>
                </c:pt>
                <c:pt idx="1">
                  <c:v>0.20987654320987653</c:v>
                </c:pt>
                <c:pt idx="2">
                  <c:v>0.2846648301193756</c:v>
                </c:pt>
                <c:pt idx="3">
                  <c:v>0.22374429223744291</c:v>
                </c:pt>
                <c:pt idx="4">
                  <c:v>0.27236217597663381</c:v>
                </c:pt>
              </c:numCache>
            </c:numRef>
          </c:val>
          <c:smooth val="0"/>
          <c:extLst>
            <c:ext xmlns:c16="http://schemas.microsoft.com/office/drawing/2014/chart" uri="{C3380CC4-5D6E-409C-BE32-E72D297353CC}">
              <c16:uniqueId val="{0000000C-93B7-41AE-AFCF-1ECD455E82FA}"/>
            </c:ext>
          </c:extLst>
        </c:ser>
        <c:ser>
          <c:idx val="19"/>
          <c:order val="12"/>
          <c:tx>
            <c:strRef>
              <c:f>'Re-referrals'!$AL$53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'Re-referrals'!$Z$2:$AD$3</c:f>
              <c:strCache>
                <c:ptCount val="5"/>
                <c:pt idx="0">
                  <c:v>2014-15</c:v>
                </c:pt>
                <c:pt idx="1">
                  <c:v>2015-16</c:v>
                </c:pt>
                <c:pt idx="2">
                  <c:v>2016-17</c:v>
                </c:pt>
                <c:pt idx="3">
                  <c:v>2017-18</c:v>
                </c:pt>
                <c:pt idx="4">
                  <c:v>2018-19</c:v>
                </c:pt>
              </c:strCache>
            </c:strRef>
          </c:cat>
          <c:val>
            <c:numRef>
              <c:f>'Re-referrals'!$AS$53:$AW$53</c:f>
              <c:numCache>
                <c:formatCode>0.0%</c:formatCode>
                <c:ptCount val="5"/>
                <c:pt idx="0">
                  <c:v>0.21034180543383005</c:v>
                </c:pt>
                <c:pt idx="1">
                  <c:v>0.18817591925018029</c:v>
                </c:pt>
                <c:pt idx="2">
                  <c:v>0.29043600562587907</c:v>
                </c:pt>
                <c:pt idx="3">
                  <c:v>0.24512884978001256</c:v>
                </c:pt>
                <c:pt idx="4">
                  <c:v>0.14760705289672543</c:v>
                </c:pt>
              </c:numCache>
            </c:numRef>
          </c:val>
          <c:smooth val="0"/>
          <c:extLst>
            <c:ext xmlns:c16="http://schemas.microsoft.com/office/drawing/2014/chart" uri="{C3380CC4-5D6E-409C-BE32-E72D297353CC}">
              <c16:uniqueId val="{0000000D-93B7-41AE-AFCF-1ECD455E82FA}"/>
            </c:ext>
          </c:extLst>
        </c:ser>
        <c:ser>
          <c:idx val="3"/>
          <c:order val="13"/>
          <c:tx>
            <c:strRef>
              <c:f>'Re-referrals'!$AL$54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'Re-referrals'!$Z$2:$AD$3</c:f>
              <c:strCache>
                <c:ptCount val="5"/>
                <c:pt idx="0">
                  <c:v>2014-15</c:v>
                </c:pt>
                <c:pt idx="1">
                  <c:v>2015-16</c:v>
                </c:pt>
                <c:pt idx="2">
                  <c:v>2016-17</c:v>
                </c:pt>
                <c:pt idx="3">
                  <c:v>2017-18</c:v>
                </c:pt>
                <c:pt idx="4">
                  <c:v>2018-19</c:v>
                </c:pt>
              </c:strCache>
            </c:strRef>
          </c:cat>
          <c:val>
            <c:numRef>
              <c:f>'Re-referrals'!$AS$54:$AW$54</c:f>
              <c:numCache>
                <c:formatCode>0.0%</c:formatCode>
                <c:ptCount val="5"/>
                <c:pt idx="0">
                  <c:v>0.26971919155786045</c:v>
                </c:pt>
                <c:pt idx="1">
                  <c:v>0.23832567142511493</c:v>
                </c:pt>
                <c:pt idx="2">
                  <c:v>0.19886958342055683</c:v>
                </c:pt>
                <c:pt idx="3">
                  <c:v>0.21374636979670861</c:v>
                </c:pt>
                <c:pt idx="4">
                  <c:v>0.23864229765013054</c:v>
                </c:pt>
              </c:numCache>
            </c:numRef>
          </c:val>
          <c:smooth val="0"/>
          <c:extLst>
            <c:ext xmlns:c16="http://schemas.microsoft.com/office/drawing/2014/chart" uri="{C3380CC4-5D6E-409C-BE32-E72D297353CC}">
              <c16:uniqueId val="{0000000E-93B7-41AE-AFCF-1ECD455E82FA}"/>
            </c:ext>
          </c:extLst>
        </c:ser>
        <c:ser>
          <c:idx val="20"/>
          <c:order val="14"/>
          <c:tx>
            <c:strRef>
              <c:f>'Re-referrals'!$AL$55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'Re-referrals'!$Z$2:$AD$3</c:f>
              <c:strCache>
                <c:ptCount val="5"/>
                <c:pt idx="0">
                  <c:v>2014-15</c:v>
                </c:pt>
                <c:pt idx="1">
                  <c:v>2015-16</c:v>
                </c:pt>
                <c:pt idx="2">
                  <c:v>2016-17</c:v>
                </c:pt>
                <c:pt idx="3">
                  <c:v>2017-18</c:v>
                </c:pt>
                <c:pt idx="4">
                  <c:v>2018-19</c:v>
                </c:pt>
              </c:strCache>
            </c:strRef>
          </c:cat>
          <c:val>
            <c:numRef>
              <c:f>'Re-referrals'!$AS$55:$AW$55</c:f>
              <c:numCache>
                <c:formatCode>0.0%</c:formatCode>
                <c:ptCount val="5"/>
                <c:pt idx="0">
                  <c:v>0.34555954424847823</c:v>
                </c:pt>
                <c:pt idx="1">
                  <c:v>0.19193391642371235</c:v>
                </c:pt>
                <c:pt idx="2">
                  <c:v>0.26609724047306177</c:v>
                </c:pt>
                <c:pt idx="3">
                  <c:v>0.20283199387677001</c:v>
                </c:pt>
                <c:pt idx="4">
                  <c:v>0.16974595842956119</c:v>
                </c:pt>
              </c:numCache>
            </c:numRef>
          </c:val>
          <c:smooth val="0"/>
          <c:extLst>
            <c:ext xmlns:c16="http://schemas.microsoft.com/office/drawing/2014/chart" uri="{C3380CC4-5D6E-409C-BE32-E72D297353CC}">
              <c16:uniqueId val="{0000000F-93B7-41AE-AFCF-1ECD455E82FA}"/>
            </c:ext>
          </c:extLst>
        </c:ser>
        <c:ser>
          <c:idx val="22"/>
          <c:order val="15"/>
          <c:tx>
            <c:strRef>
              <c:f>'Re-referrals'!$AL$56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'Re-referrals'!$Z$2:$AD$3</c:f>
              <c:strCache>
                <c:ptCount val="5"/>
                <c:pt idx="0">
                  <c:v>2014-15</c:v>
                </c:pt>
                <c:pt idx="1">
                  <c:v>2015-16</c:v>
                </c:pt>
                <c:pt idx="2">
                  <c:v>2016-17</c:v>
                </c:pt>
                <c:pt idx="3">
                  <c:v>2017-18</c:v>
                </c:pt>
                <c:pt idx="4">
                  <c:v>2018-19</c:v>
                </c:pt>
              </c:strCache>
            </c:strRef>
          </c:cat>
          <c:val>
            <c:numRef>
              <c:f>'Re-referrals'!$AS$56:$AW$56</c:f>
              <c:numCache>
                <c:formatCode>0.0%</c:formatCode>
                <c:ptCount val="5"/>
                <c:pt idx="0">
                  <c:v>0.25363262851989149</c:v>
                </c:pt>
                <c:pt idx="1">
                  <c:v>0.24133242692046228</c:v>
                </c:pt>
                <c:pt idx="2">
                  <c:v>0.24796643548248995</c:v>
                </c:pt>
                <c:pt idx="3">
                  <c:v>0.27330104212534861</c:v>
                </c:pt>
                <c:pt idx="4">
                  <c:v>0.25528913963328631</c:v>
                </c:pt>
              </c:numCache>
            </c:numRef>
          </c:val>
          <c:smooth val="0"/>
          <c:extLst>
            <c:ext xmlns:c16="http://schemas.microsoft.com/office/drawing/2014/chart" uri="{C3380CC4-5D6E-409C-BE32-E72D297353CC}">
              <c16:uniqueId val="{00000010-93B7-41AE-AFCF-1ECD455E82FA}"/>
            </c:ext>
          </c:extLst>
        </c:ser>
        <c:ser>
          <c:idx val="7"/>
          <c:order val="16"/>
          <c:tx>
            <c:strRef>
              <c:f>'Re-referrals'!$AL$57</c:f>
              <c:strCache>
                <c:ptCount val="1"/>
                <c:pt idx="0">
                  <c:v>Swindon</c:v>
                </c:pt>
              </c:strCache>
            </c:strRef>
          </c:tx>
          <c:spPr>
            <a:ln w="15875"/>
          </c:spPr>
          <c:marker>
            <c:symbol val="triangle"/>
            <c:size val="5"/>
            <c:spPr>
              <a:solidFill>
                <a:schemeClr val="accent2">
                  <a:lumMod val="20000"/>
                  <a:lumOff val="80000"/>
                </a:schemeClr>
              </a:solidFill>
            </c:spPr>
          </c:marker>
          <c:cat>
            <c:strRef>
              <c:f>'Re-referrals'!$Z$2:$AD$3</c:f>
              <c:strCache>
                <c:ptCount val="5"/>
                <c:pt idx="0">
                  <c:v>2014-15</c:v>
                </c:pt>
                <c:pt idx="1">
                  <c:v>2015-16</c:v>
                </c:pt>
                <c:pt idx="2">
                  <c:v>2016-17</c:v>
                </c:pt>
                <c:pt idx="3">
                  <c:v>2017-18</c:v>
                </c:pt>
                <c:pt idx="4">
                  <c:v>2018-19</c:v>
                </c:pt>
              </c:strCache>
            </c:strRef>
          </c:cat>
          <c:val>
            <c:numRef>
              <c:f>'Re-referrals'!$AS$57:$AW$57</c:f>
              <c:numCache>
                <c:formatCode>0.0%</c:formatCode>
                <c:ptCount val="5"/>
                <c:pt idx="0">
                  <c:v>0.20037735849056609</c:v>
                </c:pt>
                <c:pt idx="1">
                  <c:v>0.27870778267254037</c:v>
                </c:pt>
                <c:pt idx="2">
                  <c:v>0.26613704071499505</c:v>
                </c:pt>
                <c:pt idx="3">
                  <c:v>0.24179762889440309</c:v>
                </c:pt>
                <c:pt idx="4">
                  <c:v>0.17951881554595928</c:v>
                </c:pt>
              </c:numCache>
            </c:numRef>
          </c:val>
          <c:smooth val="0"/>
          <c:extLst>
            <c:ext xmlns:c16="http://schemas.microsoft.com/office/drawing/2014/chart" uri="{C3380CC4-5D6E-409C-BE32-E72D297353CC}">
              <c16:uniqueId val="{00000011-93B7-41AE-AFCF-1ECD455E82FA}"/>
            </c:ext>
          </c:extLst>
        </c:ser>
        <c:ser>
          <c:idx val="8"/>
          <c:order val="17"/>
          <c:tx>
            <c:strRef>
              <c:f>'Re-referrals'!$AL$58</c:f>
              <c:strCache>
                <c:ptCount val="1"/>
                <c:pt idx="0">
                  <c:v>Torbay</c:v>
                </c:pt>
              </c:strCache>
            </c:strRef>
          </c:tx>
          <c:spPr>
            <a:ln w="15875"/>
          </c:spPr>
          <c:marker>
            <c:symbol val="circle"/>
            <c:size val="5"/>
            <c:spPr>
              <a:solidFill>
                <a:schemeClr val="accent3">
                  <a:lumMod val="20000"/>
                  <a:lumOff val="80000"/>
                </a:schemeClr>
              </a:solidFill>
            </c:spPr>
          </c:marker>
          <c:cat>
            <c:strRef>
              <c:f>'Re-referrals'!$Z$2:$AD$3</c:f>
              <c:strCache>
                <c:ptCount val="5"/>
                <c:pt idx="0">
                  <c:v>2014-15</c:v>
                </c:pt>
                <c:pt idx="1">
                  <c:v>2015-16</c:v>
                </c:pt>
                <c:pt idx="2">
                  <c:v>2016-17</c:v>
                </c:pt>
                <c:pt idx="3">
                  <c:v>2017-18</c:v>
                </c:pt>
                <c:pt idx="4">
                  <c:v>2018-19</c:v>
                </c:pt>
              </c:strCache>
            </c:strRef>
          </c:cat>
          <c:val>
            <c:numRef>
              <c:f>'Re-referrals'!$AS$58:$AW$58</c:f>
              <c:numCache>
                <c:formatCode>0.0%</c:formatCode>
                <c:ptCount val="5"/>
                <c:pt idx="0">
                  <c:v>0.24929709465791941</c:v>
                </c:pt>
                <c:pt idx="1">
                  <c:v>0.28873239436619724</c:v>
                </c:pt>
                <c:pt idx="2">
                  <c:v>0.27042079207920794</c:v>
                </c:pt>
                <c:pt idx="3">
                  <c:v>0.24598337950138505</c:v>
                </c:pt>
                <c:pt idx="4">
                  <c:v>0.26387315968289921</c:v>
                </c:pt>
              </c:numCache>
            </c:numRef>
          </c:val>
          <c:smooth val="0"/>
          <c:extLst>
            <c:ext xmlns:c16="http://schemas.microsoft.com/office/drawing/2014/chart" uri="{C3380CC4-5D6E-409C-BE32-E72D297353CC}">
              <c16:uniqueId val="{00000012-93B7-41AE-AFCF-1ECD455E82FA}"/>
            </c:ext>
          </c:extLst>
        </c:ser>
        <c:ser>
          <c:idx val="23"/>
          <c:order val="18"/>
          <c:tx>
            <c:strRef>
              <c:f>'Re-referrals'!$AL$59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'Re-referrals'!$Z$2:$AD$3</c:f>
              <c:strCache>
                <c:ptCount val="5"/>
                <c:pt idx="0">
                  <c:v>2014-15</c:v>
                </c:pt>
                <c:pt idx="1">
                  <c:v>2015-16</c:v>
                </c:pt>
                <c:pt idx="2">
                  <c:v>2016-17</c:v>
                </c:pt>
                <c:pt idx="3">
                  <c:v>2017-18</c:v>
                </c:pt>
                <c:pt idx="4">
                  <c:v>2018-19</c:v>
                </c:pt>
              </c:strCache>
            </c:strRef>
          </c:cat>
          <c:val>
            <c:numRef>
              <c:f>'Re-referrals'!$AS$59:$AW$59</c:f>
              <c:numCache>
                <c:formatCode>0.0%</c:formatCode>
                <c:ptCount val="5"/>
                <c:pt idx="0">
                  <c:v>0.24066719618745036</c:v>
                </c:pt>
                <c:pt idx="1">
                  <c:v>0.16043956043956045</c:v>
                </c:pt>
                <c:pt idx="2">
                  <c:v>0.2360774818401937</c:v>
                </c:pt>
                <c:pt idx="3">
                  <c:v>0.26917989417989419</c:v>
                </c:pt>
                <c:pt idx="4">
                  <c:v>0.26156583629893237</c:v>
                </c:pt>
              </c:numCache>
            </c:numRef>
          </c:val>
          <c:smooth val="0"/>
          <c:extLst>
            <c:ext xmlns:c16="http://schemas.microsoft.com/office/drawing/2014/chart" uri="{C3380CC4-5D6E-409C-BE32-E72D297353CC}">
              <c16:uniqueId val="{00000013-93B7-41AE-AFCF-1ECD455E82FA}"/>
            </c:ext>
          </c:extLst>
        </c:ser>
        <c:ser>
          <c:idx val="24"/>
          <c:order val="19"/>
          <c:tx>
            <c:strRef>
              <c:f>'Re-referrals'!$AL$60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'Re-referrals'!$Z$2:$AD$3</c:f>
              <c:strCache>
                <c:ptCount val="5"/>
                <c:pt idx="0">
                  <c:v>2014-15</c:v>
                </c:pt>
                <c:pt idx="1">
                  <c:v>2015-16</c:v>
                </c:pt>
                <c:pt idx="2">
                  <c:v>2016-17</c:v>
                </c:pt>
                <c:pt idx="3">
                  <c:v>2017-18</c:v>
                </c:pt>
                <c:pt idx="4">
                  <c:v>2018-19</c:v>
                </c:pt>
              </c:strCache>
            </c:strRef>
          </c:cat>
          <c:val>
            <c:numRef>
              <c:f>'Re-referrals'!$AS$60:$AW$60</c:f>
              <c:numCache>
                <c:formatCode>0.0%</c:formatCode>
                <c:ptCount val="5"/>
                <c:pt idx="0">
                  <c:v>0.21729073297672405</c:v>
                </c:pt>
                <c:pt idx="1">
                  <c:v>0.24389345771449578</c:v>
                </c:pt>
                <c:pt idx="2">
                  <c:v>0.25271708042558061</c:v>
                </c:pt>
                <c:pt idx="3">
                  <c:v>0.26803401700850427</c:v>
                </c:pt>
                <c:pt idx="4">
                  <c:v>0.25774499473129608</c:v>
                </c:pt>
              </c:numCache>
            </c:numRef>
          </c:val>
          <c:smooth val="0"/>
          <c:extLst>
            <c:ext xmlns:c16="http://schemas.microsoft.com/office/drawing/2014/chart" uri="{C3380CC4-5D6E-409C-BE32-E72D297353CC}">
              <c16:uniqueId val="{00000014-93B7-41AE-AFCF-1ECD455E82FA}"/>
            </c:ext>
          </c:extLst>
        </c:ser>
        <c:ser>
          <c:idx val="25"/>
          <c:order val="20"/>
          <c:tx>
            <c:strRef>
              <c:f>'Re-referrals'!$AL$61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'Re-referrals'!$Z$2:$AD$3</c:f>
              <c:strCache>
                <c:ptCount val="5"/>
                <c:pt idx="0">
                  <c:v>2014-15</c:v>
                </c:pt>
                <c:pt idx="1">
                  <c:v>2015-16</c:v>
                </c:pt>
                <c:pt idx="2">
                  <c:v>2016-17</c:v>
                </c:pt>
                <c:pt idx="3">
                  <c:v>2017-18</c:v>
                </c:pt>
                <c:pt idx="4">
                  <c:v>2018-19</c:v>
                </c:pt>
              </c:strCache>
            </c:strRef>
          </c:cat>
          <c:val>
            <c:numRef>
              <c:f>'Re-referrals'!$AS$61:$AW$61</c:f>
              <c:numCache>
                <c:formatCode>0.0%</c:formatCode>
                <c:ptCount val="5"/>
                <c:pt idx="0">
                  <c:v>0.17938931297709931</c:v>
                </c:pt>
                <c:pt idx="1">
                  <c:v>0.17309417040358743</c:v>
                </c:pt>
                <c:pt idx="2">
                  <c:v>0.11794354838709678</c:v>
                </c:pt>
                <c:pt idx="3">
                  <c:v>0.15645617342130066</c:v>
                </c:pt>
                <c:pt idx="4">
                  <c:v>0.20969162995594715</c:v>
                </c:pt>
              </c:numCache>
            </c:numRef>
          </c:val>
          <c:smooth val="0"/>
          <c:extLst>
            <c:ext xmlns:c16="http://schemas.microsoft.com/office/drawing/2014/chart" uri="{C3380CC4-5D6E-409C-BE32-E72D297353CC}">
              <c16:uniqueId val="{00000015-93B7-41AE-AFCF-1ECD455E82FA}"/>
            </c:ext>
          </c:extLst>
        </c:ser>
        <c:ser>
          <c:idx val="26"/>
          <c:order val="21"/>
          <c:tx>
            <c:strRef>
              <c:f>'Re-referrals'!$AL$62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'Re-referrals'!$Z$2:$AD$3</c:f>
              <c:strCache>
                <c:ptCount val="5"/>
                <c:pt idx="0">
                  <c:v>2014-15</c:v>
                </c:pt>
                <c:pt idx="1">
                  <c:v>2015-16</c:v>
                </c:pt>
                <c:pt idx="2">
                  <c:v>2016-17</c:v>
                </c:pt>
                <c:pt idx="3">
                  <c:v>2017-18</c:v>
                </c:pt>
                <c:pt idx="4">
                  <c:v>2018-19</c:v>
                </c:pt>
              </c:strCache>
            </c:strRef>
          </c:cat>
          <c:val>
            <c:numRef>
              <c:f>'Re-referrals'!$AS$62:$AW$62</c:f>
              <c:numCache>
                <c:formatCode>0.0%</c:formatCode>
                <c:ptCount val="5"/>
                <c:pt idx="0">
                  <c:v>0.26161616161616169</c:v>
                </c:pt>
                <c:pt idx="1">
                  <c:v>0.17241379310344829</c:v>
                </c:pt>
                <c:pt idx="2">
                  <c:v>0.1874310915104741</c:v>
                </c:pt>
                <c:pt idx="3">
                  <c:v>0.16557257476294676</c:v>
                </c:pt>
                <c:pt idx="4">
                  <c:v>0.21055718475073315</c:v>
                </c:pt>
              </c:numCache>
            </c:numRef>
          </c:val>
          <c:smooth val="0"/>
          <c:extLst>
            <c:ext xmlns:c16="http://schemas.microsoft.com/office/drawing/2014/chart" uri="{C3380CC4-5D6E-409C-BE32-E72D297353CC}">
              <c16:uniqueId val="{00000016-93B7-41AE-AFCF-1ECD455E82FA}"/>
            </c:ext>
          </c:extLst>
        </c:ser>
        <c:ser>
          <c:idx val="4"/>
          <c:order val="22"/>
          <c:tx>
            <c:strRef>
              <c:f>'Re-referrals'!$AL$63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'Re-referrals'!$Z$2:$AD$3</c:f>
              <c:strCache>
                <c:ptCount val="5"/>
                <c:pt idx="0">
                  <c:v>2014-15</c:v>
                </c:pt>
                <c:pt idx="1">
                  <c:v>2015-16</c:v>
                </c:pt>
                <c:pt idx="2">
                  <c:v>2016-17</c:v>
                </c:pt>
                <c:pt idx="3">
                  <c:v>2017-18</c:v>
                </c:pt>
                <c:pt idx="4">
                  <c:v>2018-19</c:v>
                </c:pt>
              </c:strCache>
            </c:strRef>
          </c:cat>
          <c:val>
            <c:numRef>
              <c:f>'Re-referrals'!$AS$63:$AW$63</c:f>
              <c:numCache>
                <c:formatCode>0.0%</c:formatCode>
                <c:ptCount val="5"/>
                <c:pt idx="0">
                  <c:v>0.27657378740970073</c:v>
                </c:pt>
                <c:pt idx="1">
                  <c:v>0.234860883797054</c:v>
                </c:pt>
                <c:pt idx="2">
                  <c:v>0.25662808065720688</c:v>
                </c:pt>
                <c:pt idx="3">
                  <c:v>0.25180598555211559</c:v>
                </c:pt>
                <c:pt idx="4">
                  <c:v>0.2558871198398322</c:v>
                </c:pt>
              </c:numCache>
            </c:numRef>
          </c:val>
          <c:smooth val="0"/>
          <c:extLst>
            <c:ext xmlns:c16="http://schemas.microsoft.com/office/drawing/2014/chart" uri="{C3380CC4-5D6E-409C-BE32-E72D297353CC}">
              <c16:uniqueId val="{00000017-93B7-41AE-AFCF-1ECD455E82FA}"/>
            </c:ext>
          </c:extLst>
        </c:ser>
        <c:ser>
          <c:idx val="14"/>
          <c:order val="23"/>
          <c:tx>
            <c:strRef>
              <c:f>'Re-referrals'!$AL$64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'Re-referrals'!$Z$2:$AD$3</c:f>
              <c:strCache>
                <c:ptCount val="5"/>
                <c:pt idx="0">
                  <c:v>2014-15</c:v>
                </c:pt>
                <c:pt idx="1">
                  <c:v>2015-16</c:v>
                </c:pt>
                <c:pt idx="2">
                  <c:v>2016-17</c:v>
                </c:pt>
                <c:pt idx="3">
                  <c:v>2017-18</c:v>
                </c:pt>
                <c:pt idx="4">
                  <c:v>2018-19</c:v>
                </c:pt>
              </c:strCache>
            </c:strRef>
          </c:cat>
          <c:val>
            <c:numRef>
              <c:f>'Re-referrals'!$AS$64:$AW$64</c:f>
              <c:numCache>
                <c:formatCode>0.0%</c:formatCode>
                <c:ptCount val="5"/>
                <c:pt idx="0">
                  <c:v>#N/A</c:v>
                </c:pt>
                <c:pt idx="1">
                  <c:v>0.22318052359727741</c:v>
                </c:pt>
                <c:pt idx="2">
                  <c:v>0.21909242865102457</c:v>
                </c:pt>
                <c:pt idx="3">
                  <c:v>0.21934627762610009</c:v>
                </c:pt>
                <c:pt idx="4">
                  <c:v>0.22606117401256665</c:v>
                </c:pt>
              </c:numCache>
            </c:numRef>
          </c:val>
          <c:smooth val="0"/>
          <c:extLst>
            <c:ext xmlns:c16="http://schemas.microsoft.com/office/drawing/2014/chart" uri="{C3380CC4-5D6E-409C-BE32-E72D297353CC}">
              <c16:uniqueId val="{00000018-93B7-41AE-AFCF-1ECD455E82FA}"/>
            </c:ext>
          </c:extLst>
        </c:ser>
        <c:ser>
          <c:idx val="6"/>
          <c:order val="24"/>
          <c:tx>
            <c:strRef>
              <c:f>'Re-referrals'!$AL$65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'Re-referrals'!$Z$2:$AD$3</c:f>
              <c:strCache>
                <c:ptCount val="5"/>
                <c:pt idx="0">
                  <c:v>2014-15</c:v>
                </c:pt>
                <c:pt idx="1">
                  <c:v>2015-16</c:v>
                </c:pt>
                <c:pt idx="2">
                  <c:v>2016-17</c:v>
                </c:pt>
                <c:pt idx="3">
                  <c:v>2017-18</c:v>
                </c:pt>
                <c:pt idx="4">
                  <c:v>2018-19</c:v>
                </c:pt>
              </c:strCache>
            </c:strRef>
          </c:cat>
          <c:val>
            <c:numRef>
              <c:f>'Re-referrals'!$AS$65:$AW$65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93B7-41AE-AFCF-1ECD455E82FA}"/>
            </c:ext>
          </c:extLst>
        </c:ser>
        <c:dLbls>
          <c:showLegendKey val="0"/>
          <c:showVal val="0"/>
          <c:showCatName val="0"/>
          <c:showSerName val="0"/>
          <c:showPercent val="0"/>
          <c:showBubbleSize val="0"/>
        </c:dLbls>
        <c:marker val="1"/>
        <c:smooth val="0"/>
        <c:axId val="721321344"/>
        <c:axId val="721413632"/>
      </c:lineChart>
      <c:catAx>
        <c:axId val="721321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721413632"/>
        <c:crosses val="autoZero"/>
        <c:auto val="1"/>
        <c:lblAlgn val="ctr"/>
        <c:lblOffset val="100"/>
        <c:tickLblSkip val="1"/>
        <c:tickMarkSkip val="1"/>
        <c:noMultiLvlLbl val="0"/>
      </c:catAx>
      <c:valAx>
        <c:axId val="72141363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72132134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'Re-referrals'!$S$8:$U$8</c:f>
              <c:strCache>
                <c:ptCount val="1"/>
              </c:strCache>
            </c:strRef>
          </c:tx>
          <c:spPr>
            <a:solidFill>
              <a:srgbClr val="FB994F"/>
            </a:solidFill>
            <a:ln w="25400">
              <a:noFill/>
            </a:ln>
          </c:spPr>
          <c:invertIfNegative val="0"/>
          <c:cat>
            <c:strRef>
              <c:f>'Re-referrals'!$Y$77:$Y$100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'Re-referrals'!$U$10:$U$33</c:f>
              <c:numCache>
                <c:formatCode>0.0</c:formatCode>
                <c:ptCount val="24"/>
                <c:pt idx="0">
                  <c:v>129.93559365655017</c:v>
                </c:pt>
                <c:pt idx="1">
                  <c:v>43.397576511357101</c:v>
                </c:pt>
                <c:pt idx="2">
                  <c:v>108.82684955973383</c:v>
                </c:pt>
                <c:pt idx="3">
                  <c:v>-38.98109776434228</c:v>
                </c:pt>
                <c:pt idx="4">
                  <c:v>96.32383368903578</c:v>
                </c:pt>
                <c:pt idx="5">
                  <c:v>209.20126590434558</c:v>
                </c:pt>
                <c:pt idx="6">
                  <c:v>25.893105547881873</c:v>
                </c:pt>
                <c:pt idx="7">
                  <c:v>-36.967078270412756</c:v>
                </c:pt>
                <c:pt idx="8">
                  <c:v>-32.407957138105203</c:v>
                </c:pt>
                <c:pt idx="9">
                  <c:v>-6.7379902935336844</c:v>
                </c:pt>
                <c:pt idx="10">
                  <c:v>34.245889367519652</c:v>
                </c:pt>
                <c:pt idx="11">
                  <c:v>85.886083202586576</c:v>
                </c:pt>
                <c:pt idx="12">
                  <c:v>-41.545960179327764</c:v>
                </c:pt>
                <c:pt idx="13">
                  <c:v>-23.344394505450992</c:v>
                </c:pt>
                <c:pt idx="14">
                  <c:v>-45.785179828035709</c:v>
                </c:pt>
                <c:pt idx="15">
                  <c:v>18.253819596445254</c:v>
                </c:pt>
                <c:pt idx="16">
                  <c:v>4.998511397972905</c:v>
                </c:pt>
                <c:pt idx="17">
                  <c:v>45.453748512056848</c:v>
                </c:pt>
                <c:pt idx="18">
                  <c:v>36.917670051820309</c:v>
                </c:pt>
                <c:pt idx="19">
                  <c:v>44.157274879999903</c:v>
                </c:pt>
                <c:pt idx="20">
                  <c:v>-10.437443036368734</c:v>
                </c:pt>
                <c:pt idx="21">
                  <c:v>15.916846076577912</c:v>
                </c:pt>
                <c:pt idx="22">
                  <c:v>35.963004391804191</c:v>
                </c:pt>
                <c:pt idx="23">
                  <c:v>3.7045513137956192</c:v>
                </c:pt>
              </c:numCache>
            </c:numRef>
          </c:val>
          <c:extLst>
            <c:ext xmlns:c16="http://schemas.microsoft.com/office/drawing/2014/chart" uri="{C3380CC4-5D6E-409C-BE32-E72D297353CC}">
              <c16:uniqueId val="{00000000-F264-412F-A059-AEE1D13E513A}"/>
            </c:ext>
          </c:extLst>
        </c:ser>
        <c:ser>
          <c:idx val="0"/>
          <c:order val="1"/>
          <c:tx>
            <c:strRef>
              <c:f>'Re-referrals'!$AA$4</c:f>
              <c:strCache>
                <c:ptCount val="1"/>
                <c:pt idx="0">
                  <c:v>Selected LA- (none)</c:v>
                </c:pt>
              </c:strCache>
            </c:strRef>
          </c:tx>
          <c:spPr>
            <a:solidFill>
              <a:srgbClr val="66FF99"/>
            </a:solidFill>
            <a:ln w="12700">
              <a:solidFill>
                <a:srgbClr val="000000"/>
              </a:solidFill>
              <a:prstDash val="solid"/>
            </a:ln>
          </c:spPr>
          <c:invertIfNegative val="0"/>
          <c:cat>
            <c:strRef>
              <c:f>'Re-referrals'!$Y$77:$Y$100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F264-412F-A059-AEE1D13E513A}"/>
            </c:ext>
          </c:extLst>
        </c:ser>
        <c:dLbls>
          <c:showLegendKey val="0"/>
          <c:showVal val="0"/>
          <c:showCatName val="0"/>
          <c:showSerName val="0"/>
          <c:showPercent val="0"/>
          <c:showBubbleSize val="0"/>
        </c:dLbls>
        <c:gapWidth val="40"/>
        <c:overlap val="100"/>
        <c:axId val="236957056"/>
        <c:axId val="236962944"/>
      </c:barChart>
      <c:catAx>
        <c:axId val="23695705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6962944"/>
        <c:crossesAt val="0"/>
        <c:auto val="1"/>
        <c:lblAlgn val="ctr"/>
        <c:lblOffset val="100"/>
        <c:noMultiLvlLbl val="0"/>
      </c:catAx>
      <c:valAx>
        <c:axId val="23696294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6957056"/>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'Re-referrals'!$AL$5</c:f>
          <c:strCache>
            <c:ptCount val="1"/>
            <c:pt idx="0">
              <c:v>Average Annual Change in Number of Re-referrals</c:v>
            </c:pt>
          </c:strCache>
        </c:strRef>
      </c:tx>
      <c:layout>
        <c:manualLayout>
          <c:xMode val="edge"/>
          <c:yMode val="edge"/>
          <c:x val="9.5785619809663491E-3"/>
          <c:y val="1.1152426478663088E-2"/>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'Re-referrals'!$I$7</c:f>
              <c:strCache>
                <c:ptCount val="1"/>
                <c:pt idx="0">
                  <c:v>Average Annual Change </c:v>
                </c:pt>
              </c:strCache>
            </c:strRef>
          </c:tx>
          <c:spPr>
            <a:solidFill>
              <a:srgbClr val="FB994F"/>
            </a:solidFill>
            <a:ln w="25400">
              <a:noFill/>
            </a:ln>
          </c:spPr>
          <c:invertIfNegative val="0"/>
          <c:cat>
            <c:strRef>
              <c:f>'Re-referrals'!$B$10:$B$33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'Re-referrals'!$I$10:$I$33</c:f>
              <c:numCache>
                <c:formatCode>0.0%</c:formatCode>
                <c:ptCount val="24"/>
                <c:pt idx="0">
                  <c:v>0.3255154620875958</c:v>
                </c:pt>
                <c:pt idx="1">
                  <c:v>-0.21374671303554621</c:v>
                </c:pt>
                <c:pt idx="2">
                  <c:v>0.19443661528746506</c:v>
                </c:pt>
                <c:pt idx="3">
                  <c:v>3.4514742763249166E-2</c:v>
                </c:pt>
                <c:pt idx="4">
                  <c:v>1.8819698282391169E-2</c:v>
                </c:pt>
                <c:pt idx="5">
                  <c:v>1.0073370409939282E-2</c:v>
                </c:pt>
                <c:pt idx="6">
                  <c:v>2.9251336601749375E-2</c:v>
                </c:pt>
                <c:pt idx="7">
                  <c:v>-2.6132063265769667E-3</c:v>
                </c:pt>
                <c:pt idx="8">
                  <c:v>-1.881171060674541E-2</c:v>
                </c:pt>
                <c:pt idx="9">
                  <c:v>-1.390771186167028E-2</c:v>
                </c:pt>
                <c:pt idx="10">
                  <c:v>0.19641469649379739</c:v>
                </c:pt>
                <c:pt idx="11">
                  <c:v>0.29265558977334039</c:v>
                </c:pt>
                <c:pt idx="12">
                  <c:v>0.30990262274416269</c:v>
                </c:pt>
                <c:pt idx="13">
                  <c:v>-9.8086539292161351E-2</c:v>
                </c:pt>
                <c:pt idx="14">
                  <c:v>-0.28286671252058698</c:v>
                </c:pt>
                <c:pt idx="15">
                  <c:v>3.9192705959852789E-2</c:v>
                </c:pt>
                <c:pt idx="16">
                  <c:v>9.7205894547065311E-2</c:v>
                </c:pt>
                <c:pt idx="17">
                  <c:v>-2.3540183395348864E-2</c:v>
                </c:pt>
                <c:pt idx="18">
                  <c:v>0.15768050554094226</c:v>
                </c:pt>
                <c:pt idx="19">
                  <c:v>0.1398855120692345</c:v>
                </c:pt>
                <c:pt idx="20">
                  <c:v>0.1213379299559041</c:v>
                </c:pt>
                <c:pt idx="21">
                  <c:v>0.13537063492362789</c:v>
                </c:pt>
                <c:pt idx="22">
                  <c:v>6.6003271411178388E-4</c:v>
                </c:pt>
                <c:pt idx="23">
                  <c:v>1.9913150782326233E-2</c:v>
                </c:pt>
              </c:numCache>
            </c:numRef>
          </c:val>
          <c:extLst>
            <c:ext xmlns:c16="http://schemas.microsoft.com/office/drawing/2014/chart" uri="{C3380CC4-5D6E-409C-BE32-E72D297353CC}">
              <c16:uniqueId val="{00000000-7155-4495-9100-82731FE3F554}"/>
            </c:ext>
          </c:extLst>
        </c:ser>
        <c:ser>
          <c:idx val="1"/>
          <c:order val="1"/>
          <c:tx>
            <c:strRef>
              <c:f>'Re-referrals'!$AA$4</c:f>
              <c:strCache>
                <c:ptCount val="1"/>
                <c:pt idx="0">
                  <c:v>Selected LA- (none)</c:v>
                </c:pt>
              </c:strCache>
            </c:strRef>
          </c:tx>
          <c:spPr>
            <a:solidFill>
              <a:srgbClr val="66FF99"/>
            </a:solidFill>
            <a:ln w="12700">
              <a:solidFill>
                <a:srgbClr val="000000"/>
              </a:solidFill>
              <a:prstDash val="solid"/>
            </a:ln>
          </c:spPr>
          <c:invertIfNegative val="0"/>
          <c:cat>
            <c:strRef>
              <c:f>'Re-referrals'!$B$10:$B$33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'Re-referrals'!$Z$77:$Z$100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7155-4495-9100-82731FE3F554}"/>
            </c:ext>
          </c:extLst>
        </c:ser>
        <c:dLbls>
          <c:showLegendKey val="0"/>
          <c:showVal val="0"/>
          <c:showCatName val="0"/>
          <c:showSerName val="0"/>
          <c:showPercent val="0"/>
          <c:showBubbleSize val="0"/>
        </c:dLbls>
        <c:gapWidth val="40"/>
        <c:overlap val="100"/>
        <c:axId val="236996480"/>
        <c:axId val="236998016"/>
      </c:barChart>
      <c:catAx>
        <c:axId val="2369964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6998016"/>
        <c:crosses val="autoZero"/>
        <c:auto val="1"/>
        <c:lblAlgn val="ctr"/>
        <c:lblOffset val="100"/>
        <c:noMultiLvlLbl val="0"/>
      </c:catAx>
      <c:valAx>
        <c:axId val="23699801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6996480"/>
        <c:crosses val="max"/>
        <c:crossBetween val="between"/>
      </c:valAx>
      <c:spPr>
        <a:noFill/>
        <a:ln w="3175">
          <a:solidFill>
            <a:srgbClr val="000000"/>
          </a:solidFill>
          <a:prstDash val="solid"/>
        </a:ln>
      </c:spPr>
    </c:plotArea>
    <c:legend>
      <c:legendPos val="t"/>
      <c:layout>
        <c:manualLayout>
          <c:xMode val="edge"/>
          <c:yMode val="edge"/>
          <c:x val="0.25031989591044707"/>
          <c:y val="6.7778911895272353E-2"/>
          <c:w val="0.69938219261053902"/>
          <c:h val="5.1180292278280033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Re-referrals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smoothMarker"/>
        <c:varyColors val="0"/>
        <c:ser>
          <c:idx val="5"/>
          <c:order val="4"/>
          <c:tx>
            <c:strRef>
              <c:f>'Re-referrals'!$Y$41</c:f>
              <c:strCache>
                <c:ptCount val="1"/>
                <c:pt idx="0">
                  <c:v>South East LA Trend</c:v>
                </c:pt>
              </c:strCache>
            </c:strRef>
          </c:tx>
          <c:spPr>
            <a:ln w="15875">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9F28-4598-8438-AAC49103D6A0}"/>
                </c:ext>
              </c:extLst>
            </c:dLbl>
            <c:dLbl>
              <c:idx val="1"/>
              <c:layout>
                <c:manualLayout>
                  <c:x val="-6.6377031818391233E-2"/>
                  <c:y val="2.7356777079024053E-2"/>
                </c:manualLayout>
              </c:layout>
              <c:tx>
                <c:strRef>
                  <c:f>'Re-referrals'!$AD$42</c:f>
                  <c:strCache>
                    <c:ptCount val="1"/>
                    <c:pt idx="0">
                      <c:v>r² = 0.016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{CC412024-9FB4-41F0-9668-E88ACD146C28}</c15:txfldGUID>
                      <c15:f>'Re-referrals'!$AD$42</c15:f>
                      <c15:dlblFieldTableCache>
                        <c:ptCount val="1"/>
                        <c:pt idx="0">
                          <c:v>r² = 0.016</c:v>
                        </c:pt>
                      </c15:dlblFieldTableCache>
                    </c15:dlblFTEntry>
                  </c15:dlblFieldTable>
                  <c15:showDataLabelsRange val="0"/>
                </c:ext>
                <c:ext xmlns:c16="http://schemas.microsoft.com/office/drawing/2014/chart" uri="{C3380CC4-5D6E-409C-BE32-E72D297353CC}">
                  <c16:uniqueId val="{00000001-9F28-4598-8438-AAC49103D6A0}"/>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'Re-referrals'!$AB$41:$AB$42</c:f>
              <c:numCache>
                <c:formatCode>General</c:formatCode>
                <c:ptCount val="2"/>
                <c:pt idx="0" formatCode="#,##0.0">
                  <c:v>5</c:v>
                </c:pt>
                <c:pt idx="1">
                  <c:v>35</c:v>
                </c:pt>
              </c:numCache>
            </c:numRef>
          </c:xVal>
          <c:yVal>
            <c:numRef>
              <c:f>'Re-referrals'!$AC$41:$AC$42</c:f>
              <c:numCache>
                <c:formatCode>0.0</c:formatCode>
                <c:ptCount val="2"/>
                <c:pt idx="0">
                  <c:v>122.4882183732978</c:v>
                </c:pt>
                <c:pt idx="1">
                  <c:v>177.72204776613324</c:v>
                </c:pt>
              </c:numCache>
            </c:numRef>
          </c:yVal>
          <c:smooth val="1"/>
          <c:extLst>
            <c:ext xmlns:c16="http://schemas.microsoft.com/office/drawing/2014/chart" uri="{C3380CC4-5D6E-409C-BE32-E72D297353CC}">
              <c16:uniqueId val="{00000002-9F28-4598-8438-AAC49103D6A0}"/>
            </c:ext>
          </c:extLst>
        </c:ser>
        <c:dLbls>
          <c:showLegendKey val="0"/>
          <c:showVal val="0"/>
          <c:showCatName val="0"/>
          <c:showSerName val="0"/>
          <c:showPercent val="0"/>
          <c:showBubbleSize val="0"/>
        </c:dLbls>
        <c:axId val="236668416"/>
        <c:axId val="236669952"/>
      </c:scatterChart>
      <c:scatterChart>
        <c:scatterStyle val="lineMarker"/>
        <c:varyColors val="0"/>
        <c:ser>
          <c:idx val="0"/>
          <c:order val="0"/>
          <c:tx>
            <c:strRef>
              <c:f>'Re-referrals'!$AR$38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3-9F28-4598-8438-AAC49103D6A0}"/>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{28A35899-F941-4D75-B5C3-E10F690E0CBB}</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4-9F28-4598-8438-AAC49103D6A0}"/>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{30B495C3-CE4A-4316-B54D-D9B7A6090076}</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5-9F28-4598-8438-AAC49103D6A0}"/>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{8B9B391B-F452-4130-8173-B1CBA29D67C6}</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6-9F28-4598-8438-AAC49103D6A0}"/>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{A08F5540-B707-4AA8-8DB5-402C0844A165}</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7-9F28-4598-8438-AAC49103D6A0}"/>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{E745B56A-9B80-4622-BEB9-D7C6D5E20B0A}</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8-9F28-4598-8438-AAC49103D6A0}"/>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{DB82A85D-2B2C-4B50-B034-2106FCBAC891}</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9-9F28-4598-8438-AAC49103D6A0}"/>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{517E7E83-394D-4497-ABDF-9E7F6DACCB3D}</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A-9F28-4598-8438-AAC49103D6A0}"/>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{963E5FF2-5DDA-4E4C-9C4E-B23983900574}</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B-9F28-4598-8438-AAC49103D6A0}"/>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{ABA8B87E-9515-4678-B95E-6E17905FA687}</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C-9F28-4598-8438-AAC49103D6A0}"/>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{23ADF26F-5A53-4F18-84AC-58BC733F6B70}</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D-9F28-4598-8438-AAC49103D6A0}"/>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{131081C4-5F4A-4241-9229-210C0011335B}</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E-9F28-4598-8438-AAC49103D6A0}"/>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{26E81E6A-E009-4A4E-91CF-EA97E0DCC920}</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F-9F28-4598-8438-AAC49103D6A0}"/>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{9E06766A-8220-4ACD-AE32-849F14626A7F}</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10-9F28-4598-8438-AAC49103D6A0}"/>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{063B6BF3-654D-4455-BA2F-9E6D61DF230F}</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11-9F28-4598-8438-AAC49103D6A0}"/>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{E5EBD3EE-ED8A-4BFB-96DA-E87DA19D447F}</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12-9F28-4598-8438-AAC49103D6A0}"/>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{2D8E5167-EC6D-4F5E-9150-88933E42AF53}</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3-9F28-4598-8438-AAC49103D6A0}"/>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{3275211F-6E4C-4C0E-8B6C-1AD189ADB5F5}</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4-9F28-4598-8438-AAC49103D6A0}"/>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{9063CAE0-9C77-4CFD-928F-56D76AD84B17}</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5-9F28-4598-8438-AAC49103D6A0}"/>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{2F9B31C2-C7DD-4B1F-9EBF-4F065F783EE4}</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6-9F28-4598-8438-AAC49103D6A0}"/>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('Re-referrals'!$AR$41:$AR$53,'Re-referrals'!$AR$55:$AR$56,'Re-referrals'!$AR$59:$AR$62)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('Re-referrals'!$AQ$41:$AQ$53,'Re-referrals'!$AQ$55:$AQ$56,'Re-referrals'!$AQ$59:$AQ$62)</c:f>
              <c:numCache>
                <c:formatCode>0.0</c:formatCode>
                <c:ptCount val="19"/>
                <c:pt idx="0">
                  <c:v>217.66784452296818</c:v>
                </c:pt>
                <c:pt idx="1">
                  <c:v>155.88235294117646</c:v>
                </c:pt>
                <c:pt idx="2">
                  <c:v>195.01206757843926</c:v>
                </c:pt>
                <c:pt idx="3">
                  <c:v>76.597744360902254</c:v>
                </c:pt>
                <c:pt idx="4">
                  <c:v>188.69718309859155</c:v>
                </c:pt>
                <c:pt idx="5">
                  <c:v>332.1285140562249</c:v>
                </c:pt>
                <c:pt idx="6">
                  <c:v>140.31167303734196</c:v>
                </c:pt>
                <c:pt idx="7">
                  <c:v>89.440993788819867</c:v>
                </c:pt>
                <c:pt idx="8">
                  <c:v>78.916544655929712</c:v>
                </c:pt>
                <c:pt idx="9">
                  <c:v>85.635359116022087</c:v>
                </c:pt>
                <c:pt idx="10">
                  <c:v>165.68181818181819</c:v>
                </c:pt>
                <c:pt idx="11">
                  <c:v>201.07816711590297</c:v>
                </c:pt>
                <c:pt idx="12">
                  <c:v>68.618266978922719</c:v>
                </c:pt>
                <c:pt idx="13">
                  <c:v>86.811023622047244</c:v>
                </c:pt>
                <c:pt idx="14">
                  <c:v>103.66552119129439</c:v>
                </c:pt>
                <c:pt idx="15">
                  <c:v>123.87640449438202</c:v>
                </c:pt>
                <c:pt idx="16">
                  <c:v>140.01144819690899</c:v>
                </c:pt>
                <c:pt idx="17">
                  <c:v>68.786127167630056</c:v>
                </c:pt>
                <c:pt idx="18">
                  <c:v>90.886075949367097</c:v>
                </c:pt>
              </c:numCache>
            </c:numRef>
          </c:yVal>
          <c:smooth val="0"/>
          <c:extLst>
            <c:ext xmlns:c16="http://schemas.microsoft.com/office/drawing/2014/chart" uri="{C3380CC4-5D6E-409C-BE32-E72D297353CC}">
              <c16:uniqueId val="{00000017-9F28-4598-8438-AAC49103D6A0}"/>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8-9F28-4598-8438-AAC49103D6A0}"/>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{BE6CF62D-33BE-4FF3-A9FB-8D84B496D865}</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8-9F28-4598-8438-AAC49103D6A0}"/>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{9E6A7A9D-A6A6-4F78-A350-20E82E04EA30}</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9-9F28-4598-8438-AAC49103D6A0}"/>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{9BF9EBDE-B40C-4BDC-A41F-B2C701CCF796}</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A-9F28-4598-8438-AAC49103D6A0}"/>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('Re-referrals'!$AR$54,'Re-referrals'!$AR$57:$AR$58)</c:f>
              <c:numCache>
                <c:formatCode>0.0</c:formatCode>
                <c:ptCount val="3"/>
                <c:pt idx="0">
                  <c:v>13.600000000000001</c:v>
                </c:pt>
                <c:pt idx="1">
                  <c:v>14.899999999999999</c:v>
                </c:pt>
                <c:pt idx="2">
                  <c:v>21.9</c:v>
                </c:pt>
              </c:numCache>
            </c:numRef>
          </c:xVal>
          <c:yVal>
            <c:numRef>
              <c:f>('Re-referrals'!$AQ$54,'Re-referrals'!$AQ$57:$AQ$58)</c:f>
              <c:numCache>
                <c:formatCode>0.0</c:formatCode>
                <c:ptCount val="3"/>
                <c:pt idx="0">
                  <c:v>82.565492321589886</c:v>
                </c:pt>
                <c:pt idx="1">
                  <c:v>115.93625498007968</c:v>
                </c:pt>
                <c:pt idx="2">
                  <c:v>183.46456692913387</c:v>
                </c:pt>
              </c:numCache>
            </c:numRef>
          </c:yVal>
          <c:smooth val="0"/>
          <c:extLst>
            <c:ext xmlns:c16="http://schemas.microsoft.com/office/drawing/2014/chart" uri="{C3380CC4-5D6E-409C-BE32-E72D297353CC}">
              <c16:uniqueId val="{0000001B-9F28-4598-8438-AAC49103D6A0}"/>
            </c:ext>
          </c:extLst>
        </c:ser>
        <c:ser>
          <c:idx val="1"/>
          <c:order val="2"/>
          <c:tx>
            <c:strRef>
              <c:f>'Re-referrals'!$AA$4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'Re-referrals'!$AR$65</c:f>
              <c:numCache>
                <c:formatCode>0.0</c:formatCode>
                <c:ptCount val="1"/>
                <c:pt idx="0">
                  <c:v>#N/A</c:v>
                </c:pt>
              </c:numCache>
            </c:numRef>
          </c:xVal>
          <c:yVal>
            <c:numRef>
              <c:f>'Re-referrals'!$AQ$65</c:f>
              <c:numCache>
                <c:formatCode>0.0</c:formatCode>
                <c:ptCount val="1"/>
                <c:pt idx="0">
                  <c:v>#N/A</c:v>
                </c:pt>
              </c:numCache>
            </c:numRef>
          </c:yVal>
          <c:smooth val="0"/>
          <c:extLst>
            <c:ext xmlns:c16="http://schemas.microsoft.com/office/drawing/2014/chart" uri="{C3380CC4-5D6E-409C-BE32-E72D297353CC}">
              <c16:uniqueId val="{0000001C-9F28-4598-8438-AAC49103D6A0}"/>
            </c:ext>
          </c:extLst>
        </c:ser>
        <c:ser>
          <c:idx val="4"/>
          <c:order val="3"/>
          <c:tx>
            <c:strRef>
              <c:f>'Re-referrals'!$B$32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'Re-referrals'!$S$32</c:f>
              <c:numCache>
                <c:formatCode>0.0</c:formatCode>
                <c:ptCount val="1"/>
                <c:pt idx="0">
                  <c:v>12.371268250968637</c:v>
                </c:pt>
              </c:numCache>
            </c:numRef>
          </c:xVal>
          <c:yVal>
            <c:numRef>
              <c:f>'Re-referrals'!$O$32</c:f>
              <c:numCache>
                <c:formatCode>0.0</c:formatCode>
                <c:ptCount val="1"/>
                <c:pt idx="0">
                  <c:v>137.12067027689793</c:v>
                </c:pt>
              </c:numCache>
            </c:numRef>
          </c:yVal>
          <c:smooth val="0"/>
          <c:extLst>
            <c:ext xmlns:c16="http://schemas.microsoft.com/office/drawing/2014/chart" uri="{C3380CC4-5D6E-409C-BE32-E72D297353CC}">
              <c16:uniqueId val="{0000001D-9F28-4598-8438-AAC49103D6A0}"/>
            </c:ext>
          </c:extLst>
        </c:ser>
        <c:ser>
          <c:idx val="2"/>
          <c:order val="5"/>
          <c:tx>
            <c:strRef>
              <c:f>'Re-referrals'!$Y$43</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9F28-4598-8438-AAC49103D6A0}"/>
                </c:ext>
              </c:extLst>
            </c:dLbl>
            <c:dLbl>
              <c:idx val="1"/>
              <c:layout>
                <c:manualLayout>
                  <c:x val="-5.8479532163742798E-2"/>
                  <c:y val="-3.0097810775300701E-2"/>
                </c:manualLayout>
              </c:layout>
              <c:tx>
                <c:strRef>
                  <c:f>'Re-referrals'!$AD$43</c:f>
                  <c:strCache>
                    <c:ptCount val="1"/>
                    <c:pt idx="0">
                      <c:v>r² = 0.136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{D4CA6084-6173-4748-B7FA-54D101498C29}</c15:txfldGUID>
                      <c15:f>'Re-referrals'!$AD$43</c15:f>
                      <c15:dlblFieldTableCache>
                        <c:ptCount val="1"/>
                        <c:pt idx="0">
                          <c:v>r² = 0.136</c:v>
                        </c:pt>
                      </c15:dlblFieldTableCache>
                    </c15:dlblFTEntry>
                  </c15:dlblFieldTable>
                  <c15:showDataLabelsRange val="0"/>
                </c:ext>
                <c:ext xmlns:c16="http://schemas.microsoft.com/office/drawing/2014/chart" uri="{C3380CC4-5D6E-409C-BE32-E72D297353CC}">
                  <c16:uniqueId val="{0000001F-9F28-4598-8438-AAC49103D6A0}"/>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'Re-referrals'!$AB$43:$AB$44</c:f>
              <c:numCache>
                <c:formatCode>General</c:formatCode>
                <c:ptCount val="2"/>
                <c:pt idx="0" formatCode="#,##0.0">
                  <c:v>5</c:v>
                </c:pt>
                <c:pt idx="1">
                  <c:v>35</c:v>
                </c:pt>
              </c:numCache>
            </c:numRef>
          </c:xVal>
          <c:yVal>
            <c:numRef>
              <c:f>'Re-referrals'!$AC$43:$AC$44</c:f>
              <c:numCache>
                <c:formatCode>0.0</c:formatCode>
                <c:ptCount val="2"/>
                <c:pt idx="0">
                  <c:v>72.648680601220306</c:v>
                </c:pt>
                <c:pt idx="1">
                  <c:v>188.67614417966416</c:v>
                </c:pt>
              </c:numCache>
            </c:numRef>
          </c:yVal>
          <c:smooth val="0"/>
          <c:extLst>
            <c:ext xmlns:c16="http://schemas.microsoft.com/office/drawing/2014/chart" uri="{C3380CC4-5D6E-409C-BE32-E72D297353CC}">
              <c16:uniqueId val="{00000020-9F28-4598-8438-AAC49103D6A0}"/>
            </c:ext>
          </c:extLst>
        </c:ser>
        <c:dLbls>
          <c:showLegendKey val="0"/>
          <c:showVal val="0"/>
          <c:showCatName val="0"/>
          <c:showSerName val="0"/>
          <c:showPercent val="0"/>
          <c:showBubbleSize val="0"/>
        </c:dLbls>
        <c:axId val="236668416"/>
        <c:axId val="236669952"/>
      </c:scatterChart>
      <c:valAx>
        <c:axId val="236668416"/>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6669952"/>
        <c:crosses val="autoZero"/>
        <c:crossBetween val="midCat"/>
        <c:majorUnit val="5"/>
      </c:valAx>
      <c:valAx>
        <c:axId val="23666995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Re-referrals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6668416"/>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per 10,000 0-17 year olds</a:t>
            </a:r>
          </a:p>
        </c:rich>
      </c:tx>
      <c:layout>
        <c:manualLayout>
          <c:xMode val="edge"/>
          <c:yMode val="edge"/>
          <c:x val="0.18218833317772035"/>
          <c:y val="2.0819646288138149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Assessments!$AL$41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4F27-4804-B14A-7783225AE5CF}"/>
              </c:ext>
            </c:extLst>
          </c:dPt>
          <c:cat>
            <c:strRef>
              <c:f>Assessments!$Z$2:$AD$3</c:f>
              <c:strCache>
                <c:ptCount val="5"/>
                <c:pt idx="0">
                  <c:v>2014-15</c:v>
                </c:pt>
                <c:pt idx="1">
                  <c:v>2015-16</c:v>
                </c:pt>
                <c:pt idx="2">
                  <c:v>2016-17</c:v>
                </c:pt>
                <c:pt idx="3">
                  <c:v>2017-18</c:v>
                </c:pt>
                <c:pt idx="4">
                  <c:v>2018-19</c:v>
                </c:pt>
              </c:strCache>
            </c:strRef>
          </c:cat>
          <c:val>
            <c:numRef>
              <c:f>Assessments!$AM$41:$AQ$41</c:f>
              <c:numCache>
                <c:formatCode>0.0</c:formatCode>
                <c:ptCount val="5"/>
                <c:pt idx="0">
                  <c:v>354.67625899280574</c:v>
                </c:pt>
                <c:pt idx="1">
                  <c:v>389.71631205673754</c:v>
                </c:pt>
                <c:pt idx="2">
                  <c:v>493.97163120567376</c:v>
                </c:pt>
                <c:pt idx="3">
                  <c:v>594.3060498220641</c:v>
                </c:pt>
                <c:pt idx="4">
                  <c:v>601.76678445229686</c:v>
                </c:pt>
              </c:numCache>
            </c:numRef>
          </c:val>
          <c:smooth val="0"/>
          <c:extLst>
            <c:ext xmlns:c16="http://schemas.microsoft.com/office/drawing/2014/chart" uri="{C3380CC4-5D6E-409C-BE32-E72D297353CC}">
              <c16:uniqueId val="{00000001-4F27-4804-B14A-7783225AE5CF}"/>
            </c:ext>
          </c:extLst>
        </c:ser>
        <c:ser>
          <c:idx val="1"/>
          <c:order val="1"/>
          <c:tx>
            <c:strRef>
              <c:f>Assessments!$AL$42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2014-15</c:v>
                </c:pt>
                <c:pt idx="1">
                  <c:v>2015-16</c:v>
                </c:pt>
                <c:pt idx="2">
                  <c:v>2016-17</c:v>
                </c:pt>
                <c:pt idx="3">
                  <c:v>2017-18</c:v>
                </c:pt>
                <c:pt idx="4">
                  <c:v>2018-19</c:v>
                </c:pt>
              </c:strCache>
            </c:strRef>
          </c:cat>
          <c:val>
            <c:numRef>
              <c:f>Assessments!$AM$42:$AQ$42</c:f>
              <c:numCache>
                <c:formatCode>0.0</c:formatCode>
                <c:ptCount val="5"/>
                <c:pt idx="0">
                  <c:v>543.13725490196077</c:v>
                </c:pt>
                <c:pt idx="1">
                  <c:v>560.15625</c:v>
                </c:pt>
                <c:pt idx="2">
                  <c:v>588.69395711500977</c:v>
                </c:pt>
                <c:pt idx="3">
                  <c:v>529.60784313725492</c:v>
                </c:pt>
                <c:pt idx="4">
                  <c:v>484.31372549019608</c:v>
                </c:pt>
              </c:numCache>
            </c:numRef>
          </c:val>
          <c:smooth val="0"/>
          <c:extLst>
            <c:ext xmlns:c16="http://schemas.microsoft.com/office/drawing/2014/chart" uri="{C3380CC4-5D6E-409C-BE32-E72D297353CC}">
              <c16:uniqueId val="{00000002-4F27-4804-B14A-7783225AE5CF}"/>
            </c:ext>
          </c:extLst>
        </c:ser>
        <c:ser>
          <c:idx val="2"/>
          <c:order val="2"/>
          <c:tx>
            <c:strRef>
              <c:f>Assessments!$AL$43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2014-15</c:v>
                </c:pt>
                <c:pt idx="1">
                  <c:v>2015-16</c:v>
                </c:pt>
                <c:pt idx="2">
                  <c:v>2016-17</c:v>
                </c:pt>
                <c:pt idx="3">
                  <c:v>2017-18</c:v>
                </c:pt>
                <c:pt idx="4">
                  <c:v>2018-19</c:v>
                </c:pt>
              </c:strCache>
            </c:strRef>
          </c:cat>
          <c:val>
            <c:numRef>
              <c:f>Assessments!$AM$43:$AQ$43</c:f>
              <c:numCache>
                <c:formatCode>0.0</c:formatCode>
                <c:ptCount val="5"/>
                <c:pt idx="0">
                  <c:v>519.76450798990754</c:v>
                </c:pt>
                <c:pt idx="1">
                  <c:v>464.09618573797678</c:v>
                </c:pt>
                <c:pt idx="2">
                  <c:v>546.64484451718499</c:v>
                </c:pt>
                <c:pt idx="3">
                  <c:v>679.61007311129163</c:v>
                </c:pt>
                <c:pt idx="4">
                  <c:v>629.04263877715209</c:v>
                </c:pt>
              </c:numCache>
            </c:numRef>
          </c:val>
          <c:smooth val="0"/>
          <c:extLst>
            <c:ext xmlns:c16="http://schemas.microsoft.com/office/drawing/2014/chart" uri="{C3380CC4-5D6E-409C-BE32-E72D297353CC}">
              <c16:uniqueId val="{00000003-4F27-4804-B14A-7783225AE5CF}"/>
            </c:ext>
          </c:extLst>
        </c:ser>
        <c:ser>
          <c:idx val="5"/>
          <c:order val="3"/>
          <c:tx>
            <c:strRef>
              <c:f>Assessments!$AL$44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2014-15</c:v>
                </c:pt>
                <c:pt idx="1">
                  <c:v>2015-16</c:v>
                </c:pt>
                <c:pt idx="2">
                  <c:v>2016-17</c:v>
                </c:pt>
                <c:pt idx="3">
                  <c:v>2017-18</c:v>
                </c:pt>
                <c:pt idx="4">
                  <c:v>2018-19</c:v>
                </c:pt>
              </c:strCache>
            </c:strRef>
          </c:cat>
          <c:val>
            <c:numRef>
              <c:f>Assessments!$AM$44:$AQ$44</c:f>
              <c:numCache>
                <c:formatCode>0.0</c:formatCode>
                <c:ptCount val="5"/>
                <c:pt idx="0">
                  <c:v>254.64895635673622</c:v>
                </c:pt>
                <c:pt idx="1">
                  <c:v>234.65533522190745</c:v>
                </c:pt>
                <c:pt idx="2">
                  <c:v>296.78942398489141</c:v>
                </c:pt>
                <c:pt idx="3">
                  <c:v>337.73584905660374</c:v>
                </c:pt>
                <c:pt idx="4">
                  <c:v>338.15789473684208</c:v>
                </c:pt>
              </c:numCache>
            </c:numRef>
          </c:val>
          <c:smooth val="0"/>
          <c:extLst>
            <c:ext xmlns:c16="http://schemas.microsoft.com/office/drawing/2014/chart" uri="{C3380CC4-5D6E-409C-BE32-E72D297353CC}">
              <c16:uniqueId val="{00000004-4F27-4804-B14A-7783225AE5CF}"/>
            </c:ext>
          </c:extLst>
        </c:ser>
        <c:ser>
          <c:idx val="9"/>
          <c:order val="4"/>
          <c:tx>
            <c:strRef>
              <c:f>Assessments!$AL$45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2014-15</c:v>
                </c:pt>
                <c:pt idx="1">
                  <c:v>2015-16</c:v>
                </c:pt>
                <c:pt idx="2">
                  <c:v>2016-17</c:v>
                </c:pt>
                <c:pt idx="3">
                  <c:v>2017-18</c:v>
                </c:pt>
                <c:pt idx="4">
                  <c:v>2018-19</c:v>
                </c:pt>
              </c:strCache>
            </c:strRef>
          </c:cat>
          <c:val>
            <c:numRef>
              <c:f>Assessments!$AM$45:$AQ$45</c:f>
              <c:numCache>
                <c:formatCode>0.0</c:formatCode>
                <c:ptCount val="5"/>
                <c:pt idx="0">
                  <c:v>607.31793960923619</c:v>
                </c:pt>
                <c:pt idx="1">
                  <c:v>600.60305072720826</c:v>
                </c:pt>
                <c:pt idx="2">
                  <c:v>701.59123055162661</c:v>
                </c:pt>
                <c:pt idx="3">
                  <c:v>623.36745499470521</c:v>
                </c:pt>
                <c:pt idx="4">
                  <c:v>633.90845070422529</c:v>
                </c:pt>
              </c:numCache>
            </c:numRef>
          </c:val>
          <c:smooth val="0"/>
          <c:extLst>
            <c:ext xmlns:c16="http://schemas.microsoft.com/office/drawing/2014/chart" uri="{C3380CC4-5D6E-409C-BE32-E72D297353CC}">
              <c16:uniqueId val="{00000005-4F27-4804-B14A-7783225AE5CF}"/>
            </c:ext>
          </c:extLst>
        </c:ser>
        <c:ser>
          <c:idx val="10"/>
          <c:order val="5"/>
          <c:tx>
            <c:strRef>
              <c:f>Assessments!$AL$46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2014-15</c:v>
                </c:pt>
                <c:pt idx="1">
                  <c:v>2015-16</c:v>
                </c:pt>
                <c:pt idx="2">
                  <c:v>2016-17</c:v>
                </c:pt>
                <c:pt idx="3">
                  <c:v>2017-18</c:v>
                </c:pt>
                <c:pt idx="4">
                  <c:v>2018-19</c:v>
                </c:pt>
              </c:strCache>
            </c:strRef>
          </c:cat>
          <c:val>
            <c:numRef>
              <c:f>Assessments!$AM$46:$AQ$46</c:f>
              <c:numCache>
                <c:formatCode>0.0</c:formatCode>
                <c:ptCount val="5"/>
                <c:pt idx="0">
                  <c:v>803.13725490196077</c:v>
                </c:pt>
                <c:pt idx="1">
                  <c:v>946.64031620553351</c:v>
                </c:pt>
                <c:pt idx="2">
                  <c:v>1067.8571428571429</c:v>
                </c:pt>
                <c:pt idx="3">
                  <c:v>1067.3306772908368</c:v>
                </c:pt>
                <c:pt idx="4">
                  <c:v>789.15662650602405</c:v>
                </c:pt>
              </c:numCache>
            </c:numRef>
          </c:val>
          <c:smooth val="0"/>
          <c:extLst>
            <c:ext xmlns:c16="http://schemas.microsoft.com/office/drawing/2014/chart" uri="{C3380CC4-5D6E-409C-BE32-E72D297353CC}">
              <c16:uniqueId val="{00000006-4F27-4804-B14A-7783225AE5CF}"/>
            </c:ext>
          </c:extLst>
        </c:ser>
        <c:ser>
          <c:idx val="11"/>
          <c:order val="6"/>
          <c:tx>
            <c:strRef>
              <c:f>Assessments!$AL$47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2014-15</c:v>
                </c:pt>
                <c:pt idx="1">
                  <c:v>2015-16</c:v>
                </c:pt>
                <c:pt idx="2">
                  <c:v>2016-17</c:v>
                </c:pt>
                <c:pt idx="3">
                  <c:v>2017-18</c:v>
                </c:pt>
                <c:pt idx="4">
                  <c:v>2018-19</c:v>
                </c:pt>
              </c:strCache>
            </c:strRef>
          </c:cat>
          <c:val>
            <c:numRef>
              <c:f>Assessments!$AM$47:$AQ$47</c:f>
              <c:numCache>
                <c:formatCode>0.0</c:formatCode>
                <c:ptCount val="5"/>
                <c:pt idx="0">
                  <c:v>481.32805360950351</c:v>
                </c:pt>
                <c:pt idx="1">
                  <c:v>497.57869249394673</c:v>
                </c:pt>
                <c:pt idx="2">
                  <c:v>491.47147147147143</c:v>
                </c:pt>
                <c:pt idx="3">
                  <c:v>560.16066646831302</c:v>
                </c:pt>
                <c:pt idx="4">
                  <c:v>520.52337547780064</c:v>
                </c:pt>
              </c:numCache>
            </c:numRef>
          </c:val>
          <c:smooth val="0"/>
          <c:extLst>
            <c:ext xmlns:c16="http://schemas.microsoft.com/office/drawing/2014/chart" uri="{C3380CC4-5D6E-409C-BE32-E72D297353CC}">
              <c16:uniqueId val="{00000007-4F27-4804-B14A-7783225AE5CF}"/>
            </c:ext>
          </c:extLst>
        </c:ser>
        <c:ser>
          <c:idx val="12"/>
          <c:order val="7"/>
          <c:tx>
            <c:strRef>
              <c:f>Assessments!$AL$48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2014-15</c:v>
                </c:pt>
                <c:pt idx="1">
                  <c:v>2015-16</c:v>
                </c:pt>
                <c:pt idx="2">
                  <c:v>2016-17</c:v>
                </c:pt>
                <c:pt idx="3">
                  <c:v>2017-18</c:v>
                </c:pt>
                <c:pt idx="4">
                  <c:v>2018-19</c:v>
                </c:pt>
              </c:strCache>
            </c:strRef>
          </c:cat>
          <c:val>
            <c:numRef>
              <c:f>Assessments!$AM$48:$AQ$48</c:f>
              <c:numCache>
                <c:formatCode>0.0</c:formatCode>
                <c:ptCount val="5"/>
                <c:pt idx="0">
                  <c:v>591.84</c:v>
                </c:pt>
                <c:pt idx="1">
                  <c:v>492.72151898734177</c:v>
                </c:pt>
                <c:pt idx="2">
                  <c:v>442.38618524332804</c:v>
                </c:pt>
                <c:pt idx="3">
                  <c:v>392.64475743348981</c:v>
                </c:pt>
                <c:pt idx="4">
                  <c:v>531.05590062111798</c:v>
                </c:pt>
              </c:numCache>
            </c:numRef>
          </c:val>
          <c:smooth val="0"/>
          <c:extLst>
            <c:ext xmlns:c16="http://schemas.microsoft.com/office/drawing/2014/chart" uri="{C3380CC4-5D6E-409C-BE32-E72D297353CC}">
              <c16:uniqueId val="{00000008-4F27-4804-B14A-7783225AE5CF}"/>
            </c:ext>
          </c:extLst>
        </c:ser>
        <c:ser>
          <c:idx val="13"/>
          <c:order val="8"/>
          <c:tx>
            <c:strRef>
              <c:f>Assessments!$AL$49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2014-15</c:v>
                </c:pt>
                <c:pt idx="1">
                  <c:v>2015-16</c:v>
                </c:pt>
                <c:pt idx="2">
                  <c:v>2016-17</c:v>
                </c:pt>
                <c:pt idx="3">
                  <c:v>2017-18</c:v>
                </c:pt>
                <c:pt idx="4">
                  <c:v>2018-19</c:v>
                </c:pt>
              </c:strCache>
            </c:strRef>
          </c:cat>
          <c:val>
            <c:numRef>
              <c:f>Assessments!$AM$49:$AQ$49</c:f>
              <c:numCache>
                <c:formatCode>0.0</c:formatCode>
                <c:ptCount val="5"/>
                <c:pt idx="0">
                  <c:v>306.74846625766872</c:v>
                </c:pt>
                <c:pt idx="1">
                  <c:v>315.7337367624811</c:v>
                </c:pt>
                <c:pt idx="2">
                  <c:v>375.11177347242921</c:v>
                </c:pt>
                <c:pt idx="3">
                  <c:v>327.36686390532543</c:v>
                </c:pt>
                <c:pt idx="4">
                  <c:v>329.28257686676426</c:v>
                </c:pt>
              </c:numCache>
            </c:numRef>
          </c:val>
          <c:smooth val="0"/>
          <c:extLst>
            <c:ext xmlns:c16="http://schemas.microsoft.com/office/drawing/2014/chart" uri="{C3380CC4-5D6E-409C-BE32-E72D297353CC}">
              <c16:uniqueId val="{00000009-4F27-4804-B14A-7783225AE5CF}"/>
            </c:ext>
          </c:extLst>
        </c:ser>
        <c:ser>
          <c:idx val="15"/>
          <c:order val="9"/>
          <c:tx>
            <c:strRef>
              <c:f>Assessments!$AL$50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2014-15</c:v>
                </c:pt>
                <c:pt idx="1">
                  <c:v>2015-16</c:v>
                </c:pt>
                <c:pt idx="2">
                  <c:v>2016-17</c:v>
                </c:pt>
                <c:pt idx="3">
                  <c:v>2017-18</c:v>
                </c:pt>
                <c:pt idx="4">
                  <c:v>2018-19</c:v>
                </c:pt>
              </c:strCache>
            </c:strRef>
          </c:cat>
          <c:val>
            <c:numRef>
              <c:f>Assessments!$AM$50:$AQ$50</c:f>
              <c:numCache>
                <c:formatCode>0.0</c:formatCode>
                <c:ptCount val="5"/>
                <c:pt idx="0">
                  <c:v>266.78470254957506</c:v>
                </c:pt>
                <c:pt idx="1">
                  <c:v>388.99858956276444</c:v>
                </c:pt>
                <c:pt idx="2">
                  <c:v>470.25892232330301</c:v>
                </c:pt>
                <c:pt idx="3">
                  <c:v>403.76569037656907</c:v>
                </c:pt>
                <c:pt idx="4">
                  <c:v>373.20441988950279</c:v>
                </c:pt>
              </c:numCache>
            </c:numRef>
          </c:val>
          <c:smooth val="0"/>
          <c:extLst>
            <c:ext xmlns:c16="http://schemas.microsoft.com/office/drawing/2014/chart" uri="{C3380CC4-5D6E-409C-BE32-E72D297353CC}">
              <c16:uniqueId val="{0000000A-4F27-4804-B14A-7783225AE5CF}"/>
            </c:ext>
          </c:extLst>
        </c:ser>
        <c:ser>
          <c:idx val="16"/>
          <c:order val="10"/>
          <c:tx>
            <c:strRef>
              <c:f>Assessments!$AL$51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2014-15</c:v>
                </c:pt>
                <c:pt idx="1">
                  <c:v>2015-16</c:v>
                </c:pt>
                <c:pt idx="2">
                  <c:v>2016-17</c:v>
                </c:pt>
                <c:pt idx="3">
                  <c:v>2017-18</c:v>
                </c:pt>
                <c:pt idx="4">
                  <c:v>2018-19</c:v>
                </c:pt>
              </c:strCache>
            </c:strRef>
          </c:cat>
          <c:val>
            <c:numRef>
              <c:f>Assessments!$AM$51:$AQ$51</c:f>
              <c:numCache>
                <c:formatCode>0.0</c:formatCode>
                <c:ptCount val="5"/>
                <c:pt idx="0">
                  <c:v>334.79262672811058</c:v>
                </c:pt>
                <c:pt idx="1">
                  <c:v>425.79908675799089</c:v>
                </c:pt>
                <c:pt idx="2">
                  <c:v>670.4545454545455</c:v>
                </c:pt>
                <c:pt idx="3">
                  <c:v>721.71945701357458</c:v>
                </c:pt>
                <c:pt idx="4">
                  <c:v>849.31818181818176</c:v>
                </c:pt>
              </c:numCache>
            </c:numRef>
          </c:val>
          <c:smooth val="0"/>
          <c:extLst>
            <c:ext xmlns:c16="http://schemas.microsoft.com/office/drawing/2014/chart" uri="{C3380CC4-5D6E-409C-BE32-E72D297353CC}">
              <c16:uniqueId val="{0000000B-4F27-4804-B14A-7783225AE5CF}"/>
            </c:ext>
          </c:extLst>
        </c:ser>
        <c:ser>
          <c:idx val="17"/>
          <c:order val="11"/>
          <c:tx>
            <c:strRef>
              <c:f>Assessments!$AL$52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2014-15</c:v>
                </c:pt>
                <c:pt idx="1">
                  <c:v>2015-16</c:v>
                </c:pt>
                <c:pt idx="2">
                  <c:v>2016-17</c:v>
                </c:pt>
                <c:pt idx="3">
                  <c:v>2017-18</c:v>
                </c:pt>
                <c:pt idx="4">
                  <c:v>2018-19</c:v>
                </c:pt>
              </c:strCache>
            </c:strRef>
          </c:cat>
          <c:val>
            <c:numRef>
              <c:f>Assessments!$AM$52:$AQ$52</c:f>
              <c:numCache>
                <c:formatCode>0.0</c:formatCode>
                <c:ptCount val="5"/>
                <c:pt idx="0">
                  <c:v>333.42618384401112</c:v>
                </c:pt>
                <c:pt idx="1">
                  <c:v>596.42857142857144</c:v>
                </c:pt>
                <c:pt idx="2">
                  <c:v>804.64480874316939</c:v>
                </c:pt>
                <c:pt idx="3">
                  <c:v>752.29110512129387</c:v>
                </c:pt>
                <c:pt idx="4">
                  <c:v>721.29380053908358</c:v>
                </c:pt>
              </c:numCache>
            </c:numRef>
          </c:val>
          <c:smooth val="0"/>
          <c:extLst>
            <c:ext xmlns:c16="http://schemas.microsoft.com/office/drawing/2014/chart" uri="{C3380CC4-5D6E-409C-BE32-E72D297353CC}">
              <c16:uniqueId val="{0000000C-4F27-4804-B14A-7783225AE5CF}"/>
            </c:ext>
          </c:extLst>
        </c:ser>
        <c:ser>
          <c:idx val="19"/>
          <c:order val="12"/>
          <c:tx>
            <c:strRef>
              <c:f>Assessments!$AL$53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2014-15</c:v>
                </c:pt>
                <c:pt idx="1">
                  <c:v>2015-16</c:v>
                </c:pt>
                <c:pt idx="2">
                  <c:v>2016-17</c:v>
                </c:pt>
                <c:pt idx="3">
                  <c:v>2017-18</c:v>
                </c:pt>
                <c:pt idx="4">
                  <c:v>2018-19</c:v>
                </c:pt>
              </c:strCache>
            </c:strRef>
          </c:cat>
          <c:val>
            <c:numRef>
              <c:f>Assessments!$AM$53:$AQ$53</c:f>
              <c:numCache>
                <c:formatCode>0.0</c:formatCode>
                <c:ptCount val="5"/>
                <c:pt idx="0">
                  <c:v>470.92731829573938</c:v>
                </c:pt>
                <c:pt idx="1">
                  <c:v>637.4384236453202</c:v>
                </c:pt>
                <c:pt idx="2">
                  <c:v>564.97584541062804</c:v>
                </c:pt>
                <c:pt idx="3">
                  <c:v>365.16587677725113</c:v>
                </c:pt>
                <c:pt idx="4">
                  <c:v>433.95784543325533</c:v>
                </c:pt>
              </c:numCache>
            </c:numRef>
          </c:val>
          <c:smooth val="0"/>
          <c:extLst>
            <c:ext xmlns:c16="http://schemas.microsoft.com/office/drawing/2014/chart" uri="{C3380CC4-5D6E-409C-BE32-E72D297353CC}">
              <c16:uniqueId val="{0000000D-4F27-4804-B14A-7783225AE5CF}"/>
            </c:ext>
          </c:extLst>
        </c:ser>
        <c:ser>
          <c:idx val="3"/>
          <c:order val="13"/>
          <c:tx>
            <c:strRef>
              <c:f>Assessments!$AL$54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2014-15</c:v>
                </c:pt>
                <c:pt idx="1">
                  <c:v>2015-16</c:v>
                </c:pt>
                <c:pt idx="2">
                  <c:v>2016-17</c:v>
                </c:pt>
                <c:pt idx="3">
                  <c:v>2017-18</c:v>
                </c:pt>
                <c:pt idx="4">
                  <c:v>2018-19</c:v>
                </c:pt>
              </c:strCache>
            </c:strRef>
          </c:cat>
          <c:val>
            <c:numRef>
              <c:f>Assessments!$AM$54:$AQ$54</c:f>
              <c:numCache>
                <c:formatCode>0.0</c:formatCode>
                <c:ptCount val="5"/>
                <c:pt idx="0">
                  <c:v>415.42699724517905</c:v>
                </c:pt>
                <c:pt idx="1">
                  <c:v>404.12087912087912</c:v>
                </c:pt>
                <c:pt idx="2">
                  <c:v>450.68368277119413</c:v>
                </c:pt>
                <c:pt idx="3">
                  <c:v>507.26612170753862</c:v>
                </c:pt>
                <c:pt idx="4">
                  <c:v>371.45438121047874</c:v>
                </c:pt>
              </c:numCache>
            </c:numRef>
          </c:val>
          <c:smooth val="0"/>
          <c:extLst>
            <c:ext xmlns:c16="http://schemas.microsoft.com/office/drawing/2014/chart" uri="{C3380CC4-5D6E-409C-BE32-E72D297353CC}">
              <c16:uniqueId val="{0000000E-4F27-4804-B14A-7783225AE5CF}"/>
            </c:ext>
          </c:extLst>
        </c:ser>
        <c:ser>
          <c:idx val="20"/>
          <c:order val="14"/>
          <c:tx>
            <c:strRef>
              <c:f>Assessments!$AL$55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2014-15</c:v>
                </c:pt>
                <c:pt idx="1">
                  <c:v>2015-16</c:v>
                </c:pt>
                <c:pt idx="2">
                  <c:v>2016-17</c:v>
                </c:pt>
                <c:pt idx="3">
                  <c:v>2017-18</c:v>
                </c:pt>
                <c:pt idx="4">
                  <c:v>2018-19</c:v>
                </c:pt>
              </c:strCache>
            </c:strRef>
          </c:cat>
          <c:val>
            <c:numRef>
              <c:f>Assessments!$AM$55:$AQ$55</c:f>
              <c:numCache>
                <c:formatCode>0.0</c:formatCode>
                <c:ptCount val="5"/>
                <c:pt idx="0">
                  <c:v>433.95061728395063</c:v>
                </c:pt>
                <c:pt idx="1">
                  <c:v>616.869918699187</c:v>
                </c:pt>
                <c:pt idx="2">
                  <c:v>532.06412825651307</c:v>
                </c:pt>
                <c:pt idx="3">
                  <c:v>460.83499005964217</c:v>
                </c:pt>
                <c:pt idx="4">
                  <c:v>481.88976377952753</c:v>
                </c:pt>
              </c:numCache>
            </c:numRef>
          </c:val>
          <c:smooth val="0"/>
          <c:extLst>
            <c:ext xmlns:c16="http://schemas.microsoft.com/office/drawing/2014/chart" uri="{C3380CC4-5D6E-409C-BE32-E72D297353CC}">
              <c16:uniqueId val="{0000000F-4F27-4804-B14A-7783225AE5CF}"/>
            </c:ext>
          </c:extLst>
        </c:ser>
        <c:ser>
          <c:idx val="22"/>
          <c:order val="15"/>
          <c:tx>
            <c:strRef>
              <c:f>Assessments!$AL$56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2014-15</c:v>
                </c:pt>
                <c:pt idx="1">
                  <c:v>2015-16</c:v>
                </c:pt>
                <c:pt idx="2">
                  <c:v>2016-17</c:v>
                </c:pt>
                <c:pt idx="3">
                  <c:v>2017-18</c:v>
                </c:pt>
                <c:pt idx="4">
                  <c:v>2018-19</c:v>
                </c:pt>
              </c:strCache>
            </c:strRef>
          </c:cat>
          <c:val>
            <c:numRef>
              <c:f>Assessments!$AM$56:$AQ$56</c:f>
              <c:numCache>
                <c:formatCode>0.0</c:formatCode>
                <c:ptCount val="5"/>
                <c:pt idx="0">
                  <c:v>353.22073841319718</c:v>
                </c:pt>
                <c:pt idx="1">
                  <c:v>474.80499219968794</c:v>
                </c:pt>
                <c:pt idx="2">
                  <c:v>464.16988416988414</c:v>
                </c:pt>
                <c:pt idx="3">
                  <c:v>483.25009604302727</c:v>
                </c:pt>
                <c:pt idx="4">
                  <c:v>452.15731195112636</c:v>
                </c:pt>
              </c:numCache>
            </c:numRef>
          </c:val>
          <c:smooth val="0"/>
          <c:extLst>
            <c:ext xmlns:c16="http://schemas.microsoft.com/office/drawing/2014/chart" uri="{C3380CC4-5D6E-409C-BE32-E72D297353CC}">
              <c16:uniqueId val="{00000010-4F27-4804-B14A-7783225AE5CF}"/>
            </c:ext>
          </c:extLst>
        </c:ser>
        <c:ser>
          <c:idx val="7"/>
          <c:order val="16"/>
          <c:tx>
            <c:strRef>
              <c:f>Assessments!$AL$57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Assessments!$Z$2:$AD$3</c:f>
              <c:strCache>
                <c:ptCount val="5"/>
                <c:pt idx="0">
                  <c:v>2014-15</c:v>
                </c:pt>
                <c:pt idx="1">
                  <c:v>2015-16</c:v>
                </c:pt>
                <c:pt idx="2">
                  <c:v>2016-17</c:v>
                </c:pt>
                <c:pt idx="3">
                  <c:v>2017-18</c:v>
                </c:pt>
                <c:pt idx="4">
                  <c:v>2018-19</c:v>
                </c:pt>
              </c:strCache>
            </c:strRef>
          </c:cat>
          <c:val>
            <c:numRef>
              <c:f>Assessments!$AM$57:$AQ$57</c:f>
              <c:numCache>
                <c:formatCode>0.0</c:formatCode>
                <c:ptCount val="5"/>
                <c:pt idx="0">
                  <c:v>545.06172839506166</c:v>
                </c:pt>
                <c:pt idx="1">
                  <c:v>640.61224489795916</c:v>
                </c:pt>
                <c:pt idx="2">
                  <c:v>604.84848484848487</c:v>
                </c:pt>
                <c:pt idx="3">
                  <c:v>631.4629258517034</c:v>
                </c:pt>
                <c:pt idx="4">
                  <c:v>837.45019920318725</c:v>
                </c:pt>
              </c:numCache>
            </c:numRef>
          </c:val>
          <c:smooth val="0"/>
          <c:extLst>
            <c:ext xmlns:c16="http://schemas.microsoft.com/office/drawing/2014/chart" uri="{C3380CC4-5D6E-409C-BE32-E72D297353CC}">
              <c16:uniqueId val="{00000011-4F27-4804-B14A-7783225AE5CF}"/>
            </c:ext>
          </c:extLst>
        </c:ser>
        <c:ser>
          <c:idx val="8"/>
          <c:order val="17"/>
          <c:tx>
            <c:strRef>
              <c:f>Assessments!$AL$58</c:f>
              <c:strCache>
                <c:ptCount val="1"/>
                <c:pt idx="0">
                  <c:v>Torbay</c:v>
                </c:pt>
              </c:strCache>
            </c:strRef>
          </c:tx>
          <c:spPr>
            <a:ln w="15875"/>
          </c:spPr>
          <c:marker>
            <c:symbol val="circle"/>
            <c:size val="5"/>
            <c:spPr>
              <a:solidFill>
                <a:schemeClr val="accent3">
                  <a:lumMod val="20000"/>
                  <a:lumOff val="80000"/>
                </a:schemeClr>
              </a:solidFill>
            </c:spPr>
          </c:marker>
          <c:cat>
            <c:strRef>
              <c:f>Assessments!$Z$2:$AD$3</c:f>
              <c:strCache>
                <c:ptCount val="5"/>
                <c:pt idx="0">
                  <c:v>2014-15</c:v>
                </c:pt>
                <c:pt idx="1">
                  <c:v>2015-16</c:v>
                </c:pt>
                <c:pt idx="2">
                  <c:v>2016-17</c:v>
                </c:pt>
                <c:pt idx="3">
                  <c:v>2017-18</c:v>
                </c:pt>
                <c:pt idx="4">
                  <c:v>2018-19</c:v>
                </c:pt>
              </c:strCache>
            </c:strRef>
          </c:cat>
          <c:val>
            <c:numRef>
              <c:f>Assessments!$AM$58:$AQ$58</c:f>
              <c:numCache>
                <c:formatCode>0.0</c:formatCode>
                <c:ptCount val="5"/>
                <c:pt idx="0">
                  <c:v>592.82868525896413</c:v>
                </c:pt>
                <c:pt idx="1">
                  <c:v>618.2539682539682</c:v>
                </c:pt>
                <c:pt idx="2">
                  <c:v>398.42519685039372</c:v>
                </c:pt>
                <c:pt idx="3">
                  <c:v>742.12598425196859</c:v>
                </c:pt>
                <c:pt idx="4">
                  <c:v>738.9763779527558</c:v>
                </c:pt>
              </c:numCache>
            </c:numRef>
          </c:val>
          <c:smooth val="0"/>
          <c:extLst>
            <c:ext xmlns:c16="http://schemas.microsoft.com/office/drawing/2014/chart" uri="{C3380CC4-5D6E-409C-BE32-E72D297353CC}">
              <c16:uniqueId val="{00000012-4F27-4804-B14A-7783225AE5CF}"/>
            </c:ext>
          </c:extLst>
        </c:ser>
        <c:ser>
          <c:idx val="23"/>
          <c:order val="18"/>
          <c:tx>
            <c:strRef>
              <c:f>Assessments!$AL$59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2014-15</c:v>
                </c:pt>
                <c:pt idx="1">
                  <c:v>2015-16</c:v>
                </c:pt>
                <c:pt idx="2">
                  <c:v>2016-17</c:v>
                </c:pt>
                <c:pt idx="3">
                  <c:v>2017-18</c:v>
                </c:pt>
                <c:pt idx="4">
                  <c:v>2018-19</c:v>
                </c:pt>
              </c:strCache>
            </c:strRef>
          </c:cat>
          <c:val>
            <c:numRef>
              <c:f>Assessments!$AM$59:$AQ$59</c:f>
              <c:numCache>
                <c:formatCode>0.0</c:formatCode>
                <c:ptCount val="5"/>
                <c:pt idx="0">
                  <c:v>249.15730337078651</c:v>
                </c:pt>
                <c:pt idx="1">
                  <c:v>401.68067226890759</c:v>
                </c:pt>
                <c:pt idx="2">
                  <c:v>418.66295264623955</c:v>
                </c:pt>
                <c:pt idx="3">
                  <c:v>497.20670391061458</c:v>
                </c:pt>
                <c:pt idx="4">
                  <c:v>581.17977528089887</c:v>
                </c:pt>
              </c:numCache>
            </c:numRef>
          </c:val>
          <c:smooth val="0"/>
          <c:extLst>
            <c:ext xmlns:c16="http://schemas.microsoft.com/office/drawing/2014/chart" uri="{C3380CC4-5D6E-409C-BE32-E72D297353CC}">
              <c16:uniqueId val="{00000013-4F27-4804-B14A-7783225AE5CF}"/>
            </c:ext>
          </c:extLst>
        </c:ser>
        <c:ser>
          <c:idx val="24"/>
          <c:order val="19"/>
          <c:tx>
            <c:strRef>
              <c:f>Assessments!$AL$60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2014-15</c:v>
                </c:pt>
                <c:pt idx="1">
                  <c:v>2015-16</c:v>
                </c:pt>
                <c:pt idx="2">
                  <c:v>2016-17</c:v>
                </c:pt>
                <c:pt idx="3">
                  <c:v>2017-18</c:v>
                </c:pt>
                <c:pt idx="4">
                  <c:v>2018-19</c:v>
                </c:pt>
              </c:strCache>
            </c:strRef>
          </c:cat>
          <c:val>
            <c:numRef>
              <c:f>Assessments!$AM$60:$AQ$60</c:f>
              <c:numCache>
                <c:formatCode>0.0</c:formatCode>
                <c:ptCount val="5"/>
                <c:pt idx="0">
                  <c:v>307.16824644549763</c:v>
                </c:pt>
                <c:pt idx="1">
                  <c:v>438.08685446009389</c:v>
                </c:pt>
                <c:pt idx="2">
                  <c:v>444.29569266589061</c:v>
                </c:pt>
                <c:pt idx="3">
                  <c:v>577.26485862665902</c:v>
                </c:pt>
                <c:pt idx="4">
                  <c:v>595.99313108185459</c:v>
                </c:pt>
              </c:numCache>
            </c:numRef>
          </c:val>
          <c:smooth val="0"/>
          <c:extLst>
            <c:ext xmlns:c16="http://schemas.microsoft.com/office/drawing/2014/chart" uri="{C3380CC4-5D6E-409C-BE32-E72D297353CC}">
              <c16:uniqueId val="{00000014-4F27-4804-B14A-7783225AE5CF}"/>
            </c:ext>
          </c:extLst>
        </c:ser>
        <c:ser>
          <c:idx val="25"/>
          <c:order val="20"/>
          <c:tx>
            <c:strRef>
              <c:f>Assessments!$AL$61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2014-15</c:v>
                </c:pt>
                <c:pt idx="1">
                  <c:v>2015-16</c:v>
                </c:pt>
                <c:pt idx="2">
                  <c:v>2016-17</c:v>
                </c:pt>
                <c:pt idx="3">
                  <c:v>2017-18</c:v>
                </c:pt>
                <c:pt idx="4">
                  <c:v>2018-19</c:v>
                </c:pt>
              </c:strCache>
            </c:strRef>
          </c:cat>
          <c:val>
            <c:numRef>
              <c:f>Assessments!$AM$61:$AQ$61</c:f>
              <c:numCache>
                <c:formatCode>0.0</c:formatCode>
                <c:ptCount val="5"/>
                <c:pt idx="0">
                  <c:v>233.23353293413174</c:v>
                </c:pt>
                <c:pt idx="1">
                  <c:v>274.18397626112761</c:v>
                </c:pt>
                <c:pt idx="2">
                  <c:v>195.32163742690057</c:v>
                </c:pt>
                <c:pt idx="3">
                  <c:v>269.47674418604652</c:v>
                </c:pt>
                <c:pt idx="4">
                  <c:v>248.84393063583818</c:v>
                </c:pt>
              </c:numCache>
            </c:numRef>
          </c:val>
          <c:smooth val="0"/>
          <c:extLst>
            <c:ext xmlns:c16="http://schemas.microsoft.com/office/drawing/2014/chart" uri="{C3380CC4-5D6E-409C-BE32-E72D297353CC}">
              <c16:uniqueId val="{00000015-4F27-4804-B14A-7783225AE5CF}"/>
            </c:ext>
          </c:extLst>
        </c:ser>
        <c:ser>
          <c:idx val="26"/>
          <c:order val="21"/>
          <c:tx>
            <c:strRef>
              <c:f>Assessments!$AL$62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2014-15</c:v>
                </c:pt>
                <c:pt idx="1">
                  <c:v>2015-16</c:v>
                </c:pt>
                <c:pt idx="2">
                  <c:v>2016-17</c:v>
                </c:pt>
                <c:pt idx="3">
                  <c:v>2017-18</c:v>
                </c:pt>
                <c:pt idx="4">
                  <c:v>2018-19</c:v>
                </c:pt>
              </c:strCache>
            </c:strRef>
          </c:cat>
          <c:val>
            <c:numRef>
              <c:f>Assessments!$AM$62:$AQ$62</c:f>
              <c:numCache>
                <c:formatCode>0.0</c:formatCode>
                <c:ptCount val="5"/>
                <c:pt idx="0">
                  <c:v>240.37940379403793</c:v>
                </c:pt>
                <c:pt idx="1">
                  <c:v>302.41286863270778</c:v>
                </c:pt>
                <c:pt idx="2">
                  <c:v>230.26315789473682</c:v>
                </c:pt>
                <c:pt idx="3">
                  <c:v>283.20413436692508</c:v>
                </c:pt>
                <c:pt idx="4">
                  <c:v>438.7341772151899</c:v>
                </c:pt>
              </c:numCache>
            </c:numRef>
          </c:val>
          <c:smooth val="0"/>
          <c:extLst>
            <c:ext xmlns:c16="http://schemas.microsoft.com/office/drawing/2014/chart" uri="{C3380CC4-5D6E-409C-BE32-E72D297353CC}">
              <c16:uniqueId val="{00000016-4F27-4804-B14A-7783225AE5CF}"/>
            </c:ext>
          </c:extLst>
        </c:ser>
        <c:ser>
          <c:idx val="4"/>
          <c:order val="22"/>
          <c:tx>
            <c:strRef>
              <c:f>Assessments!$AL$63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2014-15</c:v>
                </c:pt>
                <c:pt idx="1">
                  <c:v>2015-16</c:v>
                </c:pt>
                <c:pt idx="2">
                  <c:v>2016-17</c:v>
                </c:pt>
                <c:pt idx="3">
                  <c:v>2017-18</c:v>
                </c:pt>
                <c:pt idx="4">
                  <c:v>2018-19</c:v>
                </c:pt>
              </c:strCache>
            </c:strRef>
          </c:cat>
          <c:val>
            <c:numRef>
              <c:f>Assessments!$AM$63:$AQ$63</c:f>
              <c:numCache>
                <c:formatCode>0.0</c:formatCode>
                <c:ptCount val="5"/>
                <c:pt idx="0">
                  <c:v>422.18021424070571</c:v>
                </c:pt>
                <c:pt idx="1">
                  <c:v>476.09613680204365</c:v>
                </c:pt>
                <c:pt idx="2">
                  <c:v>510.99270601624335</c:v>
                </c:pt>
                <c:pt idx="3">
                  <c:v>525.85009516950458</c:v>
                </c:pt>
                <c:pt idx="4">
                  <c:v>522.22335751507103</c:v>
                </c:pt>
              </c:numCache>
            </c:numRef>
          </c:val>
          <c:smooth val="0"/>
          <c:extLst>
            <c:ext xmlns:c16="http://schemas.microsoft.com/office/drawing/2014/chart" uri="{C3380CC4-5D6E-409C-BE32-E72D297353CC}">
              <c16:uniqueId val="{00000017-4F27-4804-B14A-7783225AE5CF}"/>
            </c:ext>
          </c:extLst>
        </c:ser>
        <c:ser>
          <c:idx val="14"/>
          <c:order val="23"/>
          <c:tx>
            <c:strRef>
              <c:f>Assessments!$AL$64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Assessments!$Z$2:$AD$3</c:f>
              <c:strCache>
                <c:ptCount val="5"/>
                <c:pt idx="0">
                  <c:v>2014-15</c:v>
                </c:pt>
                <c:pt idx="1">
                  <c:v>2015-16</c:v>
                </c:pt>
                <c:pt idx="2">
                  <c:v>2016-17</c:v>
                </c:pt>
                <c:pt idx="3">
                  <c:v>2017-18</c:v>
                </c:pt>
                <c:pt idx="4">
                  <c:v>2018-19</c:v>
                </c:pt>
              </c:strCache>
            </c:strRef>
          </c:cat>
          <c:val>
            <c:numRef>
              <c:f>Assessments!$AM$64:$AQ$64</c:f>
              <c:numCache>
                <c:formatCode>0.0</c:formatCode>
                <c:ptCount val="5"/>
                <c:pt idx="0">
                  <c:v>#N/A</c:v>
                </c:pt>
                <c:pt idx="1">
                  <c:v>489.50581868315362</c:v>
                </c:pt>
                <c:pt idx="2">
                  <c:v>514.98052658820734</c:v>
                </c:pt>
                <c:pt idx="3">
                  <c:v>531.80247745849829</c:v>
                </c:pt>
                <c:pt idx="4">
                  <c:v>527.90557609623079</c:v>
                </c:pt>
              </c:numCache>
            </c:numRef>
          </c:val>
          <c:smooth val="0"/>
          <c:extLst>
            <c:ext xmlns:c16="http://schemas.microsoft.com/office/drawing/2014/chart" uri="{C3380CC4-5D6E-409C-BE32-E72D297353CC}">
              <c16:uniqueId val="{00000018-4F27-4804-B14A-7783225AE5CF}"/>
            </c:ext>
          </c:extLst>
        </c:ser>
        <c:ser>
          <c:idx val="6"/>
          <c:order val="24"/>
          <c:tx>
            <c:strRef>
              <c:f>Assessments!$AL$65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Assessments!$Z$2:$AD$3</c:f>
              <c:strCache>
                <c:ptCount val="5"/>
                <c:pt idx="0">
                  <c:v>2014-15</c:v>
                </c:pt>
                <c:pt idx="1">
                  <c:v>2015-16</c:v>
                </c:pt>
                <c:pt idx="2">
                  <c:v>2016-17</c:v>
                </c:pt>
                <c:pt idx="3">
                  <c:v>2017-18</c:v>
                </c:pt>
                <c:pt idx="4">
                  <c:v>2018-19</c:v>
                </c:pt>
              </c:strCache>
            </c:strRef>
          </c:cat>
          <c:val>
            <c:numRef>
              <c:f>Assessments!$AM$65:$AQ$65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4F27-4804-B14A-7783225AE5CF}"/>
            </c:ext>
          </c:extLst>
        </c:ser>
        <c:dLbls>
          <c:showLegendKey val="0"/>
          <c:showVal val="0"/>
          <c:showCatName val="0"/>
          <c:showSerName val="0"/>
          <c:showPercent val="0"/>
          <c:showBubbleSize val="0"/>
        </c:dLbls>
        <c:marker val="1"/>
        <c:smooth val="0"/>
        <c:axId val="247508352"/>
        <c:axId val="247514624"/>
      </c:lineChart>
      <c:catAx>
        <c:axId val="247508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7514624"/>
        <c:crosses val="autoZero"/>
        <c:auto val="1"/>
        <c:lblAlgn val="ctr"/>
        <c:lblOffset val="100"/>
        <c:tickLblSkip val="1"/>
        <c:tickMarkSkip val="1"/>
        <c:noMultiLvlLbl val="0"/>
      </c:catAx>
      <c:valAx>
        <c:axId val="24751462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750835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69107454382574"/>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2014-15</c:v>
                </c:pt>
                <c:pt idx="1">
                  <c:v>2015-16</c:v>
                </c:pt>
                <c:pt idx="2">
                  <c:v>2016-17</c:v>
                </c:pt>
                <c:pt idx="3">
                  <c:v>2017-18</c:v>
                </c:pt>
                <c:pt idx="4">
                  <c:v>2018-19</c:v>
                </c:pt>
              </c:strCache>
            </c:strRef>
          </c:cat>
          <c:val>
            <c:numRef>
              <c:f>Assessments!$AM$65:$AQ$65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8BC7-4E47-86D0-CFF65618B07E}"/>
            </c:ext>
          </c:extLst>
        </c:ser>
        <c:ser>
          <c:idx val="4"/>
          <c:order val="1"/>
          <c:tx>
            <c:strRef>
              <c:f>Assessments!$B$32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2014-15</c:v>
                </c:pt>
                <c:pt idx="1">
                  <c:v>2015-16</c:v>
                </c:pt>
                <c:pt idx="2">
                  <c:v>2016-17</c:v>
                </c:pt>
                <c:pt idx="3">
                  <c:v>2017-18</c:v>
                </c:pt>
                <c:pt idx="4">
                  <c:v>2018-19</c:v>
                </c:pt>
              </c:strCache>
            </c:strRef>
          </c:cat>
          <c:val>
            <c:numRef>
              <c:f>Assessments!$K$32:$O$32</c:f>
              <c:numCache>
                <c:formatCode>0.0</c:formatCode>
                <c:ptCount val="5"/>
                <c:pt idx="0">
                  <c:v>422.18021424070571</c:v>
                </c:pt>
                <c:pt idx="1">
                  <c:v>476.09613680204365</c:v>
                </c:pt>
                <c:pt idx="2">
                  <c:v>510.99270601624335</c:v>
                </c:pt>
                <c:pt idx="3">
                  <c:v>525.85009516950458</c:v>
                </c:pt>
                <c:pt idx="4">
                  <c:v>522.22335751507103</c:v>
                </c:pt>
              </c:numCache>
            </c:numRef>
          </c:val>
          <c:extLst>
            <c:ext xmlns:c16="http://schemas.microsoft.com/office/drawing/2014/chart" uri="{C3380CC4-5D6E-409C-BE32-E72D297353CC}">
              <c16:uniqueId val="{00000001-8BC7-4E47-86D0-CFF65618B07E}"/>
            </c:ext>
          </c:extLst>
        </c:ser>
        <c:ser>
          <c:idx val="0"/>
          <c:order val="2"/>
          <c:tx>
            <c:strRef>
              <c:f>Assessments!$B$33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2014-15</c:v>
                </c:pt>
                <c:pt idx="1">
                  <c:v>2015-16</c:v>
                </c:pt>
                <c:pt idx="2">
                  <c:v>2016-17</c:v>
                </c:pt>
                <c:pt idx="3">
                  <c:v>2017-18</c:v>
                </c:pt>
                <c:pt idx="4">
                  <c:v>2018-19</c:v>
                </c:pt>
              </c:strCache>
            </c:strRef>
          </c:cat>
          <c:val>
            <c:numRef>
              <c:f>Assessments!$K$33:$O$33</c:f>
              <c:numCache>
                <c:formatCode>0.0</c:formatCode>
                <c:ptCount val="5"/>
                <c:pt idx="0">
                  <c:v>#N/A</c:v>
                </c:pt>
                <c:pt idx="1">
                  <c:v>489.50581868315362</c:v>
                </c:pt>
                <c:pt idx="2">
                  <c:v>514.98052658820734</c:v>
                </c:pt>
                <c:pt idx="3">
                  <c:v>531.80247745849829</c:v>
                </c:pt>
                <c:pt idx="4">
                  <c:v>527.90557609623079</c:v>
                </c:pt>
              </c:numCache>
            </c:numRef>
          </c:val>
          <c:extLst>
            <c:ext xmlns:c16="http://schemas.microsoft.com/office/drawing/2014/chart" uri="{C3380CC4-5D6E-409C-BE32-E72D297353CC}">
              <c16:uniqueId val="{00000002-8BC7-4E47-86D0-CFF65618B07E}"/>
            </c:ext>
          </c:extLst>
        </c:ser>
        <c:dLbls>
          <c:showLegendKey val="0"/>
          <c:showVal val="0"/>
          <c:showCatName val="0"/>
          <c:showSerName val="0"/>
          <c:showPercent val="0"/>
          <c:showBubbleSize val="0"/>
        </c:dLbls>
        <c:gapWidth val="100"/>
        <c:axId val="236358656"/>
        <c:axId val="236749568"/>
      </c:barChart>
      <c:catAx>
        <c:axId val="236358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6749568"/>
        <c:crosses val="autoZero"/>
        <c:auto val="1"/>
        <c:lblAlgn val="ctr"/>
        <c:lblOffset val="100"/>
        <c:noMultiLvlLbl val="0"/>
      </c:catAx>
      <c:valAx>
        <c:axId val="2367495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36358656"/>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Referrals (Selected LA</a:t>
            </a:r>
            <a:r>
              <a:rPr lang="en-GB" baseline="0"/>
              <a:t> vs. SE)</a:t>
            </a:r>
            <a:r>
              <a:rPr lang="en-GB"/>
              <a:t> </a:t>
            </a:r>
          </a:p>
        </c:rich>
      </c:tx>
      <c:layout>
        <c:manualLayout>
          <c:xMode val="edge"/>
          <c:yMode val="edge"/>
          <c:x val="0.23322346874782246"/>
          <c:y val="2.7670949026108577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828958880139982"/>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2014-15</c:v>
                </c:pt>
                <c:pt idx="1">
                  <c:v>2015-16</c:v>
                </c:pt>
                <c:pt idx="2">
                  <c:v>2016-17</c:v>
                </c:pt>
                <c:pt idx="3">
                  <c:v>2017-18</c:v>
                </c:pt>
                <c:pt idx="4">
                  <c:v>2018-19</c:v>
                </c:pt>
              </c:strCache>
            </c:strRef>
          </c:cat>
          <c:val>
            <c:numRef>
              <c:f>Referrals!$AM$65:$AQ$65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086B-4AB8-B0A0-05D0097E2BEB}"/>
            </c:ext>
          </c:extLst>
        </c:ser>
        <c:ser>
          <c:idx val="4"/>
          <c:order val="1"/>
          <c:tx>
            <c:strRef>
              <c:f>Referrals!$B$32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2014-15</c:v>
                </c:pt>
                <c:pt idx="1">
                  <c:v>2015-16</c:v>
                </c:pt>
                <c:pt idx="2">
                  <c:v>2016-17</c:v>
                </c:pt>
                <c:pt idx="3">
                  <c:v>2017-18</c:v>
                </c:pt>
                <c:pt idx="4">
                  <c:v>2018-19</c:v>
                </c:pt>
              </c:strCache>
            </c:strRef>
          </c:cat>
          <c:val>
            <c:numRef>
              <c:f>Referrals!$K$32:$O$32</c:f>
              <c:numCache>
                <c:formatCode>0.0</c:formatCode>
                <c:ptCount val="5"/>
                <c:pt idx="0">
                  <c:v>508.82167611846251</c:v>
                </c:pt>
                <c:pt idx="1">
                  <c:v>509.67102862207395</c:v>
                </c:pt>
                <c:pt idx="2">
                  <c:v>554.13584398117018</c:v>
                </c:pt>
                <c:pt idx="3">
                  <c:v>548.33067544626783</c:v>
                </c:pt>
                <c:pt idx="4">
                  <c:v>535.86390109328704</c:v>
                </c:pt>
              </c:numCache>
            </c:numRef>
          </c:val>
          <c:extLst>
            <c:ext xmlns:c16="http://schemas.microsoft.com/office/drawing/2014/chart" uri="{C3380CC4-5D6E-409C-BE32-E72D297353CC}">
              <c16:uniqueId val="{00000001-086B-4AB8-B0A0-05D0097E2BEB}"/>
            </c:ext>
          </c:extLst>
        </c:ser>
        <c:ser>
          <c:idx val="0"/>
          <c:order val="2"/>
          <c:tx>
            <c:strRef>
              <c:f>Referrals!$B$33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2014-15</c:v>
                </c:pt>
                <c:pt idx="1">
                  <c:v>2015-16</c:v>
                </c:pt>
                <c:pt idx="2">
                  <c:v>2016-17</c:v>
                </c:pt>
                <c:pt idx="3">
                  <c:v>2017-18</c:v>
                </c:pt>
                <c:pt idx="4">
                  <c:v>2018-19</c:v>
                </c:pt>
              </c:strCache>
            </c:strRef>
          </c:cat>
          <c:val>
            <c:numRef>
              <c:f>Referrals!$K$33:$O$33</c:f>
              <c:numCache>
                <c:formatCode>0.0</c:formatCode>
                <c:ptCount val="5"/>
                <c:pt idx="0">
                  <c:v>548.32336930734925</c:v>
                </c:pt>
                <c:pt idx="1">
                  <c:v>532.17616180991445</c:v>
                </c:pt>
                <c:pt idx="2">
                  <c:v>548.24230185061049</c:v>
                </c:pt>
                <c:pt idx="3">
                  <c:v>552.48167186314993</c:v>
                </c:pt>
                <c:pt idx="4">
                  <c:v>544.50169809111139</c:v>
                </c:pt>
              </c:numCache>
            </c:numRef>
          </c:val>
          <c:extLst>
            <c:ext xmlns:c16="http://schemas.microsoft.com/office/drawing/2014/chart" uri="{C3380CC4-5D6E-409C-BE32-E72D297353CC}">
              <c16:uniqueId val="{00000002-086B-4AB8-B0A0-05D0097E2BEB}"/>
            </c:ext>
          </c:extLst>
        </c:ser>
        <c:dLbls>
          <c:showLegendKey val="0"/>
          <c:showVal val="0"/>
          <c:showCatName val="0"/>
          <c:showSerName val="0"/>
          <c:showPercent val="0"/>
          <c:showBubbleSize val="0"/>
        </c:dLbls>
        <c:gapWidth val="100"/>
        <c:axId val="528901632"/>
        <c:axId val="528903168"/>
      </c:barChart>
      <c:catAx>
        <c:axId val="528901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903168"/>
        <c:crosses val="autoZero"/>
        <c:auto val="1"/>
        <c:lblAlgn val="ctr"/>
        <c:lblOffset val="100"/>
        <c:noMultiLvlLbl val="0"/>
      </c:catAx>
      <c:valAx>
        <c:axId val="52890316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2890163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 completed within 45 Days</a:t>
            </a:r>
          </a:p>
        </c:rich>
      </c:tx>
      <c:layout>
        <c:manualLayout>
          <c:xMode val="edge"/>
          <c:yMode val="edge"/>
          <c:x val="0.13744646204938665"/>
          <c:y val="8.280471006092037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28239525614858"/>
        </c:manualLayout>
      </c:layout>
      <c:lineChart>
        <c:grouping val="standard"/>
        <c:varyColors val="0"/>
        <c:ser>
          <c:idx val="0"/>
          <c:order val="0"/>
          <c:tx>
            <c:strRef>
              <c:f>Assessments!$AL$41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1090-4343-9B31-F4F2AD5CAC1C}"/>
              </c:ext>
            </c:extLst>
          </c:dPt>
          <c:cat>
            <c:strRef>
              <c:f>Assessments!$Z$2:$AD$3</c:f>
              <c:strCache>
                <c:ptCount val="5"/>
                <c:pt idx="0">
                  <c:v>2014-15</c:v>
                </c:pt>
                <c:pt idx="1">
                  <c:v>2015-16</c:v>
                </c:pt>
                <c:pt idx="2">
                  <c:v>2016-17</c:v>
                </c:pt>
                <c:pt idx="3">
                  <c:v>2017-18</c:v>
                </c:pt>
                <c:pt idx="4">
                  <c:v>2018-19</c:v>
                </c:pt>
              </c:strCache>
            </c:strRef>
          </c:cat>
          <c:val>
            <c:numRef>
              <c:f>Assessments!$AX$41:$BB$41</c:f>
              <c:numCache>
                <c:formatCode>0.0%</c:formatCode>
                <c:ptCount val="5"/>
                <c:pt idx="0">
                  <c:v>0.99079754601226999</c:v>
                </c:pt>
                <c:pt idx="1">
                  <c:v>0.96542311191992725</c:v>
                </c:pt>
                <c:pt idx="2">
                  <c:v>0.89727011494252873</c:v>
                </c:pt>
                <c:pt idx="3">
                  <c:v>0.90479041916167668</c:v>
                </c:pt>
                <c:pt idx="4">
                  <c:v>0.93540810334703461</c:v>
                </c:pt>
              </c:numCache>
            </c:numRef>
          </c:val>
          <c:smooth val="0"/>
          <c:extLst>
            <c:ext xmlns:c16="http://schemas.microsoft.com/office/drawing/2014/chart" uri="{C3380CC4-5D6E-409C-BE32-E72D297353CC}">
              <c16:uniqueId val="{00000001-1090-4343-9B31-F4F2AD5CAC1C}"/>
            </c:ext>
          </c:extLst>
        </c:ser>
        <c:ser>
          <c:idx val="1"/>
          <c:order val="1"/>
          <c:tx>
            <c:strRef>
              <c:f>Assessments!$AL$42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Assessments!$Z$2:$AD$3</c:f>
              <c:strCache>
                <c:ptCount val="5"/>
                <c:pt idx="0">
                  <c:v>2014-15</c:v>
                </c:pt>
                <c:pt idx="1">
                  <c:v>2015-16</c:v>
                </c:pt>
                <c:pt idx="2">
                  <c:v>2016-17</c:v>
                </c:pt>
                <c:pt idx="3">
                  <c:v>2017-18</c:v>
                </c:pt>
                <c:pt idx="4">
                  <c:v>2018-19</c:v>
                </c:pt>
              </c:strCache>
            </c:strRef>
          </c:cat>
          <c:val>
            <c:numRef>
              <c:f>Assessments!$AX$42:$BB$42</c:f>
              <c:numCache>
                <c:formatCode>0.0%</c:formatCode>
                <c:ptCount val="5"/>
                <c:pt idx="0">
                  <c:v>0.53104693140794224</c:v>
                </c:pt>
                <c:pt idx="1">
                  <c:v>0.48814504881450488</c:v>
                </c:pt>
                <c:pt idx="2">
                  <c:v>0.70331125827814567</c:v>
                </c:pt>
                <c:pt idx="3">
                  <c:v>0.88855979266938168</c:v>
                </c:pt>
                <c:pt idx="4">
                  <c:v>0.88097165991902837</c:v>
                </c:pt>
              </c:numCache>
            </c:numRef>
          </c:val>
          <c:smooth val="0"/>
          <c:extLst>
            <c:ext xmlns:c16="http://schemas.microsoft.com/office/drawing/2014/chart" uri="{C3380CC4-5D6E-409C-BE32-E72D297353CC}">
              <c16:uniqueId val="{00000002-1090-4343-9B31-F4F2AD5CAC1C}"/>
            </c:ext>
          </c:extLst>
        </c:ser>
        <c:ser>
          <c:idx val="2"/>
          <c:order val="2"/>
          <c:tx>
            <c:strRef>
              <c:f>Assessments!$AL$43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Assessments!$Z$2:$AD$3</c:f>
              <c:strCache>
                <c:ptCount val="5"/>
                <c:pt idx="0">
                  <c:v>2014-15</c:v>
                </c:pt>
                <c:pt idx="1">
                  <c:v>2015-16</c:v>
                </c:pt>
                <c:pt idx="2">
                  <c:v>2016-17</c:v>
                </c:pt>
                <c:pt idx="3">
                  <c:v>2017-18</c:v>
                </c:pt>
                <c:pt idx="4">
                  <c:v>2018-19</c:v>
                </c:pt>
              </c:strCache>
            </c:strRef>
          </c:cat>
          <c:val>
            <c:numRef>
              <c:f>Assessments!$AX$43:$BB$43</c:f>
              <c:numCache>
                <c:formatCode>0.0%</c:formatCode>
                <c:ptCount val="5"/>
                <c:pt idx="0">
                  <c:v>0.82847896440129454</c:v>
                </c:pt>
                <c:pt idx="1">
                  <c:v>0.87296766124709668</c:v>
                </c:pt>
                <c:pt idx="2">
                  <c:v>0.92904191616766463</c:v>
                </c:pt>
                <c:pt idx="3">
                  <c:v>0.84317475496055461</c:v>
                </c:pt>
                <c:pt idx="4">
                  <c:v>0.73449290190561456</c:v>
                </c:pt>
              </c:numCache>
            </c:numRef>
          </c:val>
          <c:smooth val="0"/>
          <c:extLst>
            <c:ext xmlns:c16="http://schemas.microsoft.com/office/drawing/2014/chart" uri="{C3380CC4-5D6E-409C-BE32-E72D297353CC}">
              <c16:uniqueId val="{00000003-1090-4343-9B31-F4F2AD5CAC1C}"/>
            </c:ext>
          </c:extLst>
        </c:ser>
        <c:ser>
          <c:idx val="5"/>
          <c:order val="3"/>
          <c:tx>
            <c:strRef>
              <c:f>Assessments!$AL$44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Assessments!$Z$2:$AD$3</c:f>
              <c:strCache>
                <c:ptCount val="5"/>
                <c:pt idx="0">
                  <c:v>2014-15</c:v>
                </c:pt>
                <c:pt idx="1">
                  <c:v>2015-16</c:v>
                </c:pt>
                <c:pt idx="2">
                  <c:v>2016-17</c:v>
                </c:pt>
                <c:pt idx="3">
                  <c:v>2017-18</c:v>
                </c:pt>
                <c:pt idx="4">
                  <c:v>2018-19</c:v>
                </c:pt>
              </c:strCache>
            </c:strRef>
          </c:cat>
          <c:val>
            <c:numRef>
              <c:f>Assessments!$AX$44:$BB$44</c:f>
              <c:numCache>
                <c:formatCode>0.0%</c:formatCode>
                <c:ptCount val="5"/>
                <c:pt idx="0">
                  <c:v>0.5167660208643815</c:v>
                </c:pt>
                <c:pt idx="1">
                  <c:v>0.53883299798792761</c:v>
                </c:pt>
                <c:pt idx="2">
                  <c:v>0.65892459433662109</c:v>
                </c:pt>
                <c:pt idx="3">
                  <c:v>0.6064245810055866</c:v>
                </c:pt>
                <c:pt idx="4">
                  <c:v>0.57921067259588666</c:v>
                </c:pt>
              </c:numCache>
            </c:numRef>
          </c:val>
          <c:smooth val="0"/>
          <c:extLst>
            <c:ext xmlns:c16="http://schemas.microsoft.com/office/drawing/2014/chart" uri="{C3380CC4-5D6E-409C-BE32-E72D297353CC}">
              <c16:uniqueId val="{00000004-1090-4343-9B31-F4F2AD5CAC1C}"/>
            </c:ext>
          </c:extLst>
        </c:ser>
        <c:ser>
          <c:idx val="9"/>
          <c:order val="4"/>
          <c:tx>
            <c:strRef>
              <c:f>Assessments!$AL$45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Assessments!$Z$2:$AD$3</c:f>
              <c:strCache>
                <c:ptCount val="5"/>
                <c:pt idx="0">
                  <c:v>2014-15</c:v>
                </c:pt>
                <c:pt idx="1">
                  <c:v>2015-16</c:v>
                </c:pt>
                <c:pt idx="2">
                  <c:v>2016-17</c:v>
                </c:pt>
                <c:pt idx="3">
                  <c:v>2017-18</c:v>
                </c:pt>
                <c:pt idx="4">
                  <c:v>2018-19</c:v>
                </c:pt>
              </c:strCache>
            </c:strRef>
          </c:cat>
          <c:val>
            <c:numRef>
              <c:f>Assessments!$AX$45:$BB$45</c:f>
              <c:numCache>
                <c:formatCode>0.0%</c:formatCode>
                <c:ptCount val="5"/>
                <c:pt idx="0">
                  <c:v>0.79404539073467473</c:v>
                </c:pt>
                <c:pt idx="1">
                  <c:v>0.88252318232827354</c:v>
                </c:pt>
                <c:pt idx="2">
                  <c:v>0.89637619071619379</c:v>
                </c:pt>
                <c:pt idx="3">
                  <c:v>0.91200453001132498</c:v>
                </c:pt>
                <c:pt idx="4">
                  <c:v>0.90851524745875689</c:v>
                </c:pt>
              </c:numCache>
            </c:numRef>
          </c:val>
          <c:smooth val="0"/>
          <c:extLst>
            <c:ext xmlns:c16="http://schemas.microsoft.com/office/drawing/2014/chart" uri="{C3380CC4-5D6E-409C-BE32-E72D297353CC}">
              <c16:uniqueId val="{00000005-1090-4343-9B31-F4F2AD5CAC1C}"/>
            </c:ext>
          </c:extLst>
        </c:ser>
        <c:ser>
          <c:idx val="10"/>
          <c:order val="5"/>
          <c:tx>
            <c:strRef>
              <c:f>Assessments!$AL$46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Assessments!$Z$2:$AD$3</c:f>
              <c:strCache>
                <c:ptCount val="5"/>
                <c:pt idx="0">
                  <c:v>2014-15</c:v>
                </c:pt>
                <c:pt idx="1">
                  <c:v>2015-16</c:v>
                </c:pt>
                <c:pt idx="2">
                  <c:v>2016-17</c:v>
                </c:pt>
                <c:pt idx="3">
                  <c:v>2017-18</c:v>
                </c:pt>
                <c:pt idx="4">
                  <c:v>2018-19</c:v>
                </c:pt>
              </c:strCache>
            </c:strRef>
          </c:cat>
          <c:val>
            <c:numRef>
              <c:f>Assessments!$AX$46:$BB$46</c:f>
              <c:numCache>
                <c:formatCode>0.0%</c:formatCode>
                <c:ptCount val="5"/>
                <c:pt idx="0">
                  <c:v>0.80292338709677424</c:v>
                </c:pt>
                <c:pt idx="1">
                  <c:v>0.86304801670146136</c:v>
                </c:pt>
                <c:pt idx="2">
                  <c:v>0.79189892233370496</c:v>
                </c:pt>
                <c:pt idx="3">
                  <c:v>0.86114221724524076</c:v>
                </c:pt>
                <c:pt idx="4">
                  <c:v>0.95776081424936388</c:v>
                </c:pt>
              </c:numCache>
            </c:numRef>
          </c:val>
          <c:smooth val="0"/>
          <c:extLst>
            <c:ext xmlns:c16="http://schemas.microsoft.com/office/drawing/2014/chart" uri="{C3380CC4-5D6E-409C-BE32-E72D297353CC}">
              <c16:uniqueId val="{00000006-1090-4343-9B31-F4F2AD5CAC1C}"/>
            </c:ext>
          </c:extLst>
        </c:ser>
        <c:ser>
          <c:idx val="11"/>
          <c:order val="6"/>
          <c:tx>
            <c:strRef>
              <c:f>Assessments!$AL$47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Assessments!$Z$2:$AD$3</c:f>
              <c:strCache>
                <c:ptCount val="5"/>
                <c:pt idx="0">
                  <c:v>2014-15</c:v>
                </c:pt>
                <c:pt idx="1">
                  <c:v>2015-16</c:v>
                </c:pt>
                <c:pt idx="2">
                  <c:v>2016-17</c:v>
                </c:pt>
                <c:pt idx="3">
                  <c:v>2017-18</c:v>
                </c:pt>
                <c:pt idx="4">
                  <c:v>2018-19</c:v>
                </c:pt>
              </c:strCache>
            </c:strRef>
          </c:cat>
          <c:val>
            <c:numRef>
              <c:f>Assessments!$AX$47:$BB$47</c:f>
              <c:numCache>
                <c:formatCode>0.0%</c:formatCode>
                <c:ptCount val="5"/>
                <c:pt idx="0">
                  <c:v>0.88577395266421977</c:v>
                </c:pt>
                <c:pt idx="1">
                  <c:v>0.91204379562043791</c:v>
                </c:pt>
                <c:pt idx="2">
                  <c:v>0.92209458633752905</c:v>
                </c:pt>
                <c:pt idx="3">
                  <c:v>0.86859297816964998</c:v>
                </c:pt>
                <c:pt idx="4">
                  <c:v>0.92114330904366493</c:v>
                </c:pt>
              </c:numCache>
            </c:numRef>
          </c:val>
          <c:smooth val="0"/>
          <c:extLst>
            <c:ext xmlns:c16="http://schemas.microsoft.com/office/drawing/2014/chart" uri="{C3380CC4-5D6E-409C-BE32-E72D297353CC}">
              <c16:uniqueId val="{00000007-1090-4343-9B31-F4F2AD5CAC1C}"/>
            </c:ext>
          </c:extLst>
        </c:ser>
        <c:ser>
          <c:idx val="12"/>
          <c:order val="7"/>
          <c:tx>
            <c:strRef>
              <c:f>Assessments!$AL$48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Assessments!$Z$2:$AD$3</c:f>
              <c:strCache>
                <c:ptCount val="5"/>
                <c:pt idx="0">
                  <c:v>2014-15</c:v>
                </c:pt>
                <c:pt idx="1">
                  <c:v>2015-16</c:v>
                </c:pt>
                <c:pt idx="2">
                  <c:v>2016-17</c:v>
                </c:pt>
                <c:pt idx="3">
                  <c:v>2017-18</c:v>
                </c:pt>
                <c:pt idx="4">
                  <c:v>2018-19</c:v>
                </c:pt>
              </c:strCache>
            </c:strRef>
          </c:cat>
          <c:val>
            <c:numRef>
              <c:f>Assessments!$AX$48:$BB$48</c:f>
              <c:numCache>
                <c:formatCode>0.0%</c:formatCode>
                <c:ptCount val="5"/>
                <c:pt idx="0">
                  <c:v>0.75371722087050552</c:v>
                </c:pt>
                <c:pt idx="1">
                  <c:v>0.83365446371226715</c:v>
                </c:pt>
                <c:pt idx="2">
                  <c:v>0.95848119233498941</c:v>
                </c:pt>
                <c:pt idx="3">
                  <c:v>0.85930649661219605</c:v>
                </c:pt>
                <c:pt idx="4">
                  <c:v>0.63128654970760234</c:v>
                </c:pt>
              </c:numCache>
            </c:numRef>
          </c:val>
          <c:smooth val="0"/>
          <c:extLst>
            <c:ext xmlns:c16="http://schemas.microsoft.com/office/drawing/2014/chart" uri="{C3380CC4-5D6E-409C-BE32-E72D297353CC}">
              <c16:uniqueId val="{00000008-1090-4343-9B31-F4F2AD5CAC1C}"/>
            </c:ext>
          </c:extLst>
        </c:ser>
        <c:ser>
          <c:idx val="13"/>
          <c:order val="8"/>
          <c:tx>
            <c:strRef>
              <c:f>Assessments!$AL$49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Assessments!$Z$2:$AD$3</c:f>
              <c:strCache>
                <c:ptCount val="5"/>
                <c:pt idx="0">
                  <c:v>2014-15</c:v>
                </c:pt>
                <c:pt idx="1">
                  <c:v>2015-16</c:v>
                </c:pt>
                <c:pt idx="2">
                  <c:v>2016-17</c:v>
                </c:pt>
                <c:pt idx="3">
                  <c:v>2017-18</c:v>
                </c:pt>
                <c:pt idx="4">
                  <c:v>2018-19</c:v>
                </c:pt>
              </c:strCache>
            </c:strRef>
          </c:cat>
          <c:val>
            <c:numRef>
              <c:f>Assessments!$AX$49:$BB$49</c:f>
              <c:numCache>
                <c:formatCode>0.0%</c:formatCode>
                <c:ptCount val="5"/>
                <c:pt idx="0">
                  <c:v>0.95950000000000002</c:v>
                </c:pt>
                <c:pt idx="1">
                  <c:v>0.93291806420699563</c:v>
                </c:pt>
                <c:pt idx="2">
                  <c:v>0.90186730234406043</c:v>
                </c:pt>
                <c:pt idx="3">
                  <c:v>0.87754179846362401</c:v>
                </c:pt>
                <c:pt idx="4">
                  <c:v>0.93863939528679408</c:v>
                </c:pt>
              </c:numCache>
            </c:numRef>
          </c:val>
          <c:smooth val="0"/>
          <c:extLst>
            <c:ext xmlns:c16="http://schemas.microsoft.com/office/drawing/2014/chart" uri="{C3380CC4-5D6E-409C-BE32-E72D297353CC}">
              <c16:uniqueId val="{00000009-1090-4343-9B31-F4F2AD5CAC1C}"/>
            </c:ext>
          </c:extLst>
        </c:ser>
        <c:ser>
          <c:idx val="15"/>
          <c:order val="9"/>
          <c:tx>
            <c:strRef>
              <c:f>Assessments!$AL$50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Assessments!$Z$2:$AD$3</c:f>
              <c:strCache>
                <c:ptCount val="5"/>
                <c:pt idx="0">
                  <c:v>2014-15</c:v>
                </c:pt>
                <c:pt idx="1">
                  <c:v>2015-16</c:v>
                </c:pt>
                <c:pt idx="2">
                  <c:v>2016-17</c:v>
                </c:pt>
                <c:pt idx="3">
                  <c:v>2017-18</c:v>
                </c:pt>
                <c:pt idx="4">
                  <c:v>2018-19</c:v>
                </c:pt>
              </c:strCache>
            </c:strRef>
          </c:cat>
          <c:val>
            <c:numRef>
              <c:f>Assessments!$AX$50:$BB$50</c:f>
              <c:numCache>
                <c:formatCode>0.0%</c:formatCode>
                <c:ptCount val="5"/>
                <c:pt idx="0">
                  <c:v>0.74807539155826919</c:v>
                </c:pt>
                <c:pt idx="1">
                  <c:v>0.6292603335750544</c:v>
                </c:pt>
                <c:pt idx="2">
                  <c:v>0.5178571428571429</c:v>
                </c:pt>
                <c:pt idx="3">
                  <c:v>0.51692573402417963</c:v>
                </c:pt>
                <c:pt idx="4">
                  <c:v>0.58327165062916353</c:v>
                </c:pt>
              </c:numCache>
            </c:numRef>
          </c:val>
          <c:smooth val="0"/>
          <c:extLst>
            <c:ext xmlns:c16="http://schemas.microsoft.com/office/drawing/2014/chart" uri="{C3380CC4-5D6E-409C-BE32-E72D297353CC}">
              <c16:uniqueId val="{0000000A-1090-4343-9B31-F4F2AD5CAC1C}"/>
            </c:ext>
          </c:extLst>
        </c:ser>
        <c:ser>
          <c:idx val="16"/>
          <c:order val="10"/>
          <c:tx>
            <c:strRef>
              <c:f>Assessments!$AL$51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Assessments!$Z$2:$AD$3</c:f>
              <c:strCache>
                <c:ptCount val="5"/>
                <c:pt idx="0">
                  <c:v>2014-15</c:v>
                </c:pt>
                <c:pt idx="1">
                  <c:v>2015-16</c:v>
                </c:pt>
                <c:pt idx="2">
                  <c:v>2016-17</c:v>
                </c:pt>
                <c:pt idx="3">
                  <c:v>2017-18</c:v>
                </c:pt>
                <c:pt idx="4">
                  <c:v>2018-19</c:v>
                </c:pt>
              </c:strCache>
            </c:strRef>
          </c:cat>
          <c:val>
            <c:numRef>
              <c:f>Assessments!$AX$51:$BB$51</c:f>
              <c:numCache>
                <c:formatCode>0.0%</c:formatCode>
                <c:ptCount val="5"/>
                <c:pt idx="0">
                  <c:v>0.91397109428768064</c:v>
                </c:pt>
                <c:pt idx="1">
                  <c:v>0.99516908212560384</c:v>
                </c:pt>
                <c:pt idx="2">
                  <c:v>0.94135593220338987</c:v>
                </c:pt>
                <c:pt idx="3">
                  <c:v>0.93573667711598751</c:v>
                </c:pt>
                <c:pt idx="4">
                  <c:v>0.95210061546695213</c:v>
                </c:pt>
              </c:numCache>
            </c:numRef>
          </c:val>
          <c:smooth val="0"/>
          <c:extLst>
            <c:ext xmlns:c16="http://schemas.microsoft.com/office/drawing/2014/chart" uri="{C3380CC4-5D6E-409C-BE32-E72D297353CC}">
              <c16:uniqueId val="{0000000B-1090-4343-9B31-F4F2AD5CAC1C}"/>
            </c:ext>
          </c:extLst>
        </c:ser>
        <c:ser>
          <c:idx val="17"/>
          <c:order val="11"/>
          <c:tx>
            <c:strRef>
              <c:f>Assessments!$AL$52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Assessments!$Z$2:$AD$3</c:f>
              <c:strCache>
                <c:ptCount val="5"/>
                <c:pt idx="0">
                  <c:v>2014-15</c:v>
                </c:pt>
                <c:pt idx="1">
                  <c:v>2015-16</c:v>
                </c:pt>
                <c:pt idx="2">
                  <c:v>2016-17</c:v>
                </c:pt>
                <c:pt idx="3">
                  <c:v>2017-18</c:v>
                </c:pt>
                <c:pt idx="4">
                  <c:v>2018-19</c:v>
                </c:pt>
              </c:strCache>
            </c:strRef>
          </c:cat>
          <c:val>
            <c:numRef>
              <c:f>Assessments!$AX$52:$BB$52</c:f>
              <c:numCache>
                <c:formatCode>0.0%</c:formatCode>
                <c:ptCount val="5"/>
                <c:pt idx="0">
                  <c:v>0.83792815371762741</c:v>
                </c:pt>
                <c:pt idx="1">
                  <c:v>0.8337171810225702</c:v>
                </c:pt>
                <c:pt idx="2">
                  <c:v>0.69847198641765706</c:v>
                </c:pt>
                <c:pt idx="3">
                  <c:v>0.86205661053385885</c:v>
                </c:pt>
                <c:pt idx="4">
                  <c:v>0.88191330343796714</c:v>
                </c:pt>
              </c:numCache>
            </c:numRef>
          </c:val>
          <c:smooth val="0"/>
          <c:extLst>
            <c:ext xmlns:c16="http://schemas.microsoft.com/office/drawing/2014/chart" uri="{C3380CC4-5D6E-409C-BE32-E72D297353CC}">
              <c16:uniqueId val="{0000000C-1090-4343-9B31-F4F2AD5CAC1C}"/>
            </c:ext>
          </c:extLst>
        </c:ser>
        <c:ser>
          <c:idx val="19"/>
          <c:order val="12"/>
          <c:tx>
            <c:strRef>
              <c:f>Assessments!$AL$53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Assessments!$Z$2:$AD$3</c:f>
              <c:strCache>
                <c:ptCount val="5"/>
                <c:pt idx="0">
                  <c:v>2014-15</c:v>
                </c:pt>
                <c:pt idx="1">
                  <c:v>2015-16</c:v>
                </c:pt>
                <c:pt idx="2">
                  <c:v>2016-17</c:v>
                </c:pt>
                <c:pt idx="3">
                  <c:v>2017-18</c:v>
                </c:pt>
                <c:pt idx="4">
                  <c:v>2018-19</c:v>
                </c:pt>
              </c:strCache>
            </c:strRef>
          </c:cat>
          <c:val>
            <c:numRef>
              <c:f>Assessments!$AX$53:$BB$53</c:f>
              <c:numCache>
                <c:formatCode>0.0%</c:formatCode>
                <c:ptCount val="5"/>
                <c:pt idx="0">
                  <c:v>0.93773283661522089</c:v>
                </c:pt>
                <c:pt idx="1">
                  <c:v>0.92851622874806805</c:v>
                </c:pt>
                <c:pt idx="2">
                  <c:v>0.85763146643864896</c:v>
                </c:pt>
                <c:pt idx="3">
                  <c:v>0.56594885598923284</c:v>
                </c:pt>
                <c:pt idx="4">
                  <c:v>0.79708580679978414</c:v>
                </c:pt>
              </c:numCache>
            </c:numRef>
          </c:val>
          <c:smooth val="0"/>
          <c:extLst>
            <c:ext xmlns:c16="http://schemas.microsoft.com/office/drawing/2014/chart" uri="{C3380CC4-5D6E-409C-BE32-E72D297353CC}">
              <c16:uniqueId val="{0000000D-1090-4343-9B31-F4F2AD5CAC1C}"/>
            </c:ext>
          </c:extLst>
        </c:ser>
        <c:ser>
          <c:idx val="3"/>
          <c:order val="13"/>
          <c:tx>
            <c:strRef>
              <c:f>Assessments!$AL$54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Assessments!$Z$2:$AD$3</c:f>
              <c:strCache>
                <c:ptCount val="5"/>
                <c:pt idx="0">
                  <c:v>2014-15</c:v>
                </c:pt>
                <c:pt idx="1">
                  <c:v>2015-16</c:v>
                </c:pt>
                <c:pt idx="2">
                  <c:v>2016-17</c:v>
                </c:pt>
                <c:pt idx="3">
                  <c:v>2017-18</c:v>
                </c:pt>
                <c:pt idx="4">
                  <c:v>2018-19</c:v>
                </c:pt>
              </c:strCache>
            </c:strRef>
          </c:cat>
          <c:val>
            <c:numRef>
              <c:f>Assessments!$AX$54:$BB$54</c:f>
              <c:numCache>
                <c:formatCode>0.0%</c:formatCode>
                <c:ptCount val="5"/>
                <c:pt idx="0">
                  <c:v>0.92904509283819625</c:v>
                </c:pt>
                <c:pt idx="1">
                  <c:v>0.68116927260367099</c:v>
                </c:pt>
                <c:pt idx="2">
                  <c:v>0.89199029126213591</c:v>
                </c:pt>
                <c:pt idx="3">
                  <c:v>0.80662488809310651</c:v>
                </c:pt>
                <c:pt idx="4">
                  <c:v>0.76045719844357973</c:v>
                </c:pt>
              </c:numCache>
            </c:numRef>
          </c:val>
          <c:smooth val="0"/>
          <c:extLst>
            <c:ext xmlns:c16="http://schemas.microsoft.com/office/drawing/2014/chart" uri="{C3380CC4-5D6E-409C-BE32-E72D297353CC}">
              <c16:uniqueId val="{0000000E-1090-4343-9B31-F4F2AD5CAC1C}"/>
            </c:ext>
          </c:extLst>
        </c:ser>
        <c:ser>
          <c:idx val="20"/>
          <c:order val="14"/>
          <c:tx>
            <c:strRef>
              <c:f>Assessments!$AL$55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Assessments!$Z$2:$AD$3</c:f>
              <c:strCache>
                <c:ptCount val="5"/>
                <c:pt idx="0">
                  <c:v>2014-15</c:v>
                </c:pt>
                <c:pt idx="1">
                  <c:v>2015-16</c:v>
                </c:pt>
                <c:pt idx="2">
                  <c:v>2016-17</c:v>
                </c:pt>
                <c:pt idx="3">
                  <c:v>2017-18</c:v>
                </c:pt>
                <c:pt idx="4">
                  <c:v>2018-19</c:v>
                </c:pt>
              </c:strCache>
            </c:strRef>
          </c:cat>
          <c:val>
            <c:numRef>
              <c:f>Assessments!$AX$55:$BB$55</c:f>
              <c:numCache>
                <c:formatCode>0.0%</c:formatCode>
                <c:ptCount val="5"/>
                <c:pt idx="0">
                  <c:v>0.91559981033665239</c:v>
                </c:pt>
                <c:pt idx="1">
                  <c:v>0.84843492586490943</c:v>
                </c:pt>
                <c:pt idx="2">
                  <c:v>0.67984934086629001</c:v>
                </c:pt>
                <c:pt idx="3">
                  <c:v>0.82916307161345992</c:v>
                </c:pt>
                <c:pt idx="4">
                  <c:v>0.66094771241830064</c:v>
                </c:pt>
              </c:numCache>
            </c:numRef>
          </c:val>
          <c:smooth val="0"/>
          <c:extLst>
            <c:ext xmlns:c16="http://schemas.microsoft.com/office/drawing/2014/chart" uri="{C3380CC4-5D6E-409C-BE32-E72D297353CC}">
              <c16:uniqueId val="{0000000F-1090-4343-9B31-F4F2AD5CAC1C}"/>
            </c:ext>
          </c:extLst>
        </c:ser>
        <c:ser>
          <c:idx val="22"/>
          <c:order val="15"/>
          <c:tx>
            <c:strRef>
              <c:f>Assessments!$AL$56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Assessments!$Z$2:$AD$3</c:f>
              <c:strCache>
                <c:ptCount val="5"/>
                <c:pt idx="0">
                  <c:v>2014-15</c:v>
                </c:pt>
                <c:pt idx="1">
                  <c:v>2015-16</c:v>
                </c:pt>
                <c:pt idx="2">
                  <c:v>2016-17</c:v>
                </c:pt>
                <c:pt idx="3">
                  <c:v>2017-18</c:v>
                </c:pt>
                <c:pt idx="4">
                  <c:v>2018-19</c:v>
                </c:pt>
              </c:strCache>
            </c:strRef>
          </c:cat>
          <c:val>
            <c:numRef>
              <c:f>Assessments!$AX$56:$BB$56</c:f>
              <c:numCache>
                <c:formatCode>0.0%</c:formatCode>
                <c:ptCount val="5"/>
                <c:pt idx="0">
                  <c:v>0.74046480596019126</c:v>
                </c:pt>
                <c:pt idx="1">
                  <c:v>0.6516346311812059</c:v>
                </c:pt>
                <c:pt idx="2">
                  <c:v>0.75511562136083843</c:v>
                </c:pt>
                <c:pt idx="3">
                  <c:v>0.75856586374115587</c:v>
                </c:pt>
                <c:pt idx="4">
                  <c:v>0.73061982773180201</c:v>
                </c:pt>
              </c:numCache>
            </c:numRef>
          </c:val>
          <c:smooth val="0"/>
          <c:extLst>
            <c:ext xmlns:c16="http://schemas.microsoft.com/office/drawing/2014/chart" uri="{C3380CC4-5D6E-409C-BE32-E72D297353CC}">
              <c16:uniqueId val="{00000010-1090-4343-9B31-F4F2AD5CAC1C}"/>
            </c:ext>
          </c:extLst>
        </c:ser>
        <c:ser>
          <c:idx val="7"/>
          <c:order val="16"/>
          <c:tx>
            <c:strRef>
              <c:f>Assessments!$AL$57</c:f>
              <c:strCache>
                <c:ptCount val="1"/>
                <c:pt idx="0">
                  <c:v>Swindon</c:v>
                </c:pt>
              </c:strCache>
            </c:strRef>
          </c:tx>
          <c:spPr>
            <a:ln w="15875"/>
          </c:spPr>
          <c:marker>
            <c:symbol val="triangle"/>
            <c:size val="5"/>
            <c:spPr>
              <a:solidFill>
                <a:schemeClr val="accent2">
                  <a:lumMod val="20000"/>
                  <a:lumOff val="80000"/>
                </a:schemeClr>
              </a:solidFill>
            </c:spPr>
          </c:marker>
          <c:cat>
            <c:strRef>
              <c:f>Assessments!$Z$2:$AD$3</c:f>
              <c:strCache>
                <c:ptCount val="5"/>
                <c:pt idx="0">
                  <c:v>2014-15</c:v>
                </c:pt>
                <c:pt idx="1">
                  <c:v>2015-16</c:v>
                </c:pt>
                <c:pt idx="2">
                  <c:v>2016-17</c:v>
                </c:pt>
                <c:pt idx="3">
                  <c:v>2017-18</c:v>
                </c:pt>
                <c:pt idx="4">
                  <c:v>2018-19</c:v>
                </c:pt>
              </c:strCache>
            </c:strRef>
          </c:cat>
          <c:val>
            <c:numRef>
              <c:f>Assessments!$AX$57:$BB$57</c:f>
              <c:numCache>
                <c:formatCode>0.0%</c:formatCode>
                <c:ptCount val="5"/>
                <c:pt idx="0">
                  <c:v>0.65081162702906759</c:v>
                </c:pt>
                <c:pt idx="1">
                  <c:v>0.60688117234788153</c:v>
                </c:pt>
                <c:pt idx="2">
                  <c:v>0.59084836339345359</c:v>
                </c:pt>
                <c:pt idx="3">
                  <c:v>0.71691526499523961</c:v>
                </c:pt>
                <c:pt idx="4">
                  <c:v>0.79471931493815418</c:v>
                </c:pt>
              </c:numCache>
            </c:numRef>
          </c:val>
          <c:smooth val="0"/>
          <c:extLst>
            <c:ext xmlns:c16="http://schemas.microsoft.com/office/drawing/2014/chart" uri="{C3380CC4-5D6E-409C-BE32-E72D297353CC}">
              <c16:uniqueId val="{00000011-1090-4343-9B31-F4F2AD5CAC1C}"/>
            </c:ext>
          </c:extLst>
        </c:ser>
        <c:ser>
          <c:idx val="8"/>
          <c:order val="17"/>
          <c:tx>
            <c:strRef>
              <c:f>Assessments!$AL$58</c:f>
              <c:strCache>
                <c:ptCount val="1"/>
                <c:pt idx="0">
                  <c:v>Torbay</c:v>
                </c:pt>
              </c:strCache>
            </c:strRef>
          </c:tx>
          <c:spPr>
            <a:ln w="15875"/>
          </c:spPr>
          <c:marker>
            <c:symbol val="circle"/>
            <c:size val="5"/>
            <c:spPr>
              <a:solidFill>
                <a:schemeClr val="accent3">
                  <a:lumMod val="20000"/>
                  <a:lumOff val="80000"/>
                </a:schemeClr>
              </a:solidFill>
            </c:spPr>
          </c:marker>
          <c:cat>
            <c:strRef>
              <c:f>Assessments!$Z$2:$AD$3</c:f>
              <c:strCache>
                <c:ptCount val="5"/>
                <c:pt idx="0">
                  <c:v>2014-15</c:v>
                </c:pt>
                <c:pt idx="1">
                  <c:v>2015-16</c:v>
                </c:pt>
                <c:pt idx="2">
                  <c:v>2016-17</c:v>
                </c:pt>
                <c:pt idx="3">
                  <c:v>2017-18</c:v>
                </c:pt>
                <c:pt idx="4">
                  <c:v>2018-19</c:v>
                </c:pt>
              </c:strCache>
            </c:strRef>
          </c:cat>
          <c:val>
            <c:numRef>
              <c:f>Assessments!$AX$58:$BB$58</c:f>
              <c:numCache>
                <c:formatCode>0.0%</c:formatCode>
                <c:ptCount val="5"/>
                <c:pt idx="0">
                  <c:v>0.71505376344086025</c:v>
                </c:pt>
                <c:pt idx="1">
                  <c:v>0.90115532734274706</c:v>
                </c:pt>
                <c:pt idx="2">
                  <c:v>0.81576253838280455</c:v>
                </c:pt>
                <c:pt idx="3">
                  <c:v>0.72042440318302392</c:v>
                </c:pt>
                <c:pt idx="4">
                  <c:v>0.74375000000000002</c:v>
                </c:pt>
              </c:numCache>
            </c:numRef>
          </c:val>
          <c:smooth val="0"/>
          <c:extLst>
            <c:ext xmlns:c16="http://schemas.microsoft.com/office/drawing/2014/chart" uri="{C3380CC4-5D6E-409C-BE32-E72D297353CC}">
              <c16:uniqueId val="{00000012-1090-4343-9B31-F4F2AD5CAC1C}"/>
            </c:ext>
          </c:extLst>
        </c:ser>
        <c:ser>
          <c:idx val="23"/>
          <c:order val="18"/>
          <c:tx>
            <c:strRef>
              <c:f>Assessments!$AL$59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Assessments!$Z$2:$AD$3</c:f>
              <c:strCache>
                <c:ptCount val="5"/>
                <c:pt idx="0">
                  <c:v>2014-15</c:v>
                </c:pt>
                <c:pt idx="1">
                  <c:v>2015-16</c:v>
                </c:pt>
                <c:pt idx="2">
                  <c:v>2016-17</c:v>
                </c:pt>
                <c:pt idx="3">
                  <c:v>2017-18</c:v>
                </c:pt>
                <c:pt idx="4">
                  <c:v>2018-19</c:v>
                </c:pt>
              </c:strCache>
            </c:strRef>
          </c:cat>
          <c:val>
            <c:numRef>
              <c:f>Assessments!$AX$59:$BB$59</c:f>
              <c:numCache>
                <c:formatCode>0.0%</c:formatCode>
                <c:ptCount val="5"/>
                <c:pt idx="0">
                  <c:v>0.7125140924464487</c:v>
                </c:pt>
                <c:pt idx="1">
                  <c:v>0.86052998605299857</c:v>
                </c:pt>
                <c:pt idx="2">
                  <c:v>0.96673320026613441</c:v>
                </c:pt>
                <c:pt idx="3">
                  <c:v>0.98258426966292134</c:v>
                </c:pt>
                <c:pt idx="4">
                  <c:v>0.96980029225523623</c:v>
                </c:pt>
              </c:numCache>
            </c:numRef>
          </c:val>
          <c:smooth val="0"/>
          <c:extLst>
            <c:ext xmlns:c16="http://schemas.microsoft.com/office/drawing/2014/chart" uri="{C3380CC4-5D6E-409C-BE32-E72D297353CC}">
              <c16:uniqueId val="{00000013-1090-4343-9B31-F4F2AD5CAC1C}"/>
            </c:ext>
          </c:extLst>
        </c:ser>
        <c:ser>
          <c:idx val="24"/>
          <c:order val="19"/>
          <c:tx>
            <c:strRef>
              <c:f>Assessments!$AL$60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Assessments!$Z$2:$AD$3</c:f>
              <c:strCache>
                <c:ptCount val="5"/>
                <c:pt idx="0">
                  <c:v>2014-15</c:v>
                </c:pt>
                <c:pt idx="1">
                  <c:v>2015-16</c:v>
                </c:pt>
                <c:pt idx="2">
                  <c:v>2016-17</c:v>
                </c:pt>
                <c:pt idx="3">
                  <c:v>2017-18</c:v>
                </c:pt>
                <c:pt idx="4">
                  <c:v>2018-19</c:v>
                </c:pt>
              </c:strCache>
            </c:strRef>
          </c:cat>
          <c:val>
            <c:numRef>
              <c:f>Assessments!$AX$60:$BB$60</c:f>
              <c:numCache>
                <c:formatCode>0.0%</c:formatCode>
                <c:ptCount val="5"/>
                <c:pt idx="0">
                  <c:v>0.95949855351976854</c:v>
                </c:pt>
                <c:pt idx="1">
                  <c:v>0.96490288010716674</c:v>
                </c:pt>
                <c:pt idx="2">
                  <c:v>0.96934363946023849</c:v>
                </c:pt>
                <c:pt idx="3">
                  <c:v>0.97780887644942027</c:v>
                </c:pt>
                <c:pt idx="4">
                  <c:v>0.85417867435158501</c:v>
                </c:pt>
              </c:numCache>
            </c:numRef>
          </c:val>
          <c:smooth val="0"/>
          <c:extLst>
            <c:ext xmlns:c16="http://schemas.microsoft.com/office/drawing/2014/chart" uri="{C3380CC4-5D6E-409C-BE32-E72D297353CC}">
              <c16:uniqueId val="{00000014-1090-4343-9B31-F4F2AD5CAC1C}"/>
            </c:ext>
          </c:extLst>
        </c:ser>
        <c:ser>
          <c:idx val="25"/>
          <c:order val="20"/>
          <c:tx>
            <c:strRef>
              <c:f>Assessments!$AL$61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Assessments!$Z$2:$AD$3</c:f>
              <c:strCache>
                <c:ptCount val="5"/>
                <c:pt idx="0">
                  <c:v>2014-15</c:v>
                </c:pt>
                <c:pt idx="1">
                  <c:v>2015-16</c:v>
                </c:pt>
                <c:pt idx="2">
                  <c:v>2016-17</c:v>
                </c:pt>
                <c:pt idx="3">
                  <c:v>2017-18</c:v>
                </c:pt>
                <c:pt idx="4">
                  <c:v>2018-19</c:v>
                </c:pt>
              </c:strCache>
            </c:strRef>
          </c:cat>
          <c:val>
            <c:numRef>
              <c:f>Assessments!$AX$61:$BB$61</c:f>
              <c:numCache>
                <c:formatCode>0.0%</c:formatCode>
                <c:ptCount val="5"/>
                <c:pt idx="0">
                  <c:v>0.75866495507060339</c:v>
                </c:pt>
                <c:pt idx="1">
                  <c:v>0.81060606060606055</c:v>
                </c:pt>
                <c:pt idx="2">
                  <c:v>0.57485029940119758</c:v>
                </c:pt>
                <c:pt idx="3">
                  <c:v>0.57126696832579182</c:v>
                </c:pt>
                <c:pt idx="4">
                  <c:v>0.61585365853658536</c:v>
                </c:pt>
              </c:numCache>
            </c:numRef>
          </c:val>
          <c:smooth val="0"/>
          <c:extLst>
            <c:ext xmlns:c16="http://schemas.microsoft.com/office/drawing/2014/chart" uri="{C3380CC4-5D6E-409C-BE32-E72D297353CC}">
              <c16:uniqueId val="{00000015-1090-4343-9B31-F4F2AD5CAC1C}"/>
            </c:ext>
          </c:extLst>
        </c:ser>
        <c:ser>
          <c:idx val="26"/>
          <c:order val="21"/>
          <c:tx>
            <c:strRef>
              <c:f>Assessments!$AL$62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Assessments!$Z$2:$AD$3</c:f>
              <c:strCache>
                <c:ptCount val="5"/>
                <c:pt idx="0">
                  <c:v>2014-15</c:v>
                </c:pt>
                <c:pt idx="1">
                  <c:v>2015-16</c:v>
                </c:pt>
                <c:pt idx="2">
                  <c:v>2016-17</c:v>
                </c:pt>
                <c:pt idx="3">
                  <c:v>2017-18</c:v>
                </c:pt>
                <c:pt idx="4">
                  <c:v>2018-19</c:v>
                </c:pt>
              </c:strCache>
            </c:strRef>
          </c:cat>
          <c:val>
            <c:numRef>
              <c:f>Assessments!$AX$62:$BB$62</c:f>
              <c:numCache>
                <c:formatCode>0.0%</c:formatCode>
                <c:ptCount val="5"/>
                <c:pt idx="0">
                  <c:v>0.98973774230330669</c:v>
                </c:pt>
                <c:pt idx="1">
                  <c:v>0.9521276595744681</c:v>
                </c:pt>
                <c:pt idx="2">
                  <c:v>0.85599999999999998</c:v>
                </c:pt>
                <c:pt idx="3">
                  <c:v>0.7308394160583942</c:v>
                </c:pt>
                <c:pt idx="4">
                  <c:v>0.7541834968263128</c:v>
                </c:pt>
              </c:numCache>
            </c:numRef>
          </c:val>
          <c:smooth val="0"/>
          <c:extLst>
            <c:ext xmlns:c16="http://schemas.microsoft.com/office/drawing/2014/chart" uri="{C3380CC4-5D6E-409C-BE32-E72D297353CC}">
              <c16:uniqueId val="{00000016-1090-4343-9B31-F4F2AD5CAC1C}"/>
            </c:ext>
          </c:extLst>
        </c:ser>
        <c:ser>
          <c:idx val="4"/>
          <c:order val="22"/>
          <c:tx>
            <c:strRef>
              <c:f>Assessments!$AL$63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Assessments!$Z$2:$AD$3</c:f>
              <c:strCache>
                <c:ptCount val="5"/>
                <c:pt idx="0">
                  <c:v>2014-15</c:v>
                </c:pt>
                <c:pt idx="1">
                  <c:v>2015-16</c:v>
                </c:pt>
                <c:pt idx="2">
                  <c:v>2016-17</c:v>
                </c:pt>
                <c:pt idx="3">
                  <c:v>2017-18</c:v>
                </c:pt>
                <c:pt idx="4">
                  <c:v>2018-19</c:v>
                </c:pt>
              </c:strCache>
            </c:strRef>
          </c:cat>
          <c:val>
            <c:numRef>
              <c:f>Assessments!$AX$63:$BB$63</c:f>
              <c:numCache>
                <c:formatCode>0.0%</c:formatCode>
                <c:ptCount val="5"/>
                <c:pt idx="0">
                  <c:v>0.81318407960199002</c:v>
                </c:pt>
                <c:pt idx="1">
                  <c:v>0.82711047848461627</c:v>
                </c:pt>
                <c:pt idx="2">
                  <c:v>0.83836032388663972</c:v>
                </c:pt>
                <c:pt idx="3">
                  <c:v>0.83770299354333788</c:v>
                </c:pt>
                <c:pt idx="4">
                  <c:v>0.82349480290252985</c:v>
                </c:pt>
              </c:numCache>
            </c:numRef>
          </c:val>
          <c:smooth val="0"/>
          <c:extLst>
            <c:ext xmlns:c16="http://schemas.microsoft.com/office/drawing/2014/chart" uri="{C3380CC4-5D6E-409C-BE32-E72D297353CC}">
              <c16:uniqueId val="{00000017-1090-4343-9B31-F4F2AD5CAC1C}"/>
            </c:ext>
          </c:extLst>
        </c:ser>
        <c:ser>
          <c:idx val="14"/>
          <c:order val="23"/>
          <c:tx>
            <c:strRef>
              <c:f>Assessments!$AL$64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Assessments!$Z$2:$AD$3</c:f>
              <c:strCache>
                <c:ptCount val="5"/>
                <c:pt idx="0">
                  <c:v>2014-15</c:v>
                </c:pt>
                <c:pt idx="1">
                  <c:v>2015-16</c:v>
                </c:pt>
                <c:pt idx="2">
                  <c:v>2016-17</c:v>
                </c:pt>
                <c:pt idx="3">
                  <c:v>2017-18</c:v>
                </c:pt>
                <c:pt idx="4">
                  <c:v>2018-19</c:v>
                </c:pt>
              </c:strCache>
            </c:strRef>
          </c:cat>
          <c:val>
            <c:numRef>
              <c:f>Assessments!$AX$64:$BB$64</c:f>
              <c:numCache>
                <c:formatCode>0.0%</c:formatCode>
                <c:ptCount val="5"/>
                <c:pt idx="0">
                  <c:v>0.81499972767378948</c:v>
                </c:pt>
                <c:pt idx="1">
                  <c:v>0.8343537890980337</c:v>
                </c:pt>
                <c:pt idx="2">
                  <c:v>0.82934023200632745</c:v>
                </c:pt>
                <c:pt idx="3">
                  <c:v>0.82698676808493776</c:v>
                </c:pt>
                <c:pt idx="4">
                  <c:v>0.83147723042561117</c:v>
                </c:pt>
              </c:numCache>
            </c:numRef>
          </c:val>
          <c:smooth val="0"/>
          <c:extLst>
            <c:ext xmlns:c16="http://schemas.microsoft.com/office/drawing/2014/chart" uri="{C3380CC4-5D6E-409C-BE32-E72D297353CC}">
              <c16:uniqueId val="{00000018-1090-4343-9B31-F4F2AD5CAC1C}"/>
            </c:ext>
          </c:extLst>
        </c:ser>
        <c:ser>
          <c:idx val="6"/>
          <c:order val="24"/>
          <c:tx>
            <c:strRef>
              <c:f>Assessments!$AL$65</c:f>
              <c:strCache>
                <c:ptCount val="1"/>
                <c:pt idx="0">
                  <c:v>Selected LA- (none)</c:v>
                </c:pt>
              </c:strCache>
            </c:strRef>
          </c:tx>
          <c:spPr>
            <a:ln>
              <a:solidFill>
                <a:schemeClr val="tx1">
                  <a:lumMod val="75000"/>
                  <a:lumOff val="25000"/>
                </a:schemeClr>
              </a:solidFill>
            </a:ln>
          </c:spPr>
          <c:marker>
            <c:symbol val="circle"/>
            <c:size val="6"/>
            <c:spPr>
              <a:solidFill>
                <a:srgbClr val="66FF99"/>
              </a:solidFill>
              <a:ln>
                <a:solidFill>
                  <a:schemeClr val="tx1">
                    <a:lumMod val="75000"/>
                    <a:lumOff val="25000"/>
                  </a:schemeClr>
                </a:solidFill>
              </a:ln>
            </c:spPr>
          </c:marker>
          <c:cat>
            <c:strRef>
              <c:f>Assessments!$Z$2:$AD$3</c:f>
              <c:strCache>
                <c:ptCount val="5"/>
                <c:pt idx="0">
                  <c:v>2014-15</c:v>
                </c:pt>
                <c:pt idx="1">
                  <c:v>2015-16</c:v>
                </c:pt>
                <c:pt idx="2">
                  <c:v>2016-17</c:v>
                </c:pt>
                <c:pt idx="3">
                  <c:v>2017-18</c:v>
                </c:pt>
                <c:pt idx="4">
                  <c:v>2018-19</c:v>
                </c:pt>
              </c:strCache>
            </c:strRef>
          </c:cat>
          <c:val>
            <c:numRef>
              <c:f>Assessments!$AX$65:$BB$65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1090-4343-9B31-F4F2AD5CAC1C}"/>
            </c:ext>
          </c:extLst>
        </c:ser>
        <c:dLbls>
          <c:showLegendKey val="0"/>
          <c:showVal val="0"/>
          <c:showCatName val="0"/>
          <c:showSerName val="0"/>
          <c:showPercent val="0"/>
          <c:showBubbleSize val="0"/>
        </c:dLbls>
        <c:marker val="1"/>
        <c:smooth val="0"/>
        <c:axId val="248052736"/>
        <c:axId val="247732480"/>
      </c:lineChart>
      <c:catAx>
        <c:axId val="248052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7732480"/>
        <c:crosses val="autoZero"/>
        <c:auto val="1"/>
        <c:lblAlgn val="ctr"/>
        <c:lblOffset val="100"/>
        <c:tickLblSkip val="1"/>
        <c:tickMarkSkip val="1"/>
        <c:noMultiLvlLbl val="0"/>
      </c:catAx>
      <c:valAx>
        <c:axId val="247732480"/>
        <c:scaling>
          <c:orientation val="minMax"/>
          <c:max val="1"/>
          <c:min val="0.30000000000000004"/>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052736"/>
        <c:crosses val="autoZero"/>
        <c:crossBetween val="between"/>
      </c:valAx>
      <c:spPr>
        <a:noFill/>
        <a:ln w="3175">
          <a:solidFill>
            <a:srgbClr val="000000"/>
          </a:solidFill>
          <a:prstDash val="solid"/>
        </a:ln>
      </c:spPr>
    </c:plotArea>
    <c:legend>
      <c:legendPos val="r"/>
      <c:layout>
        <c:manualLayout>
          <c:xMode val="edge"/>
          <c:yMode val="edge"/>
          <c:x val="0.67109092691214423"/>
          <c:y val="5.3754631153420933E-2"/>
          <c:w val="0.30793272269537736"/>
          <c:h val="0.9462453688465790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Assessments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Assessments!$S$7</c:f>
              <c:strCache>
                <c:ptCount val="1"/>
                <c:pt idx="0">
                  <c:v>Distance from Expected 2019</c:v>
                </c:pt>
              </c:strCache>
            </c:strRef>
          </c:tx>
          <c:spPr>
            <a:solidFill>
              <a:srgbClr val="FB994F"/>
            </a:solidFill>
            <a:ln w="25400">
              <a:noFill/>
            </a:ln>
          </c:spPr>
          <c:invertIfNegative val="0"/>
          <c:cat>
            <c:strRef>
              <c:f>Assessments!$Y$77:$Y$100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Assessments!$U$10:$U$33</c:f>
              <c:numCache>
                <c:formatCode>0.0</c:formatCode>
                <c:ptCount val="24"/>
                <c:pt idx="0">
                  <c:v>208.83600319518609</c:v>
                </c:pt>
                <c:pt idx="1">
                  <c:v>-26.960906967117069</c:v>
                </c:pt>
                <c:pt idx="2">
                  <c:v>243.50834822005402</c:v>
                </c:pt>
                <c:pt idx="3">
                  <c:v>-187.90971912049645</c:v>
                </c:pt>
                <c:pt idx="4">
                  <c:v>218.78819734707656</c:v>
                </c:pt>
                <c:pt idx="5">
                  <c:v>227.95568182362547</c:v>
                </c:pt>
                <c:pt idx="6">
                  <c:v>3.1296454716311928E-3</c:v>
                </c:pt>
                <c:pt idx="7">
                  <c:v>-46.787148136308929</c:v>
                </c:pt>
                <c:pt idx="8">
                  <c:v>-176.44468756553943</c:v>
                </c:pt>
                <c:pt idx="9">
                  <c:v>-41.915833467645939</c:v>
                </c:pt>
                <c:pt idx="10">
                  <c:v>247.4365382857136</c:v>
                </c:pt>
                <c:pt idx="11">
                  <c:v>197.07530935674822</c:v>
                </c:pt>
                <c:pt idx="12">
                  <c:v>-66.222050974038837</c:v>
                </c:pt>
                <c:pt idx="13">
                  <c:v>-108.38516577178069</c:v>
                </c:pt>
                <c:pt idx="14">
                  <c:v>-125.53924777795015</c:v>
                </c:pt>
                <c:pt idx="15">
                  <c:v>70.321266744034631</c:v>
                </c:pt>
                <c:pt idx="16">
                  <c:v>333.5720574458868</c:v>
                </c:pt>
                <c:pt idx="17">
                  <c:v>105.65964894523393</c:v>
                </c:pt>
                <c:pt idx="18">
                  <c:v>191.94723937379445</c:v>
                </c:pt>
                <c:pt idx="19">
                  <c:v>164.23077364967742</c:v>
                </c:pt>
                <c:pt idx="20">
                  <c:v>-103.40615177120296</c:v>
                </c:pt>
                <c:pt idx="21">
                  <c:v>106.82444423318356</c:v>
                </c:pt>
                <c:pt idx="22">
                  <c:v>65.104567919113549</c:v>
                </c:pt>
                <c:pt idx="23">
                  <c:v>-16.365049249276581</c:v>
                </c:pt>
              </c:numCache>
            </c:numRef>
          </c:val>
          <c:extLst>
            <c:ext xmlns:c16="http://schemas.microsoft.com/office/drawing/2014/chart" uri="{C3380CC4-5D6E-409C-BE32-E72D297353CC}">
              <c16:uniqueId val="{00000000-2064-4229-86FC-25E3A458482E}"/>
            </c:ext>
          </c:extLst>
        </c:ser>
        <c:ser>
          <c:idx val="0"/>
          <c:order val="1"/>
          <c:tx>
            <c:strRef>
              <c:f>Assessments!$AA$4</c:f>
              <c:strCache>
                <c:ptCount val="1"/>
                <c:pt idx="0">
                  <c:v>Selected LA- (none)</c:v>
                </c:pt>
              </c:strCache>
            </c:strRef>
          </c:tx>
          <c:spPr>
            <a:solidFill>
              <a:srgbClr val="66FF99"/>
            </a:solidFill>
            <a:ln w="12700">
              <a:solidFill>
                <a:srgbClr val="000000"/>
              </a:solidFill>
              <a:prstDash val="solid"/>
            </a:ln>
          </c:spPr>
          <c:invertIfNegative val="0"/>
          <c:cat>
            <c:strRef>
              <c:f>Assessments!$Y$77:$Y$100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2064-4229-86FC-25E3A458482E}"/>
            </c:ext>
          </c:extLst>
        </c:ser>
        <c:dLbls>
          <c:showLegendKey val="0"/>
          <c:showVal val="0"/>
          <c:showCatName val="0"/>
          <c:showSerName val="0"/>
          <c:showPercent val="0"/>
          <c:showBubbleSize val="0"/>
        </c:dLbls>
        <c:gapWidth val="40"/>
        <c:overlap val="100"/>
        <c:axId val="247746560"/>
        <c:axId val="247748096"/>
      </c:barChart>
      <c:catAx>
        <c:axId val="24774656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7748096"/>
        <c:crossesAt val="0"/>
        <c:auto val="1"/>
        <c:lblAlgn val="ctr"/>
        <c:lblOffset val="100"/>
        <c:noMultiLvlLbl val="0"/>
      </c:catAx>
      <c:valAx>
        <c:axId val="247748096"/>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7746560"/>
        <c:crosses val="max"/>
        <c:crossBetween val="between"/>
      </c:valAx>
      <c:spPr>
        <a:noFill/>
        <a:ln w="12700">
          <a:solidFill>
            <a:srgbClr val="000000"/>
          </a:solidFill>
          <a:prstDash val="solid"/>
        </a:ln>
      </c:spPr>
    </c:plotArea>
    <c:legend>
      <c:legendPos val="t"/>
      <c:layout>
        <c:manualLayout>
          <c:xMode val="edge"/>
          <c:yMode val="edge"/>
          <c:x val="0.19701637727249535"/>
          <c:y val="7.2490772111310081E-2"/>
          <c:w val="0.72758490501862216"/>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Assessments!$AL$5</c:f>
          <c:strCache>
            <c:ptCount val="1"/>
            <c:pt idx="0">
              <c:v>Average Annual Change in Number of Assessments</c:v>
            </c:pt>
          </c:strCache>
        </c:strRef>
      </c:tx>
      <c:layout>
        <c:manualLayout>
          <c:xMode val="edge"/>
          <c:yMode val="edge"/>
          <c:x val="2.6894592721364376E-2"/>
          <c:y val="1.1152425391270536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Assessments!$I$7</c:f>
              <c:strCache>
                <c:ptCount val="1"/>
                <c:pt idx="0">
                  <c:v>Average Annual Change </c:v>
                </c:pt>
              </c:strCache>
            </c:strRef>
          </c:tx>
          <c:spPr>
            <a:solidFill>
              <a:srgbClr val="FB994F"/>
            </a:solidFill>
            <a:ln w="25400">
              <a:noFill/>
            </a:ln>
          </c:spPr>
          <c:invertIfNegative val="0"/>
          <c:cat>
            <c:strRef>
              <c:f>Assessments!$B$10:$B$33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Assessments!$I$10:$I$33</c:f>
              <c:numCache>
                <c:formatCode>0.0%</c:formatCode>
                <c:ptCount val="24"/>
                <c:pt idx="0">
                  <c:v>0.15018306623496627</c:v>
                </c:pt>
                <c:pt idx="1">
                  <c:v>-2.5693838111393495E-2</c:v>
                </c:pt>
                <c:pt idx="2">
                  <c:v>7.1542865020058688E-2</c:v>
                </c:pt>
                <c:pt idx="3">
                  <c:v>8.3678182473835572E-2</c:v>
                </c:pt>
                <c:pt idx="4">
                  <c:v>1.7930306321957922E-2</c:v>
                </c:pt>
                <c:pt idx="5">
                  <c:v>5.5119354790657271E-3</c:v>
                </c:pt>
                <c:pt idx="6">
                  <c:v>3.1636162744889909E-2</c:v>
                </c:pt>
                <c:pt idx="7">
                  <c:v>5.8796577376743486E-5</c:v>
                </c:pt>
                <c:pt idx="8">
                  <c:v>3.6256544895313492E-2</c:v>
                </c:pt>
                <c:pt idx="9">
                  <c:v>0.11937744574526987</c:v>
                </c:pt>
                <c:pt idx="10">
                  <c:v>0.27953749916512211</c:v>
                </c:pt>
                <c:pt idx="11">
                  <c:v>0.2691806906932524</c:v>
                </c:pt>
                <c:pt idx="12">
                  <c:v>3.5602391115395045E-2</c:v>
                </c:pt>
                <c:pt idx="13">
                  <c:v>-9.5748908356429879E-3</c:v>
                </c:pt>
                <c:pt idx="14">
                  <c:v>6.0754307166235477E-2</c:v>
                </c:pt>
                <c:pt idx="15">
                  <c:v>8.2243986677900283E-2</c:v>
                </c:pt>
                <c:pt idx="16">
                  <c:v>0.13135006064852778</c:v>
                </c:pt>
                <c:pt idx="17">
                  <c:v>0.13874947657492478</c:v>
                </c:pt>
                <c:pt idx="18">
                  <c:v>0.25286505812359844</c:v>
                </c:pt>
                <c:pt idx="19">
                  <c:v>0.20341090461090405</c:v>
                </c:pt>
                <c:pt idx="20">
                  <c:v>5.640173368143124E-2</c:v>
                </c:pt>
                <c:pt idx="21">
                  <c:v>0.22029684888065795</c:v>
                </c:pt>
                <c:pt idx="22">
                  <c:v>5.5796066271927236E-2</c:v>
                </c:pt>
                <c:pt idx="23">
                  <c:v>3.3847064725070597E-2</c:v>
                </c:pt>
              </c:numCache>
            </c:numRef>
          </c:val>
          <c:extLst>
            <c:ext xmlns:c16="http://schemas.microsoft.com/office/drawing/2014/chart" uri="{C3380CC4-5D6E-409C-BE32-E72D297353CC}">
              <c16:uniqueId val="{00000000-5CA0-467A-8CF1-2183E09F93A4}"/>
            </c:ext>
          </c:extLst>
        </c:ser>
        <c:ser>
          <c:idx val="1"/>
          <c:order val="1"/>
          <c:tx>
            <c:strRef>
              <c:f>Assessments!$AA$4</c:f>
              <c:strCache>
                <c:ptCount val="1"/>
                <c:pt idx="0">
                  <c:v>Selected LA- (none)</c:v>
                </c:pt>
              </c:strCache>
            </c:strRef>
          </c:tx>
          <c:spPr>
            <a:solidFill>
              <a:srgbClr val="66FF99"/>
            </a:solidFill>
            <a:ln w="12700">
              <a:solidFill>
                <a:srgbClr val="000000"/>
              </a:solidFill>
              <a:prstDash val="solid"/>
            </a:ln>
          </c:spPr>
          <c:invertIfNegative val="0"/>
          <c:cat>
            <c:strRef>
              <c:f>Assessments!$B$10:$B$33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5CA0-467A-8CF1-2183E09F93A4}"/>
            </c:ext>
          </c:extLst>
        </c:ser>
        <c:dLbls>
          <c:showLegendKey val="0"/>
          <c:showVal val="0"/>
          <c:showCatName val="0"/>
          <c:showSerName val="0"/>
          <c:showPercent val="0"/>
          <c:showBubbleSize val="0"/>
        </c:dLbls>
        <c:gapWidth val="40"/>
        <c:overlap val="100"/>
        <c:axId val="247765248"/>
        <c:axId val="247775232"/>
      </c:barChart>
      <c:catAx>
        <c:axId val="24776524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7775232"/>
        <c:crosses val="autoZero"/>
        <c:auto val="1"/>
        <c:lblAlgn val="ctr"/>
        <c:lblOffset val="100"/>
        <c:noMultiLvlLbl val="0"/>
      </c:catAx>
      <c:valAx>
        <c:axId val="24777523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7765248"/>
        <c:crosses val="max"/>
        <c:crossBetween val="between"/>
      </c:valAx>
      <c:spPr>
        <a:noFill/>
        <a:ln w="3175">
          <a:solidFill>
            <a:srgbClr val="000000"/>
          </a:solidFill>
          <a:prstDash val="solid"/>
        </a:ln>
      </c:spPr>
    </c:plotArea>
    <c:legend>
      <c:legendPos val="t"/>
      <c:layout>
        <c:manualLayout>
          <c:xMode val="edge"/>
          <c:yMode val="edge"/>
          <c:x val="0.2503198463828385"/>
          <c:y val="7.189413823272090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Assessments completed in 45 Days</a:t>
            </a:r>
            <a:r>
              <a:rPr lang="en-GB" baseline="0"/>
              <a:t> </a:t>
            </a:r>
            <a:r>
              <a:rPr lang="en-GB"/>
              <a:t>(Selected LA</a:t>
            </a:r>
            <a:r>
              <a:rPr lang="en-GB" baseline="0"/>
              <a:t> vs. SE &amp; National)</a:t>
            </a:r>
            <a:r>
              <a:rPr lang="en-GB"/>
              <a:t> </a:t>
            </a:r>
          </a:p>
        </c:rich>
      </c:tx>
      <c:layout>
        <c:manualLayout>
          <c:xMode val="edge"/>
          <c:yMode val="edge"/>
          <c:x val="0.15377777777777779"/>
          <c:y val="2.5360466305348196E-4"/>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924123120973511"/>
        </c:manualLayout>
      </c:layout>
      <c:barChart>
        <c:barDir val="col"/>
        <c:grouping val="clustered"/>
        <c:varyColors val="0"/>
        <c:ser>
          <c:idx val="6"/>
          <c:order val="0"/>
          <c:tx>
            <c:strRef>
              <c:f>Assessments!$AA$4</c:f>
              <c:strCache>
                <c:ptCount val="1"/>
                <c:pt idx="0">
                  <c:v>Selected LA- (none)</c:v>
                </c:pt>
              </c:strCache>
            </c:strRef>
          </c:tx>
          <c:spPr>
            <a:solidFill>
              <a:srgbClr val="66FF99"/>
            </a:solidFill>
            <a:ln>
              <a:solidFill>
                <a:schemeClr val="tx1">
                  <a:lumMod val="75000"/>
                  <a:lumOff val="25000"/>
                </a:schemeClr>
              </a:solidFill>
            </a:ln>
          </c:spPr>
          <c:invertIfNegative val="0"/>
          <c:cat>
            <c:strRef>
              <c:f>Assessments!$Z$2:$AD$3</c:f>
              <c:strCache>
                <c:ptCount val="5"/>
                <c:pt idx="0">
                  <c:v>2014-15</c:v>
                </c:pt>
                <c:pt idx="1">
                  <c:v>2015-16</c:v>
                </c:pt>
                <c:pt idx="2">
                  <c:v>2016-17</c:v>
                </c:pt>
                <c:pt idx="3">
                  <c:v>2017-18</c:v>
                </c:pt>
                <c:pt idx="4">
                  <c:v>2018-19</c:v>
                </c:pt>
              </c:strCache>
            </c:strRef>
          </c:cat>
          <c:val>
            <c:numRef>
              <c:f>Assessments!$AX$65:$BB$65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4AD1-4F1B-80B3-79C6C8F83482}"/>
            </c:ext>
          </c:extLst>
        </c:ser>
        <c:ser>
          <c:idx val="4"/>
          <c:order val="1"/>
          <c:tx>
            <c:strRef>
              <c:f>Assessments!$B$134</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Assessments!$Z$2:$AD$3</c:f>
              <c:strCache>
                <c:ptCount val="5"/>
                <c:pt idx="0">
                  <c:v>2014-15</c:v>
                </c:pt>
                <c:pt idx="1">
                  <c:v>2015-16</c:v>
                </c:pt>
                <c:pt idx="2">
                  <c:v>2016-17</c:v>
                </c:pt>
                <c:pt idx="3">
                  <c:v>2017-18</c:v>
                </c:pt>
                <c:pt idx="4">
                  <c:v>2018-19</c:v>
                </c:pt>
              </c:strCache>
            </c:strRef>
          </c:cat>
          <c:val>
            <c:numRef>
              <c:f>Assessments!$D$134:$H$134</c:f>
              <c:numCache>
                <c:formatCode>0%</c:formatCode>
                <c:ptCount val="5"/>
                <c:pt idx="0">
                  <c:v>0.81318407960199002</c:v>
                </c:pt>
                <c:pt idx="1">
                  <c:v>0.82711047848461627</c:v>
                </c:pt>
                <c:pt idx="2">
                  <c:v>0.83836032388663972</c:v>
                </c:pt>
                <c:pt idx="3">
                  <c:v>0.83770299354333788</c:v>
                </c:pt>
                <c:pt idx="4">
                  <c:v>0.82349480290252985</c:v>
                </c:pt>
              </c:numCache>
            </c:numRef>
          </c:val>
          <c:extLst>
            <c:ext xmlns:c16="http://schemas.microsoft.com/office/drawing/2014/chart" uri="{C3380CC4-5D6E-409C-BE32-E72D297353CC}">
              <c16:uniqueId val="{00000001-4AD1-4F1B-80B3-79C6C8F83482}"/>
            </c:ext>
          </c:extLst>
        </c:ser>
        <c:ser>
          <c:idx val="0"/>
          <c:order val="2"/>
          <c:tx>
            <c:strRef>
              <c:f>Assessments!$B$135</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Assessments!$Z$2:$AD$3</c:f>
              <c:strCache>
                <c:ptCount val="5"/>
                <c:pt idx="0">
                  <c:v>2014-15</c:v>
                </c:pt>
                <c:pt idx="1">
                  <c:v>2015-16</c:v>
                </c:pt>
                <c:pt idx="2">
                  <c:v>2016-17</c:v>
                </c:pt>
                <c:pt idx="3">
                  <c:v>2017-18</c:v>
                </c:pt>
                <c:pt idx="4">
                  <c:v>2018-19</c:v>
                </c:pt>
              </c:strCache>
            </c:strRef>
          </c:cat>
          <c:val>
            <c:numRef>
              <c:f>Assessments!$D$135:$H$135</c:f>
              <c:numCache>
                <c:formatCode>0%</c:formatCode>
                <c:ptCount val="5"/>
                <c:pt idx="0">
                  <c:v>0.81499972767378948</c:v>
                </c:pt>
                <c:pt idx="1">
                  <c:v>0.8343537890980337</c:v>
                </c:pt>
                <c:pt idx="2">
                  <c:v>0.82934023200632745</c:v>
                </c:pt>
                <c:pt idx="3">
                  <c:v>0.82698676808493776</c:v>
                </c:pt>
                <c:pt idx="4">
                  <c:v>0.83147723042561117</c:v>
                </c:pt>
              </c:numCache>
            </c:numRef>
          </c:val>
          <c:extLst>
            <c:ext xmlns:c16="http://schemas.microsoft.com/office/drawing/2014/chart" uri="{C3380CC4-5D6E-409C-BE32-E72D297353CC}">
              <c16:uniqueId val="{00000002-4AD1-4F1B-80B3-79C6C8F83482}"/>
            </c:ext>
          </c:extLst>
        </c:ser>
        <c:dLbls>
          <c:showLegendKey val="0"/>
          <c:showVal val="0"/>
          <c:showCatName val="0"/>
          <c:showSerName val="0"/>
          <c:showPercent val="0"/>
          <c:showBubbleSize val="0"/>
        </c:dLbls>
        <c:gapWidth val="100"/>
        <c:axId val="247804672"/>
        <c:axId val="247806208"/>
      </c:barChart>
      <c:catAx>
        <c:axId val="24780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7806208"/>
        <c:crosses val="autoZero"/>
        <c:auto val="1"/>
        <c:lblAlgn val="ctr"/>
        <c:lblOffset val="100"/>
        <c:noMultiLvlLbl val="0"/>
      </c:catAx>
      <c:valAx>
        <c:axId val="247806208"/>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780467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Single Assessments</a:t>
            </a:r>
            <a:r>
              <a:rPr lang="en-GB" baseline="0"/>
              <a:t> </a:t>
            </a:r>
            <a:r>
              <a:rPr lang="en-GB"/>
              <a:t>completed within each time band </a:t>
            </a:r>
          </a:p>
        </c:rich>
      </c:tx>
      <c:layout>
        <c:manualLayout>
          <c:xMode val="edge"/>
          <c:yMode val="edge"/>
          <c:x val="0.12231399646472763"/>
          <c:y val="8.7452255281276654E-3"/>
        </c:manualLayout>
      </c:layout>
      <c:overlay val="0"/>
      <c:spPr>
        <a:noFill/>
        <a:ln w="25400">
          <a:noFill/>
        </a:ln>
      </c:spPr>
    </c:title>
    <c:autoTitleDeleted val="0"/>
    <c:plotArea>
      <c:layout>
        <c:manualLayout>
          <c:layoutTarget val="inner"/>
          <c:xMode val="edge"/>
          <c:yMode val="edge"/>
          <c:x val="0.28766189940543146"/>
          <c:y val="9.8031702081195882E-2"/>
          <c:w val="0.59469859124752267"/>
          <c:h val="0.8593736222532623"/>
        </c:manualLayout>
      </c:layout>
      <c:barChart>
        <c:barDir val="bar"/>
        <c:grouping val="percentStacked"/>
        <c:varyColors val="0"/>
        <c:ser>
          <c:idx val="0"/>
          <c:order val="0"/>
          <c:tx>
            <c:strRef>
              <c:f>Assessments!$D$146</c:f>
              <c:strCache>
                <c:ptCount val="1"/>
                <c:pt idx="0">
                  <c:v>Within 10 Days</c:v>
                </c:pt>
              </c:strCache>
            </c:strRef>
          </c:tx>
          <c:spPr>
            <a:solidFill>
              <a:srgbClr val="92D050"/>
            </a:solidFill>
            <a:ln>
              <a:solidFill>
                <a:schemeClr val="tx1"/>
              </a:solidFill>
            </a:ln>
          </c:spPr>
          <c:invertIfNegative val="0"/>
          <c:cat>
            <c:strRef>
              <c:f>Assessments!$B$147:$B$170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Assessments!$D$147:$D$170</c:f>
              <c:numCache>
                <c:formatCode>0%</c:formatCode>
                <c:ptCount val="24"/>
                <c:pt idx="0">
                  <c:v>0.18731650029359953</c:v>
                </c:pt>
                <c:pt idx="1">
                  <c:v>0.12995951417004048</c:v>
                </c:pt>
                <c:pt idx="2">
                  <c:v>0.22355799974421281</c:v>
                </c:pt>
                <c:pt idx="3">
                  <c:v>7.8654808226792661E-2</c:v>
                </c:pt>
                <c:pt idx="4">
                  <c:v>0.23384991390323834</c:v>
                </c:pt>
                <c:pt idx="5">
                  <c:v>0.29363867684478373</c:v>
                </c:pt>
                <c:pt idx="6">
                  <c:v>8.3206236231147257E-2</c:v>
                </c:pt>
                <c:pt idx="7">
                  <c:v>3.9181286549707602E-2</c:v>
                </c:pt>
                <c:pt idx="8">
                  <c:v>0.26367274344152958</c:v>
                </c:pt>
                <c:pt idx="9">
                  <c:v>5.3108808290155442E-2</c:v>
                </c:pt>
                <c:pt idx="10">
                  <c:v>0.37222370885737222</c:v>
                </c:pt>
                <c:pt idx="11">
                  <c:v>0.13452914798206278</c:v>
                </c:pt>
                <c:pt idx="12">
                  <c:v>4.1554236373448461E-2</c:v>
                </c:pt>
                <c:pt idx="13">
                  <c:v>0.11065175097276264</c:v>
                </c:pt>
                <c:pt idx="14">
                  <c:v>0.12132352941176471</c:v>
                </c:pt>
                <c:pt idx="15">
                  <c:v>5.446715081911839E-2</c:v>
                </c:pt>
                <c:pt idx="16">
                  <c:v>0.22216936251189343</c:v>
                </c:pt>
                <c:pt idx="17">
                  <c:v>7.2727272727272724E-2</c:v>
                </c:pt>
                <c:pt idx="18">
                  <c:v>0.37944471505114469</c:v>
                </c:pt>
                <c:pt idx="19">
                  <c:v>0.30115273775216139</c:v>
                </c:pt>
                <c:pt idx="20">
                  <c:v>0</c:v>
                </c:pt>
                <c:pt idx="21">
                  <c:v>0.11252163877668782</c:v>
                </c:pt>
                <c:pt idx="22">
                  <c:v>0.16542459305746224</c:v>
                </c:pt>
                <c:pt idx="23">
                  <c:v>0.14821938205732721</c:v>
                </c:pt>
              </c:numCache>
            </c:numRef>
          </c:val>
          <c:extLst>
            <c:ext xmlns:c16="http://schemas.microsoft.com/office/drawing/2014/chart" uri="{C3380CC4-5D6E-409C-BE32-E72D297353CC}">
              <c16:uniqueId val="{00000000-788D-4FAA-BA6E-357789138712}"/>
            </c:ext>
          </c:extLst>
        </c:ser>
        <c:ser>
          <c:idx val="1"/>
          <c:order val="1"/>
          <c:tx>
            <c:strRef>
              <c:f>Assessments!$E$146</c:f>
              <c:strCache>
                <c:ptCount val="1"/>
                <c:pt idx="0">
                  <c:v>11-20 Days</c:v>
                </c:pt>
              </c:strCache>
            </c:strRef>
          </c:tx>
          <c:spPr>
            <a:solidFill>
              <a:schemeClr val="accent3">
                <a:lumMod val="75000"/>
              </a:schemeClr>
            </a:solidFill>
            <a:ln>
              <a:solidFill>
                <a:srgbClr val="000000"/>
              </a:solidFill>
            </a:ln>
          </c:spPr>
          <c:invertIfNegative val="0"/>
          <c:cat>
            <c:strRef>
              <c:f>Assessments!$B$147:$B$170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Assessments!$E$147:$E$170</c:f>
              <c:numCache>
                <c:formatCode>0%</c:formatCode>
                <c:ptCount val="24"/>
                <c:pt idx="0">
                  <c:v>0.38990017615971817</c:v>
                </c:pt>
                <c:pt idx="1">
                  <c:v>0.11700404858299596</c:v>
                </c:pt>
                <c:pt idx="2">
                  <c:v>0.10436117150530759</c:v>
                </c:pt>
                <c:pt idx="3">
                  <c:v>0.12784880489160644</c:v>
                </c:pt>
                <c:pt idx="4">
                  <c:v>0.45364661445314669</c:v>
                </c:pt>
                <c:pt idx="5">
                  <c:v>0.42035623409669209</c:v>
                </c:pt>
                <c:pt idx="6">
                  <c:v>0.12658871377732589</c:v>
                </c:pt>
                <c:pt idx="7">
                  <c:v>8.4210526315789472E-2</c:v>
                </c:pt>
                <c:pt idx="8">
                  <c:v>0.30457981325033351</c:v>
                </c:pt>
                <c:pt idx="9">
                  <c:v>9.6039970392301999E-2</c:v>
                </c:pt>
                <c:pt idx="10">
                  <c:v>0.20123093390420124</c:v>
                </c:pt>
                <c:pt idx="11">
                  <c:v>0.25149476831091183</c:v>
                </c:pt>
                <c:pt idx="12">
                  <c:v>8.0410145709660014E-2</c:v>
                </c:pt>
                <c:pt idx="13">
                  <c:v>0.1522373540856031</c:v>
                </c:pt>
                <c:pt idx="14">
                  <c:v>0.15196078431372548</c:v>
                </c:pt>
                <c:pt idx="15">
                  <c:v>0.17142374598885324</c:v>
                </c:pt>
                <c:pt idx="16">
                  <c:v>0.22288296860133205</c:v>
                </c:pt>
                <c:pt idx="17">
                  <c:v>0.18295454545454545</c:v>
                </c:pt>
                <c:pt idx="18">
                  <c:v>0.12128592303945446</c:v>
                </c:pt>
                <c:pt idx="19">
                  <c:v>7.9058597502401531E-2</c:v>
                </c:pt>
                <c:pt idx="20">
                  <c:v>8.8269454123112656E-2</c:v>
                </c:pt>
                <c:pt idx="21">
                  <c:v>0.21581073283323715</c:v>
                </c:pt>
                <c:pt idx="22">
                  <c:v>0.20052951559129242</c:v>
                </c:pt>
                <c:pt idx="23">
                  <c:v>0.17133018984985729</c:v>
                </c:pt>
              </c:numCache>
            </c:numRef>
          </c:val>
          <c:extLst>
            <c:ext xmlns:c16="http://schemas.microsoft.com/office/drawing/2014/chart" uri="{C3380CC4-5D6E-409C-BE32-E72D297353CC}">
              <c16:uniqueId val="{00000001-788D-4FAA-BA6E-357789138712}"/>
            </c:ext>
          </c:extLst>
        </c:ser>
        <c:ser>
          <c:idx val="2"/>
          <c:order val="2"/>
          <c:tx>
            <c:strRef>
              <c:f>Assessments!$F$146</c:f>
              <c:strCache>
                <c:ptCount val="1"/>
                <c:pt idx="0">
                  <c:v>21-30 Days</c:v>
                </c:pt>
              </c:strCache>
            </c:strRef>
          </c:tx>
          <c:spPr>
            <a:solidFill>
              <a:srgbClr val="FFC000"/>
            </a:solidFill>
            <a:ln>
              <a:solidFill>
                <a:srgbClr val="000000"/>
              </a:solidFill>
            </a:ln>
          </c:spPr>
          <c:invertIfNegative val="0"/>
          <c:cat>
            <c:strRef>
              <c:f>Assessments!$B$147:$B$170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Assessments!$F$147:$F$170</c:f>
              <c:numCache>
                <c:formatCode>0%</c:formatCode>
                <c:ptCount val="24"/>
                <c:pt idx="0">
                  <c:v>0.17087492660011744</c:v>
                </c:pt>
                <c:pt idx="1">
                  <c:v>0.26072874493927123</c:v>
                </c:pt>
                <c:pt idx="2">
                  <c:v>0.11254636142729249</c:v>
                </c:pt>
                <c:pt idx="3">
                  <c:v>0.13062812673707616</c:v>
                </c:pt>
                <c:pt idx="4">
                  <c:v>0.12747875354107649</c:v>
                </c:pt>
                <c:pt idx="5">
                  <c:v>0.10585241730279898</c:v>
                </c:pt>
                <c:pt idx="6">
                  <c:v>0.25148279952550417</c:v>
                </c:pt>
                <c:pt idx="7">
                  <c:v>0.10087719298245613</c:v>
                </c:pt>
                <c:pt idx="8">
                  <c:v>0.20497999110715873</c:v>
                </c:pt>
                <c:pt idx="9">
                  <c:v>0.12398223538119911</c:v>
                </c:pt>
                <c:pt idx="10">
                  <c:v>0.19266791544019266</c:v>
                </c:pt>
                <c:pt idx="11">
                  <c:v>0.20142002989536623</c:v>
                </c:pt>
                <c:pt idx="12">
                  <c:v>0.21910415542363734</c:v>
                </c:pt>
                <c:pt idx="13">
                  <c:v>0.2183852140077821</c:v>
                </c:pt>
                <c:pt idx="14">
                  <c:v>0.11233660130718955</c:v>
                </c:pt>
                <c:pt idx="15">
                  <c:v>0.14034791420368181</c:v>
                </c:pt>
                <c:pt idx="16">
                  <c:v>0.16412940057088488</c:v>
                </c:pt>
                <c:pt idx="17">
                  <c:v>0.16931818181818181</c:v>
                </c:pt>
                <c:pt idx="18">
                  <c:v>9.7418412079883096E-2</c:v>
                </c:pt>
                <c:pt idx="19">
                  <c:v>0.10710854947166186</c:v>
                </c:pt>
                <c:pt idx="20">
                  <c:v>6.968641114982578E-2</c:v>
                </c:pt>
                <c:pt idx="21">
                  <c:v>0.23831506058857474</c:v>
                </c:pt>
                <c:pt idx="22">
                  <c:v>0.15797215140223572</c:v>
                </c:pt>
                <c:pt idx="23">
                  <c:v>0.16284588658642513</c:v>
                </c:pt>
              </c:numCache>
            </c:numRef>
          </c:val>
          <c:extLst>
            <c:ext xmlns:c16="http://schemas.microsoft.com/office/drawing/2014/chart" uri="{C3380CC4-5D6E-409C-BE32-E72D297353CC}">
              <c16:uniqueId val="{00000002-788D-4FAA-BA6E-357789138712}"/>
            </c:ext>
          </c:extLst>
        </c:ser>
        <c:ser>
          <c:idx val="3"/>
          <c:order val="3"/>
          <c:tx>
            <c:strRef>
              <c:f>Assessments!$G$146</c:f>
              <c:strCache>
                <c:ptCount val="1"/>
                <c:pt idx="0">
                  <c:v>31-45 Days</c:v>
                </c:pt>
              </c:strCache>
            </c:strRef>
          </c:tx>
          <c:spPr>
            <a:solidFill>
              <a:schemeClr val="accent6"/>
            </a:solidFill>
            <a:ln>
              <a:solidFill>
                <a:srgbClr val="000000"/>
              </a:solidFill>
            </a:ln>
          </c:spPr>
          <c:invertIfNegative val="0"/>
          <c:cat>
            <c:strRef>
              <c:f>Assessments!$B$147:$B$170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Assessments!$G$147:$G$170</c:f>
              <c:numCache>
                <c:formatCode>0%</c:formatCode>
                <c:ptCount val="24"/>
                <c:pt idx="0">
                  <c:v>0.18731650029359953</c:v>
                </c:pt>
                <c:pt idx="1">
                  <c:v>0.37327935222672065</c:v>
                </c:pt>
                <c:pt idx="2">
                  <c:v>0.29402736922880163</c:v>
                </c:pt>
                <c:pt idx="3">
                  <c:v>0.24207893274041134</c:v>
                </c:pt>
                <c:pt idx="4">
                  <c:v>9.3539965561295346E-2</c:v>
                </c:pt>
                <c:pt idx="5">
                  <c:v>0.13791348600508907</c:v>
                </c:pt>
                <c:pt idx="6">
                  <c:v>0.4598655595096876</c:v>
                </c:pt>
                <c:pt idx="7">
                  <c:v>0.40701754385964911</c:v>
                </c:pt>
                <c:pt idx="8">
                  <c:v>0.16540684748777235</c:v>
                </c:pt>
                <c:pt idx="9">
                  <c:v>0.31014063656550706</c:v>
                </c:pt>
                <c:pt idx="10">
                  <c:v>0.18597805726518599</c:v>
                </c:pt>
                <c:pt idx="11">
                  <c:v>0.29446935724962631</c:v>
                </c:pt>
                <c:pt idx="12">
                  <c:v>0.45601726929303832</c:v>
                </c:pt>
                <c:pt idx="13">
                  <c:v>0.27918287937743191</c:v>
                </c:pt>
                <c:pt idx="14">
                  <c:v>0.27532679738562094</c:v>
                </c:pt>
                <c:pt idx="15">
                  <c:v>0.36438101672014861</c:v>
                </c:pt>
                <c:pt idx="16">
                  <c:v>0.18553758325404376</c:v>
                </c:pt>
                <c:pt idx="17">
                  <c:v>0.31874999999999998</c:v>
                </c:pt>
                <c:pt idx="18">
                  <c:v>0.37165124208475403</c:v>
                </c:pt>
                <c:pt idx="19">
                  <c:v>0.36685878962536023</c:v>
                </c:pt>
                <c:pt idx="20">
                  <c:v>0.42857142857142855</c:v>
                </c:pt>
                <c:pt idx="21">
                  <c:v>0.18753606462781305</c:v>
                </c:pt>
                <c:pt idx="22">
                  <c:v>0.2995685428515395</c:v>
                </c:pt>
                <c:pt idx="23">
                  <c:v>0.34908177193200152</c:v>
                </c:pt>
              </c:numCache>
            </c:numRef>
          </c:val>
          <c:extLst>
            <c:ext xmlns:c16="http://schemas.microsoft.com/office/drawing/2014/chart" uri="{C3380CC4-5D6E-409C-BE32-E72D297353CC}">
              <c16:uniqueId val="{00000003-788D-4FAA-BA6E-357789138712}"/>
            </c:ext>
          </c:extLst>
        </c:ser>
        <c:ser>
          <c:idx val="4"/>
          <c:order val="4"/>
          <c:tx>
            <c:strRef>
              <c:f>Assessments!$H$146</c:f>
              <c:strCache>
                <c:ptCount val="1"/>
                <c:pt idx="0">
                  <c:v>Over 45 Days</c:v>
                </c:pt>
              </c:strCache>
            </c:strRef>
          </c:tx>
          <c:spPr>
            <a:solidFill>
              <a:srgbClr val="CB9763"/>
            </a:solidFill>
            <a:ln>
              <a:solidFill>
                <a:srgbClr val="000000"/>
              </a:solidFill>
            </a:ln>
          </c:spPr>
          <c:invertIfNegative val="0"/>
          <c:cat>
            <c:strRef>
              <c:f>Assessments!$B$147:$B$170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Assessments!$H$147:$H$170</c:f>
              <c:numCache>
                <c:formatCode>0%</c:formatCode>
                <c:ptCount val="24"/>
                <c:pt idx="0">
                  <c:v>6.4591896652965358E-2</c:v>
                </c:pt>
                <c:pt idx="1">
                  <c:v>0.11902834008097166</c:v>
                </c:pt>
                <c:pt idx="2">
                  <c:v>0.2655070980943855</c:v>
                </c:pt>
                <c:pt idx="3">
                  <c:v>0.4207893274041134</c:v>
                </c:pt>
                <c:pt idx="4">
                  <c:v>9.1484752541243122E-2</c:v>
                </c:pt>
                <c:pt idx="5">
                  <c:v>4.2239185750636135E-2</c:v>
                </c:pt>
                <c:pt idx="6">
                  <c:v>7.8856690956335088E-2</c:v>
                </c:pt>
                <c:pt idx="7">
                  <c:v>0.36871345029239766</c:v>
                </c:pt>
                <c:pt idx="8">
                  <c:v>6.1360604713205869E-2</c:v>
                </c:pt>
                <c:pt idx="9">
                  <c:v>0.41672834937083642</c:v>
                </c:pt>
                <c:pt idx="10">
                  <c:v>4.7899384533047901E-2</c:v>
                </c:pt>
                <c:pt idx="11">
                  <c:v>0.11808669656203288</c:v>
                </c:pt>
                <c:pt idx="12">
                  <c:v>0.20291419320021586</c:v>
                </c:pt>
                <c:pt idx="13">
                  <c:v>0.23954280155642024</c:v>
                </c:pt>
                <c:pt idx="14">
                  <c:v>0.33905228758169936</c:v>
                </c:pt>
                <c:pt idx="15">
                  <c:v>0.26938017226819794</c:v>
                </c:pt>
                <c:pt idx="16">
                  <c:v>0.20528068506184585</c:v>
                </c:pt>
                <c:pt idx="17">
                  <c:v>0.25624999999999998</c:v>
                </c:pt>
                <c:pt idx="18">
                  <c:v>3.019970774476376E-2</c:v>
                </c:pt>
                <c:pt idx="19">
                  <c:v>0.14582132564841499</c:v>
                </c:pt>
                <c:pt idx="20">
                  <c:v>0.36585365853658536</c:v>
                </c:pt>
                <c:pt idx="21">
                  <c:v>0.24581650317368725</c:v>
                </c:pt>
                <c:pt idx="22">
                  <c:v>0.17650519709747009</c:v>
                </c:pt>
                <c:pt idx="23">
                  <c:v>0.16852276957438889</c:v>
                </c:pt>
              </c:numCache>
            </c:numRef>
          </c:val>
          <c:extLst>
            <c:ext xmlns:c16="http://schemas.microsoft.com/office/drawing/2014/chart" uri="{C3380CC4-5D6E-409C-BE32-E72D297353CC}">
              <c16:uniqueId val="{00000004-788D-4FAA-BA6E-357789138712}"/>
            </c:ext>
          </c:extLst>
        </c:ser>
        <c:dLbls>
          <c:showLegendKey val="0"/>
          <c:showVal val="0"/>
          <c:showCatName val="0"/>
          <c:showSerName val="0"/>
          <c:showPercent val="0"/>
          <c:showBubbleSize val="0"/>
        </c:dLbls>
        <c:gapWidth val="50"/>
        <c:overlap val="100"/>
        <c:axId val="248118656"/>
        <c:axId val="248120448"/>
      </c:barChart>
      <c:catAx>
        <c:axId val="248118656"/>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120448"/>
        <c:crosses val="autoZero"/>
        <c:auto val="1"/>
        <c:lblAlgn val="ctr"/>
        <c:lblOffset val="100"/>
        <c:noMultiLvlLbl val="0"/>
      </c:catAx>
      <c:valAx>
        <c:axId val="248120448"/>
        <c:scaling>
          <c:orientation val="minMax"/>
        </c:scaling>
        <c:delete val="0"/>
        <c:axPos val="b"/>
        <c:majorGridlines>
          <c:spPr>
            <a:ln w="12700">
              <a:solidFill>
                <a:schemeClr val="bg1">
                  <a:lumMod val="75000"/>
                </a:schemeClr>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118656"/>
        <c:crosses val="max"/>
        <c:crossBetween val="between"/>
      </c:valAx>
      <c:spPr>
        <a:noFill/>
        <a:ln w="3175">
          <a:solidFill>
            <a:srgbClr val="000000"/>
          </a:solidFill>
          <a:prstDash val="solid"/>
        </a:ln>
      </c:spPr>
    </c:plotArea>
    <c:legend>
      <c:legendPos val="r"/>
      <c:layout>
        <c:manualLayout>
          <c:xMode val="edge"/>
          <c:yMode val="edge"/>
          <c:x val="2.1225561090577962E-2"/>
          <c:y val="6.1796890773268727E-2"/>
          <c:w val="0.95332754834217148"/>
          <c:h val="3.519318326967371E-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Assessments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Assessments!$AR$38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582B-4C01-8F3B-4C6B64027B66}"/>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{0E4F115E-65F5-4CFD-A69F-B13143DA19B3}</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582B-4C01-8F3B-4C6B64027B66}"/>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{BD14EC8E-29FC-44AF-8EE8-893947EC8D4D}</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582B-4C01-8F3B-4C6B64027B66}"/>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{117A7239-409B-4442-A6A7-693BFB1170EB}</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582B-4C01-8F3B-4C6B64027B66}"/>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{D15C341A-46E7-4EEA-9289-AD9D49D9953C}</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582B-4C01-8F3B-4C6B64027B66}"/>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{39967BA5-8CF5-4375-A1AA-17145F39E215}</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582B-4C01-8F3B-4C6B64027B66}"/>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{586DB779-E68D-43E5-AB89-D46FDBC031AF}</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582B-4C01-8F3B-4C6B64027B66}"/>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{E2998E4B-693D-4561-8F8E-71B7FEA555A0}</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582B-4C01-8F3B-4C6B64027B66}"/>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{028A6F7C-0D51-44A8-8AE3-02E4DBE780F7}</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582B-4C01-8F3B-4C6B64027B66}"/>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{099F547F-DB52-4F87-B96E-BA1FE8C2C7A5}</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582B-4C01-8F3B-4C6B64027B66}"/>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{0CA764FF-FF11-4074-BBD9-08901547C1B6}</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582B-4C01-8F3B-4C6B64027B66}"/>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{38572590-67B0-420F-A431-9C6549838924}</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582B-4C01-8F3B-4C6B64027B66}"/>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{073750C1-D1E1-4521-8820-81E4C197853F}</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582B-4C01-8F3B-4C6B64027B66}"/>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{5A4F3FA6-BE4F-41BD-A601-A06392A7E677}</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582B-4C01-8F3B-4C6B64027B66}"/>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{1D4BE39E-C211-43FF-B963-58092E843328}</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582B-4C01-8F3B-4C6B64027B66}"/>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{6A3A3E5B-E526-4EC3-AF18-621D5C28CEE5}</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582B-4C01-8F3B-4C6B64027B66}"/>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{A1C6D443-598F-4B08-8D66-1251008ECA6E}</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582B-4C01-8F3B-4C6B64027B66}"/>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{C9C951A5-7EFE-4F69-946F-BA71EF30EBFC}</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582B-4C01-8F3B-4C6B64027B66}"/>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{EFC600EB-F596-43F7-8C08-DB45E424C7A7}</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582B-4C01-8F3B-4C6B64027B66}"/>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{011ED609-C538-41CC-8A33-887B959E6F81}</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582B-4C01-8F3B-4C6B64027B66}"/>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(Assessments!$AR$41:$AR$53,Assessments!$AR$55:$AR$56,Assessments!$AR$59:$AR$62)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(Assessments!$AQ$41:$AQ$53,Assessments!$AQ$55:$AQ$56,Assessments!$AQ$59:$AQ$62)</c:f>
              <c:numCache>
                <c:formatCode>0.0</c:formatCode>
                <c:ptCount val="19"/>
                <c:pt idx="0">
                  <c:v>601.76678445229686</c:v>
                </c:pt>
                <c:pt idx="1">
                  <c:v>484.31372549019608</c:v>
                </c:pt>
                <c:pt idx="2">
                  <c:v>629.04263877715209</c:v>
                </c:pt>
                <c:pt idx="3">
                  <c:v>338.15789473684208</c:v>
                </c:pt>
                <c:pt idx="4">
                  <c:v>633.90845070422529</c:v>
                </c:pt>
                <c:pt idx="5">
                  <c:v>789.15662650602405</c:v>
                </c:pt>
                <c:pt idx="6">
                  <c:v>520.52337547780064</c:v>
                </c:pt>
                <c:pt idx="7">
                  <c:v>531.05590062111798</c:v>
                </c:pt>
                <c:pt idx="8">
                  <c:v>329.28257686676426</c:v>
                </c:pt>
                <c:pt idx="9">
                  <c:v>373.20441988950279</c:v>
                </c:pt>
                <c:pt idx="10">
                  <c:v>849.31818181818176</c:v>
                </c:pt>
                <c:pt idx="11">
                  <c:v>721.29380053908358</c:v>
                </c:pt>
                <c:pt idx="12">
                  <c:v>433.95784543325533</c:v>
                </c:pt>
                <c:pt idx="13">
                  <c:v>481.88976377952753</c:v>
                </c:pt>
                <c:pt idx="14">
                  <c:v>452.15731195112636</c:v>
                </c:pt>
                <c:pt idx="15">
                  <c:v>581.17977528089887</c:v>
                </c:pt>
                <c:pt idx="16">
                  <c:v>595.99313108185459</c:v>
                </c:pt>
                <c:pt idx="17">
                  <c:v>248.84393063583818</c:v>
                </c:pt>
                <c:pt idx="18">
                  <c:v>438.7341772151899</c:v>
                </c:pt>
              </c:numCache>
            </c:numRef>
          </c:yVal>
          <c:smooth val="0"/>
          <c:extLst>
            <c:ext xmlns:c16="http://schemas.microsoft.com/office/drawing/2014/chart" uri="{C3380CC4-5D6E-409C-BE32-E72D297353CC}">
              <c16:uniqueId val="{00000014-582B-4C01-8F3B-4C6B64027B66}"/>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582B-4C01-8F3B-4C6B64027B66}"/>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{1CC69F28-4928-4E14-86C7-1AECBC16920E}</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582B-4C01-8F3B-4C6B64027B66}"/>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{2AA832B7-2A93-44E1-BC42-0B69E78F8951}</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582B-4C01-8F3B-4C6B64027B66}"/>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{30FD30EC-4763-4577-A371-9918633BDBC9}</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582B-4C01-8F3B-4C6B64027B66}"/>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(Assessments!$AR$54,Assessments!$AR$57:$AR$58)</c:f>
              <c:numCache>
                <c:formatCode>0.0</c:formatCode>
                <c:ptCount val="3"/>
                <c:pt idx="0">
                  <c:v>13.600000000000001</c:v>
                </c:pt>
                <c:pt idx="1">
                  <c:v>14.899999999999999</c:v>
                </c:pt>
                <c:pt idx="2">
                  <c:v>21.9</c:v>
                </c:pt>
              </c:numCache>
            </c:numRef>
          </c:xVal>
          <c:yVal>
            <c:numRef>
              <c:f>(Assessments!$AQ$54,Assessments!$AQ$57:$AQ$58)</c:f>
              <c:numCache>
                <c:formatCode>0.0</c:formatCode>
                <c:ptCount val="3"/>
                <c:pt idx="0">
                  <c:v>371.45438121047874</c:v>
                </c:pt>
                <c:pt idx="1">
                  <c:v>837.45019920318725</c:v>
                </c:pt>
                <c:pt idx="2">
                  <c:v>738.9763779527558</c:v>
                </c:pt>
              </c:numCache>
            </c:numRef>
          </c:yVal>
          <c:smooth val="0"/>
          <c:extLst>
            <c:ext xmlns:c16="http://schemas.microsoft.com/office/drawing/2014/chart" uri="{C3380CC4-5D6E-409C-BE32-E72D297353CC}">
              <c16:uniqueId val="{00000018-582B-4C01-8F3B-4C6B64027B66}"/>
            </c:ext>
          </c:extLst>
        </c:ser>
        <c:ser>
          <c:idx val="1"/>
          <c:order val="2"/>
          <c:tx>
            <c:strRef>
              <c:f>Assessments!$AA$4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Assessments!$AR$65</c:f>
              <c:numCache>
                <c:formatCode>0.0</c:formatCode>
                <c:ptCount val="1"/>
                <c:pt idx="0">
                  <c:v>#N/A</c:v>
                </c:pt>
              </c:numCache>
            </c:numRef>
          </c:xVal>
          <c:yVal>
            <c:numRef>
              <c:f>Assessments!$AQ$65</c:f>
              <c:numCache>
                <c:formatCode>0.0</c:formatCode>
                <c:ptCount val="1"/>
                <c:pt idx="0">
                  <c:v>#N/A</c:v>
                </c:pt>
              </c:numCache>
            </c:numRef>
          </c:yVal>
          <c:smooth val="0"/>
          <c:extLst>
            <c:ext xmlns:c16="http://schemas.microsoft.com/office/drawing/2014/chart" uri="{C3380CC4-5D6E-409C-BE32-E72D297353CC}">
              <c16:uniqueId val="{00000019-582B-4C01-8F3B-4C6B64027B66}"/>
            </c:ext>
          </c:extLst>
        </c:ser>
        <c:ser>
          <c:idx val="4"/>
          <c:order val="3"/>
          <c:tx>
            <c:strRef>
              <c:f>Assessments!$B$32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Assessments!$S$32</c:f>
              <c:numCache>
                <c:formatCode>0.0</c:formatCode>
                <c:ptCount val="1"/>
                <c:pt idx="0">
                  <c:v>12.371268250968637</c:v>
                </c:pt>
              </c:numCache>
            </c:numRef>
          </c:xVal>
          <c:yVal>
            <c:numRef>
              <c:f>Assessments!$O$32</c:f>
              <c:numCache>
                <c:formatCode>0.0</c:formatCode>
                <c:ptCount val="1"/>
                <c:pt idx="0">
                  <c:v>522.22335751507103</c:v>
                </c:pt>
              </c:numCache>
            </c:numRef>
          </c:yVal>
          <c:smooth val="0"/>
          <c:extLst>
            <c:ext xmlns:c16="http://schemas.microsoft.com/office/drawing/2014/chart" uri="{C3380CC4-5D6E-409C-BE32-E72D297353CC}">
              <c16:uniqueId val="{0000001A-582B-4C01-8F3B-4C6B64027B66}"/>
            </c:ext>
          </c:extLst>
        </c:ser>
        <c:ser>
          <c:idx val="2"/>
          <c:order val="4"/>
          <c:tx>
            <c:strRef>
              <c:f>Assessments!$Y$43</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582B-4C01-8F3B-4C6B64027B66}"/>
                </c:ext>
              </c:extLst>
            </c:dLbl>
            <c:dLbl>
              <c:idx val="1"/>
              <c:layout>
                <c:manualLayout>
                  <c:x val="-5.2631578947368314E-2"/>
                  <c:y val="3.9215676959732736E-2"/>
                </c:manualLayout>
              </c:layout>
              <c:tx>
                <c:strRef>
                  <c:f>Assessments!$AD$43</c:f>
                  <c:strCache>
                    <c:ptCount val="1"/>
                    <c:pt idx="0">
                      <c:v>r² = 0.363</c:v>
                    </c:pt>
                  </c:strCache>
                </c:strRef>
              </c:tx>
              <c:showLegendKey val="0"/>
              <c:showVal val="0"/>
              <c:showCatName val="1"/>
              <c:showSerName val="0"/>
              <c:showPercent val="0"/>
              <c:showBubbleSize val="0"/>
              <c:extLst>
                <c:ext xmlns:c15="http://schemas.microsoft.com/office/drawing/2012/chart" uri="{CE6537A1-D6FC-4f65-9D91-7224C49458BB}">
                  <c15:dlblFieldTable>
                    <c15:dlblFTEntry>
                      <c15:txfldGUID>{8AA1BA9C-41CC-4074-BE1F-A483704C0FAD}</c15:txfldGUID>
                      <c15:f>Assessments!$AD$43</c15:f>
                      <c15:dlblFieldTableCache>
                        <c:ptCount val="1"/>
                        <c:pt idx="0">
                          <c:v>r² = 0.363</c:v>
                        </c:pt>
                      </c15:dlblFieldTableCache>
                    </c15:dlblFTEntry>
                  </c15:dlblFieldTable>
                  <c15:showDataLabelsRange val="0"/>
                </c:ext>
                <c:ext xmlns:c16="http://schemas.microsoft.com/office/drawing/2014/chart" uri="{C3380CC4-5D6E-409C-BE32-E72D297353CC}">
                  <c16:uniqueId val="{0000001C-582B-4C01-8F3B-4C6B64027B66}"/>
                </c:ext>
              </c:extLst>
            </c:dLbl>
            <c:spPr>
              <a:noFill/>
              <a:ln>
                <a:noFill/>
              </a:ln>
              <a:effectLst/>
            </c:spPr>
            <c:txPr>
              <a:bodyPr/>
              <a:lstStyle/>
              <a:p>
                <a:pPr>
                  <a:defRPr sz="900"/>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Assessments!$AB$43:$AB$44</c:f>
              <c:numCache>
                <c:formatCode>General</c:formatCode>
                <c:ptCount val="2"/>
                <c:pt idx="0" formatCode="#,##0.0">
                  <c:v>5</c:v>
                </c:pt>
                <c:pt idx="1">
                  <c:v>35</c:v>
                </c:pt>
              </c:numCache>
            </c:numRef>
          </c:xVal>
          <c:yVal>
            <c:numRef>
              <c:f>Assessments!$AC$43:$AC$44</c:f>
              <c:numCache>
                <c:formatCode>0.0</c:formatCode>
                <c:ptCount val="2"/>
                <c:pt idx="0">
                  <c:v>320.81499693198737</c:v>
                </c:pt>
                <c:pt idx="1">
                  <c:v>875.55179943293615</c:v>
                </c:pt>
              </c:numCache>
            </c:numRef>
          </c:yVal>
          <c:smooth val="0"/>
          <c:extLst>
            <c:ext xmlns:c16="http://schemas.microsoft.com/office/drawing/2014/chart" uri="{C3380CC4-5D6E-409C-BE32-E72D297353CC}">
              <c16:uniqueId val="{0000001D-582B-4C01-8F3B-4C6B64027B66}"/>
            </c:ext>
          </c:extLst>
        </c:ser>
        <c:ser>
          <c:idx val="5"/>
          <c:order val="5"/>
          <c:tx>
            <c:strRef>
              <c:f>Assessments!$Y$41</c:f>
              <c:strCache>
                <c:ptCount val="1"/>
                <c:pt idx="0">
                  <c:v>South East LA Trend</c:v>
                </c:pt>
              </c:strCache>
            </c:strRef>
          </c:tx>
          <c:spPr>
            <a:ln w="9525">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582B-4C01-8F3B-4C6B64027B66}"/>
                </c:ext>
              </c:extLst>
            </c:dLbl>
            <c:dLbl>
              <c:idx val="1"/>
              <c:layout>
                <c:manualLayout>
                  <c:x val="-5.5555555555555663E-2"/>
                  <c:y val="3.016590535364061E-2"/>
                </c:manualLayout>
              </c:layout>
              <c:tx>
                <c:strRef>
                  <c:f>Assessments!$AD$42</c:f>
                  <c:strCache>
                    <c:ptCount val="1"/>
                    <c:pt idx="0">
                      <c:v>r² = 0.108</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{37EF6FAB-93C9-47A7-8CE3-BC78173BB718}</c15:txfldGUID>
                      <c15:f>Assessments!$AD$42</c15:f>
                      <c15:dlblFieldTableCache>
                        <c:ptCount val="1"/>
                        <c:pt idx="0">
                          <c:v>r² = 0.108</c:v>
                        </c:pt>
                      </c15:dlblFieldTableCache>
                    </c15:dlblFTEntry>
                  </c15:dlblFieldTable>
                  <c15:showDataLabelsRange val="0"/>
                </c:ext>
                <c:ext xmlns:c16="http://schemas.microsoft.com/office/drawing/2014/chart" uri="{C3380CC4-5D6E-409C-BE32-E72D297353CC}">
                  <c16:uniqueId val="{0000001F-582B-4C01-8F3B-4C6B64027B66}"/>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Assessments!$AB$41:$AB$42</c:f>
              <c:numCache>
                <c:formatCode>General</c:formatCode>
                <c:ptCount val="2"/>
                <c:pt idx="0" formatCode="#,##0.0">
                  <c:v>5</c:v>
                </c:pt>
                <c:pt idx="1">
                  <c:v>35</c:v>
                </c:pt>
              </c:numCache>
            </c:numRef>
          </c:xVal>
          <c:yVal>
            <c:numRef>
              <c:f>Assessments!$AC$41:$AC$42</c:f>
              <c:numCache>
                <c:formatCode>0.0</c:formatCode>
                <c:ptCount val="2"/>
                <c:pt idx="0">
                  <c:v>439.14204089940711</c:v>
                </c:pt>
                <c:pt idx="1">
                  <c:v>769.66646088013931</c:v>
                </c:pt>
              </c:numCache>
            </c:numRef>
          </c:yVal>
          <c:smooth val="0"/>
          <c:extLst>
            <c:ext xmlns:c16="http://schemas.microsoft.com/office/drawing/2014/chart" uri="{C3380CC4-5D6E-409C-BE32-E72D297353CC}">
              <c16:uniqueId val="{00000020-582B-4C01-8F3B-4C6B64027B66}"/>
            </c:ext>
          </c:extLst>
        </c:ser>
        <c:dLbls>
          <c:showLegendKey val="0"/>
          <c:showVal val="0"/>
          <c:showCatName val="0"/>
          <c:showSerName val="0"/>
          <c:showPercent val="0"/>
          <c:showBubbleSize val="0"/>
        </c:dLbls>
        <c:axId val="248201984"/>
        <c:axId val="248203904"/>
      </c:scatterChart>
      <c:valAx>
        <c:axId val="24820198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203904"/>
        <c:crosses val="autoZero"/>
        <c:crossBetween val="midCat"/>
        <c:majorUnit val="5"/>
      </c:valAx>
      <c:valAx>
        <c:axId val="248203904"/>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Assessmen ts per 10,000 0-17 year olds</a:t>
                </a:r>
              </a:p>
            </c:rich>
          </c:tx>
          <c:layout>
            <c:manualLayout>
              <c:xMode val="edge"/>
              <c:yMode val="edge"/>
              <c:x val="5.1878053704825358E-2"/>
              <c:y val="0.2334492797503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20198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0.17164814872449241"/>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'Children in Need'!$AL$41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1BB-4D08-941F-DD78957A933D}"/>
              </c:ext>
            </c:extLst>
          </c:dPt>
          <c:cat>
            <c:strRef>
              <c:f>'Children in Need'!$Z$2:$AD$3</c:f>
              <c:strCache>
                <c:ptCount val="5"/>
                <c:pt idx="0">
                  <c:v>2014-15</c:v>
                </c:pt>
                <c:pt idx="1">
                  <c:v>2015-16</c:v>
                </c:pt>
                <c:pt idx="2">
                  <c:v>2016-17</c:v>
                </c:pt>
                <c:pt idx="3">
                  <c:v>2017-18</c:v>
                </c:pt>
                <c:pt idx="4">
                  <c:v>2018-19</c:v>
                </c:pt>
              </c:strCache>
            </c:strRef>
          </c:cat>
          <c:val>
            <c:numRef>
              <c:f>'Children in Need'!$AM$41:$AQ$41</c:f>
              <c:numCache>
                <c:formatCode>0.0</c:formatCode>
                <c:ptCount val="5"/>
                <c:pt idx="0">
                  <c:v>269.06474820143887</c:v>
                </c:pt>
                <c:pt idx="1">
                  <c:v>297.51773049645391</c:v>
                </c:pt>
                <c:pt idx="2">
                  <c:v>347.87234042553189</c:v>
                </c:pt>
                <c:pt idx="3">
                  <c:v>353.38078291814946</c:v>
                </c:pt>
                <c:pt idx="4">
                  <c:v>368.55123674911658</c:v>
                </c:pt>
              </c:numCache>
            </c:numRef>
          </c:val>
          <c:smooth val="0"/>
          <c:extLst>
            <c:ext xmlns:c16="http://schemas.microsoft.com/office/drawing/2014/chart" uri="{C3380CC4-5D6E-409C-BE32-E72D297353CC}">
              <c16:uniqueId val="{00000001-C1BB-4D08-941F-DD78957A933D}"/>
            </c:ext>
          </c:extLst>
        </c:ser>
        <c:ser>
          <c:idx val="1"/>
          <c:order val="1"/>
          <c:tx>
            <c:strRef>
              <c:f>'Children in Need'!$AL$42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Need'!$AM$42:$AQ$42</c:f>
              <c:numCache>
                <c:formatCode>0.0</c:formatCode>
                <c:ptCount val="5"/>
                <c:pt idx="0">
                  <c:v>485.29411764705884</c:v>
                </c:pt>
                <c:pt idx="1">
                  <c:v>458.3984375</c:v>
                </c:pt>
                <c:pt idx="2">
                  <c:v>422.22222222222223</c:v>
                </c:pt>
                <c:pt idx="3">
                  <c:v>426.47058823529414</c:v>
                </c:pt>
                <c:pt idx="4">
                  <c:v>399.80392156862746</c:v>
                </c:pt>
              </c:numCache>
            </c:numRef>
          </c:val>
          <c:smooth val="0"/>
          <c:extLst>
            <c:ext xmlns:c16="http://schemas.microsoft.com/office/drawing/2014/chart" uri="{C3380CC4-5D6E-409C-BE32-E72D297353CC}">
              <c16:uniqueId val="{00000002-C1BB-4D08-941F-DD78957A933D}"/>
            </c:ext>
          </c:extLst>
        </c:ser>
        <c:ser>
          <c:idx val="2"/>
          <c:order val="2"/>
          <c:tx>
            <c:strRef>
              <c:f>'Children in Need'!$AL$43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Need'!$AM$43:$AQ$43</c:f>
              <c:numCache>
                <c:formatCode>0.0</c:formatCode>
                <c:ptCount val="5"/>
                <c:pt idx="0">
                  <c:v>227.33389402859547</c:v>
                </c:pt>
                <c:pt idx="1">
                  <c:v>218.49087893864015</c:v>
                </c:pt>
                <c:pt idx="2">
                  <c:v>275.20458265139115</c:v>
                </c:pt>
                <c:pt idx="3">
                  <c:v>301.70593013809912</c:v>
                </c:pt>
                <c:pt idx="4">
                  <c:v>268.54384553499597</c:v>
                </c:pt>
              </c:numCache>
            </c:numRef>
          </c:val>
          <c:smooth val="0"/>
          <c:extLst>
            <c:ext xmlns:c16="http://schemas.microsoft.com/office/drawing/2014/chart" uri="{C3380CC4-5D6E-409C-BE32-E72D297353CC}">
              <c16:uniqueId val="{00000003-C1BB-4D08-941F-DD78957A933D}"/>
            </c:ext>
          </c:extLst>
        </c:ser>
        <c:ser>
          <c:idx val="5"/>
          <c:order val="3"/>
          <c:tx>
            <c:strRef>
              <c:f>'Children in Need'!$AL$44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Need'!$AM$44:$AQ$44</c:f>
              <c:numCache>
                <c:formatCode>0.0</c:formatCode>
                <c:ptCount val="5"/>
                <c:pt idx="0">
                  <c:v>317.93168880455408</c:v>
                </c:pt>
                <c:pt idx="1">
                  <c:v>283.19169027384328</c:v>
                </c:pt>
                <c:pt idx="2">
                  <c:v>296.50613786591123</c:v>
                </c:pt>
                <c:pt idx="3">
                  <c:v>295.66037735849056</c:v>
                </c:pt>
                <c:pt idx="4">
                  <c:v>294.64285714285711</c:v>
                </c:pt>
              </c:numCache>
            </c:numRef>
          </c:val>
          <c:smooth val="0"/>
          <c:extLst>
            <c:ext xmlns:c16="http://schemas.microsoft.com/office/drawing/2014/chart" uri="{C3380CC4-5D6E-409C-BE32-E72D297353CC}">
              <c16:uniqueId val="{00000004-C1BB-4D08-941F-DD78957A933D}"/>
            </c:ext>
          </c:extLst>
        </c:ser>
        <c:ser>
          <c:idx val="9"/>
          <c:order val="4"/>
          <c:tx>
            <c:strRef>
              <c:f>'Children in Need'!$AL$45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Need'!$AM$45:$AQ$45</c:f>
              <c:numCache>
                <c:formatCode>0.0</c:formatCode>
                <c:ptCount val="5"/>
                <c:pt idx="0">
                  <c:v>277.72646536412077</c:v>
                </c:pt>
                <c:pt idx="1">
                  <c:v>309.7552323518978</c:v>
                </c:pt>
                <c:pt idx="2">
                  <c:v>308.09759547383311</c:v>
                </c:pt>
                <c:pt idx="3">
                  <c:v>292.44617013766327</c:v>
                </c:pt>
                <c:pt idx="4">
                  <c:v>302.28873239436621</c:v>
                </c:pt>
              </c:numCache>
            </c:numRef>
          </c:val>
          <c:smooth val="0"/>
          <c:extLst>
            <c:ext xmlns:c16="http://schemas.microsoft.com/office/drawing/2014/chart" uri="{C3380CC4-5D6E-409C-BE32-E72D297353CC}">
              <c16:uniqueId val="{00000005-C1BB-4D08-941F-DD78957A933D}"/>
            </c:ext>
          </c:extLst>
        </c:ser>
        <c:ser>
          <c:idx val="10"/>
          <c:order val="5"/>
          <c:tx>
            <c:strRef>
              <c:f>'Children in Need'!$AL$46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Need'!$AM$46:$AQ$46</c:f>
              <c:numCache>
                <c:formatCode>0.0</c:formatCode>
                <c:ptCount val="5"/>
                <c:pt idx="0">
                  <c:v>428.23529411764707</c:v>
                </c:pt>
                <c:pt idx="1">
                  <c:v>514.62450592885375</c:v>
                </c:pt>
                <c:pt idx="2">
                  <c:v>494.84126984126982</c:v>
                </c:pt>
                <c:pt idx="3">
                  <c:v>490.03984063745014</c:v>
                </c:pt>
                <c:pt idx="4">
                  <c:v>473.09236947791163</c:v>
                </c:pt>
              </c:numCache>
            </c:numRef>
          </c:val>
          <c:smooth val="0"/>
          <c:extLst>
            <c:ext xmlns:c16="http://schemas.microsoft.com/office/drawing/2014/chart" uri="{C3380CC4-5D6E-409C-BE32-E72D297353CC}">
              <c16:uniqueId val="{00000006-C1BB-4D08-941F-DD78957A933D}"/>
            </c:ext>
          </c:extLst>
        </c:ser>
        <c:ser>
          <c:idx val="11"/>
          <c:order val="6"/>
          <c:tx>
            <c:strRef>
              <c:f>'Children in Need'!$AL$47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Need'!$AM$47:$AQ$47</c:f>
              <c:numCache>
                <c:formatCode>0.0</c:formatCode>
                <c:ptCount val="5"/>
                <c:pt idx="0">
                  <c:v>279.68321657021016</c:v>
                </c:pt>
                <c:pt idx="1">
                  <c:v>281.17433414043586</c:v>
                </c:pt>
                <c:pt idx="2">
                  <c:v>300.45045045045043</c:v>
                </c:pt>
                <c:pt idx="3">
                  <c:v>298.09580481999404</c:v>
                </c:pt>
                <c:pt idx="4">
                  <c:v>304.91032049397239</c:v>
                </c:pt>
              </c:numCache>
            </c:numRef>
          </c:val>
          <c:smooth val="0"/>
          <c:extLst>
            <c:ext xmlns:c16="http://schemas.microsoft.com/office/drawing/2014/chart" uri="{C3380CC4-5D6E-409C-BE32-E72D297353CC}">
              <c16:uniqueId val="{00000007-C1BB-4D08-941F-DD78957A933D}"/>
            </c:ext>
          </c:extLst>
        </c:ser>
        <c:ser>
          <c:idx val="12"/>
          <c:order val="7"/>
          <c:tx>
            <c:strRef>
              <c:f>'Children in Need'!$AL$48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Need'!$AM$48:$AQ$48</c:f>
              <c:numCache>
                <c:formatCode>0.0</c:formatCode>
                <c:ptCount val="5"/>
                <c:pt idx="0">
                  <c:v>407.03999999999996</c:v>
                </c:pt>
                <c:pt idx="1">
                  <c:v>414.24050632911394</c:v>
                </c:pt>
                <c:pt idx="2">
                  <c:v>278.80690737833595</c:v>
                </c:pt>
                <c:pt idx="3">
                  <c:v>304.38184663536776</c:v>
                </c:pt>
                <c:pt idx="4">
                  <c:v>375.31055900621118</c:v>
                </c:pt>
              </c:numCache>
            </c:numRef>
          </c:val>
          <c:smooth val="0"/>
          <c:extLst>
            <c:ext xmlns:c16="http://schemas.microsoft.com/office/drawing/2014/chart" uri="{C3380CC4-5D6E-409C-BE32-E72D297353CC}">
              <c16:uniqueId val="{00000008-C1BB-4D08-941F-DD78957A933D}"/>
            </c:ext>
          </c:extLst>
        </c:ser>
        <c:ser>
          <c:idx val="13"/>
          <c:order val="8"/>
          <c:tx>
            <c:strRef>
              <c:f>'Children in Need'!$AL$49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Need'!$AM$49:$AQ$49</c:f>
              <c:numCache>
                <c:formatCode>0.0</c:formatCode>
                <c:ptCount val="5"/>
                <c:pt idx="0">
                  <c:v>242.94478527607362</c:v>
                </c:pt>
                <c:pt idx="1">
                  <c:v>261.72465960665659</c:v>
                </c:pt>
                <c:pt idx="2">
                  <c:v>301.78837555886736</c:v>
                </c:pt>
                <c:pt idx="3">
                  <c:v>277.21893491124263</c:v>
                </c:pt>
                <c:pt idx="4">
                  <c:v>315.66617862371885</c:v>
                </c:pt>
              </c:numCache>
            </c:numRef>
          </c:val>
          <c:smooth val="0"/>
          <c:extLst>
            <c:ext xmlns:c16="http://schemas.microsoft.com/office/drawing/2014/chart" uri="{C3380CC4-5D6E-409C-BE32-E72D297353CC}">
              <c16:uniqueId val="{00000009-C1BB-4D08-941F-DD78957A933D}"/>
            </c:ext>
          </c:extLst>
        </c:ser>
        <c:ser>
          <c:idx val="15"/>
          <c:order val="9"/>
          <c:tx>
            <c:strRef>
              <c:f>'Children in Need'!$AL$50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Need'!$AM$50:$AQ$50</c:f>
              <c:numCache>
                <c:formatCode>0.0</c:formatCode>
                <c:ptCount val="5"/>
                <c:pt idx="0">
                  <c:v>277.40793201133147</c:v>
                </c:pt>
                <c:pt idx="1">
                  <c:v>326.93935119887163</c:v>
                </c:pt>
                <c:pt idx="2">
                  <c:v>336.4590622813156</c:v>
                </c:pt>
                <c:pt idx="3">
                  <c:v>299.37238493723851</c:v>
                </c:pt>
                <c:pt idx="4">
                  <c:v>311.53314917127068</c:v>
                </c:pt>
              </c:numCache>
            </c:numRef>
          </c:val>
          <c:smooth val="0"/>
          <c:extLst>
            <c:ext xmlns:c16="http://schemas.microsoft.com/office/drawing/2014/chart" uri="{C3380CC4-5D6E-409C-BE32-E72D297353CC}">
              <c16:uniqueId val="{0000000A-C1BB-4D08-941F-DD78957A933D}"/>
            </c:ext>
          </c:extLst>
        </c:ser>
        <c:ser>
          <c:idx val="16"/>
          <c:order val="10"/>
          <c:tx>
            <c:strRef>
              <c:f>'Children in Need'!$AL$51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Need'!$AM$51:$AQ$51</c:f>
              <c:numCache>
                <c:formatCode>0.0</c:formatCode>
                <c:ptCount val="5"/>
                <c:pt idx="0">
                  <c:v>330.87557603686639</c:v>
                </c:pt>
                <c:pt idx="1">
                  <c:v>303.88127853881281</c:v>
                </c:pt>
                <c:pt idx="2">
                  <c:v>325.45454545454544</c:v>
                </c:pt>
                <c:pt idx="3">
                  <c:v>395.47511312217199</c:v>
                </c:pt>
                <c:pt idx="4">
                  <c:v>373.86363636363632</c:v>
                </c:pt>
              </c:numCache>
            </c:numRef>
          </c:val>
          <c:smooth val="0"/>
          <c:extLst>
            <c:ext xmlns:c16="http://schemas.microsoft.com/office/drawing/2014/chart" uri="{C3380CC4-5D6E-409C-BE32-E72D297353CC}">
              <c16:uniqueId val="{0000000B-C1BB-4D08-941F-DD78957A933D}"/>
            </c:ext>
          </c:extLst>
        </c:ser>
        <c:ser>
          <c:idx val="17"/>
          <c:order val="11"/>
          <c:tx>
            <c:strRef>
              <c:f>'Children in Need'!$AL$52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Need'!$AM$52:$AQ$52</c:f>
              <c:numCache>
                <c:formatCode>0.0</c:formatCode>
                <c:ptCount val="5"/>
                <c:pt idx="0">
                  <c:v>388.30083565459609</c:v>
                </c:pt>
                <c:pt idx="1">
                  <c:v>513.46153846153845</c:v>
                </c:pt>
                <c:pt idx="2">
                  <c:v>486.61202185792348</c:v>
                </c:pt>
                <c:pt idx="3">
                  <c:v>453.63881401617249</c:v>
                </c:pt>
                <c:pt idx="4">
                  <c:v>440.70080862533695</c:v>
                </c:pt>
              </c:numCache>
            </c:numRef>
          </c:val>
          <c:smooth val="0"/>
          <c:extLst>
            <c:ext xmlns:c16="http://schemas.microsoft.com/office/drawing/2014/chart" uri="{C3380CC4-5D6E-409C-BE32-E72D297353CC}">
              <c16:uniqueId val="{0000000C-C1BB-4D08-941F-DD78957A933D}"/>
            </c:ext>
          </c:extLst>
        </c:ser>
        <c:ser>
          <c:idx val="19"/>
          <c:order val="12"/>
          <c:tx>
            <c:strRef>
              <c:f>'Children in Need'!$AL$53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Need'!$AM$53:$AQ$53</c:f>
              <c:numCache>
                <c:formatCode>0.0</c:formatCode>
                <c:ptCount val="5"/>
                <c:pt idx="0">
                  <c:v>363.40852130325811</c:v>
                </c:pt>
                <c:pt idx="1">
                  <c:v>394.33497536945811</c:v>
                </c:pt>
                <c:pt idx="2">
                  <c:v>292.75362318840575</c:v>
                </c:pt>
                <c:pt idx="3">
                  <c:v>289.81042654028437</c:v>
                </c:pt>
                <c:pt idx="4">
                  <c:v>333.95784543325527</c:v>
                </c:pt>
              </c:numCache>
            </c:numRef>
          </c:val>
          <c:smooth val="0"/>
          <c:extLst>
            <c:ext xmlns:c16="http://schemas.microsoft.com/office/drawing/2014/chart" uri="{C3380CC4-5D6E-409C-BE32-E72D297353CC}">
              <c16:uniqueId val="{0000000D-C1BB-4D08-941F-DD78957A933D}"/>
            </c:ext>
          </c:extLst>
        </c:ser>
        <c:ser>
          <c:idx val="3"/>
          <c:order val="13"/>
          <c:tx>
            <c:strRef>
              <c:f>'Children in Need'!$AL$54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Need'!$AM$54:$AQ$54</c:f>
              <c:numCache>
                <c:formatCode>0.0</c:formatCode>
                <c:ptCount val="5"/>
                <c:pt idx="0">
                  <c:v>391.55188246097339</c:v>
                </c:pt>
                <c:pt idx="1">
                  <c:v>265.84249084249086</c:v>
                </c:pt>
                <c:pt idx="2">
                  <c:v>283.40929808568825</c:v>
                </c:pt>
                <c:pt idx="3">
                  <c:v>290.00908265213445</c:v>
                </c:pt>
                <c:pt idx="4">
                  <c:v>235.59168925022584</c:v>
                </c:pt>
              </c:numCache>
            </c:numRef>
          </c:val>
          <c:smooth val="0"/>
          <c:extLst>
            <c:ext xmlns:c16="http://schemas.microsoft.com/office/drawing/2014/chart" uri="{C3380CC4-5D6E-409C-BE32-E72D297353CC}">
              <c16:uniqueId val="{0000000E-C1BB-4D08-941F-DD78957A933D}"/>
            </c:ext>
          </c:extLst>
        </c:ser>
        <c:ser>
          <c:idx val="20"/>
          <c:order val="14"/>
          <c:tx>
            <c:strRef>
              <c:f>'Children in Need'!$AL$55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Need'!$AM$55:$AQ$55</c:f>
              <c:numCache>
                <c:formatCode>0.0</c:formatCode>
                <c:ptCount val="5"/>
                <c:pt idx="0">
                  <c:v>277.16049382716051</c:v>
                </c:pt>
                <c:pt idx="1">
                  <c:v>700.00000000000011</c:v>
                </c:pt>
                <c:pt idx="2">
                  <c:v>458.31663326653302</c:v>
                </c:pt>
                <c:pt idx="3">
                  <c:v>475.94433399602383</c:v>
                </c:pt>
                <c:pt idx="4">
                  <c:v>523.03149606299212</c:v>
                </c:pt>
              </c:numCache>
            </c:numRef>
          </c:val>
          <c:smooth val="0"/>
          <c:extLst>
            <c:ext xmlns:c16="http://schemas.microsoft.com/office/drawing/2014/chart" uri="{C3380CC4-5D6E-409C-BE32-E72D297353CC}">
              <c16:uniqueId val="{0000000F-C1BB-4D08-941F-DD78957A933D}"/>
            </c:ext>
          </c:extLst>
        </c:ser>
        <c:ser>
          <c:idx val="22"/>
          <c:order val="15"/>
          <c:tx>
            <c:strRef>
              <c:f>'Children in Need'!$AL$56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Need'!$AM$56:$AQ$56</c:f>
              <c:numCache>
                <c:formatCode>0.0</c:formatCode>
                <c:ptCount val="5"/>
                <c:pt idx="0">
                  <c:v>225.25530243519245</c:v>
                </c:pt>
                <c:pt idx="1">
                  <c:v>242.86271450858032</c:v>
                </c:pt>
                <c:pt idx="2">
                  <c:v>236.48648648648651</c:v>
                </c:pt>
                <c:pt idx="3">
                  <c:v>269.65040338071458</c:v>
                </c:pt>
                <c:pt idx="4">
                  <c:v>226.49866361206566</c:v>
                </c:pt>
              </c:numCache>
            </c:numRef>
          </c:val>
          <c:smooth val="0"/>
          <c:extLst>
            <c:ext xmlns:c16="http://schemas.microsoft.com/office/drawing/2014/chart" uri="{C3380CC4-5D6E-409C-BE32-E72D297353CC}">
              <c16:uniqueId val="{00000010-C1BB-4D08-941F-DD78957A933D}"/>
            </c:ext>
          </c:extLst>
        </c:ser>
        <c:ser>
          <c:idx val="7"/>
          <c:order val="16"/>
          <c:tx>
            <c:strRef>
              <c:f>'Children in Need'!$AL$57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'Children in Need'!$Z$2:$AD$3</c:f>
              <c:strCache>
                <c:ptCount val="5"/>
                <c:pt idx="0">
                  <c:v>2014-15</c:v>
                </c:pt>
                <c:pt idx="1">
                  <c:v>2015-16</c:v>
                </c:pt>
                <c:pt idx="2">
                  <c:v>2016-17</c:v>
                </c:pt>
                <c:pt idx="3">
                  <c:v>2017-18</c:v>
                </c:pt>
                <c:pt idx="4">
                  <c:v>2018-19</c:v>
                </c:pt>
              </c:strCache>
            </c:strRef>
          </c:cat>
          <c:val>
            <c:numRef>
              <c:f>'Children in Need'!$AM$57:$AQ$57</c:f>
              <c:numCache>
                <c:formatCode>0.0</c:formatCode>
                <c:ptCount val="5"/>
                <c:pt idx="0">
                  <c:v>386.62551440329219</c:v>
                </c:pt>
                <c:pt idx="1">
                  <c:v>401.63265306122452</c:v>
                </c:pt>
                <c:pt idx="2">
                  <c:v>387.67676767676772</c:v>
                </c:pt>
                <c:pt idx="3">
                  <c:v>543.68737474949899</c:v>
                </c:pt>
                <c:pt idx="4">
                  <c:v>453.58565737051794</c:v>
                </c:pt>
              </c:numCache>
            </c:numRef>
          </c:val>
          <c:smooth val="0"/>
          <c:extLst>
            <c:ext xmlns:c16="http://schemas.microsoft.com/office/drawing/2014/chart" uri="{C3380CC4-5D6E-409C-BE32-E72D297353CC}">
              <c16:uniqueId val="{00000011-C1BB-4D08-941F-DD78957A933D}"/>
            </c:ext>
          </c:extLst>
        </c:ser>
        <c:ser>
          <c:idx val="8"/>
          <c:order val="17"/>
          <c:tx>
            <c:strRef>
              <c:f>'Children in Need'!$AL$58</c:f>
              <c:strCache>
                <c:ptCount val="1"/>
                <c:pt idx="0">
                  <c:v>Torbay</c:v>
                </c:pt>
              </c:strCache>
            </c:strRef>
          </c:tx>
          <c:spPr>
            <a:ln w="15875"/>
          </c:spPr>
          <c:marker>
            <c:symbol val="circle"/>
            <c:size val="5"/>
            <c:spPr>
              <a:solidFill>
                <a:schemeClr val="accent3">
                  <a:lumMod val="20000"/>
                  <a:lumOff val="80000"/>
                </a:schemeClr>
              </a:solidFill>
            </c:spPr>
          </c:marker>
          <c:cat>
            <c:strRef>
              <c:f>'Children in Need'!$Z$2:$AD$3</c:f>
              <c:strCache>
                <c:ptCount val="5"/>
                <c:pt idx="0">
                  <c:v>2014-15</c:v>
                </c:pt>
                <c:pt idx="1">
                  <c:v>2015-16</c:v>
                </c:pt>
                <c:pt idx="2">
                  <c:v>2016-17</c:v>
                </c:pt>
                <c:pt idx="3">
                  <c:v>2017-18</c:v>
                </c:pt>
                <c:pt idx="4">
                  <c:v>2018-19</c:v>
                </c:pt>
              </c:strCache>
            </c:strRef>
          </c:cat>
          <c:val>
            <c:numRef>
              <c:f>'Children in Need'!$AM$58:$AQ$58</c:f>
              <c:numCache>
                <c:formatCode>0.0</c:formatCode>
                <c:ptCount val="5"/>
                <c:pt idx="0">
                  <c:v>619.52191235059763</c:v>
                </c:pt>
                <c:pt idx="1">
                  <c:v>468.25396825396825</c:v>
                </c:pt>
                <c:pt idx="2">
                  <c:v>470.8661417322835</c:v>
                </c:pt>
                <c:pt idx="3">
                  <c:v>456.29921259842519</c:v>
                </c:pt>
                <c:pt idx="4">
                  <c:v>420.0787401574803</c:v>
                </c:pt>
              </c:numCache>
            </c:numRef>
          </c:val>
          <c:smooth val="0"/>
          <c:extLst>
            <c:ext xmlns:c16="http://schemas.microsoft.com/office/drawing/2014/chart" uri="{C3380CC4-5D6E-409C-BE32-E72D297353CC}">
              <c16:uniqueId val="{00000012-C1BB-4D08-941F-DD78957A933D}"/>
            </c:ext>
          </c:extLst>
        </c:ser>
        <c:ser>
          <c:idx val="23"/>
          <c:order val="18"/>
          <c:tx>
            <c:strRef>
              <c:f>'Children in Need'!$AL$59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Need'!$AM$59:$AQ$59</c:f>
              <c:numCache>
                <c:formatCode>0.0</c:formatCode>
                <c:ptCount val="5"/>
                <c:pt idx="0">
                  <c:v>268.25842696629218</c:v>
                </c:pt>
                <c:pt idx="1">
                  <c:v>295.23809523809524</c:v>
                </c:pt>
                <c:pt idx="2">
                  <c:v>274.09470752089135</c:v>
                </c:pt>
                <c:pt idx="3">
                  <c:v>285.19553072625695</c:v>
                </c:pt>
                <c:pt idx="4">
                  <c:v>299.15730337078651</c:v>
                </c:pt>
              </c:numCache>
            </c:numRef>
          </c:val>
          <c:smooth val="0"/>
          <c:extLst>
            <c:ext xmlns:c16="http://schemas.microsoft.com/office/drawing/2014/chart" uri="{C3380CC4-5D6E-409C-BE32-E72D297353CC}">
              <c16:uniqueId val="{00000013-C1BB-4D08-941F-DD78957A933D}"/>
            </c:ext>
          </c:extLst>
        </c:ser>
        <c:ser>
          <c:idx val="24"/>
          <c:order val="19"/>
          <c:tx>
            <c:strRef>
              <c:f>'Children in Need'!$AL$60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Need'!$AM$60:$AQ$60</c:f>
              <c:numCache>
                <c:formatCode>0.0</c:formatCode>
                <c:ptCount val="5"/>
                <c:pt idx="0">
                  <c:v>282.34597156398104</c:v>
                </c:pt>
                <c:pt idx="1">
                  <c:v>227.52347417840377</c:v>
                </c:pt>
                <c:pt idx="2">
                  <c:v>279.51105937136208</c:v>
                </c:pt>
                <c:pt idx="3">
                  <c:v>417.36872475476054</c:v>
                </c:pt>
                <c:pt idx="4">
                  <c:v>268.9753863766457</c:v>
                </c:pt>
              </c:numCache>
            </c:numRef>
          </c:val>
          <c:smooth val="0"/>
          <c:extLst>
            <c:ext xmlns:c16="http://schemas.microsoft.com/office/drawing/2014/chart" uri="{C3380CC4-5D6E-409C-BE32-E72D297353CC}">
              <c16:uniqueId val="{00000014-C1BB-4D08-941F-DD78957A933D}"/>
            </c:ext>
          </c:extLst>
        </c:ser>
        <c:ser>
          <c:idx val="25"/>
          <c:order val="20"/>
          <c:tx>
            <c:strRef>
              <c:f>'Children in Need'!$AL$61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Need'!$AM$61:$AQ$61</c:f>
              <c:numCache>
                <c:formatCode>0.0</c:formatCode>
                <c:ptCount val="5"/>
                <c:pt idx="0">
                  <c:v>251.79640718562877</c:v>
                </c:pt>
                <c:pt idx="1">
                  <c:v>300.593471810089</c:v>
                </c:pt>
                <c:pt idx="2">
                  <c:v>280.40935672514621</c:v>
                </c:pt>
                <c:pt idx="3">
                  <c:v>222.96511627906978</c:v>
                </c:pt>
                <c:pt idx="4">
                  <c:v>213.00578034682081</c:v>
                </c:pt>
              </c:numCache>
            </c:numRef>
          </c:val>
          <c:smooth val="0"/>
          <c:extLst>
            <c:ext xmlns:c16="http://schemas.microsoft.com/office/drawing/2014/chart" uri="{C3380CC4-5D6E-409C-BE32-E72D297353CC}">
              <c16:uniqueId val="{00000015-C1BB-4D08-941F-DD78957A933D}"/>
            </c:ext>
          </c:extLst>
        </c:ser>
        <c:ser>
          <c:idx val="26"/>
          <c:order val="21"/>
          <c:tx>
            <c:strRef>
              <c:f>'Children in Need'!$AL$62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Need'!$AM$62:$AQ$62</c:f>
              <c:numCache>
                <c:formatCode>0.0</c:formatCode>
                <c:ptCount val="5"/>
                <c:pt idx="0">
                  <c:v>141.73441734417344</c:v>
                </c:pt>
                <c:pt idx="1">
                  <c:v>150.93833780160858</c:v>
                </c:pt>
                <c:pt idx="2">
                  <c:v>175.52631578947367</c:v>
                </c:pt>
                <c:pt idx="3">
                  <c:v>250.3875968992248</c:v>
                </c:pt>
                <c:pt idx="4">
                  <c:v>227.34177215189874</c:v>
                </c:pt>
              </c:numCache>
            </c:numRef>
          </c:val>
          <c:smooth val="0"/>
          <c:extLst>
            <c:ext xmlns:c16="http://schemas.microsoft.com/office/drawing/2014/chart" uri="{C3380CC4-5D6E-409C-BE32-E72D297353CC}">
              <c16:uniqueId val="{00000016-C1BB-4D08-941F-DD78957A933D}"/>
            </c:ext>
          </c:extLst>
        </c:ser>
        <c:ser>
          <c:idx val="4"/>
          <c:order val="22"/>
          <c:tx>
            <c:strRef>
              <c:f>'Children in Need'!$AL$63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'Children in Need'!$Z$2:$AD$3</c:f>
              <c:strCache>
                <c:ptCount val="5"/>
                <c:pt idx="0">
                  <c:v>2014-15</c:v>
                </c:pt>
                <c:pt idx="1">
                  <c:v>2015-16</c:v>
                </c:pt>
                <c:pt idx="2">
                  <c:v>2016-17</c:v>
                </c:pt>
                <c:pt idx="3">
                  <c:v>2017-18</c:v>
                </c:pt>
                <c:pt idx="4">
                  <c:v>2018-19</c:v>
                </c:pt>
              </c:strCache>
            </c:strRef>
          </c:cat>
          <c:val>
            <c:numRef>
              <c:f>'Children in Need'!$AM$63:$AQ$63</c:f>
              <c:numCache>
                <c:formatCode>0.0</c:formatCode>
                <c:ptCount val="5"/>
                <c:pt idx="0">
                  <c:v>283.02877546733879</c:v>
                </c:pt>
                <c:pt idx="1">
                  <c:v>302.95605025806788</c:v>
                </c:pt>
                <c:pt idx="2">
                  <c:v>302.46753918576377</c:v>
                </c:pt>
                <c:pt idx="3">
                  <c:v>317.50604454961672</c:v>
                </c:pt>
                <c:pt idx="4">
                  <c:v>303.82139572902832</c:v>
                </c:pt>
              </c:numCache>
            </c:numRef>
          </c:val>
          <c:smooth val="0"/>
          <c:extLst>
            <c:ext xmlns:c16="http://schemas.microsoft.com/office/drawing/2014/chart" uri="{C3380CC4-5D6E-409C-BE32-E72D297353CC}">
              <c16:uniqueId val="{00000017-C1BB-4D08-941F-DD78957A933D}"/>
            </c:ext>
          </c:extLst>
        </c:ser>
        <c:ser>
          <c:idx val="14"/>
          <c:order val="23"/>
          <c:tx>
            <c:strRef>
              <c:f>'Children in Need'!$AL$64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'Children in Need'!$Z$2:$AD$3</c:f>
              <c:strCache>
                <c:ptCount val="5"/>
                <c:pt idx="0">
                  <c:v>2014-15</c:v>
                </c:pt>
                <c:pt idx="1">
                  <c:v>2015-16</c:v>
                </c:pt>
                <c:pt idx="2">
                  <c:v>2016-17</c:v>
                </c:pt>
                <c:pt idx="3">
                  <c:v>2017-18</c:v>
                </c:pt>
                <c:pt idx="4">
                  <c:v>2018-19</c:v>
                </c:pt>
              </c:strCache>
            </c:strRef>
          </c:cat>
          <c:val>
            <c:numRef>
              <c:f>'Children in Need'!$AM$64:$AQ$64</c:f>
              <c:numCache>
                <c:formatCode>0.0</c:formatCode>
                <c:ptCount val="5"/>
                <c:pt idx="0">
                  <c:v>337.31031686465315</c:v>
                </c:pt>
                <c:pt idx="1">
                  <c:v>337.73195523167698</c:v>
                </c:pt>
                <c:pt idx="2">
                  <c:v>330.43706990912409</c:v>
                </c:pt>
                <c:pt idx="3">
                  <c:v>341.03817308502573</c:v>
                </c:pt>
                <c:pt idx="4">
                  <c:v>334.18934970638912</c:v>
                </c:pt>
              </c:numCache>
            </c:numRef>
          </c:val>
          <c:smooth val="0"/>
          <c:extLst>
            <c:ext xmlns:c16="http://schemas.microsoft.com/office/drawing/2014/chart" uri="{C3380CC4-5D6E-409C-BE32-E72D297353CC}">
              <c16:uniqueId val="{00000018-C1BB-4D08-941F-DD78957A933D}"/>
            </c:ext>
          </c:extLst>
        </c:ser>
        <c:ser>
          <c:idx val="6"/>
          <c:order val="24"/>
          <c:tx>
            <c:strRef>
              <c:f>'Children in Need'!$AL$65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'Children in Need'!$Z$2:$AD$3</c:f>
              <c:strCache>
                <c:ptCount val="5"/>
                <c:pt idx="0">
                  <c:v>2014-15</c:v>
                </c:pt>
                <c:pt idx="1">
                  <c:v>2015-16</c:v>
                </c:pt>
                <c:pt idx="2">
                  <c:v>2016-17</c:v>
                </c:pt>
                <c:pt idx="3">
                  <c:v>2017-18</c:v>
                </c:pt>
                <c:pt idx="4">
                  <c:v>2018-19</c:v>
                </c:pt>
              </c:strCache>
            </c:strRef>
          </c:cat>
          <c:val>
            <c:numRef>
              <c:f>'Children in Need'!$AM$65:$AQ$65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1BB-4D08-941F-DD78957A933D}"/>
            </c:ext>
          </c:extLst>
        </c:ser>
        <c:dLbls>
          <c:showLegendKey val="0"/>
          <c:showVal val="0"/>
          <c:showCatName val="0"/>
          <c:showSerName val="0"/>
          <c:showPercent val="0"/>
          <c:showBubbleSize val="0"/>
        </c:dLbls>
        <c:marker val="1"/>
        <c:smooth val="0"/>
        <c:axId val="248446976"/>
        <c:axId val="248448896"/>
      </c:lineChart>
      <c:catAx>
        <c:axId val="2484469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448896"/>
        <c:crosses val="autoZero"/>
        <c:auto val="1"/>
        <c:lblAlgn val="ctr"/>
        <c:lblOffset val="100"/>
        <c:tickLblSkip val="1"/>
        <c:tickMarkSkip val="1"/>
        <c:noMultiLvlLbl val="0"/>
      </c:catAx>
      <c:valAx>
        <c:axId val="24844889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446976"/>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a:t>
            </a:r>
            <a:r>
              <a:rPr lang="en-GB" baseline="0"/>
              <a:t> in Need </a:t>
            </a:r>
            <a:r>
              <a:rPr lang="en-GB"/>
              <a:t>(Selected LA</a:t>
            </a:r>
            <a:r>
              <a:rPr lang="en-GB" baseline="0"/>
              <a:t> vs. SE)</a:t>
            </a:r>
            <a:r>
              <a:rPr lang="en-GB"/>
              <a:t> </a:t>
            </a:r>
          </a:p>
        </c:rich>
      </c:tx>
      <c:layout>
        <c:manualLayout>
          <c:xMode val="edge"/>
          <c:yMode val="edge"/>
          <c:x val="0.15863149973386192"/>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155578606566395"/>
        </c:manualLayout>
      </c:layout>
      <c:barChart>
        <c:barDir val="col"/>
        <c:grouping val="clustered"/>
        <c:varyColors val="0"/>
        <c:ser>
          <c:idx val="6"/>
          <c:order val="0"/>
          <c:tx>
            <c:strRef>
              <c:f>'Children in Need'!$AA$4</c:f>
              <c:strCache>
                <c:ptCount val="1"/>
                <c:pt idx="0">
                  <c:v>Selected LA- (none)</c:v>
                </c:pt>
              </c:strCache>
            </c:strRef>
          </c:tx>
          <c:spPr>
            <a:solidFill>
              <a:srgbClr val="66FF99"/>
            </a:solidFill>
            <a:ln>
              <a:solidFill>
                <a:schemeClr val="tx1">
                  <a:lumMod val="75000"/>
                  <a:lumOff val="25000"/>
                </a:schemeClr>
              </a:solidFill>
            </a:ln>
          </c:spPr>
          <c:invertIfNegative val="0"/>
          <c:cat>
            <c:strRef>
              <c:f>'Children in Need'!$Z$2:$AD$3</c:f>
              <c:strCache>
                <c:ptCount val="5"/>
                <c:pt idx="0">
                  <c:v>2014-15</c:v>
                </c:pt>
                <c:pt idx="1">
                  <c:v>2015-16</c:v>
                </c:pt>
                <c:pt idx="2">
                  <c:v>2016-17</c:v>
                </c:pt>
                <c:pt idx="3">
                  <c:v>2017-18</c:v>
                </c:pt>
                <c:pt idx="4">
                  <c:v>2018-19</c:v>
                </c:pt>
              </c:strCache>
            </c:strRef>
          </c:cat>
          <c:val>
            <c:numRef>
              <c:f>'Children in Need'!$AM$65:$AQ$65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968-476D-95FE-F657ECF24F9F}"/>
            </c:ext>
          </c:extLst>
        </c:ser>
        <c:ser>
          <c:idx val="4"/>
          <c:order val="1"/>
          <c:tx>
            <c:strRef>
              <c:f>'Children in Need'!$B$32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'Children in Need'!$Z$2:$AD$3</c:f>
              <c:strCache>
                <c:ptCount val="5"/>
                <c:pt idx="0">
                  <c:v>2014-15</c:v>
                </c:pt>
                <c:pt idx="1">
                  <c:v>2015-16</c:v>
                </c:pt>
                <c:pt idx="2">
                  <c:v>2016-17</c:v>
                </c:pt>
                <c:pt idx="3">
                  <c:v>2017-18</c:v>
                </c:pt>
                <c:pt idx="4">
                  <c:v>2018-19</c:v>
                </c:pt>
              </c:strCache>
            </c:strRef>
          </c:cat>
          <c:val>
            <c:numRef>
              <c:f>'Children in Need'!$K$32:$O$32</c:f>
              <c:numCache>
                <c:formatCode>0.0</c:formatCode>
                <c:ptCount val="5"/>
                <c:pt idx="0">
                  <c:v>283.02877546733879</c:v>
                </c:pt>
                <c:pt idx="1">
                  <c:v>302.95605025806788</c:v>
                </c:pt>
                <c:pt idx="2">
                  <c:v>302.46753918576377</c:v>
                </c:pt>
                <c:pt idx="3">
                  <c:v>317.50604454961672</c:v>
                </c:pt>
                <c:pt idx="4">
                  <c:v>303.82139572902832</c:v>
                </c:pt>
              </c:numCache>
            </c:numRef>
          </c:val>
          <c:extLst>
            <c:ext xmlns:c16="http://schemas.microsoft.com/office/drawing/2014/chart" uri="{C3380CC4-5D6E-409C-BE32-E72D297353CC}">
              <c16:uniqueId val="{00000001-7968-476D-95FE-F657ECF24F9F}"/>
            </c:ext>
          </c:extLst>
        </c:ser>
        <c:ser>
          <c:idx val="0"/>
          <c:order val="2"/>
          <c:tx>
            <c:strRef>
              <c:f>'Children in Need'!$B$33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'Children in Need'!$Z$2:$AD$3</c:f>
              <c:strCache>
                <c:ptCount val="5"/>
                <c:pt idx="0">
                  <c:v>2014-15</c:v>
                </c:pt>
                <c:pt idx="1">
                  <c:v>2015-16</c:v>
                </c:pt>
                <c:pt idx="2">
                  <c:v>2016-17</c:v>
                </c:pt>
                <c:pt idx="3">
                  <c:v>2017-18</c:v>
                </c:pt>
                <c:pt idx="4">
                  <c:v>2018-19</c:v>
                </c:pt>
              </c:strCache>
            </c:strRef>
          </c:cat>
          <c:val>
            <c:numRef>
              <c:f>'Children in Need'!$K$33:$O$33</c:f>
              <c:numCache>
                <c:formatCode>0.0</c:formatCode>
                <c:ptCount val="5"/>
                <c:pt idx="0">
                  <c:v>337.31031686465315</c:v>
                </c:pt>
                <c:pt idx="1">
                  <c:v>337.73195523167698</c:v>
                </c:pt>
                <c:pt idx="2">
                  <c:v>330.43706990912409</c:v>
                </c:pt>
                <c:pt idx="3">
                  <c:v>341.03817308502573</c:v>
                </c:pt>
                <c:pt idx="4">
                  <c:v>334.18934970638912</c:v>
                </c:pt>
              </c:numCache>
            </c:numRef>
          </c:val>
          <c:extLst>
            <c:ext xmlns:c16="http://schemas.microsoft.com/office/drawing/2014/chart" uri="{C3380CC4-5D6E-409C-BE32-E72D297353CC}">
              <c16:uniqueId val="{00000002-7968-476D-95FE-F657ECF24F9F}"/>
            </c:ext>
          </c:extLst>
        </c:ser>
        <c:dLbls>
          <c:showLegendKey val="0"/>
          <c:showVal val="0"/>
          <c:showCatName val="0"/>
          <c:showSerName val="0"/>
          <c:showPercent val="0"/>
          <c:showBubbleSize val="0"/>
        </c:dLbls>
        <c:gapWidth val="100"/>
        <c:axId val="248479744"/>
        <c:axId val="248481280"/>
      </c:barChart>
      <c:catAx>
        <c:axId val="248479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481280"/>
        <c:crosses val="autoZero"/>
        <c:auto val="1"/>
        <c:lblAlgn val="ctr"/>
        <c:lblOffset val="100"/>
        <c:noMultiLvlLbl val="0"/>
      </c:catAx>
      <c:valAx>
        <c:axId val="24848128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479744"/>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Children in Need</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'Children in Need'!$U$9</c:f>
              <c:strCache>
                <c:ptCount val="1"/>
                <c:pt idx="0">
                  <c:v>Distance</c:v>
                </c:pt>
              </c:strCache>
            </c:strRef>
          </c:tx>
          <c:spPr>
            <a:solidFill>
              <a:srgbClr val="FB994F"/>
            </a:solidFill>
            <a:ln w="25400">
              <a:noFill/>
            </a:ln>
          </c:spPr>
          <c:invertIfNegative val="0"/>
          <c:cat>
            <c:strRef>
              <c:f>'Children in Need'!$Y$77:$Y$100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Need'!$U$10:$U$33</c:f>
              <c:numCache>
                <c:formatCode>0.0</c:formatCode>
                <c:ptCount val="24"/>
                <c:pt idx="0">
                  <c:v>97.277577406281921</c:v>
                </c:pt>
                <c:pt idx="1">
                  <c:v>61.409168385935516</c:v>
                </c:pt>
                <c:pt idx="2">
                  <c:v>1.4652545571523774</c:v>
                </c:pt>
                <c:pt idx="3">
                  <c:v>-52.142032769816979</c:v>
                </c:pt>
                <c:pt idx="4">
                  <c:v>18.429867956558269</c:v>
                </c:pt>
                <c:pt idx="5">
                  <c:v>106.3809048315299</c:v>
                </c:pt>
                <c:pt idx="6">
                  <c:v>-38.728268144958349</c:v>
                </c:pt>
                <c:pt idx="7">
                  <c:v>-0.83980946140042079</c:v>
                </c:pt>
                <c:pt idx="8">
                  <c:v>-19.582273285229746</c:v>
                </c:pt>
                <c:pt idx="9">
                  <c:v>27.674284733462741</c:v>
                </c:pt>
                <c:pt idx="10">
                  <c:v>-15.92070429019634</c:v>
                </c:pt>
                <c:pt idx="11">
                  <c:v>94.964685803910641</c:v>
                </c:pt>
                <c:pt idx="12">
                  <c:v>1.8556947980499672</c:v>
                </c:pt>
                <c:pt idx="13">
                  <c:v>-84.974023381254028</c:v>
                </c:pt>
                <c:pt idx="14">
                  <c:v>130.10085413541617</c:v>
                </c:pt>
                <c:pt idx="15">
                  <c:v>-38.482393183282426</c:v>
                </c:pt>
                <c:pt idx="16">
                  <c:v>119.38597255281712</c:v>
                </c:pt>
                <c:pt idx="17">
                  <c:v>12.465358952435622</c:v>
                </c:pt>
                <c:pt idx="18">
                  <c:v>29.98117821044741</c:v>
                </c:pt>
                <c:pt idx="19">
                  <c:v>-24.322381882392165</c:v>
                </c:pt>
                <c:pt idx="20">
                  <c:v>-35.195002988562919</c:v>
                </c:pt>
                <c:pt idx="21">
                  <c:v>-9.3225731797595586</c:v>
                </c:pt>
                <c:pt idx="22">
                  <c:v>-3.8577826788974221</c:v>
                </c:pt>
                <c:pt idx="23">
                  <c:v>-22.919744040064643</c:v>
                </c:pt>
              </c:numCache>
            </c:numRef>
          </c:val>
          <c:extLst>
            <c:ext xmlns:c16="http://schemas.microsoft.com/office/drawing/2014/chart" uri="{C3380CC4-5D6E-409C-BE32-E72D297353CC}">
              <c16:uniqueId val="{00000000-4661-4B40-9008-8F8C471E0DF2}"/>
            </c:ext>
          </c:extLst>
        </c:ser>
        <c:ser>
          <c:idx val="0"/>
          <c:order val="1"/>
          <c:tx>
            <c:strRef>
              <c:f>'Children in Need'!$AA$4</c:f>
              <c:strCache>
                <c:ptCount val="1"/>
                <c:pt idx="0">
                  <c:v>Selected LA- (none)</c:v>
                </c:pt>
              </c:strCache>
            </c:strRef>
          </c:tx>
          <c:spPr>
            <a:solidFill>
              <a:srgbClr val="66FF99"/>
            </a:solidFill>
            <a:ln w="12700">
              <a:solidFill>
                <a:srgbClr val="000000"/>
              </a:solidFill>
              <a:prstDash val="solid"/>
            </a:ln>
          </c:spPr>
          <c:invertIfNegative val="0"/>
          <c:cat>
            <c:strRef>
              <c:f>'Children in Need'!$Y$77:$Y$100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4661-4B40-9008-8F8C471E0DF2}"/>
            </c:ext>
          </c:extLst>
        </c:ser>
        <c:dLbls>
          <c:showLegendKey val="0"/>
          <c:showVal val="0"/>
          <c:showCatName val="0"/>
          <c:showSerName val="0"/>
          <c:showPercent val="0"/>
          <c:showBubbleSize val="0"/>
        </c:dLbls>
        <c:gapWidth val="40"/>
        <c:overlap val="100"/>
        <c:axId val="248790016"/>
        <c:axId val="248791808"/>
      </c:barChart>
      <c:catAx>
        <c:axId val="24879001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791808"/>
        <c:crossesAt val="0"/>
        <c:auto val="1"/>
        <c:lblAlgn val="ctr"/>
        <c:lblOffset val="100"/>
        <c:noMultiLvlLbl val="0"/>
      </c:catAx>
      <c:valAx>
        <c:axId val="24879180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790016"/>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'Children in Need'!$AL$5</c:f>
          <c:strCache>
            <c:ptCount val="1"/>
            <c:pt idx="0">
              <c:v>Average Annual Change in Number of Children in Need</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'Children in Need'!$I$7</c:f>
              <c:strCache>
                <c:ptCount val="1"/>
                <c:pt idx="0">
                  <c:v>Average Annual Change </c:v>
                </c:pt>
              </c:strCache>
            </c:strRef>
          </c:tx>
          <c:spPr>
            <a:solidFill>
              <a:srgbClr val="FB994F"/>
            </a:solidFill>
            <a:ln w="25400">
              <a:noFill/>
            </a:ln>
          </c:spPr>
          <c:invertIfNegative val="0"/>
          <c:cat>
            <c:strRef>
              <c:f>'Children in Need'!$B$10:$B$33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Need'!$I$10:$I$33</c:f>
              <c:numCache>
                <c:formatCode>0.0%</c:formatCode>
                <c:ptCount val="24"/>
                <c:pt idx="0">
                  <c:v>8.837293581559931E-2</c:v>
                </c:pt>
                <c:pt idx="1">
                  <c:v>-4.6802627501769362E-2</c:v>
                </c:pt>
                <c:pt idx="2">
                  <c:v>6.3564035658189508E-2</c:v>
                </c:pt>
                <c:pt idx="3">
                  <c:v>-1.4904836438433664E-2</c:v>
                </c:pt>
                <c:pt idx="4">
                  <c:v>2.5455451838563174E-2</c:v>
                </c:pt>
                <c:pt idx="5">
                  <c:v>2.3538961871494964E-2</c:v>
                </c:pt>
                <c:pt idx="6">
                  <c:v>3.1289839519421728E-2</c:v>
                </c:pt>
                <c:pt idx="7">
                  <c:v>1.1324918227337069E-2</c:v>
                </c:pt>
                <c:pt idx="8">
                  <c:v>8.4651075821907062E-2</c:v>
                </c:pt>
                <c:pt idx="9">
                  <c:v>4.1081747619870546E-2</c:v>
                </c:pt>
                <c:pt idx="10">
                  <c:v>4.1127230916969834E-2</c:v>
                </c:pt>
                <c:pt idx="11">
                  <c:v>5.252907164158839E-2</c:v>
                </c:pt>
                <c:pt idx="12">
                  <c:v>9.0564947330179363E-3</c:v>
                </c:pt>
                <c:pt idx="13">
                  <c:v>-0.10110443383595494</c:v>
                </c:pt>
                <c:pt idx="14">
                  <c:v>0.34437261508774875</c:v>
                </c:pt>
                <c:pt idx="15">
                  <c:v>1.5125638407443562E-2</c:v>
                </c:pt>
                <c:pt idx="16">
                  <c:v>6.8879176892002597E-2</c:v>
                </c:pt>
                <c:pt idx="17">
                  <c:v>-8.4478365972890906E-2</c:v>
                </c:pt>
                <c:pt idx="18">
                  <c:v>2.9486972535074804E-2</c:v>
                </c:pt>
                <c:pt idx="19">
                  <c:v>5.1991405763804871E-2</c:v>
                </c:pt>
                <c:pt idx="20">
                  <c:v>-2.2027639490500139E-2</c:v>
                </c:pt>
                <c:pt idx="21">
                  <c:v>0.16017718102348849</c:v>
                </c:pt>
                <c:pt idx="22">
                  <c:v>1.8853431233819218E-2</c:v>
                </c:pt>
                <c:pt idx="23">
                  <c:v>5.6205897837317224E-3</c:v>
                </c:pt>
              </c:numCache>
            </c:numRef>
          </c:val>
          <c:extLst>
            <c:ext xmlns:c16="http://schemas.microsoft.com/office/drawing/2014/chart" uri="{C3380CC4-5D6E-409C-BE32-E72D297353CC}">
              <c16:uniqueId val="{00000000-56BA-475F-BF70-9EC63A9D3AF5}"/>
            </c:ext>
          </c:extLst>
        </c:ser>
        <c:ser>
          <c:idx val="1"/>
          <c:order val="1"/>
          <c:tx>
            <c:strRef>
              <c:f>'Children in Need'!$AA$4</c:f>
              <c:strCache>
                <c:ptCount val="1"/>
                <c:pt idx="0">
                  <c:v>Selected LA- (none)</c:v>
                </c:pt>
              </c:strCache>
            </c:strRef>
          </c:tx>
          <c:spPr>
            <a:solidFill>
              <a:srgbClr val="66FF99"/>
            </a:solidFill>
            <a:ln w="12700">
              <a:solidFill>
                <a:srgbClr val="000000"/>
              </a:solidFill>
              <a:prstDash val="solid"/>
            </a:ln>
          </c:spPr>
          <c:invertIfNegative val="0"/>
          <c:cat>
            <c:strRef>
              <c:f>'Children in Need'!$B$10:$B$33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'Children in Need'!$Z$77:$Z$100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56BA-475F-BF70-9EC63A9D3AF5}"/>
            </c:ext>
          </c:extLst>
        </c:ser>
        <c:dLbls>
          <c:showLegendKey val="0"/>
          <c:showVal val="0"/>
          <c:showCatName val="0"/>
          <c:showSerName val="0"/>
          <c:showPercent val="0"/>
          <c:showBubbleSize val="0"/>
        </c:dLbls>
        <c:gapWidth val="40"/>
        <c:overlap val="100"/>
        <c:axId val="248817152"/>
        <c:axId val="248818688"/>
      </c:barChart>
      <c:catAx>
        <c:axId val="24881715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818688"/>
        <c:crosses val="autoZero"/>
        <c:auto val="1"/>
        <c:lblAlgn val="ctr"/>
        <c:lblOffset val="100"/>
        <c:noMultiLvlLbl val="0"/>
      </c:catAx>
      <c:valAx>
        <c:axId val="24881868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817152"/>
        <c:crosses val="max"/>
        <c:crossBetween val="between"/>
      </c:valAx>
      <c:spPr>
        <a:noFill/>
        <a:ln w="3175">
          <a:solidFill>
            <a:srgbClr val="000000"/>
          </a:solidFill>
          <a:prstDash val="solid"/>
        </a:ln>
      </c:spPr>
    </c:plotArea>
    <c:legend>
      <c:legendPos val="t"/>
      <c:layout>
        <c:manualLayout>
          <c:xMode val="edge"/>
          <c:yMode val="edge"/>
          <c:x val="0.2203420316538611"/>
          <c:y val="7.8066985350641618E-2"/>
          <c:w val="0.72936019544665931"/>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Referral</a:t>
            </a:r>
            <a:r>
              <a:rPr lang="en-GB" baseline="0"/>
              <a:t> to Assessment</a:t>
            </a:r>
            <a:r>
              <a:rPr lang="en-GB"/>
              <a:t> (Selected LA</a:t>
            </a:r>
            <a:r>
              <a:rPr lang="en-GB" baseline="0"/>
              <a:t> vs. SE &amp; National)</a:t>
            </a:r>
            <a:r>
              <a:rPr lang="en-GB"/>
              <a:t> </a:t>
            </a:r>
          </a:p>
        </c:rich>
      </c:tx>
      <c:layout>
        <c:manualLayout>
          <c:xMode val="edge"/>
          <c:yMode val="edge"/>
          <c:x val="0.1195897435897436"/>
          <c:y val="3.8613923259592556E-3"/>
        </c:manualLayout>
      </c:layout>
      <c:overlay val="0"/>
      <c:spPr>
        <a:noFill/>
        <a:ln w="25400">
          <a:noFill/>
        </a:ln>
      </c:spPr>
    </c:title>
    <c:autoTitleDeleted val="0"/>
    <c:plotArea>
      <c:layout>
        <c:manualLayout>
          <c:layoutTarget val="inner"/>
          <c:xMode val="edge"/>
          <c:yMode val="edge"/>
          <c:x val="9.8666564984461691E-2"/>
          <c:y val="0.2574278215223097"/>
          <c:w val="0.64607416380644722"/>
          <c:h val="0.59927026727292887"/>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2014-15</c:v>
                </c:pt>
                <c:pt idx="1">
                  <c:v>2015-16</c:v>
                </c:pt>
                <c:pt idx="2">
                  <c:v>2016-17</c:v>
                </c:pt>
                <c:pt idx="3">
                  <c:v>2017-18</c:v>
                </c:pt>
                <c:pt idx="4">
                  <c:v>2018-19</c:v>
                </c:pt>
              </c:strCache>
            </c:strRef>
          </c:cat>
          <c:val>
            <c:numRef>
              <c:f>Referrals!$AS$65:$AW$65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25E4-4D81-82A5-3E3336991D44}"/>
            </c:ext>
          </c:extLst>
        </c:ser>
        <c:ser>
          <c:idx val="4"/>
          <c:order val="1"/>
          <c:tx>
            <c:strRef>
              <c:f>Referrals!$B$170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2014-15</c:v>
                </c:pt>
                <c:pt idx="1">
                  <c:v>2015-16</c:v>
                </c:pt>
                <c:pt idx="2">
                  <c:v>2016-17</c:v>
                </c:pt>
                <c:pt idx="3">
                  <c:v>2017-18</c:v>
                </c:pt>
                <c:pt idx="4">
                  <c:v>2018-19</c:v>
                </c:pt>
              </c:strCache>
            </c:strRef>
          </c:cat>
          <c:val>
            <c:numRef>
              <c:f>Referrals!$D$170:$H$170</c:f>
              <c:numCache>
                <c:formatCode>0%</c:formatCode>
                <c:ptCount val="5"/>
                <c:pt idx="0">
                  <c:v>0.84004127966976261</c:v>
                </c:pt>
                <c:pt idx="1">
                  <c:v>0.92645253682487727</c:v>
                </c:pt>
                <c:pt idx="2">
                  <c:v>0.88974981329350267</c:v>
                </c:pt>
                <c:pt idx="3">
                  <c:v>0.91697157331832257</c:v>
                </c:pt>
                <c:pt idx="4">
                  <c:v>0.9144818381161216</c:v>
                </c:pt>
              </c:numCache>
            </c:numRef>
          </c:val>
          <c:extLst>
            <c:ext xmlns:c16="http://schemas.microsoft.com/office/drawing/2014/chart" uri="{C3380CC4-5D6E-409C-BE32-E72D297353CC}">
              <c16:uniqueId val="{00000001-25E4-4D81-82A5-3E3336991D44}"/>
            </c:ext>
          </c:extLst>
        </c:ser>
        <c:ser>
          <c:idx val="0"/>
          <c:order val="2"/>
          <c:tx>
            <c:strRef>
              <c:f>Referrals!$B$171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2014-15</c:v>
                </c:pt>
                <c:pt idx="1">
                  <c:v>2015-16</c:v>
                </c:pt>
                <c:pt idx="2">
                  <c:v>2016-17</c:v>
                </c:pt>
                <c:pt idx="3">
                  <c:v>2017-18</c:v>
                </c:pt>
                <c:pt idx="4">
                  <c:v>2018-19</c:v>
                </c:pt>
              </c:strCache>
            </c:strRef>
          </c:cat>
          <c:val>
            <c:numRef>
              <c:f>Referrals!$D$171:$H$171</c:f>
              <c:numCache>
                <c:formatCode>0%</c:formatCode>
                <c:ptCount val="5"/>
                <c:pt idx="0">
                  <c:v>0.86233480176211452</c:v>
                </c:pt>
                <c:pt idx="1">
                  <c:v>0.90055835358102565</c:v>
                </c:pt>
                <c:pt idx="2">
                  <c:v>0.89778988423203121</c:v>
                </c:pt>
                <c:pt idx="3">
                  <c:v>0.90590729527324865</c:v>
                </c:pt>
                <c:pt idx="4">
                  <c:v>0.91917717726944526</c:v>
                </c:pt>
              </c:numCache>
            </c:numRef>
          </c:val>
          <c:extLst>
            <c:ext xmlns:c16="http://schemas.microsoft.com/office/drawing/2014/chart" uri="{C3380CC4-5D6E-409C-BE32-E72D297353CC}">
              <c16:uniqueId val="{00000002-25E4-4D81-82A5-3E3336991D44}"/>
            </c:ext>
          </c:extLst>
        </c:ser>
        <c:dLbls>
          <c:showLegendKey val="0"/>
          <c:showVal val="0"/>
          <c:showCatName val="0"/>
          <c:showSerName val="0"/>
          <c:showPercent val="0"/>
          <c:showBubbleSize val="0"/>
        </c:dLbls>
        <c:gapWidth val="100"/>
        <c:axId val="538100864"/>
        <c:axId val="538102400"/>
      </c:barChart>
      <c:catAx>
        <c:axId val="538100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38102400"/>
        <c:crosses val="autoZero"/>
        <c:auto val="1"/>
        <c:lblAlgn val="ctr"/>
        <c:lblOffset val="100"/>
        <c:noMultiLvlLbl val="0"/>
      </c:catAx>
      <c:valAx>
        <c:axId val="538102400"/>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38100864"/>
        <c:crosses val="autoZero"/>
        <c:crossBetween val="between"/>
      </c:valAx>
      <c:spPr>
        <a:noFill/>
        <a:ln w="3175">
          <a:solidFill>
            <a:srgbClr val="000000"/>
          </a:solidFill>
          <a:prstDash val="solid"/>
        </a:ln>
      </c:spPr>
    </c:plotArea>
    <c:legend>
      <c:legendPos val="r"/>
      <c:layout>
        <c:manualLayout>
          <c:xMode val="edge"/>
          <c:yMode val="edge"/>
          <c:x val="0.77006568773497908"/>
          <c:y val="0.24591471520605379"/>
          <c:w val="0.22993431226502092"/>
          <c:h val="0.74672729289120554"/>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in Need vs. IDACI</a:t>
            </a:r>
          </a:p>
        </c:rich>
      </c:tx>
      <c:layout>
        <c:manualLayout>
          <c:xMode val="edge"/>
          <c:yMode val="edge"/>
          <c:x val="0.28336868850297825"/>
          <c:y val="3.612578830947967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'Children in Need'!$AR$38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723E-4A4A-9E18-86DDF1C30AA2}"/>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{B5BFB265-3FF6-4981-AAC2-E79CCF6D9774}</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723E-4A4A-9E18-86DDF1C30AA2}"/>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{6B1BFB7D-C027-400D-838F-325400BD357B}</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723E-4A4A-9E18-86DDF1C30AA2}"/>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{6E28C5ED-FC52-481A-BD8A-6A25076BB6D0}</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723E-4A4A-9E18-86DDF1C30AA2}"/>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{C2B99575-2865-4FDE-8E31-20ABDE3F6D4D}</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723E-4A4A-9E18-86DDF1C30AA2}"/>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{B5CD0C0D-4764-4F48-A781-F3DFD9245CB6}</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723E-4A4A-9E18-86DDF1C30AA2}"/>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{78E6F27F-6393-4522-B21D-D59EB0389B36}</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723E-4A4A-9E18-86DDF1C30AA2}"/>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{3D5A5697-0676-4ED3-8966-0BE671DD3B63}</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723E-4A4A-9E18-86DDF1C30AA2}"/>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{E5551F4A-F9B8-4EDC-A44B-21BEBE307C3C}</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723E-4A4A-9E18-86DDF1C30AA2}"/>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{2E15F9AF-59FE-401C-BF60-3F87A05972AF}</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723E-4A4A-9E18-86DDF1C30AA2}"/>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{D00AFE66-3F38-4A22-BE10-A7E3A51D093A}</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723E-4A4A-9E18-86DDF1C30AA2}"/>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{77F20FC4-7C57-45FD-897D-3E2A92407943}</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723E-4A4A-9E18-86DDF1C30AA2}"/>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{16850450-6E5E-467A-ABA4-31CE07CC518F}</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723E-4A4A-9E18-86DDF1C30AA2}"/>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{81CEAC9E-84BD-4837-900B-FE2B2EEA0B4D}</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723E-4A4A-9E18-86DDF1C30AA2}"/>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{B1F1183A-3102-40E0-A8CD-73C25CB2DF27}</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723E-4A4A-9E18-86DDF1C30AA2}"/>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{AA04F436-66C2-4302-91A3-C42F08B2B3AF}</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723E-4A4A-9E18-86DDF1C30AA2}"/>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{C3A0751F-E5B5-4122-AE58-A589B146B89C}</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723E-4A4A-9E18-86DDF1C30AA2}"/>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{316AA141-7607-439F-AAE8-3CF4E85E322A}</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723E-4A4A-9E18-86DDF1C30AA2}"/>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{37BE924A-0ECA-435D-BB4C-1CFC099E538A}</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723E-4A4A-9E18-86DDF1C30AA2}"/>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{EE119671-3BC1-4DDC-BC36-ACB0D0780410}</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723E-4A4A-9E18-86DDF1C30AA2}"/>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('Children in Need'!$AR$41:$AR$53,'Children in Need'!$AR$55:$AR$56,'Children in Need'!$AR$59:$AR$62)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('Children in Need'!$AQ$41:$AQ$53,'Children in Need'!$AQ$55:$AQ$56,'Children in Need'!$AQ$59:$AQ$62)</c:f>
              <c:numCache>
                <c:formatCode>0.0</c:formatCode>
                <c:ptCount val="19"/>
                <c:pt idx="0">
                  <c:v>368.55123674911658</c:v>
                </c:pt>
                <c:pt idx="1">
                  <c:v>399.80392156862746</c:v>
                </c:pt>
                <c:pt idx="2">
                  <c:v>268.54384553499597</c:v>
                </c:pt>
                <c:pt idx="3">
                  <c:v>294.64285714285711</c:v>
                </c:pt>
                <c:pt idx="4">
                  <c:v>302.28873239436621</c:v>
                </c:pt>
                <c:pt idx="5">
                  <c:v>473.09236947791163</c:v>
                </c:pt>
                <c:pt idx="6">
                  <c:v>304.91032049397239</c:v>
                </c:pt>
                <c:pt idx="7">
                  <c:v>375.31055900621118</c:v>
                </c:pt>
                <c:pt idx="8">
                  <c:v>315.66617862371885</c:v>
                </c:pt>
                <c:pt idx="9">
                  <c:v>311.53314917127068</c:v>
                </c:pt>
                <c:pt idx="10">
                  <c:v>373.86363636363632</c:v>
                </c:pt>
                <c:pt idx="11">
                  <c:v>440.70080862533695</c:v>
                </c:pt>
                <c:pt idx="12">
                  <c:v>333.95784543325527</c:v>
                </c:pt>
                <c:pt idx="13">
                  <c:v>523.03149606299212</c:v>
                </c:pt>
                <c:pt idx="14">
                  <c:v>226.49866361206566</c:v>
                </c:pt>
                <c:pt idx="15">
                  <c:v>299.15730337078651</c:v>
                </c:pt>
                <c:pt idx="16">
                  <c:v>268.9753863766457</c:v>
                </c:pt>
                <c:pt idx="17">
                  <c:v>213.00578034682081</c:v>
                </c:pt>
                <c:pt idx="18">
                  <c:v>227.34177215189874</c:v>
                </c:pt>
              </c:numCache>
            </c:numRef>
          </c:yVal>
          <c:smooth val="0"/>
          <c:extLst>
            <c:ext xmlns:c16="http://schemas.microsoft.com/office/drawing/2014/chart" uri="{C3380CC4-5D6E-409C-BE32-E72D297353CC}">
              <c16:uniqueId val="{00000014-723E-4A4A-9E18-86DDF1C30AA2}"/>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723E-4A4A-9E18-86DDF1C30AA2}"/>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{052F3785-DC4B-4583-80FB-FB39B308BB70}</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723E-4A4A-9E18-86DDF1C30AA2}"/>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{B3CCD10A-8BB1-4D3B-A068-9FCB04B65B10}</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723E-4A4A-9E18-86DDF1C30AA2}"/>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{4F40E287-61D5-49B4-89A9-9D7F498808C3}</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723E-4A4A-9E18-86DDF1C30AA2}"/>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('Children in Need'!$AR$54,'Children in Need'!$AR$57:$AR$58)</c:f>
              <c:numCache>
                <c:formatCode>0.0</c:formatCode>
                <c:ptCount val="3"/>
                <c:pt idx="0">
                  <c:v>13.600000000000001</c:v>
                </c:pt>
                <c:pt idx="1">
                  <c:v>14.899999999999999</c:v>
                </c:pt>
                <c:pt idx="2">
                  <c:v>21.9</c:v>
                </c:pt>
              </c:numCache>
            </c:numRef>
          </c:xVal>
          <c:yVal>
            <c:numRef>
              <c:f>('Children in Need'!$AQ$54,'Children in Need'!$AQ$57:$AQ$58)</c:f>
              <c:numCache>
                <c:formatCode>0.0</c:formatCode>
                <c:ptCount val="3"/>
                <c:pt idx="0">
                  <c:v>235.59168925022584</c:v>
                </c:pt>
                <c:pt idx="1">
                  <c:v>453.58565737051794</c:v>
                </c:pt>
                <c:pt idx="2">
                  <c:v>420.0787401574803</c:v>
                </c:pt>
              </c:numCache>
            </c:numRef>
          </c:yVal>
          <c:smooth val="0"/>
          <c:extLst>
            <c:ext xmlns:c16="http://schemas.microsoft.com/office/drawing/2014/chart" uri="{C3380CC4-5D6E-409C-BE32-E72D297353CC}">
              <c16:uniqueId val="{00000018-723E-4A4A-9E18-86DDF1C30AA2}"/>
            </c:ext>
          </c:extLst>
        </c:ser>
        <c:ser>
          <c:idx val="1"/>
          <c:order val="2"/>
          <c:tx>
            <c:strRef>
              <c:f>'Children in Need'!$AA$4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'Children in Need'!$AR$65</c:f>
              <c:numCache>
                <c:formatCode>0.0</c:formatCode>
                <c:ptCount val="1"/>
                <c:pt idx="0">
                  <c:v>#N/A</c:v>
                </c:pt>
              </c:numCache>
            </c:numRef>
          </c:xVal>
          <c:yVal>
            <c:numRef>
              <c:f>'Children in Need'!$AQ$65</c:f>
              <c:numCache>
                <c:formatCode>0.0</c:formatCode>
                <c:ptCount val="1"/>
                <c:pt idx="0">
                  <c:v>#N/A</c:v>
                </c:pt>
              </c:numCache>
            </c:numRef>
          </c:yVal>
          <c:smooth val="0"/>
          <c:extLst>
            <c:ext xmlns:c16="http://schemas.microsoft.com/office/drawing/2014/chart" uri="{C3380CC4-5D6E-409C-BE32-E72D297353CC}">
              <c16:uniqueId val="{00000019-723E-4A4A-9E18-86DDF1C30AA2}"/>
            </c:ext>
          </c:extLst>
        </c:ser>
        <c:ser>
          <c:idx val="4"/>
          <c:order val="3"/>
          <c:tx>
            <c:strRef>
              <c:f>'Children in Need'!$B$32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'Children in Need'!$S$32</c:f>
              <c:numCache>
                <c:formatCode>0.0</c:formatCode>
                <c:ptCount val="1"/>
                <c:pt idx="0">
                  <c:v>12.371268250968637</c:v>
                </c:pt>
              </c:numCache>
            </c:numRef>
          </c:xVal>
          <c:yVal>
            <c:numRef>
              <c:f>'Children in Need'!$O$32</c:f>
              <c:numCache>
                <c:formatCode>0.0</c:formatCode>
                <c:ptCount val="1"/>
                <c:pt idx="0">
                  <c:v>303.82139572902832</c:v>
                </c:pt>
              </c:numCache>
            </c:numRef>
          </c:yVal>
          <c:smooth val="0"/>
          <c:extLst>
            <c:ext xmlns:c16="http://schemas.microsoft.com/office/drawing/2014/chart" uri="{C3380CC4-5D6E-409C-BE32-E72D297353CC}">
              <c16:uniqueId val="{0000001A-723E-4A4A-9E18-86DDF1C30AA2}"/>
            </c:ext>
          </c:extLst>
        </c:ser>
        <c:ser>
          <c:idx val="2"/>
          <c:order val="4"/>
          <c:tx>
            <c:strRef>
              <c:f>'Children in Need'!$Y$43</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723E-4A4A-9E18-86DDF1C30AA2}"/>
                </c:ext>
              </c:extLst>
            </c:dLbl>
            <c:dLbl>
              <c:idx val="1"/>
              <c:layout>
                <c:manualLayout>
                  <c:x val="-6.1403508771929717E-2"/>
                  <c:y val="-3.3182503770739065E-2"/>
                </c:manualLayout>
              </c:layout>
              <c:tx>
                <c:strRef>
                  <c:f>'Children in Need'!$AD$43</c:f>
                  <c:strCache>
                    <c:ptCount val="1"/>
                    <c:pt idx="0">
                      <c:v>r² = 0.352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{A112DFF5-C6A8-4B8D-8D0A-AD84A3C61992}</c15:txfldGUID>
                      <c15:f>'Children in Need'!$AD$43</c15:f>
                      <c15:dlblFieldTableCache>
                        <c:ptCount val="1"/>
                        <c:pt idx="0">
                          <c:v>r² = 0.352</c:v>
                        </c:pt>
                      </c15:dlblFieldTableCache>
                    </c15:dlblFTEntry>
                  </c15:dlblFieldTable>
                  <c15:showDataLabelsRange val="0"/>
                </c:ext>
                <c:ext xmlns:c16="http://schemas.microsoft.com/office/drawing/2014/chart" uri="{C3380CC4-5D6E-409C-BE32-E72D297353CC}">
                  <c16:uniqueId val="{0000001C-723E-4A4A-9E18-86DDF1C30AA2}"/>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'Children in Need'!$AB$43:$AB$44</c:f>
              <c:numCache>
                <c:formatCode>General</c:formatCode>
                <c:ptCount val="2"/>
                <c:pt idx="0" formatCode="#,##0.0">
                  <c:v>5</c:v>
                </c:pt>
                <c:pt idx="1">
                  <c:v>35</c:v>
                </c:pt>
              </c:numCache>
            </c:numRef>
          </c:xVal>
          <c:yVal>
            <c:numRef>
              <c:f>'Children in Need'!$AC$43:$AC$44</c:f>
              <c:numCache>
                <c:formatCode>0.0</c:formatCode>
                <c:ptCount val="2"/>
                <c:pt idx="0">
                  <c:v>230.37174278417166</c:v>
                </c:pt>
                <c:pt idx="1">
                  <c:v>545.00187015850247</c:v>
                </c:pt>
              </c:numCache>
            </c:numRef>
          </c:yVal>
          <c:smooth val="0"/>
          <c:extLst>
            <c:ext xmlns:c16="http://schemas.microsoft.com/office/drawing/2014/chart" uri="{C3380CC4-5D6E-409C-BE32-E72D297353CC}">
              <c16:uniqueId val="{0000001D-723E-4A4A-9E18-86DDF1C30AA2}"/>
            </c:ext>
          </c:extLst>
        </c:ser>
        <c:ser>
          <c:idx val="5"/>
          <c:order val="5"/>
          <c:tx>
            <c:strRef>
              <c:f>'Children in Need'!$Y$41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723E-4A4A-9E18-86DDF1C30AA2}"/>
                </c:ext>
              </c:extLst>
            </c:dLbl>
            <c:dLbl>
              <c:idx val="1"/>
              <c:layout>
                <c:manualLayout>
                  <c:x val="-4.3859649122806911E-2"/>
                  <c:y val="5.128205128205128E-2"/>
                </c:manualLayout>
              </c:layout>
              <c:tx>
                <c:strRef>
                  <c:f>'Children in Need'!$AD$42</c:f>
                  <c:strCache>
                    <c:ptCount val="1"/>
                    <c:pt idx="0">
                      <c:v>r² = 0.603</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{1BE67272-3AFA-4D16-A55C-5057EB5673C4}</c15:txfldGUID>
                      <c15:f>'Children in Need'!$AD$42</c15:f>
                      <c15:dlblFieldTableCache>
                        <c:ptCount val="1"/>
                        <c:pt idx="0">
                          <c:v>r² = 0.603</c:v>
                        </c:pt>
                      </c15:dlblFieldTableCache>
                    </c15:dlblFTEntry>
                  </c15:dlblFieldTable>
                  <c15:showDataLabelsRange val="0"/>
                </c:ext>
                <c:ext xmlns:c16="http://schemas.microsoft.com/office/drawing/2014/chart" uri="{C3380CC4-5D6E-409C-BE32-E72D297353CC}">
                  <c16:uniqueId val="{0000001F-723E-4A4A-9E18-86DDF1C30AA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'Children in Need'!$AB$41:$AB$42</c:f>
              <c:numCache>
                <c:formatCode>General</c:formatCode>
                <c:ptCount val="2"/>
                <c:pt idx="0" formatCode="#,##0.0">
                  <c:v>5</c:v>
                </c:pt>
                <c:pt idx="1">
                  <c:v>35</c:v>
                </c:pt>
              </c:numCache>
            </c:numRef>
          </c:xVal>
          <c:yVal>
            <c:numRef>
              <c:f>'Children in Need'!$AC$41:$AC$42</c:f>
              <c:numCache>
                <c:formatCode>0.0</c:formatCode>
                <c:ptCount val="2"/>
                <c:pt idx="0">
                  <c:v>221.00047064552328</c:v>
                </c:pt>
                <c:pt idx="1">
                  <c:v>635.96792571231822</c:v>
                </c:pt>
              </c:numCache>
            </c:numRef>
          </c:yVal>
          <c:smooth val="0"/>
          <c:extLst>
            <c:ext xmlns:c16="http://schemas.microsoft.com/office/drawing/2014/chart" uri="{C3380CC4-5D6E-409C-BE32-E72D297353CC}">
              <c16:uniqueId val="{00000020-723E-4A4A-9E18-86DDF1C30AA2}"/>
            </c:ext>
          </c:extLst>
        </c:ser>
        <c:dLbls>
          <c:showLegendKey val="0"/>
          <c:showVal val="0"/>
          <c:showCatName val="0"/>
          <c:showSerName val="0"/>
          <c:showPercent val="0"/>
          <c:showBubbleSize val="0"/>
        </c:dLbls>
        <c:axId val="248570240"/>
        <c:axId val="248572160"/>
      </c:scatterChart>
      <c:valAx>
        <c:axId val="248570240"/>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572160"/>
        <c:crosses val="autoZero"/>
        <c:crossBetween val="midCat"/>
        <c:majorUnit val="5"/>
      </c:valAx>
      <c:valAx>
        <c:axId val="248572160"/>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in Need per 10,000 0-17 year olds</a:t>
                </a:r>
              </a:p>
            </c:rich>
          </c:tx>
          <c:layout>
            <c:manualLayout>
              <c:xMode val="edge"/>
              <c:yMode val="edge"/>
              <c:x val="5.1877989550371623E-2"/>
              <c:y val="0.17325366340125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57024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per 10,000 0-17 year olds</a:t>
            </a:r>
          </a:p>
        </c:rich>
      </c:tx>
      <c:layout>
        <c:manualLayout>
          <c:xMode val="edge"/>
          <c:yMode val="edge"/>
          <c:x val="0.18296784776902889"/>
          <c:y val="1.8762032786045945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'Section 47 Enquiries'!$AL$41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165-4C13-9248-2D14AD07A2AE}"/>
              </c:ext>
            </c:extLst>
          </c:dPt>
          <c:cat>
            <c:strRef>
              <c:f>'Section 47 Enquiries'!$Z$2:$AD$3</c:f>
              <c:strCache>
                <c:ptCount val="5"/>
                <c:pt idx="0">
                  <c:v>2014-15</c:v>
                </c:pt>
                <c:pt idx="1">
                  <c:v>2015-16</c:v>
                </c:pt>
                <c:pt idx="2">
                  <c:v>2016-17</c:v>
                </c:pt>
                <c:pt idx="3">
                  <c:v>2017-18</c:v>
                </c:pt>
                <c:pt idx="4">
                  <c:v>2018-19</c:v>
                </c:pt>
              </c:strCache>
            </c:strRef>
          </c:cat>
          <c:val>
            <c:numRef>
              <c:f>'Section 47 Enquiries'!$AM$41:$AQ$41</c:f>
              <c:numCache>
                <c:formatCode>0.0</c:formatCode>
                <c:ptCount val="5"/>
                <c:pt idx="0">
                  <c:v>151.43884892086331</c:v>
                </c:pt>
                <c:pt idx="1">
                  <c:v>139.71631205673759</c:v>
                </c:pt>
                <c:pt idx="2">
                  <c:v>198.58156028368796</c:v>
                </c:pt>
                <c:pt idx="3">
                  <c:v>224.91103202846975</c:v>
                </c:pt>
                <c:pt idx="4">
                  <c:v>248.0565371024735</c:v>
                </c:pt>
              </c:numCache>
            </c:numRef>
          </c:val>
          <c:smooth val="0"/>
          <c:extLst>
            <c:ext xmlns:c16="http://schemas.microsoft.com/office/drawing/2014/chart" uri="{C3380CC4-5D6E-409C-BE32-E72D297353CC}">
              <c16:uniqueId val="{00000001-D165-4C13-9248-2D14AD07A2AE}"/>
            </c:ext>
          </c:extLst>
        </c:ser>
        <c:ser>
          <c:idx val="1"/>
          <c:order val="1"/>
          <c:tx>
            <c:strRef>
              <c:f>'Section 47 Enquiries'!$AL$42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Enquiries'!$AM$42:$AQ$42</c:f>
              <c:numCache>
                <c:formatCode>0.0</c:formatCode>
                <c:ptCount val="5"/>
                <c:pt idx="0">
                  <c:v>203.52941176470588</c:v>
                </c:pt>
                <c:pt idx="1">
                  <c:v>223.2421875</c:v>
                </c:pt>
                <c:pt idx="2">
                  <c:v>168.22612085769981</c:v>
                </c:pt>
                <c:pt idx="3">
                  <c:v>172.35294117647061</c:v>
                </c:pt>
                <c:pt idx="4">
                  <c:v>152.54901960784315</c:v>
                </c:pt>
              </c:numCache>
            </c:numRef>
          </c:val>
          <c:smooth val="0"/>
          <c:extLst>
            <c:ext xmlns:c16="http://schemas.microsoft.com/office/drawing/2014/chart" uri="{C3380CC4-5D6E-409C-BE32-E72D297353CC}">
              <c16:uniqueId val="{00000002-D165-4C13-9248-2D14AD07A2AE}"/>
            </c:ext>
          </c:extLst>
        </c:ser>
        <c:ser>
          <c:idx val="2"/>
          <c:order val="2"/>
          <c:tx>
            <c:strRef>
              <c:f>'Section 47 Enquiries'!$AL$43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Enquiries'!$AM$43:$AQ$43</c:f>
              <c:numCache>
                <c:formatCode>0.0</c:formatCode>
                <c:ptCount val="5"/>
                <c:pt idx="0">
                  <c:v>147.85534062237173</c:v>
                </c:pt>
                <c:pt idx="1">
                  <c:v>159.53565505804312</c:v>
                </c:pt>
                <c:pt idx="2">
                  <c:v>210.80196399345337</c:v>
                </c:pt>
                <c:pt idx="3">
                  <c:v>200.81234768480911</c:v>
                </c:pt>
                <c:pt idx="4">
                  <c:v>174.89943684633951</c:v>
                </c:pt>
              </c:numCache>
            </c:numRef>
          </c:val>
          <c:smooth val="0"/>
          <c:extLst>
            <c:ext xmlns:c16="http://schemas.microsoft.com/office/drawing/2014/chart" uri="{C3380CC4-5D6E-409C-BE32-E72D297353CC}">
              <c16:uniqueId val="{00000003-D165-4C13-9248-2D14AD07A2AE}"/>
            </c:ext>
          </c:extLst>
        </c:ser>
        <c:ser>
          <c:idx val="5"/>
          <c:order val="3"/>
          <c:tx>
            <c:strRef>
              <c:f>'Section 47 Enquiries'!$AL$44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Enquiries'!$AM$44:$AQ$44</c:f>
              <c:numCache>
                <c:formatCode>0.0</c:formatCode>
                <c:ptCount val="5"/>
                <c:pt idx="0">
                  <c:v>94.402277039848187</c:v>
                </c:pt>
                <c:pt idx="1">
                  <c:v>81.964117091595838</c:v>
                </c:pt>
                <c:pt idx="2">
                  <c:v>106.42115203021719</c:v>
                </c:pt>
                <c:pt idx="3">
                  <c:v>125.84905660377359</c:v>
                </c:pt>
                <c:pt idx="4">
                  <c:v>124.90601503759399</c:v>
                </c:pt>
              </c:numCache>
            </c:numRef>
          </c:val>
          <c:smooth val="0"/>
          <c:extLst>
            <c:ext xmlns:c16="http://schemas.microsoft.com/office/drawing/2014/chart" uri="{C3380CC4-5D6E-409C-BE32-E72D297353CC}">
              <c16:uniqueId val="{00000004-D165-4C13-9248-2D14AD07A2AE}"/>
            </c:ext>
          </c:extLst>
        </c:ser>
        <c:ser>
          <c:idx val="9"/>
          <c:order val="4"/>
          <c:tx>
            <c:strRef>
              <c:f>'Section 47 Enquiries'!$AL$45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Enquiries'!$AM$45:$AQ$45</c:f>
              <c:numCache>
                <c:formatCode>0.0</c:formatCode>
                <c:ptCount val="5"/>
                <c:pt idx="0">
                  <c:v>164.22735346358792</c:v>
                </c:pt>
                <c:pt idx="1">
                  <c:v>148.35047889322453</c:v>
                </c:pt>
                <c:pt idx="2">
                  <c:v>148.90381895332391</c:v>
                </c:pt>
                <c:pt idx="3">
                  <c:v>135.68655135898342</c:v>
                </c:pt>
                <c:pt idx="4">
                  <c:v>152.00704225352112</c:v>
                </c:pt>
              </c:numCache>
            </c:numRef>
          </c:val>
          <c:smooth val="0"/>
          <c:extLst>
            <c:ext xmlns:c16="http://schemas.microsoft.com/office/drawing/2014/chart" uri="{C3380CC4-5D6E-409C-BE32-E72D297353CC}">
              <c16:uniqueId val="{00000005-D165-4C13-9248-2D14AD07A2AE}"/>
            </c:ext>
          </c:extLst>
        </c:ser>
        <c:ser>
          <c:idx val="10"/>
          <c:order val="5"/>
          <c:tx>
            <c:strRef>
              <c:f>'Section 47 Enquiries'!$AL$46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Enquiries'!$AM$46:$AQ$46</c:f>
              <c:numCache>
                <c:formatCode>0.0</c:formatCode>
                <c:ptCount val="5"/>
                <c:pt idx="0">
                  <c:v>286.2745098039216</c:v>
                </c:pt>
                <c:pt idx="1">
                  <c:v>267.19367588932806</c:v>
                </c:pt>
                <c:pt idx="2">
                  <c:v>217.85714285714286</c:v>
                </c:pt>
                <c:pt idx="3">
                  <c:v>221.91235059760956</c:v>
                </c:pt>
                <c:pt idx="4">
                  <c:v>201.20481927710844</c:v>
                </c:pt>
              </c:numCache>
            </c:numRef>
          </c:val>
          <c:smooth val="0"/>
          <c:extLst>
            <c:ext xmlns:c16="http://schemas.microsoft.com/office/drawing/2014/chart" uri="{C3380CC4-5D6E-409C-BE32-E72D297353CC}">
              <c16:uniqueId val="{00000006-D165-4C13-9248-2D14AD07A2AE}"/>
            </c:ext>
          </c:extLst>
        </c:ser>
        <c:ser>
          <c:idx val="11"/>
          <c:order val="6"/>
          <c:tx>
            <c:strRef>
              <c:f>'Section 47 Enquiries'!$AL$47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Enquiries'!$AM$47:$AQ$47</c:f>
              <c:numCache>
                <c:formatCode>0.0</c:formatCode>
                <c:ptCount val="5"/>
                <c:pt idx="0">
                  <c:v>133.01858056655499</c:v>
                </c:pt>
                <c:pt idx="1">
                  <c:v>144.06779661016949</c:v>
                </c:pt>
                <c:pt idx="2">
                  <c:v>146.93693693693695</c:v>
                </c:pt>
                <c:pt idx="3">
                  <c:v>186.22433799464446</c:v>
                </c:pt>
                <c:pt idx="4">
                  <c:v>176.85974713319612</c:v>
                </c:pt>
              </c:numCache>
            </c:numRef>
          </c:val>
          <c:smooth val="0"/>
          <c:extLst>
            <c:ext xmlns:c16="http://schemas.microsoft.com/office/drawing/2014/chart" uri="{C3380CC4-5D6E-409C-BE32-E72D297353CC}">
              <c16:uniqueId val="{00000007-D165-4C13-9248-2D14AD07A2AE}"/>
            </c:ext>
          </c:extLst>
        </c:ser>
        <c:ser>
          <c:idx val="12"/>
          <c:order val="7"/>
          <c:tx>
            <c:strRef>
              <c:f>'Section 47 Enquiries'!$AL$48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Enquiries'!$AM$48:$AQ$48</c:f>
              <c:numCache>
                <c:formatCode>0.0</c:formatCode>
                <c:ptCount val="5"/>
                <c:pt idx="0">
                  <c:v>242.23999999999998</c:v>
                </c:pt>
                <c:pt idx="1">
                  <c:v>258.06962025316454</c:v>
                </c:pt>
                <c:pt idx="2">
                  <c:v>168.2888540031397</c:v>
                </c:pt>
                <c:pt idx="3">
                  <c:v>184.82003129890452</c:v>
                </c:pt>
                <c:pt idx="4">
                  <c:v>234.31677018633542</c:v>
                </c:pt>
              </c:numCache>
            </c:numRef>
          </c:val>
          <c:smooth val="0"/>
          <c:extLst>
            <c:ext xmlns:c16="http://schemas.microsoft.com/office/drawing/2014/chart" uri="{C3380CC4-5D6E-409C-BE32-E72D297353CC}">
              <c16:uniqueId val="{00000008-D165-4C13-9248-2D14AD07A2AE}"/>
            </c:ext>
          </c:extLst>
        </c:ser>
        <c:ser>
          <c:idx val="13"/>
          <c:order val="8"/>
          <c:tx>
            <c:strRef>
              <c:f>'Section 47 Enquiries'!$AL$49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Enquiries'!$AM$49:$AQ$49</c:f>
              <c:numCache>
                <c:formatCode>0.0</c:formatCode>
                <c:ptCount val="5"/>
                <c:pt idx="0">
                  <c:v>85.429447852760731</c:v>
                </c:pt>
                <c:pt idx="1">
                  <c:v>86.081694402420567</c:v>
                </c:pt>
                <c:pt idx="2">
                  <c:v>115.64828614008943</c:v>
                </c:pt>
                <c:pt idx="3">
                  <c:v>82.544378698224847</c:v>
                </c:pt>
                <c:pt idx="4">
                  <c:v>88.286969253294288</c:v>
                </c:pt>
              </c:numCache>
            </c:numRef>
          </c:val>
          <c:smooth val="0"/>
          <c:extLst>
            <c:ext xmlns:c16="http://schemas.microsoft.com/office/drawing/2014/chart" uri="{C3380CC4-5D6E-409C-BE32-E72D297353CC}">
              <c16:uniqueId val="{00000009-D165-4C13-9248-2D14AD07A2AE}"/>
            </c:ext>
          </c:extLst>
        </c:ser>
        <c:ser>
          <c:idx val="15"/>
          <c:order val="9"/>
          <c:tx>
            <c:strRef>
              <c:f>'Section 47 Enquiries'!$AL$50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Enquiries'!$AM$50:$AQ$50</c:f>
              <c:numCache>
                <c:formatCode>0.0</c:formatCode>
                <c:ptCount val="5"/>
                <c:pt idx="0">
                  <c:v>111.68555240793202</c:v>
                </c:pt>
                <c:pt idx="1">
                  <c:v>131.45275035260931</c:v>
                </c:pt>
                <c:pt idx="2">
                  <c:v>134.77956613016096</c:v>
                </c:pt>
                <c:pt idx="3">
                  <c:v>125.87168758716875</c:v>
                </c:pt>
                <c:pt idx="4">
                  <c:v>129.35082872928177</c:v>
                </c:pt>
              </c:numCache>
            </c:numRef>
          </c:val>
          <c:smooth val="0"/>
          <c:extLst>
            <c:ext xmlns:c16="http://schemas.microsoft.com/office/drawing/2014/chart" uri="{C3380CC4-5D6E-409C-BE32-E72D297353CC}">
              <c16:uniqueId val="{0000000A-D165-4C13-9248-2D14AD07A2AE}"/>
            </c:ext>
          </c:extLst>
        </c:ser>
        <c:ser>
          <c:idx val="16"/>
          <c:order val="10"/>
          <c:tx>
            <c:strRef>
              <c:f>'Section 47 Enquiries'!$AL$51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Enquiries'!$AM$51:$AQ$51</c:f>
              <c:numCache>
                <c:formatCode>0.0</c:formatCode>
                <c:ptCount val="5"/>
                <c:pt idx="0">
                  <c:v>248.61751152073734</c:v>
                </c:pt>
                <c:pt idx="1">
                  <c:v>262.10045662100458</c:v>
                </c:pt>
                <c:pt idx="2">
                  <c:v>281.81818181818181</c:v>
                </c:pt>
                <c:pt idx="3">
                  <c:v>231.90045248868779</c:v>
                </c:pt>
                <c:pt idx="4">
                  <c:v>298.40909090909093</c:v>
                </c:pt>
              </c:numCache>
            </c:numRef>
          </c:val>
          <c:smooth val="0"/>
          <c:extLst>
            <c:ext xmlns:c16="http://schemas.microsoft.com/office/drawing/2014/chart" uri="{C3380CC4-5D6E-409C-BE32-E72D297353CC}">
              <c16:uniqueId val="{0000000B-D165-4C13-9248-2D14AD07A2AE}"/>
            </c:ext>
          </c:extLst>
        </c:ser>
        <c:ser>
          <c:idx val="17"/>
          <c:order val="11"/>
          <c:tx>
            <c:strRef>
              <c:f>'Section 47 Enquiries'!$AL$52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Enquiries'!$AM$52:$AQ$52</c:f>
              <c:numCache>
                <c:formatCode>0.0</c:formatCode>
                <c:ptCount val="5"/>
                <c:pt idx="0">
                  <c:v>161.28133704735376</c:v>
                </c:pt>
                <c:pt idx="1">
                  <c:v>267.30769230769232</c:v>
                </c:pt>
                <c:pt idx="2">
                  <c:v>297.8142076502732</c:v>
                </c:pt>
                <c:pt idx="3">
                  <c:v>226.41509433962261</c:v>
                </c:pt>
                <c:pt idx="4">
                  <c:v>277.89757412398922</c:v>
                </c:pt>
              </c:numCache>
            </c:numRef>
          </c:val>
          <c:smooth val="0"/>
          <c:extLst>
            <c:ext xmlns:c16="http://schemas.microsoft.com/office/drawing/2014/chart" uri="{C3380CC4-5D6E-409C-BE32-E72D297353CC}">
              <c16:uniqueId val="{0000000C-D165-4C13-9248-2D14AD07A2AE}"/>
            </c:ext>
          </c:extLst>
        </c:ser>
        <c:ser>
          <c:idx val="19"/>
          <c:order val="12"/>
          <c:tx>
            <c:strRef>
              <c:f>'Section 47 Enquiries'!$AL$53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Enquiries'!$AM$53:$AQ$53</c:f>
              <c:numCache>
                <c:formatCode>0.0</c:formatCode>
                <c:ptCount val="5"/>
                <c:pt idx="0">
                  <c:v>235.33834586466165</c:v>
                </c:pt>
                <c:pt idx="1">
                  <c:v>221.67487684729065</c:v>
                </c:pt>
                <c:pt idx="2">
                  <c:v>211.59420289855072</c:v>
                </c:pt>
                <c:pt idx="3">
                  <c:v>167.77251184834122</c:v>
                </c:pt>
                <c:pt idx="4">
                  <c:v>249.18032786885249</c:v>
                </c:pt>
              </c:numCache>
            </c:numRef>
          </c:val>
          <c:smooth val="0"/>
          <c:extLst>
            <c:ext xmlns:c16="http://schemas.microsoft.com/office/drawing/2014/chart" uri="{C3380CC4-5D6E-409C-BE32-E72D297353CC}">
              <c16:uniqueId val="{0000000D-D165-4C13-9248-2D14AD07A2AE}"/>
            </c:ext>
          </c:extLst>
        </c:ser>
        <c:ser>
          <c:idx val="3"/>
          <c:order val="13"/>
          <c:tx>
            <c:strRef>
              <c:f>'Section 47 Enquiries'!$AL$54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Enquiries'!$AM$54:$AQ$54</c:f>
              <c:numCache>
                <c:formatCode>0.0</c:formatCode>
                <c:ptCount val="5"/>
                <c:pt idx="0">
                  <c:v>187.41965105601469</c:v>
                </c:pt>
                <c:pt idx="1">
                  <c:v>118.77289377289378</c:v>
                </c:pt>
                <c:pt idx="2">
                  <c:v>143.75569735642662</c:v>
                </c:pt>
                <c:pt idx="3">
                  <c:v>138.87375113533153</c:v>
                </c:pt>
                <c:pt idx="4">
                  <c:v>110.29810298102981</c:v>
                </c:pt>
              </c:numCache>
            </c:numRef>
          </c:val>
          <c:smooth val="0"/>
          <c:extLst>
            <c:ext xmlns:c16="http://schemas.microsoft.com/office/drawing/2014/chart" uri="{C3380CC4-5D6E-409C-BE32-E72D297353CC}">
              <c16:uniqueId val="{0000000E-D165-4C13-9248-2D14AD07A2AE}"/>
            </c:ext>
          </c:extLst>
        </c:ser>
        <c:ser>
          <c:idx val="20"/>
          <c:order val="14"/>
          <c:tx>
            <c:strRef>
              <c:f>'Section 47 Enquiries'!$AL$55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Enquiries'!$AM$55:$AQ$55</c:f>
              <c:numCache>
                <c:formatCode>0.0</c:formatCode>
                <c:ptCount val="5"/>
                <c:pt idx="0">
                  <c:v>436.21399176954736</c:v>
                </c:pt>
                <c:pt idx="1">
                  <c:v>383.73983739837399</c:v>
                </c:pt>
                <c:pt idx="2">
                  <c:v>270.9418837675351</c:v>
                </c:pt>
                <c:pt idx="3">
                  <c:v>336.38170974155071</c:v>
                </c:pt>
                <c:pt idx="4">
                  <c:v>337.20472440944877</c:v>
                </c:pt>
              </c:numCache>
            </c:numRef>
          </c:val>
          <c:smooth val="0"/>
          <c:extLst>
            <c:ext xmlns:c16="http://schemas.microsoft.com/office/drawing/2014/chart" uri="{C3380CC4-5D6E-409C-BE32-E72D297353CC}">
              <c16:uniqueId val="{0000000F-D165-4C13-9248-2D14AD07A2AE}"/>
            </c:ext>
          </c:extLst>
        </c:ser>
        <c:ser>
          <c:idx val="22"/>
          <c:order val="15"/>
          <c:tx>
            <c:strRef>
              <c:f>'Section 47 Enquiries'!$AL$56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Enquiries'!$AM$56:$AQ$56</c:f>
              <c:numCache>
                <c:formatCode>0.0</c:formatCode>
                <c:ptCount val="5"/>
                <c:pt idx="0">
                  <c:v>127.57266300078554</c:v>
                </c:pt>
                <c:pt idx="1">
                  <c:v>175.07800312012478</c:v>
                </c:pt>
                <c:pt idx="2">
                  <c:v>164.78764478764478</c:v>
                </c:pt>
                <c:pt idx="3">
                  <c:v>160.00768344218207</c:v>
                </c:pt>
                <c:pt idx="4">
                  <c:v>158.03741886216113</c:v>
                </c:pt>
              </c:numCache>
            </c:numRef>
          </c:val>
          <c:smooth val="0"/>
          <c:extLst>
            <c:ext xmlns:c16="http://schemas.microsoft.com/office/drawing/2014/chart" uri="{C3380CC4-5D6E-409C-BE32-E72D297353CC}">
              <c16:uniqueId val="{00000010-D165-4C13-9248-2D14AD07A2AE}"/>
            </c:ext>
          </c:extLst>
        </c:ser>
        <c:ser>
          <c:idx val="7"/>
          <c:order val="16"/>
          <c:tx>
            <c:strRef>
              <c:f>'Section 47 Enquiries'!$AL$57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'Section 47 Enquiries'!$Z$2:$AD$3</c:f>
              <c:strCache>
                <c:ptCount val="5"/>
                <c:pt idx="0">
                  <c:v>2014-15</c:v>
                </c:pt>
                <c:pt idx="1">
                  <c:v>2015-16</c:v>
                </c:pt>
                <c:pt idx="2">
                  <c:v>2016-17</c:v>
                </c:pt>
                <c:pt idx="3">
                  <c:v>2017-18</c:v>
                </c:pt>
                <c:pt idx="4">
                  <c:v>2018-19</c:v>
                </c:pt>
              </c:strCache>
            </c:strRef>
          </c:cat>
          <c:val>
            <c:numRef>
              <c:f>'Section 47 Enquiries'!$AM$57:$AQ$57</c:f>
              <c:numCache>
                <c:formatCode>0.0</c:formatCode>
                <c:ptCount val="5"/>
                <c:pt idx="0">
                  <c:v>119.54732510288066</c:v>
                </c:pt>
                <c:pt idx="1">
                  <c:v>156.32653061224491</c:v>
                </c:pt>
                <c:pt idx="2">
                  <c:v>185.45454545454547</c:v>
                </c:pt>
                <c:pt idx="3">
                  <c:v>203.20641282565131</c:v>
                </c:pt>
                <c:pt idx="4">
                  <c:v>210.75697211155378</c:v>
                </c:pt>
              </c:numCache>
            </c:numRef>
          </c:val>
          <c:smooth val="0"/>
          <c:extLst>
            <c:ext xmlns:c16="http://schemas.microsoft.com/office/drawing/2014/chart" uri="{C3380CC4-5D6E-409C-BE32-E72D297353CC}">
              <c16:uniqueId val="{00000011-D165-4C13-9248-2D14AD07A2AE}"/>
            </c:ext>
          </c:extLst>
        </c:ser>
        <c:ser>
          <c:idx val="8"/>
          <c:order val="17"/>
          <c:tx>
            <c:strRef>
              <c:f>'Section 47 Enquiries'!$AL$58</c:f>
              <c:strCache>
                <c:ptCount val="1"/>
                <c:pt idx="0">
                  <c:v>Torbay</c:v>
                </c:pt>
              </c:strCache>
            </c:strRef>
          </c:tx>
          <c:spPr>
            <a:ln w="15875"/>
          </c:spPr>
          <c:marker>
            <c:symbol val="circle"/>
            <c:size val="5"/>
            <c:spPr>
              <a:solidFill>
                <a:schemeClr val="accent3">
                  <a:lumMod val="20000"/>
                  <a:lumOff val="80000"/>
                </a:schemeClr>
              </a:solidFill>
            </c:spPr>
          </c:marker>
          <c:cat>
            <c:strRef>
              <c:f>'Section 47 Enquiries'!$Z$2:$AD$3</c:f>
              <c:strCache>
                <c:ptCount val="5"/>
                <c:pt idx="0">
                  <c:v>2014-15</c:v>
                </c:pt>
                <c:pt idx="1">
                  <c:v>2015-16</c:v>
                </c:pt>
                <c:pt idx="2">
                  <c:v>2016-17</c:v>
                </c:pt>
                <c:pt idx="3">
                  <c:v>2017-18</c:v>
                </c:pt>
                <c:pt idx="4">
                  <c:v>2018-19</c:v>
                </c:pt>
              </c:strCache>
            </c:strRef>
          </c:cat>
          <c:val>
            <c:numRef>
              <c:f>'Section 47 Enquiries'!$AM$58:$AQ$58</c:f>
              <c:numCache>
                <c:formatCode>0.0</c:formatCode>
                <c:ptCount val="5"/>
                <c:pt idx="0">
                  <c:v>274.50199203187248</c:v>
                </c:pt>
                <c:pt idx="1">
                  <c:v>313.09523809523807</c:v>
                </c:pt>
                <c:pt idx="2">
                  <c:v>299.21259842519686</c:v>
                </c:pt>
                <c:pt idx="3">
                  <c:v>272.44094488188978</c:v>
                </c:pt>
                <c:pt idx="4">
                  <c:v>305.51181102362204</c:v>
                </c:pt>
              </c:numCache>
            </c:numRef>
          </c:val>
          <c:smooth val="0"/>
          <c:extLst>
            <c:ext xmlns:c16="http://schemas.microsoft.com/office/drawing/2014/chart" uri="{C3380CC4-5D6E-409C-BE32-E72D297353CC}">
              <c16:uniqueId val="{00000012-D165-4C13-9248-2D14AD07A2AE}"/>
            </c:ext>
          </c:extLst>
        </c:ser>
        <c:ser>
          <c:idx val="23"/>
          <c:order val="18"/>
          <c:tx>
            <c:strRef>
              <c:f>'Section 47 Enquiries'!$AL$59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Enquiries'!$AM$59:$AQ$59</c:f>
              <c:numCache>
                <c:formatCode>0.0</c:formatCode>
                <c:ptCount val="5"/>
                <c:pt idx="0">
                  <c:v>139.32584269662922</c:v>
                </c:pt>
                <c:pt idx="1">
                  <c:v>180.39215686274511</c:v>
                </c:pt>
                <c:pt idx="2">
                  <c:v>154.03899721448468</c:v>
                </c:pt>
                <c:pt idx="3">
                  <c:v>173.46368715083798</c:v>
                </c:pt>
                <c:pt idx="4">
                  <c:v>156.17977528089887</c:v>
                </c:pt>
              </c:numCache>
            </c:numRef>
          </c:val>
          <c:smooth val="0"/>
          <c:extLst>
            <c:ext xmlns:c16="http://schemas.microsoft.com/office/drawing/2014/chart" uri="{C3380CC4-5D6E-409C-BE32-E72D297353CC}">
              <c16:uniqueId val="{00000013-D165-4C13-9248-2D14AD07A2AE}"/>
            </c:ext>
          </c:extLst>
        </c:ser>
        <c:ser>
          <c:idx val="24"/>
          <c:order val="19"/>
          <c:tx>
            <c:strRef>
              <c:f>'Section 47 Enquiries'!$AL$60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Enquiries'!$AM$60:$AQ$60</c:f>
              <c:numCache>
                <c:formatCode>0.0</c:formatCode>
                <c:ptCount val="5"/>
                <c:pt idx="0">
                  <c:v>117.18009478672987</c:v>
                </c:pt>
                <c:pt idx="1">
                  <c:v>105.92723004694835</c:v>
                </c:pt>
                <c:pt idx="2">
                  <c:v>126.25145518044236</c:v>
                </c:pt>
                <c:pt idx="3">
                  <c:v>173.28332371609926</c:v>
                </c:pt>
                <c:pt idx="4">
                  <c:v>165.65540927303948</c:v>
                </c:pt>
              </c:numCache>
            </c:numRef>
          </c:val>
          <c:smooth val="0"/>
          <c:extLst>
            <c:ext xmlns:c16="http://schemas.microsoft.com/office/drawing/2014/chart" uri="{C3380CC4-5D6E-409C-BE32-E72D297353CC}">
              <c16:uniqueId val="{00000014-D165-4C13-9248-2D14AD07A2AE}"/>
            </c:ext>
          </c:extLst>
        </c:ser>
        <c:ser>
          <c:idx val="25"/>
          <c:order val="20"/>
          <c:tx>
            <c:strRef>
              <c:f>'Section 47 Enquiries'!$AL$61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Enquiries'!$AM$61:$AQ$61</c:f>
              <c:numCache>
                <c:formatCode>0.0</c:formatCode>
                <c:ptCount val="5"/>
                <c:pt idx="0">
                  <c:v>97.305389221556894</c:v>
                </c:pt>
                <c:pt idx="1">
                  <c:v>129.67359050445106</c:v>
                </c:pt>
                <c:pt idx="2">
                  <c:v>133.62573099415204</c:v>
                </c:pt>
                <c:pt idx="3">
                  <c:v>101.74418604651163</c:v>
                </c:pt>
                <c:pt idx="4">
                  <c:v>150.86705202312137</c:v>
                </c:pt>
              </c:numCache>
            </c:numRef>
          </c:val>
          <c:smooth val="0"/>
          <c:extLst>
            <c:ext xmlns:c16="http://schemas.microsoft.com/office/drawing/2014/chart" uri="{C3380CC4-5D6E-409C-BE32-E72D297353CC}">
              <c16:uniqueId val="{00000015-D165-4C13-9248-2D14AD07A2AE}"/>
            </c:ext>
          </c:extLst>
        </c:ser>
        <c:ser>
          <c:idx val="26"/>
          <c:order val="21"/>
          <c:tx>
            <c:strRef>
              <c:f>'Section 47 Enquiries'!$AL$62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Enquiries'!$AM$62:$AQ$62</c:f>
              <c:numCache>
                <c:formatCode>0.0</c:formatCode>
                <c:ptCount val="5"/>
                <c:pt idx="0">
                  <c:v>68.563685636856377</c:v>
                </c:pt>
                <c:pt idx="1">
                  <c:v>92.761394101876675</c:v>
                </c:pt>
                <c:pt idx="2">
                  <c:v>69.21052631578948</c:v>
                </c:pt>
                <c:pt idx="3">
                  <c:v>121.70542635658914</c:v>
                </c:pt>
                <c:pt idx="4">
                  <c:v>165.82278481012659</c:v>
                </c:pt>
              </c:numCache>
            </c:numRef>
          </c:val>
          <c:smooth val="0"/>
          <c:extLst>
            <c:ext xmlns:c16="http://schemas.microsoft.com/office/drawing/2014/chart" uri="{C3380CC4-5D6E-409C-BE32-E72D297353CC}">
              <c16:uniqueId val="{00000016-D165-4C13-9248-2D14AD07A2AE}"/>
            </c:ext>
          </c:extLst>
        </c:ser>
        <c:ser>
          <c:idx val="4"/>
          <c:order val="22"/>
          <c:tx>
            <c:strRef>
              <c:f>'Section 47 Enquiries'!$AL$63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'Section 47 Enquiries'!$Z$2:$AD$3</c:f>
              <c:strCache>
                <c:ptCount val="5"/>
                <c:pt idx="0">
                  <c:v>2014-15</c:v>
                </c:pt>
                <c:pt idx="1">
                  <c:v>2015-16</c:v>
                </c:pt>
                <c:pt idx="2">
                  <c:v>2016-17</c:v>
                </c:pt>
                <c:pt idx="3">
                  <c:v>2017-18</c:v>
                </c:pt>
                <c:pt idx="4">
                  <c:v>2018-19</c:v>
                </c:pt>
              </c:strCache>
            </c:strRef>
          </c:cat>
          <c:val>
            <c:numRef>
              <c:f>'Section 47 Enquiries'!$AM$63:$AQ$63</c:f>
              <c:numCache>
                <c:formatCode>0.0</c:formatCode>
                <c:ptCount val="5"/>
                <c:pt idx="0">
                  <c:v>150.17853392144508</c:v>
                </c:pt>
                <c:pt idx="1">
                  <c:v>159.74141077107555</c:v>
                </c:pt>
                <c:pt idx="2">
                  <c:v>159.4330350214681</c:v>
                </c:pt>
                <c:pt idx="3">
                  <c:v>166.67524049591029</c:v>
                </c:pt>
                <c:pt idx="4">
                  <c:v>172.11607234086031</c:v>
                </c:pt>
              </c:numCache>
            </c:numRef>
          </c:val>
          <c:smooth val="0"/>
          <c:extLst>
            <c:ext xmlns:c16="http://schemas.microsoft.com/office/drawing/2014/chart" uri="{C3380CC4-5D6E-409C-BE32-E72D297353CC}">
              <c16:uniqueId val="{00000017-D165-4C13-9248-2D14AD07A2AE}"/>
            </c:ext>
          </c:extLst>
        </c:ser>
        <c:ser>
          <c:idx val="14"/>
          <c:order val="23"/>
          <c:tx>
            <c:strRef>
              <c:f>'Section 47 Enquiries'!$AL$64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'Section 47 Enquiries'!$Z$2:$AD$3</c:f>
              <c:strCache>
                <c:ptCount val="5"/>
                <c:pt idx="0">
                  <c:v>2014-15</c:v>
                </c:pt>
                <c:pt idx="1">
                  <c:v>2015-16</c:v>
                </c:pt>
                <c:pt idx="2">
                  <c:v>2016-17</c:v>
                </c:pt>
                <c:pt idx="3">
                  <c:v>2017-18</c:v>
                </c:pt>
                <c:pt idx="4">
                  <c:v>2018-19</c:v>
                </c:pt>
              </c:strCache>
            </c:strRef>
          </c:cat>
          <c:val>
            <c:numRef>
              <c:f>'Section 47 Enquiries'!$AM$64:$AQ$64</c:f>
              <c:numCache>
                <c:formatCode>0.0</c:formatCode>
                <c:ptCount val="5"/>
                <c:pt idx="0">
                  <c:v>138.15920011732533</c:v>
                </c:pt>
                <c:pt idx="1">
                  <c:v>147.5350876441826</c:v>
                </c:pt>
                <c:pt idx="2">
                  <c:v>157.35704649011907</c:v>
                </c:pt>
                <c:pt idx="3">
                  <c:v>166.92508637397827</c:v>
                </c:pt>
                <c:pt idx="4">
                  <c:v>168.278319642648</c:v>
                </c:pt>
              </c:numCache>
            </c:numRef>
          </c:val>
          <c:smooth val="0"/>
          <c:extLst>
            <c:ext xmlns:c16="http://schemas.microsoft.com/office/drawing/2014/chart" uri="{C3380CC4-5D6E-409C-BE32-E72D297353CC}">
              <c16:uniqueId val="{00000018-D165-4C13-9248-2D14AD07A2AE}"/>
            </c:ext>
          </c:extLst>
        </c:ser>
        <c:ser>
          <c:idx val="6"/>
          <c:order val="24"/>
          <c:tx>
            <c:strRef>
              <c:f>'Section 47 Enquiries'!$AL$65</c:f>
              <c:strCache>
                <c:ptCount val="1"/>
                <c:pt idx="0">
                  <c:v>Selected LA- (none)</c:v>
                </c:pt>
              </c:strCache>
            </c:strRef>
          </c:tx>
          <c:spPr>
            <a:ln w="28575">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'Section 47 Enquiries'!$Z$2:$AD$3</c:f>
              <c:strCache>
                <c:ptCount val="5"/>
                <c:pt idx="0">
                  <c:v>2014-15</c:v>
                </c:pt>
                <c:pt idx="1">
                  <c:v>2015-16</c:v>
                </c:pt>
                <c:pt idx="2">
                  <c:v>2016-17</c:v>
                </c:pt>
                <c:pt idx="3">
                  <c:v>2017-18</c:v>
                </c:pt>
                <c:pt idx="4">
                  <c:v>2018-19</c:v>
                </c:pt>
              </c:strCache>
            </c:strRef>
          </c:cat>
          <c:val>
            <c:numRef>
              <c:f>'Section 47 Enquiries'!$AM$65:$AQ$65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165-4C13-9248-2D14AD07A2AE}"/>
            </c:ext>
          </c:extLst>
        </c:ser>
        <c:dLbls>
          <c:showLegendKey val="0"/>
          <c:showVal val="0"/>
          <c:showCatName val="0"/>
          <c:showSerName val="0"/>
          <c:showPercent val="0"/>
          <c:showBubbleSize val="0"/>
        </c:dLbls>
        <c:marker val="1"/>
        <c:smooth val="0"/>
        <c:axId val="248408704"/>
        <c:axId val="248422784"/>
      </c:lineChart>
      <c:catAx>
        <c:axId val="248408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422784"/>
        <c:crosses val="autoZero"/>
        <c:auto val="1"/>
        <c:lblAlgn val="ctr"/>
        <c:lblOffset val="100"/>
        <c:tickLblSkip val="1"/>
        <c:tickMarkSkip val="1"/>
        <c:noMultiLvlLbl val="0"/>
      </c:catAx>
      <c:valAx>
        <c:axId val="24842278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40870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155578606566395"/>
        </c:manualLayout>
      </c:layout>
      <c:barChart>
        <c:barDir val="col"/>
        <c:grouping val="clustered"/>
        <c:varyColors val="0"/>
        <c:ser>
          <c:idx val="6"/>
          <c:order val="0"/>
          <c:tx>
            <c:strRef>
              <c:f>'Section 47 Enquiries'!$AA$4</c:f>
              <c:strCache>
                <c:ptCount val="1"/>
                <c:pt idx="0">
                  <c:v>Selected LA- (none)</c:v>
                </c:pt>
              </c:strCache>
            </c:strRef>
          </c:tx>
          <c:spPr>
            <a:solidFill>
              <a:srgbClr val="66FF99"/>
            </a:solidFill>
            <a:ln>
              <a:solidFill>
                <a:schemeClr val="tx1">
                  <a:lumMod val="75000"/>
                  <a:lumOff val="25000"/>
                </a:schemeClr>
              </a:solidFill>
            </a:ln>
          </c:spPr>
          <c:invertIfNegative val="0"/>
          <c:cat>
            <c:strRef>
              <c:f>'Section 47 Enquiries'!$Z$2:$AD$3</c:f>
              <c:strCache>
                <c:ptCount val="5"/>
                <c:pt idx="0">
                  <c:v>2014-15</c:v>
                </c:pt>
                <c:pt idx="1">
                  <c:v>2015-16</c:v>
                </c:pt>
                <c:pt idx="2">
                  <c:v>2016-17</c:v>
                </c:pt>
                <c:pt idx="3">
                  <c:v>2017-18</c:v>
                </c:pt>
                <c:pt idx="4">
                  <c:v>2018-19</c:v>
                </c:pt>
              </c:strCache>
            </c:strRef>
          </c:cat>
          <c:val>
            <c:numRef>
              <c:f>'Section 47 Enquiries'!$AM$65:$AQ$65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908C-4490-B193-4A67B2222AE4}"/>
            </c:ext>
          </c:extLst>
        </c:ser>
        <c:ser>
          <c:idx val="4"/>
          <c:order val="1"/>
          <c:tx>
            <c:strRef>
              <c:f>'Section 47 Enquiries'!$B$32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'Section 47 Enquiries'!$Z$2:$AD$3</c:f>
              <c:strCache>
                <c:ptCount val="5"/>
                <c:pt idx="0">
                  <c:v>2014-15</c:v>
                </c:pt>
                <c:pt idx="1">
                  <c:v>2015-16</c:v>
                </c:pt>
                <c:pt idx="2">
                  <c:v>2016-17</c:v>
                </c:pt>
                <c:pt idx="3">
                  <c:v>2017-18</c:v>
                </c:pt>
                <c:pt idx="4">
                  <c:v>2018-19</c:v>
                </c:pt>
              </c:strCache>
            </c:strRef>
          </c:cat>
          <c:val>
            <c:numRef>
              <c:f>'Section 47 Enquiries'!$K$32:$O$32</c:f>
              <c:numCache>
                <c:formatCode>0.0</c:formatCode>
                <c:ptCount val="5"/>
                <c:pt idx="0">
                  <c:v>150.17853392144508</c:v>
                </c:pt>
                <c:pt idx="1">
                  <c:v>159.74141077107555</c:v>
                </c:pt>
                <c:pt idx="2">
                  <c:v>159.4330350214681</c:v>
                </c:pt>
                <c:pt idx="3">
                  <c:v>166.67524049591029</c:v>
                </c:pt>
                <c:pt idx="4">
                  <c:v>172.11607234086031</c:v>
                </c:pt>
              </c:numCache>
            </c:numRef>
          </c:val>
          <c:extLst>
            <c:ext xmlns:c16="http://schemas.microsoft.com/office/drawing/2014/chart" uri="{C3380CC4-5D6E-409C-BE32-E72D297353CC}">
              <c16:uniqueId val="{00000001-908C-4490-B193-4A67B2222AE4}"/>
            </c:ext>
          </c:extLst>
        </c:ser>
        <c:ser>
          <c:idx val="0"/>
          <c:order val="2"/>
          <c:tx>
            <c:strRef>
              <c:f>'Section 47 Enquiries'!$B$33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'Section 47 Enquiries'!$Z$2:$AD$3</c:f>
              <c:strCache>
                <c:ptCount val="5"/>
                <c:pt idx="0">
                  <c:v>2014-15</c:v>
                </c:pt>
                <c:pt idx="1">
                  <c:v>2015-16</c:v>
                </c:pt>
                <c:pt idx="2">
                  <c:v>2016-17</c:v>
                </c:pt>
                <c:pt idx="3">
                  <c:v>2017-18</c:v>
                </c:pt>
                <c:pt idx="4">
                  <c:v>2018-19</c:v>
                </c:pt>
              </c:strCache>
            </c:strRef>
          </c:cat>
          <c:val>
            <c:numRef>
              <c:f>'Section 47 Enquiries'!$K$33:$O$33</c:f>
              <c:numCache>
                <c:formatCode>0.0</c:formatCode>
                <c:ptCount val="5"/>
                <c:pt idx="0">
                  <c:v>138.15920011732533</c:v>
                </c:pt>
                <c:pt idx="1">
                  <c:v>147.5350876441826</c:v>
                </c:pt>
                <c:pt idx="2">
                  <c:v>157.35704649011907</c:v>
                </c:pt>
                <c:pt idx="3">
                  <c:v>166.92508637397827</c:v>
                </c:pt>
                <c:pt idx="4">
                  <c:v>168.278319642648</c:v>
                </c:pt>
              </c:numCache>
            </c:numRef>
          </c:val>
          <c:extLst>
            <c:ext xmlns:c16="http://schemas.microsoft.com/office/drawing/2014/chart" uri="{C3380CC4-5D6E-409C-BE32-E72D297353CC}">
              <c16:uniqueId val="{00000002-908C-4490-B193-4A67B2222AE4}"/>
            </c:ext>
          </c:extLst>
        </c:ser>
        <c:dLbls>
          <c:showLegendKey val="0"/>
          <c:showVal val="0"/>
          <c:showCatName val="0"/>
          <c:showSerName val="0"/>
          <c:showPercent val="0"/>
          <c:showBubbleSize val="0"/>
        </c:dLbls>
        <c:gapWidth val="100"/>
        <c:axId val="248441088"/>
        <c:axId val="248639488"/>
      </c:barChart>
      <c:catAx>
        <c:axId val="248441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639488"/>
        <c:crosses val="autoZero"/>
        <c:auto val="1"/>
        <c:lblAlgn val="ctr"/>
        <c:lblOffset val="100"/>
        <c:noMultiLvlLbl val="0"/>
      </c:catAx>
      <c:valAx>
        <c:axId val="24863948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441088"/>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Section 47 Enquiries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'Section 47 Enquiries'!$S$7:$U$7</c:f>
              <c:strCache>
                <c:ptCount val="1"/>
                <c:pt idx="0">
                  <c:v>Distance from Expected 2019</c:v>
                </c:pt>
              </c:strCache>
            </c:strRef>
          </c:tx>
          <c:spPr>
            <a:solidFill>
              <a:srgbClr val="FB994F"/>
            </a:solidFill>
            <a:ln w="25400">
              <a:noFill/>
            </a:ln>
          </c:spPr>
          <c:invertIfNegative val="0"/>
          <c:cat>
            <c:strRef>
              <c:f>'Section 47 Enquiries'!$Y$77:$Y$100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Enquiries'!$U$10:$U$33</c:f>
              <c:numCache>
                <c:formatCode>0.0</c:formatCode>
                <c:ptCount val="24"/>
                <c:pt idx="0">
                  <c:v>135.4723821845671</c:v>
                </c:pt>
                <c:pt idx="1">
                  <c:v>-9.6379918310842072</c:v>
                </c:pt>
                <c:pt idx="2">
                  <c:v>65.41546046099694</c:v>
                </c:pt>
                <c:pt idx="3">
                  <c:v>-43.48135346646103</c:v>
                </c:pt>
                <c:pt idx="4">
                  <c:v>30.122351737923296</c:v>
                </c:pt>
                <c:pt idx="5">
                  <c:v>18.091602743375319</c:v>
                </c:pt>
                <c:pt idx="6">
                  <c:v>10.797512528563971</c:v>
                </c:pt>
                <c:pt idx="7">
                  <c:v>44.228151954333725</c:v>
                </c:pt>
                <c:pt idx="8">
                  <c:v>-71.574908286210231</c:v>
                </c:pt>
                <c:pt idx="9">
                  <c:v>7.4661382136839478</c:v>
                </c:pt>
                <c:pt idx="10">
                  <c:v>98.244892446256841</c:v>
                </c:pt>
                <c:pt idx="11">
                  <c:v>110.28525025307516</c:v>
                </c:pt>
                <c:pt idx="12">
                  <c:v>91.643584228770834</c:v>
                </c:pt>
                <c:pt idx="13">
                  <c:v>-38.713149694501368</c:v>
                </c:pt>
                <c:pt idx="14">
                  <c:v>134.71539204719184</c:v>
                </c:pt>
                <c:pt idx="15">
                  <c:v>50.103531743100461</c:v>
                </c:pt>
                <c:pt idx="16">
                  <c:v>51.670139205190225</c:v>
                </c:pt>
                <c:pt idx="17">
                  <c:v>92.171853797391776</c:v>
                </c:pt>
                <c:pt idx="18">
                  <c:v>45.145709629274393</c:v>
                </c:pt>
                <c:pt idx="19">
                  <c:v>36.795317059173101</c:v>
                </c:pt>
                <c:pt idx="20">
                  <c:v>55.333879034315956</c:v>
                </c:pt>
                <c:pt idx="21">
                  <c:v>78.815102785871659</c:v>
                </c:pt>
                <c:pt idx="22">
                  <c:v>32.628039141895698</c:v>
                </c:pt>
                <c:pt idx="23">
                  <c:v>-7.738692125007276</c:v>
                </c:pt>
              </c:numCache>
            </c:numRef>
          </c:val>
          <c:extLst>
            <c:ext xmlns:c16="http://schemas.microsoft.com/office/drawing/2014/chart" uri="{C3380CC4-5D6E-409C-BE32-E72D297353CC}">
              <c16:uniqueId val="{00000000-D521-409C-9FF4-066708A4B9D9}"/>
            </c:ext>
          </c:extLst>
        </c:ser>
        <c:ser>
          <c:idx val="0"/>
          <c:order val="1"/>
          <c:tx>
            <c:strRef>
              <c:f>'Section 47 Enquiries'!$AA$4</c:f>
              <c:strCache>
                <c:ptCount val="1"/>
                <c:pt idx="0">
                  <c:v>Selected LA- (none)</c:v>
                </c:pt>
              </c:strCache>
            </c:strRef>
          </c:tx>
          <c:spPr>
            <a:solidFill>
              <a:srgbClr val="66FF99"/>
            </a:solidFill>
            <a:ln w="12700">
              <a:solidFill>
                <a:srgbClr val="000000"/>
              </a:solidFill>
              <a:prstDash val="solid"/>
            </a:ln>
          </c:spPr>
          <c:invertIfNegative val="0"/>
          <c:cat>
            <c:strRef>
              <c:f>'Section 47 Enquiries'!$Y$77:$Y$100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D521-409C-9FF4-066708A4B9D9}"/>
            </c:ext>
          </c:extLst>
        </c:ser>
        <c:dLbls>
          <c:showLegendKey val="0"/>
          <c:showVal val="0"/>
          <c:showCatName val="0"/>
          <c:showSerName val="0"/>
          <c:showPercent val="0"/>
          <c:showBubbleSize val="0"/>
        </c:dLbls>
        <c:gapWidth val="40"/>
        <c:overlap val="100"/>
        <c:axId val="248681984"/>
        <c:axId val="248683520"/>
      </c:barChart>
      <c:catAx>
        <c:axId val="2486819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683520"/>
        <c:crossesAt val="0"/>
        <c:auto val="1"/>
        <c:lblAlgn val="ctr"/>
        <c:lblOffset val="100"/>
        <c:noMultiLvlLbl val="0"/>
      </c:catAx>
      <c:valAx>
        <c:axId val="24868352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68198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'Section 47 Enquiries'!$AL$5</c:f>
          <c:strCache>
            <c:ptCount val="1"/>
            <c:pt idx="0">
              <c:v>Average Annual Change in Number of Section 47 Enquiries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'Section 47 Enquiries'!$I$7</c:f>
              <c:strCache>
                <c:ptCount val="1"/>
                <c:pt idx="0">
                  <c:v>Average Annual Change </c:v>
                </c:pt>
              </c:strCache>
            </c:strRef>
          </c:tx>
          <c:spPr>
            <a:solidFill>
              <a:srgbClr val="FB994F"/>
            </a:solidFill>
            <a:ln w="25400">
              <a:noFill/>
            </a:ln>
          </c:spPr>
          <c:invertIfNegative val="0"/>
          <c:cat>
            <c:strRef>
              <c:f>'Section 47 Enquiries'!$B$10:$B$33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Enquiries'!$I$10:$I$33</c:f>
              <c:numCache>
                <c:formatCode>0.0%</c:formatCode>
                <c:ptCount val="24"/>
                <c:pt idx="0">
                  <c:v>0.14912942564238774</c:v>
                </c:pt>
                <c:pt idx="1">
                  <c:v>-6.004415796052405E-2</c:v>
                </c:pt>
                <c:pt idx="2">
                  <c:v>6.809499744039238E-2</c:v>
                </c:pt>
                <c:pt idx="3">
                  <c:v>8.7668562317535823E-2</c:v>
                </c:pt>
                <c:pt idx="4">
                  <c:v>-1.3140477257620371E-2</c:v>
                </c:pt>
                <c:pt idx="5">
                  <c:v>-8.6952268966922042E-2</c:v>
                </c:pt>
                <c:pt idx="6">
                  <c:v>8.9531193551380839E-2</c:v>
                </c:pt>
                <c:pt idx="7">
                  <c:v>2.8488513569366915E-2</c:v>
                </c:pt>
                <c:pt idx="8">
                  <c:v>4.6264361360945402E-2</c:v>
                </c:pt>
                <c:pt idx="9">
                  <c:v>4.7525387100886669E-2</c:v>
                </c:pt>
                <c:pt idx="10">
                  <c:v>6.2918996474220515E-2</c:v>
                </c:pt>
                <c:pt idx="11">
                  <c:v>0.19968835160787771</c:v>
                </c:pt>
                <c:pt idx="12">
                  <c:v>6.0710955961677179E-2</c:v>
                </c:pt>
                <c:pt idx="13">
                  <c:v>-9.5130193657315607E-2</c:v>
                </c:pt>
                <c:pt idx="14">
                  <c:v>-3.2360407472584451E-2</c:v>
                </c:pt>
                <c:pt idx="15">
                  <c:v>7.5618561427745035E-2</c:v>
                </c:pt>
                <c:pt idx="16">
                  <c:v>0.16620440298274872</c:v>
                </c:pt>
                <c:pt idx="17">
                  <c:v>3.5074023362033246E-2</c:v>
                </c:pt>
                <c:pt idx="18">
                  <c:v>4.3844625905626849E-2</c:v>
                </c:pt>
                <c:pt idx="19">
                  <c:v>0.11560298024263654</c:v>
                </c:pt>
                <c:pt idx="20">
                  <c:v>0.1619187197592277</c:v>
                </c:pt>
                <c:pt idx="21">
                  <c:v>0.32730930963880844</c:v>
                </c:pt>
                <c:pt idx="22">
                  <c:v>3.4953578557712979E-2</c:v>
                </c:pt>
                <c:pt idx="23">
                  <c:v>5.8973449512901753E-2</c:v>
                </c:pt>
              </c:numCache>
            </c:numRef>
          </c:val>
          <c:extLst>
            <c:ext xmlns:c16="http://schemas.microsoft.com/office/drawing/2014/chart" uri="{C3380CC4-5D6E-409C-BE32-E72D297353CC}">
              <c16:uniqueId val="{00000000-7A33-4290-A497-5033740A1968}"/>
            </c:ext>
          </c:extLst>
        </c:ser>
        <c:ser>
          <c:idx val="1"/>
          <c:order val="1"/>
          <c:tx>
            <c:strRef>
              <c:f>'Section 47 Enquiries'!$AA$4</c:f>
              <c:strCache>
                <c:ptCount val="1"/>
                <c:pt idx="0">
                  <c:v>Selected LA- (none)</c:v>
                </c:pt>
              </c:strCache>
            </c:strRef>
          </c:tx>
          <c:spPr>
            <a:solidFill>
              <a:srgbClr val="66FF99"/>
            </a:solidFill>
            <a:ln w="12700">
              <a:solidFill>
                <a:srgbClr val="000000"/>
              </a:solidFill>
              <a:prstDash val="solid"/>
            </a:ln>
          </c:spPr>
          <c:invertIfNegative val="0"/>
          <c:cat>
            <c:strRef>
              <c:f>'Section 47 Enquiries'!$B$10:$B$33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'Section 47 Enquiries'!$Z$77:$Z$100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7A33-4290-A497-5033740A1968}"/>
            </c:ext>
          </c:extLst>
        </c:ser>
        <c:dLbls>
          <c:showLegendKey val="0"/>
          <c:showVal val="0"/>
          <c:showCatName val="0"/>
          <c:showSerName val="0"/>
          <c:showPercent val="0"/>
          <c:showBubbleSize val="0"/>
        </c:dLbls>
        <c:gapWidth val="40"/>
        <c:overlap val="100"/>
        <c:axId val="248721408"/>
        <c:axId val="248722944"/>
      </c:barChart>
      <c:catAx>
        <c:axId val="24872140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722944"/>
        <c:crosses val="autoZero"/>
        <c:auto val="1"/>
        <c:lblAlgn val="ctr"/>
        <c:lblOffset val="100"/>
        <c:noMultiLvlLbl val="0"/>
      </c:catAx>
      <c:valAx>
        <c:axId val="24872294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721408"/>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Section 47 Enquiries vs. IDACI</a:t>
            </a:r>
          </a:p>
        </c:rich>
      </c:tx>
      <c:layout>
        <c:manualLayout>
          <c:xMode val="edge"/>
          <c:yMode val="edge"/>
          <c:x val="0.25699495255400767"/>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'Section 47 Enquiries'!$AR$38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168C-4B43-BC18-9CFCAFDC2002}"/>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{27AC80AC-8CFD-43D2-B4DD-CF2DD65151FC}</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168C-4B43-BC18-9CFCAFDC2002}"/>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{14AAF25C-9510-4DA5-A436-934BF4B98855}</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168C-4B43-BC18-9CFCAFDC2002}"/>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{45160935-AA7A-4860-9B31-747DD017F203}</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168C-4B43-BC18-9CFCAFDC2002}"/>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{CBCDE494-B01E-421B-91B8-B4CD68ACA924}</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168C-4B43-BC18-9CFCAFDC2002}"/>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{8C0D85B3-7FDC-45E3-AAFC-03BB6A0A9343}</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168C-4B43-BC18-9CFCAFDC2002}"/>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{796A7D46-2308-418B-A11D-A69C480E529B}</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168C-4B43-BC18-9CFCAFDC2002}"/>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{38C7E07C-428F-4252-9562-D9BB0D3BE47B}</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168C-4B43-BC18-9CFCAFDC2002}"/>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{8FB6DB56-823A-4931-B535-28DD0867B856}</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168C-4B43-BC18-9CFCAFDC2002}"/>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{A1FA2410-5853-449F-8F76-15DE7704D0E5}</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168C-4B43-BC18-9CFCAFDC2002}"/>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{DA0BD24F-E682-481F-8EF1-E0E06B7785D7}</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168C-4B43-BC18-9CFCAFDC2002}"/>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{BB93CA27-53A4-4043-8D9C-E95239259A9E}</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168C-4B43-BC18-9CFCAFDC2002}"/>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{28EF719A-C886-4E93-94EE-5A6CD5811298}</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168C-4B43-BC18-9CFCAFDC2002}"/>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{4723B065-4009-4098-883A-CC4361C41BA6}</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168C-4B43-BC18-9CFCAFDC2002}"/>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{344B00EA-8F82-4594-903E-A2BD27BBB759}</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168C-4B43-BC18-9CFCAFDC2002}"/>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{2F706313-1268-4D69-B42C-71A72C98B8DD}</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168C-4B43-BC18-9CFCAFDC2002}"/>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{518259EF-67A7-4DA7-B4C5-58FD209BA9F5}</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168C-4B43-BC18-9CFCAFDC2002}"/>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{FF90D700-13E1-43CA-A49D-BC52DAFF16C4}</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168C-4B43-BC18-9CFCAFDC2002}"/>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{B9B2C24B-C776-4233-8DD0-AF73FDC08EBE}</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168C-4B43-BC18-9CFCAFDC2002}"/>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{FB177DB7-A35A-431B-AA87-A76880D0FD9B}</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168C-4B43-BC18-9CFCAFDC2002}"/>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trendline>
            <c:spPr>
              <a:ln>
                <a:solidFill>
                  <a:srgbClr val="C00000"/>
                </a:solidFill>
              </a:ln>
            </c:spPr>
            <c:trendlineType val="linear"/>
            <c:dispRSqr val="0"/>
            <c:dispEq val="0"/>
          </c:trendline>
          <c:xVal>
            <c:numRef>
              <c:f>('Section 47 Enquiries'!$AR$41:$AR$53,'Section 47 Enquiries'!$AR$55:$AR$56,'Section 47 Enquiries'!$AR$59:$AR$62)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('Section 47 Enquiries'!$AQ$41:$AQ$53,'Section 47 Enquiries'!$AQ$55:$AQ$56,'Section 47 Enquiries'!$AQ$59:$AQ$62)</c:f>
              <c:numCache>
                <c:formatCode>0.0</c:formatCode>
                <c:ptCount val="19"/>
                <c:pt idx="0">
                  <c:v>248.0565371024735</c:v>
                </c:pt>
                <c:pt idx="1">
                  <c:v>152.54901960784315</c:v>
                </c:pt>
                <c:pt idx="2">
                  <c:v>174.89943684633951</c:v>
                </c:pt>
                <c:pt idx="3">
                  <c:v>124.90601503759399</c:v>
                </c:pt>
                <c:pt idx="4">
                  <c:v>152.00704225352112</c:v>
                </c:pt>
                <c:pt idx="5">
                  <c:v>201.20481927710844</c:v>
                </c:pt>
                <c:pt idx="6">
                  <c:v>176.85974713319612</c:v>
                </c:pt>
                <c:pt idx="7">
                  <c:v>234.31677018633542</c:v>
                </c:pt>
                <c:pt idx="8">
                  <c:v>88.286969253294288</c:v>
                </c:pt>
                <c:pt idx="9">
                  <c:v>129.35082872928177</c:v>
                </c:pt>
                <c:pt idx="10">
                  <c:v>298.40909090909093</c:v>
                </c:pt>
                <c:pt idx="11">
                  <c:v>277.89757412398922</c:v>
                </c:pt>
                <c:pt idx="12">
                  <c:v>249.18032786885249</c:v>
                </c:pt>
                <c:pt idx="13">
                  <c:v>337.20472440944877</c:v>
                </c:pt>
                <c:pt idx="14">
                  <c:v>158.03741886216113</c:v>
                </c:pt>
                <c:pt idx="15">
                  <c:v>156.17977528089887</c:v>
                </c:pt>
                <c:pt idx="16">
                  <c:v>165.65540927303948</c:v>
                </c:pt>
                <c:pt idx="17">
                  <c:v>150.86705202312137</c:v>
                </c:pt>
                <c:pt idx="18">
                  <c:v>165.82278481012659</c:v>
                </c:pt>
              </c:numCache>
            </c:numRef>
          </c:yVal>
          <c:smooth val="0"/>
          <c:extLst>
            <c:ext xmlns:c16="http://schemas.microsoft.com/office/drawing/2014/chart" uri="{C3380CC4-5D6E-409C-BE32-E72D297353CC}">
              <c16:uniqueId val="{00000015-168C-4B43-BC18-9CFCAFDC2002}"/>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6-168C-4B43-BC18-9CFCAFDC2002}"/>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{483283A2-DF34-4F5E-BDFD-69FEC0B04792}</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6-168C-4B43-BC18-9CFCAFDC2002}"/>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{9D5C6215-95FF-4AF9-A701-5C3AB019A203}</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7-168C-4B43-BC18-9CFCAFDC2002}"/>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{0DB1D878-AAE8-4343-8402-610B500AE2BB}</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8-168C-4B43-BC18-9CFCAFDC2002}"/>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('Section 47 Enquiries'!$AR$54,'Section 47 Enquiries'!$AR$57:$AR$58)</c:f>
              <c:numCache>
                <c:formatCode>0.0</c:formatCode>
                <c:ptCount val="3"/>
                <c:pt idx="0">
                  <c:v>13.600000000000001</c:v>
                </c:pt>
                <c:pt idx="1">
                  <c:v>14.899999999999999</c:v>
                </c:pt>
                <c:pt idx="2">
                  <c:v>21.9</c:v>
                </c:pt>
              </c:numCache>
            </c:numRef>
          </c:xVal>
          <c:yVal>
            <c:numRef>
              <c:f>('Section 47 Enquiries'!$AQ$54,'Section 47 Enquiries'!$AQ$57:$AQ$58)</c:f>
              <c:numCache>
                <c:formatCode>0.0</c:formatCode>
                <c:ptCount val="3"/>
                <c:pt idx="0">
                  <c:v>110.29810298102981</c:v>
                </c:pt>
                <c:pt idx="1">
                  <c:v>210.75697211155378</c:v>
                </c:pt>
                <c:pt idx="2">
                  <c:v>305.51181102362204</c:v>
                </c:pt>
              </c:numCache>
            </c:numRef>
          </c:yVal>
          <c:smooth val="0"/>
          <c:extLst>
            <c:ext xmlns:c16="http://schemas.microsoft.com/office/drawing/2014/chart" uri="{C3380CC4-5D6E-409C-BE32-E72D297353CC}">
              <c16:uniqueId val="{00000019-168C-4B43-BC18-9CFCAFDC2002}"/>
            </c:ext>
          </c:extLst>
        </c:ser>
        <c:ser>
          <c:idx val="1"/>
          <c:order val="2"/>
          <c:tx>
            <c:strRef>
              <c:f>'Section 47 Enquiries'!$AA$4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'Section 47 Enquiries'!$AR$65</c:f>
              <c:numCache>
                <c:formatCode>0.0</c:formatCode>
                <c:ptCount val="1"/>
                <c:pt idx="0">
                  <c:v>#N/A</c:v>
                </c:pt>
              </c:numCache>
            </c:numRef>
          </c:xVal>
          <c:yVal>
            <c:numRef>
              <c:f>'Section 47 Enquiries'!$AQ$65</c:f>
              <c:numCache>
                <c:formatCode>0.0</c:formatCode>
                <c:ptCount val="1"/>
                <c:pt idx="0">
                  <c:v>#N/A</c:v>
                </c:pt>
              </c:numCache>
            </c:numRef>
          </c:yVal>
          <c:smooth val="0"/>
          <c:extLst>
            <c:ext xmlns:c16="http://schemas.microsoft.com/office/drawing/2014/chart" uri="{C3380CC4-5D6E-409C-BE32-E72D297353CC}">
              <c16:uniqueId val="{0000001A-168C-4B43-BC18-9CFCAFDC2002}"/>
            </c:ext>
          </c:extLst>
        </c:ser>
        <c:ser>
          <c:idx val="4"/>
          <c:order val="3"/>
          <c:tx>
            <c:strRef>
              <c:f>'Section 47 Enquiries'!$B$32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'Section 47 Enquiries'!$S$32</c:f>
              <c:numCache>
                <c:formatCode>0.0</c:formatCode>
                <c:ptCount val="1"/>
                <c:pt idx="0">
                  <c:v>12.371268250968637</c:v>
                </c:pt>
              </c:numCache>
            </c:numRef>
          </c:xVal>
          <c:yVal>
            <c:numRef>
              <c:f>'Section 47 Enquiries'!$O$32</c:f>
              <c:numCache>
                <c:formatCode>0.0</c:formatCode>
                <c:ptCount val="1"/>
                <c:pt idx="0">
                  <c:v>172.11607234086031</c:v>
                </c:pt>
              </c:numCache>
            </c:numRef>
          </c:yVal>
          <c:smooth val="0"/>
          <c:extLst>
            <c:ext xmlns:c16="http://schemas.microsoft.com/office/drawing/2014/chart" uri="{C3380CC4-5D6E-409C-BE32-E72D297353CC}">
              <c16:uniqueId val="{0000001B-168C-4B43-BC18-9CFCAFDC2002}"/>
            </c:ext>
          </c:extLst>
        </c:ser>
        <c:ser>
          <c:idx val="2"/>
          <c:order val="4"/>
          <c:tx>
            <c:strRef>
              <c:f>'Section 47 Enquiries'!$Y$43</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C-168C-4B43-BC18-9CFCAFDC2002}"/>
                </c:ext>
              </c:extLst>
            </c:dLbl>
            <c:dLbl>
              <c:idx val="1"/>
              <c:layout>
                <c:manualLayout>
                  <c:x val="-5.2631578947368314E-2"/>
                  <c:y val="4.2232277526395176E-2"/>
                </c:manualLayout>
              </c:layout>
              <c:tx>
                <c:strRef>
                  <c:f>'Section 47 Enquiries'!$AD$43</c:f>
                  <c:strCache>
                    <c:ptCount val="1"/>
                    <c:pt idx="0">
                      <c:v>r² = 0.365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{901331A5-B1C1-4314-9590-713A017DB471}</c15:txfldGUID>
                      <c15:f>'Section 47 Enquiries'!$AD$43</c15:f>
                      <c15:dlblFieldTableCache>
                        <c:ptCount val="1"/>
                        <c:pt idx="0">
                          <c:v>r² = 0.365</c:v>
                        </c:pt>
                      </c15:dlblFieldTableCache>
                    </c15:dlblFTEntry>
                  </c15:dlblFieldTable>
                  <c15:showDataLabelsRange val="0"/>
                </c:ext>
                <c:ext xmlns:c16="http://schemas.microsoft.com/office/drawing/2014/chart" uri="{C3380CC4-5D6E-409C-BE32-E72D297353CC}">
                  <c16:uniqueId val="{0000001D-168C-4B43-BC18-9CFCAFDC2002}"/>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'Section 47 Enquiries'!$AB$43:$AB$44</c:f>
              <c:numCache>
                <c:formatCode>General</c:formatCode>
                <c:ptCount val="2"/>
                <c:pt idx="0" formatCode="#,##0.0">
                  <c:v>5</c:v>
                </c:pt>
                <c:pt idx="1">
                  <c:v>35</c:v>
                </c:pt>
              </c:numCache>
            </c:numRef>
          </c:xVal>
          <c:yVal>
            <c:numRef>
              <c:f>'Section 47 Enquiries'!$AC$43:$AC$44</c:f>
              <c:numCache>
                <c:formatCode>0.0</c:formatCode>
                <c:ptCount val="2"/>
                <c:pt idx="0">
                  <c:v>82.357414225409215</c:v>
                </c:pt>
                <c:pt idx="1">
                  <c:v>314.87080416769516</c:v>
                </c:pt>
              </c:numCache>
            </c:numRef>
          </c:yVal>
          <c:smooth val="0"/>
          <c:extLst>
            <c:ext xmlns:c16="http://schemas.microsoft.com/office/drawing/2014/chart" uri="{C3380CC4-5D6E-409C-BE32-E72D297353CC}">
              <c16:uniqueId val="{0000001E-168C-4B43-BC18-9CFCAFDC2002}"/>
            </c:ext>
          </c:extLst>
        </c:ser>
        <c:ser>
          <c:idx val="5"/>
          <c:order val="5"/>
          <c:tx>
            <c:strRef>
              <c:f>'Section 47 Enquiries'!$Y$41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F-168C-4B43-BC18-9CFCAFDC2002}"/>
                </c:ext>
              </c:extLst>
            </c:dLbl>
            <c:dLbl>
              <c:idx val="1"/>
              <c:layout>
                <c:manualLayout>
                  <c:x val="-5.5555555555555448E-2"/>
                  <c:y val="3.6199095022624438E-2"/>
                </c:manualLayout>
              </c:layout>
              <c:tx>
                <c:strRef>
                  <c:f>'Section 47 Enquiries'!$AD$42</c:f>
                  <c:strCache>
                    <c:ptCount val="1"/>
                    <c:pt idx="0">
                      <c:v>r² = 0.28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{1197B8AC-F96C-4AA0-ACBF-D0C035B64867}</c15:txfldGUID>
                      <c15:f>'Section 47 Enquiries'!$AD$42</c15:f>
                      <c15:dlblFieldTableCache>
                        <c:ptCount val="1"/>
                        <c:pt idx="0">
                          <c:v>r² = 0.28</c:v>
                        </c:pt>
                      </c15:dlblFieldTableCache>
                    </c15:dlblFTEntry>
                  </c15:dlblFieldTable>
                  <c15:showDataLabelsRange val="0"/>
                </c:ext>
                <c:ext xmlns:c16="http://schemas.microsoft.com/office/drawing/2014/chart" uri="{C3380CC4-5D6E-409C-BE32-E72D297353CC}">
                  <c16:uniqueId val="{00000020-168C-4B43-BC18-9CFCAFDC2002}"/>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'Section 47 Enquiries'!$AB$41:$AB$42</c:f>
              <c:numCache>
                <c:formatCode>General</c:formatCode>
                <c:ptCount val="2"/>
                <c:pt idx="0" formatCode="#,##0.0">
                  <c:v>5</c:v>
                </c:pt>
                <c:pt idx="1">
                  <c:v>35</c:v>
                </c:pt>
              </c:numCache>
            </c:numRef>
          </c:xVal>
          <c:yVal>
            <c:numRef>
              <c:f>'Section 47 Enquiries'!$AC$41:$AC$42</c:f>
              <c:numCache>
                <c:formatCode>0.0</c:formatCode>
                <c:ptCount val="2"/>
                <c:pt idx="0">
                  <c:v>132.5985769762475</c:v>
                </c:pt>
                <c:pt idx="1">
                  <c:v>352.087178105129</c:v>
                </c:pt>
              </c:numCache>
            </c:numRef>
          </c:yVal>
          <c:smooth val="0"/>
          <c:extLst>
            <c:ext xmlns:c16="http://schemas.microsoft.com/office/drawing/2014/chart" uri="{C3380CC4-5D6E-409C-BE32-E72D297353CC}">
              <c16:uniqueId val="{00000021-168C-4B43-BC18-9CFCAFDC2002}"/>
            </c:ext>
          </c:extLst>
        </c:ser>
        <c:dLbls>
          <c:showLegendKey val="0"/>
          <c:showVal val="0"/>
          <c:showCatName val="0"/>
          <c:showSerName val="0"/>
          <c:showPercent val="0"/>
          <c:showBubbleSize val="0"/>
        </c:dLbls>
        <c:axId val="248863744"/>
        <c:axId val="248878208"/>
      </c:scatterChart>
      <c:valAx>
        <c:axId val="248863744"/>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878208"/>
        <c:crosses val="autoZero"/>
        <c:crossBetween val="midCat"/>
        <c:majorUnit val="5"/>
      </c:valAx>
      <c:valAx>
        <c:axId val="24887820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Section 47 Enquiries per 10,000 0-17 year olds</a:t>
                </a:r>
              </a:p>
            </c:rich>
          </c:tx>
          <c:layout>
            <c:manualLayout>
              <c:xMode val="edge"/>
              <c:yMode val="edge"/>
              <c:x val="5.1877989550371623E-2"/>
              <c:y val="0.173253663401251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48863744"/>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313872900079858"/>
        </c:manualLayout>
      </c:layout>
      <c:lineChart>
        <c:grouping val="standard"/>
        <c:varyColors val="0"/>
        <c:ser>
          <c:idx val="0"/>
          <c:order val="0"/>
          <c:tx>
            <c:strRef>
              <c:f>'Initial CP Conferences'!$AL$41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054-43F9-B02E-6F80C3F4444D}"/>
              </c:ext>
            </c:extLst>
          </c:dPt>
          <c:cat>
            <c:strRef>
              <c:f>'Initial CP Conferences'!$Z$2:$AD$3</c:f>
              <c:strCache>
                <c:ptCount val="5"/>
                <c:pt idx="0">
                  <c:v>2014-15</c:v>
                </c:pt>
                <c:pt idx="1">
                  <c:v>2015-16</c:v>
                </c:pt>
                <c:pt idx="2">
                  <c:v>2016-17</c:v>
                </c:pt>
                <c:pt idx="3">
                  <c:v>2017-18</c:v>
                </c:pt>
                <c:pt idx="4">
                  <c:v>2018-19</c:v>
                </c:pt>
              </c:strCache>
            </c:strRef>
          </c:cat>
          <c:val>
            <c:numRef>
              <c:f>'Initial CP Conferences'!$AM$41:$AQ$41</c:f>
              <c:numCache>
                <c:formatCode>0.0</c:formatCode>
                <c:ptCount val="5"/>
                <c:pt idx="0">
                  <c:v>58.633093525179859</c:v>
                </c:pt>
                <c:pt idx="1">
                  <c:v>56.028368794326241</c:v>
                </c:pt>
                <c:pt idx="2">
                  <c:v>92.553191489361708</c:v>
                </c:pt>
                <c:pt idx="3">
                  <c:v>83.629893238434164</c:v>
                </c:pt>
                <c:pt idx="4">
                  <c:v>89.399293286219091</c:v>
                </c:pt>
              </c:numCache>
            </c:numRef>
          </c:val>
          <c:smooth val="0"/>
          <c:extLst>
            <c:ext xmlns:c16="http://schemas.microsoft.com/office/drawing/2014/chart" uri="{C3380CC4-5D6E-409C-BE32-E72D297353CC}">
              <c16:uniqueId val="{00000001-C054-43F9-B02E-6F80C3F4444D}"/>
            </c:ext>
          </c:extLst>
        </c:ser>
        <c:ser>
          <c:idx val="1"/>
          <c:order val="1"/>
          <c:tx>
            <c:strRef>
              <c:f>'Initial CP Conferences'!$AL$42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Conferences'!$AM$42:$AQ$42</c:f>
              <c:numCache>
                <c:formatCode>0.0</c:formatCode>
                <c:ptCount val="5"/>
                <c:pt idx="0">
                  <c:v>92.54901960784315</c:v>
                </c:pt>
                <c:pt idx="1">
                  <c:v>106.25000000000001</c:v>
                </c:pt>
                <c:pt idx="2">
                  <c:v>91.812865497076032</c:v>
                </c:pt>
                <c:pt idx="3">
                  <c:v>94.313725490196077</c:v>
                </c:pt>
                <c:pt idx="4">
                  <c:v>76.666666666666657</c:v>
                </c:pt>
              </c:numCache>
            </c:numRef>
          </c:val>
          <c:smooth val="0"/>
          <c:extLst>
            <c:ext xmlns:c16="http://schemas.microsoft.com/office/drawing/2014/chart" uri="{C3380CC4-5D6E-409C-BE32-E72D297353CC}">
              <c16:uniqueId val="{00000002-C054-43F9-B02E-6F80C3F4444D}"/>
            </c:ext>
          </c:extLst>
        </c:ser>
        <c:ser>
          <c:idx val="2"/>
          <c:order val="2"/>
          <c:tx>
            <c:strRef>
              <c:f>'Initial CP Conferences'!$AL$43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Conferences'!$AM$43:$AQ$43</c:f>
              <c:numCache>
                <c:formatCode>0.0</c:formatCode>
                <c:ptCount val="5"/>
                <c:pt idx="0">
                  <c:v>42.97729184188394</c:v>
                </c:pt>
                <c:pt idx="1">
                  <c:v>62.106135986733001</c:v>
                </c:pt>
                <c:pt idx="2">
                  <c:v>70.86743044189852</c:v>
                </c:pt>
                <c:pt idx="3">
                  <c:v>70.02437043054428</c:v>
                </c:pt>
                <c:pt idx="4">
                  <c:v>64.119066773934023</c:v>
                </c:pt>
              </c:numCache>
            </c:numRef>
          </c:val>
          <c:smooth val="0"/>
          <c:extLst>
            <c:ext xmlns:c16="http://schemas.microsoft.com/office/drawing/2014/chart" uri="{C3380CC4-5D6E-409C-BE32-E72D297353CC}">
              <c16:uniqueId val="{00000003-C054-43F9-B02E-6F80C3F4444D}"/>
            </c:ext>
          </c:extLst>
        </c:ser>
        <c:ser>
          <c:idx val="5"/>
          <c:order val="3"/>
          <c:tx>
            <c:strRef>
              <c:f>'Initial CP Conferences'!$AL$44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Conferences'!$AM$44:$AQ$44</c:f>
              <c:numCache>
                <c:formatCode>0.0</c:formatCode>
                <c:ptCount val="5"/>
                <c:pt idx="0">
                  <c:v>59.297912713472485</c:v>
                </c:pt>
                <c:pt idx="1">
                  <c:v>45.609065155807372</c:v>
                </c:pt>
                <c:pt idx="2">
                  <c:v>59.206798866855522</c:v>
                </c:pt>
                <c:pt idx="3">
                  <c:v>67.075471698113205</c:v>
                </c:pt>
                <c:pt idx="4">
                  <c:v>67.387218045112789</c:v>
                </c:pt>
              </c:numCache>
            </c:numRef>
          </c:val>
          <c:smooth val="0"/>
          <c:extLst>
            <c:ext xmlns:c16="http://schemas.microsoft.com/office/drawing/2014/chart" uri="{C3380CC4-5D6E-409C-BE32-E72D297353CC}">
              <c16:uniqueId val="{00000004-C054-43F9-B02E-6F80C3F4444D}"/>
            </c:ext>
          </c:extLst>
        </c:ser>
        <c:ser>
          <c:idx val="9"/>
          <c:order val="4"/>
          <c:tx>
            <c:strRef>
              <c:f>'Initial CP Conferences'!$AL$45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Conferences'!$AM$45:$AQ$45</c:f>
              <c:numCache>
                <c:formatCode>0.0</c:formatCode>
                <c:ptCount val="5"/>
                <c:pt idx="0">
                  <c:v>75.097690941385437</c:v>
                </c:pt>
                <c:pt idx="1">
                  <c:v>67.399787158566866</c:v>
                </c:pt>
                <c:pt idx="2">
                  <c:v>66.089108910891085</c:v>
                </c:pt>
                <c:pt idx="3">
                  <c:v>62.972114366396042</c:v>
                </c:pt>
                <c:pt idx="4">
                  <c:v>62.04225352112676</c:v>
                </c:pt>
              </c:numCache>
            </c:numRef>
          </c:val>
          <c:smooth val="0"/>
          <c:extLst>
            <c:ext xmlns:c16="http://schemas.microsoft.com/office/drawing/2014/chart" uri="{C3380CC4-5D6E-409C-BE32-E72D297353CC}">
              <c16:uniqueId val="{00000005-C054-43F9-B02E-6F80C3F4444D}"/>
            </c:ext>
          </c:extLst>
        </c:ser>
        <c:ser>
          <c:idx val="10"/>
          <c:order val="5"/>
          <c:tx>
            <c:strRef>
              <c:f>'Initial CP Conferences'!$AL$46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Conferences'!$AM$46:$AQ$46</c:f>
              <c:numCache>
                <c:formatCode>0.0</c:formatCode>
                <c:ptCount val="5"/>
                <c:pt idx="0">
                  <c:v>129.01960784313727</c:v>
                </c:pt>
                <c:pt idx="1">
                  <c:v>148.22134387351778</c:v>
                </c:pt>
                <c:pt idx="2">
                  <c:v>114.28571428571429</c:v>
                </c:pt>
                <c:pt idx="3">
                  <c:v>107.96812749003983</c:v>
                </c:pt>
                <c:pt idx="4">
                  <c:v>92.771084337349393</c:v>
                </c:pt>
              </c:numCache>
            </c:numRef>
          </c:val>
          <c:smooth val="0"/>
          <c:extLst>
            <c:ext xmlns:c16="http://schemas.microsoft.com/office/drawing/2014/chart" uri="{C3380CC4-5D6E-409C-BE32-E72D297353CC}">
              <c16:uniqueId val="{00000006-C054-43F9-B02E-6F80C3F4444D}"/>
            </c:ext>
          </c:extLst>
        </c:ser>
        <c:ser>
          <c:idx val="11"/>
          <c:order val="6"/>
          <c:tx>
            <c:strRef>
              <c:f>'Initial CP Conferences'!$AL$47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Conferences'!$AM$47:$AQ$47</c:f>
              <c:numCache>
                <c:formatCode>0.0</c:formatCode>
                <c:ptCount val="5"/>
                <c:pt idx="0">
                  <c:v>54.766981419433442</c:v>
                </c:pt>
                <c:pt idx="1">
                  <c:v>46.882566585956418</c:v>
                </c:pt>
                <c:pt idx="2">
                  <c:v>44.864864864864863</c:v>
                </c:pt>
                <c:pt idx="3">
                  <c:v>52.42487354953883</c:v>
                </c:pt>
                <c:pt idx="4">
                  <c:v>46.25110261687739</c:v>
                </c:pt>
              </c:numCache>
            </c:numRef>
          </c:val>
          <c:smooth val="0"/>
          <c:extLst>
            <c:ext xmlns:c16="http://schemas.microsoft.com/office/drawing/2014/chart" uri="{C3380CC4-5D6E-409C-BE32-E72D297353CC}">
              <c16:uniqueId val="{00000007-C054-43F9-B02E-6F80C3F4444D}"/>
            </c:ext>
          </c:extLst>
        </c:ser>
        <c:ser>
          <c:idx val="12"/>
          <c:order val="7"/>
          <c:tx>
            <c:strRef>
              <c:f>'Initial CP Conferences'!$AL$48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Conferences'!$AM$48:$AQ$48</c:f>
              <c:numCache>
                <c:formatCode>0.0</c:formatCode>
                <c:ptCount val="5"/>
                <c:pt idx="0">
                  <c:v>96.96</c:v>
                </c:pt>
                <c:pt idx="1">
                  <c:v>96.044303797468359</c:v>
                </c:pt>
                <c:pt idx="2">
                  <c:v>55.102040816326529</c:v>
                </c:pt>
                <c:pt idx="3">
                  <c:v>63.06729264475743</c:v>
                </c:pt>
                <c:pt idx="4">
                  <c:v>86.024844720496901</c:v>
                </c:pt>
              </c:numCache>
            </c:numRef>
          </c:val>
          <c:smooth val="0"/>
          <c:extLst>
            <c:ext xmlns:c16="http://schemas.microsoft.com/office/drawing/2014/chart" uri="{C3380CC4-5D6E-409C-BE32-E72D297353CC}">
              <c16:uniqueId val="{00000008-C054-43F9-B02E-6F80C3F4444D}"/>
            </c:ext>
          </c:extLst>
        </c:ser>
        <c:ser>
          <c:idx val="13"/>
          <c:order val="8"/>
          <c:tx>
            <c:strRef>
              <c:f>'Initial CP Conferences'!$AL$49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Conferences'!$AM$49:$AQ$49</c:f>
              <c:numCache>
                <c:formatCode>0.0</c:formatCode>
                <c:ptCount val="5"/>
                <c:pt idx="0">
                  <c:v>18.098159509202453</c:v>
                </c:pt>
                <c:pt idx="1">
                  <c:v>18.154311649016641</c:v>
                </c:pt>
                <c:pt idx="2">
                  <c:v>21.907600596125189</c:v>
                </c:pt>
                <c:pt idx="3">
                  <c:v>25.887573964497044</c:v>
                </c:pt>
                <c:pt idx="4">
                  <c:v>32.503660322108345</c:v>
                </c:pt>
              </c:numCache>
            </c:numRef>
          </c:val>
          <c:smooth val="0"/>
          <c:extLst>
            <c:ext xmlns:c16="http://schemas.microsoft.com/office/drawing/2014/chart" uri="{C3380CC4-5D6E-409C-BE32-E72D297353CC}">
              <c16:uniqueId val="{00000009-C054-43F9-B02E-6F80C3F4444D}"/>
            </c:ext>
          </c:extLst>
        </c:ser>
        <c:ser>
          <c:idx val="15"/>
          <c:order val="9"/>
          <c:tx>
            <c:strRef>
              <c:f>'Initial CP Conferences'!$AL$50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Conferences'!$AM$50:$AQ$50</c:f>
              <c:numCache>
                <c:formatCode>0.0</c:formatCode>
                <c:ptCount val="5"/>
                <c:pt idx="0">
                  <c:v>51.062322946175634</c:v>
                </c:pt>
                <c:pt idx="1">
                  <c:v>54.866008462623412</c:v>
                </c:pt>
                <c:pt idx="2">
                  <c:v>64.380685794261723</c:v>
                </c:pt>
                <c:pt idx="3">
                  <c:v>61.227336122733611</c:v>
                </c:pt>
                <c:pt idx="4">
                  <c:v>58.356353591160222</c:v>
                </c:pt>
              </c:numCache>
            </c:numRef>
          </c:val>
          <c:smooth val="0"/>
          <c:extLst>
            <c:ext xmlns:c16="http://schemas.microsoft.com/office/drawing/2014/chart" uri="{C3380CC4-5D6E-409C-BE32-E72D297353CC}">
              <c16:uniqueId val="{0000000A-C054-43F9-B02E-6F80C3F4444D}"/>
            </c:ext>
          </c:extLst>
        </c:ser>
        <c:ser>
          <c:idx val="16"/>
          <c:order val="10"/>
          <c:tx>
            <c:strRef>
              <c:f>'Initial CP Conferences'!$AL$51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Conferences'!$AM$51:$AQ$51</c:f>
              <c:numCache>
                <c:formatCode>0.0</c:formatCode>
                <c:ptCount val="5"/>
                <c:pt idx="0">
                  <c:v>66.129032258064512</c:v>
                </c:pt>
                <c:pt idx="1">
                  <c:v>76.712328767123282</c:v>
                </c:pt>
                <c:pt idx="2">
                  <c:v>67.954545454545453</c:v>
                </c:pt>
                <c:pt idx="3">
                  <c:v>69.909502262443439</c:v>
                </c:pt>
                <c:pt idx="4">
                  <c:v>65.909090909090907</c:v>
                </c:pt>
              </c:numCache>
            </c:numRef>
          </c:val>
          <c:smooth val="0"/>
          <c:extLst>
            <c:ext xmlns:c16="http://schemas.microsoft.com/office/drawing/2014/chart" uri="{C3380CC4-5D6E-409C-BE32-E72D297353CC}">
              <c16:uniqueId val="{0000000B-C054-43F9-B02E-6F80C3F4444D}"/>
            </c:ext>
          </c:extLst>
        </c:ser>
        <c:ser>
          <c:idx val="17"/>
          <c:order val="11"/>
          <c:tx>
            <c:strRef>
              <c:f>'Initial CP Conferences'!$AL$52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Conferences'!$AM$52:$AQ$52</c:f>
              <c:numCache>
                <c:formatCode>0.0</c:formatCode>
                <c:ptCount val="5"/>
                <c:pt idx="0">
                  <c:v>83.844011142061291</c:v>
                </c:pt>
                <c:pt idx="1">
                  <c:v>118.13186813186813</c:v>
                </c:pt>
                <c:pt idx="2">
                  <c:v>144.26229508196721</c:v>
                </c:pt>
                <c:pt idx="3">
                  <c:v>111.85983827493261</c:v>
                </c:pt>
                <c:pt idx="4">
                  <c:v>114.28571428571429</c:v>
                </c:pt>
              </c:numCache>
            </c:numRef>
          </c:val>
          <c:smooth val="0"/>
          <c:extLst>
            <c:ext xmlns:c16="http://schemas.microsoft.com/office/drawing/2014/chart" uri="{C3380CC4-5D6E-409C-BE32-E72D297353CC}">
              <c16:uniqueId val="{0000000C-C054-43F9-B02E-6F80C3F4444D}"/>
            </c:ext>
          </c:extLst>
        </c:ser>
        <c:ser>
          <c:idx val="19"/>
          <c:order val="12"/>
          <c:tx>
            <c:strRef>
              <c:f>'Initial CP Conferences'!$AL$53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Conferences'!$AM$53:$AQ$53</c:f>
              <c:numCache>
                <c:formatCode>0.0</c:formatCode>
                <c:ptCount val="5"/>
                <c:pt idx="0">
                  <c:v>95.739348370927317</c:v>
                </c:pt>
                <c:pt idx="1">
                  <c:v>86.453201970443359</c:v>
                </c:pt>
                <c:pt idx="2">
                  <c:v>81.642512077294683</c:v>
                </c:pt>
                <c:pt idx="3">
                  <c:v>64.928909952606631</c:v>
                </c:pt>
                <c:pt idx="4">
                  <c:v>80.327868852459005</c:v>
                </c:pt>
              </c:numCache>
            </c:numRef>
          </c:val>
          <c:smooth val="0"/>
          <c:extLst>
            <c:ext xmlns:c16="http://schemas.microsoft.com/office/drawing/2014/chart" uri="{C3380CC4-5D6E-409C-BE32-E72D297353CC}">
              <c16:uniqueId val="{0000000D-C054-43F9-B02E-6F80C3F4444D}"/>
            </c:ext>
          </c:extLst>
        </c:ser>
        <c:ser>
          <c:idx val="3"/>
          <c:order val="13"/>
          <c:tx>
            <c:strRef>
              <c:f>'Initial CP Conferences'!$AL$54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Conferences'!$AM$54:$AQ$54</c:f>
              <c:numCache>
                <c:formatCode>0.0</c:formatCode>
                <c:ptCount val="5"/>
                <c:pt idx="0">
                  <c:v>64.921946740128561</c:v>
                </c:pt>
                <c:pt idx="1">
                  <c:v>43.772893772893774</c:v>
                </c:pt>
                <c:pt idx="2">
                  <c:v>60.255241567912492</c:v>
                </c:pt>
                <c:pt idx="3">
                  <c:v>53.224341507720254</c:v>
                </c:pt>
                <c:pt idx="4">
                  <c:v>46.522131887985545</c:v>
                </c:pt>
              </c:numCache>
            </c:numRef>
          </c:val>
          <c:smooth val="0"/>
          <c:extLst>
            <c:ext xmlns:c16="http://schemas.microsoft.com/office/drawing/2014/chart" uri="{C3380CC4-5D6E-409C-BE32-E72D297353CC}">
              <c16:uniqueId val="{0000000E-C054-43F9-B02E-6F80C3F4444D}"/>
            </c:ext>
          </c:extLst>
        </c:ser>
        <c:ser>
          <c:idx val="20"/>
          <c:order val="14"/>
          <c:tx>
            <c:strRef>
              <c:f>'Initial CP Conferences'!$AL$55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Conferences'!$AM$55:$AQ$55</c:f>
              <c:numCache>
                <c:formatCode>0.0</c:formatCode>
                <c:ptCount val="5"/>
                <c:pt idx="0">
                  <c:v>101.85185185185186</c:v>
                </c:pt>
                <c:pt idx="1">
                  <c:v>112.80487804878048</c:v>
                </c:pt>
                <c:pt idx="2">
                  <c:v>92.785571142284567</c:v>
                </c:pt>
                <c:pt idx="3">
                  <c:v>102.18687872763419</c:v>
                </c:pt>
                <c:pt idx="4">
                  <c:v>94.29133858267717</c:v>
                </c:pt>
              </c:numCache>
            </c:numRef>
          </c:val>
          <c:smooth val="0"/>
          <c:extLst>
            <c:ext xmlns:c16="http://schemas.microsoft.com/office/drawing/2014/chart" uri="{C3380CC4-5D6E-409C-BE32-E72D297353CC}">
              <c16:uniqueId val="{0000000F-C054-43F9-B02E-6F80C3F4444D}"/>
            </c:ext>
          </c:extLst>
        </c:ser>
        <c:ser>
          <c:idx val="22"/>
          <c:order val="15"/>
          <c:tx>
            <c:strRef>
              <c:f>'Initial CP Conferences'!$AL$56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Conferences'!$AM$56:$AQ$56</c:f>
              <c:numCache>
                <c:formatCode>0.0</c:formatCode>
                <c:ptCount val="5"/>
                <c:pt idx="0">
                  <c:v>47.996857816182249</c:v>
                </c:pt>
                <c:pt idx="1">
                  <c:v>47.581903276131051</c:v>
                </c:pt>
                <c:pt idx="2">
                  <c:v>52.200772200772207</c:v>
                </c:pt>
                <c:pt idx="3">
                  <c:v>57.049558202074529</c:v>
                </c:pt>
                <c:pt idx="4">
                  <c:v>57.541046200840022</c:v>
                </c:pt>
              </c:numCache>
            </c:numRef>
          </c:val>
          <c:smooth val="0"/>
          <c:extLst>
            <c:ext xmlns:c16="http://schemas.microsoft.com/office/drawing/2014/chart" uri="{C3380CC4-5D6E-409C-BE32-E72D297353CC}">
              <c16:uniqueId val="{00000010-C054-43F9-B02E-6F80C3F4444D}"/>
            </c:ext>
          </c:extLst>
        </c:ser>
        <c:ser>
          <c:idx val="7"/>
          <c:order val="16"/>
          <c:tx>
            <c:strRef>
              <c:f>'Initial CP Conferences'!$AL$57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'Initial CP Conferences'!$Z$2:$AD$3</c:f>
              <c:strCache>
                <c:ptCount val="5"/>
                <c:pt idx="0">
                  <c:v>2014-15</c:v>
                </c:pt>
                <c:pt idx="1">
                  <c:v>2015-16</c:v>
                </c:pt>
                <c:pt idx="2">
                  <c:v>2016-17</c:v>
                </c:pt>
                <c:pt idx="3">
                  <c:v>2017-18</c:v>
                </c:pt>
                <c:pt idx="4">
                  <c:v>2018-19</c:v>
                </c:pt>
              </c:strCache>
            </c:strRef>
          </c:cat>
          <c:val>
            <c:numRef>
              <c:f>'Initial CP Conferences'!$AM$57:$AQ$57</c:f>
              <c:numCache>
                <c:formatCode>0.0</c:formatCode>
                <c:ptCount val="5"/>
                <c:pt idx="0">
                  <c:v>63.580246913580247</c:v>
                </c:pt>
                <c:pt idx="1">
                  <c:v>70.612244897959187</c:v>
                </c:pt>
                <c:pt idx="2">
                  <c:v>78.181818181818173</c:v>
                </c:pt>
                <c:pt idx="3">
                  <c:v>115.03006012024048</c:v>
                </c:pt>
                <c:pt idx="4">
                  <c:v>98.605577689243034</c:v>
                </c:pt>
              </c:numCache>
            </c:numRef>
          </c:val>
          <c:smooth val="0"/>
          <c:extLst>
            <c:ext xmlns:c16="http://schemas.microsoft.com/office/drawing/2014/chart" uri="{C3380CC4-5D6E-409C-BE32-E72D297353CC}">
              <c16:uniqueId val="{00000011-C054-43F9-B02E-6F80C3F4444D}"/>
            </c:ext>
          </c:extLst>
        </c:ser>
        <c:ser>
          <c:idx val="8"/>
          <c:order val="17"/>
          <c:tx>
            <c:strRef>
              <c:f>'Initial CP Conferences'!$AL$58</c:f>
              <c:strCache>
                <c:ptCount val="1"/>
                <c:pt idx="0">
                  <c:v>Torbay</c:v>
                </c:pt>
              </c:strCache>
            </c:strRef>
          </c:tx>
          <c:spPr>
            <a:ln w="15875"/>
          </c:spPr>
          <c:marker>
            <c:symbol val="circle"/>
            <c:size val="5"/>
            <c:spPr>
              <a:solidFill>
                <a:schemeClr val="accent3">
                  <a:lumMod val="20000"/>
                  <a:lumOff val="80000"/>
                </a:schemeClr>
              </a:solidFill>
            </c:spPr>
          </c:marker>
          <c:cat>
            <c:strRef>
              <c:f>'Initial CP Conferences'!$Z$2:$AD$3</c:f>
              <c:strCache>
                <c:ptCount val="5"/>
                <c:pt idx="0">
                  <c:v>2014-15</c:v>
                </c:pt>
                <c:pt idx="1">
                  <c:v>2015-16</c:v>
                </c:pt>
                <c:pt idx="2">
                  <c:v>2016-17</c:v>
                </c:pt>
                <c:pt idx="3">
                  <c:v>2017-18</c:v>
                </c:pt>
                <c:pt idx="4">
                  <c:v>2018-19</c:v>
                </c:pt>
              </c:strCache>
            </c:strRef>
          </c:cat>
          <c:val>
            <c:numRef>
              <c:f>'Initial CP Conferences'!$AM$58:$AQ$58</c:f>
              <c:numCache>
                <c:formatCode>0.0</c:formatCode>
                <c:ptCount val="5"/>
                <c:pt idx="0">
                  <c:v>119.12350597609561</c:v>
                </c:pt>
                <c:pt idx="1">
                  <c:v>128.96825396825395</c:v>
                </c:pt>
                <c:pt idx="2">
                  <c:v>142.51968503937007</c:v>
                </c:pt>
                <c:pt idx="3">
                  <c:v>142.51968503937007</c:v>
                </c:pt>
                <c:pt idx="4">
                  <c:v>120.86614173228345</c:v>
                </c:pt>
              </c:numCache>
            </c:numRef>
          </c:val>
          <c:smooth val="0"/>
          <c:extLst>
            <c:ext xmlns:c16="http://schemas.microsoft.com/office/drawing/2014/chart" uri="{C3380CC4-5D6E-409C-BE32-E72D297353CC}">
              <c16:uniqueId val="{00000012-C054-43F9-B02E-6F80C3F4444D}"/>
            </c:ext>
          </c:extLst>
        </c:ser>
        <c:ser>
          <c:idx val="23"/>
          <c:order val="18"/>
          <c:tx>
            <c:strRef>
              <c:f>'Initial CP Conferences'!$AL$59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Conferences'!$AM$59:$AQ$59</c:f>
              <c:numCache>
                <c:formatCode>0.0</c:formatCode>
                <c:ptCount val="5"/>
                <c:pt idx="0">
                  <c:v>58.146067415730336</c:v>
                </c:pt>
                <c:pt idx="1">
                  <c:v>67.226890756302524</c:v>
                </c:pt>
                <c:pt idx="2">
                  <c:v>69.080779944289688</c:v>
                </c:pt>
                <c:pt idx="3">
                  <c:v>76.815642458100555</c:v>
                </c:pt>
                <c:pt idx="4">
                  <c:v>72.752808988764045</c:v>
                </c:pt>
              </c:numCache>
            </c:numRef>
          </c:val>
          <c:smooth val="0"/>
          <c:extLst>
            <c:ext xmlns:c16="http://schemas.microsoft.com/office/drawing/2014/chart" uri="{C3380CC4-5D6E-409C-BE32-E72D297353CC}">
              <c16:uniqueId val="{00000013-C054-43F9-B02E-6F80C3F4444D}"/>
            </c:ext>
          </c:extLst>
        </c:ser>
        <c:ser>
          <c:idx val="24"/>
          <c:order val="19"/>
          <c:tx>
            <c:strRef>
              <c:f>'Initial CP Conferences'!$AL$60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Conferences'!$AM$60:$AQ$60</c:f>
              <c:numCache>
                <c:formatCode>0.0</c:formatCode>
                <c:ptCount val="5"/>
                <c:pt idx="0">
                  <c:v>51.481042654028435</c:v>
                </c:pt>
                <c:pt idx="1">
                  <c:v>39.377934272300465</c:v>
                </c:pt>
                <c:pt idx="2">
                  <c:v>39.580908032596035</c:v>
                </c:pt>
                <c:pt idx="3">
                  <c:v>62.261973456433928</c:v>
                </c:pt>
                <c:pt idx="4">
                  <c:v>50.028620492272466</c:v>
                </c:pt>
              </c:numCache>
            </c:numRef>
          </c:val>
          <c:smooth val="0"/>
          <c:extLst>
            <c:ext xmlns:c16="http://schemas.microsoft.com/office/drawing/2014/chart" uri="{C3380CC4-5D6E-409C-BE32-E72D297353CC}">
              <c16:uniqueId val="{00000014-C054-43F9-B02E-6F80C3F4444D}"/>
            </c:ext>
          </c:extLst>
        </c:ser>
        <c:ser>
          <c:idx val="25"/>
          <c:order val="20"/>
          <c:tx>
            <c:strRef>
              <c:f>'Initial CP Conferences'!$AL$61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Conferences'!$AM$61:$AQ$61</c:f>
              <c:numCache>
                <c:formatCode>0.0</c:formatCode>
                <c:ptCount val="5"/>
                <c:pt idx="0">
                  <c:v>27.844311377245511</c:v>
                </c:pt>
                <c:pt idx="1">
                  <c:v>59.347181008902076</c:v>
                </c:pt>
                <c:pt idx="2">
                  <c:v>56.725146198830409</c:v>
                </c:pt>
                <c:pt idx="3">
                  <c:v>39.825581395348834</c:v>
                </c:pt>
                <c:pt idx="4">
                  <c:v>34.971098265895954</c:v>
                </c:pt>
              </c:numCache>
            </c:numRef>
          </c:val>
          <c:smooth val="0"/>
          <c:extLst>
            <c:ext xmlns:c16="http://schemas.microsoft.com/office/drawing/2014/chart" uri="{C3380CC4-5D6E-409C-BE32-E72D297353CC}">
              <c16:uniqueId val="{00000015-C054-43F9-B02E-6F80C3F4444D}"/>
            </c:ext>
          </c:extLst>
        </c:ser>
        <c:ser>
          <c:idx val="26"/>
          <c:order val="21"/>
          <c:tx>
            <c:strRef>
              <c:f>'Initial CP Conferences'!$AL$62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Conferences'!$AM$62:$AQ$62</c:f>
              <c:numCache>
                <c:formatCode>0.0</c:formatCode>
                <c:ptCount val="5"/>
                <c:pt idx="0">
                  <c:v>18.699186991869919</c:v>
                </c:pt>
                <c:pt idx="1">
                  <c:v>38.873994638069703</c:v>
                </c:pt>
                <c:pt idx="2">
                  <c:v>23.421052631578949</c:v>
                </c:pt>
                <c:pt idx="3">
                  <c:v>46.770025839793277</c:v>
                </c:pt>
                <c:pt idx="4">
                  <c:v>64.810126582278485</c:v>
                </c:pt>
              </c:numCache>
            </c:numRef>
          </c:val>
          <c:smooth val="0"/>
          <c:extLst>
            <c:ext xmlns:c16="http://schemas.microsoft.com/office/drawing/2014/chart" uri="{C3380CC4-5D6E-409C-BE32-E72D297353CC}">
              <c16:uniqueId val="{00000016-C054-43F9-B02E-6F80C3F4444D}"/>
            </c:ext>
          </c:extLst>
        </c:ser>
        <c:ser>
          <c:idx val="4"/>
          <c:order val="22"/>
          <c:tx>
            <c:strRef>
              <c:f>'Initial CP Conferences'!$AL$63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Conferences'!$AM$63:$AQ$63</c:f>
              <c:numCache>
                <c:formatCode>0.0</c:formatCode>
                <c:ptCount val="5"/>
                <c:pt idx="0">
                  <c:v>59.756353707204369</c:v>
                </c:pt>
                <c:pt idx="1">
                  <c:v>59.485949637662273</c:v>
                </c:pt>
                <c:pt idx="2">
                  <c:v>59.4382080595934</c:v>
                </c:pt>
                <c:pt idx="3">
                  <c:v>62.914758989659965</c:v>
                </c:pt>
                <c:pt idx="4">
                  <c:v>60.794932052722999</c:v>
                </c:pt>
              </c:numCache>
            </c:numRef>
          </c:val>
          <c:smooth val="0"/>
          <c:extLst>
            <c:ext xmlns:c16="http://schemas.microsoft.com/office/drawing/2014/chart" uri="{C3380CC4-5D6E-409C-BE32-E72D297353CC}">
              <c16:uniqueId val="{00000017-C054-43F9-B02E-6F80C3F4444D}"/>
            </c:ext>
          </c:extLst>
        </c:ser>
        <c:ser>
          <c:idx val="14"/>
          <c:order val="23"/>
          <c:tx>
            <c:strRef>
              <c:f>'Initial CP Conferences'!$AL$64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'Initial CP Conferences'!$Z$2:$AD$3</c:f>
              <c:strCache>
                <c:ptCount val="5"/>
                <c:pt idx="0">
                  <c:v>2014-15</c:v>
                </c:pt>
                <c:pt idx="1">
                  <c:v>2015-16</c:v>
                </c:pt>
                <c:pt idx="2">
                  <c:v>2016-17</c:v>
                </c:pt>
                <c:pt idx="3">
                  <c:v>2017-18</c:v>
                </c:pt>
                <c:pt idx="4">
                  <c:v>2018-19</c:v>
                </c:pt>
              </c:strCache>
            </c:strRef>
          </c:cat>
          <c:val>
            <c:numRef>
              <c:f>'Initial CP Conferences'!$AM$64:$AQ$64</c:f>
              <c:numCache>
                <c:formatCode>0.0</c:formatCode>
                <c:ptCount val="5"/>
                <c:pt idx="0">
                  <c:v>61.604423854999702</c:v>
                </c:pt>
                <c:pt idx="1">
                  <c:v>62.554055095522315</c:v>
                </c:pt>
                <c:pt idx="2">
                  <c:v>65.276233952466214</c:v>
                </c:pt>
                <c:pt idx="3">
                  <c:v>66.967220021909498</c:v>
                </c:pt>
                <c:pt idx="4">
                  <c:v>64.778411657437303</c:v>
                </c:pt>
              </c:numCache>
            </c:numRef>
          </c:val>
          <c:smooth val="0"/>
          <c:extLst>
            <c:ext xmlns:c16="http://schemas.microsoft.com/office/drawing/2014/chart" uri="{C3380CC4-5D6E-409C-BE32-E72D297353CC}">
              <c16:uniqueId val="{00000018-C054-43F9-B02E-6F80C3F4444D}"/>
            </c:ext>
          </c:extLst>
        </c:ser>
        <c:ser>
          <c:idx val="6"/>
          <c:order val="24"/>
          <c:tx>
            <c:strRef>
              <c:f>'Initial CP Conferences'!$AL$65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2014-15</c:v>
                </c:pt>
                <c:pt idx="1">
                  <c:v>2015-16</c:v>
                </c:pt>
                <c:pt idx="2">
                  <c:v>2016-17</c:v>
                </c:pt>
                <c:pt idx="3">
                  <c:v>2017-18</c:v>
                </c:pt>
                <c:pt idx="4">
                  <c:v>2018-19</c:v>
                </c:pt>
              </c:strCache>
            </c:strRef>
          </c:cat>
          <c:val>
            <c:numRef>
              <c:f>'Initial CP Conferences'!$AM$65:$AQ$65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054-43F9-B02E-6F80C3F4444D}"/>
            </c:ext>
          </c:extLst>
        </c:ser>
        <c:dLbls>
          <c:showLegendKey val="0"/>
          <c:showVal val="0"/>
          <c:showCatName val="0"/>
          <c:showSerName val="0"/>
          <c:showPercent val="0"/>
          <c:showBubbleSize val="0"/>
        </c:dLbls>
        <c:marker val="1"/>
        <c:smooth val="0"/>
        <c:axId val="264230400"/>
        <c:axId val="264232320"/>
      </c:lineChart>
      <c:catAx>
        <c:axId val="264230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232320"/>
        <c:crosses val="autoZero"/>
        <c:auto val="1"/>
        <c:lblAlgn val="ctr"/>
        <c:lblOffset val="100"/>
        <c:tickLblSkip val="1"/>
        <c:tickMarkSkip val="1"/>
        <c:noMultiLvlLbl val="0"/>
      </c:catAx>
      <c:valAx>
        <c:axId val="26423232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2304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 (Selected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987251593550805"/>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2014-15</c:v>
                </c:pt>
                <c:pt idx="1">
                  <c:v>2015-16</c:v>
                </c:pt>
                <c:pt idx="2">
                  <c:v>2016-17</c:v>
                </c:pt>
                <c:pt idx="3">
                  <c:v>2017-18</c:v>
                </c:pt>
                <c:pt idx="4">
                  <c:v>2018-19</c:v>
                </c:pt>
              </c:strCache>
            </c:strRef>
          </c:cat>
          <c:val>
            <c:numRef>
              <c:f>'Initial CP Conferences'!$AM$65:$AQ$65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32E6-479A-B7B7-1092817E6058}"/>
            </c:ext>
          </c:extLst>
        </c:ser>
        <c:ser>
          <c:idx val="4"/>
          <c:order val="1"/>
          <c:tx>
            <c:strRef>
              <c:f>'Initial CP Conferences'!$B$32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2014-15</c:v>
                </c:pt>
                <c:pt idx="1">
                  <c:v>2015-16</c:v>
                </c:pt>
                <c:pt idx="2">
                  <c:v>2016-17</c:v>
                </c:pt>
                <c:pt idx="3">
                  <c:v>2017-18</c:v>
                </c:pt>
                <c:pt idx="4">
                  <c:v>2018-19</c:v>
                </c:pt>
              </c:strCache>
            </c:strRef>
          </c:cat>
          <c:val>
            <c:numRef>
              <c:f>'Initial CP Conferences'!$K$32:$O$32</c:f>
              <c:numCache>
                <c:formatCode>0.0</c:formatCode>
                <c:ptCount val="5"/>
                <c:pt idx="0">
                  <c:v>59.756353707204369</c:v>
                </c:pt>
                <c:pt idx="1">
                  <c:v>59.485949637662273</c:v>
                </c:pt>
                <c:pt idx="2">
                  <c:v>59.4382080595934</c:v>
                </c:pt>
                <c:pt idx="3">
                  <c:v>62.914758989659965</c:v>
                </c:pt>
                <c:pt idx="4">
                  <c:v>60.794932052722999</c:v>
                </c:pt>
              </c:numCache>
            </c:numRef>
          </c:val>
          <c:extLst>
            <c:ext xmlns:c16="http://schemas.microsoft.com/office/drawing/2014/chart" uri="{C3380CC4-5D6E-409C-BE32-E72D297353CC}">
              <c16:uniqueId val="{00000001-32E6-479A-B7B7-1092817E6058}"/>
            </c:ext>
          </c:extLst>
        </c:ser>
        <c:ser>
          <c:idx val="0"/>
          <c:order val="2"/>
          <c:tx>
            <c:strRef>
              <c:f>'Initial CP Conferences'!$B$33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2014-15</c:v>
                </c:pt>
                <c:pt idx="1">
                  <c:v>2015-16</c:v>
                </c:pt>
                <c:pt idx="2">
                  <c:v>2016-17</c:v>
                </c:pt>
                <c:pt idx="3">
                  <c:v>2017-18</c:v>
                </c:pt>
                <c:pt idx="4">
                  <c:v>2018-19</c:v>
                </c:pt>
              </c:strCache>
            </c:strRef>
          </c:cat>
          <c:val>
            <c:numRef>
              <c:f>'Initial CP Conferences'!$K$33:$O$33</c:f>
              <c:numCache>
                <c:formatCode>0.0</c:formatCode>
                <c:ptCount val="5"/>
                <c:pt idx="0">
                  <c:v>61.604423854999702</c:v>
                </c:pt>
                <c:pt idx="1">
                  <c:v>62.554055095522315</c:v>
                </c:pt>
                <c:pt idx="2">
                  <c:v>65.276233952466214</c:v>
                </c:pt>
                <c:pt idx="3">
                  <c:v>66.967220021909498</c:v>
                </c:pt>
                <c:pt idx="4">
                  <c:v>64.778411657437303</c:v>
                </c:pt>
              </c:numCache>
            </c:numRef>
          </c:val>
          <c:extLst>
            <c:ext xmlns:c16="http://schemas.microsoft.com/office/drawing/2014/chart" uri="{C3380CC4-5D6E-409C-BE32-E72D297353CC}">
              <c16:uniqueId val="{00000002-32E6-479A-B7B7-1092817E6058}"/>
            </c:ext>
          </c:extLst>
        </c:ser>
        <c:dLbls>
          <c:showLegendKey val="0"/>
          <c:showVal val="0"/>
          <c:showCatName val="0"/>
          <c:showSerName val="0"/>
          <c:showPercent val="0"/>
          <c:showBubbleSize val="0"/>
        </c:dLbls>
        <c:gapWidth val="100"/>
        <c:axId val="264393472"/>
        <c:axId val="264395008"/>
      </c:barChart>
      <c:catAx>
        <c:axId val="264393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395008"/>
        <c:crosses val="autoZero"/>
        <c:auto val="1"/>
        <c:lblAlgn val="ctr"/>
        <c:lblOffset val="100"/>
        <c:noMultiLvlLbl val="0"/>
      </c:catAx>
      <c:valAx>
        <c:axId val="2643950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39347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6153712035995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ICPC held within 15 Days of S47 </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2014-15</c:v>
                </c:pt>
                <c:pt idx="1">
                  <c:v>2015-16</c:v>
                </c:pt>
                <c:pt idx="2">
                  <c:v>2016-17</c:v>
                </c:pt>
                <c:pt idx="3">
                  <c:v>2017-18</c:v>
                </c:pt>
                <c:pt idx="4">
                  <c:v>2018-19</c:v>
                </c:pt>
              </c:strCache>
            </c:strRef>
          </c:cat>
          <c:val>
            <c:numRef>
              <c:f>'Initial CP Conferences'!$AX$65:$BB$65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F0BC-4BD9-93FF-B6F452AAACD4}"/>
            </c:ext>
          </c:extLst>
        </c:ser>
        <c:ser>
          <c:idx val="4"/>
          <c:order val="1"/>
          <c:tx>
            <c:strRef>
              <c:f>'Initial CP Conferences'!$B$170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2014-15</c:v>
                </c:pt>
                <c:pt idx="1">
                  <c:v>2015-16</c:v>
                </c:pt>
                <c:pt idx="2">
                  <c:v>2016-17</c:v>
                </c:pt>
                <c:pt idx="3">
                  <c:v>2017-18</c:v>
                </c:pt>
                <c:pt idx="4">
                  <c:v>2018-19</c:v>
                </c:pt>
              </c:strCache>
            </c:strRef>
          </c:cat>
          <c:val>
            <c:numRef>
              <c:f>'Initial CP Conferences'!$D$170:$H$170</c:f>
              <c:numCache>
                <c:formatCode>0%</c:formatCode>
                <c:ptCount val="5"/>
                <c:pt idx="0">
                  <c:v>0.67574692442882245</c:v>
                </c:pt>
                <c:pt idx="1">
                  <c:v>0.72217353198948286</c:v>
                </c:pt>
                <c:pt idx="2">
                  <c:v>0.75021758050478682</c:v>
                </c:pt>
                <c:pt idx="3">
                  <c:v>0.74979558462796403</c:v>
                </c:pt>
                <c:pt idx="4">
                  <c:v>0.77226890756302524</c:v>
                </c:pt>
              </c:numCache>
            </c:numRef>
          </c:val>
          <c:extLst>
            <c:ext xmlns:c16="http://schemas.microsoft.com/office/drawing/2014/chart" uri="{C3380CC4-5D6E-409C-BE32-E72D297353CC}">
              <c16:uniqueId val="{00000001-F0BC-4BD9-93FF-B6F452AAACD4}"/>
            </c:ext>
          </c:extLst>
        </c:ser>
        <c:ser>
          <c:idx val="0"/>
          <c:order val="2"/>
          <c:tx>
            <c:strRef>
              <c:f>'Initial CP Conferences'!$B$171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2014-15</c:v>
                </c:pt>
                <c:pt idx="1">
                  <c:v>2015-16</c:v>
                </c:pt>
                <c:pt idx="2">
                  <c:v>2016-17</c:v>
                </c:pt>
                <c:pt idx="3">
                  <c:v>2017-18</c:v>
                </c:pt>
                <c:pt idx="4">
                  <c:v>2018-19</c:v>
                </c:pt>
              </c:strCache>
            </c:strRef>
          </c:cat>
          <c:val>
            <c:numRef>
              <c:f>'Initial CP Conferences'!$D$171:$H$171</c:f>
              <c:numCache>
                <c:formatCode>0%</c:formatCode>
                <c:ptCount val="5"/>
                <c:pt idx="0">
                  <c:v>0.74737431732250381</c:v>
                </c:pt>
                <c:pt idx="1">
                  <c:v>0.76659822039698833</c:v>
                </c:pt>
                <c:pt idx="2">
                  <c:v>0.77226049655531004</c:v>
                </c:pt>
                <c:pt idx="3">
                  <c:v>0.76947275701522588</c:v>
                </c:pt>
                <c:pt idx="4">
                  <c:v>0.7870609504132231</c:v>
                </c:pt>
              </c:numCache>
            </c:numRef>
          </c:val>
          <c:extLst>
            <c:ext xmlns:c16="http://schemas.microsoft.com/office/drawing/2014/chart" uri="{C3380CC4-5D6E-409C-BE32-E72D297353CC}">
              <c16:uniqueId val="{00000002-F0BC-4BD9-93FF-B6F452AAACD4}"/>
            </c:ext>
          </c:extLst>
        </c:ser>
        <c:dLbls>
          <c:showLegendKey val="0"/>
          <c:showVal val="0"/>
          <c:showCatName val="0"/>
          <c:showSerName val="0"/>
          <c:showPercent val="0"/>
          <c:showBubbleSize val="0"/>
        </c:dLbls>
        <c:gapWidth val="100"/>
        <c:axId val="264437760"/>
        <c:axId val="264439296"/>
      </c:barChart>
      <c:catAx>
        <c:axId val="264437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439296"/>
        <c:crosses val="autoZero"/>
        <c:auto val="1"/>
        <c:lblAlgn val="ctr"/>
        <c:lblOffset val="100"/>
        <c:noMultiLvlLbl val="0"/>
      </c:catAx>
      <c:valAx>
        <c:axId val="26443929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43776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Initial CP Conferences held within 15 days of the Section 47 Enquiry which led to the Conference</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'Initial CP Conferences'!$AL$41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D843-40D9-9C64-78651D3267B7}"/>
              </c:ext>
            </c:extLst>
          </c:dPt>
          <c:cat>
            <c:strRef>
              <c:f>'Initial CP Conferences'!$Z$2:$AD$3</c:f>
              <c:strCache>
                <c:ptCount val="5"/>
                <c:pt idx="0">
                  <c:v>2014-15</c:v>
                </c:pt>
                <c:pt idx="1">
                  <c:v>2015-16</c:v>
                </c:pt>
                <c:pt idx="2">
                  <c:v>2016-17</c:v>
                </c:pt>
                <c:pt idx="3">
                  <c:v>2017-18</c:v>
                </c:pt>
                <c:pt idx="4">
                  <c:v>2018-19</c:v>
                </c:pt>
              </c:strCache>
            </c:strRef>
          </c:cat>
          <c:val>
            <c:numRef>
              <c:f>'Initial CP Conferences'!$AX$41:$BB$41</c:f>
              <c:numCache>
                <c:formatCode>0.0%</c:formatCode>
                <c:ptCount val="5"/>
                <c:pt idx="0">
                  <c:v>0.56441717791411039</c:v>
                </c:pt>
                <c:pt idx="1">
                  <c:v>0.66455696202531644</c:v>
                </c:pt>
                <c:pt idx="2">
                  <c:v>0.73946360153256707</c:v>
                </c:pt>
                <c:pt idx="3">
                  <c:v>0.82553191489361699</c:v>
                </c:pt>
                <c:pt idx="4">
                  <c:v>0.7865612648221344</c:v>
                </c:pt>
              </c:numCache>
            </c:numRef>
          </c:val>
          <c:smooth val="0"/>
          <c:extLst>
            <c:ext xmlns:c16="http://schemas.microsoft.com/office/drawing/2014/chart" uri="{C3380CC4-5D6E-409C-BE32-E72D297353CC}">
              <c16:uniqueId val="{00000001-D843-40D9-9C64-78651D3267B7}"/>
            </c:ext>
          </c:extLst>
        </c:ser>
        <c:ser>
          <c:idx val="1"/>
          <c:order val="1"/>
          <c:tx>
            <c:strRef>
              <c:f>'Initial CP Conferences'!$AL$42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Conferences'!$AX$42:$BB$42</c:f>
              <c:numCache>
                <c:formatCode>0.0%</c:formatCode>
                <c:ptCount val="5"/>
                <c:pt idx="0">
                  <c:v>0.59957627118644063</c:v>
                </c:pt>
                <c:pt idx="1">
                  <c:v>0.63602941176470584</c:v>
                </c:pt>
                <c:pt idx="2">
                  <c:v>0.66029723991507427</c:v>
                </c:pt>
                <c:pt idx="3">
                  <c:v>0.87318087318087323</c:v>
                </c:pt>
                <c:pt idx="4">
                  <c:v>0.82864450127877243</c:v>
                </c:pt>
              </c:numCache>
            </c:numRef>
          </c:val>
          <c:smooth val="0"/>
          <c:extLst>
            <c:ext xmlns:c16="http://schemas.microsoft.com/office/drawing/2014/chart" uri="{C3380CC4-5D6E-409C-BE32-E72D297353CC}">
              <c16:uniqueId val="{00000002-D843-40D9-9C64-78651D3267B7}"/>
            </c:ext>
          </c:extLst>
        </c:ser>
        <c:ser>
          <c:idx val="2"/>
          <c:order val="2"/>
          <c:tx>
            <c:strRef>
              <c:f>'Initial CP Conferences'!$AL$43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Conferences'!$AX$43:$BB$43</c:f>
              <c:numCache>
                <c:formatCode>0.0%</c:formatCode>
                <c:ptCount val="5"/>
                <c:pt idx="0">
                  <c:v>0.43248532289628178</c:v>
                </c:pt>
                <c:pt idx="1">
                  <c:v>0.68891855807743663</c:v>
                </c:pt>
                <c:pt idx="2">
                  <c:v>0.69630484988452657</c:v>
                </c:pt>
                <c:pt idx="3">
                  <c:v>0.73201856148491884</c:v>
                </c:pt>
                <c:pt idx="4">
                  <c:v>0.73525721455457971</c:v>
                </c:pt>
              </c:numCache>
            </c:numRef>
          </c:val>
          <c:smooth val="0"/>
          <c:extLst>
            <c:ext xmlns:c16="http://schemas.microsoft.com/office/drawing/2014/chart" uri="{C3380CC4-5D6E-409C-BE32-E72D297353CC}">
              <c16:uniqueId val="{00000003-D843-40D9-9C64-78651D3267B7}"/>
            </c:ext>
          </c:extLst>
        </c:ser>
        <c:ser>
          <c:idx val="5"/>
          <c:order val="3"/>
          <c:tx>
            <c:strRef>
              <c:f>'Initial CP Conferences'!$AL$44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Conferences'!$AX$44:$BB$44</c:f>
              <c:numCache>
                <c:formatCode>0.0%</c:formatCode>
                <c:ptCount val="5"/>
                <c:pt idx="0">
                  <c:v>0.68</c:v>
                </c:pt>
                <c:pt idx="1">
                  <c:v>0.6045548654244306</c:v>
                </c:pt>
                <c:pt idx="2">
                  <c:v>0.59808612440191389</c:v>
                </c:pt>
                <c:pt idx="3">
                  <c:v>0.57665260196905765</c:v>
                </c:pt>
                <c:pt idx="4">
                  <c:v>0.75174337517433754</c:v>
                </c:pt>
              </c:numCache>
            </c:numRef>
          </c:val>
          <c:smooth val="0"/>
          <c:extLst>
            <c:ext xmlns:c16="http://schemas.microsoft.com/office/drawing/2014/chart" uri="{C3380CC4-5D6E-409C-BE32-E72D297353CC}">
              <c16:uniqueId val="{00000004-D843-40D9-9C64-78651D3267B7}"/>
            </c:ext>
          </c:extLst>
        </c:ser>
        <c:ser>
          <c:idx val="9"/>
          <c:order val="4"/>
          <c:tx>
            <c:strRef>
              <c:f>'Initial CP Conferences'!$AL$45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Conferences'!$AX$45:$BB$45</c:f>
              <c:numCache>
                <c:formatCode>0.0%</c:formatCode>
                <c:ptCount val="5"/>
                <c:pt idx="0">
                  <c:v>0.6887417218543046</c:v>
                </c:pt>
                <c:pt idx="1">
                  <c:v>0.70842105263157895</c:v>
                </c:pt>
                <c:pt idx="2">
                  <c:v>0.76779026217228463</c:v>
                </c:pt>
                <c:pt idx="3">
                  <c:v>0.77073991031390132</c:v>
                </c:pt>
                <c:pt idx="4">
                  <c:v>0.7531214528944381</c:v>
                </c:pt>
              </c:numCache>
            </c:numRef>
          </c:val>
          <c:smooth val="0"/>
          <c:extLst>
            <c:ext xmlns:c16="http://schemas.microsoft.com/office/drawing/2014/chart" uri="{C3380CC4-5D6E-409C-BE32-E72D297353CC}">
              <c16:uniqueId val="{00000005-D843-40D9-9C64-78651D3267B7}"/>
            </c:ext>
          </c:extLst>
        </c:ser>
        <c:ser>
          <c:idx val="10"/>
          <c:order val="5"/>
          <c:tx>
            <c:strRef>
              <c:f>'Initial CP Conferences'!$AL$46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Conferences'!$AX$46:$BB$46</c:f>
              <c:numCache>
                <c:formatCode>0.0%</c:formatCode>
                <c:ptCount val="5"/>
                <c:pt idx="0">
                  <c:v>0.64437689969604861</c:v>
                </c:pt>
                <c:pt idx="1">
                  <c:v>0.57066666666666666</c:v>
                </c:pt>
                <c:pt idx="2">
                  <c:v>0.75694444444444442</c:v>
                </c:pt>
                <c:pt idx="3">
                  <c:v>0.8487084870848709</c:v>
                </c:pt>
                <c:pt idx="4">
                  <c:v>0.80952380952380953</c:v>
                </c:pt>
              </c:numCache>
            </c:numRef>
          </c:val>
          <c:smooth val="0"/>
          <c:extLst>
            <c:ext xmlns:c16="http://schemas.microsoft.com/office/drawing/2014/chart" uri="{C3380CC4-5D6E-409C-BE32-E72D297353CC}">
              <c16:uniqueId val="{00000006-D843-40D9-9C64-78651D3267B7}"/>
            </c:ext>
          </c:extLst>
        </c:ser>
        <c:ser>
          <c:idx val="11"/>
          <c:order val="6"/>
          <c:tx>
            <c:strRef>
              <c:f>'Initial CP Conferences'!$AL$47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Conferences'!$AX$47:$BB$47</c:f>
              <c:numCache>
                <c:formatCode>0.0%</c:formatCode>
                <c:ptCount val="5"/>
                <c:pt idx="0">
                  <c:v>0.78420467185761955</c:v>
                </c:pt>
                <c:pt idx="1">
                  <c:v>0.82956746287927696</c:v>
                </c:pt>
                <c:pt idx="2">
                  <c:v>0.84337349397590367</c:v>
                </c:pt>
                <c:pt idx="3">
                  <c:v>0.74914869466515321</c:v>
                </c:pt>
                <c:pt idx="4">
                  <c:v>0.87539732994278452</c:v>
                </c:pt>
              </c:numCache>
            </c:numRef>
          </c:val>
          <c:smooth val="0"/>
          <c:extLst>
            <c:ext xmlns:c16="http://schemas.microsoft.com/office/drawing/2014/chart" uri="{C3380CC4-5D6E-409C-BE32-E72D297353CC}">
              <c16:uniqueId val="{00000007-D843-40D9-9C64-78651D3267B7}"/>
            </c:ext>
          </c:extLst>
        </c:ser>
        <c:ser>
          <c:idx val="12"/>
          <c:order val="7"/>
          <c:tx>
            <c:strRef>
              <c:f>'Initial CP Conferences'!$AL$48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Conferences'!$AX$48:$BB$48</c:f>
              <c:numCache>
                <c:formatCode>0.0%</c:formatCode>
                <c:ptCount val="5"/>
                <c:pt idx="0">
                  <c:v>0.5907590759075908</c:v>
                </c:pt>
                <c:pt idx="1">
                  <c:v>0.88797364085667219</c:v>
                </c:pt>
                <c:pt idx="2">
                  <c:v>0.88319088319088324</c:v>
                </c:pt>
                <c:pt idx="3">
                  <c:v>0.87593052109181146</c:v>
                </c:pt>
                <c:pt idx="4">
                  <c:v>0.74909747292418771</c:v>
                </c:pt>
              </c:numCache>
            </c:numRef>
          </c:val>
          <c:smooth val="0"/>
          <c:extLst>
            <c:ext xmlns:c16="http://schemas.microsoft.com/office/drawing/2014/chart" uri="{C3380CC4-5D6E-409C-BE32-E72D297353CC}">
              <c16:uniqueId val="{00000008-D843-40D9-9C64-78651D3267B7}"/>
            </c:ext>
          </c:extLst>
        </c:ser>
        <c:ser>
          <c:idx val="13"/>
          <c:order val="8"/>
          <c:tx>
            <c:strRef>
              <c:f>'Initial CP Conferences'!$AL$49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Conferences'!$AX$49:$BB$49</c:f>
              <c:numCache>
                <c:formatCode>0.0%</c:formatCode>
                <c:ptCount val="5"/>
                <c:pt idx="0">
                  <c:v>0.97457627118644063</c:v>
                </c:pt>
                <c:pt idx="1">
                  <c:v>0.93333333333333335</c:v>
                </c:pt>
                <c:pt idx="2">
                  <c:v>0.87074829931972786</c:v>
                </c:pt>
                <c:pt idx="3">
                  <c:v>0.94857142857142862</c:v>
                </c:pt>
                <c:pt idx="4">
                  <c:v>0.87387387387387383</c:v>
                </c:pt>
              </c:numCache>
            </c:numRef>
          </c:val>
          <c:smooth val="0"/>
          <c:extLst>
            <c:ext xmlns:c16="http://schemas.microsoft.com/office/drawing/2014/chart" uri="{C3380CC4-5D6E-409C-BE32-E72D297353CC}">
              <c16:uniqueId val="{00000009-D843-40D9-9C64-78651D3267B7}"/>
            </c:ext>
          </c:extLst>
        </c:ser>
        <c:ser>
          <c:idx val="15"/>
          <c:order val="9"/>
          <c:tx>
            <c:strRef>
              <c:f>'Initial CP Conferences'!$AL$50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Conferences'!$AX$50:$BB$50</c:f>
              <c:numCache>
                <c:formatCode>0.0%</c:formatCode>
                <c:ptCount val="5"/>
                <c:pt idx="0">
                  <c:v>0.74757281553398058</c:v>
                </c:pt>
                <c:pt idx="1">
                  <c:v>0.81876606683804631</c:v>
                </c:pt>
                <c:pt idx="2">
                  <c:v>0.89347826086956517</c:v>
                </c:pt>
                <c:pt idx="3">
                  <c:v>0.88952164009111623</c:v>
                </c:pt>
                <c:pt idx="4">
                  <c:v>0.81656804733727806</c:v>
                </c:pt>
              </c:numCache>
            </c:numRef>
          </c:val>
          <c:smooth val="0"/>
          <c:extLst>
            <c:ext xmlns:c16="http://schemas.microsoft.com/office/drawing/2014/chart" uri="{C3380CC4-5D6E-409C-BE32-E72D297353CC}">
              <c16:uniqueId val="{0000000A-D843-40D9-9C64-78651D3267B7}"/>
            </c:ext>
          </c:extLst>
        </c:ser>
        <c:ser>
          <c:idx val="16"/>
          <c:order val="10"/>
          <c:tx>
            <c:strRef>
              <c:f>'Initial CP Conferences'!$AL$51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Conferences'!$AX$51:$BB$51</c:f>
              <c:numCache>
                <c:formatCode>0.0%</c:formatCode>
                <c:ptCount val="5"/>
                <c:pt idx="0">
                  <c:v>0.6759581881533101</c:v>
                </c:pt>
                <c:pt idx="1">
                  <c:v>0.67261904761904767</c:v>
                </c:pt>
                <c:pt idx="2">
                  <c:v>0.77591973244147161</c:v>
                </c:pt>
                <c:pt idx="3">
                  <c:v>0.71844660194174759</c:v>
                </c:pt>
                <c:pt idx="4">
                  <c:v>0.8172413793103448</c:v>
                </c:pt>
              </c:numCache>
            </c:numRef>
          </c:val>
          <c:smooth val="0"/>
          <c:extLst>
            <c:ext xmlns:c16="http://schemas.microsoft.com/office/drawing/2014/chart" uri="{C3380CC4-5D6E-409C-BE32-E72D297353CC}">
              <c16:uniqueId val="{0000000B-D843-40D9-9C64-78651D3267B7}"/>
            </c:ext>
          </c:extLst>
        </c:ser>
        <c:ser>
          <c:idx val="17"/>
          <c:order val="11"/>
          <c:tx>
            <c:strRef>
              <c:f>'Initial CP Conferences'!$AL$52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Conferences'!$AX$52:$BB$52</c:f>
              <c:numCache>
                <c:formatCode>0.0%</c:formatCode>
                <c:ptCount val="5"/>
                <c:pt idx="0">
                  <c:v>0.85382059800664456</c:v>
                </c:pt>
                <c:pt idx="1">
                  <c:v>0.67441860465116277</c:v>
                </c:pt>
                <c:pt idx="2">
                  <c:v>0.84659090909090906</c:v>
                </c:pt>
                <c:pt idx="3">
                  <c:v>0.75421686746987948</c:v>
                </c:pt>
                <c:pt idx="4">
                  <c:v>0.60377358490566035</c:v>
                </c:pt>
              </c:numCache>
            </c:numRef>
          </c:val>
          <c:smooth val="0"/>
          <c:extLst>
            <c:ext xmlns:c16="http://schemas.microsoft.com/office/drawing/2014/chart" uri="{C3380CC4-5D6E-409C-BE32-E72D297353CC}">
              <c16:uniqueId val="{0000000C-D843-40D9-9C64-78651D3267B7}"/>
            </c:ext>
          </c:extLst>
        </c:ser>
        <c:ser>
          <c:idx val="19"/>
          <c:order val="12"/>
          <c:tx>
            <c:strRef>
              <c:f>'Initial CP Conferences'!$AL$53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Conferences'!$AX$53:$BB$53</c:f>
              <c:numCache>
                <c:formatCode>0.0%</c:formatCode>
                <c:ptCount val="5"/>
                <c:pt idx="0">
                  <c:v>0.79842931937172779</c:v>
                </c:pt>
                <c:pt idx="1">
                  <c:v>0.81481481481481477</c:v>
                </c:pt>
                <c:pt idx="2">
                  <c:v>0.81656804733727806</c:v>
                </c:pt>
                <c:pt idx="3">
                  <c:v>0.75547445255474455</c:v>
                </c:pt>
                <c:pt idx="4">
                  <c:v>0.68804664723032072</c:v>
                </c:pt>
              </c:numCache>
            </c:numRef>
          </c:val>
          <c:smooth val="0"/>
          <c:extLst>
            <c:ext xmlns:c16="http://schemas.microsoft.com/office/drawing/2014/chart" uri="{C3380CC4-5D6E-409C-BE32-E72D297353CC}">
              <c16:uniqueId val="{0000000D-D843-40D9-9C64-78651D3267B7}"/>
            </c:ext>
          </c:extLst>
        </c:ser>
        <c:ser>
          <c:idx val="3"/>
          <c:order val="13"/>
          <c:tx>
            <c:strRef>
              <c:f>'Initial CP Conferences'!$AL$54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Conferences'!$AX$54:$BB$54</c:f>
              <c:numCache>
                <c:formatCode>0.0%</c:formatCode>
                <c:ptCount val="5"/>
                <c:pt idx="0">
                  <c:v>0.90099009900990101</c:v>
                </c:pt>
                <c:pt idx="1">
                  <c:v>0.96443514644351469</c:v>
                </c:pt>
                <c:pt idx="2">
                  <c:v>0.94099848714069589</c:v>
                </c:pt>
                <c:pt idx="3">
                  <c:v>0.93344709897610922</c:v>
                </c:pt>
                <c:pt idx="4">
                  <c:v>0.92427184466019419</c:v>
                </c:pt>
              </c:numCache>
            </c:numRef>
          </c:val>
          <c:smooth val="0"/>
          <c:extLst>
            <c:ext xmlns:c16="http://schemas.microsoft.com/office/drawing/2014/chart" uri="{C3380CC4-5D6E-409C-BE32-E72D297353CC}">
              <c16:uniqueId val="{0000000E-D843-40D9-9C64-78651D3267B7}"/>
            </c:ext>
          </c:extLst>
        </c:ser>
        <c:ser>
          <c:idx val="20"/>
          <c:order val="14"/>
          <c:tx>
            <c:strRef>
              <c:f>'Initial CP Conferences'!$AL$55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Conferences'!$AX$55:$BB$55</c:f>
              <c:numCache>
                <c:formatCode>0.0%</c:formatCode>
                <c:ptCount val="5"/>
                <c:pt idx="0">
                  <c:v>0.70909090909090911</c:v>
                </c:pt>
                <c:pt idx="1">
                  <c:v>0.61801801801801803</c:v>
                </c:pt>
                <c:pt idx="2">
                  <c:v>0.68034557235421167</c:v>
                </c:pt>
                <c:pt idx="3">
                  <c:v>0.73929961089494167</c:v>
                </c:pt>
                <c:pt idx="4">
                  <c:v>0.71189979123173275</c:v>
                </c:pt>
              </c:numCache>
            </c:numRef>
          </c:val>
          <c:smooth val="0"/>
          <c:extLst>
            <c:ext xmlns:c16="http://schemas.microsoft.com/office/drawing/2014/chart" uri="{C3380CC4-5D6E-409C-BE32-E72D297353CC}">
              <c16:uniqueId val="{0000000F-D843-40D9-9C64-78651D3267B7}"/>
            </c:ext>
          </c:extLst>
        </c:ser>
        <c:ser>
          <c:idx val="22"/>
          <c:order val="15"/>
          <c:tx>
            <c:strRef>
              <c:f>'Initial CP Conferences'!$AL$56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Conferences'!$AX$56:$BB$56</c:f>
              <c:numCache>
                <c:formatCode>0.0%</c:formatCode>
                <c:ptCount val="5"/>
                <c:pt idx="0">
                  <c:v>0.53436988543371522</c:v>
                </c:pt>
                <c:pt idx="1">
                  <c:v>0.66393442622950816</c:v>
                </c:pt>
                <c:pt idx="2">
                  <c:v>0.68417159763313606</c:v>
                </c:pt>
                <c:pt idx="3">
                  <c:v>0.51447811447811442</c:v>
                </c:pt>
                <c:pt idx="4">
                  <c:v>0.77903118779031189</c:v>
                </c:pt>
              </c:numCache>
            </c:numRef>
          </c:val>
          <c:smooth val="0"/>
          <c:extLst>
            <c:ext xmlns:c16="http://schemas.microsoft.com/office/drawing/2014/chart" uri="{C3380CC4-5D6E-409C-BE32-E72D297353CC}">
              <c16:uniqueId val="{00000010-D843-40D9-9C64-78651D3267B7}"/>
            </c:ext>
          </c:extLst>
        </c:ser>
        <c:ser>
          <c:idx val="7"/>
          <c:order val="16"/>
          <c:tx>
            <c:strRef>
              <c:f>'Initial CP Conferences'!$AL$57</c:f>
              <c:strCache>
                <c:ptCount val="1"/>
                <c:pt idx="0">
                  <c:v>Swindon</c:v>
                </c:pt>
              </c:strCache>
            </c:strRef>
          </c:tx>
          <c:spPr>
            <a:ln w="15875"/>
          </c:spPr>
          <c:marker>
            <c:symbol val="triangle"/>
            <c:size val="5"/>
            <c:spPr>
              <a:solidFill>
                <a:schemeClr val="accent2">
                  <a:lumMod val="20000"/>
                  <a:lumOff val="80000"/>
                </a:schemeClr>
              </a:solidFill>
            </c:spPr>
          </c:marker>
          <c:cat>
            <c:strRef>
              <c:f>'Initial CP Conferences'!$Z$2:$AD$3</c:f>
              <c:strCache>
                <c:ptCount val="5"/>
                <c:pt idx="0">
                  <c:v>2014-15</c:v>
                </c:pt>
                <c:pt idx="1">
                  <c:v>2015-16</c:v>
                </c:pt>
                <c:pt idx="2">
                  <c:v>2016-17</c:v>
                </c:pt>
                <c:pt idx="3">
                  <c:v>2017-18</c:v>
                </c:pt>
                <c:pt idx="4">
                  <c:v>2018-19</c:v>
                </c:pt>
              </c:strCache>
            </c:strRef>
          </c:cat>
          <c:val>
            <c:numRef>
              <c:f>'Initial CP Conferences'!$AX$57:$BB$57</c:f>
              <c:numCache>
                <c:formatCode>0.0%</c:formatCode>
                <c:ptCount val="5"/>
                <c:pt idx="0">
                  <c:v>0.69579288025889963</c:v>
                </c:pt>
                <c:pt idx="1">
                  <c:v>0.78034682080924855</c:v>
                </c:pt>
                <c:pt idx="2">
                  <c:v>0.65374677002583981</c:v>
                </c:pt>
                <c:pt idx="3">
                  <c:v>0.84668989547038331</c:v>
                </c:pt>
                <c:pt idx="4">
                  <c:v>0.68484848484848482</c:v>
                </c:pt>
              </c:numCache>
            </c:numRef>
          </c:val>
          <c:smooth val="0"/>
          <c:extLst>
            <c:ext xmlns:c16="http://schemas.microsoft.com/office/drawing/2014/chart" uri="{C3380CC4-5D6E-409C-BE32-E72D297353CC}">
              <c16:uniqueId val="{00000011-D843-40D9-9C64-78651D3267B7}"/>
            </c:ext>
          </c:extLst>
        </c:ser>
        <c:ser>
          <c:idx val="8"/>
          <c:order val="17"/>
          <c:tx>
            <c:strRef>
              <c:f>'Initial CP Conferences'!$AL$58</c:f>
              <c:strCache>
                <c:ptCount val="1"/>
                <c:pt idx="0">
                  <c:v>Torbay</c:v>
                </c:pt>
              </c:strCache>
            </c:strRef>
          </c:tx>
          <c:spPr>
            <a:ln w="15875"/>
          </c:spPr>
          <c:marker>
            <c:symbol val="circle"/>
            <c:size val="5"/>
            <c:spPr>
              <a:solidFill>
                <a:schemeClr val="accent3">
                  <a:lumMod val="20000"/>
                  <a:lumOff val="80000"/>
                </a:schemeClr>
              </a:solidFill>
            </c:spPr>
          </c:marker>
          <c:cat>
            <c:strRef>
              <c:f>'Initial CP Conferences'!$Z$2:$AD$3</c:f>
              <c:strCache>
                <c:ptCount val="5"/>
                <c:pt idx="0">
                  <c:v>2014-15</c:v>
                </c:pt>
                <c:pt idx="1">
                  <c:v>2015-16</c:v>
                </c:pt>
                <c:pt idx="2">
                  <c:v>2016-17</c:v>
                </c:pt>
                <c:pt idx="3">
                  <c:v>2017-18</c:v>
                </c:pt>
                <c:pt idx="4">
                  <c:v>2018-19</c:v>
                </c:pt>
              </c:strCache>
            </c:strRef>
          </c:cat>
          <c:val>
            <c:numRef>
              <c:f>'Initial CP Conferences'!$AX$58:$BB$58</c:f>
              <c:numCache>
                <c:formatCode>0.0%</c:formatCode>
                <c:ptCount val="5"/>
                <c:pt idx="0">
                  <c:v>0.45819397993311034</c:v>
                </c:pt>
                <c:pt idx="1">
                  <c:v>0.80615384615384611</c:v>
                </c:pt>
                <c:pt idx="2">
                  <c:v>0.90055248618784534</c:v>
                </c:pt>
                <c:pt idx="3">
                  <c:v>0.66850828729281764</c:v>
                </c:pt>
                <c:pt idx="4">
                  <c:v>0.73289902280130292</c:v>
                </c:pt>
              </c:numCache>
            </c:numRef>
          </c:val>
          <c:smooth val="0"/>
          <c:extLst>
            <c:ext xmlns:c16="http://schemas.microsoft.com/office/drawing/2014/chart" uri="{C3380CC4-5D6E-409C-BE32-E72D297353CC}">
              <c16:uniqueId val="{00000012-D843-40D9-9C64-78651D3267B7}"/>
            </c:ext>
          </c:extLst>
        </c:ser>
        <c:ser>
          <c:idx val="23"/>
          <c:order val="18"/>
          <c:tx>
            <c:strRef>
              <c:f>'Initial CP Conferences'!$AL$59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Conferences'!$AX$59:$BB$59</c:f>
              <c:numCache>
                <c:formatCode>0.0%</c:formatCode>
                <c:ptCount val="5"/>
                <c:pt idx="0">
                  <c:v>0.85990338164251212</c:v>
                </c:pt>
                <c:pt idx="1">
                  <c:v>0.94166666666666665</c:v>
                </c:pt>
                <c:pt idx="2">
                  <c:v>0.967741935483871</c:v>
                </c:pt>
                <c:pt idx="3">
                  <c:v>0.96363636363636362</c:v>
                </c:pt>
                <c:pt idx="4">
                  <c:v>0.96138996138996136</c:v>
                </c:pt>
              </c:numCache>
            </c:numRef>
          </c:val>
          <c:smooth val="0"/>
          <c:extLst>
            <c:ext xmlns:c16="http://schemas.microsoft.com/office/drawing/2014/chart" uri="{C3380CC4-5D6E-409C-BE32-E72D297353CC}">
              <c16:uniqueId val="{00000013-D843-40D9-9C64-78651D3267B7}"/>
            </c:ext>
          </c:extLst>
        </c:ser>
        <c:ser>
          <c:idx val="24"/>
          <c:order val="19"/>
          <c:tx>
            <c:strRef>
              <c:f>'Initial CP Conferences'!$AL$60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Conferences'!$AX$60:$BB$60</c:f>
              <c:numCache>
                <c:formatCode>0.0%</c:formatCode>
                <c:ptCount val="5"/>
                <c:pt idx="0">
                  <c:v>0.58688147295742232</c:v>
                </c:pt>
                <c:pt idx="1">
                  <c:v>0.52906110283159469</c:v>
                </c:pt>
                <c:pt idx="2">
                  <c:v>0.42794117647058821</c:v>
                </c:pt>
                <c:pt idx="3">
                  <c:v>0.85078776645041709</c:v>
                </c:pt>
                <c:pt idx="4">
                  <c:v>0.69450800915331812</c:v>
                </c:pt>
              </c:numCache>
            </c:numRef>
          </c:val>
          <c:smooth val="0"/>
          <c:extLst>
            <c:ext xmlns:c16="http://schemas.microsoft.com/office/drawing/2014/chart" uri="{C3380CC4-5D6E-409C-BE32-E72D297353CC}">
              <c16:uniqueId val="{00000014-D843-40D9-9C64-78651D3267B7}"/>
            </c:ext>
          </c:extLst>
        </c:ser>
        <c:ser>
          <c:idx val="25"/>
          <c:order val="20"/>
          <c:tx>
            <c:strRef>
              <c:f>'Initial CP Conferences'!$AL$61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Conferences'!$AX$61:$BB$61</c:f>
              <c:numCache>
                <c:formatCode>0.0%</c:formatCode>
                <c:ptCount val="5"/>
                <c:pt idx="0">
                  <c:v>0.78494623655913975</c:v>
                </c:pt>
                <c:pt idx="1">
                  <c:v>0.86</c:v>
                </c:pt>
                <c:pt idx="2">
                  <c:v>0.82989690721649489</c:v>
                </c:pt>
                <c:pt idx="3">
                  <c:v>0.53284671532846717</c:v>
                </c:pt>
                <c:pt idx="4">
                  <c:v>0.64462809917355368</c:v>
                </c:pt>
              </c:numCache>
            </c:numRef>
          </c:val>
          <c:smooth val="0"/>
          <c:extLst>
            <c:ext xmlns:c16="http://schemas.microsoft.com/office/drawing/2014/chart" uri="{C3380CC4-5D6E-409C-BE32-E72D297353CC}">
              <c16:uniqueId val="{00000015-D843-40D9-9C64-78651D3267B7}"/>
            </c:ext>
          </c:extLst>
        </c:ser>
        <c:ser>
          <c:idx val="26"/>
          <c:order val="21"/>
          <c:tx>
            <c:strRef>
              <c:f>'Initial CP Conferences'!$AL$62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Conferences'!$AX$62:$BB$62</c:f>
              <c:numCache>
                <c:formatCode>0.0%</c:formatCode>
                <c:ptCount val="5"/>
                <c:pt idx="0">
                  <c:v>0.91304347826086951</c:v>
                </c:pt>
                <c:pt idx="1">
                  <c:v>0.96551724137931039</c:v>
                </c:pt>
                <c:pt idx="2">
                  <c:v>0.797752808988764</c:v>
                </c:pt>
                <c:pt idx="3">
                  <c:v>0.82320441988950277</c:v>
                </c:pt>
                <c:pt idx="4">
                  <c:v>0.65625</c:v>
                </c:pt>
              </c:numCache>
            </c:numRef>
          </c:val>
          <c:smooth val="0"/>
          <c:extLst>
            <c:ext xmlns:c16="http://schemas.microsoft.com/office/drawing/2014/chart" uri="{C3380CC4-5D6E-409C-BE32-E72D297353CC}">
              <c16:uniqueId val="{00000016-D843-40D9-9C64-78651D3267B7}"/>
            </c:ext>
          </c:extLst>
        </c:ser>
        <c:ser>
          <c:idx val="4"/>
          <c:order val="22"/>
          <c:tx>
            <c:strRef>
              <c:f>'Initial CP Conferences'!$AL$63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Conferences'!$AX$63:$BB$63</c:f>
              <c:numCache>
                <c:formatCode>0.0%</c:formatCode>
                <c:ptCount val="5"/>
                <c:pt idx="0">
                  <c:v>0.67574692442882245</c:v>
                </c:pt>
                <c:pt idx="1">
                  <c:v>0.72217353198948286</c:v>
                </c:pt>
                <c:pt idx="2">
                  <c:v>0.75021758050478682</c:v>
                </c:pt>
                <c:pt idx="3">
                  <c:v>0.74979558462796403</c:v>
                </c:pt>
                <c:pt idx="4">
                  <c:v>0.77226890756302524</c:v>
                </c:pt>
              </c:numCache>
            </c:numRef>
          </c:val>
          <c:smooth val="0"/>
          <c:extLst>
            <c:ext xmlns:c16="http://schemas.microsoft.com/office/drawing/2014/chart" uri="{C3380CC4-5D6E-409C-BE32-E72D297353CC}">
              <c16:uniqueId val="{00000017-D843-40D9-9C64-78651D3267B7}"/>
            </c:ext>
          </c:extLst>
        </c:ser>
        <c:ser>
          <c:idx val="14"/>
          <c:order val="23"/>
          <c:tx>
            <c:strRef>
              <c:f>'Initial CP Conferences'!$AL$64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'Initial CP Conferences'!$Z$2:$AD$3</c:f>
              <c:strCache>
                <c:ptCount val="5"/>
                <c:pt idx="0">
                  <c:v>2014-15</c:v>
                </c:pt>
                <c:pt idx="1">
                  <c:v>2015-16</c:v>
                </c:pt>
                <c:pt idx="2">
                  <c:v>2016-17</c:v>
                </c:pt>
                <c:pt idx="3">
                  <c:v>2017-18</c:v>
                </c:pt>
                <c:pt idx="4">
                  <c:v>2018-19</c:v>
                </c:pt>
              </c:strCache>
            </c:strRef>
          </c:cat>
          <c:val>
            <c:numRef>
              <c:f>'Initial CP Conferences'!$AX$64:$BB$64</c:f>
              <c:numCache>
                <c:formatCode>0.0%</c:formatCode>
                <c:ptCount val="5"/>
                <c:pt idx="0">
                  <c:v>0.74737431732250381</c:v>
                </c:pt>
                <c:pt idx="1">
                  <c:v>0.76659822039698833</c:v>
                </c:pt>
                <c:pt idx="2">
                  <c:v>0.77226049655531004</c:v>
                </c:pt>
                <c:pt idx="3">
                  <c:v>0.76947275701522588</c:v>
                </c:pt>
                <c:pt idx="4">
                  <c:v>0.7870609504132231</c:v>
                </c:pt>
              </c:numCache>
            </c:numRef>
          </c:val>
          <c:smooth val="0"/>
          <c:extLst>
            <c:ext xmlns:c16="http://schemas.microsoft.com/office/drawing/2014/chart" uri="{C3380CC4-5D6E-409C-BE32-E72D297353CC}">
              <c16:uniqueId val="{00000018-D843-40D9-9C64-78651D3267B7}"/>
            </c:ext>
          </c:extLst>
        </c:ser>
        <c:ser>
          <c:idx val="6"/>
          <c:order val="24"/>
          <c:tx>
            <c:strRef>
              <c:f>'Initial CP Conferences'!$AL$65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2014-15</c:v>
                </c:pt>
                <c:pt idx="1">
                  <c:v>2015-16</c:v>
                </c:pt>
                <c:pt idx="2">
                  <c:v>2016-17</c:v>
                </c:pt>
                <c:pt idx="3">
                  <c:v>2017-18</c:v>
                </c:pt>
                <c:pt idx="4">
                  <c:v>2018-19</c:v>
                </c:pt>
              </c:strCache>
            </c:strRef>
          </c:cat>
          <c:val>
            <c:numRef>
              <c:f>'Initial CP Conferences'!$AX$65:$BB$65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D843-40D9-9C64-78651D3267B7}"/>
            </c:ext>
          </c:extLst>
        </c:ser>
        <c:dLbls>
          <c:showLegendKey val="0"/>
          <c:showVal val="0"/>
          <c:showCatName val="0"/>
          <c:showSerName val="0"/>
          <c:showPercent val="0"/>
          <c:showBubbleSize val="0"/>
        </c:dLbls>
        <c:marker val="1"/>
        <c:smooth val="0"/>
        <c:axId val="264520064"/>
        <c:axId val="264521984"/>
      </c:lineChart>
      <c:catAx>
        <c:axId val="264520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521984"/>
        <c:crosses val="autoZero"/>
        <c:auto val="1"/>
        <c:lblAlgn val="ctr"/>
        <c:lblOffset val="100"/>
        <c:tickLblSkip val="1"/>
        <c:tickMarkSkip val="1"/>
        <c:noMultiLvlLbl val="0"/>
      </c:catAx>
      <c:valAx>
        <c:axId val="264521984"/>
        <c:scaling>
          <c:orientation val="minMax"/>
          <c:max val="1"/>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52006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going on to Assessment</a:t>
            </a:r>
          </a:p>
        </c:rich>
      </c:tx>
      <c:layout>
        <c:manualLayout>
          <c:xMode val="edge"/>
          <c:yMode val="edge"/>
          <c:x val="0.18642605388612135"/>
          <c:y val="2.0819658022471477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Referrals!$AL$41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279F-414B-BC4C-E446FE9E0C2D}"/>
              </c:ext>
            </c:extLst>
          </c:dPt>
          <c:cat>
            <c:strRef>
              <c:f>Referrals!$Z$2:$AD$3</c:f>
              <c:strCache>
                <c:ptCount val="5"/>
                <c:pt idx="0">
                  <c:v>2014-15</c:v>
                </c:pt>
                <c:pt idx="1">
                  <c:v>2015-16</c:v>
                </c:pt>
                <c:pt idx="2">
                  <c:v>2016-17</c:v>
                </c:pt>
                <c:pt idx="3">
                  <c:v>2017-18</c:v>
                </c:pt>
                <c:pt idx="4">
                  <c:v>2018-19</c:v>
                </c:pt>
              </c:strCache>
            </c:strRef>
          </c:cat>
          <c:val>
            <c:numRef>
              <c:f>Referrals!$AS$41:$AW$41</c:f>
              <c:numCache>
                <c:formatCode>0.0%</c:formatCode>
                <c:ptCount val="5"/>
                <c:pt idx="0">
                  <c:v>0.89339622641509431</c:v>
                </c:pt>
                <c:pt idx="1">
                  <c:v>0.82695252679938747</c:v>
                </c:pt>
                <c:pt idx="2">
                  <c:v>0.87591240875912413</c:v>
                </c:pt>
                <c:pt idx="3">
                  <c:v>0.9279824079164376</c:v>
                </c:pt>
                <c:pt idx="4">
                  <c:v>0.71875</c:v>
                </c:pt>
              </c:numCache>
            </c:numRef>
          </c:val>
          <c:smooth val="0"/>
          <c:extLst>
            <c:ext xmlns:c16="http://schemas.microsoft.com/office/drawing/2014/chart" uri="{C3380CC4-5D6E-409C-BE32-E72D297353CC}">
              <c16:uniqueId val="{00000001-279F-414B-BC4C-E446FE9E0C2D}"/>
            </c:ext>
          </c:extLst>
        </c:ser>
        <c:ser>
          <c:idx val="1"/>
          <c:order val="1"/>
          <c:tx>
            <c:strRef>
              <c:f>Referrals!$AL$42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2014-15</c:v>
                </c:pt>
                <c:pt idx="1">
                  <c:v>2015-16</c:v>
                </c:pt>
                <c:pt idx="2">
                  <c:v>2016-17</c:v>
                </c:pt>
                <c:pt idx="3">
                  <c:v>2017-18</c:v>
                </c:pt>
                <c:pt idx="4">
                  <c:v>2018-19</c:v>
                </c:pt>
              </c:strCache>
            </c:strRef>
          </c:cat>
          <c:val>
            <c:numRef>
              <c:f>Referrals!$AS$42:$AW$42</c:f>
              <c:numCache>
                <c:formatCode>0.0%</c:formatCode>
                <c:ptCount val="5"/>
                <c:pt idx="0">
                  <c:v>0.48816203640344874</c:v>
                </c:pt>
                <c:pt idx="1">
                  <c:v>0.90455341506129594</c:v>
                </c:pt>
                <c:pt idx="2">
                  <c:v>0.90249632892804699</c:v>
                </c:pt>
                <c:pt idx="3">
                  <c:v>0.9087918660287081</c:v>
                </c:pt>
                <c:pt idx="4">
                  <c:v>0.92466810744056804</c:v>
                </c:pt>
              </c:numCache>
            </c:numRef>
          </c:val>
          <c:smooth val="0"/>
          <c:extLst>
            <c:ext xmlns:c16="http://schemas.microsoft.com/office/drawing/2014/chart" uri="{C3380CC4-5D6E-409C-BE32-E72D297353CC}">
              <c16:uniqueId val="{00000002-279F-414B-BC4C-E446FE9E0C2D}"/>
            </c:ext>
          </c:extLst>
        </c:ser>
        <c:ser>
          <c:idx val="2"/>
          <c:order val="2"/>
          <c:tx>
            <c:strRef>
              <c:f>Referrals!$AL$43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2014-15</c:v>
                </c:pt>
                <c:pt idx="1">
                  <c:v>2015-16</c:v>
                </c:pt>
                <c:pt idx="2">
                  <c:v>2016-17</c:v>
                </c:pt>
                <c:pt idx="3">
                  <c:v>2017-18</c:v>
                </c:pt>
                <c:pt idx="4">
                  <c:v>2018-19</c:v>
                </c:pt>
              </c:strCache>
            </c:strRef>
          </c:cat>
          <c:val>
            <c:numRef>
              <c:f>Referrals!$AS$43:$AW$43</c:f>
              <c:numCache>
                <c:formatCode>0.0%</c:formatCode>
                <c:ptCount val="5"/>
                <c:pt idx="0">
                  <c:v>0.97426398908169232</c:v>
                </c:pt>
                <c:pt idx="1">
                  <c:v>0.83702213279678073</c:v>
                </c:pt>
                <c:pt idx="2">
                  <c:v>0.89710995219469791</c:v>
                </c:pt>
                <c:pt idx="3">
                  <c:v>0.74102737738221924</c:v>
                </c:pt>
                <c:pt idx="4">
                  <c:v>0.73390052356020941</c:v>
                </c:pt>
              </c:numCache>
            </c:numRef>
          </c:val>
          <c:smooth val="0"/>
          <c:extLst>
            <c:ext xmlns:c16="http://schemas.microsoft.com/office/drawing/2014/chart" uri="{C3380CC4-5D6E-409C-BE32-E72D297353CC}">
              <c16:uniqueId val="{00000003-279F-414B-BC4C-E446FE9E0C2D}"/>
            </c:ext>
          </c:extLst>
        </c:ser>
        <c:ser>
          <c:idx val="5"/>
          <c:order val="3"/>
          <c:tx>
            <c:strRef>
              <c:f>Referrals!$AL$44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2014-15</c:v>
                </c:pt>
                <c:pt idx="1">
                  <c:v>2015-16</c:v>
                </c:pt>
                <c:pt idx="2">
                  <c:v>2016-17</c:v>
                </c:pt>
                <c:pt idx="3">
                  <c:v>2017-18</c:v>
                </c:pt>
                <c:pt idx="4">
                  <c:v>2018-19</c:v>
                </c:pt>
              </c:strCache>
            </c:strRef>
          </c:cat>
          <c:val>
            <c:numRef>
              <c:f>Referrals!$AS$44:$AW$44</c:f>
              <c:numCache>
                <c:formatCode>0.0%</c:formatCode>
                <c:ptCount val="5"/>
                <c:pt idx="0">
                  <c:v>0.94260651629072678</c:v>
                </c:pt>
                <c:pt idx="1">
                  <c:v>0.97467166979362097</c:v>
                </c:pt>
                <c:pt idx="2">
                  <c:v>0.98150163220892273</c:v>
                </c:pt>
                <c:pt idx="3">
                  <c:v>0.9814517975727044</c:v>
                </c:pt>
                <c:pt idx="4">
                  <c:v>0.98146002317497105</c:v>
                </c:pt>
              </c:numCache>
            </c:numRef>
          </c:val>
          <c:smooth val="0"/>
          <c:extLst>
            <c:ext xmlns:c16="http://schemas.microsoft.com/office/drawing/2014/chart" uri="{C3380CC4-5D6E-409C-BE32-E72D297353CC}">
              <c16:uniqueId val="{00000004-279F-414B-BC4C-E446FE9E0C2D}"/>
            </c:ext>
          </c:extLst>
        </c:ser>
        <c:ser>
          <c:idx val="9"/>
          <c:order val="4"/>
          <c:tx>
            <c:strRef>
              <c:f>Referrals!$AL$45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2014-15</c:v>
                </c:pt>
                <c:pt idx="1">
                  <c:v>2015-16</c:v>
                </c:pt>
                <c:pt idx="2">
                  <c:v>2016-17</c:v>
                </c:pt>
                <c:pt idx="3">
                  <c:v>2017-18</c:v>
                </c:pt>
                <c:pt idx="4">
                  <c:v>2018-19</c:v>
                </c:pt>
              </c:strCache>
            </c:strRef>
          </c:cat>
          <c:val>
            <c:numRef>
              <c:f>Referrals!$AS$45:$AW$45</c:f>
              <c:numCache>
                <c:formatCode>0.0%</c:formatCode>
                <c:ptCount val="5"/>
                <c:pt idx="0">
                  <c:v>0.89671025135829008</c:v>
                </c:pt>
                <c:pt idx="1">
                  <c:v>0.89961598463938552</c:v>
                </c:pt>
                <c:pt idx="2">
                  <c:v>0.82588114226910214</c:v>
                </c:pt>
                <c:pt idx="3">
                  <c:v>0.83599131244182434</c:v>
                </c:pt>
                <c:pt idx="4">
                  <c:v>0.85495436766623212</c:v>
                </c:pt>
              </c:numCache>
            </c:numRef>
          </c:val>
          <c:smooth val="0"/>
          <c:extLst>
            <c:ext xmlns:c16="http://schemas.microsoft.com/office/drawing/2014/chart" uri="{C3380CC4-5D6E-409C-BE32-E72D297353CC}">
              <c16:uniqueId val="{00000005-279F-414B-BC4C-E446FE9E0C2D}"/>
            </c:ext>
          </c:extLst>
        </c:ser>
        <c:ser>
          <c:idx val="10"/>
          <c:order val="5"/>
          <c:tx>
            <c:strRef>
              <c:f>Referrals!$AL$46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2014-15</c:v>
                </c:pt>
                <c:pt idx="1">
                  <c:v>2015-16</c:v>
                </c:pt>
                <c:pt idx="2">
                  <c:v>2016-17</c:v>
                </c:pt>
                <c:pt idx="3">
                  <c:v>2017-18</c:v>
                </c:pt>
                <c:pt idx="4">
                  <c:v>2018-19</c:v>
                </c:pt>
              </c:strCache>
            </c:strRef>
          </c:cat>
          <c:val>
            <c:numRef>
              <c:f>Referrals!$AS$46:$AW$46</c:f>
              <c:numCache>
                <c:formatCode>0.0%</c:formatCode>
                <c:ptCount val="5"/>
                <c:pt idx="0">
                  <c:v>0.85978947368421055</c:v>
                </c:pt>
                <c:pt idx="1">
                  <c:v>0.89284219338635418</c:v>
                </c:pt>
                <c:pt idx="2">
                  <c:v>0.83773440489858397</c:v>
                </c:pt>
                <c:pt idx="3">
                  <c:v>0.80605786618444841</c:v>
                </c:pt>
                <c:pt idx="4">
                  <c:v>0.77846534653465349</c:v>
                </c:pt>
              </c:numCache>
            </c:numRef>
          </c:val>
          <c:smooth val="0"/>
          <c:extLst>
            <c:ext xmlns:c16="http://schemas.microsoft.com/office/drawing/2014/chart" uri="{C3380CC4-5D6E-409C-BE32-E72D297353CC}">
              <c16:uniqueId val="{00000006-279F-414B-BC4C-E446FE9E0C2D}"/>
            </c:ext>
          </c:extLst>
        </c:ser>
        <c:ser>
          <c:idx val="11"/>
          <c:order val="6"/>
          <c:tx>
            <c:strRef>
              <c:f>Referrals!$AL$47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2014-15</c:v>
                </c:pt>
                <c:pt idx="1">
                  <c:v>2015-16</c:v>
                </c:pt>
                <c:pt idx="2">
                  <c:v>2016-17</c:v>
                </c:pt>
                <c:pt idx="3">
                  <c:v>2017-18</c:v>
                </c:pt>
                <c:pt idx="4">
                  <c:v>2018-19</c:v>
                </c:pt>
              </c:strCache>
            </c:strRef>
          </c:cat>
          <c:val>
            <c:numRef>
              <c:f>Referrals!$AS$47:$AW$47</c:f>
              <c:numCache>
                <c:formatCode>0.0%</c:formatCode>
                <c:ptCount val="5"/>
                <c:pt idx="0">
                  <c:v>0.72127775425010587</c:v>
                </c:pt>
                <c:pt idx="1">
                  <c:v>0.99302568113674883</c:v>
                </c:pt>
                <c:pt idx="2">
                  <c:v>0.99462195507750717</c:v>
                </c:pt>
                <c:pt idx="3">
                  <c:v>0.99236050172921075</c:v>
                </c:pt>
                <c:pt idx="4">
                  <c:v>0.99431165563638357</c:v>
                </c:pt>
              </c:numCache>
            </c:numRef>
          </c:val>
          <c:smooth val="0"/>
          <c:extLst>
            <c:ext xmlns:c16="http://schemas.microsoft.com/office/drawing/2014/chart" uri="{C3380CC4-5D6E-409C-BE32-E72D297353CC}">
              <c16:uniqueId val="{00000007-279F-414B-BC4C-E446FE9E0C2D}"/>
            </c:ext>
          </c:extLst>
        </c:ser>
        <c:ser>
          <c:idx val="12"/>
          <c:order val="7"/>
          <c:tx>
            <c:strRef>
              <c:f>Referrals!$AL$48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2014-15</c:v>
                </c:pt>
                <c:pt idx="1">
                  <c:v>2015-16</c:v>
                </c:pt>
                <c:pt idx="2">
                  <c:v>2016-17</c:v>
                </c:pt>
                <c:pt idx="3">
                  <c:v>2017-18</c:v>
                </c:pt>
                <c:pt idx="4">
                  <c:v>2018-19</c:v>
                </c:pt>
              </c:strCache>
            </c:strRef>
          </c:cat>
          <c:val>
            <c:numRef>
              <c:f>Referrals!$AS$48:$AW$48</c:f>
              <c:numCache>
                <c:formatCode>0.0%</c:formatCode>
                <c:ptCount val="5"/>
                <c:pt idx="0">
                  <c:v>0.95292207792207795</c:v>
                </c:pt>
                <c:pt idx="1">
                  <c:v>0.88004750593824232</c:v>
                </c:pt>
                <c:pt idx="2">
                  <c:v>0.91617862371888725</c:v>
                </c:pt>
                <c:pt idx="3">
                  <c:v>0.92534456355283312</c:v>
                </c:pt>
                <c:pt idx="4">
                  <c:v>0.92670807453416149</c:v>
                </c:pt>
              </c:numCache>
            </c:numRef>
          </c:val>
          <c:smooth val="0"/>
          <c:extLst>
            <c:ext xmlns:c16="http://schemas.microsoft.com/office/drawing/2014/chart" uri="{C3380CC4-5D6E-409C-BE32-E72D297353CC}">
              <c16:uniqueId val="{00000008-279F-414B-BC4C-E446FE9E0C2D}"/>
            </c:ext>
          </c:extLst>
        </c:ser>
        <c:ser>
          <c:idx val="13"/>
          <c:order val="8"/>
          <c:tx>
            <c:strRef>
              <c:f>Referrals!$AL$49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2014-15</c:v>
                </c:pt>
                <c:pt idx="1">
                  <c:v>2015-16</c:v>
                </c:pt>
                <c:pt idx="2">
                  <c:v>2016-17</c:v>
                </c:pt>
                <c:pt idx="3">
                  <c:v>2017-18</c:v>
                </c:pt>
                <c:pt idx="4">
                  <c:v>2018-19</c:v>
                </c:pt>
              </c:strCache>
            </c:strRef>
          </c:cat>
          <c:val>
            <c:numRef>
              <c:f>Referrals!$AS$49:$AW$49</c:f>
              <c:numCache>
                <c:formatCode>0.0%</c:formatCode>
                <c:ptCount val="5"/>
                <c:pt idx="0">
                  <c:v>0.79174776177500972</c:v>
                </c:pt>
                <c:pt idx="1">
                  <c:v>0.76778620440592271</c:v>
                </c:pt>
                <c:pt idx="2">
                  <c:v>0.81673694453454426</c:v>
                </c:pt>
                <c:pt idx="3">
                  <c:v>0.81644764730818142</c:v>
                </c:pt>
                <c:pt idx="4">
                  <c:v>0.83216783216783219</c:v>
                </c:pt>
              </c:numCache>
            </c:numRef>
          </c:val>
          <c:smooth val="0"/>
          <c:extLst>
            <c:ext xmlns:c16="http://schemas.microsoft.com/office/drawing/2014/chart" uri="{C3380CC4-5D6E-409C-BE32-E72D297353CC}">
              <c16:uniqueId val="{00000009-279F-414B-BC4C-E446FE9E0C2D}"/>
            </c:ext>
          </c:extLst>
        </c:ser>
        <c:ser>
          <c:idx val="15"/>
          <c:order val="9"/>
          <c:tx>
            <c:strRef>
              <c:f>Referrals!$AL$50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2014-15</c:v>
                </c:pt>
                <c:pt idx="1">
                  <c:v>2015-16</c:v>
                </c:pt>
                <c:pt idx="2">
                  <c:v>2016-17</c:v>
                </c:pt>
                <c:pt idx="3">
                  <c:v>2017-18</c:v>
                </c:pt>
                <c:pt idx="4">
                  <c:v>2018-19</c:v>
                </c:pt>
              </c:strCache>
            </c:strRef>
          </c:cat>
          <c:val>
            <c:numRef>
              <c:f>Referrals!$AS$50:$AW$50</c:f>
              <c:numCache>
                <c:formatCode>0.0%</c:formatCode>
                <c:ptCount val="5"/>
                <c:pt idx="0">
                  <c:v>0.70174819000529753</c:v>
                </c:pt>
                <c:pt idx="1">
                  <c:v>0.91629629629629628</c:v>
                </c:pt>
                <c:pt idx="2">
                  <c:v>0.93362581375601472</c:v>
                </c:pt>
                <c:pt idx="3">
                  <c:v>0.79439389492221901</c:v>
                </c:pt>
                <c:pt idx="4">
                  <c:v>0.82873580174066974</c:v>
                </c:pt>
              </c:numCache>
            </c:numRef>
          </c:val>
          <c:smooth val="0"/>
          <c:extLst>
            <c:ext xmlns:c16="http://schemas.microsoft.com/office/drawing/2014/chart" uri="{C3380CC4-5D6E-409C-BE32-E72D297353CC}">
              <c16:uniqueId val="{0000000A-279F-414B-BC4C-E446FE9E0C2D}"/>
            </c:ext>
          </c:extLst>
        </c:ser>
        <c:ser>
          <c:idx val="16"/>
          <c:order val="10"/>
          <c:tx>
            <c:strRef>
              <c:f>Referrals!$AL$51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2014-15</c:v>
                </c:pt>
                <c:pt idx="1">
                  <c:v>2015-16</c:v>
                </c:pt>
                <c:pt idx="2">
                  <c:v>2016-17</c:v>
                </c:pt>
                <c:pt idx="3">
                  <c:v>2017-18</c:v>
                </c:pt>
                <c:pt idx="4">
                  <c:v>2018-19</c:v>
                </c:pt>
              </c:strCache>
            </c:strRef>
          </c:cat>
          <c:val>
            <c:numRef>
              <c:f>Referrals!$AS$51:$AW$51</c:f>
              <c:numCache>
                <c:formatCode>0.0%</c:formatCode>
                <c:ptCount val="5"/>
                <c:pt idx="0">
                  <c:v>0.95731389901093178</c:v>
                </c:pt>
                <c:pt idx="1">
                  <c:v>0.97515527950310554</c:v>
                </c:pt>
                <c:pt idx="2">
                  <c:v>0.9545637314032972</c:v>
                </c:pt>
                <c:pt idx="3">
                  <c:v>0.98137082601054482</c:v>
                </c:pt>
                <c:pt idx="4">
                  <c:v>0.9743319268635724</c:v>
                </c:pt>
              </c:numCache>
            </c:numRef>
          </c:val>
          <c:smooth val="0"/>
          <c:extLst>
            <c:ext xmlns:c16="http://schemas.microsoft.com/office/drawing/2014/chart" uri="{C3380CC4-5D6E-409C-BE32-E72D297353CC}">
              <c16:uniqueId val="{0000000B-279F-414B-BC4C-E446FE9E0C2D}"/>
            </c:ext>
          </c:extLst>
        </c:ser>
        <c:ser>
          <c:idx val="17"/>
          <c:order val="11"/>
          <c:tx>
            <c:strRef>
              <c:f>Referrals!$AL$52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2014-15</c:v>
                </c:pt>
                <c:pt idx="1">
                  <c:v>2015-16</c:v>
                </c:pt>
                <c:pt idx="2">
                  <c:v>2016-17</c:v>
                </c:pt>
                <c:pt idx="3">
                  <c:v>2017-18</c:v>
                </c:pt>
                <c:pt idx="4">
                  <c:v>2018-19</c:v>
                </c:pt>
              </c:strCache>
            </c:strRef>
          </c:cat>
          <c:val>
            <c:numRef>
              <c:f>Referrals!$AS$52:$AW$52</c:f>
              <c:numCache>
                <c:formatCode>0.0%</c:formatCode>
                <c:ptCount val="5"/>
                <c:pt idx="0">
                  <c:v>0.79438135086670647</c:v>
                </c:pt>
                <c:pt idx="1">
                  <c:v>0.89993502274204029</c:v>
                </c:pt>
                <c:pt idx="2">
                  <c:v>0.95102540557086013</c:v>
                </c:pt>
                <c:pt idx="3">
                  <c:v>0.98820395738203959</c:v>
                </c:pt>
                <c:pt idx="4">
                  <c:v>0.98612632347572104</c:v>
                </c:pt>
              </c:numCache>
            </c:numRef>
          </c:val>
          <c:smooth val="0"/>
          <c:extLst>
            <c:ext xmlns:c16="http://schemas.microsoft.com/office/drawing/2014/chart" uri="{C3380CC4-5D6E-409C-BE32-E72D297353CC}">
              <c16:uniqueId val="{0000000C-279F-414B-BC4C-E446FE9E0C2D}"/>
            </c:ext>
          </c:extLst>
        </c:ser>
        <c:ser>
          <c:idx val="19"/>
          <c:order val="12"/>
          <c:tx>
            <c:strRef>
              <c:f>Referrals!$AL$53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2014-15</c:v>
                </c:pt>
                <c:pt idx="1">
                  <c:v>2015-16</c:v>
                </c:pt>
                <c:pt idx="2">
                  <c:v>2016-17</c:v>
                </c:pt>
                <c:pt idx="3">
                  <c:v>2017-18</c:v>
                </c:pt>
                <c:pt idx="4">
                  <c:v>2018-19</c:v>
                </c:pt>
              </c:strCache>
            </c:strRef>
          </c:cat>
          <c:val>
            <c:numRef>
              <c:f>Referrals!$AS$53:$AW$53</c:f>
              <c:numCache>
                <c:formatCode>0.0%</c:formatCode>
                <c:ptCount val="5"/>
                <c:pt idx="0">
                  <c:v>0.97896581945661698</c:v>
                </c:pt>
                <c:pt idx="1">
                  <c:v>0.9895457822638789</c:v>
                </c:pt>
                <c:pt idx="2">
                  <c:v>0.39170182841068918</c:v>
                </c:pt>
                <c:pt idx="3">
                  <c:v>0.99245757385292266</c:v>
                </c:pt>
                <c:pt idx="4">
                  <c:v>0.95516372795969773</c:v>
                </c:pt>
              </c:numCache>
            </c:numRef>
          </c:val>
          <c:smooth val="0"/>
          <c:extLst>
            <c:ext xmlns:c16="http://schemas.microsoft.com/office/drawing/2014/chart" uri="{C3380CC4-5D6E-409C-BE32-E72D297353CC}">
              <c16:uniqueId val="{0000000D-279F-414B-BC4C-E446FE9E0C2D}"/>
            </c:ext>
          </c:extLst>
        </c:ser>
        <c:ser>
          <c:idx val="3"/>
          <c:order val="13"/>
          <c:tx>
            <c:strRef>
              <c:f>Referrals!$AL$54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2014-15</c:v>
                </c:pt>
                <c:pt idx="1">
                  <c:v>2015-16</c:v>
                </c:pt>
                <c:pt idx="2">
                  <c:v>2016-17</c:v>
                </c:pt>
                <c:pt idx="3">
                  <c:v>2017-18</c:v>
                </c:pt>
                <c:pt idx="4">
                  <c:v>2018-19</c:v>
                </c:pt>
              </c:strCache>
            </c:strRef>
          </c:cat>
          <c:val>
            <c:numRef>
              <c:f>Referrals!$AS$54:$AW$54</c:f>
              <c:numCache>
                <c:formatCode>0.0%</c:formatCode>
                <c:ptCount val="5"/>
                <c:pt idx="0">
                  <c:v>0.98676444285458775</c:v>
                </c:pt>
                <c:pt idx="1">
                  <c:v>0.99395112509073313</c:v>
                </c:pt>
                <c:pt idx="2">
                  <c:v>0.99267322587397944</c:v>
                </c:pt>
                <c:pt idx="3">
                  <c:v>0.97715392061955475</c:v>
                </c:pt>
                <c:pt idx="4">
                  <c:v>0.94908616187989558</c:v>
                </c:pt>
              </c:numCache>
            </c:numRef>
          </c:val>
          <c:smooth val="0"/>
          <c:extLst>
            <c:ext xmlns:c16="http://schemas.microsoft.com/office/drawing/2014/chart" uri="{C3380CC4-5D6E-409C-BE32-E72D297353CC}">
              <c16:uniqueId val="{0000000E-279F-414B-BC4C-E446FE9E0C2D}"/>
            </c:ext>
          </c:extLst>
        </c:ser>
        <c:ser>
          <c:idx val="20"/>
          <c:order val="14"/>
          <c:tx>
            <c:strRef>
              <c:f>Referrals!$AL$55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2014-15</c:v>
                </c:pt>
                <c:pt idx="1">
                  <c:v>2015-16</c:v>
                </c:pt>
                <c:pt idx="2">
                  <c:v>2016-17</c:v>
                </c:pt>
                <c:pt idx="3">
                  <c:v>2017-18</c:v>
                </c:pt>
                <c:pt idx="4">
                  <c:v>2018-19</c:v>
                </c:pt>
              </c:strCache>
            </c:strRef>
          </c:cat>
          <c:val>
            <c:numRef>
              <c:f>Referrals!$AS$55:$AW$55</c:f>
              <c:numCache>
                <c:formatCode>0.0%</c:formatCode>
                <c:ptCount val="5"/>
                <c:pt idx="0">
                  <c:v>0.88044326517871074</c:v>
                </c:pt>
                <c:pt idx="1">
                  <c:v>1</c:v>
                </c:pt>
                <c:pt idx="2">
                  <c:v>0.99737187910643887</c:v>
                </c:pt>
                <c:pt idx="3">
                  <c:v>0.99540757749712971</c:v>
                </c:pt>
                <c:pt idx="4">
                  <c:v>0.87336412625096227</c:v>
                </c:pt>
              </c:numCache>
            </c:numRef>
          </c:val>
          <c:smooth val="0"/>
          <c:extLst>
            <c:ext xmlns:c16="http://schemas.microsoft.com/office/drawing/2014/chart" uri="{C3380CC4-5D6E-409C-BE32-E72D297353CC}">
              <c16:uniqueId val="{0000000F-279F-414B-BC4C-E446FE9E0C2D}"/>
            </c:ext>
          </c:extLst>
        </c:ser>
        <c:ser>
          <c:idx val="22"/>
          <c:order val="15"/>
          <c:tx>
            <c:strRef>
              <c:f>Referrals!$AL$56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2014-15</c:v>
                </c:pt>
                <c:pt idx="1">
                  <c:v>2015-16</c:v>
                </c:pt>
                <c:pt idx="2">
                  <c:v>2016-17</c:v>
                </c:pt>
                <c:pt idx="3">
                  <c:v>2017-18</c:v>
                </c:pt>
                <c:pt idx="4">
                  <c:v>2018-19</c:v>
                </c:pt>
              </c:strCache>
            </c:strRef>
          </c:cat>
          <c:val>
            <c:numRef>
              <c:f>Referrals!$AS$56:$AW$56</c:f>
              <c:numCache>
                <c:formatCode>0.0%</c:formatCode>
                <c:ptCount val="5"/>
                <c:pt idx="0">
                  <c:v>0.96783244814109626</c:v>
                </c:pt>
                <c:pt idx="1">
                  <c:v>0.9845343303874915</c:v>
                </c:pt>
                <c:pt idx="2">
                  <c:v>0.99075263293090166</c:v>
                </c:pt>
                <c:pt idx="3">
                  <c:v>0.99288125642154701</c:v>
                </c:pt>
                <c:pt idx="4">
                  <c:v>0.98627174424071462</c:v>
                </c:pt>
              </c:numCache>
            </c:numRef>
          </c:val>
          <c:smooth val="0"/>
          <c:extLst>
            <c:ext xmlns:c16="http://schemas.microsoft.com/office/drawing/2014/chart" uri="{C3380CC4-5D6E-409C-BE32-E72D297353CC}">
              <c16:uniqueId val="{00000010-279F-414B-BC4C-E446FE9E0C2D}"/>
            </c:ext>
          </c:extLst>
        </c:ser>
        <c:ser>
          <c:idx val="7"/>
          <c:order val="16"/>
          <c:tx>
            <c:strRef>
              <c:f>Referrals!$AL$57</c:f>
              <c:strCache>
                <c:ptCount val="1"/>
                <c:pt idx="0">
                  <c:v>Swindon</c:v>
                </c:pt>
              </c:strCache>
            </c:strRef>
          </c:tx>
          <c:spPr>
            <a:ln w="15875"/>
          </c:spPr>
          <c:marker>
            <c:symbol val="triangle"/>
            <c:size val="5"/>
            <c:spPr>
              <a:solidFill>
                <a:schemeClr val="accent2">
                  <a:lumMod val="20000"/>
                  <a:lumOff val="80000"/>
                </a:schemeClr>
              </a:solidFill>
            </c:spPr>
          </c:marker>
          <c:cat>
            <c:strRef>
              <c:f>Referrals!$Z$2:$AD$3</c:f>
              <c:strCache>
                <c:ptCount val="5"/>
                <c:pt idx="0">
                  <c:v>2014-15</c:v>
                </c:pt>
                <c:pt idx="1">
                  <c:v>2015-16</c:v>
                </c:pt>
                <c:pt idx="2">
                  <c:v>2016-17</c:v>
                </c:pt>
                <c:pt idx="3">
                  <c:v>2017-18</c:v>
                </c:pt>
                <c:pt idx="4">
                  <c:v>2018-19</c:v>
                </c:pt>
              </c:strCache>
            </c:strRef>
          </c:cat>
          <c:val>
            <c:numRef>
              <c:f>Referrals!$AS$57:$AW$57</c:f>
              <c:numCache>
                <c:formatCode>0.0%</c:formatCode>
                <c:ptCount val="5"/>
                <c:pt idx="0">
                  <c:v>0.95245283018867921</c:v>
                </c:pt>
                <c:pt idx="1">
                  <c:v>0.87900146842878124</c:v>
                </c:pt>
                <c:pt idx="2">
                  <c:v>0.96722939424031773</c:v>
                </c:pt>
                <c:pt idx="3">
                  <c:v>0.92390405293631095</c:v>
                </c:pt>
                <c:pt idx="4">
                  <c:v>0.93522516964836522</c:v>
                </c:pt>
              </c:numCache>
            </c:numRef>
          </c:val>
          <c:smooth val="0"/>
          <c:extLst>
            <c:ext xmlns:c16="http://schemas.microsoft.com/office/drawing/2014/chart" uri="{C3380CC4-5D6E-409C-BE32-E72D297353CC}">
              <c16:uniqueId val="{00000011-279F-414B-BC4C-E446FE9E0C2D}"/>
            </c:ext>
          </c:extLst>
        </c:ser>
        <c:ser>
          <c:idx val="8"/>
          <c:order val="17"/>
          <c:tx>
            <c:strRef>
              <c:f>Referrals!$AL$58</c:f>
              <c:strCache>
                <c:ptCount val="1"/>
                <c:pt idx="0">
                  <c:v>Torbay</c:v>
                </c:pt>
              </c:strCache>
            </c:strRef>
          </c:tx>
          <c:spPr>
            <a:ln w="15875"/>
          </c:spPr>
          <c:marker>
            <c:symbol val="circle"/>
            <c:size val="5"/>
            <c:spPr>
              <a:solidFill>
                <a:schemeClr val="accent3">
                  <a:lumMod val="20000"/>
                  <a:lumOff val="80000"/>
                </a:schemeClr>
              </a:solidFill>
            </c:spPr>
          </c:marker>
          <c:cat>
            <c:strRef>
              <c:f>Referrals!$Z$2:$AD$3</c:f>
              <c:strCache>
                <c:ptCount val="5"/>
                <c:pt idx="0">
                  <c:v>2014-15</c:v>
                </c:pt>
                <c:pt idx="1">
                  <c:v>2015-16</c:v>
                </c:pt>
                <c:pt idx="2">
                  <c:v>2016-17</c:v>
                </c:pt>
                <c:pt idx="3">
                  <c:v>2017-18</c:v>
                </c:pt>
                <c:pt idx="4">
                  <c:v>2018-19</c:v>
                </c:pt>
              </c:strCache>
            </c:strRef>
          </c:cat>
          <c:val>
            <c:numRef>
              <c:f>Referrals!$AS$58:$AW$58</c:f>
              <c:numCache>
                <c:formatCode>0.0%</c:formatCode>
                <c:ptCount val="5"/>
                <c:pt idx="0">
                  <c:v>0.66776007497656986</c:v>
                </c:pt>
                <c:pt idx="1">
                  <c:v>0.85412474849094566</c:v>
                </c:pt>
                <c:pt idx="2">
                  <c:v>0.85767326732673266</c:v>
                </c:pt>
                <c:pt idx="3">
                  <c:v>0.87922437673130194</c:v>
                </c:pt>
                <c:pt idx="4">
                  <c:v>0.87146092865232161</c:v>
                </c:pt>
              </c:numCache>
            </c:numRef>
          </c:val>
          <c:smooth val="0"/>
          <c:extLst>
            <c:ext xmlns:c16="http://schemas.microsoft.com/office/drawing/2014/chart" uri="{C3380CC4-5D6E-409C-BE32-E72D297353CC}">
              <c16:uniqueId val="{00000012-279F-414B-BC4C-E446FE9E0C2D}"/>
            </c:ext>
          </c:extLst>
        </c:ser>
        <c:ser>
          <c:idx val="23"/>
          <c:order val="18"/>
          <c:tx>
            <c:strRef>
              <c:f>Referrals!$AL$59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2014-15</c:v>
                </c:pt>
                <c:pt idx="1">
                  <c:v>2015-16</c:v>
                </c:pt>
                <c:pt idx="2">
                  <c:v>2016-17</c:v>
                </c:pt>
                <c:pt idx="3">
                  <c:v>2017-18</c:v>
                </c:pt>
                <c:pt idx="4">
                  <c:v>2018-19</c:v>
                </c:pt>
              </c:strCache>
            </c:strRef>
          </c:cat>
          <c:val>
            <c:numRef>
              <c:f>Referrals!$AS$59:$AW$59</c:f>
              <c:numCache>
                <c:formatCode>0.0%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13-279F-414B-BC4C-E446FE9E0C2D}"/>
            </c:ext>
          </c:extLst>
        </c:ser>
        <c:ser>
          <c:idx val="24"/>
          <c:order val="19"/>
          <c:tx>
            <c:strRef>
              <c:f>Referrals!$AL$60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2014-15</c:v>
                </c:pt>
                <c:pt idx="1">
                  <c:v>2015-16</c:v>
                </c:pt>
                <c:pt idx="2">
                  <c:v>2016-17</c:v>
                </c:pt>
                <c:pt idx="3">
                  <c:v>2017-18</c:v>
                </c:pt>
                <c:pt idx="4">
                  <c:v>2018-19</c:v>
                </c:pt>
              </c:strCache>
            </c:strRef>
          </c:cat>
          <c:val>
            <c:numRef>
              <c:f>Referrals!$AS$60:$AW$60</c:f>
              <c:numCache>
                <c:formatCode>0.0%</c:formatCode>
                <c:ptCount val="5"/>
                <c:pt idx="0">
                  <c:v>0.90530576839670374</c:v>
                </c:pt>
                <c:pt idx="1">
                  <c:v>0.87786915428992263</c:v>
                </c:pt>
                <c:pt idx="2">
                  <c:v>0.87106738359455438</c:v>
                </c:pt>
                <c:pt idx="3">
                  <c:v>1</c:v>
                </c:pt>
                <c:pt idx="4">
                  <c:v>1</c:v>
                </c:pt>
              </c:numCache>
            </c:numRef>
          </c:val>
          <c:smooth val="0"/>
          <c:extLst>
            <c:ext xmlns:c16="http://schemas.microsoft.com/office/drawing/2014/chart" uri="{C3380CC4-5D6E-409C-BE32-E72D297353CC}">
              <c16:uniqueId val="{00000014-279F-414B-BC4C-E446FE9E0C2D}"/>
            </c:ext>
          </c:extLst>
        </c:ser>
        <c:ser>
          <c:idx val="25"/>
          <c:order val="20"/>
          <c:tx>
            <c:strRef>
              <c:f>Referrals!$AL$61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2014-15</c:v>
                </c:pt>
                <c:pt idx="1">
                  <c:v>2015-16</c:v>
                </c:pt>
                <c:pt idx="2">
                  <c:v>2016-17</c:v>
                </c:pt>
                <c:pt idx="3">
                  <c:v>2017-18</c:v>
                </c:pt>
                <c:pt idx="4">
                  <c:v>2018-19</c:v>
                </c:pt>
              </c:strCache>
            </c:strRef>
          </c:cat>
          <c:val>
            <c:numRef>
              <c:f>Referrals!$AS$61:$AW$61</c:f>
              <c:numCache>
                <c:formatCode>0.0%</c:formatCode>
                <c:ptCount val="5"/>
                <c:pt idx="0">
                  <c:v>0.94179389312977102</c:v>
                </c:pt>
                <c:pt idx="1">
                  <c:v>0.81434977578475332</c:v>
                </c:pt>
                <c:pt idx="2">
                  <c:v>0.88306451612903225</c:v>
                </c:pt>
                <c:pt idx="3">
                  <c:v>0.85768143261074459</c:v>
                </c:pt>
                <c:pt idx="4">
                  <c:v>0.945374449339207</c:v>
                </c:pt>
              </c:numCache>
            </c:numRef>
          </c:val>
          <c:smooth val="0"/>
          <c:extLst>
            <c:ext xmlns:c16="http://schemas.microsoft.com/office/drawing/2014/chart" uri="{C3380CC4-5D6E-409C-BE32-E72D297353CC}">
              <c16:uniqueId val="{00000015-279F-414B-BC4C-E446FE9E0C2D}"/>
            </c:ext>
          </c:extLst>
        </c:ser>
        <c:ser>
          <c:idx val="26"/>
          <c:order val="21"/>
          <c:tx>
            <c:strRef>
              <c:f>Referrals!$AL$62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2014-15</c:v>
                </c:pt>
                <c:pt idx="1">
                  <c:v>2015-16</c:v>
                </c:pt>
                <c:pt idx="2">
                  <c:v>2016-17</c:v>
                </c:pt>
                <c:pt idx="3">
                  <c:v>2017-18</c:v>
                </c:pt>
                <c:pt idx="4">
                  <c:v>2018-19</c:v>
                </c:pt>
              </c:strCache>
            </c:strRef>
          </c:cat>
          <c:val>
            <c:numRef>
              <c:f>Referrals!$AS$62:$AW$62</c:f>
              <c:numCache>
                <c:formatCode>0.0%</c:formatCode>
                <c:ptCount val="5"/>
                <c:pt idx="0">
                  <c:v>0.99494949494949492</c:v>
                </c:pt>
                <c:pt idx="1">
                  <c:v>1</c:v>
                </c:pt>
                <c:pt idx="2">
                  <c:v>0.99228224917309815</c:v>
                </c:pt>
                <c:pt idx="3">
                  <c:v>0.96425966447848288</c:v>
                </c:pt>
                <c:pt idx="4">
                  <c:v>0.98768328445747799</c:v>
                </c:pt>
              </c:numCache>
            </c:numRef>
          </c:val>
          <c:smooth val="0"/>
          <c:extLst>
            <c:ext xmlns:c16="http://schemas.microsoft.com/office/drawing/2014/chart" uri="{C3380CC4-5D6E-409C-BE32-E72D297353CC}">
              <c16:uniqueId val="{00000016-279F-414B-BC4C-E446FE9E0C2D}"/>
            </c:ext>
          </c:extLst>
        </c:ser>
        <c:ser>
          <c:idx val="4"/>
          <c:order val="22"/>
          <c:tx>
            <c:strRef>
              <c:f>Referrals!$AL$63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2014-15</c:v>
                </c:pt>
                <c:pt idx="1">
                  <c:v>2015-16</c:v>
                </c:pt>
                <c:pt idx="2">
                  <c:v>2016-17</c:v>
                </c:pt>
                <c:pt idx="3">
                  <c:v>2017-18</c:v>
                </c:pt>
                <c:pt idx="4">
                  <c:v>2018-19</c:v>
                </c:pt>
              </c:strCache>
            </c:strRef>
          </c:cat>
          <c:val>
            <c:numRef>
              <c:f>Referrals!$AS$63:$AW$63</c:f>
              <c:numCache>
                <c:formatCode>0.0%</c:formatCode>
                <c:ptCount val="5"/>
                <c:pt idx="0">
                  <c:v>0.84004127966976261</c:v>
                </c:pt>
                <c:pt idx="1">
                  <c:v>0.92645253682487727</c:v>
                </c:pt>
                <c:pt idx="2">
                  <c:v>0.88974981329350267</c:v>
                </c:pt>
                <c:pt idx="3">
                  <c:v>0.91697157331832257</c:v>
                </c:pt>
                <c:pt idx="4">
                  <c:v>0.9144818381161216</c:v>
                </c:pt>
              </c:numCache>
            </c:numRef>
          </c:val>
          <c:smooth val="0"/>
          <c:extLst>
            <c:ext xmlns:c16="http://schemas.microsoft.com/office/drawing/2014/chart" uri="{C3380CC4-5D6E-409C-BE32-E72D297353CC}">
              <c16:uniqueId val="{00000017-279F-414B-BC4C-E446FE9E0C2D}"/>
            </c:ext>
          </c:extLst>
        </c:ser>
        <c:ser>
          <c:idx val="14"/>
          <c:order val="23"/>
          <c:tx>
            <c:strRef>
              <c:f>Referrals!$AL$64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Referrals!$Z$2:$AD$3</c:f>
              <c:strCache>
                <c:ptCount val="5"/>
                <c:pt idx="0">
                  <c:v>2014-15</c:v>
                </c:pt>
                <c:pt idx="1">
                  <c:v>2015-16</c:v>
                </c:pt>
                <c:pt idx="2">
                  <c:v>2016-17</c:v>
                </c:pt>
                <c:pt idx="3">
                  <c:v>2017-18</c:v>
                </c:pt>
                <c:pt idx="4">
                  <c:v>2018-19</c:v>
                </c:pt>
              </c:strCache>
            </c:strRef>
          </c:cat>
          <c:val>
            <c:numRef>
              <c:f>Referrals!$AS$64:$AW$64</c:f>
              <c:numCache>
                <c:formatCode>0.0%</c:formatCode>
                <c:ptCount val="5"/>
                <c:pt idx="0">
                  <c:v>0.86233480176211452</c:v>
                </c:pt>
                <c:pt idx="1">
                  <c:v>0.90055835358102565</c:v>
                </c:pt>
                <c:pt idx="2">
                  <c:v>0.89778988423203121</c:v>
                </c:pt>
                <c:pt idx="3">
                  <c:v>0.90590729527324865</c:v>
                </c:pt>
                <c:pt idx="4">
                  <c:v>0.91917717726944526</c:v>
                </c:pt>
              </c:numCache>
            </c:numRef>
          </c:val>
          <c:smooth val="0"/>
          <c:extLst>
            <c:ext xmlns:c16="http://schemas.microsoft.com/office/drawing/2014/chart" uri="{C3380CC4-5D6E-409C-BE32-E72D297353CC}">
              <c16:uniqueId val="{00000018-279F-414B-BC4C-E446FE9E0C2D}"/>
            </c:ext>
          </c:extLst>
        </c:ser>
        <c:ser>
          <c:idx val="6"/>
          <c:order val="24"/>
          <c:tx>
            <c:strRef>
              <c:f>Referrals!$AL$65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2014-15</c:v>
                </c:pt>
                <c:pt idx="1">
                  <c:v>2015-16</c:v>
                </c:pt>
                <c:pt idx="2">
                  <c:v>2016-17</c:v>
                </c:pt>
                <c:pt idx="3">
                  <c:v>2017-18</c:v>
                </c:pt>
                <c:pt idx="4">
                  <c:v>2018-19</c:v>
                </c:pt>
              </c:strCache>
            </c:strRef>
          </c:cat>
          <c:val>
            <c:numRef>
              <c:f>Referrals!$AS$65:$AW$65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279F-414B-BC4C-E446FE9E0C2D}"/>
            </c:ext>
          </c:extLst>
        </c:ser>
        <c:dLbls>
          <c:showLegendKey val="0"/>
          <c:showVal val="0"/>
          <c:showCatName val="0"/>
          <c:showSerName val="0"/>
          <c:showPercent val="0"/>
          <c:showBubbleSize val="0"/>
        </c:dLbls>
        <c:marker val="1"/>
        <c:smooth val="0"/>
        <c:axId val="550666240"/>
        <c:axId val="550668160"/>
      </c:lineChart>
      <c:catAx>
        <c:axId val="550666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668160"/>
        <c:crosses val="autoZero"/>
        <c:auto val="1"/>
        <c:lblAlgn val="ctr"/>
        <c:lblOffset val="100"/>
        <c:tickLblSkip val="1"/>
        <c:tickMarkSkip val="1"/>
        <c:noMultiLvlLbl val="0"/>
      </c:catAx>
      <c:valAx>
        <c:axId val="550668160"/>
        <c:scaling>
          <c:orientation val="minMax"/>
          <c:max val="1.02"/>
          <c:min val="0"/>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66624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Initial CP Conferences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'Initial CP Conferences'!$S$7:$U$7</c:f>
              <c:strCache>
                <c:ptCount val="1"/>
                <c:pt idx="0">
                  <c:v>Distance from Expected 2019</c:v>
                </c:pt>
              </c:strCache>
            </c:strRef>
          </c:tx>
          <c:spPr>
            <a:solidFill>
              <a:srgbClr val="FB994F"/>
            </a:solidFill>
            <a:ln w="25400">
              <a:noFill/>
            </a:ln>
          </c:spPr>
          <c:invertIfNegative val="0"/>
          <c:cat>
            <c:strRef>
              <c:f>'Initial CP Conferences'!$Y$77:$Y$100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Conferences'!$U$10:$U$33</c:f>
              <c:numCache>
                <c:formatCode>0.0</c:formatCode>
                <c:ptCount val="24"/>
                <c:pt idx="0">
                  <c:v>42.478447163302874</c:v>
                </c:pt>
                <c:pt idx="1">
                  <c:v>13.645527622607311</c:v>
                </c:pt>
                <c:pt idx="2">
                  <c:v>18.204488958589252</c:v>
                </c:pt>
                <c:pt idx="3">
                  <c:v>2.3535423859105578</c:v>
                </c:pt>
                <c:pt idx="4">
                  <c:v>12.102602475496205</c:v>
                </c:pt>
                <c:pt idx="5">
                  <c:v>22.957634217182786</c:v>
                </c:pt>
                <c:pt idx="6">
                  <c:v>-18.027871811646264</c:v>
                </c:pt>
                <c:pt idx="7">
                  <c:v>13.947290908294548</c:v>
                </c:pt>
                <c:pt idx="8">
                  <c:v>-29.762777491272416</c:v>
                </c:pt>
                <c:pt idx="9">
                  <c:v>8.4167025455296667</c:v>
                </c:pt>
                <c:pt idx="10">
                  <c:v>-9.4388349027186536</c:v>
                </c:pt>
                <c:pt idx="11">
                  <c:v>49.503605703404915</c:v>
                </c:pt>
                <c:pt idx="12">
                  <c:v>18.816132269756828</c:v>
                </c:pt>
                <c:pt idx="13">
                  <c:v>-12.222366848895163</c:v>
                </c:pt>
                <c:pt idx="14">
                  <c:v>18.188711540189033</c:v>
                </c:pt>
                <c:pt idx="15">
                  <c:v>12.129602539280974</c:v>
                </c:pt>
                <c:pt idx="16">
                  <c:v>36.590706952755134</c:v>
                </c:pt>
                <c:pt idx="17">
                  <c:v>41.241575613295268</c:v>
                </c:pt>
                <c:pt idx="18">
                  <c:v>26.335097019633551</c:v>
                </c:pt>
                <c:pt idx="19">
                  <c:v>-2.175134245393842</c:v>
                </c:pt>
                <c:pt idx="20">
                  <c:v>-6.415272165377317</c:v>
                </c:pt>
                <c:pt idx="21">
                  <c:v>26.190993996826691</c:v>
                </c:pt>
                <c:pt idx="22">
                  <c:v>5.1415178597350248</c:v>
                </c:pt>
                <c:pt idx="23">
                  <c:v>-2.731724029338821</c:v>
                </c:pt>
              </c:numCache>
            </c:numRef>
          </c:val>
          <c:extLst>
            <c:ext xmlns:c16="http://schemas.microsoft.com/office/drawing/2014/chart" uri="{C3380CC4-5D6E-409C-BE32-E72D297353CC}">
              <c16:uniqueId val="{00000000-6C50-4954-B0EE-07C179AED29C}"/>
            </c:ext>
          </c:extLst>
        </c:ser>
        <c:ser>
          <c:idx val="0"/>
          <c:order val="1"/>
          <c:tx>
            <c:strRef>
              <c:f>'Initial CP Conferences'!$AA$4</c:f>
              <c:strCache>
                <c:ptCount val="1"/>
                <c:pt idx="0">
                  <c:v>Selected LA- (none)</c:v>
                </c:pt>
              </c:strCache>
            </c:strRef>
          </c:tx>
          <c:spPr>
            <a:solidFill>
              <a:srgbClr val="66FF99"/>
            </a:solidFill>
            <a:ln w="12700">
              <a:solidFill>
                <a:srgbClr val="000000"/>
              </a:solidFill>
              <a:prstDash val="solid"/>
            </a:ln>
          </c:spPr>
          <c:invertIfNegative val="0"/>
          <c:cat>
            <c:strRef>
              <c:f>'Initial CP Conferences'!$Y$77:$Y$100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6C50-4954-B0EE-07C179AED29C}"/>
            </c:ext>
          </c:extLst>
        </c:ser>
        <c:dLbls>
          <c:showLegendKey val="0"/>
          <c:showVal val="0"/>
          <c:showCatName val="0"/>
          <c:showSerName val="0"/>
          <c:showPercent val="0"/>
          <c:showBubbleSize val="0"/>
        </c:dLbls>
        <c:gapWidth val="40"/>
        <c:overlap val="100"/>
        <c:axId val="264556544"/>
        <c:axId val="264558080"/>
      </c:barChart>
      <c:catAx>
        <c:axId val="26455654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558080"/>
        <c:crossesAt val="0"/>
        <c:auto val="1"/>
        <c:lblAlgn val="ctr"/>
        <c:lblOffset val="100"/>
        <c:noMultiLvlLbl val="0"/>
      </c:catAx>
      <c:valAx>
        <c:axId val="26455808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55654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7065065940831471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'Initial CP Conferences'!$AL$5</c:f>
          <c:strCache>
            <c:ptCount val="1"/>
            <c:pt idx="0">
              <c:v>Average Annual Change in Number of Initial CP Conferences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'Initial CP Conferences'!$I$7</c:f>
              <c:strCache>
                <c:ptCount val="1"/>
                <c:pt idx="0">
                  <c:v>Average Annual Change </c:v>
                </c:pt>
              </c:strCache>
            </c:strRef>
          </c:tx>
          <c:spPr>
            <a:solidFill>
              <a:srgbClr val="FB994F"/>
            </a:solidFill>
            <a:ln w="25400">
              <a:noFill/>
            </a:ln>
          </c:spPr>
          <c:invertIfNegative val="0"/>
          <c:cat>
            <c:strRef>
              <c:f>'Initial CP Conferences'!$B$10:$B$33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Conferences'!$I$10:$I$33</c:f>
              <c:numCache>
                <c:formatCode>0.0%</c:formatCode>
                <c:ptCount val="24"/>
                <c:pt idx="0">
                  <c:v>0.14955069349868788</c:v>
                </c:pt>
                <c:pt idx="1">
                  <c:v>-3.6881892048527889E-2</c:v>
                </c:pt>
                <c:pt idx="2">
                  <c:v>0.13548418305854965</c:v>
                </c:pt>
                <c:pt idx="3">
                  <c:v>5.333668909854062E-2</c:v>
                </c:pt>
                <c:pt idx="4">
                  <c:v>-4.3839097418543534E-2</c:v>
                </c:pt>
                <c:pt idx="5">
                  <c:v>-7.4702906153301663E-2</c:v>
                </c:pt>
                <c:pt idx="6">
                  <c:v>-2.5468563821454859E-2</c:v>
                </c:pt>
                <c:pt idx="7">
                  <c:v>2.5685461555477448E-2</c:v>
                </c:pt>
                <c:pt idx="8">
                  <c:v>0.17524919289749799</c:v>
                </c:pt>
                <c:pt idx="9">
                  <c:v>4.4584637586235952E-2</c:v>
                </c:pt>
                <c:pt idx="10">
                  <c:v>8.142200653094676E-3</c:v>
                </c:pt>
                <c:pt idx="11">
                  <c:v>0.11603750019710374</c:v>
                </c:pt>
                <c:pt idx="12">
                  <c:v>-1.3928291101389337E-2</c:v>
                </c:pt>
                <c:pt idx="13">
                  <c:v>-4.3920872007868268E-2</c:v>
                </c:pt>
                <c:pt idx="14">
                  <c:v>-6.2396046567118196E-4</c:v>
                </c:pt>
                <c:pt idx="15">
                  <c:v>5.4936913995062418E-2</c:v>
                </c:pt>
                <c:pt idx="16">
                  <c:v>0.14595292062405832</c:v>
                </c:pt>
                <c:pt idx="17">
                  <c:v>1.2217243481956429E-2</c:v>
                </c:pt>
                <c:pt idx="18">
                  <c:v>6.0860693187130777E-2</c:v>
                </c:pt>
                <c:pt idx="19">
                  <c:v>4.5584672287157131E-2</c:v>
                </c:pt>
                <c:pt idx="20">
                  <c:v>0.17748372006275706</c:v>
                </c:pt>
                <c:pt idx="21">
                  <c:v>0.54082872121577796</c:v>
                </c:pt>
                <c:pt idx="22">
                  <c:v>4.867214128601062E-3</c:v>
                </c:pt>
                <c:pt idx="23">
                  <c:v>2.0888268590764338E-2</c:v>
                </c:pt>
              </c:numCache>
            </c:numRef>
          </c:val>
          <c:extLst>
            <c:ext xmlns:c16="http://schemas.microsoft.com/office/drawing/2014/chart" uri="{C3380CC4-5D6E-409C-BE32-E72D297353CC}">
              <c16:uniqueId val="{00000000-7BD2-4335-B3B1-0DC7B96A6341}"/>
            </c:ext>
          </c:extLst>
        </c:ser>
        <c:ser>
          <c:idx val="1"/>
          <c:order val="1"/>
          <c:tx>
            <c:strRef>
              <c:f>'Initial CP Conferences'!$AA$4</c:f>
              <c:strCache>
                <c:ptCount val="1"/>
                <c:pt idx="0">
                  <c:v>Selected LA- (none)</c:v>
                </c:pt>
              </c:strCache>
            </c:strRef>
          </c:tx>
          <c:spPr>
            <a:solidFill>
              <a:srgbClr val="66FF99"/>
            </a:solidFill>
            <a:ln w="12700">
              <a:solidFill>
                <a:srgbClr val="000000"/>
              </a:solidFill>
              <a:prstDash val="solid"/>
            </a:ln>
          </c:spPr>
          <c:invertIfNegative val="0"/>
          <c:cat>
            <c:strRef>
              <c:f>'Initial CP Conferences'!$B$10:$B$33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'Initial CP Conferences'!$Z$77:$Z$100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7BD2-4335-B3B1-0DC7B96A6341}"/>
            </c:ext>
          </c:extLst>
        </c:ser>
        <c:dLbls>
          <c:showLegendKey val="0"/>
          <c:showVal val="0"/>
          <c:showCatName val="0"/>
          <c:showSerName val="0"/>
          <c:showPercent val="0"/>
          <c:showBubbleSize val="0"/>
        </c:dLbls>
        <c:gapWidth val="40"/>
        <c:overlap val="100"/>
        <c:axId val="264579328"/>
        <c:axId val="264581120"/>
      </c:barChart>
      <c:catAx>
        <c:axId val="26457932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581120"/>
        <c:crosses val="autoZero"/>
        <c:auto val="1"/>
        <c:lblAlgn val="ctr"/>
        <c:lblOffset val="100"/>
        <c:noMultiLvlLbl val="0"/>
      </c:catAx>
      <c:valAx>
        <c:axId val="264581120"/>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579328"/>
        <c:crosses val="max"/>
        <c:crossBetween val="between"/>
      </c:valAx>
      <c:spPr>
        <a:noFill/>
        <a:ln w="3175">
          <a:solidFill>
            <a:srgbClr val="000000"/>
          </a:solidFill>
          <a:prstDash val="solid"/>
        </a:ln>
      </c:spPr>
    </c:plotArea>
    <c:legend>
      <c:legendPos val="t"/>
      <c:layout>
        <c:manualLayout>
          <c:xMode val="edge"/>
          <c:yMode val="edge"/>
          <c:x val="0.25031989591044707"/>
          <c:y val="6.5721298726548069E-2"/>
          <c:w val="0.69938219261053902"/>
          <c:h val="5.3237905447004311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ICPC as % of S47 (Selected LA</a:t>
            </a:r>
            <a:r>
              <a:rPr lang="en-GB" baseline="0"/>
              <a:t> vs. SE &amp; National)</a:t>
            </a:r>
            <a:r>
              <a:rPr lang="en-GB"/>
              <a:t> </a:t>
            </a:r>
          </a:p>
        </c:rich>
      </c:tx>
      <c:layout>
        <c:manualLayout>
          <c:xMode val="edge"/>
          <c:yMode val="edge"/>
          <c:x val="0.17770940170940172"/>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'Initial CP Conferences'!$AA$4</c:f>
              <c:strCache>
                <c:ptCount val="1"/>
                <c:pt idx="0">
                  <c:v>Selected LA- (none)</c:v>
                </c:pt>
              </c:strCache>
            </c:strRef>
          </c:tx>
          <c:spPr>
            <a:solidFill>
              <a:srgbClr val="66FF99"/>
            </a:solidFill>
            <a:ln>
              <a:solidFill>
                <a:schemeClr val="tx1">
                  <a:lumMod val="75000"/>
                  <a:lumOff val="25000"/>
                </a:schemeClr>
              </a:solidFill>
            </a:ln>
          </c:spPr>
          <c:invertIfNegative val="0"/>
          <c:cat>
            <c:strRef>
              <c:f>'Initial CP Conferences'!$Z$2:$AD$3</c:f>
              <c:strCache>
                <c:ptCount val="5"/>
                <c:pt idx="0">
                  <c:v>2014-15</c:v>
                </c:pt>
                <c:pt idx="1">
                  <c:v>2015-16</c:v>
                </c:pt>
                <c:pt idx="2">
                  <c:v>2016-17</c:v>
                </c:pt>
                <c:pt idx="3">
                  <c:v>2017-18</c:v>
                </c:pt>
                <c:pt idx="4">
                  <c:v>2018-19</c:v>
                </c:pt>
              </c:strCache>
            </c:strRef>
          </c:cat>
          <c:val>
            <c:numRef>
              <c:f>'Initial CP Conferences'!$AS$65:$AW$65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7902-4434-883A-4EB6935315F6}"/>
            </c:ext>
          </c:extLst>
        </c:ser>
        <c:ser>
          <c:idx val="4"/>
          <c:order val="1"/>
          <c:tx>
            <c:strRef>
              <c:f>'Initial CP Conferences'!$B$170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'Initial CP Conferences'!$Z$2:$AD$3</c:f>
              <c:strCache>
                <c:ptCount val="5"/>
                <c:pt idx="0">
                  <c:v>2014-15</c:v>
                </c:pt>
                <c:pt idx="1">
                  <c:v>2015-16</c:v>
                </c:pt>
                <c:pt idx="2">
                  <c:v>2016-17</c:v>
                </c:pt>
                <c:pt idx="3">
                  <c:v>2017-18</c:v>
                </c:pt>
                <c:pt idx="4">
                  <c:v>2018-19</c:v>
                </c:pt>
              </c:strCache>
            </c:strRef>
          </c:cat>
          <c:val>
            <c:numRef>
              <c:f>'Initial CP Conferences'!$D$134:$H$134</c:f>
              <c:numCache>
                <c:formatCode>0%</c:formatCode>
                <c:ptCount val="5"/>
                <c:pt idx="0">
                  <c:v>0.39790209790209791</c:v>
                </c:pt>
                <c:pt idx="1">
                  <c:v>0.37238903394255873</c:v>
                </c:pt>
                <c:pt idx="2">
                  <c:v>0.37280986372485397</c:v>
                </c:pt>
                <c:pt idx="3">
                  <c:v>0.37746913580246916</c:v>
                </c:pt>
                <c:pt idx="4">
                  <c:v>0.35322054021964977</c:v>
                </c:pt>
              </c:numCache>
            </c:numRef>
          </c:val>
          <c:extLst>
            <c:ext xmlns:c16="http://schemas.microsoft.com/office/drawing/2014/chart" uri="{C3380CC4-5D6E-409C-BE32-E72D297353CC}">
              <c16:uniqueId val="{00000001-7902-4434-883A-4EB6935315F6}"/>
            </c:ext>
          </c:extLst>
        </c:ser>
        <c:ser>
          <c:idx val="0"/>
          <c:order val="2"/>
          <c:tx>
            <c:strRef>
              <c:f>'Initial CP Conferences'!$B$171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'Initial CP Conferences'!$Z$2:$AD$3</c:f>
              <c:strCache>
                <c:ptCount val="5"/>
                <c:pt idx="0">
                  <c:v>2014-15</c:v>
                </c:pt>
                <c:pt idx="1">
                  <c:v>2015-16</c:v>
                </c:pt>
                <c:pt idx="2">
                  <c:v>2016-17</c:v>
                </c:pt>
                <c:pt idx="3">
                  <c:v>2017-18</c:v>
                </c:pt>
                <c:pt idx="4">
                  <c:v>2018-19</c:v>
                </c:pt>
              </c:strCache>
            </c:strRef>
          </c:cat>
          <c:val>
            <c:numRef>
              <c:f>'Initial CP Conferences'!$D$135:$H$135</c:f>
              <c:numCache>
                <c:formatCode>0%</c:formatCode>
                <c:ptCount val="5"/>
                <c:pt idx="0">
                  <c:v>0.44589447393068998</c:v>
                </c:pt>
                <c:pt idx="1">
                  <c:v>0.42399442799930348</c:v>
                </c:pt>
                <c:pt idx="2">
                  <c:v>0.41482879482340251</c:v>
                </c:pt>
                <c:pt idx="3">
                  <c:v>0.40118128123580193</c:v>
                </c:pt>
                <c:pt idx="4">
                  <c:v>0.38494805388477404</c:v>
                </c:pt>
              </c:numCache>
            </c:numRef>
          </c:val>
          <c:extLst>
            <c:ext xmlns:c16="http://schemas.microsoft.com/office/drawing/2014/chart" uri="{C3380CC4-5D6E-409C-BE32-E72D297353CC}">
              <c16:uniqueId val="{00000002-7902-4434-883A-4EB6935315F6}"/>
            </c:ext>
          </c:extLst>
        </c:ser>
        <c:dLbls>
          <c:showLegendKey val="0"/>
          <c:showVal val="0"/>
          <c:showCatName val="0"/>
          <c:showSerName val="0"/>
          <c:showPercent val="0"/>
          <c:showBubbleSize val="0"/>
        </c:dLbls>
        <c:gapWidth val="100"/>
        <c:axId val="264606848"/>
        <c:axId val="264608384"/>
      </c:barChart>
      <c:catAx>
        <c:axId val="264606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608384"/>
        <c:crosses val="autoZero"/>
        <c:auto val="1"/>
        <c:lblAlgn val="ctr"/>
        <c:lblOffset val="100"/>
        <c:noMultiLvlLbl val="0"/>
      </c:catAx>
      <c:valAx>
        <c:axId val="26460838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60684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Number of Initial CP Conferences as a percentage of Section 47 Enquiries</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'Initial CP Conferences'!$AL$41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8CD2-4997-AAE5-E74D12C28460}"/>
              </c:ext>
            </c:extLst>
          </c:dPt>
          <c:cat>
            <c:strRef>
              <c:f>'Initial CP Conferences'!$Z$2:$AD$3</c:f>
              <c:strCache>
                <c:ptCount val="5"/>
                <c:pt idx="0">
                  <c:v>2014-15</c:v>
                </c:pt>
                <c:pt idx="1">
                  <c:v>2015-16</c:v>
                </c:pt>
                <c:pt idx="2">
                  <c:v>2016-17</c:v>
                </c:pt>
                <c:pt idx="3">
                  <c:v>2017-18</c:v>
                </c:pt>
                <c:pt idx="4">
                  <c:v>2018-19</c:v>
                </c:pt>
              </c:strCache>
            </c:strRef>
          </c:cat>
          <c:val>
            <c:numRef>
              <c:f>'Initial CP Conferences'!$AS$41:$AW$41</c:f>
              <c:numCache>
                <c:formatCode>0.0%</c:formatCode>
                <c:ptCount val="5"/>
                <c:pt idx="0">
                  <c:v>0.38717339667458434</c:v>
                </c:pt>
                <c:pt idx="1">
                  <c:v>0.40101522842639592</c:v>
                </c:pt>
                <c:pt idx="2">
                  <c:v>0.46607142857142858</c:v>
                </c:pt>
                <c:pt idx="3">
                  <c:v>0.37183544303797467</c:v>
                </c:pt>
                <c:pt idx="4">
                  <c:v>0.36039886039886038</c:v>
                </c:pt>
              </c:numCache>
            </c:numRef>
          </c:val>
          <c:smooth val="0"/>
          <c:extLst>
            <c:ext xmlns:c16="http://schemas.microsoft.com/office/drawing/2014/chart" uri="{C3380CC4-5D6E-409C-BE32-E72D297353CC}">
              <c16:uniqueId val="{00000001-8CD2-4997-AAE5-E74D12C28460}"/>
            </c:ext>
          </c:extLst>
        </c:ser>
        <c:ser>
          <c:idx val="1"/>
          <c:order val="1"/>
          <c:tx>
            <c:strRef>
              <c:f>'Initial CP Conferences'!$AL$42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Conferences'!$AS$42:$AW$42</c:f>
              <c:numCache>
                <c:formatCode>0.0%</c:formatCode>
                <c:ptCount val="5"/>
                <c:pt idx="0">
                  <c:v>0.45472061657032753</c:v>
                </c:pt>
                <c:pt idx="1">
                  <c:v>0.4759405074365704</c:v>
                </c:pt>
                <c:pt idx="2">
                  <c:v>0.54577056778679023</c:v>
                </c:pt>
                <c:pt idx="3">
                  <c:v>0.54721274175199086</c:v>
                </c:pt>
                <c:pt idx="4">
                  <c:v>0.50257069408740362</c:v>
                </c:pt>
              </c:numCache>
            </c:numRef>
          </c:val>
          <c:smooth val="0"/>
          <c:extLst>
            <c:ext xmlns:c16="http://schemas.microsoft.com/office/drawing/2014/chart" uri="{C3380CC4-5D6E-409C-BE32-E72D297353CC}">
              <c16:uniqueId val="{00000002-8CD2-4997-AAE5-E74D12C28460}"/>
            </c:ext>
          </c:extLst>
        </c:ser>
        <c:ser>
          <c:idx val="2"/>
          <c:order val="2"/>
          <c:tx>
            <c:strRef>
              <c:f>'Initial CP Conferences'!$AL$43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Conferences'!$AS$43:$AW$43</c:f>
              <c:numCache>
                <c:formatCode>0.0%</c:formatCode>
                <c:ptCount val="5"/>
                <c:pt idx="0">
                  <c:v>0.29067121729237771</c:v>
                </c:pt>
                <c:pt idx="1">
                  <c:v>0.3892931392931393</c:v>
                </c:pt>
                <c:pt idx="2">
                  <c:v>0.33618012422360249</c:v>
                </c:pt>
                <c:pt idx="3">
                  <c:v>0.34870550161812297</c:v>
                </c:pt>
                <c:pt idx="4">
                  <c:v>0.36660533578656856</c:v>
                </c:pt>
              </c:numCache>
            </c:numRef>
          </c:val>
          <c:smooth val="0"/>
          <c:extLst>
            <c:ext xmlns:c16="http://schemas.microsoft.com/office/drawing/2014/chart" uri="{C3380CC4-5D6E-409C-BE32-E72D297353CC}">
              <c16:uniqueId val="{00000003-8CD2-4997-AAE5-E74D12C28460}"/>
            </c:ext>
          </c:extLst>
        </c:ser>
        <c:ser>
          <c:idx val="5"/>
          <c:order val="3"/>
          <c:tx>
            <c:strRef>
              <c:f>'Initial CP Conferences'!$AL$44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Conferences'!$AS$44:$AW$44</c:f>
              <c:numCache>
                <c:formatCode>0.0%</c:formatCode>
                <c:ptCount val="5"/>
                <c:pt idx="0">
                  <c:v>0.62814070351758799</c:v>
                </c:pt>
                <c:pt idx="1">
                  <c:v>0.55645161290322576</c:v>
                </c:pt>
                <c:pt idx="2">
                  <c:v>0.55634427684117127</c:v>
                </c:pt>
                <c:pt idx="3">
                  <c:v>0.53298350824587704</c:v>
                </c:pt>
                <c:pt idx="4">
                  <c:v>0.53950338600451464</c:v>
                </c:pt>
              </c:numCache>
            </c:numRef>
          </c:val>
          <c:smooth val="0"/>
          <c:extLst>
            <c:ext xmlns:c16="http://schemas.microsoft.com/office/drawing/2014/chart" uri="{C3380CC4-5D6E-409C-BE32-E72D297353CC}">
              <c16:uniqueId val="{00000004-8CD2-4997-AAE5-E74D12C28460}"/>
            </c:ext>
          </c:extLst>
        </c:ser>
        <c:ser>
          <c:idx val="9"/>
          <c:order val="4"/>
          <c:tx>
            <c:strRef>
              <c:f>'Initial CP Conferences'!$AL$45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Conferences'!$AS$45:$AW$45</c:f>
              <c:numCache>
                <c:formatCode>0.0%</c:formatCode>
                <c:ptCount val="5"/>
                <c:pt idx="0">
                  <c:v>0.45727882327492969</c:v>
                </c:pt>
                <c:pt idx="1">
                  <c:v>0.45432807269249165</c:v>
                </c:pt>
                <c:pt idx="2">
                  <c:v>0.44383756827356924</c:v>
                </c:pt>
                <c:pt idx="3">
                  <c:v>0.46409989594172735</c:v>
                </c:pt>
                <c:pt idx="4">
                  <c:v>0.40815381051656241</c:v>
                </c:pt>
              </c:numCache>
            </c:numRef>
          </c:val>
          <c:smooth val="0"/>
          <c:extLst>
            <c:ext xmlns:c16="http://schemas.microsoft.com/office/drawing/2014/chart" uri="{C3380CC4-5D6E-409C-BE32-E72D297353CC}">
              <c16:uniqueId val="{00000005-8CD2-4997-AAE5-E74D12C28460}"/>
            </c:ext>
          </c:extLst>
        </c:ser>
        <c:ser>
          <c:idx val="10"/>
          <c:order val="5"/>
          <c:tx>
            <c:strRef>
              <c:f>'Initial CP Conferences'!$AL$46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Conferences'!$AS$46:$AW$46</c:f>
              <c:numCache>
                <c:formatCode>0.0%</c:formatCode>
                <c:ptCount val="5"/>
                <c:pt idx="0">
                  <c:v>0.4506849315068493</c:v>
                </c:pt>
                <c:pt idx="1">
                  <c:v>0.55473372781065089</c:v>
                </c:pt>
                <c:pt idx="2">
                  <c:v>0.52459016393442626</c:v>
                </c:pt>
                <c:pt idx="3">
                  <c:v>0.48653500897666069</c:v>
                </c:pt>
                <c:pt idx="4">
                  <c:v>0.46107784431137727</c:v>
                </c:pt>
              </c:numCache>
            </c:numRef>
          </c:val>
          <c:smooth val="0"/>
          <c:extLst>
            <c:ext xmlns:c16="http://schemas.microsoft.com/office/drawing/2014/chart" uri="{C3380CC4-5D6E-409C-BE32-E72D297353CC}">
              <c16:uniqueId val="{00000006-8CD2-4997-AAE5-E74D12C28460}"/>
            </c:ext>
          </c:extLst>
        </c:ser>
        <c:ser>
          <c:idx val="11"/>
          <c:order val="6"/>
          <c:tx>
            <c:strRef>
              <c:f>'Initial CP Conferences'!$AL$47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Conferences'!$AS$47:$AW$47</c:f>
              <c:numCache>
                <c:formatCode>0.0%</c:formatCode>
                <c:ptCount val="5"/>
                <c:pt idx="0">
                  <c:v>0.4117242958552782</c:v>
                </c:pt>
                <c:pt idx="1">
                  <c:v>0.3254201680672269</c:v>
                </c:pt>
                <c:pt idx="2">
                  <c:v>0.30533415082771304</c:v>
                </c:pt>
                <c:pt idx="3">
                  <c:v>0.28151461894871388</c:v>
                </c:pt>
                <c:pt idx="4">
                  <c:v>0.26151288445552784</c:v>
                </c:pt>
              </c:numCache>
            </c:numRef>
          </c:val>
          <c:smooth val="0"/>
          <c:extLst>
            <c:ext xmlns:c16="http://schemas.microsoft.com/office/drawing/2014/chart" uri="{C3380CC4-5D6E-409C-BE32-E72D297353CC}">
              <c16:uniqueId val="{00000007-8CD2-4997-AAE5-E74D12C28460}"/>
            </c:ext>
          </c:extLst>
        </c:ser>
        <c:ser>
          <c:idx val="12"/>
          <c:order val="7"/>
          <c:tx>
            <c:strRef>
              <c:f>'Initial CP Conferences'!$AL$48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Conferences'!$AS$48:$AW$48</c:f>
              <c:numCache>
                <c:formatCode>0.0%</c:formatCode>
                <c:ptCount val="5"/>
                <c:pt idx="0">
                  <c:v>0.40026420079260239</c:v>
                </c:pt>
                <c:pt idx="1">
                  <c:v>0.37216431637032493</c:v>
                </c:pt>
                <c:pt idx="2">
                  <c:v>0.32742537313432835</c:v>
                </c:pt>
                <c:pt idx="3">
                  <c:v>0.34123624047417445</c:v>
                </c:pt>
                <c:pt idx="4">
                  <c:v>0.36713055003313455</c:v>
                </c:pt>
              </c:numCache>
            </c:numRef>
          </c:val>
          <c:smooth val="0"/>
          <c:extLst>
            <c:ext xmlns:c16="http://schemas.microsoft.com/office/drawing/2014/chart" uri="{C3380CC4-5D6E-409C-BE32-E72D297353CC}">
              <c16:uniqueId val="{00000008-8CD2-4997-AAE5-E74D12C28460}"/>
            </c:ext>
          </c:extLst>
        </c:ser>
        <c:ser>
          <c:idx val="13"/>
          <c:order val="8"/>
          <c:tx>
            <c:strRef>
              <c:f>'Initial CP Conferences'!$AL$49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Conferences'!$AS$49:$AW$49</c:f>
              <c:numCache>
                <c:formatCode>0.0%</c:formatCode>
                <c:ptCount val="5"/>
                <c:pt idx="0">
                  <c:v>0.2118491921005386</c:v>
                </c:pt>
                <c:pt idx="1">
                  <c:v>0.210896309314587</c:v>
                </c:pt>
                <c:pt idx="2">
                  <c:v>0.18943298969072164</c:v>
                </c:pt>
                <c:pt idx="3">
                  <c:v>0.31362007168458783</c:v>
                </c:pt>
                <c:pt idx="4">
                  <c:v>0.36815920398009949</c:v>
                </c:pt>
              </c:numCache>
            </c:numRef>
          </c:val>
          <c:smooth val="0"/>
          <c:extLst>
            <c:ext xmlns:c16="http://schemas.microsoft.com/office/drawing/2014/chart" uri="{C3380CC4-5D6E-409C-BE32-E72D297353CC}">
              <c16:uniqueId val="{00000009-8CD2-4997-AAE5-E74D12C28460}"/>
            </c:ext>
          </c:extLst>
        </c:ser>
        <c:ser>
          <c:idx val="15"/>
          <c:order val="9"/>
          <c:tx>
            <c:strRef>
              <c:f>'Initial CP Conferences'!$AL$50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Conferences'!$AS$50:$AW$50</c:f>
              <c:numCache>
                <c:formatCode>0.0%</c:formatCode>
                <c:ptCount val="5"/>
                <c:pt idx="0">
                  <c:v>0.45719720989220036</c:v>
                </c:pt>
                <c:pt idx="1">
                  <c:v>0.41738197424892703</c:v>
                </c:pt>
                <c:pt idx="2">
                  <c:v>0.47767393561786087</c:v>
                </c:pt>
                <c:pt idx="3">
                  <c:v>0.48642659279778394</c:v>
                </c:pt>
                <c:pt idx="4">
                  <c:v>0.45114789108382275</c:v>
                </c:pt>
              </c:numCache>
            </c:numRef>
          </c:val>
          <c:smooth val="0"/>
          <c:extLst>
            <c:ext xmlns:c16="http://schemas.microsoft.com/office/drawing/2014/chart" uri="{C3380CC4-5D6E-409C-BE32-E72D297353CC}">
              <c16:uniqueId val="{0000000A-8CD2-4997-AAE5-E74D12C28460}"/>
            </c:ext>
          </c:extLst>
        </c:ser>
        <c:ser>
          <c:idx val="16"/>
          <c:order val="10"/>
          <c:tx>
            <c:strRef>
              <c:f>'Initial CP Conferences'!$AL$51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Conferences'!$AS$51:$AW$51</c:f>
              <c:numCache>
                <c:formatCode>0.0%</c:formatCode>
                <c:ptCount val="5"/>
                <c:pt idx="0">
                  <c:v>0.26598702502316962</c:v>
                </c:pt>
                <c:pt idx="1">
                  <c:v>0.29268292682926828</c:v>
                </c:pt>
                <c:pt idx="2">
                  <c:v>0.24112903225806451</c:v>
                </c:pt>
                <c:pt idx="3">
                  <c:v>0.30146341463414633</c:v>
                </c:pt>
                <c:pt idx="4">
                  <c:v>0.22086824067022087</c:v>
                </c:pt>
              </c:numCache>
            </c:numRef>
          </c:val>
          <c:smooth val="0"/>
          <c:extLst>
            <c:ext xmlns:c16="http://schemas.microsoft.com/office/drawing/2014/chart" uri="{C3380CC4-5D6E-409C-BE32-E72D297353CC}">
              <c16:uniqueId val="{0000000B-8CD2-4997-AAE5-E74D12C28460}"/>
            </c:ext>
          </c:extLst>
        </c:ser>
        <c:ser>
          <c:idx val="17"/>
          <c:order val="11"/>
          <c:tx>
            <c:strRef>
              <c:f>'Initial CP Conferences'!$AL$52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Conferences'!$AS$52:$AW$52</c:f>
              <c:numCache>
                <c:formatCode>0.0%</c:formatCode>
                <c:ptCount val="5"/>
                <c:pt idx="0">
                  <c:v>0.51986183074265979</c:v>
                </c:pt>
                <c:pt idx="1">
                  <c:v>0.44193216855087358</c:v>
                </c:pt>
                <c:pt idx="2">
                  <c:v>0.48440366972477067</c:v>
                </c:pt>
                <c:pt idx="3">
                  <c:v>0.49404761904761907</c:v>
                </c:pt>
                <c:pt idx="4">
                  <c:v>0.41125121241513096</c:v>
                </c:pt>
              </c:numCache>
            </c:numRef>
          </c:val>
          <c:smooth val="0"/>
          <c:extLst>
            <c:ext xmlns:c16="http://schemas.microsoft.com/office/drawing/2014/chart" uri="{C3380CC4-5D6E-409C-BE32-E72D297353CC}">
              <c16:uniqueId val="{0000000C-8CD2-4997-AAE5-E74D12C28460}"/>
            </c:ext>
          </c:extLst>
        </c:ser>
        <c:ser>
          <c:idx val="19"/>
          <c:order val="12"/>
          <c:tx>
            <c:strRef>
              <c:f>'Initial CP Conferences'!$AL$53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Conferences'!$AS$53:$AW$53</c:f>
              <c:numCache>
                <c:formatCode>0.0%</c:formatCode>
                <c:ptCount val="5"/>
                <c:pt idx="0">
                  <c:v>0.4068157614483493</c:v>
                </c:pt>
                <c:pt idx="1">
                  <c:v>0.39</c:v>
                </c:pt>
                <c:pt idx="2">
                  <c:v>0.38584474885844749</c:v>
                </c:pt>
                <c:pt idx="3">
                  <c:v>0.38700564971751411</c:v>
                </c:pt>
                <c:pt idx="4">
                  <c:v>0.32236842105263158</c:v>
                </c:pt>
              </c:numCache>
            </c:numRef>
          </c:val>
          <c:smooth val="0"/>
          <c:extLst>
            <c:ext xmlns:c16="http://schemas.microsoft.com/office/drawing/2014/chart" uri="{C3380CC4-5D6E-409C-BE32-E72D297353CC}">
              <c16:uniqueId val="{0000000D-8CD2-4997-AAE5-E74D12C28460}"/>
            </c:ext>
          </c:extLst>
        </c:ser>
        <c:ser>
          <c:idx val="3"/>
          <c:order val="13"/>
          <c:tx>
            <c:strRef>
              <c:f>'Initial CP Conferences'!$AL$54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Conferences'!$AS$54:$AW$54</c:f>
              <c:numCache>
                <c:formatCode>0.0%</c:formatCode>
                <c:ptCount val="5"/>
                <c:pt idx="0">
                  <c:v>0.34639882410583045</c:v>
                </c:pt>
                <c:pt idx="1">
                  <c:v>0.36854279105628374</c:v>
                </c:pt>
                <c:pt idx="2">
                  <c:v>0.41915028535193405</c:v>
                </c:pt>
                <c:pt idx="3">
                  <c:v>0.3832570307390451</c:v>
                </c:pt>
                <c:pt idx="4">
                  <c:v>0.42178542178542178</c:v>
                </c:pt>
              </c:numCache>
            </c:numRef>
          </c:val>
          <c:smooth val="0"/>
          <c:extLst>
            <c:ext xmlns:c16="http://schemas.microsoft.com/office/drawing/2014/chart" uri="{C3380CC4-5D6E-409C-BE32-E72D297353CC}">
              <c16:uniqueId val="{0000000E-8CD2-4997-AAE5-E74D12C28460}"/>
            </c:ext>
          </c:extLst>
        </c:ser>
        <c:ser>
          <c:idx val="20"/>
          <c:order val="14"/>
          <c:tx>
            <c:strRef>
              <c:f>'Initial CP Conferences'!$AL$55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Conferences'!$AS$55:$AW$55</c:f>
              <c:numCache>
                <c:formatCode>0.0%</c:formatCode>
                <c:ptCount val="5"/>
                <c:pt idx="0">
                  <c:v>0.23349056603773585</c:v>
                </c:pt>
                <c:pt idx="1">
                  <c:v>0.29396186440677968</c:v>
                </c:pt>
                <c:pt idx="2">
                  <c:v>0.34245562130177515</c:v>
                </c:pt>
                <c:pt idx="3">
                  <c:v>0.30378250591016548</c:v>
                </c:pt>
                <c:pt idx="4">
                  <c:v>0.27962638645650906</c:v>
                </c:pt>
              </c:numCache>
            </c:numRef>
          </c:val>
          <c:smooth val="0"/>
          <c:extLst>
            <c:ext xmlns:c16="http://schemas.microsoft.com/office/drawing/2014/chart" uri="{C3380CC4-5D6E-409C-BE32-E72D297353CC}">
              <c16:uniqueId val="{0000000F-8CD2-4997-AAE5-E74D12C28460}"/>
            </c:ext>
          </c:extLst>
        </c:ser>
        <c:ser>
          <c:idx val="22"/>
          <c:order val="15"/>
          <c:tx>
            <c:strRef>
              <c:f>'Initial CP Conferences'!$AL$56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Conferences'!$AS$56:$AW$56</c:f>
              <c:numCache>
                <c:formatCode>0.0%</c:formatCode>
                <c:ptCount val="5"/>
                <c:pt idx="0">
                  <c:v>0.37623152709359609</c:v>
                </c:pt>
                <c:pt idx="1">
                  <c:v>0.27177545110269546</c:v>
                </c:pt>
                <c:pt idx="2">
                  <c:v>0.316776007497657</c:v>
                </c:pt>
                <c:pt idx="3">
                  <c:v>0.35654261704681872</c:v>
                </c:pt>
                <c:pt idx="4">
                  <c:v>0.36409760811790287</c:v>
                </c:pt>
              </c:numCache>
            </c:numRef>
          </c:val>
          <c:smooth val="0"/>
          <c:extLst>
            <c:ext xmlns:c16="http://schemas.microsoft.com/office/drawing/2014/chart" uri="{C3380CC4-5D6E-409C-BE32-E72D297353CC}">
              <c16:uniqueId val="{00000010-8CD2-4997-AAE5-E74D12C28460}"/>
            </c:ext>
          </c:extLst>
        </c:ser>
        <c:ser>
          <c:idx val="7"/>
          <c:order val="16"/>
          <c:tx>
            <c:strRef>
              <c:f>'Initial CP Conferences'!$AL$57</c:f>
              <c:strCache>
                <c:ptCount val="1"/>
                <c:pt idx="0">
                  <c:v>Swindon</c:v>
                </c:pt>
              </c:strCache>
            </c:strRef>
          </c:tx>
          <c:spPr>
            <a:ln w="15875"/>
          </c:spPr>
          <c:marker>
            <c:symbol val="triangle"/>
            <c:size val="5"/>
            <c:spPr>
              <a:solidFill>
                <a:schemeClr val="accent2">
                  <a:lumMod val="20000"/>
                  <a:lumOff val="80000"/>
                </a:schemeClr>
              </a:solidFill>
            </c:spPr>
          </c:marker>
          <c:cat>
            <c:strRef>
              <c:f>'Initial CP Conferences'!$Z$2:$AD$3</c:f>
              <c:strCache>
                <c:ptCount val="5"/>
                <c:pt idx="0">
                  <c:v>2014-15</c:v>
                </c:pt>
                <c:pt idx="1">
                  <c:v>2015-16</c:v>
                </c:pt>
                <c:pt idx="2">
                  <c:v>2016-17</c:v>
                </c:pt>
                <c:pt idx="3">
                  <c:v>2017-18</c:v>
                </c:pt>
                <c:pt idx="4">
                  <c:v>2018-19</c:v>
                </c:pt>
              </c:strCache>
            </c:strRef>
          </c:cat>
          <c:val>
            <c:numRef>
              <c:f>'Initial CP Conferences'!$AS$57:$AW$57</c:f>
              <c:numCache>
                <c:formatCode>0.0%</c:formatCode>
                <c:ptCount val="5"/>
                <c:pt idx="0">
                  <c:v>0.53184165232358005</c:v>
                </c:pt>
                <c:pt idx="1">
                  <c:v>0.4516971279373368</c:v>
                </c:pt>
                <c:pt idx="2">
                  <c:v>0.42156862745098039</c:v>
                </c:pt>
                <c:pt idx="3">
                  <c:v>0.56607495069033531</c:v>
                </c:pt>
                <c:pt idx="4">
                  <c:v>0.4678638941398866</c:v>
                </c:pt>
              </c:numCache>
            </c:numRef>
          </c:val>
          <c:smooth val="0"/>
          <c:extLst>
            <c:ext xmlns:c16="http://schemas.microsoft.com/office/drawing/2014/chart" uri="{C3380CC4-5D6E-409C-BE32-E72D297353CC}">
              <c16:uniqueId val="{00000011-8CD2-4997-AAE5-E74D12C28460}"/>
            </c:ext>
          </c:extLst>
        </c:ser>
        <c:ser>
          <c:idx val="8"/>
          <c:order val="17"/>
          <c:tx>
            <c:strRef>
              <c:f>'Initial CP Conferences'!$AL$58</c:f>
              <c:strCache>
                <c:ptCount val="1"/>
                <c:pt idx="0">
                  <c:v>Torbay</c:v>
                </c:pt>
              </c:strCache>
            </c:strRef>
          </c:tx>
          <c:spPr>
            <a:ln w="15875"/>
          </c:spPr>
          <c:marker>
            <c:symbol val="circle"/>
            <c:size val="5"/>
            <c:spPr>
              <a:solidFill>
                <a:schemeClr val="accent3">
                  <a:lumMod val="20000"/>
                  <a:lumOff val="80000"/>
                </a:schemeClr>
              </a:solidFill>
            </c:spPr>
          </c:marker>
          <c:cat>
            <c:strRef>
              <c:f>'Initial CP Conferences'!$Z$2:$AD$3</c:f>
              <c:strCache>
                <c:ptCount val="5"/>
                <c:pt idx="0">
                  <c:v>2014-15</c:v>
                </c:pt>
                <c:pt idx="1">
                  <c:v>2015-16</c:v>
                </c:pt>
                <c:pt idx="2">
                  <c:v>2016-17</c:v>
                </c:pt>
                <c:pt idx="3">
                  <c:v>2017-18</c:v>
                </c:pt>
                <c:pt idx="4">
                  <c:v>2018-19</c:v>
                </c:pt>
              </c:strCache>
            </c:strRef>
          </c:cat>
          <c:val>
            <c:numRef>
              <c:f>'Initial CP Conferences'!$AS$58:$AW$58</c:f>
              <c:numCache>
                <c:formatCode>0.0%</c:formatCode>
                <c:ptCount val="5"/>
                <c:pt idx="0">
                  <c:v>0.43396226415094341</c:v>
                </c:pt>
                <c:pt idx="1">
                  <c:v>0.41191381495564006</c:v>
                </c:pt>
                <c:pt idx="2">
                  <c:v>0.47631578947368419</c:v>
                </c:pt>
                <c:pt idx="3">
                  <c:v>0.52312138728323698</c:v>
                </c:pt>
                <c:pt idx="4">
                  <c:v>0.39561855670103091</c:v>
                </c:pt>
              </c:numCache>
            </c:numRef>
          </c:val>
          <c:smooth val="0"/>
          <c:extLst>
            <c:ext xmlns:c16="http://schemas.microsoft.com/office/drawing/2014/chart" uri="{C3380CC4-5D6E-409C-BE32-E72D297353CC}">
              <c16:uniqueId val="{00000012-8CD2-4997-AAE5-E74D12C28460}"/>
            </c:ext>
          </c:extLst>
        </c:ser>
        <c:ser>
          <c:idx val="23"/>
          <c:order val="18"/>
          <c:tx>
            <c:strRef>
              <c:f>'Initial CP Conferences'!$AL$59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Conferences'!$AS$59:$AW$59</c:f>
              <c:numCache>
                <c:formatCode>0.0%</c:formatCode>
                <c:ptCount val="5"/>
                <c:pt idx="0">
                  <c:v>0.41733870967741937</c:v>
                </c:pt>
                <c:pt idx="1">
                  <c:v>0.37267080745341613</c:v>
                </c:pt>
                <c:pt idx="2">
                  <c:v>0.44846292947558769</c:v>
                </c:pt>
                <c:pt idx="3">
                  <c:v>0.44283413848631242</c:v>
                </c:pt>
                <c:pt idx="4">
                  <c:v>0.46582733812949639</c:v>
                </c:pt>
              </c:numCache>
            </c:numRef>
          </c:val>
          <c:smooth val="0"/>
          <c:extLst>
            <c:ext xmlns:c16="http://schemas.microsoft.com/office/drawing/2014/chart" uri="{C3380CC4-5D6E-409C-BE32-E72D297353CC}">
              <c16:uniqueId val="{00000013-8CD2-4997-AAE5-E74D12C28460}"/>
            </c:ext>
          </c:extLst>
        </c:ser>
        <c:ser>
          <c:idx val="24"/>
          <c:order val="19"/>
          <c:tx>
            <c:strRef>
              <c:f>'Initial CP Conferences'!$AL$60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Conferences'!$AS$60:$AW$60</c:f>
              <c:numCache>
                <c:formatCode>0.0%</c:formatCode>
                <c:ptCount val="5"/>
                <c:pt idx="0">
                  <c:v>0.43933265925176945</c:v>
                </c:pt>
                <c:pt idx="1">
                  <c:v>0.37174515235457062</c:v>
                </c:pt>
                <c:pt idx="2">
                  <c:v>0.31350852927616413</c:v>
                </c:pt>
                <c:pt idx="3">
                  <c:v>0.3593073593073593</c:v>
                </c:pt>
                <c:pt idx="4">
                  <c:v>0.30200414651002072</c:v>
                </c:pt>
              </c:numCache>
            </c:numRef>
          </c:val>
          <c:smooth val="0"/>
          <c:extLst>
            <c:ext xmlns:c16="http://schemas.microsoft.com/office/drawing/2014/chart" uri="{C3380CC4-5D6E-409C-BE32-E72D297353CC}">
              <c16:uniqueId val="{00000014-8CD2-4997-AAE5-E74D12C28460}"/>
            </c:ext>
          </c:extLst>
        </c:ser>
        <c:ser>
          <c:idx val="25"/>
          <c:order val="20"/>
          <c:tx>
            <c:strRef>
              <c:f>'Initial CP Conferences'!$AL$61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Conferences'!$AS$61:$AW$61</c:f>
              <c:numCache>
                <c:formatCode>0.0%</c:formatCode>
                <c:ptCount val="5"/>
                <c:pt idx="0">
                  <c:v>0.28615384615384615</c:v>
                </c:pt>
                <c:pt idx="1">
                  <c:v>0.45766590389016021</c:v>
                </c:pt>
                <c:pt idx="2">
                  <c:v>0.42450765864332601</c:v>
                </c:pt>
                <c:pt idx="3">
                  <c:v>0.3914285714285714</c:v>
                </c:pt>
                <c:pt idx="4">
                  <c:v>0.23180076628352492</c:v>
                </c:pt>
              </c:numCache>
            </c:numRef>
          </c:val>
          <c:smooth val="0"/>
          <c:extLst>
            <c:ext xmlns:c16="http://schemas.microsoft.com/office/drawing/2014/chart" uri="{C3380CC4-5D6E-409C-BE32-E72D297353CC}">
              <c16:uniqueId val="{00000015-8CD2-4997-AAE5-E74D12C28460}"/>
            </c:ext>
          </c:extLst>
        </c:ser>
        <c:ser>
          <c:idx val="26"/>
          <c:order val="21"/>
          <c:tx>
            <c:strRef>
              <c:f>'Initial CP Conferences'!$AL$62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Conferences'!$AS$62:$AW$62</c:f>
              <c:numCache>
                <c:formatCode>0.0%</c:formatCode>
                <c:ptCount val="5"/>
                <c:pt idx="0">
                  <c:v>0.27272727272727271</c:v>
                </c:pt>
                <c:pt idx="1">
                  <c:v>0.41907514450867051</c:v>
                </c:pt>
                <c:pt idx="2">
                  <c:v>0.33840304182509506</c:v>
                </c:pt>
                <c:pt idx="3">
                  <c:v>0.38428874734607221</c:v>
                </c:pt>
                <c:pt idx="4">
                  <c:v>0.39083969465648855</c:v>
                </c:pt>
              </c:numCache>
            </c:numRef>
          </c:val>
          <c:smooth val="0"/>
          <c:extLst>
            <c:ext xmlns:c16="http://schemas.microsoft.com/office/drawing/2014/chart" uri="{C3380CC4-5D6E-409C-BE32-E72D297353CC}">
              <c16:uniqueId val="{00000016-8CD2-4997-AAE5-E74D12C28460}"/>
            </c:ext>
          </c:extLst>
        </c:ser>
        <c:ser>
          <c:idx val="4"/>
          <c:order val="22"/>
          <c:tx>
            <c:strRef>
              <c:f>'Initial CP Conferences'!$AL$63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'Initial CP Conferences'!$Z$2:$AD$3</c:f>
              <c:strCache>
                <c:ptCount val="5"/>
                <c:pt idx="0">
                  <c:v>2014-15</c:v>
                </c:pt>
                <c:pt idx="1">
                  <c:v>2015-16</c:v>
                </c:pt>
                <c:pt idx="2">
                  <c:v>2016-17</c:v>
                </c:pt>
                <c:pt idx="3">
                  <c:v>2017-18</c:v>
                </c:pt>
                <c:pt idx="4">
                  <c:v>2018-19</c:v>
                </c:pt>
              </c:strCache>
            </c:strRef>
          </c:cat>
          <c:val>
            <c:numRef>
              <c:f>'Initial CP Conferences'!$AS$63:$AW$63</c:f>
              <c:numCache>
                <c:formatCode>0.0%</c:formatCode>
                <c:ptCount val="5"/>
                <c:pt idx="0">
                  <c:v>0.39790209790209791</c:v>
                </c:pt>
                <c:pt idx="1">
                  <c:v>0.37238903394255873</c:v>
                </c:pt>
                <c:pt idx="2">
                  <c:v>0.37280986372485397</c:v>
                </c:pt>
                <c:pt idx="3">
                  <c:v>0.37746913580246916</c:v>
                </c:pt>
                <c:pt idx="4">
                  <c:v>0.35322054021964977</c:v>
                </c:pt>
              </c:numCache>
            </c:numRef>
          </c:val>
          <c:smooth val="0"/>
          <c:extLst>
            <c:ext xmlns:c16="http://schemas.microsoft.com/office/drawing/2014/chart" uri="{C3380CC4-5D6E-409C-BE32-E72D297353CC}">
              <c16:uniqueId val="{00000017-8CD2-4997-AAE5-E74D12C28460}"/>
            </c:ext>
          </c:extLst>
        </c:ser>
        <c:ser>
          <c:idx val="14"/>
          <c:order val="23"/>
          <c:tx>
            <c:strRef>
              <c:f>'Initial CP Conferences'!$AL$64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'Initial CP Conferences'!$Z$2:$AD$3</c:f>
              <c:strCache>
                <c:ptCount val="5"/>
                <c:pt idx="0">
                  <c:v>2014-15</c:v>
                </c:pt>
                <c:pt idx="1">
                  <c:v>2015-16</c:v>
                </c:pt>
                <c:pt idx="2">
                  <c:v>2016-17</c:v>
                </c:pt>
                <c:pt idx="3">
                  <c:v>2017-18</c:v>
                </c:pt>
                <c:pt idx="4">
                  <c:v>2018-19</c:v>
                </c:pt>
              </c:strCache>
            </c:strRef>
          </c:cat>
          <c:val>
            <c:numRef>
              <c:f>'Initial CP Conferences'!$AS$64:$AW$64</c:f>
              <c:numCache>
                <c:formatCode>0.0%</c:formatCode>
                <c:ptCount val="5"/>
                <c:pt idx="0">
                  <c:v>0.44589447393068998</c:v>
                </c:pt>
                <c:pt idx="1">
                  <c:v>0.42399442799930348</c:v>
                </c:pt>
                <c:pt idx="2">
                  <c:v>0.41482879482340251</c:v>
                </c:pt>
                <c:pt idx="3">
                  <c:v>0.40118128123580193</c:v>
                </c:pt>
                <c:pt idx="4">
                  <c:v>0.38494805388477404</c:v>
                </c:pt>
              </c:numCache>
            </c:numRef>
          </c:val>
          <c:smooth val="0"/>
          <c:extLst>
            <c:ext xmlns:c16="http://schemas.microsoft.com/office/drawing/2014/chart" uri="{C3380CC4-5D6E-409C-BE32-E72D297353CC}">
              <c16:uniqueId val="{00000018-8CD2-4997-AAE5-E74D12C28460}"/>
            </c:ext>
          </c:extLst>
        </c:ser>
        <c:ser>
          <c:idx val="6"/>
          <c:order val="24"/>
          <c:tx>
            <c:strRef>
              <c:f>'Initial CP Conferences'!$AL$65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'Initial CP Conferences'!$Z$2:$AD$3</c:f>
              <c:strCache>
                <c:ptCount val="5"/>
                <c:pt idx="0">
                  <c:v>2014-15</c:v>
                </c:pt>
                <c:pt idx="1">
                  <c:v>2015-16</c:v>
                </c:pt>
                <c:pt idx="2">
                  <c:v>2016-17</c:v>
                </c:pt>
                <c:pt idx="3">
                  <c:v>2017-18</c:v>
                </c:pt>
                <c:pt idx="4">
                  <c:v>2018-19</c:v>
                </c:pt>
              </c:strCache>
            </c:strRef>
          </c:cat>
          <c:val>
            <c:numRef>
              <c:f>'Initial CP Conferences'!$AS$65:$AW$65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8CD2-4997-AAE5-E74D12C28460}"/>
            </c:ext>
          </c:extLst>
        </c:ser>
        <c:dLbls>
          <c:showLegendKey val="0"/>
          <c:showVal val="0"/>
          <c:showCatName val="0"/>
          <c:showSerName val="0"/>
          <c:showPercent val="0"/>
          <c:showBubbleSize val="0"/>
        </c:dLbls>
        <c:marker val="1"/>
        <c:smooth val="0"/>
        <c:axId val="264742400"/>
        <c:axId val="264744320"/>
      </c:lineChart>
      <c:catAx>
        <c:axId val="264742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744320"/>
        <c:crosses val="autoZero"/>
        <c:auto val="1"/>
        <c:lblAlgn val="ctr"/>
        <c:lblOffset val="100"/>
        <c:tickLblSkip val="1"/>
        <c:tickMarkSkip val="1"/>
        <c:noMultiLvlLbl val="0"/>
      </c:catAx>
      <c:valAx>
        <c:axId val="26474432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474240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187580807408454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Initial CP Conferences</a:t>
            </a:r>
            <a:r>
              <a:rPr lang="en-GB" baseline="0"/>
              <a:t> </a:t>
            </a:r>
            <a:r>
              <a:rPr lang="en-GB"/>
              <a:t>vs. IDACI</a:t>
            </a:r>
          </a:p>
        </c:rich>
      </c:tx>
      <c:layout>
        <c:manualLayout>
          <c:xMode val="edge"/>
          <c:yMode val="edge"/>
          <c:x val="0.2335517291107842"/>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'Initial CP Conferences'!$AR$38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055E-418A-A918-12FDA8A674CE}"/>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{8BC8543C-87F1-4ADB-B3F9-267C48C22142}</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055E-418A-A918-12FDA8A674CE}"/>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{13CC949D-7494-469B-A027-1FCC138A6895}</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055E-418A-A918-12FDA8A674CE}"/>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{F611512D-F274-4B4A-A210-EA87F1D495D8}</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055E-418A-A918-12FDA8A674CE}"/>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{266123E6-983B-4463-B2AC-1067E1CA386F}</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055E-418A-A918-12FDA8A674CE}"/>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{76E9DAD0-2CA5-4DC3-8ADE-A41C95E3D038}</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055E-418A-A918-12FDA8A674CE}"/>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{177F4F9F-A6AA-482A-8090-9C7083256E58}</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055E-418A-A918-12FDA8A674CE}"/>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{2484D85B-32EF-491B-8760-7B4D2C5AA713}</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055E-418A-A918-12FDA8A674CE}"/>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{E6ECC740-CBB1-4F4B-92C2-DE2571099621}</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055E-418A-A918-12FDA8A674CE}"/>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{E900909F-6A1B-410D-BB10-504AB03C275E}</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055E-418A-A918-12FDA8A674CE}"/>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{76BE6C3D-3288-48E1-A3EA-001A4198A739}</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055E-418A-A918-12FDA8A674CE}"/>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{182124ED-4C91-46CB-ABCA-DEE536CB5A2E}</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055E-418A-A918-12FDA8A674CE}"/>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{24BEA244-29AB-4012-AE6F-A2027AA56C36}</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055E-418A-A918-12FDA8A674CE}"/>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{6B4176C8-A33E-41C8-B6E5-566D0A4416CE}</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055E-418A-A918-12FDA8A674CE}"/>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{2750AB37-72AC-4EB8-891E-4A714DBDFCAD}</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055E-418A-A918-12FDA8A674CE}"/>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{CCE04921-2C84-465F-8272-91590C716B32}</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055E-418A-A918-12FDA8A674CE}"/>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{A7262B11-CBCC-427B-B193-E33B18D475D8}</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055E-418A-A918-12FDA8A674CE}"/>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{6123C371-69E9-4AEF-A8E7-85EF56076D73}</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055E-418A-A918-12FDA8A674CE}"/>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{CEBDD943-4726-4AF2-8D0E-D5EA1A92F5C5}</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055E-418A-A918-12FDA8A674CE}"/>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{D4C200EA-9CC7-412E-A20C-389F2390F7E9}</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055E-418A-A918-12FDA8A674CE}"/>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('Initial CP Conferences'!$AR$41:$AR$53,'Initial CP Conferences'!$AR$55:$AR$56,'Initial CP Conferences'!$AR$59:$AR$62)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('Initial CP Conferences'!$AQ$41:$AQ$53,'Initial CP Conferences'!$AQ$55:$AQ$56,'Initial CP Conferences'!$AQ$59:$AQ$62)</c:f>
              <c:numCache>
                <c:formatCode>0.0</c:formatCode>
                <c:ptCount val="19"/>
                <c:pt idx="0">
                  <c:v>89.399293286219091</c:v>
                </c:pt>
                <c:pt idx="1">
                  <c:v>76.666666666666657</c:v>
                </c:pt>
                <c:pt idx="2">
                  <c:v>64.119066773934023</c:v>
                </c:pt>
                <c:pt idx="3">
                  <c:v>67.387218045112789</c:v>
                </c:pt>
                <c:pt idx="4">
                  <c:v>62.04225352112676</c:v>
                </c:pt>
                <c:pt idx="5">
                  <c:v>92.771084337349393</c:v>
                </c:pt>
                <c:pt idx="6">
                  <c:v>46.25110261687739</c:v>
                </c:pt>
                <c:pt idx="7">
                  <c:v>86.024844720496901</c:v>
                </c:pt>
                <c:pt idx="8">
                  <c:v>32.503660322108345</c:v>
                </c:pt>
                <c:pt idx="9">
                  <c:v>58.356353591160222</c:v>
                </c:pt>
                <c:pt idx="10">
                  <c:v>65.909090909090907</c:v>
                </c:pt>
                <c:pt idx="11">
                  <c:v>114.28571428571429</c:v>
                </c:pt>
                <c:pt idx="12">
                  <c:v>80.327868852459005</c:v>
                </c:pt>
                <c:pt idx="13">
                  <c:v>94.29133858267717</c:v>
                </c:pt>
                <c:pt idx="14">
                  <c:v>57.541046200840022</c:v>
                </c:pt>
                <c:pt idx="15">
                  <c:v>72.752808988764045</c:v>
                </c:pt>
                <c:pt idx="16">
                  <c:v>50.028620492272466</c:v>
                </c:pt>
                <c:pt idx="17">
                  <c:v>34.971098265895954</c:v>
                </c:pt>
                <c:pt idx="18">
                  <c:v>64.810126582278485</c:v>
                </c:pt>
              </c:numCache>
            </c:numRef>
          </c:yVal>
          <c:smooth val="0"/>
          <c:extLst>
            <c:ext xmlns:c16="http://schemas.microsoft.com/office/drawing/2014/chart" uri="{C3380CC4-5D6E-409C-BE32-E72D297353CC}">
              <c16:uniqueId val="{00000014-055E-418A-A918-12FDA8A674CE}"/>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055E-418A-A918-12FDA8A674CE}"/>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{03E599A8-DC04-4D60-BF8D-D02F789A653E}</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055E-418A-A918-12FDA8A674CE}"/>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{057E15BC-A16D-41B8-BB28-DBC3E6162D8C}</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055E-418A-A918-12FDA8A674CE}"/>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{A0A45ECC-47D4-44F1-AAAC-DC48360B8A4E}</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055E-418A-A918-12FDA8A674CE}"/>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('Initial CP Conferences'!$AR$54,'Initial CP Conferences'!$AR$57:$AR$58)</c:f>
              <c:numCache>
                <c:formatCode>0.0</c:formatCode>
                <c:ptCount val="3"/>
                <c:pt idx="0">
                  <c:v>13.600000000000001</c:v>
                </c:pt>
                <c:pt idx="1">
                  <c:v>14.899999999999999</c:v>
                </c:pt>
                <c:pt idx="2">
                  <c:v>21.9</c:v>
                </c:pt>
              </c:numCache>
            </c:numRef>
          </c:xVal>
          <c:yVal>
            <c:numRef>
              <c:f>('Initial CP Conferences'!$AQ$54,'Initial CP Conferences'!$AQ$57:$AQ$58)</c:f>
              <c:numCache>
                <c:formatCode>0.0</c:formatCode>
                <c:ptCount val="3"/>
                <c:pt idx="0">
                  <c:v>46.522131887985545</c:v>
                </c:pt>
                <c:pt idx="1">
                  <c:v>98.605577689243034</c:v>
                </c:pt>
                <c:pt idx="2">
                  <c:v>120.86614173228345</c:v>
                </c:pt>
              </c:numCache>
            </c:numRef>
          </c:yVal>
          <c:smooth val="0"/>
          <c:extLst>
            <c:ext xmlns:c16="http://schemas.microsoft.com/office/drawing/2014/chart" uri="{C3380CC4-5D6E-409C-BE32-E72D297353CC}">
              <c16:uniqueId val="{00000018-055E-418A-A918-12FDA8A674CE}"/>
            </c:ext>
          </c:extLst>
        </c:ser>
        <c:ser>
          <c:idx val="1"/>
          <c:order val="2"/>
          <c:tx>
            <c:strRef>
              <c:f>'Initial CP Conferences'!$AA$4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'Initial CP Conferences'!$AR$65</c:f>
              <c:numCache>
                <c:formatCode>0.0</c:formatCode>
                <c:ptCount val="1"/>
                <c:pt idx="0">
                  <c:v>#N/A</c:v>
                </c:pt>
              </c:numCache>
            </c:numRef>
          </c:xVal>
          <c:yVal>
            <c:numRef>
              <c:f>'Initial CP Conferences'!$AQ$65</c:f>
              <c:numCache>
                <c:formatCode>0.0</c:formatCode>
                <c:ptCount val="1"/>
                <c:pt idx="0">
                  <c:v>#N/A</c:v>
                </c:pt>
              </c:numCache>
            </c:numRef>
          </c:yVal>
          <c:smooth val="0"/>
          <c:extLst>
            <c:ext xmlns:c16="http://schemas.microsoft.com/office/drawing/2014/chart" uri="{C3380CC4-5D6E-409C-BE32-E72D297353CC}">
              <c16:uniqueId val="{00000019-055E-418A-A918-12FDA8A674CE}"/>
            </c:ext>
          </c:extLst>
        </c:ser>
        <c:ser>
          <c:idx val="4"/>
          <c:order val="3"/>
          <c:tx>
            <c:strRef>
              <c:f>'Initial CP Conferences'!$B$32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'Initial CP Conferences'!$S$32</c:f>
              <c:numCache>
                <c:formatCode>0.0</c:formatCode>
                <c:ptCount val="1"/>
                <c:pt idx="0">
                  <c:v>12.371268250968637</c:v>
                </c:pt>
              </c:numCache>
            </c:numRef>
          </c:xVal>
          <c:yVal>
            <c:numRef>
              <c:f>'Initial CP Conferences'!$O$32</c:f>
              <c:numCache>
                <c:formatCode>0.0</c:formatCode>
                <c:ptCount val="1"/>
                <c:pt idx="0">
                  <c:v>60.794932052722999</c:v>
                </c:pt>
              </c:numCache>
            </c:numRef>
          </c:yVal>
          <c:smooth val="0"/>
          <c:extLst>
            <c:ext xmlns:c16="http://schemas.microsoft.com/office/drawing/2014/chart" uri="{C3380CC4-5D6E-409C-BE32-E72D297353CC}">
              <c16:uniqueId val="{0000001A-055E-418A-A918-12FDA8A674CE}"/>
            </c:ext>
          </c:extLst>
        </c:ser>
        <c:ser>
          <c:idx val="2"/>
          <c:order val="4"/>
          <c:tx>
            <c:strRef>
              <c:f>'Initial CP Conferences'!$Y$43</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055E-418A-A918-12FDA8A674CE}"/>
                </c:ext>
              </c:extLst>
            </c:dLbl>
            <c:dLbl>
              <c:idx val="1"/>
              <c:layout>
                <c:manualLayout>
                  <c:x val="-5.2631578947368314E-2"/>
                  <c:y val="-2.7088036117381489E-2"/>
                </c:manualLayout>
              </c:layout>
              <c:tx>
                <c:strRef>
                  <c:f>'Initial CP Conferences'!$AD$43</c:f>
                  <c:strCache>
                    <c:ptCount val="1"/>
                    <c:pt idx="0">
                      <c:v>r² = 0.023</c:v>
                    </c:pt>
                  </c:strCache>
                </c:strRef>
              </c:tx>
              <c:spPr/>
              <c:txPr>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{DF56F780-1031-4BB5-9536-05995A5A786A}</c15:txfldGUID>
                      <c15:f>'Initial CP Conferences'!$AD$43</c15:f>
                      <c15:dlblFieldTableCache>
                        <c:ptCount val="1"/>
                        <c:pt idx="0">
                          <c:v>r² = 0.023</c:v>
                        </c:pt>
                      </c15:dlblFieldTableCache>
                    </c15:dlblFTEntry>
                  </c15:dlblFieldTable>
                  <c15:showDataLabelsRange val="0"/>
                </c:ext>
                <c:ext xmlns:c16="http://schemas.microsoft.com/office/drawing/2014/chart" uri="{C3380CC4-5D6E-409C-BE32-E72D297353CC}">
                  <c16:uniqueId val="{0000001C-055E-418A-A918-12FDA8A674C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'Initial CP Conferences'!$AB$43:$AB$44</c:f>
              <c:numCache>
                <c:formatCode>General</c:formatCode>
                <c:ptCount val="2"/>
                <c:pt idx="0" formatCode="#,##0.0">
                  <c:v>5</c:v>
                </c:pt>
                <c:pt idx="1">
                  <c:v>35</c:v>
                </c:pt>
              </c:numCache>
            </c:numRef>
          </c:xVal>
          <c:yVal>
            <c:numRef>
              <c:f>'Initial CP Conferences'!$AC$43:$AC$44</c:f>
              <c:numCache>
                <c:formatCode>0.0</c:formatCode>
                <c:ptCount val="2"/>
                <c:pt idx="0">
                  <c:v>37.109730124094625</c:v>
                </c:pt>
                <c:pt idx="1">
                  <c:v>112.57985319195305</c:v>
                </c:pt>
              </c:numCache>
            </c:numRef>
          </c:yVal>
          <c:smooth val="0"/>
          <c:extLst>
            <c:ext xmlns:c16="http://schemas.microsoft.com/office/drawing/2014/chart" uri="{C3380CC4-5D6E-409C-BE32-E72D297353CC}">
              <c16:uniqueId val="{0000001D-055E-418A-A918-12FDA8A674CE}"/>
            </c:ext>
          </c:extLst>
        </c:ser>
        <c:ser>
          <c:idx val="5"/>
          <c:order val="5"/>
          <c:tx>
            <c:strRef>
              <c:f>'Initial CP Conferences'!$Y$41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055E-418A-A918-12FDA8A674CE}"/>
                </c:ext>
              </c:extLst>
            </c:dLbl>
            <c:dLbl>
              <c:idx val="1"/>
              <c:layout>
                <c:manualLayout>
                  <c:x val="-5.5555555555555663E-2"/>
                  <c:y val="3.0097817908201711E-2"/>
                </c:manualLayout>
              </c:layout>
              <c:tx>
                <c:strRef>
                  <c:f>'Initial CP Conferences'!$AD$42</c:f>
                  <c:strCache>
                    <c:ptCount val="1"/>
                    <c:pt idx="0">
                      <c:v>r² = 0.169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{26BB403E-7F0F-4E79-AA05-D49312A1C175}</c15:txfldGUID>
                      <c15:f>'Initial CP Conferences'!$AD$42</c15:f>
                      <c15:dlblFieldTableCache>
                        <c:ptCount val="1"/>
                        <c:pt idx="0">
                          <c:v>r² = 0.169</c:v>
                        </c:pt>
                      </c15:dlblFieldTableCache>
                    </c15:dlblFTEntry>
                  </c15:dlblFieldTable>
                  <c15:showDataLabelsRange val="0"/>
                </c:ext>
                <c:ext xmlns:c16="http://schemas.microsoft.com/office/drawing/2014/chart" uri="{C3380CC4-5D6E-409C-BE32-E72D297353CC}">
                  <c16:uniqueId val="{0000001F-055E-418A-A918-12FDA8A674CE}"/>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'Initial CP Conferences'!$AB$41:$AB$42</c:f>
              <c:numCache>
                <c:formatCode>General</c:formatCode>
                <c:ptCount val="2"/>
                <c:pt idx="0" formatCode="#,##0.0">
                  <c:v>5</c:v>
                </c:pt>
                <c:pt idx="1">
                  <c:v>35</c:v>
                </c:pt>
              </c:numCache>
            </c:numRef>
          </c:xVal>
          <c:yVal>
            <c:numRef>
              <c:f>'Initial CP Conferences'!$AC$41:$AC$42</c:f>
              <c:numCache>
                <c:formatCode>0.0</c:formatCode>
                <c:ptCount val="2"/>
                <c:pt idx="0">
                  <c:v>54.246855052989233</c:v>
                </c:pt>
                <c:pt idx="1">
                  <c:v>108.95657037911351</c:v>
                </c:pt>
              </c:numCache>
            </c:numRef>
          </c:yVal>
          <c:smooth val="0"/>
          <c:extLst>
            <c:ext xmlns:c16="http://schemas.microsoft.com/office/drawing/2014/chart" uri="{C3380CC4-5D6E-409C-BE32-E72D297353CC}">
              <c16:uniqueId val="{00000020-055E-418A-A918-12FDA8A674CE}"/>
            </c:ext>
          </c:extLst>
        </c:ser>
        <c:dLbls>
          <c:showLegendKey val="0"/>
          <c:showVal val="0"/>
          <c:showCatName val="0"/>
          <c:showSerName val="0"/>
          <c:showPercent val="0"/>
          <c:showBubbleSize val="0"/>
        </c:dLbls>
        <c:axId val="265205248"/>
        <c:axId val="265207168"/>
      </c:scatterChart>
      <c:valAx>
        <c:axId val="265205248"/>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207168"/>
        <c:crosses val="autoZero"/>
        <c:crossBetween val="midCat"/>
        <c:majorUnit val="5"/>
      </c:valAx>
      <c:valAx>
        <c:axId val="265207168"/>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Initial CP Conferences per 10,000 0-17 year olds</a:t>
                </a:r>
              </a:p>
            </c:rich>
          </c:tx>
          <c:layout>
            <c:manualLayout>
              <c:xMode val="edge"/>
              <c:yMode val="edge"/>
              <c:x val="5.1878053704825358E-2"/>
              <c:y val="0.140294788994072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205248"/>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 Protection</a:t>
            </a:r>
            <a:r>
              <a:rPr lang="en-GB" baseline="0"/>
              <a:t> Plans</a:t>
            </a:r>
            <a:r>
              <a:rPr lang="en-GB"/>
              <a:t>,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3ECB-4CD1-9E76-49E67AF79D95}"/>
              </c:ext>
            </c:extLst>
          </c:dPt>
          <c:cat>
            <c:strRef>
              <c:f>'Child Protection Plans'!$Z$2:$AD$3</c:f>
              <c:strCache>
                <c:ptCount val="5"/>
                <c:pt idx="0">
                  <c:v>2014-15</c:v>
                </c:pt>
                <c:pt idx="1">
                  <c:v>2015-16</c:v>
                </c:pt>
                <c:pt idx="2">
                  <c:v>2016-17</c:v>
                </c:pt>
                <c:pt idx="3">
                  <c:v>2017-18</c:v>
                </c:pt>
                <c:pt idx="4">
                  <c:v>2018-19</c:v>
                </c:pt>
              </c:strCache>
            </c:strRef>
          </c:cat>
          <c:val>
            <c:numRef>
              <c:f>'Child Protection Plans'!$AM$41:$AQ$41</c:f>
              <c:numCache>
                <c:formatCode>0.0</c:formatCode>
                <c:ptCount val="5"/>
                <c:pt idx="0">
                  <c:v>43.884892086330929</c:v>
                </c:pt>
                <c:pt idx="1">
                  <c:v>40.780141843971627</c:v>
                </c:pt>
                <c:pt idx="2">
                  <c:v>62.411347517730498</c:v>
                </c:pt>
                <c:pt idx="3">
                  <c:v>37.366548042704629</c:v>
                </c:pt>
                <c:pt idx="4">
                  <c:v>45.936395759717314</c:v>
                </c:pt>
              </c:numCache>
            </c:numRef>
          </c:val>
          <c:smooth val="0"/>
          <c:extLst>
            <c:ext xmlns:c16="http://schemas.microsoft.com/office/drawing/2014/chart" uri="{C3380CC4-5D6E-409C-BE32-E72D297353CC}">
              <c16:uniqueId val="{00000001-3ECB-4CD1-9E76-49E67AF79D95}"/>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Plans'!$AM$42:$AQ$42</c:f>
              <c:numCache>
                <c:formatCode>0.0</c:formatCode>
                <c:ptCount val="5"/>
                <c:pt idx="0">
                  <c:v>60.588235294117652</c:v>
                </c:pt>
                <c:pt idx="1">
                  <c:v>76.5625</c:v>
                </c:pt>
                <c:pt idx="2">
                  <c:v>71.539961013645225</c:v>
                </c:pt>
                <c:pt idx="3">
                  <c:v>77.450980392156865</c:v>
                </c:pt>
                <c:pt idx="4">
                  <c:v>61.960784313725483</c:v>
                </c:pt>
              </c:numCache>
            </c:numRef>
          </c:val>
          <c:smooth val="0"/>
          <c:extLst>
            <c:ext xmlns:c16="http://schemas.microsoft.com/office/drawing/2014/chart" uri="{C3380CC4-5D6E-409C-BE32-E72D297353CC}">
              <c16:uniqueId val="{00000002-3ECB-4CD1-9E76-49E67AF79D95}"/>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Plans'!$AM$43:$AQ$43</c:f>
              <c:numCache>
                <c:formatCode>0.0</c:formatCode>
                <c:ptCount val="5"/>
                <c:pt idx="0">
                  <c:v>27.922624053826748</c:v>
                </c:pt>
                <c:pt idx="1">
                  <c:v>37.645107794361529</c:v>
                </c:pt>
                <c:pt idx="2">
                  <c:v>45.253682487725044</c:v>
                </c:pt>
                <c:pt idx="3">
                  <c:v>51.827782290820473</c:v>
                </c:pt>
                <c:pt idx="4">
                  <c:v>45.213193885760255</c:v>
                </c:pt>
              </c:numCache>
            </c:numRef>
          </c:val>
          <c:smooth val="0"/>
          <c:extLst>
            <c:ext xmlns:c16="http://schemas.microsoft.com/office/drawing/2014/chart" uri="{C3380CC4-5D6E-409C-BE32-E72D297353CC}">
              <c16:uniqueId val="{00000003-3ECB-4CD1-9E76-49E67AF79D95}"/>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Plans'!$AM$44:$AQ$44</c:f>
              <c:numCache>
                <c:formatCode>0.0</c:formatCode>
                <c:ptCount val="5"/>
                <c:pt idx="0">
                  <c:v>44.497153700189756</c:v>
                </c:pt>
                <c:pt idx="1">
                  <c:v>43.059490084985839</c:v>
                </c:pt>
                <c:pt idx="2">
                  <c:v>44.853635505193573</c:v>
                </c:pt>
                <c:pt idx="3">
                  <c:v>52.830188679245289</c:v>
                </c:pt>
                <c:pt idx="4">
                  <c:v>53.477443609022558</c:v>
                </c:pt>
              </c:numCache>
            </c:numRef>
          </c:val>
          <c:smooth val="0"/>
          <c:extLst>
            <c:ext xmlns:c16="http://schemas.microsoft.com/office/drawing/2014/chart" uri="{C3380CC4-5D6E-409C-BE32-E72D297353CC}">
              <c16:uniqueId val="{00000004-3ECB-4CD1-9E76-49E67AF79D95}"/>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Plans'!$AM$45:$AQ$45</c:f>
              <c:numCache>
                <c:formatCode>0.0</c:formatCode>
                <c:ptCount val="5"/>
                <c:pt idx="0">
                  <c:v>48.099467140319717</c:v>
                </c:pt>
                <c:pt idx="1">
                  <c:v>51.117417523944667</c:v>
                </c:pt>
                <c:pt idx="2">
                  <c:v>44.660537482319661</c:v>
                </c:pt>
                <c:pt idx="3">
                  <c:v>45.675961877867984</c:v>
                </c:pt>
                <c:pt idx="4">
                  <c:v>38.62676056338028</c:v>
                </c:pt>
              </c:numCache>
            </c:numRef>
          </c:val>
          <c:smooth val="0"/>
          <c:extLst>
            <c:ext xmlns:c16="http://schemas.microsoft.com/office/drawing/2014/chart" uri="{C3380CC4-5D6E-409C-BE32-E72D297353CC}">
              <c16:uniqueId val="{00000005-3ECB-4CD1-9E76-49E67AF79D95}"/>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Plans'!$AM$46:$AQ$46</c:f>
              <c:numCache>
                <c:formatCode>0.0</c:formatCode>
                <c:ptCount val="5"/>
                <c:pt idx="0">
                  <c:v>99.607843137254903</c:v>
                </c:pt>
                <c:pt idx="1">
                  <c:v>84.584980237154156</c:v>
                </c:pt>
                <c:pt idx="2">
                  <c:v>78.968253968253975</c:v>
                </c:pt>
                <c:pt idx="3">
                  <c:v>76.892430278884461</c:v>
                </c:pt>
                <c:pt idx="4">
                  <c:v>66.265060240963848</c:v>
                </c:pt>
              </c:numCache>
            </c:numRef>
          </c:val>
          <c:smooth val="0"/>
          <c:extLst>
            <c:ext xmlns:c16="http://schemas.microsoft.com/office/drawing/2014/chart" uri="{C3380CC4-5D6E-409C-BE32-E72D297353CC}">
              <c16:uniqueId val="{00000006-3ECB-4CD1-9E76-49E67AF79D95}"/>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Plans'!$AM$47:$AQ$47</c:f>
              <c:numCache>
                <c:formatCode>0.0</c:formatCode>
                <c:ptCount val="5"/>
                <c:pt idx="0">
                  <c:v>37.831251903746576</c:v>
                </c:pt>
                <c:pt idx="1">
                  <c:v>31.74939467312349</c:v>
                </c:pt>
                <c:pt idx="2">
                  <c:v>35.585585585585584</c:v>
                </c:pt>
                <c:pt idx="3">
                  <c:v>43.498958643260934</c:v>
                </c:pt>
                <c:pt idx="4">
                  <c:v>38.312261099676569</c:v>
                </c:pt>
              </c:numCache>
            </c:numRef>
          </c:val>
          <c:smooth val="0"/>
          <c:extLst>
            <c:ext xmlns:c16="http://schemas.microsoft.com/office/drawing/2014/chart" uri="{C3380CC4-5D6E-409C-BE32-E72D297353CC}">
              <c16:uniqueId val="{00000007-3ECB-4CD1-9E76-49E67AF79D95}"/>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Plans'!$AM$48:$AQ$48</c:f>
              <c:numCache>
                <c:formatCode>0.0</c:formatCode>
                <c:ptCount val="5"/>
                <c:pt idx="0">
                  <c:v>76</c:v>
                </c:pt>
                <c:pt idx="1">
                  <c:v>85.284810126582272</c:v>
                </c:pt>
                <c:pt idx="2">
                  <c:v>49.136577708006286</c:v>
                </c:pt>
                <c:pt idx="3">
                  <c:v>53.834115805946794</c:v>
                </c:pt>
                <c:pt idx="4">
                  <c:v>55.12422360248447</c:v>
                </c:pt>
              </c:numCache>
            </c:numRef>
          </c:val>
          <c:smooth val="0"/>
          <c:extLst>
            <c:ext xmlns:c16="http://schemas.microsoft.com/office/drawing/2014/chart" uri="{C3380CC4-5D6E-409C-BE32-E72D297353CC}">
              <c16:uniqueId val="{00000008-3ECB-4CD1-9E76-49E67AF79D95}"/>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Plans'!$AM$49:$AQ$49</c:f>
              <c:numCache>
                <c:formatCode>0.0</c:formatCode>
                <c:ptCount val="5"/>
                <c:pt idx="0">
                  <c:v>8.7423312883435589</c:v>
                </c:pt>
                <c:pt idx="1">
                  <c:v>13.918305597579424</c:v>
                </c:pt>
                <c:pt idx="2">
                  <c:v>13.412816691505217</c:v>
                </c:pt>
                <c:pt idx="3">
                  <c:v>15.384615384615385</c:v>
                </c:pt>
                <c:pt idx="4">
                  <c:v>19.912152269399709</c:v>
                </c:pt>
              </c:numCache>
            </c:numRef>
          </c:val>
          <c:smooth val="0"/>
          <c:extLst>
            <c:ext xmlns:c16="http://schemas.microsoft.com/office/drawing/2014/chart" uri="{C3380CC4-5D6E-409C-BE32-E72D297353CC}">
              <c16:uniqueId val="{00000009-3ECB-4CD1-9E76-49E67AF79D95}"/>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Plans'!$AM$50:$AQ$50</c:f>
              <c:numCache>
                <c:formatCode>0.0</c:formatCode>
                <c:ptCount val="5"/>
                <c:pt idx="0">
                  <c:v>40.297450424929174</c:v>
                </c:pt>
                <c:pt idx="1">
                  <c:v>40.267983074753175</c:v>
                </c:pt>
                <c:pt idx="2">
                  <c:v>42.617214835549333</c:v>
                </c:pt>
                <c:pt idx="3">
                  <c:v>47.90794979079498</c:v>
                </c:pt>
                <c:pt idx="4">
                  <c:v>40.88397790055248</c:v>
                </c:pt>
              </c:numCache>
            </c:numRef>
          </c:val>
          <c:smooth val="0"/>
          <c:extLst>
            <c:ext xmlns:c16="http://schemas.microsoft.com/office/drawing/2014/chart" uri="{C3380CC4-5D6E-409C-BE32-E72D297353CC}">
              <c16:uniqueId val="{0000000A-3ECB-4CD1-9E76-49E67AF79D95}"/>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Plans'!$AM$51:$AQ$51</c:f>
              <c:numCache>
                <c:formatCode>0.0</c:formatCode>
                <c:ptCount val="5"/>
                <c:pt idx="0">
                  <c:v>53.456221198156683</c:v>
                </c:pt>
                <c:pt idx="1">
                  <c:v>62.785388127853878</c:v>
                </c:pt>
                <c:pt idx="2">
                  <c:v>55</c:v>
                </c:pt>
                <c:pt idx="3">
                  <c:v>64.705882352941174</c:v>
                </c:pt>
                <c:pt idx="4">
                  <c:v>44.31818181818182</c:v>
                </c:pt>
              </c:numCache>
            </c:numRef>
          </c:val>
          <c:smooth val="0"/>
          <c:extLst>
            <c:ext xmlns:c16="http://schemas.microsoft.com/office/drawing/2014/chart" uri="{C3380CC4-5D6E-409C-BE32-E72D297353CC}">
              <c16:uniqueId val="{0000000B-3ECB-4CD1-9E76-49E67AF79D95}"/>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Plans'!$AM$52:$AQ$52</c:f>
              <c:numCache>
                <c:formatCode>0.0</c:formatCode>
                <c:ptCount val="5"/>
                <c:pt idx="0">
                  <c:v>56.824512534818943</c:v>
                </c:pt>
                <c:pt idx="1">
                  <c:v>69.230769230769226</c:v>
                </c:pt>
                <c:pt idx="2">
                  <c:v>95.355191256830608</c:v>
                </c:pt>
                <c:pt idx="3">
                  <c:v>78.167115902964966</c:v>
                </c:pt>
                <c:pt idx="4">
                  <c:v>68.733153638814017</c:v>
                </c:pt>
              </c:numCache>
            </c:numRef>
          </c:val>
          <c:smooth val="0"/>
          <c:extLst>
            <c:ext xmlns:c16="http://schemas.microsoft.com/office/drawing/2014/chart" uri="{C3380CC4-5D6E-409C-BE32-E72D297353CC}">
              <c16:uniqueId val="{0000000C-3ECB-4CD1-9E76-49E67AF79D95}"/>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Plans'!$AM$53:$AQ$53</c:f>
              <c:numCache>
                <c:formatCode>0.0</c:formatCode>
                <c:ptCount val="5"/>
                <c:pt idx="0">
                  <c:v>28.07017543859649</c:v>
                </c:pt>
                <c:pt idx="1">
                  <c:v>56.650246305418719</c:v>
                </c:pt>
                <c:pt idx="2">
                  <c:v>36.956521739130437</c:v>
                </c:pt>
                <c:pt idx="3">
                  <c:v>38.15165876777251</c:v>
                </c:pt>
                <c:pt idx="4">
                  <c:v>51.053864168618269</c:v>
                </c:pt>
              </c:numCache>
            </c:numRef>
          </c:val>
          <c:smooth val="0"/>
          <c:extLst>
            <c:ext xmlns:c16="http://schemas.microsoft.com/office/drawing/2014/chart" uri="{C3380CC4-5D6E-409C-BE32-E72D297353CC}">
              <c16:uniqueId val="{0000000D-3ECB-4CD1-9E76-49E67AF79D95}"/>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Plans'!$AM$54:$AQ$54</c:f>
              <c:numCache>
                <c:formatCode>0.0</c:formatCode>
                <c:ptCount val="5"/>
                <c:pt idx="0">
                  <c:v>47.933884297520663</c:v>
                </c:pt>
                <c:pt idx="1">
                  <c:v>25.641025641025642</c:v>
                </c:pt>
                <c:pt idx="2">
                  <c:v>37.648131267092069</c:v>
                </c:pt>
                <c:pt idx="3">
                  <c:v>38.873751135331517</c:v>
                </c:pt>
                <c:pt idx="4">
                  <c:v>36.314363143631439</c:v>
                </c:pt>
              </c:numCache>
            </c:numRef>
          </c:val>
          <c:smooth val="0"/>
          <c:extLst>
            <c:ext xmlns:c16="http://schemas.microsoft.com/office/drawing/2014/chart" uri="{C3380CC4-5D6E-409C-BE32-E72D297353CC}">
              <c16:uniqueId val="{0000000E-3ECB-4CD1-9E76-49E67AF79D95}"/>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Plans'!$AM$55:$AQ$55</c:f>
              <c:numCache>
                <c:formatCode>0.0</c:formatCode>
                <c:ptCount val="5"/>
                <c:pt idx="0">
                  <c:v>66.666666666666671</c:v>
                </c:pt>
                <c:pt idx="1">
                  <c:v>67.682926829268297</c:v>
                </c:pt>
                <c:pt idx="2">
                  <c:v>55.31062124248497</c:v>
                </c:pt>
                <c:pt idx="3">
                  <c:v>64.413518886679924</c:v>
                </c:pt>
                <c:pt idx="4">
                  <c:v>60.039370078740156</c:v>
                </c:pt>
              </c:numCache>
            </c:numRef>
          </c:val>
          <c:smooth val="0"/>
          <c:extLst>
            <c:ext xmlns:c16="http://schemas.microsoft.com/office/drawing/2014/chart" uri="{C3380CC4-5D6E-409C-BE32-E72D297353CC}">
              <c16:uniqueId val="{0000000F-3ECB-4CD1-9E76-49E67AF79D95}"/>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Plans'!$AM$56:$AQ$56</c:f>
              <c:numCache>
                <c:formatCode>0.0</c:formatCode>
                <c:ptCount val="5"/>
                <c:pt idx="0">
                  <c:v>39.080911233307155</c:v>
                </c:pt>
                <c:pt idx="1">
                  <c:v>34.360374414976597</c:v>
                </c:pt>
                <c:pt idx="2">
                  <c:v>32.548262548262549</c:v>
                </c:pt>
                <c:pt idx="3">
                  <c:v>38.26354206684595</c:v>
                </c:pt>
                <c:pt idx="4">
                  <c:v>36.617029400534555</c:v>
                </c:pt>
              </c:numCache>
            </c:numRef>
          </c:val>
          <c:smooth val="0"/>
          <c:extLst>
            <c:ext xmlns:c16="http://schemas.microsoft.com/office/drawing/2014/chart" uri="{C3380CC4-5D6E-409C-BE32-E72D297353CC}">
              <c16:uniqueId val="{00000010-3ECB-4CD1-9E76-49E67AF79D95}"/>
            </c:ext>
          </c:extLst>
        </c:ser>
        <c:ser>
          <c:idx val="7"/>
          <c:order val="16"/>
          <c:tx>
            <c:strRef>
              <c:f>'Child Protection Plans'!$AL$57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'Child Protection Plans'!$Z$2:$AD$3</c:f>
              <c:strCache>
                <c:ptCount val="5"/>
                <c:pt idx="0">
                  <c:v>2014-15</c:v>
                </c:pt>
                <c:pt idx="1">
                  <c:v>2015-16</c:v>
                </c:pt>
                <c:pt idx="2">
                  <c:v>2016-17</c:v>
                </c:pt>
                <c:pt idx="3">
                  <c:v>2017-18</c:v>
                </c:pt>
                <c:pt idx="4">
                  <c:v>2018-19</c:v>
                </c:pt>
              </c:strCache>
            </c:strRef>
          </c:cat>
          <c:val>
            <c:numRef>
              <c:f>'Child Protection Plans'!$AM$57:$AQ$57</c:f>
              <c:numCache>
                <c:formatCode>0.0</c:formatCode>
                <c:ptCount val="5"/>
                <c:pt idx="0">
                  <c:v>43.827160493827158</c:v>
                </c:pt>
                <c:pt idx="1">
                  <c:v>48.571428571428569</c:v>
                </c:pt>
                <c:pt idx="2">
                  <c:v>49.292929292929294</c:v>
                </c:pt>
                <c:pt idx="3">
                  <c:v>72.545090180360717</c:v>
                </c:pt>
                <c:pt idx="4">
                  <c:v>66.334661354581669</c:v>
                </c:pt>
              </c:numCache>
            </c:numRef>
          </c:val>
          <c:smooth val="0"/>
          <c:extLst>
            <c:ext xmlns:c16="http://schemas.microsoft.com/office/drawing/2014/chart" uri="{C3380CC4-5D6E-409C-BE32-E72D297353CC}">
              <c16:uniqueId val="{00000011-3ECB-4CD1-9E76-49E67AF79D95}"/>
            </c:ext>
          </c:extLst>
        </c:ser>
        <c:ser>
          <c:idx val="8"/>
          <c:order val="17"/>
          <c:tx>
            <c:strRef>
              <c:f>'Child Protection Plans'!$AL$58</c:f>
              <c:strCache>
                <c:ptCount val="1"/>
                <c:pt idx="0">
                  <c:v>Torbay</c:v>
                </c:pt>
              </c:strCache>
            </c:strRef>
          </c:tx>
          <c:spPr>
            <a:ln w="15875"/>
          </c:spPr>
          <c:marker>
            <c:symbol val="circle"/>
            <c:size val="5"/>
            <c:spPr>
              <a:solidFill>
                <a:schemeClr val="accent3">
                  <a:lumMod val="20000"/>
                  <a:lumOff val="80000"/>
                </a:schemeClr>
              </a:solidFill>
            </c:spPr>
          </c:marker>
          <c:cat>
            <c:strRef>
              <c:f>'Child Protection Plans'!$Z$2:$AD$3</c:f>
              <c:strCache>
                <c:ptCount val="5"/>
                <c:pt idx="0">
                  <c:v>2014-15</c:v>
                </c:pt>
                <c:pt idx="1">
                  <c:v>2015-16</c:v>
                </c:pt>
                <c:pt idx="2">
                  <c:v>2016-17</c:v>
                </c:pt>
                <c:pt idx="3">
                  <c:v>2017-18</c:v>
                </c:pt>
                <c:pt idx="4">
                  <c:v>2018-19</c:v>
                </c:pt>
              </c:strCache>
            </c:strRef>
          </c:cat>
          <c:val>
            <c:numRef>
              <c:f>'Child Protection Plans'!$AM$58:$AQ$58</c:f>
              <c:numCache>
                <c:formatCode>0.0</c:formatCode>
                <c:ptCount val="5"/>
                <c:pt idx="0">
                  <c:v>60.159362549800797</c:v>
                </c:pt>
                <c:pt idx="1">
                  <c:v>51.587301587301589</c:v>
                </c:pt>
                <c:pt idx="2">
                  <c:v>83.464566929133852</c:v>
                </c:pt>
                <c:pt idx="3">
                  <c:v>55.511811023622045</c:v>
                </c:pt>
                <c:pt idx="4">
                  <c:v>70.472440944881896</c:v>
                </c:pt>
              </c:numCache>
            </c:numRef>
          </c:val>
          <c:smooth val="0"/>
          <c:extLst>
            <c:ext xmlns:c16="http://schemas.microsoft.com/office/drawing/2014/chart" uri="{C3380CC4-5D6E-409C-BE32-E72D297353CC}">
              <c16:uniqueId val="{00000012-3ECB-4CD1-9E76-49E67AF79D95}"/>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Plans'!$AM$59:$AQ$59</c:f>
              <c:numCache>
                <c:formatCode>0.0</c:formatCode>
                <c:ptCount val="5"/>
                <c:pt idx="0">
                  <c:v>35.393258426966291</c:v>
                </c:pt>
                <c:pt idx="1">
                  <c:v>40.616246498599445</c:v>
                </c:pt>
                <c:pt idx="2">
                  <c:v>43.175487465181064</c:v>
                </c:pt>
                <c:pt idx="3">
                  <c:v>46.927374301675975</c:v>
                </c:pt>
                <c:pt idx="4">
                  <c:v>33.146067415730336</c:v>
                </c:pt>
              </c:numCache>
            </c:numRef>
          </c:val>
          <c:smooth val="0"/>
          <c:extLst>
            <c:ext xmlns:c16="http://schemas.microsoft.com/office/drawing/2014/chart" uri="{C3380CC4-5D6E-409C-BE32-E72D297353CC}">
              <c16:uniqueId val="{00000013-3ECB-4CD1-9E76-49E67AF79D95}"/>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Plans'!$AM$60:$AQ$60</c:f>
              <c:numCache>
                <c:formatCode>0.0</c:formatCode>
                <c:ptCount val="5"/>
                <c:pt idx="0">
                  <c:v>29.739336492890995</c:v>
                </c:pt>
                <c:pt idx="1">
                  <c:v>24.471830985915492</c:v>
                </c:pt>
                <c:pt idx="2">
                  <c:v>31.955762514551804</c:v>
                </c:pt>
                <c:pt idx="3">
                  <c:v>44.720138488170804</c:v>
                </c:pt>
                <c:pt idx="4">
                  <c:v>35.546651402404123</c:v>
                </c:pt>
              </c:numCache>
            </c:numRef>
          </c:val>
          <c:smooth val="0"/>
          <c:extLst>
            <c:ext xmlns:c16="http://schemas.microsoft.com/office/drawing/2014/chart" uri="{C3380CC4-5D6E-409C-BE32-E72D297353CC}">
              <c16:uniqueId val="{00000014-3ECB-4CD1-9E76-49E67AF79D95}"/>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Plans'!$AM$61:$AQ$61</c:f>
              <c:numCache>
                <c:formatCode>0.0</c:formatCode>
                <c:ptCount val="5"/>
                <c:pt idx="0">
                  <c:v>19.161676646706585</c:v>
                </c:pt>
                <c:pt idx="1">
                  <c:v>43.026706231454007</c:v>
                </c:pt>
                <c:pt idx="2">
                  <c:v>41.228070175438596</c:v>
                </c:pt>
                <c:pt idx="3">
                  <c:v>21.511627906976742</c:v>
                </c:pt>
                <c:pt idx="4">
                  <c:v>26.01156069364162</c:v>
                </c:pt>
              </c:numCache>
            </c:numRef>
          </c:val>
          <c:smooth val="0"/>
          <c:extLst>
            <c:ext xmlns:c16="http://schemas.microsoft.com/office/drawing/2014/chart" uri="{C3380CC4-5D6E-409C-BE32-E72D297353CC}">
              <c16:uniqueId val="{00000015-3ECB-4CD1-9E76-49E67AF79D95}"/>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Plans'!$AM$62:$AQ$62</c:f>
              <c:numCache>
                <c:formatCode>0.0</c:formatCode>
                <c:ptCount val="5"/>
                <c:pt idx="0">
                  <c:v>13.008130081300813</c:v>
                </c:pt>
                <c:pt idx="1">
                  <c:v>17.426273458445039</c:v>
                </c:pt>
                <c:pt idx="2">
                  <c:v>12.105263157894738</c:v>
                </c:pt>
                <c:pt idx="3">
                  <c:v>32.558139534883722</c:v>
                </c:pt>
                <c:pt idx="4">
                  <c:v>32.151898734177216</c:v>
                </c:pt>
              </c:numCache>
            </c:numRef>
          </c:val>
          <c:smooth val="0"/>
          <c:extLst>
            <c:ext xmlns:c16="http://schemas.microsoft.com/office/drawing/2014/chart" uri="{C3380CC4-5D6E-409C-BE32-E72D297353CC}">
              <c16:uniqueId val="{00000016-3ECB-4CD1-9E76-49E67AF79D95}"/>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Plans'!$AM$63:$AQ$63</c:f>
              <c:numCache>
                <c:formatCode>0.0</c:formatCode>
                <c:ptCount val="5"/>
                <c:pt idx="0">
                  <c:v>40.95778197857593</c:v>
                </c:pt>
                <c:pt idx="1">
                  <c:v>42.072884625410566</c:v>
                </c:pt>
                <c:pt idx="2">
                  <c:v>41.280844239822052</c:v>
                </c:pt>
                <c:pt idx="3">
                  <c:v>46.195791964607231</c:v>
                </c:pt>
                <c:pt idx="4">
                  <c:v>41.432512516603659</c:v>
                </c:pt>
              </c:numCache>
            </c:numRef>
          </c:val>
          <c:smooth val="0"/>
          <c:extLst>
            <c:ext xmlns:c16="http://schemas.microsoft.com/office/drawing/2014/chart" uri="{C3380CC4-5D6E-409C-BE32-E72D297353CC}">
              <c16:uniqueId val="{00000017-3ECB-4CD1-9E76-49E67AF79D95}"/>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'Child Protection Plans'!$Z$2:$AD$3</c:f>
              <c:strCache>
                <c:ptCount val="5"/>
                <c:pt idx="0">
                  <c:v>2014-15</c:v>
                </c:pt>
                <c:pt idx="1">
                  <c:v>2015-16</c:v>
                </c:pt>
                <c:pt idx="2">
                  <c:v>2016-17</c:v>
                </c:pt>
                <c:pt idx="3">
                  <c:v>2017-18</c:v>
                </c:pt>
                <c:pt idx="4">
                  <c:v>2018-19</c:v>
                </c:pt>
              </c:strCache>
            </c:strRef>
          </c:cat>
          <c:val>
            <c:numRef>
              <c:f>'Child Protection Plans'!$AM$64:$AQ$64</c:f>
              <c:numCache>
                <c:formatCode>0.0</c:formatCode>
                <c:ptCount val="5"/>
                <c:pt idx="0">
                  <c:v>42.875505749803743</c:v>
                </c:pt>
                <c:pt idx="1">
                  <c:v>43.081375932316604</c:v>
                </c:pt>
                <c:pt idx="2">
                  <c:v>43.342129602131465</c:v>
                </c:pt>
                <c:pt idx="3">
                  <c:v>45.327378444425719</c:v>
                </c:pt>
                <c:pt idx="4">
                  <c:v>43.715389891757148</c:v>
                </c:pt>
              </c:numCache>
            </c:numRef>
          </c:val>
          <c:smooth val="0"/>
          <c:extLst>
            <c:ext xmlns:c16="http://schemas.microsoft.com/office/drawing/2014/chart" uri="{C3380CC4-5D6E-409C-BE32-E72D297353CC}">
              <c16:uniqueId val="{00000018-3ECB-4CD1-9E76-49E67AF79D95}"/>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2014-15</c:v>
                </c:pt>
                <c:pt idx="1">
                  <c:v>2015-16</c:v>
                </c:pt>
                <c:pt idx="2">
                  <c:v>2016-17</c:v>
                </c:pt>
                <c:pt idx="3">
                  <c:v>2017-18</c:v>
                </c:pt>
                <c:pt idx="4">
                  <c:v>2018-19</c:v>
                </c:pt>
              </c:strCache>
            </c:strRef>
          </c:cat>
          <c:val>
            <c:numRef>
              <c:f>'Child Protection Plans'!$AM$65:$AQ$65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3ECB-4CD1-9E76-49E67AF79D95}"/>
            </c:ext>
          </c:extLst>
        </c:ser>
        <c:dLbls>
          <c:showLegendKey val="0"/>
          <c:showVal val="0"/>
          <c:showCatName val="0"/>
          <c:showSerName val="0"/>
          <c:showPercent val="0"/>
          <c:showBubbleSize val="0"/>
        </c:dLbls>
        <c:marker val="1"/>
        <c:smooth val="0"/>
        <c:axId val="277144320"/>
        <c:axId val="277146240"/>
      </c:lineChart>
      <c:catAx>
        <c:axId val="277144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146240"/>
        <c:crosses val="autoZero"/>
        <c:auto val="1"/>
        <c:lblAlgn val="ctr"/>
        <c:lblOffset val="100"/>
        <c:tickLblSkip val="1"/>
        <c:tickMarkSkip val="1"/>
        <c:noMultiLvlLbl val="0"/>
      </c:catAx>
      <c:valAx>
        <c:axId val="2771462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14432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Child Protection Plans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69107454382574"/>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DC66-4446-81B2-8FDB1A429FB1}"/>
            </c:ext>
          </c:extLst>
        </c:ser>
        <c:ser>
          <c:idx val="4"/>
          <c:order val="1"/>
          <c:tx>
            <c:strRef>
              <c:f>'Child Protection Plans'!$B$32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Plans'!$K$32:$O$32</c:f>
              <c:numCache>
                <c:formatCode>0.0</c:formatCode>
                <c:ptCount val="5"/>
                <c:pt idx="0">
                  <c:v>40.95778197857593</c:v>
                </c:pt>
                <c:pt idx="1">
                  <c:v>42.072884625410566</c:v>
                </c:pt>
                <c:pt idx="2">
                  <c:v>41.280844239822052</c:v>
                </c:pt>
                <c:pt idx="3">
                  <c:v>46.195791964607231</c:v>
                </c:pt>
                <c:pt idx="4">
                  <c:v>41.432512516603659</c:v>
                </c:pt>
              </c:numCache>
            </c:numRef>
          </c:val>
          <c:extLst>
            <c:ext xmlns:c16="http://schemas.microsoft.com/office/drawing/2014/chart" uri="{C3380CC4-5D6E-409C-BE32-E72D297353CC}">
              <c16:uniqueId val="{00000001-DC66-4446-81B2-8FDB1A429FB1}"/>
            </c:ext>
          </c:extLst>
        </c:ser>
        <c:ser>
          <c:idx val="0"/>
          <c:order val="2"/>
          <c:tx>
            <c:strRef>
              <c:f>'Child Protection Plans'!$B$33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Plans'!$K$33:$O$33</c:f>
              <c:numCache>
                <c:formatCode>0.0</c:formatCode>
                <c:ptCount val="5"/>
                <c:pt idx="0">
                  <c:v>42.875505749803743</c:v>
                </c:pt>
                <c:pt idx="1">
                  <c:v>43.081375932316604</c:v>
                </c:pt>
                <c:pt idx="2">
                  <c:v>43.342129602131465</c:v>
                </c:pt>
                <c:pt idx="3">
                  <c:v>45.327378444425719</c:v>
                </c:pt>
                <c:pt idx="4">
                  <c:v>43.715389891757148</c:v>
                </c:pt>
              </c:numCache>
            </c:numRef>
          </c:val>
          <c:extLst>
            <c:ext xmlns:c16="http://schemas.microsoft.com/office/drawing/2014/chart" uri="{C3380CC4-5D6E-409C-BE32-E72D297353CC}">
              <c16:uniqueId val="{00000002-DC66-4446-81B2-8FDB1A429FB1}"/>
            </c:ext>
          </c:extLst>
        </c:ser>
        <c:dLbls>
          <c:showLegendKey val="0"/>
          <c:showVal val="0"/>
          <c:showCatName val="0"/>
          <c:showSerName val="0"/>
          <c:showPercent val="0"/>
          <c:showBubbleSize val="0"/>
        </c:dLbls>
        <c:gapWidth val="100"/>
        <c:axId val="277004672"/>
        <c:axId val="277006208"/>
      </c:barChart>
      <c:catAx>
        <c:axId val="2770046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006208"/>
        <c:crosses val="autoZero"/>
        <c:auto val="1"/>
        <c:lblAlgn val="ctr"/>
        <c:lblOffset val="100"/>
        <c:noMultiLvlLbl val="0"/>
      </c:catAx>
      <c:valAx>
        <c:axId val="27700620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00467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New CPP</a:t>
            </a:r>
            <a:r>
              <a:rPr lang="en-GB" sz="900" baseline="0"/>
              <a:t> 2nd/ Subsequent</a:t>
            </a:r>
            <a:endParaRPr lang="en-GB" sz="900"/>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2557264957264955"/>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Plans'!$BH$65:$BL$65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C526-4234-ACCA-9298DE109A71}"/>
            </c:ext>
          </c:extLst>
        </c:ser>
        <c:ser>
          <c:idx val="4"/>
          <c:order val="1"/>
          <c:tx>
            <c:strRef>
              <c:f>'Child Protection Plans'!$B$278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Plans'!$D$278:$H$278</c:f>
              <c:numCache>
                <c:formatCode>0%</c:formatCode>
                <c:ptCount val="5"/>
                <c:pt idx="0">
                  <c:v>0.17023445463812437</c:v>
                </c:pt>
                <c:pt idx="1">
                  <c:v>0.20675537359263049</c:v>
                </c:pt>
                <c:pt idx="2">
                  <c:v>0.2223360655737705</c:v>
                </c:pt>
                <c:pt idx="3">
                  <c:v>0.22592945662535749</c:v>
                </c:pt>
                <c:pt idx="4">
                  <c:v>0.21078921078921078</c:v>
                </c:pt>
              </c:numCache>
            </c:numRef>
          </c:val>
          <c:extLst>
            <c:ext xmlns:c16="http://schemas.microsoft.com/office/drawing/2014/chart" uri="{C3380CC4-5D6E-409C-BE32-E72D297353CC}">
              <c16:uniqueId val="{00000001-C526-4234-ACCA-9298DE109A71}"/>
            </c:ext>
          </c:extLst>
        </c:ser>
        <c:ser>
          <c:idx val="0"/>
          <c:order val="2"/>
          <c:tx>
            <c:strRef>
              <c:f>'Child Protection Plans'!$B$279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Plans'!$D$279:$H$279</c:f>
              <c:numCache>
                <c:formatCode>0%</c:formatCode>
                <c:ptCount val="5"/>
                <c:pt idx="0">
                  <c:v>0.16572898247870119</c:v>
                </c:pt>
                <c:pt idx="1">
                  <c:v>0.17927657558047702</c:v>
                </c:pt>
                <c:pt idx="2">
                  <c:v>0.18702002710435175</c:v>
                </c:pt>
                <c:pt idx="3">
                  <c:v>0.20212301875817945</c:v>
                </c:pt>
                <c:pt idx="4">
                  <c:v>0.20785842831433712</c:v>
                </c:pt>
              </c:numCache>
            </c:numRef>
          </c:val>
          <c:extLst>
            <c:ext xmlns:c16="http://schemas.microsoft.com/office/drawing/2014/chart" uri="{C3380CC4-5D6E-409C-BE32-E72D297353CC}">
              <c16:uniqueId val="{00000002-C526-4234-ACCA-9298DE109A71}"/>
            </c:ext>
          </c:extLst>
        </c:ser>
        <c:dLbls>
          <c:showLegendKey val="0"/>
          <c:showVal val="0"/>
          <c:showCatName val="0"/>
          <c:showSerName val="0"/>
          <c:showPercent val="0"/>
          <c:showBubbleSize val="0"/>
        </c:dLbls>
        <c:gapWidth val="100"/>
        <c:axId val="277351808"/>
        <c:axId val="277353600"/>
      </c:barChart>
      <c:catAx>
        <c:axId val="277351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353600"/>
        <c:crosses val="autoZero"/>
        <c:auto val="1"/>
        <c:lblAlgn val="ctr"/>
        <c:lblOffset val="100"/>
        <c:noMultiLvlLbl val="0"/>
      </c:catAx>
      <c:valAx>
        <c:axId val="27735360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35180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sz="1000" b="1" i="0" u="none" strike="noStrike" baseline="0">
                <a:effectLst/>
              </a:rPr>
              <a:t>% Children who became the subject of a CP Plan for a second or subsequent time</a:t>
            </a:r>
            <a:endParaRPr lang="en-GB"/>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B93A-492A-9F48-E309673F400F}"/>
              </c:ext>
            </c:extLst>
          </c:dPt>
          <c:cat>
            <c:strRef>
              <c:f>'Child Protection Plans'!$Z$2:$AD$3</c:f>
              <c:strCache>
                <c:ptCount val="5"/>
                <c:pt idx="0">
                  <c:v>2014-15</c:v>
                </c:pt>
                <c:pt idx="1">
                  <c:v>2015-16</c:v>
                </c:pt>
                <c:pt idx="2">
                  <c:v>2016-17</c:v>
                </c:pt>
                <c:pt idx="3">
                  <c:v>2017-18</c:v>
                </c:pt>
                <c:pt idx="4">
                  <c:v>2018-19</c:v>
                </c:pt>
              </c:strCache>
            </c:strRef>
          </c:cat>
          <c:val>
            <c:numRef>
              <c:f>'Child Protection Plans'!$BH$41:$BL$41</c:f>
              <c:numCache>
                <c:formatCode>0.0%</c:formatCode>
                <c:ptCount val="5"/>
                <c:pt idx="0">
                  <c:v>0.1388888888888889</c:v>
                </c:pt>
                <c:pt idx="1">
                  <c:v>0.24822695035460993</c:v>
                </c:pt>
                <c:pt idx="2">
                  <c:v>0.26146788990825687</c:v>
                </c:pt>
                <c:pt idx="3">
                  <c:v>0.17751479289940827</c:v>
                </c:pt>
                <c:pt idx="4">
                  <c:v>0.23529411764705882</c:v>
                </c:pt>
              </c:numCache>
            </c:numRef>
          </c:val>
          <c:smooth val="0"/>
          <c:extLst>
            <c:ext xmlns:c16="http://schemas.microsoft.com/office/drawing/2014/chart" uri="{C3380CC4-5D6E-409C-BE32-E72D297353CC}">
              <c16:uniqueId val="{00000001-B93A-492A-9F48-E309673F400F}"/>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Plans'!$BH$42:$BL$42</c:f>
              <c:numCache>
                <c:formatCode>0.0%</c:formatCode>
                <c:ptCount val="5"/>
                <c:pt idx="0">
                  <c:v>0.21832884097035041</c:v>
                </c:pt>
                <c:pt idx="1">
                  <c:v>0.25517241379310346</c:v>
                </c:pt>
                <c:pt idx="2">
                  <c:v>0.21897810218978103</c:v>
                </c:pt>
                <c:pt idx="3">
                  <c:v>0.23820754716981132</c:v>
                </c:pt>
                <c:pt idx="4">
                  <c:v>0.27692307692307694</c:v>
                </c:pt>
              </c:numCache>
            </c:numRef>
          </c:val>
          <c:smooth val="0"/>
          <c:extLst>
            <c:ext xmlns:c16="http://schemas.microsoft.com/office/drawing/2014/chart" uri="{C3380CC4-5D6E-409C-BE32-E72D297353CC}">
              <c16:uniqueId val="{00000002-B93A-492A-9F48-E309673F400F}"/>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Plans'!$BH$43:$BL$43</c:f>
              <c:numCache>
                <c:formatCode>0.0%</c:formatCode>
                <c:ptCount val="5"/>
                <c:pt idx="0">
                  <c:v>0.16816143497757849</c:v>
                </c:pt>
                <c:pt idx="1">
                  <c:v>0.19281045751633988</c:v>
                </c:pt>
                <c:pt idx="2">
                  <c:v>0.14344827586206896</c:v>
                </c:pt>
                <c:pt idx="3">
                  <c:v>0.18784530386740331</c:v>
                </c:pt>
                <c:pt idx="4">
                  <c:v>0.20114942528735633</c:v>
                </c:pt>
              </c:numCache>
            </c:numRef>
          </c:val>
          <c:smooth val="0"/>
          <c:extLst>
            <c:ext xmlns:c16="http://schemas.microsoft.com/office/drawing/2014/chart" uri="{C3380CC4-5D6E-409C-BE32-E72D297353CC}">
              <c16:uniqueId val="{00000003-B93A-492A-9F48-E309673F400F}"/>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Plans'!$BH$44:$BL$44</c:f>
              <c:numCache>
                <c:formatCode>0.0%</c:formatCode>
                <c:ptCount val="5"/>
                <c:pt idx="0">
                  <c:v>0.20446096654275092</c:v>
                </c:pt>
                <c:pt idx="1">
                  <c:v>0.24943820224719102</c:v>
                </c:pt>
                <c:pt idx="2">
                  <c:v>0.28298279158699807</c:v>
                </c:pt>
                <c:pt idx="3">
                  <c:v>0.25</c:v>
                </c:pt>
                <c:pt idx="4">
                  <c:v>0.21870047543581617</c:v>
                </c:pt>
              </c:numCache>
            </c:numRef>
          </c:val>
          <c:smooth val="0"/>
          <c:extLst>
            <c:ext xmlns:c16="http://schemas.microsoft.com/office/drawing/2014/chart" uri="{C3380CC4-5D6E-409C-BE32-E72D297353CC}">
              <c16:uniqueId val="{00000004-B93A-492A-9F48-E309673F400F}"/>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Plans'!$BH$45:$BL$45</c:f>
              <c:numCache>
                <c:formatCode>0.0%</c:formatCode>
                <c:ptCount val="5"/>
                <c:pt idx="0">
                  <c:v>0.1632208922742111</c:v>
                </c:pt>
                <c:pt idx="1">
                  <c:v>0.20095693779904306</c:v>
                </c:pt>
                <c:pt idx="2">
                  <c:v>0.24273072060682679</c:v>
                </c:pt>
                <c:pt idx="3">
                  <c:v>0.23046875</c:v>
                </c:pt>
                <c:pt idx="4">
                  <c:v>0.21476964769647697</c:v>
                </c:pt>
              </c:numCache>
            </c:numRef>
          </c:val>
          <c:smooth val="0"/>
          <c:extLst>
            <c:ext xmlns:c16="http://schemas.microsoft.com/office/drawing/2014/chart" uri="{C3380CC4-5D6E-409C-BE32-E72D297353CC}">
              <c16:uniqueId val="{00000005-B93A-492A-9F48-E309673F400F}"/>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Plans'!$BH$46:$BL$46</c:f>
              <c:numCache>
                <c:formatCode>0.0%</c:formatCode>
                <c:ptCount val="5"/>
                <c:pt idx="0">
                  <c:v>0.15438596491228071</c:v>
                </c:pt>
                <c:pt idx="1">
                  <c:v>0.14726027397260275</c:v>
                </c:pt>
                <c:pt idx="2">
                  <c:v>0.20779220779220781</c:v>
                </c:pt>
                <c:pt idx="3">
                  <c:v>0.23287671232876711</c:v>
                </c:pt>
                <c:pt idx="4">
                  <c:v>0.21782178217821782</c:v>
                </c:pt>
              </c:numCache>
            </c:numRef>
          </c:val>
          <c:smooth val="0"/>
          <c:extLst>
            <c:ext xmlns:c16="http://schemas.microsoft.com/office/drawing/2014/chart" uri="{C3380CC4-5D6E-409C-BE32-E72D297353CC}">
              <c16:uniqueId val="{00000006-B93A-492A-9F48-E309673F400F}"/>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Plans'!$BH$47:$BL$47</c:f>
              <c:numCache>
                <c:formatCode>0.0%</c:formatCode>
                <c:ptCount val="5"/>
                <c:pt idx="0">
                  <c:v>0.18411330049261085</c:v>
                </c:pt>
                <c:pt idx="1">
                  <c:v>0.20090978013646701</c:v>
                </c:pt>
                <c:pt idx="2">
                  <c:v>0.19384615384615383</c:v>
                </c:pt>
                <c:pt idx="3">
                  <c:v>0.20397690827453496</c:v>
                </c:pt>
                <c:pt idx="4">
                  <c:v>0.19088319088319089</c:v>
                </c:pt>
              </c:numCache>
            </c:numRef>
          </c:val>
          <c:smooth val="0"/>
          <c:extLst>
            <c:ext xmlns:c16="http://schemas.microsoft.com/office/drawing/2014/chart" uri="{C3380CC4-5D6E-409C-BE32-E72D297353CC}">
              <c16:uniqueId val="{00000007-B93A-492A-9F48-E309673F400F}"/>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Plans'!$BH$48:$BL$48</c:f>
              <c:numCache>
                <c:formatCode>0.0%</c:formatCode>
                <c:ptCount val="5"/>
                <c:pt idx="0">
                  <c:v>0.14842300556586271</c:v>
                </c:pt>
                <c:pt idx="1">
                  <c:v>0.18165467625899281</c:v>
                </c:pt>
                <c:pt idx="2">
                  <c:v>0.2073170731707317</c:v>
                </c:pt>
                <c:pt idx="3">
                  <c:v>0.22465753424657534</c:v>
                </c:pt>
                <c:pt idx="4">
                  <c:v>0.17484008528784648</c:v>
                </c:pt>
              </c:numCache>
            </c:numRef>
          </c:val>
          <c:smooth val="0"/>
          <c:extLst>
            <c:ext xmlns:c16="http://schemas.microsoft.com/office/drawing/2014/chart" uri="{C3380CC4-5D6E-409C-BE32-E72D297353CC}">
              <c16:uniqueId val="{00000008-B93A-492A-9F48-E309673F400F}"/>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Plans'!$BH$49:$BL$49</c:f>
              <c:numCache>
                <c:formatCode>0.0%</c:formatCode>
                <c:ptCount val="5"/>
                <c:pt idx="0">
                  <c:v>8.247422680412371E-2</c:v>
                </c:pt>
                <c:pt idx="1">
                  <c:v>#N/A</c:v>
                </c:pt>
                <c:pt idx="2">
                  <c:v>8.6956521739130432E-2</c:v>
                </c:pt>
                <c:pt idx="3">
                  <c:v>8.0246913580246909E-2</c:v>
                </c:pt>
                <c:pt idx="4">
                  <c:v>0.13861386138613863</c:v>
                </c:pt>
              </c:numCache>
            </c:numRef>
          </c:val>
          <c:smooth val="0"/>
          <c:extLst>
            <c:ext xmlns:c16="http://schemas.microsoft.com/office/drawing/2014/chart" uri="{C3380CC4-5D6E-409C-BE32-E72D297353CC}">
              <c16:uniqueId val="{00000009-B93A-492A-9F48-E309673F400F}"/>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Plans'!$BH$50:$BL$50</c:f>
              <c:numCache>
                <c:formatCode>0.0%</c:formatCode>
                <c:ptCount val="5"/>
                <c:pt idx="0">
                  <c:v>0.16561514195583596</c:v>
                </c:pt>
                <c:pt idx="1">
                  <c:v>0.2132768361581921</c:v>
                </c:pt>
                <c:pt idx="2">
                  <c:v>0.18375</c:v>
                </c:pt>
                <c:pt idx="3">
                  <c:v>0.23415265200517466</c:v>
                </c:pt>
                <c:pt idx="4">
                  <c:v>0.21908602150537634</c:v>
                </c:pt>
              </c:numCache>
            </c:numRef>
          </c:val>
          <c:smooth val="0"/>
          <c:extLst>
            <c:ext xmlns:c16="http://schemas.microsoft.com/office/drawing/2014/chart" uri="{C3380CC4-5D6E-409C-BE32-E72D297353CC}">
              <c16:uniqueId val="{0000000A-B93A-492A-9F48-E309673F400F}"/>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Plans'!$BH$51:$BL$51</c:f>
              <c:numCache>
                <c:formatCode>0.0%</c:formatCode>
                <c:ptCount val="5"/>
                <c:pt idx="0">
                  <c:v>0.18217054263565891</c:v>
                </c:pt>
                <c:pt idx="1">
                  <c:v>0.20202020202020202</c:v>
                </c:pt>
                <c:pt idx="2">
                  <c:v>0.2029520295202952</c:v>
                </c:pt>
                <c:pt idx="3">
                  <c:v>0.25964912280701752</c:v>
                </c:pt>
                <c:pt idx="4">
                  <c:v>0.19762845849802371</c:v>
                </c:pt>
              </c:numCache>
            </c:numRef>
          </c:val>
          <c:smooth val="0"/>
          <c:extLst>
            <c:ext xmlns:c16="http://schemas.microsoft.com/office/drawing/2014/chart" uri="{C3380CC4-5D6E-409C-BE32-E72D297353CC}">
              <c16:uniqueId val="{0000000B-B93A-492A-9F48-E309673F400F}"/>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Plans'!$BH$52:$BL$52</c:f>
              <c:numCache>
                <c:formatCode>0.0%</c:formatCode>
                <c:ptCount val="5"/>
                <c:pt idx="0">
                  <c:v>0.23809523809523808</c:v>
                </c:pt>
                <c:pt idx="1">
                  <c:v>0.21791044776119403</c:v>
                </c:pt>
                <c:pt idx="2">
                  <c:v>0.28878281622911695</c:v>
                </c:pt>
                <c:pt idx="3">
                  <c:v>0.17714285714285713</c:v>
                </c:pt>
                <c:pt idx="4">
                  <c:v>0.28700906344410876</c:v>
                </c:pt>
              </c:numCache>
            </c:numRef>
          </c:val>
          <c:smooth val="0"/>
          <c:extLst>
            <c:ext xmlns:c16="http://schemas.microsoft.com/office/drawing/2014/chart" uri="{C3380CC4-5D6E-409C-BE32-E72D297353CC}">
              <c16:uniqueId val="{0000000C-B93A-492A-9F48-E309673F400F}"/>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Plans'!$BH$53:$BL$53</c:f>
              <c:numCache>
                <c:formatCode>0.0%</c:formatCode>
                <c:ptCount val="5"/>
                <c:pt idx="0">
                  <c:v>0.14450867052023122</c:v>
                </c:pt>
                <c:pt idx="1">
                  <c:v>0.16772151898734178</c:v>
                </c:pt>
                <c:pt idx="2">
                  <c:v>0.22602739726027396</c:v>
                </c:pt>
                <c:pt idx="3">
                  <c:v>0.23333333333333334</c:v>
                </c:pt>
                <c:pt idx="4">
                  <c:v>0.20532319391634982</c:v>
                </c:pt>
              </c:numCache>
            </c:numRef>
          </c:val>
          <c:smooth val="0"/>
          <c:extLst>
            <c:ext xmlns:c16="http://schemas.microsoft.com/office/drawing/2014/chart" uri="{C3380CC4-5D6E-409C-BE32-E72D297353CC}">
              <c16:uniqueId val="{0000000D-B93A-492A-9F48-E309673F400F}"/>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Plans'!$BH$54:$BL$54</c:f>
              <c:numCache>
                <c:formatCode>0.0%</c:formatCode>
                <c:ptCount val="5"/>
                <c:pt idx="0">
                  <c:v>0.19935691318327975</c:v>
                </c:pt>
                <c:pt idx="1">
                  <c:v>0.25304136253041365</c:v>
                </c:pt>
                <c:pt idx="2">
                  <c:v>0.1934931506849315</c:v>
                </c:pt>
                <c:pt idx="3">
                  <c:v>0.21132075471698114</c:v>
                </c:pt>
                <c:pt idx="4">
                  <c:v>0.20289855072463769</c:v>
                </c:pt>
              </c:numCache>
            </c:numRef>
          </c:val>
          <c:smooth val="0"/>
          <c:extLst>
            <c:ext xmlns:c16="http://schemas.microsoft.com/office/drawing/2014/chart" uri="{C3380CC4-5D6E-409C-BE32-E72D297353CC}">
              <c16:uniqueId val="{0000000E-B93A-492A-9F48-E309673F400F}"/>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Plans'!$BH$55:$BL$55</c:f>
              <c:numCache>
                <c:formatCode>0.0%</c:formatCode>
                <c:ptCount val="5"/>
                <c:pt idx="0">
                  <c:v>3.6363636363636362E-2</c:v>
                </c:pt>
                <c:pt idx="1">
                  <c:v>0.29591836734693877</c:v>
                </c:pt>
                <c:pt idx="2">
                  <c:v>0.28496042216358841</c:v>
                </c:pt>
                <c:pt idx="3">
                  <c:v>0.30626450116009279</c:v>
                </c:pt>
                <c:pt idx="4">
                  <c:v>0.20104438642297651</c:v>
                </c:pt>
              </c:numCache>
            </c:numRef>
          </c:val>
          <c:smooth val="0"/>
          <c:extLst>
            <c:ext xmlns:c16="http://schemas.microsoft.com/office/drawing/2014/chart" uri="{C3380CC4-5D6E-409C-BE32-E72D297353CC}">
              <c16:uniqueId val="{0000000F-B93A-492A-9F48-E309673F400F}"/>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Plans'!$BH$56:$BL$56</c:f>
              <c:numCache>
                <c:formatCode>0.0%</c:formatCode>
                <c:ptCount val="5"/>
                <c:pt idx="0">
                  <c:v>0.17011278195488722</c:v>
                </c:pt>
                <c:pt idx="1">
                  <c:v>0.23084577114427859</c:v>
                </c:pt>
                <c:pt idx="2">
                  <c:v>0.22447013487475914</c:v>
                </c:pt>
                <c:pt idx="3">
                  <c:v>0.24413553431798435</c:v>
                </c:pt>
                <c:pt idx="4">
                  <c:v>0.21919014084507044</c:v>
                </c:pt>
              </c:numCache>
            </c:numRef>
          </c:val>
          <c:smooth val="0"/>
          <c:extLst>
            <c:ext xmlns:c16="http://schemas.microsoft.com/office/drawing/2014/chart" uri="{C3380CC4-5D6E-409C-BE32-E72D297353CC}">
              <c16:uniqueId val="{00000010-B93A-492A-9F48-E309673F400F}"/>
            </c:ext>
          </c:extLst>
        </c:ser>
        <c:ser>
          <c:idx val="7"/>
          <c:order val="16"/>
          <c:tx>
            <c:strRef>
              <c:f>'Child Protection Plans'!$AL$57</c:f>
              <c:strCache>
                <c:ptCount val="1"/>
                <c:pt idx="0">
                  <c:v>Swindon</c:v>
                </c:pt>
              </c:strCache>
            </c:strRef>
          </c:tx>
          <c:spPr>
            <a:ln w="15875"/>
          </c:spPr>
          <c:marker>
            <c:symbol val="triangle"/>
            <c:size val="5"/>
            <c:spPr>
              <a:solidFill>
                <a:schemeClr val="accent2">
                  <a:lumMod val="20000"/>
                  <a:lumOff val="80000"/>
                </a:schemeClr>
              </a:solidFill>
            </c:spPr>
          </c:marker>
          <c:cat>
            <c:strRef>
              <c:f>'Child Protection Plans'!$Z$2:$AD$3</c:f>
              <c:strCache>
                <c:ptCount val="5"/>
                <c:pt idx="0">
                  <c:v>2014-15</c:v>
                </c:pt>
                <c:pt idx="1">
                  <c:v>2015-16</c:v>
                </c:pt>
                <c:pt idx="2">
                  <c:v>2016-17</c:v>
                </c:pt>
                <c:pt idx="3">
                  <c:v>2017-18</c:v>
                </c:pt>
                <c:pt idx="4">
                  <c:v>2018-19</c:v>
                </c:pt>
              </c:strCache>
            </c:strRef>
          </c:cat>
          <c:val>
            <c:numRef>
              <c:f>'Child Protection Plans'!$BH$57:$BL$57</c:f>
              <c:numCache>
                <c:formatCode>0.0%</c:formatCode>
                <c:ptCount val="5"/>
                <c:pt idx="0">
                  <c:v>0.19172932330827067</c:v>
                </c:pt>
                <c:pt idx="1">
                  <c:v>0.19031141868512111</c:v>
                </c:pt>
                <c:pt idx="2">
                  <c:v>0.20170454545454544</c:v>
                </c:pt>
                <c:pt idx="3">
                  <c:v>0.19755600814663951</c:v>
                </c:pt>
                <c:pt idx="4">
                  <c:v>0.12142857142857143</c:v>
                </c:pt>
              </c:numCache>
            </c:numRef>
          </c:val>
          <c:smooth val="0"/>
          <c:extLst>
            <c:ext xmlns:c16="http://schemas.microsoft.com/office/drawing/2014/chart" uri="{C3380CC4-5D6E-409C-BE32-E72D297353CC}">
              <c16:uniqueId val="{00000011-B93A-492A-9F48-E309673F400F}"/>
            </c:ext>
          </c:extLst>
        </c:ser>
        <c:ser>
          <c:idx val="8"/>
          <c:order val="17"/>
          <c:tx>
            <c:strRef>
              <c:f>'Child Protection Plans'!$AL$58</c:f>
              <c:strCache>
                <c:ptCount val="1"/>
                <c:pt idx="0">
                  <c:v>Torbay</c:v>
                </c:pt>
              </c:strCache>
            </c:strRef>
          </c:tx>
          <c:spPr>
            <a:ln w="15875"/>
          </c:spPr>
          <c:marker>
            <c:symbol val="circle"/>
            <c:size val="5"/>
            <c:spPr>
              <a:solidFill>
                <a:schemeClr val="accent3">
                  <a:lumMod val="20000"/>
                  <a:lumOff val="80000"/>
                </a:schemeClr>
              </a:solidFill>
            </c:spPr>
          </c:marker>
          <c:cat>
            <c:strRef>
              <c:f>'Child Protection Plans'!$Z$2:$AD$3</c:f>
              <c:strCache>
                <c:ptCount val="5"/>
                <c:pt idx="0">
                  <c:v>2014-15</c:v>
                </c:pt>
                <c:pt idx="1">
                  <c:v>2015-16</c:v>
                </c:pt>
                <c:pt idx="2">
                  <c:v>2016-17</c:v>
                </c:pt>
                <c:pt idx="3">
                  <c:v>2017-18</c:v>
                </c:pt>
                <c:pt idx="4">
                  <c:v>2018-19</c:v>
                </c:pt>
              </c:strCache>
            </c:strRef>
          </c:cat>
          <c:val>
            <c:numRef>
              <c:f>'Child Protection Plans'!$BH$58:$BL$58</c:f>
              <c:numCache>
                <c:formatCode>0.0%</c:formatCode>
                <c:ptCount val="5"/>
                <c:pt idx="0">
                  <c:v>0.16738197424892703</c:v>
                </c:pt>
                <c:pt idx="1">
                  <c:v>0.23134328358208955</c:v>
                </c:pt>
                <c:pt idx="2">
                  <c:v>0.21212121212121213</c:v>
                </c:pt>
                <c:pt idx="3">
                  <c:v>0.26896551724137929</c:v>
                </c:pt>
                <c:pt idx="4">
                  <c:v>0.3155737704918033</c:v>
                </c:pt>
              </c:numCache>
            </c:numRef>
          </c:val>
          <c:smooth val="0"/>
          <c:extLst>
            <c:ext xmlns:c16="http://schemas.microsoft.com/office/drawing/2014/chart" uri="{C3380CC4-5D6E-409C-BE32-E72D297353CC}">
              <c16:uniqueId val="{00000012-B93A-492A-9F48-E309673F400F}"/>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Plans'!$BH$59:$BL$59</c:f>
              <c:numCache>
                <c:formatCode>0.0%</c:formatCode>
                <c:ptCount val="5"/>
                <c:pt idx="0">
                  <c:v>0.19883040935672514</c:v>
                </c:pt>
                <c:pt idx="1">
                  <c:v>0.10784313725490197</c:v>
                </c:pt>
                <c:pt idx="2">
                  <c:v>0.22748815165876776</c:v>
                </c:pt>
                <c:pt idx="3">
                  <c:v>0.18181818181818182</c:v>
                </c:pt>
                <c:pt idx="4">
                  <c:v>0.24752475247524752</c:v>
                </c:pt>
              </c:numCache>
            </c:numRef>
          </c:val>
          <c:smooth val="0"/>
          <c:extLst>
            <c:ext xmlns:c16="http://schemas.microsoft.com/office/drawing/2014/chart" uri="{C3380CC4-5D6E-409C-BE32-E72D297353CC}">
              <c16:uniqueId val="{00000013-B93A-492A-9F48-E309673F400F}"/>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Plans'!$BH$60:$BL$60</c:f>
              <c:numCache>
                <c:formatCode>0.0%</c:formatCode>
                <c:ptCount val="5"/>
                <c:pt idx="0">
                  <c:v>0.22770919067215364</c:v>
                </c:pt>
                <c:pt idx="1">
                  <c:v>0.22794117647058823</c:v>
                </c:pt>
                <c:pt idx="2">
                  <c:v>0.22748815165876776</c:v>
                </c:pt>
                <c:pt idx="3">
                  <c:v>0.2437759336099585</c:v>
                </c:pt>
                <c:pt idx="4">
                  <c:v>0.22481572481572482</c:v>
                </c:pt>
              </c:numCache>
            </c:numRef>
          </c:val>
          <c:smooth val="0"/>
          <c:extLst>
            <c:ext xmlns:c16="http://schemas.microsoft.com/office/drawing/2014/chart" uri="{C3380CC4-5D6E-409C-BE32-E72D297353CC}">
              <c16:uniqueId val="{00000014-B93A-492A-9F48-E309673F400F}"/>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Plans'!$BH$61:$BL$61</c:f>
              <c:numCache>
                <c:formatCode>0.0%</c:formatCode>
                <c:ptCount val="5"/>
                <c:pt idx="0">
                  <c:v>0.11235955056179775</c:v>
                </c:pt>
                <c:pt idx="1">
                  <c:v>0.13714285714285715</c:v>
                </c:pt>
                <c:pt idx="2">
                  <c:v>0.30813953488372092</c:v>
                </c:pt>
                <c:pt idx="3">
                  <c:v>0.20634920634920634</c:v>
                </c:pt>
                <c:pt idx="4">
                  <c:v>0.11956521739130435</c:v>
                </c:pt>
              </c:numCache>
            </c:numRef>
          </c:val>
          <c:smooth val="0"/>
          <c:extLst>
            <c:ext xmlns:c16="http://schemas.microsoft.com/office/drawing/2014/chart" uri="{C3380CC4-5D6E-409C-BE32-E72D297353CC}">
              <c16:uniqueId val="{00000015-B93A-492A-9F48-E309673F400F}"/>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Plans'!$BH$62:$BL$62</c:f>
              <c:numCache>
                <c:formatCode>0.0%</c:formatCode>
                <c:ptCount val="5"/>
                <c:pt idx="0">
                  <c:v>0.16393442622950818</c:v>
                </c:pt>
                <c:pt idx="1">
                  <c:v>0.14912280701754385</c:v>
                </c:pt>
                <c:pt idx="2">
                  <c:v>0.32558139534883723</c:v>
                </c:pt>
                <c:pt idx="3">
                  <c:v>0.24</c:v>
                </c:pt>
                <c:pt idx="4">
                  <c:v>0.14795918367346939</c:v>
                </c:pt>
              </c:numCache>
            </c:numRef>
          </c:val>
          <c:smooth val="0"/>
          <c:extLst>
            <c:ext xmlns:c16="http://schemas.microsoft.com/office/drawing/2014/chart" uri="{C3380CC4-5D6E-409C-BE32-E72D297353CC}">
              <c16:uniqueId val="{00000016-B93A-492A-9F48-E309673F400F}"/>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Plans'!$BH$63:$BL$63</c:f>
              <c:numCache>
                <c:formatCode>0.0%</c:formatCode>
                <c:ptCount val="5"/>
                <c:pt idx="0">
                  <c:v>0.17023445463812437</c:v>
                </c:pt>
                <c:pt idx="1">
                  <c:v>0.20675537359263049</c:v>
                </c:pt>
                <c:pt idx="2">
                  <c:v>0.2223360655737705</c:v>
                </c:pt>
                <c:pt idx="3">
                  <c:v>0.22592945662535749</c:v>
                </c:pt>
                <c:pt idx="4">
                  <c:v>0.21078921078921078</c:v>
                </c:pt>
              </c:numCache>
            </c:numRef>
          </c:val>
          <c:smooth val="0"/>
          <c:extLst>
            <c:ext xmlns:c16="http://schemas.microsoft.com/office/drawing/2014/chart" uri="{C3380CC4-5D6E-409C-BE32-E72D297353CC}">
              <c16:uniqueId val="{00000017-B93A-492A-9F48-E309673F400F}"/>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2014-15</c:v>
                </c:pt>
                <c:pt idx="1">
                  <c:v>2015-16</c:v>
                </c:pt>
                <c:pt idx="2">
                  <c:v>2016-17</c:v>
                </c:pt>
                <c:pt idx="3">
                  <c:v>2017-18</c:v>
                </c:pt>
                <c:pt idx="4">
                  <c:v>2018-19</c:v>
                </c:pt>
              </c:strCache>
            </c:strRef>
          </c:cat>
          <c:val>
            <c:numRef>
              <c:f>'Child Protection Plans'!$BH$64:$BL$64</c:f>
              <c:numCache>
                <c:formatCode>0.0%</c:formatCode>
                <c:ptCount val="5"/>
                <c:pt idx="0">
                  <c:v>0.16572898247870119</c:v>
                </c:pt>
                <c:pt idx="1">
                  <c:v>0.17927657558047702</c:v>
                </c:pt>
                <c:pt idx="2">
                  <c:v>0.18702002710435175</c:v>
                </c:pt>
                <c:pt idx="3">
                  <c:v>0.20212301875817945</c:v>
                </c:pt>
                <c:pt idx="4">
                  <c:v>0.20785842831433712</c:v>
                </c:pt>
              </c:numCache>
            </c:numRef>
          </c:val>
          <c:smooth val="0"/>
          <c:extLst>
            <c:ext xmlns:c16="http://schemas.microsoft.com/office/drawing/2014/chart" uri="{C3380CC4-5D6E-409C-BE32-E72D297353CC}">
              <c16:uniqueId val="{00000018-B93A-492A-9F48-E309673F400F}"/>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2014-15</c:v>
                </c:pt>
                <c:pt idx="1">
                  <c:v>2015-16</c:v>
                </c:pt>
                <c:pt idx="2">
                  <c:v>2016-17</c:v>
                </c:pt>
                <c:pt idx="3">
                  <c:v>2017-18</c:v>
                </c:pt>
                <c:pt idx="4">
                  <c:v>2018-19</c:v>
                </c:pt>
              </c:strCache>
            </c:strRef>
          </c:cat>
          <c:val>
            <c:numRef>
              <c:f>'Child Protection Plans'!$BH$65:$BL$65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B93A-492A-9F48-E309673F400F}"/>
            </c:ext>
          </c:extLst>
        </c:ser>
        <c:dLbls>
          <c:showLegendKey val="0"/>
          <c:showVal val="0"/>
          <c:showCatName val="0"/>
          <c:showSerName val="0"/>
          <c:showPercent val="0"/>
          <c:showBubbleSize val="0"/>
        </c:dLbls>
        <c:marker val="1"/>
        <c:smooth val="0"/>
        <c:axId val="277471232"/>
        <c:axId val="277473152"/>
      </c:lineChart>
      <c:catAx>
        <c:axId val="277471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473152"/>
        <c:crosses val="autoZero"/>
        <c:auto val="1"/>
        <c:lblAlgn val="ctr"/>
        <c:lblOffset val="100"/>
        <c:tickLblSkip val="1"/>
        <c:tickMarkSkip val="1"/>
        <c:noMultiLvlLbl val="0"/>
      </c:catAx>
      <c:valAx>
        <c:axId val="27747315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47123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14578351735385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Child Protection Plans</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'Child Protection Plans'!$S$7:$U$7</c:f>
              <c:strCache>
                <c:ptCount val="1"/>
                <c:pt idx="0">
                  <c:v>Distance from Expected 2019</c:v>
                </c:pt>
              </c:strCache>
            </c:strRef>
          </c:tx>
          <c:spPr>
            <a:solidFill>
              <a:srgbClr val="FB994F"/>
            </a:solidFill>
            <a:ln w="25400">
              <a:noFill/>
            </a:ln>
          </c:spPr>
          <c:invertIfNegative val="0"/>
          <c:cat>
            <c:strRef>
              <c:f>'Child Protection Plans'!$Y$77:$Y$100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Plans'!$U$10:$U$33</c:f>
              <c:numCache>
                <c:formatCode>0.0</c:formatCode>
                <c:ptCount val="24"/>
                <c:pt idx="0">
                  <c:v>16.666760908976439</c:v>
                </c:pt>
                <c:pt idx="1">
                  <c:v>20.481451768676642</c:v>
                </c:pt>
                <c:pt idx="2">
                  <c:v>16.706665140913628</c:v>
                </c:pt>
                <c:pt idx="3">
                  <c:v>10.47189885218522</c:v>
                </c:pt>
                <c:pt idx="4">
                  <c:v>7.0678073949566596</c:v>
                </c:pt>
                <c:pt idx="5">
                  <c:v>19.634761481128834</c:v>
                </c:pt>
                <c:pt idx="6">
                  <c:v>-4.1209540777400875</c:v>
                </c:pt>
                <c:pt idx="7">
                  <c:v>6.7769361043874028</c:v>
                </c:pt>
                <c:pt idx="8">
                  <c:v>-20.994850696228443</c:v>
                </c:pt>
                <c:pt idx="9">
                  <c:v>9.3250247321288597</c:v>
                </c:pt>
                <c:pt idx="10">
                  <c:v>-6.5092005240715594</c:v>
                </c:pt>
                <c:pt idx="11">
                  <c:v>25.918385408450241</c:v>
                </c:pt>
                <c:pt idx="12">
                  <c:v>10.719190782410799</c:v>
                </c:pt>
                <c:pt idx="13">
                  <c:v>-1.9217684513668516</c:v>
                </c:pt>
                <c:pt idx="14">
                  <c:v>8.6396581570660942</c:v>
                </c:pt>
                <c:pt idx="15">
                  <c:v>8.4920537086350478</c:v>
                </c:pt>
                <c:pt idx="16">
                  <c:v>25.618434915427073</c:v>
                </c:pt>
                <c:pt idx="17">
                  <c:v>16.401857652577966</c:v>
                </c:pt>
                <c:pt idx="18">
                  <c:v>4.2579856179365834</c:v>
                </c:pt>
                <c:pt idx="19">
                  <c:v>2.2707094957184495</c:v>
                </c:pt>
                <c:pt idx="20">
                  <c:v>0.93900942531910658</c:v>
                </c:pt>
                <c:pt idx="21">
                  <c:v>9.1778892570638817</c:v>
                </c:pt>
                <c:pt idx="22">
                  <c:v>5.5405126720852493</c:v>
                </c:pt>
                <c:pt idx="23">
                  <c:v>-1.1681845653353449</c:v>
                </c:pt>
              </c:numCache>
            </c:numRef>
          </c:val>
          <c:extLst>
            <c:ext xmlns:c16="http://schemas.microsoft.com/office/drawing/2014/chart" uri="{C3380CC4-5D6E-409C-BE32-E72D297353CC}">
              <c16:uniqueId val="{00000000-4826-4E02-AB61-D5A790ACB25E}"/>
            </c:ext>
          </c:extLst>
        </c:ser>
        <c:ser>
          <c:idx val="0"/>
          <c:order val="1"/>
          <c:tx>
            <c:strRef>
              <c:f>'Child Protection Plans'!$AA$4</c:f>
              <c:strCache>
                <c:ptCount val="1"/>
                <c:pt idx="0">
                  <c:v>Selected LA- (none)</c:v>
                </c:pt>
              </c:strCache>
            </c:strRef>
          </c:tx>
          <c:spPr>
            <a:solidFill>
              <a:srgbClr val="66FF99"/>
            </a:solidFill>
            <a:ln w="12700">
              <a:solidFill>
                <a:srgbClr val="000000"/>
              </a:solidFill>
              <a:prstDash val="solid"/>
            </a:ln>
          </c:spPr>
          <c:invertIfNegative val="0"/>
          <c:cat>
            <c:strRef>
              <c:f>'Child Protection Plans'!$Y$77:$Y$100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4826-4E02-AB61-D5A790ACB25E}"/>
            </c:ext>
          </c:extLst>
        </c:ser>
        <c:dLbls>
          <c:showLegendKey val="0"/>
          <c:showVal val="0"/>
          <c:showCatName val="0"/>
          <c:showSerName val="0"/>
          <c:showPercent val="0"/>
          <c:showBubbleSize val="0"/>
        </c:dLbls>
        <c:gapWidth val="40"/>
        <c:overlap val="100"/>
        <c:axId val="277503360"/>
        <c:axId val="277509248"/>
      </c:barChart>
      <c:catAx>
        <c:axId val="27750336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509248"/>
        <c:crossesAt val="0"/>
        <c:auto val="1"/>
        <c:lblAlgn val="ctr"/>
        <c:lblOffset val="100"/>
        <c:noMultiLvlLbl val="0"/>
      </c:catAx>
      <c:valAx>
        <c:axId val="277509248"/>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503360"/>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Referrals</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9.4376073361200227E-2"/>
          <c:w val="0.6965077344055397"/>
          <c:h val="0.84800411522633745"/>
        </c:manualLayout>
      </c:layout>
      <c:barChart>
        <c:barDir val="bar"/>
        <c:grouping val="clustered"/>
        <c:varyColors val="0"/>
        <c:ser>
          <c:idx val="2"/>
          <c:order val="0"/>
          <c:tx>
            <c:strRef>
              <c:f>Referrals!$S$7</c:f>
              <c:strCache>
                <c:ptCount val="1"/>
                <c:pt idx="0">
                  <c:v>Distance from Expected 2019</c:v>
                </c:pt>
              </c:strCache>
            </c:strRef>
          </c:tx>
          <c:spPr>
            <a:solidFill>
              <a:srgbClr val="FB994F"/>
            </a:solidFill>
            <a:ln w="25400">
              <a:noFill/>
            </a:ln>
          </c:spPr>
          <c:invertIfNegative val="0"/>
          <c:cat>
            <c:strRef>
              <c:f>Referrals!$B$10:$B$33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Referrals!$U$10:$U$33</c:f>
              <c:numCache>
                <c:formatCode>0.0</c:formatCode>
                <c:ptCount val="24"/>
                <c:pt idx="0">
                  <c:v>375.13512673396565</c:v>
                </c:pt>
                <c:pt idx="1">
                  <c:v>113.71856411271324</c:v>
                </c:pt>
                <c:pt idx="2">
                  <c:v>204.81988522845666</c:v>
                </c:pt>
                <c:pt idx="3">
                  <c:v>-128.95875822201356</c:v>
                </c:pt>
                <c:pt idx="4">
                  <c:v>212.09811233800417</c:v>
                </c:pt>
                <c:pt idx="5">
                  <c:v>407.81966463478182</c:v>
                </c:pt>
                <c:pt idx="6">
                  <c:v>7.9949606403220059</c:v>
                </c:pt>
                <c:pt idx="7">
                  <c:v>44.560743342547539</c:v>
                </c:pt>
                <c:pt idx="8">
                  <c:v>-118.65401990510702</c:v>
                </c:pt>
                <c:pt idx="9">
                  <c:v>32.092081678911541</c:v>
                </c:pt>
                <c:pt idx="10">
                  <c:v>44.597236367066216</c:v>
                </c:pt>
                <c:pt idx="11">
                  <c:v>205.41161109821121</c:v>
                </c:pt>
                <c:pt idx="12">
                  <c:v>-46.664983797835362</c:v>
                </c:pt>
                <c:pt idx="13">
                  <c:v>-147.51000734542646</c:v>
                </c:pt>
                <c:pt idx="14">
                  <c:v>-95.270725624797592</c:v>
                </c:pt>
                <c:pt idx="15">
                  <c:v>-0.46999149618181946</c:v>
                </c:pt>
                <c:pt idx="16">
                  <c:v>130.99945591525375</c:v>
                </c:pt>
                <c:pt idx="17">
                  <c:v>65.619849264995764</c:v>
                </c:pt>
                <c:pt idx="18">
                  <c:v>60.492296698216705</c:v>
                </c:pt>
                <c:pt idx="19">
                  <c:v>92.381096196302678</c:v>
                </c:pt>
                <c:pt idx="20">
                  <c:v>-52.25753708634744</c:v>
                </c:pt>
                <c:pt idx="21">
                  <c:v>69.399394816849508</c:v>
                </c:pt>
                <c:pt idx="22">
                  <c:v>62.53171969294192</c:v>
                </c:pt>
                <c:pt idx="23">
                  <c:v>-6.1519619851726475</c:v>
                </c:pt>
              </c:numCache>
            </c:numRef>
          </c:val>
          <c:extLst>
            <c:ext xmlns:c16="http://schemas.microsoft.com/office/drawing/2014/chart" uri="{C3380CC4-5D6E-409C-BE32-E72D297353CC}">
              <c16:uniqueId val="{00000000-5781-4964-8ACF-2D91E1C589A7}"/>
            </c:ext>
          </c:extLst>
        </c:ser>
        <c:ser>
          <c:idx val="0"/>
          <c:order val="1"/>
          <c:tx>
            <c:strRef>
              <c:f>Referrals!$AA$4</c:f>
              <c:strCache>
                <c:ptCount val="1"/>
                <c:pt idx="0">
                  <c:v>Selected LA- (none)</c:v>
                </c:pt>
              </c:strCache>
            </c:strRef>
          </c:tx>
          <c:spPr>
            <a:solidFill>
              <a:srgbClr val="66FF99"/>
            </a:solidFill>
            <a:ln>
              <a:solidFill>
                <a:srgbClr val="000000"/>
              </a:solidFill>
            </a:ln>
          </c:spPr>
          <c:invertIfNegative val="0"/>
          <c:val>
            <c:numRef>
              <c:f>Referrals!$AA$77:$AA$100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5781-4964-8ACF-2D91E1C589A7}"/>
            </c:ext>
          </c:extLst>
        </c:ser>
        <c:dLbls>
          <c:showLegendKey val="0"/>
          <c:showVal val="0"/>
          <c:showCatName val="0"/>
          <c:showSerName val="0"/>
          <c:showPercent val="0"/>
          <c:showBubbleSize val="0"/>
        </c:dLbls>
        <c:gapWidth val="40"/>
        <c:overlap val="100"/>
        <c:axId val="550731776"/>
        <c:axId val="550733696"/>
      </c:barChart>
      <c:catAx>
        <c:axId val="55073177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33696"/>
        <c:crossesAt val="0"/>
        <c:auto val="1"/>
        <c:lblAlgn val="ctr"/>
        <c:lblOffset val="100"/>
        <c:noMultiLvlLbl val="0"/>
      </c:catAx>
      <c:valAx>
        <c:axId val="550733696"/>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50731776"/>
        <c:crosses val="max"/>
        <c:crossBetween val="between"/>
      </c:valAx>
      <c:spPr>
        <a:noFill/>
        <a:ln w="12700">
          <a:solidFill>
            <a:srgbClr val="000000"/>
          </a:solidFill>
          <a:prstDash val="solid"/>
        </a:ln>
      </c:spPr>
    </c:plotArea>
    <c:legend>
      <c:legendPos val="t"/>
      <c:layout>
        <c:manualLayout>
          <c:xMode val="edge"/>
          <c:yMode val="edge"/>
          <c:x val="0.25749145299145298"/>
          <c:y val="5.191471436440815E-2"/>
          <c:w val="0.73798291412277583"/>
          <c:h val="3.0546482615598974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'Child Protection Plans'!$AL$5</c:f>
          <c:strCache>
            <c:ptCount val="1"/>
            <c:pt idx="0">
              <c:v>Average Annual Change in Number of Child Protection Plans</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'Child Protection Plans'!$I$7</c:f>
              <c:strCache>
                <c:ptCount val="1"/>
                <c:pt idx="0">
                  <c:v>Average Annual Change </c:v>
                </c:pt>
              </c:strCache>
            </c:strRef>
          </c:tx>
          <c:spPr>
            <a:solidFill>
              <a:srgbClr val="FB994F"/>
            </a:solidFill>
            <a:ln w="25400">
              <a:noFill/>
            </a:ln>
          </c:spPr>
          <c:invertIfNegative val="0"/>
          <c:cat>
            <c:strRef>
              <c:f>'Child Protection Plans'!$B$10:$B$33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Plans'!$I$10:$I$33</c:f>
              <c:numCache>
                <c:formatCode>0.0%</c:formatCode>
                <c:ptCount val="24"/>
                <c:pt idx="0">
                  <c:v>7.6935970153628755E-2</c:v>
                </c:pt>
                <c:pt idx="1">
                  <c:v>2.0281795491138968E-2</c:v>
                </c:pt>
                <c:pt idx="2">
                  <c:v>0.15502908722870526</c:v>
                </c:pt>
                <c:pt idx="3">
                  <c:v>5.2241728388134512E-2</c:v>
                </c:pt>
                <c:pt idx="4">
                  <c:v>-4.6741911415930648E-2</c:v>
                </c:pt>
                <c:pt idx="5">
                  <c:v>-0.10070056172016331</c:v>
                </c:pt>
                <c:pt idx="6">
                  <c:v>2.4813225617422024E-2</c:v>
                </c:pt>
                <c:pt idx="7">
                  <c:v>-3.8384967721481644E-2</c:v>
                </c:pt>
                <c:pt idx="8">
                  <c:v>0.26388595513309476</c:v>
                </c:pt>
                <c:pt idx="9">
                  <c:v>1.4965320366552057E-2</c:v>
                </c:pt>
                <c:pt idx="10">
                  <c:v>-1.7754702194357361E-2</c:v>
                </c:pt>
                <c:pt idx="11">
                  <c:v>8.2617664033633742E-2</c:v>
                </c:pt>
                <c:pt idx="12">
                  <c:v>0.28127841716396706</c:v>
                </c:pt>
                <c:pt idx="13">
                  <c:v>-3.2573958819131742E-3</c:v>
                </c:pt>
                <c:pt idx="14">
                  <c:v>-7.0305813059436291E-3</c:v>
                </c:pt>
                <c:pt idx="15">
                  <c:v>-3.3399001024114975E-3</c:v>
                </c:pt>
                <c:pt idx="16">
                  <c:v>0.13651925904796824</c:v>
                </c:pt>
                <c:pt idx="17">
                  <c:v>0.10657356720226097</c:v>
                </c:pt>
                <c:pt idx="18">
                  <c:v>1.5027720394794886E-3</c:v>
                </c:pt>
                <c:pt idx="19">
                  <c:v>9.004298380144235E-2</c:v>
                </c:pt>
                <c:pt idx="20">
                  <c:v>0.24476942608878136</c:v>
                </c:pt>
                <c:pt idx="21">
                  <c:v>0.45223147926952273</c:v>
                </c:pt>
                <c:pt idx="22">
                  <c:v>6.0876917571003192E-3</c:v>
                </c:pt>
                <c:pt idx="23">
                  <c:v>1.3047208594927071E-2</c:v>
                </c:pt>
              </c:numCache>
            </c:numRef>
          </c:val>
          <c:extLst>
            <c:ext xmlns:c16="http://schemas.microsoft.com/office/drawing/2014/chart" uri="{C3380CC4-5D6E-409C-BE32-E72D297353CC}">
              <c16:uniqueId val="{00000000-D5F0-48A1-9195-A5653FC58CAE}"/>
            </c:ext>
          </c:extLst>
        </c:ser>
        <c:ser>
          <c:idx val="1"/>
          <c:order val="1"/>
          <c:tx>
            <c:strRef>
              <c:f>'Child Protection Plans'!$AA$4</c:f>
              <c:strCache>
                <c:ptCount val="1"/>
                <c:pt idx="0">
                  <c:v>Selected LA- (none)</c:v>
                </c:pt>
              </c:strCache>
            </c:strRef>
          </c:tx>
          <c:spPr>
            <a:solidFill>
              <a:srgbClr val="66FF99"/>
            </a:solidFill>
            <a:ln w="12700">
              <a:solidFill>
                <a:srgbClr val="000000"/>
              </a:solidFill>
              <a:prstDash val="solid"/>
            </a:ln>
          </c:spPr>
          <c:invertIfNegative val="0"/>
          <c:cat>
            <c:strRef>
              <c:f>'Child Protection Plans'!$B$10:$B$33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D5F0-48A1-9195-A5653FC58CAE}"/>
            </c:ext>
          </c:extLst>
        </c:ser>
        <c:dLbls>
          <c:showLegendKey val="0"/>
          <c:showVal val="0"/>
          <c:showCatName val="0"/>
          <c:showSerName val="0"/>
          <c:showPercent val="0"/>
          <c:showBubbleSize val="0"/>
        </c:dLbls>
        <c:gapWidth val="40"/>
        <c:overlap val="100"/>
        <c:axId val="277534592"/>
        <c:axId val="277536128"/>
      </c:barChart>
      <c:catAx>
        <c:axId val="27753459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536128"/>
        <c:crosses val="autoZero"/>
        <c:auto val="1"/>
        <c:lblAlgn val="ctr"/>
        <c:lblOffset val="100"/>
        <c:noMultiLvlLbl val="0"/>
      </c:catAx>
      <c:valAx>
        <c:axId val="27753612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534592"/>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a:t>
            </a:r>
            <a:r>
              <a:rPr lang="en-GB" baseline="0"/>
              <a:t> Ceased CPP 2yrs+ </a:t>
            </a:r>
            <a:r>
              <a:rPr lang="en-GB"/>
              <a:t>(Selected LA</a:t>
            </a:r>
            <a:r>
              <a:rPr lang="en-GB" baseline="0"/>
              <a:t> vs. SE &amp; National)</a:t>
            </a:r>
            <a:r>
              <a:rPr lang="en-GB"/>
              <a:t> </a:t>
            </a:r>
          </a:p>
        </c:rich>
      </c:tx>
      <c:layout>
        <c:manualLayout>
          <c:xMode val="edge"/>
          <c:yMode val="edge"/>
          <c:x val="0.1606153846153846"/>
          <c:y val="3.8615036134181857E-3"/>
        </c:manualLayout>
      </c:layout>
      <c:overlay val="0"/>
      <c:spPr>
        <a:noFill/>
        <a:ln w="25400">
          <a:noFill/>
        </a:ln>
      </c:spPr>
    </c:title>
    <c:autoTitleDeleted val="0"/>
    <c:plotArea>
      <c:layout>
        <c:manualLayout>
          <c:layoutTarget val="inner"/>
          <c:xMode val="edge"/>
          <c:yMode val="edge"/>
          <c:x val="9.8666666666666666E-2"/>
          <c:y val="0.22874411246539389"/>
          <c:w val="0.64607416380644722"/>
          <c:h val="0.50620285478013882"/>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Plans'!$BC$65:$BG$65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57F5-424E-AD55-65DF19F5CCBF}"/>
            </c:ext>
          </c:extLst>
        </c:ser>
        <c:ser>
          <c:idx val="4"/>
          <c:order val="1"/>
          <c:tx>
            <c:strRef>
              <c:f>'Child Protection Plans'!$B$278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Plans'!$D$242:$H$242</c:f>
              <c:numCache>
                <c:formatCode>0%</c:formatCode>
                <c:ptCount val="5"/>
                <c:pt idx="0">
                  <c:v>4.2889390519187359E-2</c:v>
                </c:pt>
                <c:pt idx="1">
                  <c:v>4.5643153526970952E-2</c:v>
                </c:pt>
                <c:pt idx="2">
                  <c:v>4.4806517311608958E-2</c:v>
                </c:pt>
                <c:pt idx="3">
                  <c:v>4.8574445617740235E-2</c:v>
                </c:pt>
                <c:pt idx="4">
                  <c:v>4.6425255338904362E-2</c:v>
                </c:pt>
              </c:numCache>
            </c:numRef>
          </c:val>
          <c:extLst>
            <c:ext xmlns:c16="http://schemas.microsoft.com/office/drawing/2014/chart" uri="{C3380CC4-5D6E-409C-BE32-E72D297353CC}">
              <c16:uniqueId val="{00000001-57F5-424E-AD55-65DF19F5CCBF}"/>
            </c:ext>
          </c:extLst>
        </c:ser>
        <c:ser>
          <c:idx val="0"/>
          <c:order val="2"/>
          <c:tx>
            <c:strRef>
              <c:f>'Child Protection Plans'!$B$279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Plans'!$D$243:$H$243</c:f>
              <c:numCache>
                <c:formatCode>0%</c:formatCode>
                <c:ptCount val="5"/>
                <c:pt idx="0">
                  <c:v>3.7251655629139076E-2</c:v>
                </c:pt>
                <c:pt idx="1">
                  <c:v>3.8406374501992031E-2</c:v>
                </c:pt>
                <c:pt idx="2">
                  <c:v>3.4087435035157446E-2</c:v>
                </c:pt>
                <c:pt idx="3">
                  <c:v>3.4132281553398057E-2</c:v>
                </c:pt>
                <c:pt idx="4">
                  <c:v>3.3426594021499043E-2</c:v>
                </c:pt>
              </c:numCache>
            </c:numRef>
          </c:val>
          <c:extLst>
            <c:ext xmlns:c16="http://schemas.microsoft.com/office/drawing/2014/chart" uri="{C3380CC4-5D6E-409C-BE32-E72D297353CC}">
              <c16:uniqueId val="{00000002-57F5-424E-AD55-65DF19F5CCBF}"/>
            </c:ext>
          </c:extLst>
        </c:ser>
        <c:dLbls>
          <c:showLegendKey val="0"/>
          <c:showVal val="0"/>
          <c:showCatName val="0"/>
          <c:showSerName val="0"/>
          <c:showPercent val="0"/>
          <c:showBubbleSize val="0"/>
        </c:dLbls>
        <c:gapWidth val="100"/>
        <c:axId val="277574400"/>
        <c:axId val="277575936"/>
      </c:barChart>
      <c:catAx>
        <c:axId val="277574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575936"/>
        <c:crosses val="autoZero"/>
        <c:auto val="1"/>
        <c:lblAlgn val="ctr"/>
        <c:lblOffset val="100"/>
        <c:noMultiLvlLbl val="0"/>
      </c:catAx>
      <c:valAx>
        <c:axId val="277575936"/>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57440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5062021356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for 2 Years or more (CP Plans ceasing during</a:t>
            </a:r>
            <a:r>
              <a:rPr lang="en-GB" baseline="0"/>
              <a:t> period</a:t>
            </a:r>
            <a:r>
              <a:rPr lang="en-GB"/>
              <a:t>)</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372-47F5-B3B4-026F4FA27495}"/>
              </c:ext>
            </c:extLst>
          </c:dPt>
          <c:cat>
            <c:strRef>
              <c:f>'Child Protection Plans'!$Z$2:$AD$3</c:f>
              <c:strCache>
                <c:ptCount val="5"/>
                <c:pt idx="0">
                  <c:v>2014-15</c:v>
                </c:pt>
                <c:pt idx="1">
                  <c:v>2015-16</c:v>
                </c:pt>
                <c:pt idx="2">
                  <c:v>2016-17</c:v>
                </c:pt>
                <c:pt idx="3">
                  <c:v>2017-18</c:v>
                </c:pt>
                <c:pt idx="4">
                  <c:v>2018-19</c:v>
                </c:pt>
              </c:strCache>
            </c:strRef>
          </c:cat>
          <c:val>
            <c:numRef>
              <c:f>'Child Protection Plans'!$BC$41:$BG$41</c:f>
              <c:numCache>
                <c:formatCode>0.0%</c:formatCode>
                <c:ptCount val="5"/>
                <c:pt idx="0">
                  <c:v>5.3846153846153849E-2</c:v>
                </c:pt>
                <c:pt idx="1">
                  <c:v>0.12162162162162163</c:v>
                </c:pt>
                <c:pt idx="2">
                  <c:v>8.9171974522292988E-2</c:v>
                </c:pt>
                <c:pt idx="3">
                  <c:v>0</c:v>
                </c:pt>
                <c:pt idx="4">
                  <c:v>#N/A</c:v>
                </c:pt>
              </c:numCache>
            </c:numRef>
          </c:val>
          <c:smooth val="0"/>
          <c:extLst>
            <c:ext xmlns:c16="http://schemas.microsoft.com/office/drawing/2014/chart" uri="{C3380CC4-5D6E-409C-BE32-E72D297353CC}">
              <c16:uniqueId val="{00000001-C372-47F5-B3B4-026F4FA27495}"/>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Plans'!$BC$42:$BG$42</c:f>
              <c:numCache>
                <c:formatCode>0.0%</c:formatCode>
                <c:ptCount val="5"/>
                <c:pt idx="0">
                  <c:v>2.865329512893983E-2</c:v>
                </c:pt>
                <c:pt idx="1">
                  <c:v>7.6704545454545456E-2</c:v>
                </c:pt>
                <c:pt idx="2">
                  <c:v>3.2407407407407406E-2</c:v>
                </c:pt>
                <c:pt idx="3">
                  <c:v>7.575757575757576E-2</c:v>
                </c:pt>
                <c:pt idx="4">
                  <c:v>5.1980198019801978E-2</c:v>
                </c:pt>
              </c:numCache>
            </c:numRef>
          </c:val>
          <c:smooth val="0"/>
          <c:extLst>
            <c:ext xmlns:c16="http://schemas.microsoft.com/office/drawing/2014/chart" uri="{C3380CC4-5D6E-409C-BE32-E72D297353CC}">
              <c16:uniqueId val="{00000002-C372-47F5-B3B4-026F4FA27495}"/>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Plans'!$BC$43:$BG$43</c:f>
              <c:numCache>
                <c:formatCode>0.0%</c:formatCode>
                <c:ptCount val="5"/>
                <c:pt idx="0">
                  <c:v>2.8248587570621469E-2</c:v>
                </c:pt>
                <c:pt idx="1">
                  <c:v>3.5490605427974949E-2</c:v>
                </c:pt>
                <c:pt idx="2">
                  <c:v>2.3961661341853034E-2</c:v>
                </c:pt>
                <c:pt idx="3">
                  <c:v>3.1645569620253167E-2</c:v>
                </c:pt>
                <c:pt idx="4">
                  <c:v>3.1088082901554404E-2</c:v>
                </c:pt>
              </c:numCache>
            </c:numRef>
          </c:val>
          <c:smooth val="0"/>
          <c:extLst>
            <c:ext xmlns:c16="http://schemas.microsoft.com/office/drawing/2014/chart" uri="{C3380CC4-5D6E-409C-BE32-E72D297353CC}">
              <c16:uniqueId val="{00000003-C372-47F5-B3B4-026F4FA27495}"/>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Plans'!$BC$44:$BG$44</c:f>
              <c:numCache>
                <c:formatCode>0.0%</c:formatCode>
                <c:ptCount val="5"/>
                <c:pt idx="0">
                  <c:v>0.10641399416909621</c:v>
                </c:pt>
                <c:pt idx="1">
                  <c:v>7.4626865671641784E-2</c:v>
                </c:pt>
                <c:pt idx="2">
                  <c:v>8.8709677419354843E-2</c:v>
                </c:pt>
                <c:pt idx="3">
                  <c:v>9.0740740740740747E-2</c:v>
                </c:pt>
                <c:pt idx="4">
                  <c:v>7.2580645161290328E-2</c:v>
                </c:pt>
              </c:numCache>
            </c:numRef>
          </c:val>
          <c:smooth val="0"/>
          <c:extLst>
            <c:ext xmlns:c16="http://schemas.microsoft.com/office/drawing/2014/chart" uri="{C3380CC4-5D6E-409C-BE32-E72D297353CC}">
              <c16:uniqueId val="{00000004-C372-47F5-B3B4-026F4FA27495}"/>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Plans'!$BC$45:$BG$45</c:f>
              <c:numCache>
                <c:formatCode>0.0%</c:formatCode>
                <c:ptCount val="5"/>
                <c:pt idx="0">
                  <c:v>2.7112232030264818E-2</c:v>
                </c:pt>
                <c:pt idx="1">
                  <c:v>4.1009463722397478E-2</c:v>
                </c:pt>
                <c:pt idx="2">
                  <c:v>4.8891415577032402E-2</c:v>
                </c:pt>
                <c:pt idx="3">
                  <c:v>7.1952031978680886E-2</c:v>
                </c:pt>
                <c:pt idx="4">
                  <c:v>4.3738765727980827E-2</c:v>
                </c:pt>
              </c:numCache>
            </c:numRef>
          </c:val>
          <c:smooth val="0"/>
          <c:extLst>
            <c:ext xmlns:c16="http://schemas.microsoft.com/office/drawing/2014/chart" uri="{C3380CC4-5D6E-409C-BE32-E72D297353CC}">
              <c16:uniqueId val="{00000005-C372-47F5-B3B4-026F4FA27495}"/>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Plans'!$BC$46:$BG$46</c:f>
              <c:numCache>
                <c:formatCode>0.0%</c:formatCode>
                <c:ptCount val="5"/>
                <c:pt idx="0">
                  <c:v>3.608247422680412E-2</c:v>
                </c:pt>
                <c:pt idx="1">
                  <c:v>4.5180722891566265E-2</c:v>
                </c:pt>
                <c:pt idx="2">
                  <c:v>3.6885245901639344E-2</c:v>
                </c:pt>
                <c:pt idx="3">
                  <c:v>5.7777777777777775E-2</c:v>
                </c:pt>
                <c:pt idx="4">
                  <c:v>5.2401746724890827E-2</c:v>
                </c:pt>
              </c:numCache>
            </c:numRef>
          </c:val>
          <c:smooth val="0"/>
          <c:extLst>
            <c:ext xmlns:c16="http://schemas.microsoft.com/office/drawing/2014/chart" uri="{C3380CC4-5D6E-409C-BE32-E72D297353CC}">
              <c16:uniqueId val="{00000006-C372-47F5-B3B4-026F4FA27495}"/>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Plans'!$BC$47:$BG$47</c:f>
              <c:numCache>
                <c:formatCode>0.0%</c:formatCode>
                <c:ptCount val="5"/>
                <c:pt idx="0">
                  <c:v>2.176696542893726E-2</c:v>
                </c:pt>
                <c:pt idx="1">
                  <c:v>2.911978821972204E-2</c:v>
                </c:pt>
                <c:pt idx="2">
                  <c:v>3.7800687285223365E-2</c:v>
                </c:pt>
                <c:pt idx="3">
                  <c:v>4.1309431021044424E-2</c:v>
                </c:pt>
                <c:pt idx="4">
                  <c:v>5.7124518613607192E-2</c:v>
                </c:pt>
              </c:numCache>
            </c:numRef>
          </c:val>
          <c:smooth val="0"/>
          <c:extLst>
            <c:ext xmlns:c16="http://schemas.microsoft.com/office/drawing/2014/chart" uri="{C3380CC4-5D6E-409C-BE32-E72D297353CC}">
              <c16:uniqueId val="{00000007-C372-47F5-B3B4-026F4FA27495}"/>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Plans'!$BC$48:$BG$48</c:f>
              <c:numCache>
                <c:formatCode>0.0%</c:formatCode>
                <c:ptCount val="5"/>
                <c:pt idx="0">
                  <c:v>5.2132701421800945E-2</c:v>
                </c:pt>
                <c:pt idx="1">
                  <c:v>4.4715447154471545E-2</c:v>
                </c:pt>
                <c:pt idx="2">
                  <c:v>5.9782608695652176E-2</c:v>
                </c:pt>
                <c:pt idx="3">
                  <c:v>5.089820359281437E-2</c:v>
                </c:pt>
                <c:pt idx="4">
                  <c:v>7.2052401746724892E-2</c:v>
                </c:pt>
              </c:numCache>
            </c:numRef>
          </c:val>
          <c:smooth val="0"/>
          <c:extLst>
            <c:ext xmlns:c16="http://schemas.microsoft.com/office/drawing/2014/chart" uri="{C3380CC4-5D6E-409C-BE32-E72D297353CC}">
              <c16:uniqueId val="{00000008-C372-47F5-B3B4-026F4FA27495}"/>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Plans'!$BC$49:$BG$49</c:f>
              <c:numCache>
                <c:formatCode>0.0%</c:formatCode>
                <c:ptCount val="5"/>
                <c:pt idx="0">
                  <c:v>0</c:v>
                </c:pt>
                <c:pt idx="1">
                  <c:v>#N/A</c:v>
                </c:pt>
                <c:pt idx="2">
                  <c:v>0</c:v>
                </c:pt>
                <c:pt idx="3">
                  <c:v>0</c:v>
                </c:pt>
                <c:pt idx="4">
                  <c:v>#N/A</c:v>
                </c:pt>
              </c:numCache>
            </c:numRef>
          </c:val>
          <c:smooth val="0"/>
          <c:extLst>
            <c:ext xmlns:c16="http://schemas.microsoft.com/office/drawing/2014/chart" uri="{C3380CC4-5D6E-409C-BE32-E72D297353CC}">
              <c16:uniqueId val="{00000009-C372-47F5-B3B4-026F4FA27495}"/>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Plans'!$BC$50:$BG$50</c:f>
              <c:numCache>
                <c:formatCode>0.0%</c:formatCode>
                <c:ptCount val="5"/>
                <c:pt idx="0">
                  <c:v>6.32688927943761E-2</c:v>
                </c:pt>
                <c:pt idx="1">
                  <c:v>4.9645390070921988E-2</c:v>
                </c:pt>
                <c:pt idx="2">
                  <c:v>4.4619422572178477E-2</c:v>
                </c:pt>
                <c:pt idx="3">
                  <c:v>4.0935672514619881E-2</c:v>
                </c:pt>
                <c:pt idx="4">
                  <c:v>6.7938021454112041E-2</c:v>
                </c:pt>
              </c:numCache>
            </c:numRef>
          </c:val>
          <c:smooth val="0"/>
          <c:extLst>
            <c:ext xmlns:c16="http://schemas.microsoft.com/office/drawing/2014/chart" uri="{C3380CC4-5D6E-409C-BE32-E72D297353CC}">
              <c16:uniqueId val="{0000000A-C372-47F5-B3B4-026F4FA27495}"/>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Plans'!$BC$51:$BG$51</c:f>
              <c:numCache>
                <c:formatCode>0.0%</c:formatCode>
                <c:ptCount val="5"/>
                <c:pt idx="0">
                  <c:v>8.984375E-2</c:v>
                </c:pt>
                <c:pt idx="1">
                  <c:v>#N/A</c:v>
                </c:pt>
                <c:pt idx="2">
                  <c:v>3.9473684210526314E-2</c:v>
                </c:pt>
                <c:pt idx="3">
                  <c:v>5.8091286307053944E-2</c:v>
                </c:pt>
                <c:pt idx="4">
                  <c:v>5.8139534883720929E-2</c:v>
                </c:pt>
              </c:numCache>
            </c:numRef>
          </c:val>
          <c:smooth val="0"/>
          <c:extLst>
            <c:ext xmlns:c16="http://schemas.microsoft.com/office/drawing/2014/chart" uri="{C3380CC4-5D6E-409C-BE32-E72D297353CC}">
              <c16:uniqueId val="{0000000B-C372-47F5-B3B4-026F4FA27495}"/>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Plans'!$BC$52:$BG$52</c:f>
              <c:numCache>
                <c:formatCode>0.0%</c:formatCode>
                <c:ptCount val="5"/>
                <c:pt idx="0">
                  <c:v>6.9306930693069313E-2</c:v>
                </c:pt>
                <c:pt idx="1">
                  <c:v>3.1358885017421602E-2</c:v>
                </c:pt>
                <c:pt idx="2">
                  <c:v>2.6229508196721311E-2</c:v>
                </c:pt>
                <c:pt idx="3">
                  <c:v>3.6764705882352942E-2</c:v>
                </c:pt>
                <c:pt idx="4">
                  <c:v>3.7735849056603772E-2</c:v>
                </c:pt>
              </c:numCache>
            </c:numRef>
          </c:val>
          <c:smooth val="0"/>
          <c:extLst>
            <c:ext xmlns:c16="http://schemas.microsoft.com/office/drawing/2014/chart" uri="{C3380CC4-5D6E-409C-BE32-E72D297353CC}">
              <c16:uniqueId val="{0000000C-C372-47F5-B3B4-026F4FA27495}"/>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Plans'!$BC$53:$BG$53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C372-47F5-B3B4-026F4FA27495}"/>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Plans'!$BC$54:$BG$54</c:f>
              <c:numCache>
                <c:formatCode>0.0%</c:formatCode>
                <c:ptCount val="5"/>
                <c:pt idx="0">
                  <c:v>3.3268101761252444E-2</c:v>
                </c:pt>
                <c:pt idx="1">
                  <c:v>4.7473200612557429E-2</c:v>
                </c:pt>
                <c:pt idx="2">
                  <c:v>0.02</c:v>
                </c:pt>
                <c:pt idx="3">
                  <c:v>1.1857707509881422E-2</c:v>
                </c:pt>
                <c:pt idx="4">
                  <c:v>4.1257367387033402E-2</c:v>
                </c:pt>
              </c:numCache>
            </c:numRef>
          </c:val>
          <c:smooth val="0"/>
          <c:extLst>
            <c:ext xmlns:c16="http://schemas.microsoft.com/office/drawing/2014/chart" uri="{C3380CC4-5D6E-409C-BE32-E72D297353CC}">
              <c16:uniqueId val="{0000000E-C372-47F5-B3B4-026F4FA27495}"/>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Plans'!$BC$55:$BG$55</c:f>
              <c:numCache>
                <c:formatCode>0.0%</c:formatCode>
                <c:ptCount val="5"/>
                <c:pt idx="0">
                  <c:v>0</c:v>
                </c:pt>
                <c:pt idx="1">
                  <c:v>1.0849909584086799E-2</c:v>
                </c:pt>
                <c:pt idx="2">
                  <c:v>4.2452830188679243E-2</c:v>
                </c:pt>
                <c:pt idx="3">
                  <c:v>3.0612244897959183E-2</c:v>
                </c:pt>
                <c:pt idx="4">
                  <c:v>1.7199017199017199E-2</c:v>
                </c:pt>
              </c:numCache>
            </c:numRef>
          </c:val>
          <c:smooth val="0"/>
          <c:extLst>
            <c:ext xmlns:c16="http://schemas.microsoft.com/office/drawing/2014/chart" uri="{C3380CC4-5D6E-409C-BE32-E72D297353CC}">
              <c16:uniqueId val="{0000000F-C372-47F5-B3B4-026F4FA27495}"/>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Plans'!$BC$56:$BG$56</c:f>
              <c:numCache>
                <c:formatCode>0.0%</c:formatCode>
                <c:ptCount val="5"/>
                <c:pt idx="0">
                  <c:v>6.5261044176706834E-2</c:v>
                </c:pt>
                <c:pt idx="1">
                  <c:v>9.8654708520179366E-2</c:v>
                </c:pt>
                <c:pt idx="2">
                  <c:v>5.5762081784386616E-2</c:v>
                </c:pt>
                <c:pt idx="3">
                  <c:v>6.0544904137235116E-2</c:v>
                </c:pt>
                <c:pt idx="4">
                  <c:v>4.5183290707587385E-2</c:v>
                </c:pt>
              </c:numCache>
            </c:numRef>
          </c:val>
          <c:smooth val="0"/>
          <c:extLst>
            <c:ext xmlns:c16="http://schemas.microsoft.com/office/drawing/2014/chart" uri="{C3380CC4-5D6E-409C-BE32-E72D297353CC}">
              <c16:uniqueId val="{00000010-C372-47F5-B3B4-026F4FA27495}"/>
            </c:ext>
          </c:extLst>
        </c:ser>
        <c:ser>
          <c:idx val="7"/>
          <c:order val="16"/>
          <c:tx>
            <c:strRef>
              <c:f>'Child Protection Plans'!$AL$57</c:f>
              <c:strCache>
                <c:ptCount val="1"/>
                <c:pt idx="0">
                  <c:v>Swindon</c:v>
                </c:pt>
              </c:strCache>
            </c:strRef>
          </c:tx>
          <c:spPr>
            <a:ln w="15875"/>
          </c:spPr>
          <c:marker>
            <c:symbol val="triangle"/>
            <c:size val="5"/>
            <c:spPr>
              <a:solidFill>
                <a:schemeClr val="accent2">
                  <a:lumMod val="20000"/>
                  <a:lumOff val="80000"/>
                </a:schemeClr>
              </a:solidFill>
            </c:spPr>
          </c:marker>
          <c:cat>
            <c:strRef>
              <c:f>'Child Protection Plans'!$Z$2:$AD$3</c:f>
              <c:strCache>
                <c:ptCount val="5"/>
                <c:pt idx="0">
                  <c:v>2014-15</c:v>
                </c:pt>
                <c:pt idx="1">
                  <c:v>2015-16</c:v>
                </c:pt>
                <c:pt idx="2">
                  <c:v>2016-17</c:v>
                </c:pt>
                <c:pt idx="3">
                  <c:v>2017-18</c:v>
                </c:pt>
                <c:pt idx="4">
                  <c:v>2018-19</c:v>
                </c:pt>
              </c:strCache>
            </c:strRef>
          </c:cat>
          <c:val>
            <c:numRef>
              <c:f>'Child Protection Plans'!$BC$57:$BG$57</c:f>
              <c:numCache>
                <c:formatCode>0.0%</c:formatCode>
                <c:ptCount val="5"/>
                <c:pt idx="0">
                  <c:v>#N/A</c:v>
                </c:pt>
                <c:pt idx="1">
                  <c:v>3.125E-2</c:v>
                </c:pt>
                <c:pt idx="2">
                  <c:v>3.5598705501618123E-2</c:v>
                </c:pt>
                <c:pt idx="3">
                  <c:v>1.5706806282722512E-2</c:v>
                </c:pt>
                <c:pt idx="4">
                  <c:v>4.2410714285714288E-2</c:v>
                </c:pt>
              </c:numCache>
            </c:numRef>
          </c:val>
          <c:smooth val="0"/>
          <c:extLst>
            <c:ext xmlns:c16="http://schemas.microsoft.com/office/drawing/2014/chart" uri="{C3380CC4-5D6E-409C-BE32-E72D297353CC}">
              <c16:uniqueId val="{00000011-C372-47F5-B3B4-026F4FA27495}"/>
            </c:ext>
          </c:extLst>
        </c:ser>
        <c:ser>
          <c:idx val="8"/>
          <c:order val="17"/>
          <c:tx>
            <c:strRef>
              <c:f>'Child Protection Plans'!$AL$58</c:f>
              <c:strCache>
                <c:ptCount val="1"/>
                <c:pt idx="0">
                  <c:v>Torbay</c:v>
                </c:pt>
              </c:strCache>
            </c:strRef>
          </c:tx>
          <c:spPr>
            <a:ln w="15875"/>
          </c:spPr>
          <c:marker>
            <c:symbol val="circle"/>
            <c:size val="5"/>
            <c:spPr>
              <a:solidFill>
                <a:schemeClr val="accent3">
                  <a:lumMod val="20000"/>
                  <a:lumOff val="80000"/>
                </a:schemeClr>
              </a:solidFill>
            </c:spPr>
          </c:marker>
          <c:cat>
            <c:strRef>
              <c:f>'Child Protection Plans'!$Z$2:$AD$3</c:f>
              <c:strCache>
                <c:ptCount val="5"/>
                <c:pt idx="0">
                  <c:v>2014-15</c:v>
                </c:pt>
                <c:pt idx="1">
                  <c:v>2015-16</c:v>
                </c:pt>
                <c:pt idx="2">
                  <c:v>2016-17</c:v>
                </c:pt>
                <c:pt idx="3">
                  <c:v>2017-18</c:v>
                </c:pt>
                <c:pt idx="4">
                  <c:v>2018-19</c:v>
                </c:pt>
              </c:strCache>
            </c:strRef>
          </c:cat>
          <c:val>
            <c:numRef>
              <c:f>'Child Protection Plans'!$BC$58:$BG$58</c:f>
              <c:numCache>
                <c:formatCode>0.0%</c:formatCode>
                <c:ptCount val="5"/>
                <c:pt idx="0">
                  <c:v>2.7777777777777776E-2</c:v>
                </c:pt>
                <c:pt idx="1">
                  <c:v>#N/A</c:v>
                </c:pt>
                <c:pt idx="2">
                  <c:v>#N/A</c:v>
                </c:pt>
                <c:pt idx="3">
                  <c:v>3.2967032967032968E-2</c:v>
                </c:pt>
                <c:pt idx="4">
                  <c:v>#N/A</c:v>
                </c:pt>
              </c:numCache>
            </c:numRef>
          </c:val>
          <c:smooth val="0"/>
          <c:extLst>
            <c:ext xmlns:c16="http://schemas.microsoft.com/office/drawing/2014/chart" uri="{C3380CC4-5D6E-409C-BE32-E72D297353CC}">
              <c16:uniqueId val="{00000012-C372-47F5-B3B4-026F4FA27495}"/>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Plans'!$BC$59:$BG$59</c:f>
              <c:numCache>
                <c:formatCode>0.0%</c:formatCode>
                <c:ptCount val="5"/>
                <c:pt idx="0">
                  <c:v>#N/A</c:v>
                </c:pt>
                <c:pt idx="1">
                  <c:v>#N/A</c:v>
                </c:pt>
                <c:pt idx="2">
                  <c:v>#N/A</c:v>
                </c:pt>
                <c:pt idx="3">
                  <c:v>2.2222222222222223E-2</c:v>
                </c:pt>
                <c:pt idx="4">
                  <c:v>#N/A</c:v>
                </c:pt>
              </c:numCache>
            </c:numRef>
          </c:val>
          <c:smooth val="0"/>
          <c:extLst>
            <c:ext xmlns:c16="http://schemas.microsoft.com/office/drawing/2014/chart" uri="{C3380CC4-5D6E-409C-BE32-E72D297353CC}">
              <c16:uniqueId val="{00000013-C372-47F5-B3B4-026F4FA27495}"/>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Plans'!$BC$60:$BG$60</c:f>
              <c:numCache>
                <c:formatCode>0.0%</c:formatCode>
                <c:ptCount val="5"/>
                <c:pt idx="0">
                  <c:v>2.309782608695652E-2</c:v>
                </c:pt>
                <c:pt idx="1">
                  <c:v>3.5294117647058823E-2</c:v>
                </c:pt>
                <c:pt idx="2">
                  <c:v>6.6162570888468802E-2</c:v>
                </c:pt>
                <c:pt idx="3">
                  <c:v>3.5135135135135137E-2</c:v>
                </c:pt>
                <c:pt idx="4">
                  <c:v>3.2596041909196738E-2</c:v>
                </c:pt>
              </c:numCache>
            </c:numRef>
          </c:val>
          <c:smooth val="0"/>
          <c:extLst>
            <c:ext xmlns:c16="http://schemas.microsoft.com/office/drawing/2014/chart" uri="{C3380CC4-5D6E-409C-BE32-E72D297353CC}">
              <c16:uniqueId val="{00000014-C372-47F5-B3B4-026F4FA27495}"/>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Plans'!$BC$61:$BG$61</c:f>
              <c:numCache>
                <c:formatCode>0.0%</c:formatCode>
                <c:ptCount val="5"/>
                <c:pt idx="0">
                  <c:v>#N/A</c:v>
                </c:pt>
                <c:pt idx="1">
                  <c:v>0</c:v>
                </c:pt>
                <c:pt idx="2">
                  <c:v>#N/A</c:v>
                </c:pt>
                <c:pt idx="3">
                  <c:v>#N/A</c:v>
                </c:pt>
                <c:pt idx="4">
                  <c:v>#N/A</c:v>
                </c:pt>
              </c:numCache>
            </c:numRef>
          </c:val>
          <c:smooth val="0"/>
          <c:extLst>
            <c:ext xmlns:c16="http://schemas.microsoft.com/office/drawing/2014/chart" uri="{C3380CC4-5D6E-409C-BE32-E72D297353CC}">
              <c16:uniqueId val="{00000015-C372-47F5-B3B4-026F4FA27495}"/>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Plans'!$BC$62:$BG$62</c:f>
              <c:numCache>
                <c:formatCode>0.0%</c:formatCode>
                <c:ptCount val="5"/>
                <c:pt idx="0">
                  <c:v>#N/A</c:v>
                </c:pt>
                <c:pt idx="1">
                  <c:v>#N/A</c:v>
                </c:pt>
                <c:pt idx="2">
                  <c:v>0</c:v>
                </c:pt>
                <c:pt idx="3">
                  <c:v>0</c:v>
                </c:pt>
                <c:pt idx="4">
                  <c:v>4.1025641025641026E-2</c:v>
                </c:pt>
              </c:numCache>
            </c:numRef>
          </c:val>
          <c:smooth val="0"/>
          <c:extLst>
            <c:ext xmlns:c16="http://schemas.microsoft.com/office/drawing/2014/chart" uri="{C3380CC4-5D6E-409C-BE32-E72D297353CC}">
              <c16:uniqueId val="{00000016-C372-47F5-B3B4-026F4FA27495}"/>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Plans'!$BC$63:$BG$63</c:f>
              <c:numCache>
                <c:formatCode>0.0%</c:formatCode>
                <c:ptCount val="5"/>
                <c:pt idx="0">
                  <c:v>4.2889390519187359E-2</c:v>
                </c:pt>
                <c:pt idx="1">
                  <c:v>4.5643153526970952E-2</c:v>
                </c:pt>
                <c:pt idx="2">
                  <c:v>4.4806517311608958E-2</c:v>
                </c:pt>
                <c:pt idx="3">
                  <c:v>4.8574445617740235E-2</c:v>
                </c:pt>
                <c:pt idx="4">
                  <c:v>4.6425255338904362E-2</c:v>
                </c:pt>
              </c:numCache>
            </c:numRef>
          </c:val>
          <c:smooth val="0"/>
          <c:extLst>
            <c:ext xmlns:c16="http://schemas.microsoft.com/office/drawing/2014/chart" uri="{C3380CC4-5D6E-409C-BE32-E72D297353CC}">
              <c16:uniqueId val="{00000017-C372-47F5-B3B4-026F4FA27495}"/>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2014-15</c:v>
                </c:pt>
                <c:pt idx="1">
                  <c:v>2015-16</c:v>
                </c:pt>
                <c:pt idx="2">
                  <c:v>2016-17</c:v>
                </c:pt>
                <c:pt idx="3">
                  <c:v>2017-18</c:v>
                </c:pt>
                <c:pt idx="4">
                  <c:v>2018-19</c:v>
                </c:pt>
              </c:strCache>
            </c:strRef>
          </c:cat>
          <c:val>
            <c:numRef>
              <c:f>'Child Protection Plans'!$BC$64:$BG$64</c:f>
              <c:numCache>
                <c:formatCode>0.0%</c:formatCode>
                <c:ptCount val="5"/>
                <c:pt idx="0">
                  <c:v>3.7251655629139076E-2</c:v>
                </c:pt>
                <c:pt idx="1">
                  <c:v>3.8406374501992031E-2</c:v>
                </c:pt>
                <c:pt idx="2">
                  <c:v>3.4087435035157446E-2</c:v>
                </c:pt>
                <c:pt idx="3">
                  <c:v>3.4132281553398057E-2</c:v>
                </c:pt>
                <c:pt idx="4">
                  <c:v>3.3426594021499043E-2</c:v>
                </c:pt>
              </c:numCache>
            </c:numRef>
          </c:val>
          <c:smooth val="0"/>
          <c:extLst>
            <c:ext xmlns:c16="http://schemas.microsoft.com/office/drawing/2014/chart" uri="{C3380CC4-5D6E-409C-BE32-E72D297353CC}">
              <c16:uniqueId val="{00000018-C372-47F5-B3B4-026F4FA27495}"/>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2014-15</c:v>
                </c:pt>
                <c:pt idx="1">
                  <c:v>2015-16</c:v>
                </c:pt>
                <c:pt idx="2">
                  <c:v>2016-17</c:v>
                </c:pt>
                <c:pt idx="3">
                  <c:v>2017-18</c:v>
                </c:pt>
                <c:pt idx="4">
                  <c:v>2018-19</c:v>
                </c:pt>
              </c:strCache>
            </c:strRef>
          </c:cat>
          <c:val>
            <c:numRef>
              <c:f>'Child Protection Plans'!$BC$65:$BG$65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372-47F5-B3B4-026F4FA27495}"/>
            </c:ext>
          </c:extLst>
        </c:ser>
        <c:dLbls>
          <c:showLegendKey val="0"/>
          <c:showVal val="0"/>
          <c:showCatName val="0"/>
          <c:showSerName val="0"/>
          <c:showPercent val="0"/>
          <c:showBubbleSize val="0"/>
        </c:dLbls>
        <c:marker val="1"/>
        <c:smooth val="0"/>
        <c:axId val="277652608"/>
        <c:axId val="277654528"/>
      </c:lineChart>
      <c:catAx>
        <c:axId val="277652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654528"/>
        <c:crosses val="autoZero"/>
        <c:auto val="1"/>
        <c:lblAlgn val="ctr"/>
        <c:lblOffset val="100"/>
        <c:tickLblSkip val="1"/>
        <c:tickMarkSkip val="1"/>
        <c:noMultiLvlLbl val="0"/>
      </c:catAx>
      <c:valAx>
        <c:axId val="2776545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652608"/>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9020391647190062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CPP Reviews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Plans'!$BS$65:$BW$65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7086-4D23-9E0F-5D903261B1FF}"/>
            </c:ext>
          </c:extLst>
        </c:ser>
        <c:ser>
          <c:idx val="4"/>
          <c:order val="1"/>
          <c:tx>
            <c:strRef>
              <c:f>'Child Protection Plans'!$B$278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Plans'!$D$206:$H$206</c:f>
              <c:numCache>
                <c:formatCode>0%</c:formatCode>
                <c:ptCount val="5"/>
                <c:pt idx="0">
                  <c:v>0.92727272727272725</c:v>
                </c:pt>
                <c:pt idx="1">
                  <c:v>0.93772241992882566</c:v>
                </c:pt>
                <c:pt idx="2">
                  <c:v>0.88193202146690519</c:v>
                </c:pt>
                <c:pt idx="3">
                  <c:v>0.9007633587786259</c:v>
                </c:pt>
                <c:pt idx="4">
                  <c:v>0.9078498293515358</c:v>
                </c:pt>
              </c:numCache>
            </c:numRef>
          </c:val>
          <c:extLst>
            <c:ext xmlns:c16="http://schemas.microsoft.com/office/drawing/2014/chart" uri="{C3380CC4-5D6E-409C-BE32-E72D297353CC}">
              <c16:uniqueId val="{00000001-7086-4D23-9E0F-5D903261B1FF}"/>
            </c:ext>
          </c:extLst>
        </c:ser>
        <c:ser>
          <c:idx val="0"/>
          <c:order val="2"/>
          <c:tx>
            <c:strRef>
              <c:f>'Child Protection Plans'!$B$279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Plans'!$D$207:$H$207</c:f>
              <c:numCache>
                <c:formatCode>0%</c:formatCode>
                <c:ptCount val="5"/>
                <c:pt idx="0">
                  <c:v>0.94219653179190754</c:v>
                </c:pt>
                <c:pt idx="1">
                  <c:v>0.93724696356275305</c:v>
                </c:pt>
                <c:pt idx="2">
                  <c:v>0.92191075514874143</c:v>
                </c:pt>
                <c:pt idx="3">
                  <c:v>0.90516782099094295</c:v>
                </c:pt>
                <c:pt idx="4">
                  <c:v>0.91762721394433511</c:v>
                </c:pt>
              </c:numCache>
            </c:numRef>
          </c:val>
          <c:extLst>
            <c:ext xmlns:c16="http://schemas.microsoft.com/office/drawing/2014/chart" uri="{C3380CC4-5D6E-409C-BE32-E72D297353CC}">
              <c16:uniqueId val="{00000002-7086-4D23-9E0F-5D903261B1FF}"/>
            </c:ext>
          </c:extLst>
        </c:ser>
        <c:dLbls>
          <c:showLegendKey val="0"/>
          <c:showVal val="0"/>
          <c:showCatName val="0"/>
          <c:showSerName val="0"/>
          <c:showPercent val="0"/>
          <c:showBubbleSize val="0"/>
        </c:dLbls>
        <c:gapWidth val="100"/>
        <c:axId val="277697280"/>
        <c:axId val="277698816"/>
      </c:barChart>
      <c:catAx>
        <c:axId val="277697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698816"/>
        <c:crosses val="autoZero"/>
        <c:auto val="1"/>
        <c:lblAlgn val="ctr"/>
        <c:lblOffset val="100"/>
        <c:noMultiLvlLbl val="0"/>
      </c:catAx>
      <c:valAx>
        <c:axId val="277698816"/>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69728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with Reviews in Timescales</a:t>
            </a:r>
          </a:p>
        </c:rich>
      </c:tx>
      <c:layout>
        <c:manualLayout>
          <c:xMode val="edge"/>
          <c:yMode val="edge"/>
          <c:x val="0.120504059799542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A619-4DC9-80DC-A6871936E4DD}"/>
              </c:ext>
            </c:extLst>
          </c:dPt>
          <c:cat>
            <c:strRef>
              <c:f>'Child Protection Plans'!$Z$2:$AD$3</c:f>
              <c:strCache>
                <c:ptCount val="5"/>
                <c:pt idx="0">
                  <c:v>2014-15</c:v>
                </c:pt>
                <c:pt idx="1">
                  <c:v>2015-16</c:v>
                </c:pt>
                <c:pt idx="2">
                  <c:v>2016-17</c:v>
                </c:pt>
                <c:pt idx="3">
                  <c:v>2017-18</c:v>
                </c:pt>
                <c:pt idx="4">
                  <c:v>2018-19</c:v>
                </c:pt>
              </c:strCache>
            </c:strRef>
          </c:cat>
          <c:val>
            <c:numRef>
              <c:f>'Child Protection Plans'!$BS$41:$BW$41</c:f>
              <c:numCache>
                <c:formatCode>0.0%</c:formatCode>
                <c:ptCount val="5"/>
                <c:pt idx="0">
                  <c:v>1</c:v>
                </c:pt>
                <c:pt idx="1">
                  <c:v>0.98484848484848486</c:v>
                </c:pt>
                <c:pt idx="2">
                  <c:v>0.97727272727272729</c:v>
                </c:pt>
                <c:pt idx="3">
                  <c:v>0.98461538461538467</c:v>
                </c:pt>
                <c:pt idx="4">
                  <c:v>0.97101449275362317</c:v>
                </c:pt>
              </c:numCache>
            </c:numRef>
          </c:val>
          <c:smooth val="0"/>
          <c:extLst>
            <c:ext xmlns:c16="http://schemas.microsoft.com/office/drawing/2014/chart" uri="{C3380CC4-5D6E-409C-BE32-E72D297353CC}">
              <c16:uniqueId val="{00000001-A619-4DC9-80DC-A6871936E4DD}"/>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Plans'!$BS$42:$BW$42</c:f>
              <c:numCache>
                <c:formatCode>0.0%</c:formatCode>
                <c:ptCount val="5"/>
                <c:pt idx="0">
                  <c:v>1</c:v>
                </c:pt>
                <c:pt idx="1">
                  <c:v>0.98006644518272423</c:v>
                </c:pt>
                <c:pt idx="2">
                  <c:v>0.72834645669291342</c:v>
                </c:pt>
                <c:pt idx="3">
                  <c:v>0.99293286219081267</c:v>
                </c:pt>
                <c:pt idx="4">
                  <c:v>0.96356275303643724</c:v>
                </c:pt>
              </c:numCache>
            </c:numRef>
          </c:val>
          <c:smooth val="0"/>
          <c:extLst>
            <c:ext xmlns:c16="http://schemas.microsoft.com/office/drawing/2014/chart" uri="{C3380CC4-5D6E-409C-BE32-E72D297353CC}">
              <c16:uniqueId val="{00000002-A619-4DC9-80DC-A6871936E4DD}"/>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Plans'!$BS$43:$BW$43</c:f>
              <c:numCache>
                <c:formatCode>0.0%</c:formatCode>
                <c:ptCount val="5"/>
                <c:pt idx="0">
                  <c:v>0.78801843317972353</c:v>
                </c:pt>
                <c:pt idx="1">
                  <c:v>0.9285714285714286</c:v>
                </c:pt>
                <c:pt idx="2">
                  <c:v>0.84571428571428575</c:v>
                </c:pt>
                <c:pt idx="3">
                  <c:v>0.87885010266940455</c:v>
                </c:pt>
                <c:pt idx="4">
                  <c:v>0.8542199488491049</c:v>
                </c:pt>
              </c:numCache>
            </c:numRef>
          </c:val>
          <c:smooth val="0"/>
          <c:extLst>
            <c:ext xmlns:c16="http://schemas.microsoft.com/office/drawing/2014/chart" uri="{C3380CC4-5D6E-409C-BE32-E72D297353CC}">
              <c16:uniqueId val="{00000003-A619-4DC9-80DC-A6871936E4DD}"/>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Plans'!$BS$44:$BW$44</c:f>
              <c:numCache>
                <c:formatCode>0.0%</c:formatCode>
                <c:ptCount val="5"/>
                <c:pt idx="0">
                  <c:v>0.99212598425196852</c:v>
                </c:pt>
                <c:pt idx="1">
                  <c:v>0.97667638483965014</c:v>
                </c:pt>
                <c:pt idx="2">
                  <c:v>0.92121212121212126</c:v>
                </c:pt>
                <c:pt idx="3">
                  <c:v>0.90600522193211486</c:v>
                </c:pt>
                <c:pt idx="4">
                  <c:v>0.95100222717149219</c:v>
                </c:pt>
              </c:numCache>
            </c:numRef>
          </c:val>
          <c:smooth val="0"/>
          <c:extLst>
            <c:ext xmlns:c16="http://schemas.microsoft.com/office/drawing/2014/chart" uri="{C3380CC4-5D6E-409C-BE32-E72D297353CC}">
              <c16:uniqueId val="{00000004-A619-4DC9-80DC-A6871936E4DD}"/>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Plans'!$BS$45:$BW$45</c:f>
              <c:numCache>
                <c:formatCode>0.0%</c:formatCode>
                <c:ptCount val="5"/>
                <c:pt idx="0">
                  <c:v>0.8628691983122363</c:v>
                </c:pt>
                <c:pt idx="1">
                  <c:v>0.88361683079677711</c:v>
                </c:pt>
                <c:pt idx="2">
                  <c:v>0.87581699346405228</c:v>
                </c:pt>
                <c:pt idx="3">
                  <c:v>0.80021030494216616</c:v>
                </c:pt>
                <c:pt idx="4">
                  <c:v>0.83475091130012147</c:v>
                </c:pt>
              </c:numCache>
            </c:numRef>
          </c:val>
          <c:smooth val="0"/>
          <c:extLst>
            <c:ext xmlns:c16="http://schemas.microsoft.com/office/drawing/2014/chart" uri="{C3380CC4-5D6E-409C-BE32-E72D297353CC}">
              <c16:uniqueId val="{00000005-A619-4DC9-80DC-A6871936E4DD}"/>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Plans'!$BS$46:$BW$46</c:f>
              <c:numCache>
                <c:formatCode>0.0%</c:formatCode>
                <c:ptCount val="5"/>
                <c:pt idx="0">
                  <c:v>0.88775510204081631</c:v>
                </c:pt>
                <c:pt idx="1">
                  <c:v>0.97241379310344822</c:v>
                </c:pt>
                <c:pt idx="2">
                  <c:v>0.875</c:v>
                </c:pt>
                <c:pt idx="3">
                  <c:v>0.95394736842105265</c:v>
                </c:pt>
                <c:pt idx="4">
                  <c:v>0.99199999999999999</c:v>
                </c:pt>
              </c:numCache>
            </c:numRef>
          </c:val>
          <c:smooth val="0"/>
          <c:extLst>
            <c:ext xmlns:c16="http://schemas.microsoft.com/office/drawing/2014/chart" uri="{C3380CC4-5D6E-409C-BE32-E72D297353CC}">
              <c16:uniqueId val="{00000006-A619-4DC9-80DC-A6871936E4DD}"/>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Plans'!$BS$47:$BW$47</c:f>
              <c:numCache>
                <c:formatCode>0.0%</c:formatCode>
                <c:ptCount val="5"/>
                <c:pt idx="0">
                  <c:v>0.99395405078597343</c:v>
                </c:pt>
                <c:pt idx="1">
                  <c:v>1</c:v>
                </c:pt>
                <c:pt idx="2">
                  <c:v>1</c:v>
                </c:pt>
                <c:pt idx="3">
                  <c:v>0.99653078924544669</c:v>
                </c:pt>
                <c:pt idx="4">
                  <c:v>0.99891540130151846</c:v>
                </c:pt>
              </c:numCache>
            </c:numRef>
          </c:val>
          <c:smooth val="0"/>
          <c:extLst>
            <c:ext xmlns:c16="http://schemas.microsoft.com/office/drawing/2014/chart" uri="{C3380CC4-5D6E-409C-BE32-E72D297353CC}">
              <c16:uniqueId val="{00000007-A619-4DC9-80DC-A6871936E4DD}"/>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Plans'!$BS$48:$BW$48</c:f>
              <c:numCache>
                <c:formatCode>0.0%</c:formatCode>
                <c:ptCount val="5"/>
                <c:pt idx="0">
                  <c:v>0.96296296296296291</c:v>
                </c:pt>
                <c:pt idx="1">
                  <c:v>0.98987341772151893</c:v>
                </c:pt>
                <c:pt idx="2">
                  <c:v>0.97844827586206895</c:v>
                </c:pt>
                <c:pt idx="3">
                  <c:v>0.9507575757575758</c:v>
                </c:pt>
                <c:pt idx="4">
                  <c:v>0.99170124481327804</c:v>
                </c:pt>
              </c:numCache>
            </c:numRef>
          </c:val>
          <c:smooth val="0"/>
          <c:extLst>
            <c:ext xmlns:c16="http://schemas.microsoft.com/office/drawing/2014/chart" uri="{C3380CC4-5D6E-409C-BE32-E72D297353CC}">
              <c16:uniqueId val="{00000008-A619-4DC9-80DC-A6871936E4DD}"/>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Plans'!$BS$49:$BW$49</c:f>
              <c:numCache>
                <c:formatCode>0.0%</c:formatCode>
                <c:ptCount val="5"/>
                <c:pt idx="0">
                  <c:v>1</c:v>
                </c:pt>
                <c:pt idx="1">
                  <c:v>0.95652173913043481</c:v>
                </c:pt>
                <c:pt idx="2">
                  <c:v>1</c:v>
                </c:pt>
                <c:pt idx="3">
                  <c:v>0.98529411764705888</c:v>
                </c:pt>
                <c:pt idx="4">
                  <c:v>0.96511627906976749</c:v>
                </c:pt>
              </c:numCache>
            </c:numRef>
          </c:val>
          <c:smooth val="0"/>
          <c:extLst>
            <c:ext xmlns:c16="http://schemas.microsoft.com/office/drawing/2014/chart" uri="{C3380CC4-5D6E-409C-BE32-E72D297353CC}">
              <c16:uniqueId val="{00000009-A619-4DC9-80DC-A6871936E4DD}"/>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Plans'!$BS$50:$BW$50</c:f>
              <c:numCache>
                <c:formatCode>0.0%</c:formatCode>
                <c:ptCount val="5"/>
                <c:pt idx="0">
                  <c:v>0.95454545454545459</c:v>
                </c:pt>
                <c:pt idx="1">
                  <c:v>0.95674300254452926</c:v>
                </c:pt>
                <c:pt idx="2">
                  <c:v>0.97136038186157514</c:v>
                </c:pt>
                <c:pt idx="3">
                  <c:v>0.93724696356275305</c:v>
                </c:pt>
                <c:pt idx="4">
                  <c:v>0.92009685230024219</c:v>
                </c:pt>
              </c:numCache>
            </c:numRef>
          </c:val>
          <c:smooth val="0"/>
          <c:extLst>
            <c:ext xmlns:c16="http://schemas.microsoft.com/office/drawing/2014/chart" uri="{C3380CC4-5D6E-409C-BE32-E72D297353CC}">
              <c16:uniqueId val="{0000000A-A619-4DC9-80DC-A6871936E4DD}"/>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Plans'!$BS$51:$BW$51</c:f>
              <c:numCache>
                <c:formatCode>0.0%</c:formatCode>
                <c:ptCount val="5"/>
                <c:pt idx="0">
                  <c:v>0.99397590361445787</c:v>
                </c:pt>
                <c:pt idx="1">
                  <c:v>0.93577981651376152</c:v>
                </c:pt>
                <c:pt idx="2">
                  <c:v>0.99425287356321834</c:v>
                </c:pt>
                <c:pt idx="3">
                  <c:v>1</c:v>
                </c:pt>
                <c:pt idx="4">
                  <c:v>1</c:v>
                </c:pt>
              </c:numCache>
            </c:numRef>
          </c:val>
          <c:smooth val="0"/>
          <c:extLst>
            <c:ext xmlns:c16="http://schemas.microsoft.com/office/drawing/2014/chart" uri="{C3380CC4-5D6E-409C-BE32-E72D297353CC}">
              <c16:uniqueId val="{0000000B-A619-4DC9-80DC-A6871936E4DD}"/>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Plans'!$BS$52:$BW$52</c:f>
              <c:numCache>
                <c:formatCode>0.0%</c:formatCode>
                <c:ptCount val="5"/>
                <c:pt idx="0">
                  <c:v>0.9850746268656716</c:v>
                </c:pt>
                <c:pt idx="1">
                  <c:v>0.78523489932885904</c:v>
                </c:pt>
                <c:pt idx="2">
                  <c:v>3.3898305084745763E-2</c:v>
                </c:pt>
                <c:pt idx="3">
                  <c:v>0.7142857142857143</c:v>
                </c:pt>
                <c:pt idx="4">
                  <c:v>0.77714285714285714</c:v>
                </c:pt>
              </c:numCache>
            </c:numRef>
          </c:val>
          <c:smooth val="0"/>
          <c:extLst>
            <c:ext xmlns:c16="http://schemas.microsoft.com/office/drawing/2014/chart" uri="{C3380CC4-5D6E-409C-BE32-E72D297353CC}">
              <c16:uniqueId val="{0000000C-A619-4DC9-80DC-A6871936E4DD}"/>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Plans'!$BS$53:$BW$53</c:f>
              <c:numCache>
                <c:formatCode>0.0%</c:formatCode>
                <c:ptCount val="5"/>
                <c:pt idx="0">
                  <c:v>0.81333333333333335</c:v>
                </c:pt>
                <c:pt idx="1">
                  <c:v>0.96062992125984248</c:v>
                </c:pt>
                <c:pt idx="2">
                  <c:v>0.9642857142857143</c:v>
                </c:pt>
                <c:pt idx="3">
                  <c:v>0.39175257731958762</c:v>
                </c:pt>
                <c:pt idx="4">
                  <c:v>0.900709219858156</c:v>
                </c:pt>
              </c:numCache>
            </c:numRef>
          </c:val>
          <c:smooth val="0"/>
          <c:extLst>
            <c:ext xmlns:c16="http://schemas.microsoft.com/office/drawing/2014/chart" uri="{C3380CC4-5D6E-409C-BE32-E72D297353CC}">
              <c16:uniqueId val="{0000000D-A619-4DC9-80DC-A6871936E4DD}"/>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Plans'!$BS$54:$BW$54</c:f>
              <c:numCache>
                <c:formatCode>0.0%</c:formatCode>
                <c:ptCount val="5"/>
                <c:pt idx="0">
                  <c:v>1</c:v>
                </c:pt>
                <c:pt idx="1">
                  <c:v>0.9732620320855615</c:v>
                </c:pt>
                <c:pt idx="2">
                  <c:v>0.95528455284552849</c:v>
                </c:pt>
                <c:pt idx="3">
                  <c:v>0.96065573770491808</c:v>
                </c:pt>
                <c:pt idx="4">
                  <c:v>0.90073529411764708</c:v>
                </c:pt>
              </c:numCache>
            </c:numRef>
          </c:val>
          <c:smooth val="0"/>
          <c:extLst>
            <c:ext xmlns:c16="http://schemas.microsoft.com/office/drawing/2014/chart" uri="{C3380CC4-5D6E-409C-BE32-E72D297353CC}">
              <c16:uniqueId val="{0000000E-A619-4DC9-80DC-A6871936E4DD}"/>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Plans'!$BS$55:$BW$55</c:f>
              <c:numCache>
                <c:formatCode>0.0%</c:formatCode>
                <c:ptCount val="5"/>
                <c:pt idx="0">
                  <c:v>0.73300970873786409</c:v>
                </c:pt>
                <c:pt idx="1">
                  <c:v>0.72</c:v>
                </c:pt>
                <c:pt idx="2">
                  <c:v>0.75</c:v>
                </c:pt>
                <c:pt idx="3">
                  <c:v>0.72033898305084743</c:v>
                </c:pt>
                <c:pt idx="4">
                  <c:v>0.61809045226130654</c:v>
                </c:pt>
              </c:numCache>
            </c:numRef>
          </c:val>
          <c:smooth val="0"/>
          <c:extLst>
            <c:ext xmlns:c16="http://schemas.microsoft.com/office/drawing/2014/chart" uri="{C3380CC4-5D6E-409C-BE32-E72D297353CC}">
              <c16:uniqueId val="{0000000F-A619-4DC9-80DC-A6871936E4DD}"/>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Plans'!$BS$56:$BW$56</c:f>
              <c:numCache>
                <c:formatCode>0.0%</c:formatCode>
                <c:ptCount val="5"/>
                <c:pt idx="0">
                  <c:v>0.851123595505618</c:v>
                </c:pt>
                <c:pt idx="1">
                  <c:v>0.97249190938511332</c:v>
                </c:pt>
                <c:pt idx="2">
                  <c:v>0.97734627831715215</c:v>
                </c:pt>
                <c:pt idx="3">
                  <c:v>0.95</c:v>
                </c:pt>
                <c:pt idx="4">
                  <c:v>0.88761174968071521</c:v>
                </c:pt>
              </c:numCache>
            </c:numRef>
          </c:val>
          <c:smooth val="0"/>
          <c:extLst>
            <c:ext xmlns:c16="http://schemas.microsoft.com/office/drawing/2014/chart" uri="{C3380CC4-5D6E-409C-BE32-E72D297353CC}">
              <c16:uniqueId val="{00000010-A619-4DC9-80DC-A6871936E4DD}"/>
            </c:ext>
          </c:extLst>
        </c:ser>
        <c:ser>
          <c:idx val="7"/>
          <c:order val="16"/>
          <c:tx>
            <c:strRef>
              <c:f>'Child Protection Plans'!$AL$57</c:f>
              <c:strCache>
                <c:ptCount val="1"/>
                <c:pt idx="0">
                  <c:v>Swindon</c:v>
                </c:pt>
              </c:strCache>
            </c:strRef>
          </c:tx>
          <c:spPr>
            <a:ln w="15875"/>
          </c:spPr>
          <c:marker>
            <c:symbol val="triangle"/>
            <c:size val="5"/>
            <c:spPr>
              <a:solidFill>
                <a:schemeClr val="accent2">
                  <a:lumMod val="20000"/>
                  <a:lumOff val="80000"/>
                </a:schemeClr>
              </a:solidFill>
            </c:spPr>
          </c:marker>
          <c:cat>
            <c:strRef>
              <c:f>'Child Protection Plans'!$Z$2:$AD$3</c:f>
              <c:strCache>
                <c:ptCount val="5"/>
                <c:pt idx="0">
                  <c:v>2014-15</c:v>
                </c:pt>
                <c:pt idx="1">
                  <c:v>2015-16</c:v>
                </c:pt>
                <c:pt idx="2">
                  <c:v>2016-17</c:v>
                </c:pt>
                <c:pt idx="3">
                  <c:v>2017-18</c:v>
                </c:pt>
                <c:pt idx="4">
                  <c:v>2018-19</c:v>
                </c:pt>
              </c:strCache>
            </c:strRef>
          </c:cat>
          <c:val>
            <c:numRef>
              <c:f>'Child Protection Plans'!$BS$57:$BW$57</c:f>
              <c:numCache>
                <c:formatCode>0.0%</c:formatCode>
                <c:ptCount val="5"/>
                <c:pt idx="0">
                  <c:v>0.93377483443708609</c:v>
                </c:pt>
                <c:pt idx="1">
                  <c:v>0.94374999999999998</c:v>
                </c:pt>
                <c:pt idx="2">
                  <c:v>0.91719745222929938</c:v>
                </c:pt>
                <c:pt idx="3">
                  <c:v>0.98473282442748089</c:v>
                </c:pt>
                <c:pt idx="4">
                  <c:v>0.93207547169811322</c:v>
                </c:pt>
              </c:numCache>
            </c:numRef>
          </c:val>
          <c:smooth val="0"/>
          <c:extLst>
            <c:ext xmlns:c16="http://schemas.microsoft.com/office/drawing/2014/chart" uri="{C3380CC4-5D6E-409C-BE32-E72D297353CC}">
              <c16:uniqueId val="{00000011-A619-4DC9-80DC-A6871936E4DD}"/>
            </c:ext>
          </c:extLst>
        </c:ser>
        <c:ser>
          <c:idx val="8"/>
          <c:order val="17"/>
          <c:tx>
            <c:strRef>
              <c:f>'Child Protection Plans'!$AL$58</c:f>
              <c:strCache>
                <c:ptCount val="1"/>
                <c:pt idx="0">
                  <c:v>Torbay</c:v>
                </c:pt>
              </c:strCache>
            </c:strRef>
          </c:tx>
          <c:spPr>
            <a:ln w="15875"/>
          </c:spPr>
          <c:marker>
            <c:symbol val="circle"/>
            <c:size val="5"/>
            <c:spPr>
              <a:solidFill>
                <a:schemeClr val="accent3">
                  <a:lumMod val="20000"/>
                  <a:lumOff val="80000"/>
                </a:schemeClr>
              </a:solidFill>
            </c:spPr>
          </c:marker>
          <c:cat>
            <c:strRef>
              <c:f>'Child Protection Plans'!$Z$2:$AD$3</c:f>
              <c:strCache>
                <c:ptCount val="5"/>
                <c:pt idx="0">
                  <c:v>2014-15</c:v>
                </c:pt>
                <c:pt idx="1">
                  <c:v>2015-16</c:v>
                </c:pt>
                <c:pt idx="2">
                  <c:v>2016-17</c:v>
                </c:pt>
                <c:pt idx="3">
                  <c:v>2017-18</c:v>
                </c:pt>
                <c:pt idx="4">
                  <c:v>2018-19</c:v>
                </c:pt>
              </c:strCache>
            </c:strRef>
          </c:cat>
          <c:val>
            <c:numRef>
              <c:f>'Child Protection Plans'!$BS$58:$BW$58</c:f>
              <c:numCache>
                <c:formatCode>0.0%</c:formatCode>
                <c:ptCount val="5"/>
                <c:pt idx="0">
                  <c:v>0.96842105263157896</c:v>
                </c:pt>
                <c:pt idx="1">
                  <c:v>0.90566037735849059</c:v>
                </c:pt>
                <c:pt idx="2">
                  <c:v>0.80916030534351147</c:v>
                </c:pt>
                <c:pt idx="3">
                  <c:v>0.74117647058823533</c:v>
                </c:pt>
                <c:pt idx="4">
                  <c:v>0.83620689655172409</c:v>
                </c:pt>
              </c:numCache>
            </c:numRef>
          </c:val>
          <c:smooth val="0"/>
          <c:extLst>
            <c:ext xmlns:c16="http://schemas.microsoft.com/office/drawing/2014/chart" uri="{C3380CC4-5D6E-409C-BE32-E72D297353CC}">
              <c16:uniqueId val="{00000012-A619-4DC9-80DC-A6871936E4DD}"/>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Plans'!$BS$59:$BW$59</c:f>
              <c:numCache>
                <c:formatCode>0.0%</c:formatCode>
                <c:ptCount val="5"/>
                <c:pt idx="0">
                  <c:v>1</c:v>
                </c:pt>
                <c:pt idx="1">
                  <c:v>0.98936170212765961</c:v>
                </c:pt>
                <c:pt idx="2">
                  <c:v>0.98780487804878048</c:v>
                </c:pt>
                <c:pt idx="3">
                  <c:v>1</c:v>
                </c:pt>
                <c:pt idx="4">
                  <c:v>0.98684210526315785</c:v>
                </c:pt>
              </c:numCache>
            </c:numRef>
          </c:val>
          <c:smooth val="0"/>
          <c:extLst>
            <c:ext xmlns:c16="http://schemas.microsoft.com/office/drawing/2014/chart" uri="{C3380CC4-5D6E-409C-BE32-E72D297353CC}">
              <c16:uniqueId val="{00000013-A619-4DC9-80DC-A6871936E4DD}"/>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Plans'!$BS$60:$BW$60</c:f>
              <c:numCache>
                <c:formatCode>0.0%</c:formatCode>
                <c:ptCount val="5"/>
                <c:pt idx="0">
                  <c:v>0.98016997167138808</c:v>
                </c:pt>
                <c:pt idx="1">
                  <c:v>0.92086330935251803</c:v>
                </c:pt>
                <c:pt idx="2">
                  <c:v>0.83377308707124009</c:v>
                </c:pt>
                <c:pt idx="3">
                  <c:v>0.88682432432432434</c:v>
                </c:pt>
                <c:pt idx="4">
                  <c:v>0.88167053364269143</c:v>
                </c:pt>
              </c:numCache>
            </c:numRef>
          </c:val>
          <c:smooth val="0"/>
          <c:extLst>
            <c:ext xmlns:c16="http://schemas.microsoft.com/office/drawing/2014/chart" uri="{C3380CC4-5D6E-409C-BE32-E72D297353CC}">
              <c16:uniqueId val="{00000014-A619-4DC9-80DC-A6871936E4DD}"/>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Plans'!$BS$61:$BW$61</c:f>
              <c:numCache>
                <c:formatCode>0.0%</c:formatCode>
                <c:ptCount val="5"/>
                <c:pt idx="0">
                  <c:v>0.98039215686274506</c:v>
                </c:pt>
                <c:pt idx="1">
                  <c:v>1</c:v>
                </c:pt>
                <c:pt idx="2">
                  <c:v>0.96907216494845361</c:v>
                </c:pt>
                <c:pt idx="3">
                  <c:v>0.8</c:v>
                </c:pt>
                <c:pt idx="4">
                  <c:v>0.95</c:v>
                </c:pt>
              </c:numCache>
            </c:numRef>
          </c:val>
          <c:smooth val="0"/>
          <c:extLst>
            <c:ext xmlns:c16="http://schemas.microsoft.com/office/drawing/2014/chart" uri="{C3380CC4-5D6E-409C-BE32-E72D297353CC}">
              <c16:uniqueId val="{00000015-A619-4DC9-80DC-A6871936E4DD}"/>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Plans'!$BS$62:$BW$62</c:f>
              <c:numCache>
                <c:formatCode>0.0%</c:formatCode>
                <c:ptCount val="5"/>
                <c:pt idx="0">
                  <c:v>1</c:v>
                </c:pt>
                <c:pt idx="1">
                  <c:v>0.94736842105263153</c:v>
                </c:pt>
                <c:pt idx="2">
                  <c:v>0.96551724137931039</c:v>
                </c:pt>
                <c:pt idx="3">
                  <c:v>1</c:v>
                </c:pt>
                <c:pt idx="4">
                  <c:v>0.94117647058823528</c:v>
                </c:pt>
              </c:numCache>
            </c:numRef>
          </c:val>
          <c:smooth val="0"/>
          <c:extLst>
            <c:ext xmlns:c16="http://schemas.microsoft.com/office/drawing/2014/chart" uri="{C3380CC4-5D6E-409C-BE32-E72D297353CC}">
              <c16:uniqueId val="{00000016-A619-4DC9-80DC-A6871936E4DD}"/>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Plans'!$BS$63:$BW$63</c:f>
              <c:numCache>
                <c:formatCode>0.0%</c:formatCode>
                <c:ptCount val="5"/>
                <c:pt idx="0">
                  <c:v>0.92727272727272725</c:v>
                </c:pt>
                <c:pt idx="1">
                  <c:v>0.93772241992882566</c:v>
                </c:pt>
                <c:pt idx="2">
                  <c:v>0.88193202146690519</c:v>
                </c:pt>
                <c:pt idx="3">
                  <c:v>0.9007633587786259</c:v>
                </c:pt>
                <c:pt idx="4">
                  <c:v>0.9078498293515358</c:v>
                </c:pt>
              </c:numCache>
            </c:numRef>
          </c:val>
          <c:smooth val="0"/>
          <c:extLst>
            <c:ext xmlns:c16="http://schemas.microsoft.com/office/drawing/2014/chart" uri="{C3380CC4-5D6E-409C-BE32-E72D297353CC}">
              <c16:uniqueId val="{00000017-A619-4DC9-80DC-A6871936E4DD}"/>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2014-15</c:v>
                </c:pt>
                <c:pt idx="1">
                  <c:v>2015-16</c:v>
                </c:pt>
                <c:pt idx="2">
                  <c:v>2016-17</c:v>
                </c:pt>
                <c:pt idx="3">
                  <c:v>2017-18</c:v>
                </c:pt>
                <c:pt idx="4">
                  <c:v>2018-19</c:v>
                </c:pt>
              </c:strCache>
            </c:strRef>
          </c:cat>
          <c:val>
            <c:numRef>
              <c:f>'Child Protection Plans'!$BS$64:$BW$64</c:f>
              <c:numCache>
                <c:formatCode>0.0%</c:formatCode>
                <c:ptCount val="5"/>
                <c:pt idx="0">
                  <c:v>0.94219653179190754</c:v>
                </c:pt>
                <c:pt idx="1">
                  <c:v>0.93724696356275305</c:v>
                </c:pt>
                <c:pt idx="2">
                  <c:v>0.92191075514874143</c:v>
                </c:pt>
                <c:pt idx="3">
                  <c:v>0.90516782099094295</c:v>
                </c:pt>
                <c:pt idx="4">
                  <c:v>0.91762721394433511</c:v>
                </c:pt>
              </c:numCache>
            </c:numRef>
          </c:val>
          <c:smooth val="0"/>
          <c:extLst>
            <c:ext xmlns:c16="http://schemas.microsoft.com/office/drawing/2014/chart" uri="{C3380CC4-5D6E-409C-BE32-E72D297353CC}">
              <c16:uniqueId val="{00000018-A619-4DC9-80DC-A6871936E4DD}"/>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2014-15</c:v>
                </c:pt>
                <c:pt idx="1">
                  <c:v>2015-16</c:v>
                </c:pt>
                <c:pt idx="2">
                  <c:v>2016-17</c:v>
                </c:pt>
                <c:pt idx="3">
                  <c:v>2017-18</c:v>
                </c:pt>
                <c:pt idx="4">
                  <c:v>2018-19</c:v>
                </c:pt>
              </c:strCache>
            </c:strRef>
          </c:cat>
          <c:val>
            <c:numRef>
              <c:f>'Child Protection Plans'!$BS$65:$BW$65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A619-4DC9-80DC-A6871936E4DD}"/>
            </c:ext>
          </c:extLst>
        </c:ser>
        <c:dLbls>
          <c:showLegendKey val="0"/>
          <c:showVal val="0"/>
          <c:showCatName val="0"/>
          <c:showSerName val="0"/>
          <c:showPercent val="0"/>
          <c:showBubbleSize val="0"/>
        </c:dLbls>
        <c:marker val="1"/>
        <c:smooth val="0"/>
        <c:axId val="277861504"/>
        <c:axId val="277863424"/>
      </c:lineChart>
      <c:catAx>
        <c:axId val="277861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863424"/>
        <c:crosses val="autoZero"/>
        <c:auto val="1"/>
        <c:lblAlgn val="ctr"/>
        <c:lblOffset val="100"/>
        <c:tickLblSkip val="1"/>
        <c:tickMarkSkip val="1"/>
        <c:noMultiLvlLbl val="0"/>
      </c:catAx>
      <c:valAx>
        <c:axId val="277863424"/>
        <c:scaling>
          <c:orientation val="minMax"/>
          <c:max val="1.02"/>
          <c:min val="0.2"/>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7861504"/>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a:t>
            </a:r>
            <a:r>
              <a:rPr lang="en-GB" sz="900" baseline="0"/>
              <a:t> subjct to </a:t>
            </a:r>
            <a:r>
              <a:rPr lang="en-GB" sz="900"/>
              <a:t>CPP Seen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5460934950698729"/>
          <c:y val="3.8613355148788219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Plans'!$AX$65:$BB$65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F28-4949-80A4-17CDF5A69A23}"/>
            </c:ext>
          </c:extLst>
        </c:ser>
        <c:ser>
          <c:idx val="4"/>
          <c:order val="1"/>
          <c:tx>
            <c:strRef>
              <c:f>'Child Protection Plans'!$B$170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Plans'!$D$170:$H$170</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4F28-4949-80A4-17CDF5A69A23}"/>
            </c:ext>
          </c:extLst>
        </c:ser>
        <c:ser>
          <c:idx val="0"/>
          <c:order val="2"/>
          <c:tx>
            <c:strRef>
              <c:f>'Child Protection Plans'!$B$171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Plans'!$D$171:$H$171</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4F28-4949-80A4-17CDF5A69A23}"/>
            </c:ext>
          </c:extLst>
        </c:ser>
        <c:dLbls>
          <c:showLegendKey val="0"/>
          <c:showVal val="0"/>
          <c:showCatName val="0"/>
          <c:showSerName val="0"/>
          <c:showPercent val="0"/>
          <c:showBubbleSize val="0"/>
        </c:dLbls>
        <c:gapWidth val="100"/>
        <c:axId val="278441984"/>
        <c:axId val="278443520"/>
      </c:barChart>
      <c:catAx>
        <c:axId val="2784419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8443520"/>
        <c:crosses val="autoZero"/>
        <c:auto val="1"/>
        <c:lblAlgn val="ctr"/>
        <c:lblOffset val="100"/>
        <c:noMultiLvlLbl val="0"/>
      </c:catAx>
      <c:valAx>
        <c:axId val="278443520"/>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8441984"/>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who had been seen within Timescales</a:t>
            </a:r>
          </a:p>
        </c:rich>
      </c:tx>
      <c:layout>
        <c:manualLayout>
          <c:xMode val="edge"/>
          <c:yMode val="edge"/>
          <c:x val="0.10231045966504695"/>
          <c:y val="8.2113573768678987E-3"/>
        </c:manualLayout>
      </c:layout>
      <c:overlay val="0"/>
      <c:spPr>
        <a:noFill/>
        <a:ln w="25400">
          <a:noFill/>
        </a:ln>
      </c:spPr>
    </c:title>
    <c:autoTitleDeleted val="0"/>
    <c:plotArea>
      <c:layout>
        <c:manualLayout>
          <c:layoutTarget val="inner"/>
          <c:xMode val="edge"/>
          <c:yMode val="edge"/>
          <c:x val="0.26120980491473655"/>
          <c:y val="7.3549410974790952E-2"/>
          <c:w val="0.585478657273104"/>
          <c:h val="0.86579581299760788"/>
        </c:manualLayout>
      </c:layout>
      <c:barChart>
        <c:barDir val="bar"/>
        <c:grouping val="clustered"/>
        <c:varyColors val="0"/>
        <c:ser>
          <c:idx val="0"/>
          <c:order val="0"/>
          <c:spPr>
            <a:solidFill>
              <a:schemeClr val="accent6"/>
            </a:solidFill>
            <a:ln w="12700">
              <a:noFill/>
              <a:prstDash val="solid"/>
            </a:ln>
          </c:spPr>
          <c:invertIfNegative val="0"/>
          <c:dPt>
            <c:idx val="0"/>
            <c:invertIfNegative val="0"/>
            <c:bubble3D val="0"/>
            <c:extLst>
              <c:ext xmlns:c16="http://schemas.microsoft.com/office/drawing/2014/chart" uri="{C3380CC4-5D6E-409C-BE32-E72D297353CC}">
                <c16:uniqueId val="{00000000-DC88-45AB-BC9B-AE8733A222BC}"/>
              </c:ext>
            </c:extLst>
          </c:dPt>
          <c:cat>
            <c:strRef>
              <c:f>'Child Protection Plans'!$B$148:$B$171</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'Child Protection Plans'!$H$148:$H$171</c:f>
              <c:numCache>
                <c:formatCode>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DC88-45AB-BC9B-AE8733A222BC}"/>
            </c:ext>
          </c:extLst>
        </c:ser>
        <c:dLbls>
          <c:showLegendKey val="0"/>
          <c:showVal val="0"/>
          <c:showCatName val="0"/>
          <c:showSerName val="0"/>
          <c:showPercent val="0"/>
          <c:showBubbleSize val="0"/>
        </c:dLbls>
        <c:gapWidth val="40"/>
        <c:axId val="278140800"/>
        <c:axId val="278142336"/>
      </c:barChart>
      <c:catAx>
        <c:axId val="278140800"/>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8142336"/>
        <c:crosses val="autoZero"/>
        <c:auto val="1"/>
        <c:lblAlgn val="ctr"/>
        <c:lblOffset val="100"/>
        <c:noMultiLvlLbl val="0"/>
      </c:catAx>
      <c:valAx>
        <c:axId val="278142336"/>
        <c:scaling>
          <c:orientation val="minMax"/>
        </c:scaling>
        <c:delete val="0"/>
        <c:axPos val="b"/>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8140800"/>
        <c:crosses val="max"/>
        <c:crossBetween val="between"/>
      </c:valAx>
      <c:spPr>
        <a:noFill/>
        <a:ln w="3175">
          <a:solidFill>
            <a:srgbClr val="000000"/>
          </a:solidFill>
          <a:prstDash val="solid"/>
        </a:ln>
      </c:spPr>
    </c:plotArea>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Children</a:t>
            </a:r>
            <a:r>
              <a:rPr lang="en-GB" sz="900" baseline="0"/>
              <a:t> subject to </a:t>
            </a:r>
            <a:r>
              <a:rPr lang="en-GB" sz="900"/>
              <a:t>CPP for 2+ years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'Child Protection Plans'!$AA$4</c:f>
              <c:strCache>
                <c:ptCount val="1"/>
                <c:pt idx="0">
                  <c:v>Selected LA- (none)</c:v>
                </c:pt>
              </c:strCache>
            </c:strRef>
          </c:tx>
          <c:spPr>
            <a:solidFill>
              <a:srgbClr val="66FF99"/>
            </a:solidFill>
            <a:ln>
              <a:solidFill>
                <a:schemeClr val="tx1">
                  <a:lumMod val="75000"/>
                  <a:lumOff val="25000"/>
                </a:scheme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Plans'!$AS$65:$AW$65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A15-4897-BCBB-8610095A52C1}"/>
            </c:ext>
          </c:extLst>
        </c:ser>
        <c:ser>
          <c:idx val="4"/>
          <c:order val="1"/>
          <c:tx>
            <c:strRef>
              <c:f>'Child Protection Plans'!$B$134</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Plans'!$D$134:$H$134</c:f>
              <c:numCache>
                <c:formatCode>0%</c:formatCode>
                <c:ptCount val="5"/>
                <c:pt idx="0">
                  <c:v>#N/A</c:v>
                </c:pt>
                <c:pt idx="1">
                  <c:v>#N/A</c:v>
                </c:pt>
                <c:pt idx="2">
                  <c:v>#N/A</c:v>
                </c:pt>
                <c:pt idx="3">
                  <c:v>#N/A</c:v>
                </c:pt>
                <c:pt idx="4">
                  <c:v>2.8360049321824909E-2</c:v>
                </c:pt>
              </c:numCache>
            </c:numRef>
          </c:val>
          <c:extLst>
            <c:ext xmlns:c16="http://schemas.microsoft.com/office/drawing/2014/chart" uri="{C3380CC4-5D6E-409C-BE32-E72D297353CC}">
              <c16:uniqueId val="{00000001-7A15-4897-BCBB-8610095A52C1}"/>
            </c:ext>
          </c:extLst>
        </c:ser>
        <c:ser>
          <c:idx val="0"/>
          <c:order val="2"/>
          <c:tx>
            <c:strRef>
              <c:f>'Child Protection Plans'!$B$135</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'Child Protection Plans'!$Z$2:$AD$3</c:f>
              <c:strCache>
                <c:ptCount val="5"/>
                <c:pt idx="0">
                  <c:v>2014-15</c:v>
                </c:pt>
                <c:pt idx="1">
                  <c:v>2015-16</c:v>
                </c:pt>
                <c:pt idx="2">
                  <c:v>2016-17</c:v>
                </c:pt>
                <c:pt idx="3">
                  <c:v>2017-18</c:v>
                </c:pt>
                <c:pt idx="4">
                  <c:v>2018-19</c:v>
                </c:pt>
              </c:strCache>
            </c:strRef>
          </c:cat>
          <c:val>
            <c:numRef>
              <c:f>'Child Protection Plans'!$D$135:$H$135</c:f>
              <c:numCache>
                <c:formatCode>0%</c:formatCode>
                <c:ptCount val="5"/>
                <c:pt idx="0">
                  <c:v>#N/A</c:v>
                </c:pt>
                <c:pt idx="1">
                  <c:v>#N/A</c:v>
                </c:pt>
                <c:pt idx="2">
                  <c:v>#N/A</c:v>
                </c:pt>
                <c:pt idx="3">
                  <c:v>#N/A</c:v>
                </c:pt>
                <c:pt idx="4">
                  <c:v>2.1431305013394564E-2</c:v>
                </c:pt>
              </c:numCache>
            </c:numRef>
          </c:val>
          <c:extLst>
            <c:ext xmlns:c16="http://schemas.microsoft.com/office/drawing/2014/chart" uri="{C3380CC4-5D6E-409C-BE32-E72D297353CC}">
              <c16:uniqueId val="{00000002-7A15-4897-BCBB-8610095A52C1}"/>
            </c:ext>
          </c:extLst>
        </c:ser>
        <c:dLbls>
          <c:showLegendKey val="0"/>
          <c:showVal val="0"/>
          <c:showCatName val="0"/>
          <c:showSerName val="0"/>
          <c:showPercent val="0"/>
          <c:showBubbleSize val="0"/>
        </c:dLbls>
        <c:gapWidth val="100"/>
        <c:axId val="278184320"/>
        <c:axId val="278185856"/>
      </c:barChart>
      <c:catAx>
        <c:axId val="278184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8185856"/>
        <c:crosses val="autoZero"/>
        <c:auto val="1"/>
        <c:lblAlgn val="ctr"/>
        <c:lblOffset val="100"/>
        <c:noMultiLvlLbl val="0"/>
      </c:catAx>
      <c:valAx>
        <c:axId val="278185856"/>
        <c:scaling>
          <c:orientation val="minMax"/>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818432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subject to a CP Plan at 31st March who had  been subject to a Plan</a:t>
            </a:r>
            <a:r>
              <a:rPr lang="en-GB" baseline="0"/>
              <a:t> for 2 years or longer</a:t>
            </a:r>
            <a:endParaRPr lang="en-GB"/>
          </a:p>
        </c:rich>
      </c:tx>
      <c:layout>
        <c:manualLayout>
          <c:xMode val="edge"/>
          <c:yMode val="edge"/>
          <c:x val="0.10231045966504695"/>
          <c:y val="8.2113573768678987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'Child Protection Plans'!$AL$41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482D-452B-BF37-4A3DB419E9E8}"/>
              </c:ext>
            </c:extLst>
          </c:dPt>
          <c:cat>
            <c:strRef>
              <c:f>'Child Protection Plans'!$Z$2:$AD$3</c:f>
              <c:strCache>
                <c:ptCount val="5"/>
                <c:pt idx="0">
                  <c:v>2014-15</c:v>
                </c:pt>
                <c:pt idx="1">
                  <c:v>2015-16</c:v>
                </c:pt>
                <c:pt idx="2">
                  <c:v>2016-17</c:v>
                </c:pt>
                <c:pt idx="3">
                  <c:v>2017-18</c:v>
                </c:pt>
                <c:pt idx="4">
                  <c:v>2018-19</c:v>
                </c:pt>
              </c:strCache>
            </c:strRef>
          </c:cat>
          <c:val>
            <c:numRef>
              <c:f>'Child Protection Plans'!$AS$41:$AW$41</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01-482D-452B-BF37-4A3DB419E9E8}"/>
            </c:ext>
          </c:extLst>
        </c:ser>
        <c:ser>
          <c:idx val="1"/>
          <c:order val="1"/>
          <c:tx>
            <c:strRef>
              <c:f>'Child Protection Plans'!$AL$42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Plans'!$AS$42:$AW$42</c:f>
              <c:numCache>
                <c:formatCode>0.0%</c:formatCode>
                <c:ptCount val="5"/>
                <c:pt idx="0">
                  <c:v>#N/A</c:v>
                </c:pt>
                <c:pt idx="1">
                  <c:v>#N/A</c:v>
                </c:pt>
                <c:pt idx="2">
                  <c:v>#N/A</c:v>
                </c:pt>
                <c:pt idx="3">
                  <c:v>#N/A</c:v>
                </c:pt>
                <c:pt idx="4">
                  <c:v>3.7974683544303799E-2</c:v>
                </c:pt>
              </c:numCache>
            </c:numRef>
          </c:val>
          <c:smooth val="0"/>
          <c:extLst>
            <c:ext xmlns:c16="http://schemas.microsoft.com/office/drawing/2014/chart" uri="{C3380CC4-5D6E-409C-BE32-E72D297353CC}">
              <c16:uniqueId val="{00000002-482D-452B-BF37-4A3DB419E9E8}"/>
            </c:ext>
          </c:extLst>
        </c:ser>
        <c:ser>
          <c:idx val="2"/>
          <c:order val="2"/>
          <c:tx>
            <c:strRef>
              <c:f>'Child Protection Plans'!$AL$43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Plans'!$AS$43:$AW$43</c:f>
              <c:numCache>
                <c:formatCode>0.0%</c:formatCode>
                <c:ptCount val="5"/>
                <c:pt idx="0">
                  <c:v>#N/A</c:v>
                </c:pt>
                <c:pt idx="1">
                  <c:v>#N/A</c:v>
                </c:pt>
                <c:pt idx="2">
                  <c:v>#N/A</c:v>
                </c:pt>
                <c:pt idx="3">
                  <c:v>#N/A</c:v>
                </c:pt>
                <c:pt idx="4">
                  <c:v>2.491103202846975E-2</c:v>
                </c:pt>
              </c:numCache>
            </c:numRef>
          </c:val>
          <c:smooth val="0"/>
          <c:extLst>
            <c:ext xmlns:c16="http://schemas.microsoft.com/office/drawing/2014/chart" uri="{C3380CC4-5D6E-409C-BE32-E72D297353CC}">
              <c16:uniqueId val="{00000003-482D-452B-BF37-4A3DB419E9E8}"/>
            </c:ext>
          </c:extLst>
        </c:ser>
        <c:ser>
          <c:idx val="5"/>
          <c:order val="3"/>
          <c:tx>
            <c:strRef>
              <c:f>'Child Protection Plans'!$AL$44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Plans'!$AS$44:$AW$44</c:f>
              <c:numCache>
                <c:formatCode>0.0%</c:formatCode>
                <c:ptCount val="5"/>
                <c:pt idx="0">
                  <c:v>#N/A</c:v>
                </c:pt>
                <c:pt idx="1">
                  <c:v>#N/A</c:v>
                </c:pt>
                <c:pt idx="2">
                  <c:v>#N/A</c:v>
                </c:pt>
                <c:pt idx="3">
                  <c:v>#N/A</c:v>
                </c:pt>
                <c:pt idx="4">
                  <c:v>4.3936731107205626E-2</c:v>
                </c:pt>
              </c:numCache>
            </c:numRef>
          </c:val>
          <c:smooth val="0"/>
          <c:extLst>
            <c:ext xmlns:c16="http://schemas.microsoft.com/office/drawing/2014/chart" uri="{C3380CC4-5D6E-409C-BE32-E72D297353CC}">
              <c16:uniqueId val="{00000004-482D-452B-BF37-4A3DB419E9E8}"/>
            </c:ext>
          </c:extLst>
        </c:ser>
        <c:ser>
          <c:idx val="9"/>
          <c:order val="4"/>
          <c:tx>
            <c:strRef>
              <c:f>'Child Protection Plans'!$AL$45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Plans'!$AS$45:$AW$45</c:f>
              <c:numCache>
                <c:formatCode>0.0%</c:formatCode>
                <c:ptCount val="5"/>
                <c:pt idx="0">
                  <c:v>#N/A</c:v>
                </c:pt>
                <c:pt idx="1">
                  <c:v>#N/A</c:v>
                </c:pt>
                <c:pt idx="2">
                  <c:v>#N/A</c:v>
                </c:pt>
                <c:pt idx="3">
                  <c:v>#N/A</c:v>
                </c:pt>
                <c:pt idx="4">
                  <c:v>3.1905195989061073E-2</c:v>
                </c:pt>
              </c:numCache>
            </c:numRef>
          </c:val>
          <c:smooth val="0"/>
          <c:extLst>
            <c:ext xmlns:c16="http://schemas.microsoft.com/office/drawing/2014/chart" uri="{C3380CC4-5D6E-409C-BE32-E72D297353CC}">
              <c16:uniqueId val="{00000005-482D-452B-BF37-4A3DB419E9E8}"/>
            </c:ext>
          </c:extLst>
        </c:ser>
        <c:ser>
          <c:idx val="10"/>
          <c:order val="5"/>
          <c:tx>
            <c:strRef>
              <c:f>'Child Protection Plans'!$AL$46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Plans'!$AS$46:$AW$46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482D-452B-BF37-4A3DB419E9E8}"/>
            </c:ext>
          </c:extLst>
        </c:ser>
        <c:ser>
          <c:idx val="11"/>
          <c:order val="6"/>
          <c:tx>
            <c:strRef>
              <c:f>'Child Protection Plans'!$AL$47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Plans'!$AS$47:$AW$47</c:f>
              <c:numCache>
                <c:formatCode>0.0%</c:formatCode>
                <c:ptCount val="5"/>
                <c:pt idx="0">
                  <c:v>#N/A</c:v>
                </c:pt>
                <c:pt idx="1">
                  <c:v>#N/A</c:v>
                </c:pt>
                <c:pt idx="2">
                  <c:v>#N/A</c:v>
                </c:pt>
                <c:pt idx="3">
                  <c:v>#N/A</c:v>
                </c:pt>
                <c:pt idx="4">
                  <c:v>2.6093630084420567E-2</c:v>
                </c:pt>
              </c:numCache>
            </c:numRef>
          </c:val>
          <c:smooth val="0"/>
          <c:extLst>
            <c:ext xmlns:c16="http://schemas.microsoft.com/office/drawing/2014/chart" uri="{C3380CC4-5D6E-409C-BE32-E72D297353CC}">
              <c16:uniqueId val="{00000007-482D-452B-BF37-4A3DB419E9E8}"/>
            </c:ext>
          </c:extLst>
        </c:ser>
        <c:ser>
          <c:idx val="12"/>
          <c:order val="7"/>
          <c:tx>
            <c:strRef>
              <c:f>'Child Protection Plans'!$AL$48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Plans'!$AS$48:$AW$48</c:f>
              <c:numCache>
                <c:formatCode>0.0%</c:formatCode>
                <c:ptCount val="5"/>
                <c:pt idx="0">
                  <c:v>#N/A</c:v>
                </c:pt>
                <c:pt idx="1">
                  <c:v>#N/A</c:v>
                </c:pt>
                <c:pt idx="2">
                  <c:v>#N/A</c:v>
                </c:pt>
                <c:pt idx="3">
                  <c:v>#N/A</c:v>
                </c:pt>
                <c:pt idx="4">
                  <c:v>3.3802816901408447E-2</c:v>
                </c:pt>
              </c:numCache>
            </c:numRef>
          </c:val>
          <c:smooth val="0"/>
          <c:extLst>
            <c:ext xmlns:c16="http://schemas.microsoft.com/office/drawing/2014/chart" uri="{C3380CC4-5D6E-409C-BE32-E72D297353CC}">
              <c16:uniqueId val="{00000008-482D-452B-BF37-4A3DB419E9E8}"/>
            </c:ext>
          </c:extLst>
        </c:ser>
        <c:ser>
          <c:idx val="13"/>
          <c:order val="8"/>
          <c:tx>
            <c:strRef>
              <c:f>'Child Protection Plans'!$AL$49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Plans'!$AS$49:$AW$49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482D-452B-BF37-4A3DB419E9E8}"/>
            </c:ext>
          </c:extLst>
        </c:ser>
        <c:ser>
          <c:idx val="15"/>
          <c:order val="9"/>
          <c:tx>
            <c:strRef>
              <c:f>'Child Protection Plans'!$AL$50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Plans'!$AS$50:$AW$50</c:f>
              <c:numCache>
                <c:formatCode>0.0%</c:formatCode>
                <c:ptCount val="5"/>
                <c:pt idx="0">
                  <c:v>#N/A</c:v>
                </c:pt>
                <c:pt idx="1">
                  <c:v>#N/A</c:v>
                </c:pt>
                <c:pt idx="2">
                  <c:v>#N/A</c:v>
                </c:pt>
                <c:pt idx="3">
                  <c:v>#N/A</c:v>
                </c:pt>
                <c:pt idx="4">
                  <c:v>6.25E-2</c:v>
                </c:pt>
              </c:numCache>
            </c:numRef>
          </c:val>
          <c:smooth val="0"/>
          <c:extLst>
            <c:ext xmlns:c16="http://schemas.microsoft.com/office/drawing/2014/chart" uri="{C3380CC4-5D6E-409C-BE32-E72D297353CC}">
              <c16:uniqueId val="{0000000A-482D-452B-BF37-4A3DB419E9E8}"/>
            </c:ext>
          </c:extLst>
        </c:ser>
        <c:ser>
          <c:idx val="16"/>
          <c:order val="10"/>
          <c:tx>
            <c:strRef>
              <c:f>'Child Protection Plans'!$AL$51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Plans'!$AS$51:$AW$51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482D-452B-BF37-4A3DB419E9E8}"/>
            </c:ext>
          </c:extLst>
        </c:ser>
        <c:ser>
          <c:idx val="17"/>
          <c:order val="11"/>
          <c:tx>
            <c:strRef>
              <c:f>'Child Protection Plans'!$AL$52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Plans'!$AS$52:$AW$52</c:f>
              <c:numCache>
                <c:formatCode>0.0%</c:formatCode>
                <c:ptCount val="5"/>
                <c:pt idx="0">
                  <c:v>#N/A</c:v>
                </c:pt>
                <c:pt idx="1">
                  <c:v>#N/A</c:v>
                </c:pt>
                <c:pt idx="2">
                  <c:v>#N/A</c:v>
                </c:pt>
                <c:pt idx="3">
                  <c:v>#N/A</c:v>
                </c:pt>
                <c:pt idx="4">
                  <c:v>3.9215686274509803E-2</c:v>
                </c:pt>
              </c:numCache>
            </c:numRef>
          </c:val>
          <c:smooth val="0"/>
          <c:extLst>
            <c:ext xmlns:c16="http://schemas.microsoft.com/office/drawing/2014/chart" uri="{C3380CC4-5D6E-409C-BE32-E72D297353CC}">
              <c16:uniqueId val="{0000000C-482D-452B-BF37-4A3DB419E9E8}"/>
            </c:ext>
          </c:extLst>
        </c:ser>
        <c:ser>
          <c:idx val="19"/>
          <c:order val="12"/>
          <c:tx>
            <c:strRef>
              <c:f>'Child Protection Plans'!$AL$53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Plans'!$AS$53:$AW$53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482D-452B-BF37-4A3DB419E9E8}"/>
            </c:ext>
          </c:extLst>
        </c:ser>
        <c:ser>
          <c:idx val="3"/>
          <c:order val="13"/>
          <c:tx>
            <c:strRef>
              <c:f>'Child Protection Plans'!$AL$54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Plans'!$AS$54:$AW$54</c:f>
              <c:numCache>
                <c:formatCode>0.0%</c:formatCode>
                <c:ptCount val="5"/>
                <c:pt idx="0">
                  <c:v>#N/A</c:v>
                </c:pt>
                <c:pt idx="1">
                  <c:v>#N/A</c:v>
                </c:pt>
                <c:pt idx="2">
                  <c:v>#N/A</c:v>
                </c:pt>
                <c:pt idx="3">
                  <c:v>#N/A</c:v>
                </c:pt>
                <c:pt idx="4">
                  <c:v>1.9900497512437811E-2</c:v>
                </c:pt>
              </c:numCache>
            </c:numRef>
          </c:val>
          <c:smooth val="0"/>
          <c:extLst>
            <c:ext xmlns:c16="http://schemas.microsoft.com/office/drawing/2014/chart" uri="{C3380CC4-5D6E-409C-BE32-E72D297353CC}">
              <c16:uniqueId val="{0000000E-482D-452B-BF37-4A3DB419E9E8}"/>
            </c:ext>
          </c:extLst>
        </c:ser>
        <c:ser>
          <c:idx val="20"/>
          <c:order val="14"/>
          <c:tx>
            <c:strRef>
              <c:f>'Child Protection Plans'!$AL$55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Plans'!$AS$55:$AW$55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482D-452B-BF37-4A3DB419E9E8}"/>
            </c:ext>
          </c:extLst>
        </c:ser>
        <c:ser>
          <c:idx val="22"/>
          <c:order val="15"/>
          <c:tx>
            <c:strRef>
              <c:f>'Child Protection Plans'!$AL$56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Plans'!$AS$56:$AW$56</c:f>
              <c:numCache>
                <c:formatCode>0.0%</c:formatCode>
                <c:ptCount val="5"/>
                <c:pt idx="0">
                  <c:v>#N/A</c:v>
                </c:pt>
                <c:pt idx="1">
                  <c:v>#N/A</c:v>
                </c:pt>
                <c:pt idx="2">
                  <c:v>#N/A</c:v>
                </c:pt>
                <c:pt idx="3">
                  <c:v>#N/A</c:v>
                </c:pt>
                <c:pt idx="4">
                  <c:v>1.6684045881126174E-2</c:v>
                </c:pt>
              </c:numCache>
            </c:numRef>
          </c:val>
          <c:smooth val="0"/>
          <c:extLst>
            <c:ext xmlns:c16="http://schemas.microsoft.com/office/drawing/2014/chart" uri="{C3380CC4-5D6E-409C-BE32-E72D297353CC}">
              <c16:uniqueId val="{00000010-482D-452B-BF37-4A3DB419E9E8}"/>
            </c:ext>
          </c:extLst>
        </c:ser>
        <c:ser>
          <c:idx val="7"/>
          <c:order val="16"/>
          <c:tx>
            <c:strRef>
              <c:f>'Child Protection Plans'!$AL$57</c:f>
              <c:strCache>
                <c:ptCount val="1"/>
                <c:pt idx="0">
                  <c:v>Swindon</c:v>
                </c:pt>
              </c:strCache>
            </c:strRef>
          </c:tx>
          <c:spPr>
            <a:ln w="15875"/>
          </c:spPr>
          <c:marker>
            <c:symbol val="triangle"/>
            <c:size val="5"/>
            <c:spPr>
              <a:solidFill>
                <a:schemeClr val="accent2">
                  <a:lumMod val="20000"/>
                  <a:lumOff val="80000"/>
                </a:schemeClr>
              </a:solidFill>
            </c:spPr>
          </c:marker>
          <c:cat>
            <c:strRef>
              <c:f>'Child Protection Plans'!$Z$2:$AD$3</c:f>
              <c:strCache>
                <c:ptCount val="5"/>
                <c:pt idx="0">
                  <c:v>2014-15</c:v>
                </c:pt>
                <c:pt idx="1">
                  <c:v>2015-16</c:v>
                </c:pt>
                <c:pt idx="2">
                  <c:v>2016-17</c:v>
                </c:pt>
                <c:pt idx="3">
                  <c:v>2017-18</c:v>
                </c:pt>
                <c:pt idx="4">
                  <c:v>2018-19</c:v>
                </c:pt>
              </c:strCache>
            </c:strRef>
          </c:cat>
          <c:val>
            <c:numRef>
              <c:f>'Child Protection Plans'!$AS$57:$AW$57</c:f>
              <c:numCache>
                <c:formatCode>0.0%</c:formatCode>
                <c:ptCount val="5"/>
                <c:pt idx="0">
                  <c:v>#N/A</c:v>
                </c:pt>
                <c:pt idx="1">
                  <c:v>#N/A</c:v>
                </c:pt>
                <c:pt idx="2">
                  <c:v>#N/A</c:v>
                </c:pt>
                <c:pt idx="3">
                  <c:v>#N/A</c:v>
                </c:pt>
                <c:pt idx="4">
                  <c:v>1.8018018018018018E-2</c:v>
                </c:pt>
              </c:numCache>
            </c:numRef>
          </c:val>
          <c:smooth val="0"/>
          <c:extLst>
            <c:ext xmlns:c16="http://schemas.microsoft.com/office/drawing/2014/chart" uri="{C3380CC4-5D6E-409C-BE32-E72D297353CC}">
              <c16:uniqueId val="{00000011-482D-452B-BF37-4A3DB419E9E8}"/>
            </c:ext>
          </c:extLst>
        </c:ser>
        <c:ser>
          <c:idx val="8"/>
          <c:order val="17"/>
          <c:tx>
            <c:strRef>
              <c:f>'Child Protection Plans'!$AL$58</c:f>
              <c:strCache>
                <c:ptCount val="1"/>
                <c:pt idx="0">
                  <c:v>Torbay</c:v>
                </c:pt>
              </c:strCache>
            </c:strRef>
          </c:tx>
          <c:spPr>
            <a:ln w="15875"/>
          </c:spPr>
          <c:marker>
            <c:symbol val="circle"/>
            <c:size val="5"/>
            <c:spPr>
              <a:solidFill>
                <a:schemeClr val="accent3">
                  <a:lumMod val="20000"/>
                  <a:lumOff val="80000"/>
                </a:schemeClr>
              </a:solidFill>
            </c:spPr>
          </c:marker>
          <c:cat>
            <c:strRef>
              <c:f>'Child Protection Plans'!$Z$2:$AD$3</c:f>
              <c:strCache>
                <c:ptCount val="5"/>
                <c:pt idx="0">
                  <c:v>2014-15</c:v>
                </c:pt>
                <c:pt idx="1">
                  <c:v>2015-16</c:v>
                </c:pt>
                <c:pt idx="2">
                  <c:v>2016-17</c:v>
                </c:pt>
                <c:pt idx="3">
                  <c:v>2017-18</c:v>
                </c:pt>
                <c:pt idx="4">
                  <c:v>2018-19</c:v>
                </c:pt>
              </c:strCache>
            </c:strRef>
          </c:cat>
          <c:val>
            <c:numRef>
              <c:f>'Child Protection Plans'!$AS$58:$AW$58</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12-482D-452B-BF37-4A3DB419E9E8}"/>
            </c:ext>
          </c:extLst>
        </c:ser>
        <c:ser>
          <c:idx val="23"/>
          <c:order val="18"/>
          <c:tx>
            <c:strRef>
              <c:f>'Child Protection Plans'!$AL$59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Plans'!$AS$59:$AW$59</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13-482D-452B-BF37-4A3DB419E9E8}"/>
            </c:ext>
          </c:extLst>
        </c:ser>
        <c:ser>
          <c:idx val="24"/>
          <c:order val="19"/>
          <c:tx>
            <c:strRef>
              <c:f>'Child Protection Plans'!$AL$60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Plans'!$AS$60:$AW$60</c:f>
              <c:numCache>
                <c:formatCode>0.0%</c:formatCode>
                <c:ptCount val="5"/>
                <c:pt idx="0">
                  <c:v>#N/A</c:v>
                </c:pt>
                <c:pt idx="1">
                  <c:v>#N/A</c:v>
                </c:pt>
                <c:pt idx="2">
                  <c:v>#N/A</c:v>
                </c:pt>
                <c:pt idx="3">
                  <c:v>#N/A</c:v>
                </c:pt>
                <c:pt idx="4">
                  <c:v>3.0595813204508857E-2</c:v>
                </c:pt>
              </c:numCache>
            </c:numRef>
          </c:val>
          <c:smooth val="0"/>
          <c:extLst>
            <c:ext xmlns:c16="http://schemas.microsoft.com/office/drawing/2014/chart" uri="{C3380CC4-5D6E-409C-BE32-E72D297353CC}">
              <c16:uniqueId val="{00000014-482D-452B-BF37-4A3DB419E9E8}"/>
            </c:ext>
          </c:extLst>
        </c:ser>
        <c:ser>
          <c:idx val="25"/>
          <c:order val="20"/>
          <c:tx>
            <c:strRef>
              <c:f>'Child Protection Plans'!$AL$61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Plans'!$AS$61:$AW$61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482D-452B-BF37-4A3DB419E9E8}"/>
            </c:ext>
          </c:extLst>
        </c:ser>
        <c:ser>
          <c:idx val="26"/>
          <c:order val="21"/>
          <c:tx>
            <c:strRef>
              <c:f>'Child Protection Plans'!$AL$62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Plans'!$AS$62:$AW$62</c:f>
              <c:numCache>
                <c:formatCode>0.0%</c:formatCode>
                <c:ptCount val="5"/>
                <c:pt idx="0">
                  <c:v>#N/A</c:v>
                </c:pt>
                <c:pt idx="1">
                  <c:v>#N/A</c:v>
                </c:pt>
                <c:pt idx="2">
                  <c:v>#N/A</c:v>
                </c:pt>
                <c:pt idx="3">
                  <c:v>#N/A</c:v>
                </c:pt>
                <c:pt idx="4">
                  <c:v>0</c:v>
                </c:pt>
              </c:numCache>
            </c:numRef>
          </c:val>
          <c:smooth val="0"/>
          <c:extLst>
            <c:ext xmlns:c16="http://schemas.microsoft.com/office/drawing/2014/chart" uri="{C3380CC4-5D6E-409C-BE32-E72D297353CC}">
              <c16:uniqueId val="{00000016-482D-452B-BF37-4A3DB419E9E8}"/>
            </c:ext>
          </c:extLst>
        </c:ser>
        <c:ser>
          <c:idx val="4"/>
          <c:order val="22"/>
          <c:tx>
            <c:strRef>
              <c:f>'Child Protection Plans'!$AL$63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'Child Protection Plans'!$Z$2:$AD$3</c:f>
              <c:strCache>
                <c:ptCount val="5"/>
                <c:pt idx="0">
                  <c:v>2014-15</c:v>
                </c:pt>
                <c:pt idx="1">
                  <c:v>2015-16</c:v>
                </c:pt>
                <c:pt idx="2">
                  <c:v>2016-17</c:v>
                </c:pt>
                <c:pt idx="3">
                  <c:v>2017-18</c:v>
                </c:pt>
                <c:pt idx="4">
                  <c:v>2018-19</c:v>
                </c:pt>
              </c:strCache>
            </c:strRef>
          </c:cat>
          <c:val>
            <c:numRef>
              <c:f>'Child Protection Plans'!$AS$63:$AW$63</c:f>
              <c:numCache>
                <c:formatCode>0.0%</c:formatCode>
                <c:ptCount val="5"/>
                <c:pt idx="0">
                  <c:v>#N/A</c:v>
                </c:pt>
                <c:pt idx="1">
                  <c:v>#N/A</c:v>
                </c:pt>
                <c:pt idx="2">
                  <c:v>#N/A</c:v>
                </c:pt>
                <c:pt idx="3">
                  <c:v>#N/A</c:v>
                </c:pt>
                <c:pt idx="4">
                  <c:v>2.8360049321824909E-2</c:v>
                </c:pt>
              </c:numCache>
            </c:numRef>
          </c:val>
          <c:smooth val="0"/>
          <c:extLst>
            <c:ext xmlns:c16="http://schemas.microsoft.com/office/drawing/2014/chart" uri="{C3380CC4-5D6E-409C-BE32-E72D297353CC}">
              <c16:uniqueId val="{00000017-482D-452B-BF37-4A3DB419E9E8}"/>
            </c:ext>
          </c:extLst>
        </c:ser>
        <c:ser>
          <c:idx val="14"/>
          <c:order val="23"/>
          <c:tx>
            <c:strRef>
              <c:f>'Child Protection Plans'!$AL$64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'Child Protection Plans'!$Z$2:$AD$3</c:f>
              <c:strCache>
                <c:ptCount val="5"/>
                <c:pt idx="0">
                  <c:v>2014-15</c:v>
                </c:pt>
                <c:pt idx="1">
                  <c:v>2015-16</c:v>
                </c:pt>
                <c:pt idx="2">
                  <c:v>2016-17</c:v>
                </c:pt>
                <c:pt idx="3">
                  <c:v>2017-18</c:v>
                </c:pt>
                <c:pt idx="4">
                  <c:v>2018-19</c:v>
                </c:pt>
              </c:strCache>
            </c:strRef>
          </c:cat>
          <c:val>
            <c:numRef>
              <c:f>'Child Protection Plans'!$AS$64:$AW$64</c:f>
              <c:numCache>
                <c:formatCode>0.0%</c:formatCode>
                <c:ptCount val="5"/>
                <c:pt idx="0">
                  <c:v>#N/A</c:v>
                </c:pt>
                <c:pt idx="1">
                  <c:v>#N/A</c:v>
                </c:pt>
                <c:pt idx="2">
                  <c:v>#N/A</c:v>
                </c:pt>
                <c:pt idx="3">
                  <c:v>#N/A</c:v>
                </c:pt>
                <c:pt idx="4">
                  <c:v>2.1431305013394564E-2</c:v>
                </c:pt>
              </c:numCache>
            </c:numRef>
          </c:val>
          <c:smooth val="0"/>
          <c:extLst>
            <c:ext xmlns:c16="http://schemas.microsoft.com/office/drawing/2014/chart" uri="{C3380CC4-5D6E-409C-BE32-E72D297353CC}">
              <c16:uniqueId val="{00000018-482D-452B-BF37-4A3DB419E9E8}"/>
            </c:ext>
          </c:extLst>
        </c:ser>
        <c:ser>
          <c:idx val="6"/>
          <c:order val="24"/>
          <c:tx>
            <c:strRef>
              <c:f>'Child Protection Plans'!$AL$65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'Child Protection Plans'!$Z$2:$AD$3</c:f>
              <c:strCache>
                <c:ptCount val="5"/>
                <c:pt idx="0">
                  <c:v>2014-15</c:v>
                </c:pt>
                <c:pt idx="1">
                  <c:v>2015-16</c:v>
                </c:pt>
                <c:pt idx="2">
                  <c:v>2016-17</c:v>
                </c:pt>
                <c:pt idx="3">
                  <c:v>2017-18</c:v>
                </c:pt>
                <c:pt idx="4">
                  <c:v>2018-19</c:v>
                </c:pt>
              </c:strCache>
            </c:strRef>
          </c:cat>
          <c:val>
            <c:numRef>
              <c:f>'Child Protection Plans'!$AS$65:$AW$65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482D-452B-BF37-4A3DB419E9E8}"/>
            </c:ext>
          </c:extLst>
        </c:ser>
        <c:dLbls>
          <c:showLegendKey val="0"/>
          <c:showVal val="0"/>
          <c:showCatName val="0"/>
          <c:showSerName val="0"/>
          <c:showPercent val="0"/>
          <c:showBubbleSize val="0"/>
        </c:dLbls>
        <c:marker val="1"/>
        <c:smooth val="0"/>
        <c:axId val="278373120"/>
        <c:axId val="278375040"/>
      </c:lineChart>
      <c:catAx>
        <c:axId val="278373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8375040"/>
        <c:crosses val="autoZero"/>
        <c:auto val="1"/>
        <c:lblAlgn val="ctr"/>
        <c:lblOffset val="100"/>
        <c:tickLblSkip val="1"/>
        <c:tickMarkSkip val="1"/>
        <c:noMultiLvlLbl val="0"/>
      </c:catAx>
      <c:valAx>
        <c:axId val="2783750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8373120"/>
        <c:crosses val="autoZero"/>
        <c:crossBetween val="between"/>
      </c:valAx>
      <c:spPr>
        <a:noFill/>
        <a:ln w="3175">
          <a:solidFill>
            <a:srgbClr val="000000"/>
          </a:solidFill>
          <a:prstDash val="solid"/>
        </a:ln>
      </c:spPr>
    </c:plotArea>
    <c:legend>
      <c:legendPos val="r"/>
      <c:layout>
        <c:manualLayout>
          <c:xMode val="edge"/>
          <c:yMode val="edge"/>
          <c:x val="0.67109092691214423"/>
          <c:y val="6.4741533950671629E-2"/>
          <c:w val="0.31211251343072949"/>
          <c:h val="0.93525846604932839"/>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chemeClr val="bg1"/>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 Protection Plans vs. IDACI</a:t>
            </a:r>
          </a:p>
        </c:rich>
      </c:tx>
      <c:layout>
        <c:manualLayout>
          <c:xMode val="edge"/>
          <c:yMode val="edge"/>
          <c:x val="0.2335517291107842"/>
          <c:y val="3.6125866289185765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'Child Protection Plans'!$AR$38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114F-4793-AEB3-DC0E82F308E1}"/>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{161E81F8-1FB0-41CB-B9BD-FFE20558C6B5}</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114F-4793-AEB3-DC0E82F308E1}"/>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{D6C0AB11-6C94-4FE5-A5F3-6D522C777BBB}</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114F-4793-AEB3-DC0E82F308E1}"/>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{DE0CE63B-ABC6-447F-AA96-EE393B55CF24}</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114F-4793-AEB3-DC0E82F308E1}"/>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{A3C89E9D-1EE7-4B21-805D-C2334C08BC72}</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114F-4793-AEB3-DC0E82F308E1}"/>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{9D7A62BF-1B4E-49B2-A1B1-1BC830E6DC39}</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114F-4793-AEB3-DC0E82F308E1}"/>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{34B8DBD9-1C45-4CC8-B7A4-E26918962E55}</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114F-4793-AEB3-DC0E82F308E1}"/>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{0F17E4FF-0025-41DF-A681-6EB0E8B35BA8}</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114F-4793-AEB3-DC0E82F308E1}"/>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{FB8122C9-3668-4317-A008-33033875055B}</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114F-4793-AEB3-DC0E82F308E1}"/>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{3F7669E0-B668-47AD-A1DA-80FD7EF5B9A1}</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114F-4793-AEB3-DC0E82F308E1}"/>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{FEF23840-DAFD-429B-A5A0-812A20E3D38F}</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114F-4793-AEB3-DC0E82F308E1}"/>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{9958D13A-9DDD-45C9-931A-2F779AAD2745}</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114F-4793-AEB3-DC0E82F308E1}"/>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{02DBDC23-8572-44E4-BEDE-4ACD19549379}</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114F-4793-AEB3-DC0E82F308E1}"/>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{EE2DA784-0429-42CC-A65E-2009CECB5A45}</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114F-4793-AEB3-DC0E82F308E1}"/>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{A89FCC3D-9A70-4A46-AC8D-6BB918FA7C24}</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114F-4793-AEB3-DC0E82F308E1}"/>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{D4BCBBB6-57B7-4E44-B1D5-8D09B4200AC9}</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114F-4793-AEB3-DC0E82F308E1}"/>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{C10BCE00-E437-494C-BC32-46D3B4E40C6A}</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114F-4793-AEB3-DC0E82F308E1}"/>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{295594E0-ACF4-42D7-8B35-5765FABA7E1D}</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114F-4793-AEB3-DC0E82F308E1}"/>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{EDA70C6D-AF5E-4B30-83CA-AC0A457D9A0F}</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114F-4793-AEB3-DC0E82F308E1}"/>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{BF06B047-5076-4BF1-BE82-8C4C071254A9}</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114F-4793-AEB3-DC0E82F308E1}"/>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('Child Protection Plans'!$AR$41:$AR$53,'Child Protection Plans'!$AR$55:$AR$56,'Child Protection Plans'!$AR$59:$AR$62)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('Child Protection Plans'!$AQ$41:$AQ$53,'Child Protection Plans'!$AQ$55:$AQ$56,'Child Protection Plans'!$AQ$59:$AQ$62)</c:f>
              <c:numCache>
                <c:formatCode>0.0</c:formatCode>
                <c:ptCount val="19"/>
                <c:pt idx="0">
                  <c:v>45.936395759717314</c:v>
                </c:pt>
                <c:pt idx="1">
                  <c:v>61.960784313725483</c:v>
                </c:pt>
                <c:pt idx="2">
                  <c:v>45.213193885760255</c:v>
                </c:pt>
                <c:pt idx="3">
                  <c:v>53.477443609022558</c:v>
                </c:pt>
                <c:pt idx="4">
                  <c:v>38.62676056338028</c:v>
                </c:pt>
                <c:pt idx="5">
                  <c:v>66.265060240963848</c:v>
                </c:pt>
                <c:pt idx="6">
                  <c:v>38.312261099676569</c:v>
                </c:pt>
                <c:pt idx="7">
                  <c:v>55.12422360248447</c:v>
                </c:pt>
                <c:pt idx="8">
                  <c:v>19.912152269399709</c:v>
                </c:pt>
                <c:pt idx="9">
                  <c:v>40.88397790055248</c:v>
                </c:pt>
                <c:pt idx="10">
                  <c:v>44.31818181818182</c:v>
                </c:pt>
                <c:pt idx="11">
                  <c:v>68.733153638814017</c:v>
                </c:pt>
                <c:pt idx="12">
                  <c:v>51.053864168618269</c:v>
                </c:pt>
                <c:pt idx="13">
                  <c:v>60.039370078740156</c:v>
                </c:pt>
                <c:pt idx="14">
                  <c:v>36.617029400534555</c:v>
                </c:pt>
                <c:pt idx="15">
                  <c:v>33.146067415730336</c:v>
                </c:pt>
                <c:pt idx="16">
                  <c:v>35.546651402404123</c:v>
                </c:pt>
                <c:pt idx="17">
                  <c:v>26.01156069364162</c:v>
                </c:pt>
                <c:pt idx="18">
                  <c:v>32.151898734177216</c:v>
                </c:pt>
              </c:numCache>
            </c:numRef>
          </c:yVal>
          <c:smooth val="0"/>
          <c:extLst>
            <c:ext xmlns:c16="http://schemas.microsoft.com/office/drawing/2014/chart" uri="{C3380CC4-5D6E-409C-BE32-E72D297353CC}">
              <c16:uniqueId val="{00000014-114F-4793-AEB3-DC0E82F308E1}"/>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114F-4793-AEB3-DC0E82F308E1}"/>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{05565911-BB16-4695-8FAE-8F5186E54DF8}</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114F-4793-AEB3-DC0E82F308E1}"/>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{11E6B183-7A68-4058-8082-79BCFF0A9573}</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114F-4793-AEB3-DC0E82F308E1}"/>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{2725A1EC-DBB6-4A0A-9885-EB5D496B1F42}</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114F-4793-AEB3-DC0E82F308E1}"/>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('Child Protection Plans'!$AR$54,'Child Protection Plans'!$AR$57:$AR$58)</c:f>
              <c:numCache>
                <c:formatCode>0.0</c:formatCode>
                <c:ptCount val="3"/>
                <c:pt idx="0">
                  <c:v>13.600000000000001</c:v>
                </c:pt>
                <c:pt idx="1">
                  <c:v>14.899999999999999</c:v>
                </c:pt>
                <c:pt idx="2">
                  <c:v>21.9</c:v>
                </c:pt>
              </c:numCache>
            </c:numRef>
          </c:xVal>
          <c:yVal>
            <c:numRef>
              <c:f>('Child Protection Plans'!$AQ$54,'Child Protection Plans'!$AQ$57:$AQ$58)</c:f>
              <c:numCache>
                <c:formatCode>0.0</c:formatCode>
                <c:ptCount val="3"/>
                <c:pt idx="0">
                  <c:v>36.314363143631439</c:v>
                </c:pt>
                <c:pt idx="1">
                  <c:v>66.334661354581669</c:v>
                </c:pt>
                <c:pt idx="2">
                  <c:v>70.472440944881896</c:v>
                </c:pt>
              </c:numCache>
            </c:numRef>
          </c:yVal>
          <c:smooth val="0"/>
          <c:extLst>
            <c:ext xmlns:c16="http://schemas.microsoft.com/office/drawing/2014/chart" uri="{C3380CC4-5D6E-409C-BE32-E72D297353CC}">
              <c16:uniqueId val="{00000018-114F-4793-AEB3-DC0E82F308E1}"/>
            </c:ext>
          </c:extLst>
        </c:ser>
        <c:ser>
          <c:idx val="1"/>
          <c:order val="2"/>
          <c:tx>
            <c:strRef>
              <c:f>'Child Protection Plans'!$AA$4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'Child Protection Plans'!$AR$65</c:f>
              <c:numCache>
                <c:formatCode>0.0</c:formatCode>
                <c:ptCount val="1"/>
                <c:pt idx="0">
                  <c:v>#N/A</c:v>
                </c:pt>
              </c:numCache>
            </c:numRef>
          </c:xVal>
          <c:yVal>
            <c:numRef>
              <c:f>'Child Protection Plans'!$AQ$65</c:f>
              <c:numCache>
                <c:formatCode>0.0</c:formatCode>
                <c:ptCount val="1"/>
                <c:pt idx="0">
                  <c:v>#N/A</c:v>
                </c:pt>
              </c:numCache>
            </c:numRef>
          </c:yVal>
          <c:smooth val="0"/>
          <c:extLst>
            <c:ext xmlns:c16="http://schemas.microsoft.com/office/drawing/2014/chart" uri="{C3380CC4-5D6E-409C-BE32-E72D297353CC}">
              <c16:uniqueId val="{00000019-114F-4793-AEB3-DC0E82F308E1}"/>
            </c:ext>
          </c:extLst>
        </c:ser>
        <c:ser>
          <c:idx val="4"/>
          <c:order val="3"/>
          <c:tx>
            <c:strRef>
              <c:f>'Child Protection Plans'!$B$32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'Child Protection Plans'!$S$32</c:f>
              <c:numCache>
                <c:formatCode>0.0</c:formatCode>
                <c:ptCount val="1"/>
                <c:pt idx="0">
                  <c:v>12.371268250968637</c:v>
                </c:pt>
              </c:numCache>
            </c:numRef>
          </c:xVal>
          <c:yVal>
            <c:numRef>
              <c:f>'Child Protection Plans'!$O$32</c:f>
              <c:numCache>
                <c:formatCode>0.0</c:formatCode>
                <c:ptCount val="1"/>
                <c:pt idx="0">
                  <c:v>41.432512516603659</c:v>
                </c:pt>
              </c:numCache>
            </c:numRef>
          </c:yVal>
          <c:smooth val="0"/>
          <c:extLst>
            <c:ext xmlns:c16="http://schemas.microsoft.com/office/drawing/2014/chart" uri="{C3380CC4-5D6E-409C-BE32-E72D297353CC}">
              <c16:uniqueId val="{0000001A-114F-4793-AEB3-DC0E82F308E1}"/>
            </c:ext>
          </c:extLst>
        </c:ser>
        <c:ser>
          <c:idx val="2"/>
          <c:order val="4"/>
          <c:tx>
            <c:strRef>
              <c:f>'Child Protection Plans'!$Y$43</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114F-4793-AEB3-DC0E82F308E1}"/>
                </c:ext>
              </c:extLst>
            </c:dLbl>
            <c:dLbl>
              <c:idx val="1"/>
              <c:layout>
                <c:manualLayout>
                  <c:x val="-5.8479532163742583E-2"/>
                  <c:y val="3.3182503770739065E-2"/>
                </c:manualLayout>
              </c:layout>
              <c:tx>
                <c:strRef>
                  <c:f>'Child Protection Plans'!$AD$43</c:f>
                  <c:strCache>
                    <c:ptCount val="1"/>
                    <c:pt idx="0">
                      <c:v>r² = 0.358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{AE97B6E6-7A49-4C6D-9B31-5E850A85B234}</c15:txfldGUID>
                      <c15:f>'Child Protection Plans'!$AD$43</c15:f>
                      <c15:dlblFieldTableCache>
                        <c:ptCount val="1"/>
                        <c:pt idx="0">
                          <c:v>r² = 0.358</c:v>
                        </c:pt>
                      </c15:dlblFieldTableCache>
                    </c15:dlblFTEntry>
                  </c15:dlblFieldTable>
                  <c15:showDataLabelsRange val="0"/>
                </c:ext>
                <c:ext xmlns:c16="http://schemas.microsoft.com/office/drawing/2014/chart" uri="{C3380CC4-5D6E-409C-BE32-E72D297353CC}">
                  <c16:uniqueId val="{0000001C-114F-4793-AEB3-DC0E82F308E1}"/>
                </c:ext>
              </c:extLst>
            </c:dLbl>
            <c:spPr>
              <a:noFill/>
              <a:ln>
                <a:noFill/>
              </a:ln>
              <a:effectLst/>
            </c:spPr>
            <c:txPr>
              <a:bodyPr/>
              <a:lstStyle/>
              <a:p>
                <a:pPr>
                  <a:defRPr sz="9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 Protection Plans'!$AB$43:$AB$44</c:f>
              <c:numCache>
                <c:formatCode>General</c:formatCode>
                <c:ptCount val="2"/>
                <c:pt idx="0" formatCode="#,##0.0">
                  <c:v>5</c:v>
                </c:pt>
                <c:pt idx="1">
                  <c:v>35</c:v>
                </c:pt>
              </c:numCache>
            </c:numRef>
          </c:xVal>
          <c:yVal>
            <c:numRef>
              <c:f>'Child Protection Plans'!$AC$43:$AC$44</c:f>
              <c:numCache>
                <c:formatCode>0.0</c:formatCode>
                <c:ptCount val="2"/>
                <c:pt idx="0">
                  <c:v>21.82935031827196</c:v>
                </c:pt>
                <c:pt idx="1">
                  <c:v>79.062308260340558</c:v>
                </c:pt>
              </c:numCache>
            </c:numRef>
          </c:yVal>
          <c:smooth val="0"/>
          <c:extLst>
            <c:ext xmlns:c16="http://schemas.microsoft.com/office/drawing/2014/chart" uri="{C3380CC4-5D6E-409C-BE32-E72D297353CC}">
              <c16:uniqueId val="{0000001D-114F-4793-AEB3-DC0E82F308E1}"/>
            </c:ext>
          </c:extLst>
        </c:ser>
        <c:ser>
          <c:idx val="5"/>
          <c:order val="5"/>
          <c:tx>
            <c:strRef>
              <c:f>'Child Protection Plans'!$Y$41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114F-4793-AEB3-DC0E82F308E1}"/>
                </c:ext>
              </c:extLst>
            </c:dLbl>
            <c:dLbl>
              <c:idx val="1"/>
              <c:layout>
                <c:manualLayout>
                  <c:x val="-5.5555555555555448E-2"/>
                  <c:y val="-3.0165912518853696E-2"/>
                </c:manualLayout>
              </c:layout>
              <c:tx>
                <c:strRef>
                  <c:f>'Child Protection Plans'!$AD$42</c:f>
                  <c:strCache>
                    <c:ptCount val="1"/>
                    <c:pt idx="0">
                      <c:v>r² = 0.374</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{3EAB585C-35B3-42BD-8E01-8118FDC0F2A4}</c15:txfldGUID>
                      <c15:f>'Child Protection Plans'!$AD$42</c15:f>
                      <c15:dlblFieldTableCache>
                        <c:ptCount val="1"/>
                        <c:pt idx="0">
                          <c:v>r² = 0.374</c:v>
                        </c:pt>
                      </c15:dlblFieldTableCache>
                    </c15:dlblFTEntry>
                  </c15:dlblFieldTable>
                  <c15:showDataLabelsRange val="0"/>
                </c:ext>
                <c:ext xmlns:c16="http://schemas.microsoft.com/office/drawing/2014/chart" uri="{C3380CC4-5D6E-409C-BE32-E72D297353CC}">
                  <c16:uniqueId val="{0000001F-114F-4793-AEB3-DC0E82F308E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'Child Protection Plans'!$AB$41:$AB$42</c:f>
              <c:numCache>
                <c:formatCode>General</c:formatCode>
                <c:ptCount val="2"/>
                <c:pt idx="0" formatCode="#,##0.0">
                  <c:v>5</c:v>
                </c:pt>
                <c:pt idx="1">
                  <c:v>35</c:v>
                </c:pt>
              </c:numCache>
            </c:numRef>
          </c:xVal>
          <c:yVal>
            <c:numRef>
              <c:f>'Child Protection Plans'!$AC$41:$AC$42</c:f>
              <c:numCache>
                <c:formatCode>0.0</c:formatCode>
                <c:ptCount val="2"/>
                <c:pt idx="0">
                  <c:v>30.728380051643882</c:v>
                </c:pt>
                <c:pt idx="1">
                  <c:v>83.43192821610765</c:v>
                </c:pt>
              </c:numCache>
            </c:numRef>
          </c:yVal>
          <c:smooth val="0"/>
          <c:extLst>
            <c:ext xmlns:c16="http://schemas.microsoft.com/office/drawing/2014/chart" uri="{C3380CC4-5D6E-409C-BE32-E72D297353CC}">
              <c16:uniqueId val="{00000020-114F-4793-AEB3-DC0E82F308E1}"/>
            </c:ext>
          </c:extLst>
        </c:ser>
        <c:dLbls>
          <c:showLegendKey val="0"/>
          <c:showVal val="0"/>
          <c:showCatName val="0"/>
          <c:showSerName val="0"/>
          <c:showPercent val="0"/>
          <c:showBubbleSize val="0"/>
        </c:dLbls>
        <c:axId val="278586112"/>
        <c:axId val="278588032"/>
      </c:scatterChart>
      <c:valAx>
        <c:axId val="278586112"/>
        <c:scaling>
          <c:orientation val="minMax"/>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8588032"/>
        <c:crosses val="autoZero"/>
        <c:crossBetween val="midCat"/>
        <c:majorUnit val="5"/>
      </c:valAx>
      <c:valAx>
        <c:axId val="27858803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 Protection Plans per 10,000 0-17 year olds</a:t>
                </a:r>
              </a:p>
            </c:rich>
          </c:tx>
          <c:layout>
            <c:manualLayout>
              <c:xMode val="edge"/>
              <c:yMode val="edge"/>
              <c:x val="5.1878053704825358E-2"/>
              <c:y val="0.1402947889940723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858611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Referrals!$AL$5</c:f>
          <c:strCache>
            <c:ptCount val="1"/>
            <c:pt idx="0">
              <c:v>Average Annual Change in Number of Referrals</c:v>
            </c:pt>
          </c:strCache>
        </c:strRef>
      </c:tx>
      <c:layout>
        <c:manualLayout>
          <c:xMode val="edge"/>
          <c:yMode val="edge"/>
          <c:x val="9.5785619809663491E-3"/>
          <c:y val="1.1152426478663088E-2"/>
        </c:manualLayout>
      </c:layout>
      <c:overlay val="0"/>
      <c:spPr>
        <a:noFill/>
        <a:ln w="25400">
          <a:noFill/>
        </a:ln>
      </c:spPr>
      <c:txPr>
        <a:bodyPr/>
        <a:lstStyle/>
        <a:p>
          <a:pPr>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8.8163863776287224E-2"/>
          <c:w val="0.68840427716091512"/>
          <c:h val="0.85421616279446555"/>
        </c:manualLayout>
      </c:layout>
      <c:barChart>
        <c:barDir val="bar"/>
        <c:grouping val="clustered"/>
        <c:varyColors val="0"/>
        <c:ser>
          <c:idx val="0"/>
          <c:order val="0"/>
          <c:tx>
            <c:strRef>
              <c:f>Referrals!$I$7</c:f>
              <c:strCache>
                <c:ptCount val="1"/>
                <c:pt idx="0">
                  <c:v>Average Annual Change </c:v>
                </c:pt>
              </c:strCache>
            </c:strRef>
          </c:tx>
          <c:spPr>
            <a:solidFill>
              <a:srgbClr val="FB994F"/>
            </a:solidFill>
            <a:ln w="25400">
              <a:noFill/>
            </a:ln>
          </c:spPr>
          <c:invertIfNegative val="0"/>
          <c:cat>
            <c:strRef>
              <c:f>Referrals!$B$10:$B$33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Referrals!$I$10:$I$33</c:f>
              <c:numCache>
                <c:formatCode>0.0%</c:formatCode>
                <c:ptCount val="24"/>
                <c:pt idx="0">
                  <c:v>0.20719363066180496</c:v>
                </c:pt>
                <c:pt idx="1">
                  <c:v>-0.14664461959849281</c:v>
                </c:pt>
                <c:pt idx="2">
                  <c:v>0.13539621653728251</c:v>
                </c:pt>
                <c:pt idx="3">
                  <c:v>3.1760187529344938E-2</c:v>
                </c:pt>
                <c:pt idx="4">
                  <c:v>3.3163772140937756E-2</c:v>
                </c:pt>
                <c:pt idx="5">
                  <c:v>1.0508808412724367E-2</c:v>
                </c:pt>
                <c:pt idx="6">
                  <c:v>3.1963222494533539E-2</c:v>
                </c:pt>
                <c:pt idx="7">
                  <c:v>0.1004278254103039</c:v>
                </c:pt>
                <c:pt idx="8">
                  <c:v>2.7043166065081239E-2</c:v>
                </c:pt>
                <c:pt idx="9">
                  <c:v>4.9490580031764056E-2</c:v>
                </c:pt>
                <c:pt idx="10">
                  <c:v>0.10534506855692177</c:v>
                </c:pt>
                <c:pt idx="11">
                  <c:v>0.18696434800773559</c:v>
                </c:pt>
                <c:pt idx="12">
                  <c:v>0.19835591336113034</c:v>
                </c:pt>
                <c:pt idx="13">
                  <c:v>-7.0551294906877907E-2</c:v>
                </c:pt>
                <c:pt idx="14">
                  <c:v>-0.19133880666808772</c:v>
                </c:pt>
                <c:pt idx="15">
                  <c:v>2.9729062895113269E-2</c:v>
                </c:pt>
                <c:pt idx="16">
                  <c:v>6.6644456805432434E-2</c:v>
                </c:pt>
                <c:pt idx="17">
                  <c:v>-4.0047514758978588E-2</c:v>
                </c:pt>
                <c:pt idx="18">
                  <c:v>8.1195954307685433E-2</c:v>
                </c:pt>
                <c:pt idx="19">
                  <c:v>8.5917403272395429E-2</c:v>
                </c:pt>
                <c:pt idx="20">
                  <c:v>2.3229842767239647E-2</c:v>
                </c:pt>
                <c:pt idx="21">
                  <c:v>0.17489096178710545</c:v>
                </c:pt>
                <c:pt idx="22">
                  <c:v>1.3924874359104864E-2</c:v>
                </c:pt>
                <c:pt idx="23">
                  <c:v>6.2457525480302725E-3</c:v>
                </c:pt>
              </c:numCache>
            </c:numRef>
          </c:val>
          <c:extLst>
            <c:ext xmlns:c16="http://schemas.microsoft.com/office/drawing/2014/chart" uri="{C3380CC4-5D6E-409C-BE32-E72D297353CC}">
              <c16:uniqueId val="{00000000-549F-4B6B-808C-3D16856F6A33}"/>
            </c:ext>
          </c:extLst>
        </c:ser>
        <c:ser>
          <c:idx val="1"/>
          <c:order val="1"/>
          <c:tx>
            <c:strRef>
              <c:f>Referrals!$AA$4</c:f>
              <c:strCache>
                <c:ptCount val="1"/>
                <c:pt idx="0">
                  <c:v>Selected LA- (none)</c:v>
                </c:pt>
              </c:strCache>
            </c:strRef>
          </c:tx>
          <c:spPr>
            <a:solidFill>
              <a:srgbClr val="66FF99"/>
            </a:solidFill>
            <a:ln w="12700">
              <a:solidFill>
                <a:srgbClr val="000000"/>
              </a:solidFill>
              <a:prstDash val="solid"/>
            </a:ln>
          </c:spPr>
          <c:invertIfNegative val="0"/>
          <c:cat>
            <c:strRef>
              <c:f>Referrals!$B$10:$B$33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Referrals!$Z$77:$Z$100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549F-4B6B-808C-3D16856F6A33}"/>
            </c:ext>
          </c:extLst>
        </c:ser>
        <c:dLbls>
          <c:showLegendKey val="0"/>
          <c:showVal val="0"/>
          <c:showCatName val="0"/>
          <c:showSerName val="0"/>
          <c:showPercent val="0"/>
          <c:showBubbleSize val="0"/>
        </c:dLbls>
        <c:gapWidth val="40"/>
        <c:overlap val="100"/>
        <c:axId val="562564480"/>
        <c:axId val="562984064"/>
      </c:barChart>
      <c:catAx>
        <c:axId val="56256448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984064"/>
        <c:crosses val="autoZero"/>
        <c:auto val="1"/>
        <c:lblAlgn val="ctr"/>
        <c:lblOffset val="100"/>
        <c:noMultiLvlLbl val="0"/>
      </c:catAx>
      <c:valAx>
        <c:axId val="562984064"/>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2564480"/>
        <c:crosses val="max"/>
        <c:crossBetween val="between"/>
      </c:valAx>
      <c:spPr>
        <a:noFill/>
        <a:ln w="3175">
          <a:solidFill>
            <a:srgbClr val="000000"/>
          </a:solidFill>
          <a:prstDash val="solid"/>
        </a:ln>
      </c:spPr>
    </c:plotArea>
    <c:legend>
      <c:legendPos val="t"/>
      <c:layout>
        <c:manualLayout>
          <c:xMode val="edge"/>
          <c:yMode val="edge"/>
          <c:x val="0.25317633828160147"/>
          <c:y val="4.510676906127474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0.11894728783902012"/>
          <c:y val="1.2589354296580521E-2"/>
        </c:manualLayout>
      </c:layout>
      <c:overlay val="0"/>
      <c:spPr>
        <a:noFill/>
        <a:ln w="25400">
          <a:noFill/>
        </a:ln>
      </c:spPr>
    </c:title>
    <c:autoTitleDeleted val="0"/>
    <c:plotArea>
      <c:layout>
        <c:manualLayout>
          <c:layoutTarget val="inner"/>
          <c:xMode val="edge"/>
          <c:yMode val="edge"/>
          <c:x val="7.1224466506904033E-2"/>
          <c:y val="7.5616446156444389E-2"/>
          <c:w val="0.57508230927201043"/>
          <c:h val="0.86466476534538173"/>
        </c:manualLayout>
      </c:layout>
      <c:lineChart>
        <c:grouping val="standard"/>
        <c:varyColors val="0"/>
        <c:ser>
          <c:idx val="0"/>
          <c:order val="0"/>
          <c:tx>
            <c:strRef>
              <c:f>'Court Applications'!$AL$41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6CC6-46DB-86D2-E983DF19A2BD}"/>
              </c:ext>
            </c:extLst>
          </c:dPt>
          <c:cat>
            <c:strRef>
              <c:f>'Court Applications'!$Z$2:$AD$3</c:f>
              <c:strCache>
                <c:ptCount val="5"/>
                <c:pt idx="0">
                  <c:v>2014-15</c:v>
                </c:pt>
                <c:pt idx="1">
                  <c:v>2015-16</c:v>
                </c:pt>
                <c:pt idx="2">
                  <c:v>2016-17</c:v>
                </c:pt>
                <c:pt idx="3">
                  <c:v>2017-18</c:v>
                </c:pt>
                <c:pt idx="4">
                  <c:v>2018-19</c:v>
                </c:pt>
              </c:strCache>
            </c:strRef>
          </c:cat>
          <c:val>
            <c:numRef>
              <c:f>'Court Applications'!$AM$41:$AQ$41</c:f>
              <c:numCache>
                <c:formatCode>0.0</c:formatCode>
                <c:ptCount val="5"/>
                <c:pt idx="0">
                  <c:v>5.7553956834532372</c:v>
                </c:pt>
                <c:pt idx="1">
                  <c:v>12.411347517730498</c:v>
                </c:pt>
                <c:pt idx="2">
                  <c:v>12.411347517730498</c:v>
                </c:pt>
                <c:pt idx="3">
                  <c:v>19.572953736654803</c:v>
                </c:pt>
                <c:pt idx="4">
                  <c:v>14.840989399293287</c:v>
                </c:pt>
              </c:numCache>
            </c:numRef>
          </c:val>
          <c:smooth val="0"/>
          <c:extLst>
            <c:ext xmlns:c16="http://schemas.microsoft.com/office/drawing/2014/chart" uri="{C3380CC4-5D6E-409C-BE32-E72D297353CC}">
              <c16:uniqueId val="{00000001-6CC6-46DB-86D2-E983DF19A2BD}"/>
            </c:ext>
          </c:extLst>
        </c:ser>
        <c:ser>
          <c:idx val="1"/>
          <c:order val="1"/>
          <c:tx>
            <c:strRef>
              <c:f>'Court Applications'!$AL$42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Applications'!$AM$42:$AQ$42</c:f>
              <c:numCache>
                <c:formatCode>0.0</c:formatCode>
                <c:ptCount val="5"/>
                <c:pt idx="0">
                  <c:v>15.686274509803921</c:v>
                </c:pt>
                <c:pt idx="1">
                  <c:v>19.3359375</c:v>
                </c:pt>
                <c:pt idx="2">
                  <c:v>20.2729044834308</c:v>
                </c:pt>
                <c:pt idx="3">
                  <c:v>15.098039215686274</c:v>
                </c:pt>
                <c:pt idx="4">
                  <c:v>11.96078431372549</c:v>
                </c:pt>
              </c:numCache>
            </c:numRef>
          </c:val>
          <c:smooth val="0"/>
          <c:extLst>
            <c:ext xmlns:c16="http://schemas.microsoft.com/office/drawing/2014/chart" uri="{C3380CC4-5D6E-409C-BE32-E72D297353CC}">
              <c16:uniqueId val="{00000002-6CC6-46DB-86D2-E983DF19A2BD}"/>
            </c:ext>
          </c:extLst>
        </c:ser>
        <c:ser>
          <c:idx val="2"/>
          <c:order val="2"/>
          <c:tx>
            <c:strRef>
              <c:f>'Court Applications'!$AL$43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Applications'!$AM$43:$AQ$43</c:f>
              <c:numCache>
                <c:formatCode>0.0</c:formatCode>
                <c:ptCount val="5"/>
                <c:pt idx="0">
                  <c:v>4.6257359125315389</c:v>
                </c:pt>
                <c:pt idx="1">
                  <c:v>9.9502487562189046</c:v>
                </c:pt>
                <c:pt idx="2">
                  <c:v>8.3469721767594116</c:v>
                </c:pt>
                <c:pt idx="3">
                  <c:v>7.0674248578391552</c:v>
                </c:pt>
                <c:pt idx="4">
                  <c:v>8.3668543845534984</c:v>
                </c:pt>
              </c:numCache>
            </c:numRef>
          </c:val>
          <c:smooth val="0"/>
          <c:extLst>
            <c:ext xmlns:c16="http://schemas.microsoft.com/office/drawing/2014/chart" uri="{C3380CC4-5D6E-409C-BE32-E72D297353CC}">
              <c16:uniqueId val="{00000003-6CC6-46DB-86D2-E983DF19A2BD}"/>
            </c:ext>
          </c:extLst>
        </c:ser>
        <c:ser>
          <c:idx val="5"/>
          <c:order val="3"/>
          <c:tx>
            <c:strRef>
              <c:f>'Court Applications'!$AL$44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Applications'!$AM$44:$AQ$44</c:f>
              <c:numCache>
                <c:formatCode>0.0</c:formatCode>
                <c:ptCount val="5"/>
                <c:pt idx="0">
                  <c:v>5.9772296015180268</c:v>
                </c:pt>
                <c:pt idx="1">
                  <c:v>7.7431539187913128</c:v>
                </c:pt>
                <c:pt idx="2">
                  <c:v>9.3484419263456093</c:v>
                </c:pt>
                <c:pt idx="3">
                  <c:v>8.4905660377358494</c:v>
                </c:pt>
                <c:pt idx="4">
                  <c:v>7.7067669172932334</c:v>
                </c:pt>
              </c:numCache>
            </c:numRef>
          </c:val>
          <c:smooth val="0"/>
          <c:extLst>
            <c:ext xmlns:c16="http://schemas.microsoft.com/office/drawing/2014/chart" uri="{C3380CC4-5D6E-409C-BE32-E72D297353CC}">
              <c16:uniqueId val="{00000004-6CC6-46DB-86D2-E983DF19A2BD}"/>
            </c:ext>
          </c:extLst>
        </c:ser>
        <c:ser>
          <c:idx val="9"/>
          <c:order val="4"/>
          <c:tx>
            <c:strRef>
              <c:f>'Court Applications'!$AL$45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Applications'!$AM$45:$AQ$45</c:f>
              <c:numCache>
                <c:formatCode>0.0</c:formatCode>
                <c:ptCount val="5"/>
                <c:pt idx="0">
                  <c:v>6.0746003552397871</c:v>
                </c:pt>
                <c:pt idx="1">
                  <c:v>6.8818730046115641</c:v>
                </c:pt>
                <c:pt idx="2">
                  <c:v>8.026874115983027</c:v>
                </c:pt>
                <c:pt idx="3">
                  <c:v>9.1422520296505478</c:v>
                </c:pt>
                <c:pt idx="4">
                  <c:v>9.295774647887324</c:v>
                </c:pt>
              </c:numCache>
            </c:numRef>
          </c:val>
          <c:smooth val="0"/>
          <c:extLst>
            <c:ext xmlns:c16="http://schemas.microsoft.com/office/drawing/2014/chart" uri="{C3380CC4-5D6E-409C-BE32-E72D297353CC}">
              <c16:uniqueId val="{00000005-6CC6-46DB-86D2-E983DF19A2BD}"/>
            </c:ext>
          </c:extLst>
        </c:ser>
        <c:ser>
          <c:idx val="10"/>
          <c:order val="5"/>
          <c:tx>
            <c:strRef>
              <c:f>'Court Applications'!$AL$46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Applications'!$AM$46:$AQ$46</c:f>
              <c:numCache>
                <c:formatCode>0.0</c:formatCode>
                <c:ptCount val="5"/>
                <c:pt idx="0">
                  <c:v>14.901960784313726</c:v>
                </c:pt>
                <c:pt idx="1">
                  <c:v>12.648221343873518</c:v>
                </c:pt>
                <c:pt idx="2">
                  <c:v>17.063492063492063</c:v>
                </c:pt>
                <c:pt idx="3">
                  <c:v>16.334661354581673</c:v>
                </c:pt>
                <c:pt idx="4">
                  <c:v>16.064257028112451</c:v>
                </c:pt>
              </c:numCache>
            </c:numRef>
          </c:val>
          <c:smooth val="0"/>
          <c:extLst>
            <c:ext xmlns:c16="http://schemas.microsoft.com/office/drawing/2014/chart" uri="{C3380CC4-5D6E-409C-BE32-E72D297353CC}">
              <c16:uniqueId val="{00000006-6CC6-46DB-86D2-E983DF19A2BD}"/>
            </c:ext>
          </c:extLst>
        </c:ser>
        <c:ser>
          <c:idx val="11"/>
          <c:order val="6"/>
          <c:tx>
            <c:strRef>
              <c:f>'Court Applications'!$AL$47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Applications'!$AM$47:$AQ$47</c:f>
              <c:numCache>
                <c:formatCode>0.0</c:formatCode>
                <c:ptCount val="5"/>
                <c:pt idx="0">
                  <c:v>7.4626865671641793</c:v>
                </c:pt>
                <c:pt idx="1">
                  <c:v>7.8692493946731235</c:v>
                </c:pt>
                <c:pt idx="2">
                  <c:v>9.1591591591591595</c:v>
                </c:pt>
                <c:pt idx="3">
                  <c:v>8.8069027075275219</c:v>
                </c:pt>
                <c:pt idx="4">
                  <c:v>7.0567480152896209</c:v>
                </c:pt>
              </c:numCache>
            </c:numRef>
          </c:val>
          <c:smooth val="0"/>
          <c:extLst>
            <c:ext xmlns:c16="http://schemas.microsoft.com/office/drawing/2014/chart" uri="{C3380CC4-5D6E-409C-BE32-E72D297353CC}">
              <c16:uniqueId val="{00000007-6CC6-46DB-86D2-E983DF19A2BD}"/>
            </c:ext>
          </c:extLst>
        </c:ser>
        <c:ser>
          <c:idx val="12"/>
          <c:order val="7"/>
          <c:tx>
            <c:strRef>
              <c:f>'Court Applications'!$AL$48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Applications'!$AM$48:$AQ$48</c:f>
              <c:numCache>
                <c:formatCode>0.0</c:formatCode>
                <c:ptCount val="5"/>
                <c:pt idx="0">
                  <c:v>14.4</c:v>
                </c:pt>
                <c:pt idx="1">
                  <c:v>22.468354430379748</c:v>
                </c:pt>
                <c:pt idx="2">
                  <c:v>9.2621664050235477</c:v>
                </c:pt>
                <c:pt idx="3">
                  <c:v>13.145539906103286</c:v>
                </c:pt>
                <c:pt idx="4">
                  <c:v>11.180124223602483</c:v>
                </c:pt>
              </c:numCache>
            </c:numRef>
          </c:val>
          <c:smooth val="0"/>
          <c:extLst>
            <c:ext xmlns:c16="http://schemas.microsoft.com/office/drawing/2014/chart" uri="{C3380CC4-5D6E-409C-BE32-E72D297353CC}">
              <c16:uniqueId val="{00000008-6CC6-46DB-86D2-E983DF19A2BD}"/>
            </c:ext>
          </c:extLst>
        </c:ser>
        <c:ser>
          <c:idx val="13"/>
          <c:order val="8"/>
          <c:tx>
            <c:strRef>
              <c:f>'Court Applications'!$AL$49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Applications'!$AM$49:$AQ$49</c:f>
              <c:numCache>
                <c:formatCode>0.0</c:formatCode>
                <c:ptCount val="5"/>
                <c:pt idx="0">
                  <c:v>5.9815950920245395</c:v>
                </c:pt>
                <c:pt idx="1">
                  <c:v>9.2284417549167923</c:v>
                </c:pt>
                <c:pt idx="2">
                  <c:v>12.220566318926975</c:v>
                </c:pt>
                <c:pt idx="3">
                  <c:v>8.7278106508875748</c:v>
                </c:pt>
                <c:pt idx="4">
                  <c:v>10.395314787701318</c:v>
                </c:pt>
              </c:numCache>
            </c:numRef>
          </c:val>
          <c:smooth val="0"/>
          <c:extLst>
            <c:ext xmlns:c16="http://schemas.microsoft.com/office/drawing/2014/chart" uri="{C3380CC4-5D6E-409C-BE32-E72D297353CC}">
              <c16:uniqueId val="{00000009-6CC6-46DB-86D2-E983DF19A2BD}"/>
            </c:ext>
          </c:extLst>
        </c:ser>
        <c:ser>
          <c:idx val="15"/>
          <c:order val="9"/>
          <c:tx>
            <c:strRef>
              <c:f>'Court Applications'!$AL$50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Applications'!$AM$50:$AQ$50</c:f>
              <c:numCache>
                <c:formatCode>0.0</c:formatCode>
                <c:ptCount val="5"/>
                <c:pt idx="0">
                  <c:v>7.9320113314447589</c:v>
                </c:pt>
                <c:pt idx="1">
                  <c:v>10.860366713681241</c:v>
                </c:pt>
                <c:pt idx="2">
                  <c:v>11.126662001399581</c:v>
                </c:pt>
                <c:pt idx="3">
                  <c:v>9.4142259414225933</c:v>
                </c:pt>
                <c:pt idx="4">
                  <c:v>10.911602209944752</c:v>
                </c:pt>
              </c:numCache>
            </c:numRef>
          </c:val>
          <c:smooth val="0"/>
          <c:extLst>
            <c:ext xmlns:c16="http://schemas.microsoft.com/office/drawing/2014/chart" uri="{C3380CC4-5D6E-409C-BE32-E72D297353CC}">
              <c16:uniqueId val="{0000000A-6CC6-46DB-86D2-E983DF19A2BD}"/>
            </c:ext>
          </c:extLst>
        </c:ser>
        <c:ser>
          <c:idx val="16"/>
          <c:order val="10"/>
          <c:tx>
            <c:strRef>
              <c:f>'Court Applications'!$AL$51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Applications'!$AM$51:$AQ$51</c:f>
              <c:numCache>
                <c:formatCode>0.0</c:formatCode>
                <c:ptCount val="5"/>
                <c:pt idx="0">
                  <c:v>13.59447004608295</c:v>
                </c:pt>
                <c:pt idx="1">
                  <c:v>10.273972602739725</c:v>
                </c:pt>
                <c:pt idx="2">
                  <c:v>10.90909090909091</c:v>
                </c:pt>
                <c:pt idx="3">
                  <c:v>16.5158371040724</c:v>
                </c:pt>
                <c:pt idx="4">
                  <c:v>15.454545454545453</c:v>
                </c:pt>
              </c:numCache>
            </c:numRef>
          </c:val>
          <c:smooth val="0"/>
          <c:extLst>
            <c:ext xmlns:c16="http://schemas.microsoft.com/office/drawing/2014/chart" uri="{C3380CC4-5D6E-409C-BE32-E72D297353CC}">
              <c16:uniqueId val="{0000000B-6CC6-46DB-86D2-E983DF19A2BD}"/>
            </c:ext>
          </c:extLst>
        </c:ser>
        <c:ser>
          <c:idx val="17"/>
          <c:order val="11"/>
          <c:tx>
            <c:strRef>
              <c:f>'Court Applications'!$AL$52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Applications'!$AM$52:$AQ$52</c:f>
              <c:numCache>
                <c:formatCode>0.0</c:formatCode>
                <c:ptCount val="5"/>
                <c:pt idx="0">
                  <c:v>10.863509749303622</c:v>
                </c:pt>
                <c:pt idx="1">
                  <c:v>18.406593406593409</c:v>
                </c:pt>
                <c:pt idx="2">
                  <c:v>21.311475409836067</c:v>
                </c:pt>
                <c:pt idx="3">
                  <c:v>16.981132075471699</c:v>
                </c:pt>
                <c:pt idx="4">
                  <c:v>19.676549865229113</c:v>
                </c:pt>
              </c:numCache>
            </c:numRef>
          </c:val>
          <c:smooth val="0"/>
          <c:extLst>
            <c:ext xmlns:c16="http://schemas.microsoft.com/office/drawing/2014/chart" uri="{C3380CC4-5D6E-409C-BE32-E72D297353CC}">
              <c16:uniqueId val="{0000000C-6CC6-46DB-86D2-E983DF19A2BD}"/>
            </c:ext>
          </c:extLst>
        </c:ser>
        <c:ser>
          <c:idx val="19"/>
          <c:order val="12"/>
          <c:tx>
            <c:strRef>
              <c:f>'Court Applications'!$AL$53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Applications'!$AM$53:$AQ$53</c:f>
              <c:numCache>
                <c:formatCode>0.0</c:formatCode>
                <c:ptCount val="5"/>
                <c:pt idx="0">
                  <c:v>9.2731829573934839</c:v>
                </c:pt>
                <c:pt idx="1">
                  <c:v>14.039408866995075</c:v>
                </c:pt>
                <c:pt idx="2">
                  <c:v>12.560386473429951</c:v>
                </c:pt>
                <c:pt idx="3">
                  <c:v>13.507109004739338</c:v>
                </c:pt>
                <c:pt idx="4">
                  <c:v>12.646370023419204</c:v>
                </c:pt>
              </c:numCache>
            </c:numRef>
          </c:val>
          <c:smooth val="0"/>
          <c:extLst>
            <c:ext xmlns:c16="http://schemas.microsoft.com/office/drawing/2014/chart" uri="{C3380CC4-5D6E-409C-BE32-E72D297353CC}">
              <c16:uniqueId val="{0000000D-6CC6-46DB-86D2-E983DF19A2BD}"/>
            </c:ext>
          </c:extLst>
        </c:ser>
        <c:ser>
          <c:idx val="3"/>
          <c:order val="13"/>
          <c:tx>
            <c:strRef>
              <c:f>'Court Applications'!$AL$54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Applications'!$AM$54:$AQ$54</c:f>
              <c:numCache>
                <c:formatCode>0.0</c:formatCode>
                <c:ptCount val="5"/>
                <c:pt idx="0">
                  <c:v>11.845730027548209</c:v>
                </c:pt>
                <c:pt idx="1">
                  <c:v>13.644688644688646</c:v>
                </c:pt>
                <c:pt idx="2">
                  <c:v>13.309024612579764</c:v>
                </c:pt>
                <c:pt idx="3">
                  <c:v>11.989100817438691</c:v>
                </c:pt>
                <c:pt idx="4">
                  <c:v>10.659439927732612</c:v>
                </c:pt>
              </c:numCache>
            </c:numRef>
          </c:val>
          <c:smooth val="0"/>
          <c:extLst>
            <c:ext xmlns:c16="http://schemas.microsoft.com/office/drawing/2014/chart" uri="{C3380CC4-5D6E-409C-BE32-E72D297353CC}">
              <c16:uniqueId val="{0000000E-6CC6-46DB-86D2-E983DF19A2BD}"/>
            </c:ext>
          </c:extLst>
        </c:ser>
        <c:ser>
          <c:idx val="20"/>
          <c:order val="14"/>
          <c:tx>
            <c:strRef>
              <c:f>'Court Applications'!$AL$55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Applications'!$AM$55:$AQ$55</c:f>
              <c:numCache>
                <c:formatCode>0.0</c:formatCode>
                <c:ptCount val="5"/>
                <c:pt idx="0">
                  <c:v>19.753086419753085</c:v>
                </c:pt>
                <c:pt idx="1">
                  <c:v>18.902439024390244</c:v>
                </c:pt>
                <c:pt idx="2">
                  <c:v>17.434869739478959</c:v>
                </c:pt>
                <c:pt idx="3">
                  <c:v>17.892644135188867</c:v>
                </c:pt>
                <c:pt idx="4">
                  <c:v>15.748031496062993</c:v>
                </c:pt>
              </c:numCache>
            </c:numRef>
          </c:val>
          <c:smooth val="0"/>
          <c:extLst>
            <c:ext xmlns:c16="http://schemas.microsoft.com/office/drawing/2014/chart" uri="{C3380CC4-5D6E-409C-BE32-E72D297353CC}">
              <c16:uniqueId val="{0000000F-6CC6-46DB-86D2-E983DF19A2BD}"/>
            </c:ext>
          </c:extLst>
        </c:ser>
        <c:ser>
          <c:idx val="22"/>
          <c:order val="15"/>
          <c:tx>
            <c:strRef>
              <c:f>'Court Applications'!$AL$56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Applications'!$AM$56:$AQ$56</c:f>
              <c:numCache>
                <c:formatCode>0.0</c:formatCode>
                <c:ptCount val="5"/>
                <c:pt idx="0">
                  <c:v>4.2026708562450903</c:v>
                </c:pt>
                <c:pt idx="1">
                  <c:v>5.4992199687987515</c:v>
                </c:pt>
                <c:pt idx="2">
                  <c:v>6.9498069498069492</c:v>
                </c:pt>
                <c:pt idx="3">
                  <c:v>7.8755282366500197</c:v>
                </c:pt>
                <c:pt idx="4">
                  <c:v>7.5219549446353575</c:v>
                </c:pt>
              </c:numCache>
            </c:numRef>
          </c:val>
          <c:smooth val="0"/>
          <c:extLst>
            <c:ext xmlns:c16="http://schemas.microsoft.com/office/drawing/2014/chart" uri="{C3380CC4-5D6E-409C-BE32-E72D297353CC}">
              <c16:uniqueId val="{00000010-6CC6-46DB-86D2-E983DF19A2BD}"/>
            </c:ext>
          </c:extLst>
        </c:ser>
        <c:ser>
          <c:idx val="7"/>
          <c:order val="16"/>
          <c:tx>
            <c:strRef>
              <c:f>'Court Applications'!$AL$57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'Court Applications'!$Z$2:$AD$3</c:f>
              <c:strCache>
                <c:ptCount val="5"/>
                <c:pt idx="0">
                  <c:v>2014-15</c:v>
                </c:pt>
                <c:pt idx="1">
                  <c:v>2015-16</c:v>
                </c:pt>
                <c:pt idx="2">
                  <c:v>2016-17</c:v>
                </c:pt>
                <c:pt idx="3">
                  <c:v>2017-18</c:v>
                </c:pt>
                <c:pt idx="4">
                  <c:v>2018-19</c:v>
                </c:pt>
              </c:strCache>
            </c:strRef>
          </c:cat>
          <c:val>
            <c:numRef>
              <c:f>'Court Applications'!$AM$57:$AQ$57</c:f>
              <c:numCache>
                <c:formatCode>0.0</c:formatCode>
                <c:ptCount val="5"/>
                <c:pt idx="0">
                  <c:v>9.6707818930041149</c:v>
                </c:pt>
                <c:pt idx="1">
                  <c:v>10.816326530612246</c:v>
                </c:pt>
                <c:pt idx="2">
                  <c:v>15.757575757575758</c:v>
                </c:pt>
                <c:pt idx="3">
                  <c:v>17.234468937875754</c:v>
                </c:pt>
                <c:pt idx="4">
                  <c:v>14.541832669322709</c:v>
                </c:pt>
              </c:numCache>
            </c:numRef>
          </c:val>
          <c:smooth val="0"/>
          <c:extLst>
            <c:ext xmlns:c16="http://schemas.microsoft.com/office/drawing/2014/chart" uri="{C3380CC4-5D6E-409C-BE32-E72D297353CC}">
              <c16:uniqueId val="{00000011-6CC6-46DB-86D2-E983DF19A2BD}"/>
            </c:ext>
          </c:extLst>
        </c:ser>
        <c:ser>
          <c:idx val="8"/>
          <c:order val="17"/>
          <c:tx>
            <c:strRef>
              <c:f>'Court Applications'!$AL$58</c:f>
              <c:strCache>
                <c:ptCount val="1"/>
                <c:pt idx="0">
                  <c:v>Torbay</c:v>
                </c:pt>
              </c:strCache>
            </c:strRef>
          </c:tx>
          <c:spPr>
            <a:ln w="15875"/>
          </c:spPr>
          <c:marker>
            <c:symbol val="circle"/>
            <c:size val="5"/>
            <c:spPr>
              <a:solidFill>
                <a:schemeClr val="accent3">
                  <a:lumMod val="20000"/>
                  <a:lumOff val="80000"/>
                </a:schemeClr>
              </a:solidFill>
            </c:spPr>
          </c:marker>
          <c:cat>
            <c:strRef>
              <c:f>'Court Applications'!$Z$2:$AD$3</c:f>
              <c:strCache>
                <c:ptCount val="5"/>
                <c:pt idx="0">
                  <c:v>2014-15</c:v>
                </c:pt>
                <c:pt idx="1">
                  <c:v>2015-16</c:v>
                </c:pt>
                <c:pt idx="2">
                  <c:v>2016-17</c:v>
                </c:pt>
                <c:pt idx="3">
                  <c:v>2017-18</c:v>
                </c:pt>
                <c:pt idx="4">
                  <c:v>2018-19</c:v>
                </c:pt>
              </c:strCache>
            </c:strRef>
          </c:cat>
          <c:val>
            <c:numRef>
              <c:f>'Court Applications'!$AM$58:$AQ$58</c:f>
              <c:numCache>
                <c:formatCode>0.0</c:formatCode>
                <c:ptCount val="5"/>
                <c:pt idx="0">
                  <c:v>23.107569721115539</c:v>
                </c:pt>
                <c:pt idx="1">
                  <c:v>21.825396825396826</c:v>
                </c:pt>
                <c:pt idx="2">
                  <c:v>22.047244094488189</c:v>
                </c:pt>
                <c:pt idx="3">
                  <c:v>23.622047244094489</c:v>
                </c:pt>
                <c:pt idx="4">
                  <c:v>24.803149606299211</c:v>
                </c:pt>
              </c:numCache>
            </c:numRef>
          </c:val>
          <c:smooth val="0"/>
          <c:extLst>
            <c:ext xmlns:c16="http://schemas.microsoft.com/office/drawing/2014/chart" uri="{C3380CC4-5D6E-409C-BE32-E72D297353CC}">
              <c16:uniqueId val="{00000012-6CC6-46DB-86D2-E983DF19A2BD}"/>
            </c:ext>
          </c:extLst>
        </c:ser>
        <c:ser>
          <c:idx val="23"/>
          <c:order val="18"/>
          <c:tx>
            <c:strRef>
              <c:f>'Court Applications'!$AL$59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Applications'!$AM$59:$AQ$59</c:f>
              <c:numCache>
                <c:formatCode>0.0</c:formatCode>
                <c:ptCount val="5"/>
                <c:pt idx="0">
                  <c:v>8.4269662921348321</c:v>
                </c:pt>
                <c:pt idx="1">
                  <c:v>13.725490196078432</c:v>
                </c:pt>
                <c:pt idx="2">
                  <c:v>10.863509749303622</c:v>
                </c:pt>
                <c:pt idx="3">
                  <c:v>10.05586592178771</c:v>
                </c:pt>
                <c:pt idx="4">
                  <c:v>9.2696629213483153</c:v>
                </c:pt>
              </c:numCache>
            </c:numRef>
          </c:val>
          <c:smooth val="0"/>
          <c:extLst>
            <c:ext xmlns:c16="http://schemas.microsoft.com/office/drawing/2014/chart" uri="{C3380CC4-5D6E-409C-BE32-E72D297353CC}">
              <c16:uniqueId val="{00000013-6CC6-46DB-86D2-E983DF19A2BD}"/>
            </c:ext>
          </c:extLst>
        </c:ser>
        <c:ser>
          <c:idx val="24"/>
          <c:order val="19"/>
          <c:tx>
            <c:strRef>
              <c:f>'Court Applications'!$AL$60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Applications'!$AM$60:$AQ$60</c:f>
              <c:numCache>
                <c:formatCode>0.0</c:formatCode>
                <c:ptCount val="5"/>
                <c:pt idx="0">
                  <c:v>5.2132701421800949</c:v>
                </c:pt>
                <c:pt idx="1">
                  <c:v>8.0985915492957741</c:v>
                </c:pt>
                <c:pt idx="2">
                  <c:v>9.3713620488940634</c:v>
                </c:pt>
                <c:pt idx="3">
                  <c:v>9.4633583381419513</c:v>
                </c:pt>
                <c:pt idx="4">
                  <c:v>8.5289066971951915</c:v>
                </c:pt>
              </c:numCache>
            </c:numRef>
          </c:val>
          <c:smooth val="0"/>
          <c:extLst>
            <c:ext xmlns:c16="http://schemas.microsoft.com/office/drawing/2014/chart" uri="{C3380CC4-5D6E-409C-BE32-E72D297353CC}">
              <c16:uniqueId val="{00000014-6CC6-46DB-86D2-E983DF19A2BD}"/>
            </c:ext>
          </c:extLst>
        </c:ser>
        <c:ser>
          <c:idx val="25"/>
          <c:order val="20"/>
          <c:tx>
            <c:strRef>
              <c:f>'Court Applications'!$AL$61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Applications'!$AM$61:$AQ$61</c:f>
              <c:numCache>
                <c:formatCode>0.0</c:formatCode>
                <c:ptCount val="5"/>
                <c:pt idx="0">
                  <c:v>3.5928143712574849</c:v>
                </c:pt>
                <c:pt idx="1">
                  <c:v>5.0445103857566771</c:v>
                </c:pt>
                <c:pt idx="2">
                  <c:v>7.6023391812865491</c:v>
                </c:pt>
                <c:pt idx="3">
                  <c:v>5.5232558139534884</c:v>
                </c:pt>
                <c:pt idx="4">
                  <c:v>6.6473988439306355</c:v>
                </c:pt>
              </c:numCache>
            </c:numRef>
          </c:val>
          <c:smooth val="0"/>
          <c:extLst>
            <c:ext xmlns:c16="http://schemas.microsoft.com/office/drawing/2014/chart" uri="{C3380CC4-5D6E-409C-BE32-E72D297353CC}">
              <c16:uniqueId val="{00000015-6CC6-46DB-86D2-E983DF19A2BD}"/>
            </c:ext>
          </c:extLst>
        </c:ser>
        <c:ser>
          <c:idx val="26"/>
          <c:order val="21"/>
          <c:tx>
            <c:strRef>
              <c:f>'Court Applications'!$AL$62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Applications'!$AM$62:$AQ$62</c:f>
              <c:numCache>
                <c:formatCode>0.0</c:formatCode>
                <c:ptCount val="5"/>
                <c:pt idx="0">
                  <c:v>3.2520325203252032</c:v>
                </c:pt>
                <c:pt idx="1">
                  <c:v>5.6300268096514747</c:v>
                </c:pt>
                <c:pt idx="2">
                  <c:v>4.7368421052631575</c:v>
                </c:pt>
                <c:pt idx="3">
                  <c:v>5.4263565891472867</c:v>
                </c:pt>
                <c:pt idx="4">
                  <c:v>6.8354430379746836</c:v>
                </c:pt>
              </c:numCache>
            </c:numRef>
          </c:val>
          <c:smooth val="0"/>
          <c:extLst>
            <c:ext xmlns:c16="http://schemas.microsoft.com/office/drawing/2014/chart" uri="{C3380CC4-5D6E-409C-BE32-E72D297353CC}">
              <c16:uniqueId val="{00000016-6CC6-46DB-86D2-E983DF19A2BD}"/>
            </c:ext>
          </c:extLst>
        </c:ser>
        <c:ser>
          <c:idx val="4"/>
          <c:order val="22"/>
          <c:tx>
            <c:strRef>
              <c:f>'Court Applications'!$AL$63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Applications'!$AM$63:$AQ$63</c:f>
              <c:numCache>
                <c:formatCode>0.0</c:formatCode>
                <c:ptCount val="5"/>
                <c:pt idx="0">
                  <c:v>7.3198907792480563</c:v>
                </c:pt>
                <c:pt idx="1">
                  <c:v>9.4207809811792913</c:v>
                </c:pt>
                <c:pt idx="2">
                  <c:v>9.8494645905540334</c:v>
                </c:pt>
                <c:pt idx="3">
                  <c:v>9.8307526107310057</c:v>
                </c:pt>
                <c:pt idx="4">
                  <c:v>9.390007152344948</c:v>
                </c:pt>
              </c:numCache>
            </c:numRef>
          </c:val>
          <c:smooth val="0"/>
          <c:extLst>
            <c:ext xmlns:c16="http://schemas.microsoft.com/office/drawing/2014/chart" uri="{C3380CC4-5D6E-409C-BE32-E72D297353CC}">
              <c16:uniqueId val="{00000017-6CC6-46DB-86D2-E983DF19A2BD}"/>
            </c:ext>
          </c:extLst>
        </c:ser>
        <c:ser>
          <c:idx val="14"/>
          <c:order val="23"/>
          <c:tx>
            <c:strRef>
              <c:f>'Court Applications'!$AL$64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'Court Applications'!$Z$2:$AD$3</c:f>
              <c:strCache>
                <c:ptCount val="5"/>
                <c:pt idx="0">
                  <c:v>2014-15</c:v>
                </c:pt>
                <c:pt idx="1">
                  <c:v>2015-16</c:v>
                </c:pt>
                <c:pt idx="2">
                  <c:v>2016-17</c:v>
                </c:pt>
                <c:pt idx="3">
                  <c:v>2017-18</c:v>
                </c:pt>
                <c:pt idx="4">
                  <c:v>2018-19</c:v>
                </c:pt>
              </c:strCache>
            </c:strRef>
          </c:cat>
          <c:val>
            <c:numRef>
              <c:f>'Court Applications'!$AM$64:$AQ$64</c:f>
              <c:numCache>
                <c:formatCode>0.0</c:formatCode>
                <c:ptCount val="5"/>
                <c:pt idx="0">
                  <c:v>9.5870321005547066</c:v>
                </c:pt>
                <c:pt idx="1">
                  <c:v>10.954024268061895</c:v>
                </c:pt>
                <c:pt idx="2">
                  <c:v>12.387465741219994</c:v>
                </c:pt>
                <c:pt idx="3">
                  <c:v>11.979438779809557</c:v>
                </c:pt>
                <c:pt idx="4">
                  <c:v>11.339568032389206</c:v>
                </c:pt>
              </c:numCache>
            </c:numRef>
          </c:val>
          <c:smooth val="0"/>
          <c:extLst>
            <c:ext xmlns:c16="http://schemas.microsoft.com/office/drawing/2014/chart" uri="{C3380CC4-5D6E-409C-BE32-E72D297353CC}">
              <c16:uniqueId val="{00000018-6CC6-46DB-86D2-E983DF19A2BD}"/>
            </c:ext>
          </c:extLst>
        </c:ser>
        <c:ser>
          <c:idx val="6"/>
          <c:order val="24"/>
          <c:tx>
            <c:strRef>
              <c:f>'Court Applications'!$AL$65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'Court Applications'!$Z$2:$AD$3</c:f>
              <c:strCache>
                <c:ptCount val="5"/>
                <c:pt idx="0">
                  <c:v>2014-15</c:v>
                </c:pt>
                <c:pt idx="1">
                  <c:v>2015-16</c:v>
                </c:pt>
                <c:pt idx="2">
                  <c:v>2016-17</c:v>
                </c:pt>
                <c:pt idx="3">
                  <c:v>2017-18</c:v>
                </c:pt>
                <c:pt idx="4">
                  <c:v>2018-19</c:v>
                </c:pt>
              </c:strCache>
            </c:strRef>
          </c:cat>
          <c:val>
            <c:numRef>
              <c:f>'Court Applications'!$AM$65:$AQ$65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6CC6-46DB-86D2-E983DF19A2BD}"/>
            </c:ext>
          </c:extLst>
        </c:ser>
        <c:dLbls>
          <c:showLegendKey val="0"/>
          <c:showVal val="0"/>
          <c:showCatName val="0"/>
          <c:showSerName val="0"/>
          <c:showPercent val="0"/>
          <c:showBubbleSize val="0"/>
        </c:dLbls>
        <c:marker val="1"/>
        <c:smooth val="0"/>
        <c:axId val="265380992"/>
        <c:axId val="265382912"/>
      </c:lineChart>
      <c:catAx>
        <c:axId val="265380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382912"/>
        <c:crosses val="autoZero"/>
        <c:auto val="1"/>
        <c:lblAlgn val="ctr"/>
        <c:lblOffset val="100"/>
        <c:tickLblSkip val="1"/>
        <c:tickMarkSkip val="1"/>
        <c:noMultiLvlLbl val="0"/>
      </c:catAx>
      <c:valAx>
        <c:axId val="26538291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38099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 to Court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23322357432593657"/>
          <c:y val="3.8613923259592556E-3"/>
        </c:manualLayout>
      </c:layout>
      <c:overlay val="0"/>
      <c:spPr>
        <a:noFill/>
        <a:ln w="25400">
          <a:noFill/>
        </a:ln>
      </c:spPr>
    </c:title>
    <c:autoTitleDeleted val="0"/>
    <c:plotArea>
      <c:layout>
        <c:manualLayout>
          <c:layoutTarget val="inner"/>
          <c:xMode val="edge"/>
          <c:yMode val="edge"/>
          <c:x val="9.104923423033659E-2"/>
          <c:y val="0.21104924384451942"/>
          <c:w val="0.65732306538605756"/>
          <c:h val="0.55187326135131309"/>
        </c:manualLayout>
      </c:layout>
      <c:barChart>
        <c:barDir val="col"/>
        <c:grouping val="clustered"/>
        <c:varyColors val="0"/>
        <c:ser>
          <c:idx val="6"/>
          <c:order val="0"/>
          <c:tx>
            <c:strRef>
              <c:f>'Court Applications'!$AA$4</c:f>
              <c:strCache>
                <c:ptCount val="1"/>
                <c:pt idx="0">
                  <c:v>Selected LA- (none)</c:v>
                </c:pt>
              </c:strCache>
            </c:strRef>
          </c:tx>
          <c:spPr>
            <a:solidFill>
              <a:srgbClr val="66FF99"/>
            </a:solidFill>
            <a:ln>
              <a:solidFill>
                <a:schemeClr val="tx1">
                  <a:lumMod val="75000"/>
                  <a:lumOff val="25000"/>
                </a:schemeClr>
              </a:solidFill>
            </a:ln>
          </c:spPr>
          <c:invertIfNegative val="0"/>
          <c:cat>
            <c:strRef>
              <c:f>'Court Applications'!$Z$2:$AD$3</c:f>
              <c:strCache>
                <c:ptCount val="5"/>
                <c:pt idx="0">
                  <c:v>2014-15</c:v>
                </c:pt>
                <c:pt idx="1">
                  <c:v>2015-16</c:v>
                </c:pt>
                <c:pt idx="2">
                  <c:v>2016-17</c:v>
                </c:pt>
                <c:pt idx="3">
                  <c:v>2017-18</c:v>
                </c:pt>
                <c:pt idx="4">
                  <c:v>2018-19</c:v>
                </c:pt>
              </c:strCache>
            </c:strRef>
          </c:cat>
          <c:val>
            <c:numRef>
              <c:f>'Court Applications'!$AM$65:$AQ$65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9338-4D2F-A403-F6AFA73C2117}"/>
            </c:ext>
          </c:extLst>
        </c:ser>
        <c:ser>
          <c:idx val="4"/>
          <c:order val="1"/>
          <c:tx>
            <c:strRef>
              <c:f>'Court Applications'!$B$32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'Court Applications'!$Z$2:$AD$3</c:f>
              <c:strCache>
                <c:ptCount val="5"/>
                <c:pt idx="0">
                  <c:v>2014-15</c:v>
                </c:pt>
                <c:pt idx="1">
                  <c:v>2015-16</c:v>
                </c:pt>
                <c:pt idx="2">
                  <c:v>2016-17</c:v>
                </c:pt>
                <c:pt idx="3">
                  <c:v>2017-18</c:v>
                </c:pt>
                <c:pt idx="4">
                  <c:v>2018-19</c:v>
                </c:pt>
              </c:strCache>
            </c:strRef>
          </c:cat>
          <c:val>
            <c:numRef>
              <c:f>'Court Applications'!$K$32:$O$32</c:f>
              <c:numCache>
                <c:formatCode>0.0</c:formatCode>
                <c:ptCount val="5"/>
                <c:pt idx="0">
                  <c:v>7.3198907792480563</c:v>
                </c:pt>
                <c:pt idx="1">
                  <c:v>9.4207809811792913</c:v>
                </c:pt>
                <c:pt idx="2">
                  <c:v>9.8494645905540334</c:v>
                </c:pt>
                <c:pt idx="3">
                  <c:v>9.8307526107310057</c:v>
                </c:pt>
                <c:pt idx="4">
                  <c:v>9.390007152344948</c:v>
                </c:pt>
              </c:numCache>
            </c:numRef>
          </c:val>
          <c:extLst>
            <c:ext xmlns:c16="http://schemas.microsoft.com/office/drawing/2014/chart" uri="{C3380CC4-5D6E-409C-BE32-E72D297353CC}">
              <c16:uniqueId val="{00000001-9338-4D2F-A403-F6AFA73C2117}"/>
            </c:ext>
          </c:extLst>
        </c:ser>
        <c:ser>
          <c:idx val="0"/>
          <c:order val="2"/>
          <c:tx>
            <c:strRef>
              <c:f>'Court Applications'!$B$33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'Court Applications'!$Z$2:$AD$3</c:f>
              <c:strCache>
                <c:ptCount val="5"/>
                <c:pt idx="0">
                  <c:v>2014-15</c:v>
                </c:pt>
                <c:pt idx="1">
                  <c:v>2015-16</c:v>
                </c:pt>
                <c:pt idx="2">
                  <c:v>2016-17</c:v>
                </c:pt>
                <c:pt idx="3">
                  <c:v>2017-18</c:v>
                </c:pt>
                <c:pt idx="4">
                  <c:v>2018-19</c:v>
                </c:pt>
              </c:strCache>
            </c:strRef>
          </c:cat>
          <c:val>
            <c:numRef>
              <c:f>'Court Applications'!$K$33:$O$33</c:f>
              <c:numCache>
                <c:formatCode>0.0</c:formatCode>
                <c:ptCount val="5"/>
                <c:pt idx="0">
                  <c:v>9.5870321005547066</c:v>
                </c:pt>
                <c:pt idx="1">
                  <c:v>10.954024268061895</c:v>
                </c:pt>
                <c:pt idx="2">
                  <c:v>12.387465741219994</c:v>
                </c:pt>
                <c:pt idx="3">
                  <c:v>11.979438779809557</c:v>
                </c:pt>
                <c:pt idx="4">
                  <c:v>11.339568032389206</c:v>
                </c:pt>
              </c:numCache>
            </c:numRef>
          </c:val>
          <c:extLst>
            <c:ext xmlns:c16="http://schemas.microsoft.com/office/drawing/2014/chart" uri="{C3380CC4-5D6E-409C-BE32-E72D297353CC}">
              <c16:uniqueId val="{00000002-9338-4D2F-A403-F6AFA73C2117}"/>
            </c:ext>
          </c:extLst>
        </c:ser>
        <c:dLbls>
          <c:showLegendKey val="0"/>
          <c:showVal val="0"/>
          <c:showCatName val="0"/>
          <c:showSerName val="0"/>
          <c:showPercent val="0"/>
          <c:showBubbleSize val="0"/>
        </c:dLbls>
        <c:gapWidth val="100"/>
        <c:axId val="265421184"/>
        <c:axId val="265422720"/>
      </c:barChart>
      <c:catAx>
        <c:axId val="2654211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422720"/>
        <c:crosses val="autoZero"/>
        <c:auto val="1"/>
        <c:lblAlgn val="ctr"/>
        <c:lblOffset val="100"/>
        <c:noMultiLvlLbl val="0"/>
      </c:catAx>
      <c:valAx>
        <c:axId val="26542272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421184"/>
        <c:crosses val="autoZero"/>
        <c:crossBetween val="between"/>
      </c:valAx>
      <c:spPr>
        <a:noFill/>
        <a:ln w="3175">
          <a:solidFill>
            <a:srgbClr val="000000"/>
          </a:solidFill>
          <a:prstDash val="solid"/>
        </a:ln>
      </c:spPr>
    </c:plotArea>
    <c:legend>
      <c:legendPos val="r"/>
      <c:layout>
        <c:manualLayout>
          <c:xMode val="edge"/>
          <c:yMode val="edge"/>
          <c:x val="0.75990284431229316"/>
          <c:y val="0.12398075240594926"/>
          <c:w val="0.24009715568770687"/>
          <c:h val="0.8760192475940507"/>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Care Applications to Court</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Applications'!$U$9</c:f>
              <c:strCache>
                <c:ptCount val="1"/>
                <c:pt idx="0">
                  <c:v>Distance</c:v>
                </c:pt>
              </c:strCache>
            </c:strRef>
          </c:tx>
          <c:spPr>
            <a:solidFill>
              <a:srgbClr val="FB994F"/>
            </a:solidFill>
            <a:ln w="25400">
              <a:noFill/>
            </a:ln>
          </c:spPr>
          <c:invertIfNegative val="0"/>
          <c:cat>
            <c:strRef>
              <c:f>'Court Applications'!$Y$77:$Y$100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Applications'!$U$10:$U$33</c:f>
              <c:numCache>
                <c:formatCode>0.0</c:formatCode>
                <c:ptCount val="24"/>
                <c:pt idx="0">
                  <c:v>7.3275654047306329</c:v>
                </c:pt>
                <c:pt idx="1">
                  <c:v>0.71971100718360148</c:v>
                </c:pt>
                <c:pt idx="2">
                  <c:v>1.0864084719895466</c:v>
                </c:pt>
                <c:pt idx="3">
                  <c:v>-4.0002625532460598</c:v>
                </c:pt>
                <c:pt idx="4">
                  <c:v>1.0834164073285635</c:v>
                </c:pt>
                <c:pt idx="5">
                  <c:v>3.250581668079322</c:v>
                </c:pt>
                <c:pt idx="6">
                  <c:v>-4.4755478937506457</c:v>
                </c:pt>
                <c:pt idx="7">
                  <c:v>-2.1577518209277251</c:v>
                </c:pt>
                <c:pt idx="8">
                  <c:v>-0.67102495734154388</c:v>
                </c:pt>
                <c:pt idx="9">
                  <c:v>2.6992439693859911</c:v>
                </c:pt>
                <c:pt idx="10">
                  <c:v>1.3594906435194609</c:v>
                </c:pt>
                <c:pt idx="11">
                  <c:v>8.0277649151894952</c:v>
                </c:pt>
                <c:pt idx="12">
                  <c:v>1.754763839875368</c:v>
                </c:pt>
                <c:pt idx="13">
                  <c:v>0.40852346968520514</c:v>
                </c:pt>
                <c:pt idx="14">
                  <c:v>1.4782431235379754</c:v>
                </c:pt>
                <c:pt idx="15">
                  <c:v>0.35799807307075682</c:v>
                </c:pt>
                <c:pt idx="16">
                  <c:v>3.533737444779522</c:v>
                </c:pt>
                <c:pt idx="17">
                  <c:v>9.7179379467787363</c:v>
                </c:pt>
                <c:pt idx="18">
                  <c:v>1.8727279677850124</c:v>
                </c:pt>
                <c:pt idx="19">
                  <c:v>-0.20765222786064896</c:v>
                </c:pt>
                <c:pt idx="20">
                  <c:v>0.41535430036084353</c:v>
                </c:pt>
                <c:pt idx="21">
                  <c:v>1.2440882199013226</c:v>
                </c:pt>
                <c:pt idx="22">
                  <c:v>-0.14524039025186219</c:v>
                </c:pt>
                <c:pt idx="23">
                  <c:v>-0.94082830564397391</c:v>
                </c:pt>
              </c:numCache>
            </c:numRef>
          </c:val>
          <c:extLst>
            <c:ext xmlns:c16="http://schemas.microsoft.com/office/drawing/2014/chart" uri="{C3380CC4-5D6E-409C-BE32-E72D297353CC}">
              <c16:uniqueId val="{00000000-2BF2-4BCE-8872-8FF3201AE6C2}"/>
            </c:ext>
          </c:extLst>
        </c:ser>
        <c:ser>
          <c:idx val="0"/>
          <c:order val="1"/>
          <c:tx>
            <c:strRef>
              <c:f>'Court Applications'!$AA$76</c:f>
              <c:strCache>
                <c:ptCount val="1"/>
                <c:pt idx="0">
                  <c:v>Distance from Expected Chart Highlight</c:v>
                </c:pt>
              </c:strCache>
            </c:strRef>
          </c:tx>
          <c:spPr>
            <a:solidFill>
              <a:srgbClr val="66FF99"/>
            </a:solidFill>
            <a:ln w="12700">
              <a:solidFill>
                <a:srgbClr val="000000"/>
              </a:solidFill>
              <a:prstDash val="solid"/>
            </a:ln>
          </c:spPr>
          <c:invertIfNegative val="0"/>
          <c:cat>
            <c:strRef>
              <c:f>'Court Applications'!$Y$77:$Y$100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2BF2-4BCE-8872-8FF3201AE6C2}"/>
            </c:ext>
          </c:extLst>
        </c:ser>
        <c:dLbls>
          <c:showLegendKey val="0"/>
          <c:showVal val="0"/>
          <c:showCatName val="0"/>
          <c:showSerName val="0"/>
          <c:showPercent val="0"/>
          <c:showBubbleSize val="0"/>
        </c:dLbls>
        <c:gapWidth val="40"/>
        <c:overlap val="100"/>
        <c:axId val="265457024"/>
        <c:axId val="265475200"/>
      </c:barChart>
      <c:catAx>
        <c:axId val="26545702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475200"/>
        <c:crossesAt val="0"/>
        <c:auto val="1"/>
        <c:lblAlgn val="ctr"/>
        <c:lblOffset val="100"/>
        <c:noMultiLvlLbl val="0"/>
      </c:catAx>
      <c:valAx>
        <c:axId val="265475200"/>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457024"/>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'Court Applications'!$AL$5</c:f>
          <c:strCache>
            <c:ptCount val="1"/>
            <c:pt idx="0">
              <c:v>Average Annual Change in Number of Care Applications to Court during the year ending 31st March</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Applications'!$I$7</c:f>
              <c:strCache>
                <c:ptCount val="1"/>
                <c:pt idx="0">
                  <c:v>Average Annual Change </c:v>
                </c:pt>
              </c:strCache>
            </c:strRef>
          </c:tx>
          <c:spPr>
            <a:solidFill>
              <a:srgbClr val="FB994F"/>
            </a:solidFill>
            <a:ln w="25400">
              <a:noFill/>
            </a:ln>
          </c:spPr>
          <c:invertIfNegative val="0"/>
          <c:cat>
            <c:strRef>
              <c:f>'Court Applications'!$B$10:$B$33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Applications'!$I$10:$I$33</c:f>
              <c:numCache>
                <c:formatCode>0.0%</c:formatCode>
                <c:ptCount val="24"/>
                <c:pt idx="0">
                  <c:v>0.38064123376623377</c:v>
                </c:pt>
                <c:pt idx="1">
                  <c:v>-4.4850635475635489E-2</c:v>
                </c:pt>
                <c:pt idx="2">
                  <c:v>0.27004041428483622</c:v>
                </c:pt>
                <c:pt idx="3">
                  <c:v>8.2276598740013362E-2</c:v>
                </c:pt>
                <c:pt idx="4">
                  <c:v>0.11622004976518184</c:v>
                </c:pt>
                <c:pt idx="5">
                  <c:v>2.8738347837119746E-2</c:v>
                </c:pt>
                <c:pt idx="6">
                  <c:v>3.9010067405851959E-3</c:v>
                </c:pt>
                <c:pt idx="7">
                  <c:v>6.8535601556608941E-2</c:v>
                </c:pt>
                <c:pt idx="8">
                  <c:v>0.20781672120373926</c:v>
                </c:pt>
                <c:pt idx="9">
                  <c:v>0.10672362665287194</c:v>
                </c:pt>
                <c:pt idx="10">
                  <c:v>7.042967843046205E-2</c:v>
                </c:pt>
                <c:pt idx="11">
                  <c:v>0.21213757221219909</c:v>
                </c:pt>
                <c:pt idx="12">
                  <c:v>0.12408587737535108</c:v>
                </c:pt>
                <c:pt idx="13">
                  <c:v>-1.6761621379376788E-2</c:v>
                </c:pt>
                <c:pt idx="14">
                  <c:v>-4.3098620380669875E-2</c:v>
                </c:pt>
                <c:pt idx="15">
                  <c:v>0.17355431316790798</c:v>
                </c:pt>
                <c:pt idx="16">
                  <c:v>0.13768974988551508</c:v>
                </c:pt>
                <c:pt idx="17">
                  <c:v>2.1971562919838782E-2</c:v>
                </c:pt>
                <c:pt idx="18">
                  <c:v>6.7248822605965458E-2</c:v>
                </c:pt>
                <c:pt idx="19">
                  <c:v>0.16550465264675235</c:v>
                </c:pt>
                <c:pt idx="20">
                  <c:v>0.22184349448281337</c:v>
                </c:pt>
                <c:pt idx="21">
                  <c:v>0.26488095238095238</c:v>
                </c:pt>
                <c:pt idx="22">
                  <c:v>7.1445511794021158E-2</c:v>
                </c:pt>
                <c:pt idx="23">
                  <c:v>5.4920810759868072E-2</c:v>
                </c:pt>
              </c:numCache>
            </c:numRef>
          </c:val>
          <c:extLst>
            <c:ext xmlns:c16="http://schemas.microsoft.com/office/drawing/2014/chart" uri="{C3380CC4-5D6E-409C-BE32-E72D297353CC}">
              <c16:uniqueId val="{00000000-1019-4F61-8554-9048C1C5AA1B}"/>
            </c:ext>
          </c:extLst>
        </c:ser>
        <c:ser>
          <c:idx val="1"/>
          <c:order val="1"/>
          <c:tx>
            <c:strRef>
              <c:f>'Court Applications'!$Z$76</c:f>
              <c:strCache>
                <c:ptCount val="1"/>
                <c:pt idx="0">
                  <c:v>Percentage Change Chart Highlight</c:v>
                </c:pt>
              </c:strCache>
            </c:strRef>
          </c:tx>
          <c:spPr>
            <a:solidFill>
              <a:srgbClr val="66FF99"/>
            </a:solidFill>
            <a:ln w="12700">
              <a:solidFill>
                <a:srgbClr val="000000"/>
              </a:solidFill>
              <a:prstDash val="solid"/>
            </a:ln>
          </c:spPr>
          <c:invertIfNegative val="0"/>
          <c:cat>
            <c:strRef>
              <c:f>'Court Applications'!$B$10:$B$33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1019-4F61-8554-9048C1C5AA1B}"/>
            </c:ext>
          </c:extLst>
        </c:ser>
        <c:dLbls>
          <c:showLegendKey val="0"/>
          <c:showVal val="0"/>
          <c:showCatName val="0"/>
          <c:showSerName val="0"/>
          <c:showPercent val="0"/>
          <c:showBubbleSize val="0"/>
        </c:dLbls>
        <c:gapWidth val="40"/>
        <c:overlap val="100"/>
        <c:axId val="265570176"/>
        <c:axId val="265571712"/>
      </c:barChart>
      <c:catAx>
        <c:axId val="265570176"/>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571712"/>
        <c:crosses val="autoZero"/>
        <c:auto val="1"/>
        <c:lblAlgn val="ctr"/>
        <c:lblOffset val="100"/>
        <c:noMultiLvlLbl val="0"/>
      </c:catAx>
      <c:valAx>
        <c:axId val="265571712"/>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65570176"/>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Care Applications</a:t>
            </a:r>
            <a:r>
              <a:rPr lang="en-GB" baseline="0"/>
              <a:t> to Court </a:t>
            </a:r>
            <a:r>
              <a:rPr lang="en-GB"/>
              <a:t>vs. IDACI</a:t>
            </a:r>
          </a:p>
        </c:rich>
      </c:tx>
      <c:layout>
        <c:manualLayout>
          <c:xMode val="edge"/>
          <c:yMode val="edge"/>
          <c:x val="0.19838689394594905"/>
          <c:y val="3.6125936746594457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'Court Applications'!$AR$38</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78D2-4A6F-86C1-35356645995B}"/>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{0A1FF784-AA19-4536-9CCE-5A86DD0F2419}</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78D2-4A6F-86C1-35356645995B}"/>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{0FEBF03F-AE5C-4C01-95FF-E725380D61A6}</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78D2-4A6F-86C1-35356645995B}"/>
                </c:ext>
              </c:extLst>
            </c:dLbl>
            <c:dLbl>
              <c:idx val="2"/>
              <c:layout>
                <c:manualLayout>
                  <c:x val="-0.20240047625271504"/>
                  <c:y val="0"/>
                </c:manualLayout>
              </c:layout>
              <c:tx>
                <c:strRef>
                  <c:f>Sheet1!$K$6</c:f>
                  <c:strCache>
                    <c:ptCount val="1"/>
                    <c:pt idx="0">
                      <c:v>Buckinghamshire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{7DA66EC0-9A31-4241-8448-6C44FBAB0338}</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78D2-4A6F-86C1-35356645995B}"/>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{35B07ABF-C4E7-421D-B886-6C1A98B4426D}</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78D2-4A6F-86C1-35356645995B}"/>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{8FDAB53F-0461-431B-ADF1-BD8341E8690D}</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78D2-4A6F-86C1-35356645995B}"/>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{69340594-67B4-484C-BDE1-2F701A16BC7C}</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78D2-4A6F-86C1-35356645995B}"/>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{91B694E8-EF8C-4A60-AC96-5E9A9DEB7314}</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78D2-4A6F-86C1-35356645995B}"/>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{45C604D3-B105-4B04-8808-91D6DAE128FB}</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78D2-4A6F-86C1-35356645995B}"/>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{12B2162E-D52B-431B-BFC3-FEE78BFBB799}</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78D2-4A6F-86C1-35356645995B}"/>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{F3484819-0076-460F-891B-D5CB37B330FD}</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78D2-4A6F-86C1-35356645995B}"/>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{821AEEF8-C630-4353-8D22-16C45746DFBD}</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78D2-4A6F-86C1-35356645995B}"/>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{8A851D35-892A-4272-B9E4-4B81E6923381}</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78D2-4A6F-86C1-35356645995B}"/>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{2ACABDAD-D94E-4931-AB18-9118D257369F}</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78D2-4A6F-86C1-35356645995B}"/>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{4B78D635-6DFB-4355-9656-A2F296F17319}</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78D2-4A6F-86C1-35356645995B}"/>
                </c:ext>
              </c:extLst>
            </c:dLbl>
            <c:dLbl>
              <c:idx val="14"/>
              <c:layout>
                <c:manualLayout>
                  <c:x val="-0.10754226904491286"/>
                  <c:y val="0"/>
                </c:manualLayout>
              </c:layout>
              <c:tx>
                <c:strRef>
                  <c:f>Sheet1!$K$19</c:f>
                  <c:strCache>
                    <c:ptCount val="1"/>
                    <c:pt idx="0">
                      <c:v>Surrey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{752F77A4-CE2D-4097-A0FC-16C8DB38CE97}</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78D2-4A6F-86C1-35356645995B}"/>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{B05C48C1-542F-4989-BCBC-AE4E7D352C73}</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78D2-4A6F-86C1-35356645995B}"/>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{F5FE00F0-3A5E-48CF-AFE1-4E50C888296F}</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78D2-4A6F-86C1-35356645995B}"/>
                </c:ext>
              </c:extLst>
            </c:dLbl>
            <c:dLbl>
              <c:idx val="17"/>
              <c:layout>
                <c:manualLayout>
                  <c:x val="-2.1259329325208728E-2"/>
                  <c:y val="2.692339743643315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{533B6C78-B826-41C0-8171-86CB02855A71}</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78D2-4A6F-86C1-35356645995B}"/>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{7E876B1D-EF87-4693-9AFF-3D753E073D47}</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78D2-4A6F-86C1-35356645995B}"/>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('Court Applications'!$AR$41:$AR$53,'Court Applications'!$AR$55:$AR$56,'Court Applications'!$AR$59:$AR$62)</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('Court Applications'!$AQ$41:$AQ$53,'Court Applications'!$AQ$55:$AQ$56,'Court Applications'!$AQ$59:$AQ$62)</c:f>
              <c:numCache>
                <c:formatCode>0.0</c:formatCode>
                <c:ptCount val="19"/>
                <c:pt idx="0">
                  <c:v>14.840989399293287</c:v>
                </c:pt>
                <c:pt idx="1">
                  <c:v>11.96078431372549</c:v>
                </c:pt>
                <c:pt idx="2">
                  <c:v>8.3668543845534984</c:v>
                </c:pt>
                <c:pt idx="3">
                  <c:v>7.7067669172932334</c:v>
                </c:pt>
                <c:pt idx="4">
                  <c:v>9.295774647887324</c:v>
                </c:pt>
                <c:pt idx="5">
                  <c:v>16.064257028112451</c:v>
                </c:pt>
                <c:pt idx="6">
                  <c:v>7.0567480152896209</c:v>
                </c:pt>
                <c:pt idx="7">
                  <c:v>11.180124223602483</c:v>
                </c:pt>
                <c:pt idx="8">
                  <c:v>10.395314787701318</c:v>
                </c:pt>
                <c:pt idx="9">
                  <c:v>10.911602209944752</c:v>
                </c:pt>
                <c:pt idx="10">
                  <c:v>15.454545454545453</c:v>
                </c:pt>
                <c:pt idx="11">
                  <c:v>19.676549865229113</c:v>
                </c:pt>
                <c:pt idx="12">
                  <c:v>12.646370023419204</c:v>
                </c:pt>
                <c:pt idx="13">
                  <c:v>15.748031496062993</c:v>
                </c:pt>
                <c:pt idx="14">
                  <c:v>7.5219549446353575</c:v>
                </c:pt>
                <c:pt idx="15">
                  <c:v>9.2696629213483153</c:v>
                </c:pt>
                <c:pt idx="16">
                  <c:v>8.5289066971951915</c:v>
                </c:pt>
                <c:pt idx="17">
                  <c:v>6.6473988439306355</c:v>
                </c:pt>
                <c:pt idx="18">
                  <c:v>6.8354430379746836</c:v>
                </c:pt>
              </c:numCache>
            </c:numRef>
          </c:yVal>
          <c:smooth val="0"/>
          <c:extLst>
            <c:ext xmlns:c16="http://schemas.microsoft.com/office/drawing/2014/chart" uri="{C3380CC4-5D6E-409C-BE32-E72D297353CC}">
              <c16:uniqueId val="{00000014-78D2-4A6F-86C1-35356645995B}"/>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78D2-4A6F-86C1-35356645995B}"/>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{D3F7DE14-A868-47E8-A7E4-53A2CCC2340F}</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78D2-4A6F-86C1-35356645995B}"/>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{8EA6C4BE-51DD-4CD0-B425-E1080FD73918}</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78D2-4A6F-86C1-35356645995B}"/>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{18ED2446-8FA4-48FF-AFC9-7757ADE1620C}</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78D2-4A6F-86C1-35356645995B}"/>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('Court Applications'!$AR$54,'Court Applications'!$AR$57:$AR$58)</c:f>
              <c:numCache>
                <c:formatCode>0.0</c:formatCode>
                <c:ptCount val="3"/>
                <c:pt idx="0">
                  <c:v>13.600000000000001</c:v>
                </c:pt>
                <c:pt idx="1">
                  <c:v>14.899999999999999</c:v>
                </c:pt>
                <c:pt idx="2">
                  <c:v>21.9</c:v>
                </c:pt>
              </c:numCache>
            </c:numRef>
          </c:xVal>
          <c:yVal>
            <c:numRef>
              <c:f>('Court Applications'!$AQ$54,'Court Applications'!$AQ$57:$AQ$58)</c:f>
              <c:numCache>
                <c:formatCode>0.0</c:formatCode>
                <c:ptCount val="3"/>
                <c:pt idx="0">
                  <c:v>10.659439927732612</c:v>
                </c:pt>
                <c:pt idx="1">
                  <c:v>14.541832669322709</c:v>
                </c:pt>
                <c:pt idx="2">
                  <c:v>24.803149606299211</c:v>
                </c:pt>
              </c:numCache>
            </c:numRef>
          </c:yVal>
          <c:smooth val="0"/>
          <c:extLst>
            <c:ext xmlns:c16="http://schemas.microsoft.com/office/drawing/2014/chart" uri="{C3380CC4-5D6E-409C-BE32-E72D297353CC}">
              <c16:uniqueId val="{00000018-78D2-4A6F-86C1-35356645995B}"/>
            </c:ext>
          </c:extLst>
        </c:ser>
        <c:ser>
          <c:idx val="1"/>
          <c:order val="2"/>
          <c:tx>
            <c:strRef>
              <c:f>'Court Applications'!$AA$4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Applications'!$AR$65</c:f>
              <c:numCache>
                <c:formatCode>0.0</c:formatCode>
                <c:ptCount val="1"/>
                <c:pt idx="0">
                  <c:v>#N/A</c:v>
                </c:pt>
              </c:numCache>
            </c:numRef>
          </c:xVal>
          <c:yVal>
            <c:numRef>
              <c:f>'Court Applications'!$AQ$65</c:f>
              <c:numCache>
                <c:formatCode>0.0</c:formatCode>
                <c:ptCount val="1"/>
                <c:pt idx="0">
                  <c:v>#N/A</c:v>
                </c:pt>
              </c:numCache>
            </c:numRef>
          </c:yVal>
          <c:smooth val="0"/>
          <c:extLst>
            <c:ext xmlns:c16="http://schemas.microsoft.com/office/drawing/2014/chart" uri="{C3380CC4-5D6E-409C-BE32-E72D297353CC}">
              <c16:uniqueId val="{00000019-78D2-4A6F-86C1-35356645995B}"/>
            </c:ext>
          </c:extLst>
        </c:ser>
        <c:ser>
          <c:idx val="4"/>
          <c:order val="3"/>
          <c:tx>
            <c:strRef>
              <c:f>'Court Applications'!$B$32</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'Court Applications'!$S$32</c:f>
              <c:numCache>
                <c:formatCode>0.0</c:formatCode>
                <c:ptCount val="1"/>
                <c:pt idx="0">
                  <c:v>12.371268250968637</c:v>
                </c:pt>
              </c:numCache>
            </c:numRef>
          </c:xVal>
          <c:yVal>
            <c:numRef>
              <c:f>'Court Applications'!$O$32</c:f>
              <c:numCache>
                <c:formatCode>0.0</c:formatCode>
                <c:ptCount val="1"/>
                <c:pt idx="0">
                  <c:v>9.390007152344948</c:v>
                </c:pt>
              </c:numCache>
            </c:numRef>
          </c:yVal>
          <c:smooth val="0"/>
          <c:extLst>
            <c:ext xmlns:c16="http://schemas.microsoft.com/office/drawing/2014/chart" uri="{C3380CC4-5D6E-409C-BE32-E72D297353CC}">
              <c16:uniqueId val="{0000001A-78D2-4A6F-86C1-35356645995B}"/>
            </c:ext>
          </c:extLst>
        </c:ser>
        <c:ser>
          <c:idx val="2"/>
          <c:order val="4"/>
          <c:tx>
            <c:strRef>
              <c:f>'Court Applications'!$Y$43</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78D2-4A6F-86C1-35356645995B}"/>
                </c:ext>
              </c:extLst>
            </c:dLbl>
            <c:dLbl>
              <c:idx val="1"/>
              <c:layout>
                <c:manualLayout>
                  <c:x val="-5.8479532163742798E-2"/>
                  <c:y val="7.8431372549019607E-2"/>
                </c:manualLayout>
              </c:layout>
              <c:tx>
                <c:strRef>
                  <c:f>'Court Applications'!$AD$43</c:f>
                  <c:strCache>
                    <c:ptCount val="1"/>
                    <c:pt idx="0">
                      <c:v>r² = 0.314</c:v>
                    </c:pt>
                  </c:strCache>
                </c:strRef>
              </c:tx>
              <c:spPr/>
              <c:txPr>
                <a:bodyPr/>
                <a:lstStyle/>
                <a:p>
                  <a:pPr>
                    <a:defRPr sz="900">
                      <a:solidFill>
                        <a:srgbClr val="C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{E496554E-ACFD-4B7D-978E-E91C0D753ECF}</c15:txfldGUID>
                      <c15:f>'Court Applications'!$AD$43</c15:f>
                      <c15:dlblFieldTableCache>
                        <c:ptCount val="1"/>
                        <c:pt idx="0">
                          <c:v>r² = 0.314</c:v>
                        </c:pt>
                      </c15:dlblFieldTableCache>
                    </c15:dlblFTEntry>
                  </c15:dlblFieldTable>
                  <c15:showDataLabelsRange val="0"/>
                </c:ext>
                <c:ext xmlns:c16="http://schemas.microsoft.com/office/drawing/2014/chart" uri="{C3380CC4-5D6E-409C-BE32-E72D297353CC}">
                  <c16:uniqueId val="{0000001C-78D2-4A6F-86C1-35356645995B}"/>
                </c:ext>
              </c:extLst>
            </c:dLbl>
            <c:spPr>
              <a:noFill/>
              <a:ln>
                <a:noFill/>
              </a:ln>
              <a:effectLst/>
            </c:spPr>
            <c:txPr>
              <a:bodyPr wrap="square" lIns="38100" tIns="19050" rIns="38100" bIns="19050" anchor="ctr">
                <a:spAutoFit/>
              </a:bodyPr>
              <a:lstStyle/>
              <a:p>
                <a:pPr>
                  <a:defRPr>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Applications'!$AB$43:$AB$44</c:f>
              <c:numCache>
                <c:formatCode>General</c:formatCode>
                <c:ptCount val="2"/>
                <c:pt idx="0" formatCode="#,##0.0">
                  <c:v>5</c:v>
                </c:pt>
                <c:pt idx="1">
                  <c:v>35</c:v>
                </c:pt>
              </c:numCache>
            </c:numRef>
          </c:xVal>
          <c:yVal>
            <c:numRef>
              <c:f>'Court Applications'!$AC$43:$AC$44</c:f>
              <c:numCache>
                <c:formatCode>0.0</c:formatCode>
                <c:ptCount val="2"/>
                <c:pt idx="0">
                  <c:v>5.2418876950753077</c:v>
                </c:pt>
                <c:pt idx="1">
                  <c:v>22.715243844977969</c:v>
                </c:pt>
              </c:numCache>
            </c:numRef>
          </c:yVal>
          <c:smooth val="0"/>
          <c:extLst>
            <c:ext xmlns:c16="http://schemas.microsoft.com/office/drawing/2014/chart" uri="{C3380CC4-5D6E-409C-BE32-E72D297353CC}">
              <c16:uniqueId val="{0000001D-78D2-4A6F-86C1-35356645995B}"/>
            </c:ext>
          </c:extLst>
        </c:ser>
        <c:ser>
          <c:idx val="5"/>
          <c:order val="5"/>
          <c:tx>
            <c:strRef>
              <c:f>'Court Applications'!$Y$41</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78D2-4A6F-86C1-35356645995B}"/>
                </c:ext>
              </c:extLst>
            </c:dLbl>
            <c:dLbl>
              <c:idx val="1"/>
              <c:layout>
                <c:manualLayout>
                  <c:x val="-7.3099415204678359E-2"/>
                  <c:y val="-6.0331825037707391E-2"/>
                </c:manualLayout>
              </c:layout>
              <c:tx>
                <c:strRef>
                  <c:f>'Court Applications'!$AD$42</c:f>
                  <c:strCache>
                    <c:ptCount val="1"/>
                    <c:pt idx="0">
                      <c:v>r² = 0.357</c:v>
                    </c:pt>
                  </c:strCache>
                </c:strRef>
              </c:tx>
              <c:spPr>
                <a:noFill/>
                <a:ln>
                  <a:noFill/>
                </a:ln>
                <a:effectLst/>
              </c:spPr>
              <c:txPr>
                <a:bodyPr wrap="square" lIns="38100" tIns="19050" rIns="38100" bIns="19050" anchor="ctr">
                  <a:spAutoFit/>
                </a:bodyPr>
                <a:lstStyle/>
                <a:p>
                  <a:pPr>
                    <a:defRPr sz="900"/>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{D3F21555-B125-4D45-9CE1-35824F96D34D}</c15:txfldGUID>
                      <c15:f>'Court Applications'!$AD$42</c15:f>
                      <c15:dlblFieldTableCache>
                        <c:ptCount val="1"/>
                        <c:pt idx="0">
                          <c:v>r² = 0.357</c:v>
                        </c:pt>
                      </c15:dlblFieldTableCache>
                    </c15:dlblFTEntry>
                  </c15:dlblFieldTable>
                  <c15:showDataLabelsRange val="0"/>
                </c:ext>
                <c:ext xmlns:c16="http://schemas.microsoft.com/office/drawing/2014/chart" uri="{C3380CC4-5D6E-409C-BE32-E72D297353CC}">
                  <c16:uniqueId val="{0000001F-78D2-4A6F-86C1-35356645995B}"/>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Applications'!$AB$41:$AB$42</c:f>
              <c:numCache>
                <c:formatCode>General</c:formatCode>
                <c:ptCount val="2"/>
                <c:pt idx="0" formatCode="#,##0.0">
                  <c:v>5</c:v>
                </c:pt>
                <c:pt idx="1">
                  <c:v>35</c:v>
                </c:pt>
              </c:numCache>
            </c:numRef>
          </c:xVal>
          <c:yVal>
            <c:numRef>
              <c:f>'Court Applications'!$AC$41:$AC$42</c:f>
              <c:numCache>
                <c:formatCode>0.0</c:formatCode>
                <c:ptCount val="2"/>
                <c:pt idx="0">
                  <c:v>7.2001225385250933</c:v>
                </c:pt>
                <c:pt idx="1">
                  <c:v>21.536318949170656</c:v>
                </c:pt>
              </c:numCache>
            </c:numRef>
          </c:yVal>
          <c:smooth val="0"/>
          <c:extLst>
            <c:ext xmlns:c16="http://schemas.microsoft.com/office/drawing/2014/chart" uri="{C3380CC4-5D6E-409C-BE32-E72D297353CC}">
              <c16:uniqueId val="{00000020-78D2-4A6F-86C1-35356645995B}"/>
            </c:ext>
          </c:extLst>
        </c:ser>
        <c:dLbls>
          <c:showLegendKey val="0"/>
          <c:showVal val="0"/>
          <c:showCatName val="0"/>
          <c:showSerName val="0"/>
          <c:showPercent val="0"/>
          <c:showBubbleSize val="0"/>
        </c:dLbls>
        <c:axId val="279560960"/>
        <c:axId val="279562880"/>
      </c:scatterChart>
      <c:valAx>
        <c:axId val="279560960"/>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562880"/>
        <c:crosses val="autoZero"/>
        <c:crossBetween val="midCat"/>
        <c:majorUnit val="5"/>
      </c:valAx>
      <c:valAx>
        <c:axId val="279562880"/>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Care Applications to Court per 10,000 0-17 year olds</a:t>
                </a:r>
              </a:p>
            </c:rich>
          </c:tx>
          <c:layout>
            <c:manualLayout>
              <c:xMode val="edge"/>
              <c:yMode val="edge"/>
              <c:x val="5.1878053704825358E-2"/>
              <c:y val="0.113145449578983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560960"/>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a:t>
            </a:r>
            <a:r>
              <a:rPr lang="en-GB" baseline="0"/>
              <a:t> to</a:t>
            </a:r>
            <a:r>
              <a:rPr lang="en-GB"/>
              <a:t> Care Applications to Court, </a:t>
            </a:r>
          </a:p>
          <a:p>
            <a:pPr>
              <a:defRPr sz="1000" b="1" i="0" u="none" strike="noStrike" baseline="0">
                <a:solidFill>
                  <a:srgbClr val="000000"/>
                </a:solidFill>
                <a:latin typeface="Arial"/>
                <a:ea typeface="Arial"/>
                <a:cs typeface="Arial"/>
              </a:defRPr>
            </a:pPr>
            <a:r>
              <a:rPr lang="en-GB"/>
              <a:t>per 10,000 0-17 year olds</a:t>
            </a:r>
          </a:p>
        </c:rich>
      </c:tx>
      <c:layout>
        <c:manualLayout>
          <c:xMode val="edge"/>
          <c:yMode val="edge"/>
          <c:x val="0.11894728783902012"/>
          <c:y val="1.2589354296580521E-2"/>
        </c:manualLayout>
      </c:layout>
      <c:overlay val="0"/>
      <c:spPr>
        <a:noFill/>
        <a:ln w="25400">
          <a:noFill/>
        </a:ln>
      </c:spPr>
    </c:title>
    <c:autoTitleDeleted val="0"/>
    <c:plotArea>
      <c:layout>
        <c:manualLayout>
          <c:layoutTarget val="inner"/>
          <c:xMode val="edge"/>
          <c:yMode val="edge"/>
          <c:x val="7.1224466506904033E-2"/>
          <c:y val="7.5616446156444389E-2"/>
          <c:w val="0.57508230927201043"/>
          <c:h val="0.86466476534538173"/>
        </c:manualLayout>
      </c:layout>
      <c:lineChart>
        <c:grouping val="standard"/>
        <c:varyColors val="0"/>
        <c:ser>
          <c:idx val="0"/>
          <c:order val="0"/>
          <c:tx>
            <c:strRef>
              <c:f>'Court Applications'!$AL$147</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1050-47AD-B810-95594425FFE2}"/>
              </c:ext>
            </c:extLst>
          </c:dPt>
          <c:cat>
            <c:strRef>
              <c:f>'Court Applications'!$Z$2:$AD$3</c:f>
              <c:strCache>
                <c:ptCount val="5"/>
                <c:pt idx="0">
                  <c:v>2014-15</c:v>
                </c:pt>
                <c:pt idx="1">
                  <c:v>2015-16</c:v>
                </c:pt>
                <c:pt idx="2">
                  <c:v>2016-17</c:v>
                </c:pt>
                <c:pt idx="3">
                  <c:v>2017-18</c:v>
                </c:pt>
                <c:pt idx="4">
                  <c:v>2018-19</c:v>
                </c:pt>
              </c:strCache>
            </c:strRef>
          </c:cat>
          <c:val>
            <c:numRef>
              <c:f>'Court Applications'!$AM$147:$AQ$147</c:f>
              <c:numCache>
                <c:formatCode>0.0</c:formatCode>
                <c:ptCount val="5"/>
                <c:pt idx="0">
                  <c:v>10.071942446043165</c:v>
                </c:pt>
                <c:pt idx="1">
                  <c:v>18.085106382978722</c:v>
                </c:pt>
                <c:pt idx="2">
                  <c:v>18.794326241134751</c:v>
                </c:pt>
                <c:pt idx="3">
                  <c:v>30.60498220640569</c:v>
                </c:pt>
                <c:pt idx="4">
                  <c:v>25.088339222614842</c:v>
                </c:pt>
              </c:numCache>
            </c:numRef>
          </c:val>
          <c:smooth val="0"/>
          <c:extLst>
            <c:ext xmlns:c16="http://schemas.microsoft.com/office/drawing/2014/chart" uri="{C3380CC4-5D6E-409C-BE32-E72D297353CC}">
              <c16:uniqueId val="{00000001-1050-47AD-B810-95594425FFE2}"/>
            </c:ext>
          </c:extLst>
        </c:ser>
        <c:ser>
          <c:idx val="1"/>
          <c:order val="1"/>
          <c:tx>
            <c:strRef>
              <c:f>'Court Applications'!$AL$148</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Applications'!$AM$148:$AQ$148</c:f>
              <c:numCache>
                <c:formatCode>0.0</c:formatCode>
                <c:ptCount val="5"/>
                <c:pt idx="0">
                  <c:v>24.313725490196077</c:v>
                </c:pt>
                <c:pt idx="1">
                  <c:v>28.7109375</c:v>
                </c:pt>
                <c:pt idx="2">
                  <c:v>32.163742690058484</c:v>
                </c:pt>
                <c:pt idx="3">
                  <c:v>24.117647058823529</c:v>
                </c:pt>
                <c:pt idx="4">
                  <c:v>20.3921568627451</c:v>
                </c:pt>
              </c:numCache>
            </c:numRef>
          </c:val>
          <c:smooth val="0"/>
          <c:extLst>
            <c:ext xmlns:c16="http://schemas.microsoft.com/office/drawing/2014/chart" uri="{C3380CC4-5D6E-409C-BE32-E72D297353CC}">
              <c16:uniqueId val="{00000002-1050-47AD-B810-95594425FFE2}"/>
            </c:ext>
          </c:extLst>
        </c:ser>
        <c:ser>
          <c:idx val="2"/>
          <c:order val="2"/>
          <c:tx>
            <c:strRef>
              <c:f>'Court Applications'!$AL$149</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Applications'!$AM$149:$AQ$149</c:f>
              <c:numCache>
                <c:formatCode>0.0</c:formatCode>
                <c:ptCount val="5"/>
                <c:pt idx="0">
                  <c:v>7.4852817493692179</c:v>
                </c:pt>
                <c:pt idx="1">
                  <c:v>15.671641791044776</c:v>
                </c:pt>
                <c:pt idx="2">
                  <c:v>14.402618657937806</c:v>
                </c:pt>
                <c:pt idx="3">
                  <c:v>11.535337124289196</c:v>
                </c:pt>
                <c:pt idx="4">
                  <c:v>13.435237329042639</c:v>
                </c:pt>
              </c:numCache>
            </c:numRef>
          </c:val>
          <c:smooth val="0"/>
          <c:extLst>
            <c:ext xmlns:c16="http://schemas.microsoft.com/office/drawing/2014/chart" uri="{C3380CC4-5D6E-409C-BE32-E72D297353CC}">
              <c16:uniqueId val="{00000003-1050-47AD-B810-95594425FFE2}"/>
            </c:ext>
          </c:extLst>
        </c:ser>
        <c:ser>
          <c:idx val="5"/>
          <c:order val="3"/>
          <c:tx>
            <c:strRef>
              <c:f>'Court Applications'!$AL$150</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Applications'!$AM$150:$AQ$150</c:f>
              <c:numCache>
                <c:formatCode>0.0</c:formatCode>
                <c:ptCount val="5"/>
                <c:pt idx="0">
                  <c:v>11.290322580645162</c:v>
                </c:pt>
                <c:pt idx="1">
                  <c:v>12.653446647780925</c:v>
                </c:pt>
                <c:pt idx="2">
                  <c:v>14.919735599622285</c:v>
                </c:pt>
                <c:pt idx="3">
                  <c:v>13.113207547169811</c:v>
                </c:pt>
                <c:pt idx="4">
                  <c:v>11.654135338345865</c:v>
                </c:pt>
              </c:numCache>
            </c:numRef>
          </c:val>
          <c:smooth val="0"/>
          <c:extLst>
            <c:ext xmlns:c16="http://schemas.microsoft.com/office/drawing/2014/chart" uri="{C3380CC4-5D6E-409C-BE32-E72D297353CC}">
              <c16:uniqueId val="{00000004-1050-47AD-B810-95594425FFE2}"/>
            </c:ext>
          </c:extLst>
        </c:ser>
        <c:ser>
          <c:idx val="9"/>
          <c:order val="4"/>
          <c:tx>
            <c:strRef>
              <c:f>'Court Applications'!$AL$151</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Applications'!$AM$151:$AQ$151</c:f>
              <c:numCache>
                <c:formatCode>0.0</c:formatCode>
                <c:ptCount val="5"/>
                <c:pt idx="0">
                  <c:v>10.870337477797513</c:v>
                </c:pt>
                <c:pt idx="1">
                  <c:v>11.741752394466122</c:v>
                </c:pt>
                <c:pt idx="2">
                  <c:v>14.108910891089108</c:v>
                </c:pt>
                <c:pt idx="3">
                  <c:v>15.884221673138017</c:v>
                </c:pt>
                <c:pt idx="4">
                  <c:v>15.457746478873238</c:v>
                </c:pt>
              </c:numCache>
            </c:numRef>
          </c:val>
          <c:smooth val="0"/>
          <c:extLst>
            <c:ext xmlns:c16="http://schemas.microsoft.com/office/drawing/2014/chart" uri="{C3380CC4-5D6E-409C-BE32-E72D297353CC}">
              <c16:uniqueId val="{00000005-1050-47AD-B810-95594425FFE2}"/>
            </c:ext>
          </c:extLst>
        </c:ser>
        <c:ser>
          <c:idx val="10"/>
          <c:order val="5"/>
          <c:tx>
            <c:strRef>
              <c:f>'Court Applications'!$AL$152</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Applications'!$AM$152:$AQ$152</c:f>
              <c:numCache>
                <c:formatCode>0.0</c:formatCode>
                <c:ptCount val="5"/>
                <c:pt idx="0">
                  <c:v>23.137254901960787</c:v>
                </c:pt>
                <c:pt idx="1">
                  <c:v>19.367588932806324</c:v>
                </c:pt>
                <c:pt idx="2">
                  <c:v>22.619047619047617</c:v>
                </c:pt>
                <c:pt idx="3">
                  <c:v>31.474103585657371</c:v>
                </c:pt>
                <c:pt idx="4">
                  <c:v>24.899598393574298</c:v>
                </c:pt>
              </c:numCache>
            </c:numRef>
          </c:val>
          <c:smooth val="0"/>
          <c:extLst>
            <c:ext xmlns:c16="http://schemas.microsoft.com/office/drawing/2014/chart" uri="{C3380CC4-5D6E-409C-BE32-E72D297353CC}">
              <c16:uniqueId val="{00000006-1050-47AD-B810-95594425FFE2}"/>
            </c:ext>
          </c:extLst>
        </c:ser>
        <c:ser>
          <c:idx val="11"/>
          <c:order val="6"/>
          <c:tx>
            <c:strRef>
              <c:f>'Court Applications'!$AL$153</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Applications'!$AM$153:$AQ$153</c:f>
              <c:numCache>
                <c:formatCode>0.0</c:formatCode>
                <c:ptCount val="5"/>
                <c:pt idx="0">
                  <c:v>12.640877246420956</c:v>
                </c:pt>
                <c:pt idx="1">
                  <c:v>15.13317191283293</c:v>
                </c:pt>
                <c:pt idx="2">
                  <c:v>15.675675675675675</c:v>
                </c:pt>
                <c:pt idx="3">
                  <c:v>14.519488247545372</c:v>
                </c:pt>
                <c:pt idx="4">
                  <c:v>11.114378124081153</c:v>
                </c:pt>
              </c:numCache>
            </c:numRef>
          </c:val>
          <c:smooth val="0"/>
          <c:extLst>
            <c:ext xmlns:c16="http://schemas.microsoft.com/office/drawing/2014/chart" uri="{C3380CC4-5D6E-409C-BE32-E72D297353CC}">
              <c16:uniqueId val="{00000007-1050-47AD-B810-95594425FFE2}"/>
            </c:ext>
          </c:extLst>
        </c:ser>
        <c:ser>
          <c:idx val="12"/>
          <c:order val="7"/>
          <c:tx>
            <c:strRef>
              <c:f>'Court Applications'!$AL$154</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Applications'!$AM$154:$AQ$154</c:f>
              <c:numCache>
                <c:formatCode>0.0</c:formatCode>
                <c:ptCount val="5"/>
                <c:pt idx="0">
                  <c:v>27.360000000000003</c:v>
                </c:pt>
                <c:pt idx="1">
                  <c:v>39.556962025316459</c:v>
                </c:pt>
                <c:pt idx="2">
                  <c:v>14.599686028257457</c:v>
                </c:pt>
                <c:pt idx="3">
                  <c:v>22.222222222222221</c:v>
                </c:pt>
                <c:pt idx="4">
                  <c:v>18.322981366459629</c:v>
                </c:pt>
              </c:numCache>
            </c:numRef>
          </c:val>
          <c:smooth val="0"/>
          <c:extLst>
            <c:ext xmlns:c16="http://schemas.microsoft.com/office/drawing/2014/chart" uri="{C3380CC4-5D6E-409C-BE32-E72D297353CC}">
              <c16:uniqueId val="{00000008-1050-47AD-B810-95594425FFE2}"/>
            </c:ext>
          </c:extLst>
        </c:ser>
        <c:ser>
          <c:idx val="13"/>
          <c:order val="8"/>
          <c:tx>
            <c:strRef>
              <c:f>'Court Applications'!$AL$155</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Applications'!$AM$155:$AQ$155</c:f>
              <c:numCache>
                <c:formatCode>0.0</c:formatCode>
                <c:ptCount val="5"/>
                <c:pt idx="0">
                  <c:v>9.3558282208588963</c:v>
                </c:pt>
                <c:pt idx="1">
                  <c:v>17.246596066565811</c:v>
                </c:pt>
                <c:pt idx="2">
                  <c:v>23.69597615499255</c:v>
                </c:pt>
                <c:pt idx="3">
                  <c:v>15.236686390532546</c:v>
                </c:pt>
                <c:pt idx="4">
                  <c:v>17.715959004392388</c:v>
                </c:pt>
              </c:numCache>
            </c:numRef>
          </c:val>
          <c:smooth val="0"/>
          <c:extLst>
            <c:ext xmlns:c16="http://schemas.microsoft.com/office/drawing/2014/chart" uri="{C3380CC4-5D6E-409C-BE32-E72D297353CC}">
              <c16:uniqueId val="{00000009-1050-47AD-B810-95594425FFE2}"/>
            </c:ext>
          </c:extLst>
        </c:ser>
        <c:ser>
          <c:idx val="15"/>
          <c:order val="9"/>
          <c:tx>
            <c:strRef>
              <c:f>'Court Applications'!$AL$156</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Applications'!$AM$156:$AQ$156</c:f>
              <c:numCache>
                <c:formatCode>0.0</c:formatCode>
                <c:ptCount val="5"/>
                <c:pt idx="0">
                  <c:v>14.305949008498583</c:v>
                </c:pt>
                <c:pt idx="1">
                  <c:v>19.2524682651622</c:v>
                </c:pt>
                <c:pt idx="2">
                  <c:v>18.054583624912524</c:v>
                </c:pt>
                <c:pt idx="3">
                  <c:v>16.387726638772666</c:v>
                </c:pt>
                <c:pt idx="4">
                  <c:v>18.439226519337016</c:v>
                </c:pt>
              </c:numCache>
            </c:numRef>
          </c:val>
          <c:smooth val="0"/>
          <c:extLst>
            <c:ext xmlns:c16="http://schemas.microsoft.com/office/drawing/2014/chart" uri="{C3380CC4-5D6E-409C-BE32-E72D297353CC}">
              <c16:uniqueId val="{0000000A-1050-47AD-B810-95594425FFE2}"/>
            </c:ext>
          </c:extLst>
        </c:ser>
        <c:ser>
          <c:idx val="16"/>
          <c:order val="10"/>
          <c:tx>
            <c:strRef>
              <c:f>'Court Applications'!$AL$157</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Applications'!$AM$157:$AQ$157</c:f>
              <c:numCache>
                <c:formatCode>0.0</c:formatCode>
                <c:ptCount val="5"/>
                <c:pt idx="0">
                  <c:v>24.654377880184331</c:v>
                </c:pt>
                <c:pt idx="1">
                  <c:v>14.611872146118722</c:v>
                </c:pt>
                <c:pt idx="2">
                  <c:v>18.636363636363637</c:v>
                </c:pt>
                <c:pt idx="3">
                  <c:v>26.696832579185518</c:v>
                </c:pt>
                <c:pt idx="4">
                  <c:v>24.545454545454543</c:v>
                </c:pt>
              </c:numCache>
            </c:numRef>
          </c:val>
          <c:smooth val="0"/>
          <c:extLst>
            <c:ext xmlns:c16="http://schemas.microsoft.com/office/drawing/2014/chart" uri="{C3380CC4-5D6E-409C-BE32-E72D297353CC}">
              <c16:uniqueId val="{0000000B-1050-47AD-B810-95594425FFE2}"/>
            </c:ext>
          </c:extLst>
        </c:ser>
        <c:ser>
          <c:idx val="17"/>
          <c:order val="11"/>
          <c:tx>
            <c:strRef>
              <c:f>'Court Applications'!$AL$158</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Applications'!$AM$158:$AQ$158</c:f>
              <c:numCache>
                <c:formatCode>0.0</c:formatCode>
                <c:ptCount val="5"/>
                <c:pt idx="0">
                  <c:v>17.270194986072422</c:v>
                </c:pt>
                <c:pt idx="1">
                  <c:v>30.76923076923077</c:v>
                </c:pt>
                <c:pt idx="2">
                  <c:v>33.333333333333336</c:v>
                </c:pt>
                <c:pt idx="3">
                  <c:v>23.989218328840973</c:v>
                </c:pt>
                <c:pt idx="4">
                  <c:v>31.266846361185987</c:v>
                </c:pt>
              </c:numCache>
            </c:numRef>
          </c:val>
          <c:smooth val="0"/>
          <c:extLst>
            <c:ext xmlns:c16="http://schemas.microsoft.com/office/drawing/2014/chart" uri="{C3380CC4-5D6E-409C-BE32-E72D297353CC}">
              <c16:uniqueId val="{0000000C-1050-47AD-B810-95594425FFE2}"/>
            </c:ext>
          </c:extLst>
        </c:ser>
        <c:ser>
          <c:idx val="19"/>
          <c:order val="12"/>
          <c:tx>
            <c:strRef>
              <c:f>'Court Applications'!$AL$159</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Applications'!$AM$159:$AQ$159</c:f>
              <c:numCache>
                <c:formatCode>0.0</c:formatCode>
                <c:ptCount val="5"/>
                <c:pt idx="0">
                  <c:v>14.035087719298245</c:v>
                </c:pt>
                <c:pt idx="1">
                  <c:v>23.645320197044335</c:v>
                </c:pt>
                <c:pt idx="2">
                  <c:v>16.666666666666668</c:v>
                </c:pt>
                <c:pt idx="3">
                  <c:v>21.563981042654028</c:v>
                </c:pt>
                <c:pt idx="4">
                  <c:v>22.716627634660423</c:v>
                </c:pt>
              </c:numCache>
            </c:numRef>
          </c:val>
          <c:smooth val="0"/>
          <c:extLst>
            <c:ext xmlns:c16="http://schemas.microsoft.com/office/drawing/2014/chart" uri="{C3380CC4-5D6E-409C-BE32-E72D297353CC}">
              <c16:uniqueId val="{0000000D-1050-47AD-B810-95594425FFE2}"/>
            </c:ext>
          </c:extLst>
        </c:ser>
        <c:ser>
          <c:idx val="3"/>
          <c:order val="13"/>
          <c:tx>
            <c:strRef>
              <c:f>'Court Applications'!$AL$160</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Applications'!$AM$160:$AQ$160</c:f>
              <c:numCache>
                <c:formatCode>0.0</c:formatCode>
                <c:ptCount val="5"/>
                <c:pt idx="0">
                  <c:v>19.008264462809919</c:v>
                </c:pt>
                <c:pt idx="1">
                  <c:v>21.520146520146522</c:v>
                </c:pt>
                <c:pt idx="2">
                  <c:v>22.242479489516864</c:v>
                </c:pt>
                <c:pt idx="3">
                  <c:v>18.346957311534968</c:v>
                </c:pt>
                <c:pt idx="4">
                  <c:v>16.621499548328817</c:v>
                </c:pt>
              </c:numCache>
            </c:numRef>
          </c:val>
          <c:smooth val="0"/>
          <c:extLst>
            <c:ext xmlns:c16="http://schemas.microsoft.com/office/drawing/2014/chart" uri="{C3380CC4-5D6E-409C-BE32-E72D297353CC}">
              <c16:uniqueId val="{0000000E-1050-47AD-B810-95594425FFE2}"/>
            </c:ext>
          </c:extLst>
        </c:ser>
        <c:ser>
          <c:idx val="20"/>
          <c:order val="14"/>
          <c:tx>
            <c:strRef>
              <c:f>'Court Applications'!$AL$161</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Applications'!$AM$161:$AQ$161</c:f>
              <c:numCache>
                <c:formatCode>0.0</c:formatCode>
                <c:ptCount val="5"/>
                <c:pt idx="0">
                  <c:v>39.300411522633745</c:v>
                </c:pt>
                <c:pt idx="1">
                  <c:v>31.504065040650406</c:v>
                </c:pt>
                <c:pt idx="2">
                  <c:v>31.663326653306612</c:v>
                </c:pt>
                <c:pt idx="3">
                  <c:v>26.043737574552683</c:v>
                </c:pt>
                <c:pt idx="4">
                  <c:v>24.409448818897641</c:v>
                </c:pt>
              </c:numCache>
            </c:numRef>
          </c:val>
          <c:smooth val="0"/>
          <c:extLst>
            <c:ext xmlns:c16="http://schemas.microsoft.com/office/drawing/2014/chart" uri="{C3380CC4-5D6E-409C-BE32-E72D297353CC}">
              <c16:uniqueId val="{0000000F-1050-47AD-B810-95594425FFE2}"/>
            </c:ext>
          </c:extLst>
        </c:ser>
        <c:ser>
          <c:idx val="22"/>
          <c:order val="15"/>
          <c:tx>
            <c:strRef>
              <c:f>'Court Applications'!$AL$162</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Applications'!$AM$162:$AQ$162</c:f>
              <c:numCache>
                <c:formatCode>0.0</c:formatCode>
                <c:ptCount val="5"/>
                <c:pt idx="0">
                  <c:v>6.7556952081696782</c:v>
                </c:pt>
                <c:pt idx="1">
                  <c:v>9.5553822152886116</c:v>
                </c:pt>
                <c:pt idx="2">
                  <c:v>11.042471042471043</c:v>
                </c:pt>
                <c:pt idx="3">
                  <c:v>13.676527084133692</c:v>
                </c:pt>
                <c:pt idx="4">
                  <c:v>12.867506681939672</c:v>
                </c:pt>
              </c:numCache>
            </c:numRef>
          </c:val>
          <c:smooth val="0"/>
          <c:extLst>
            <c:ext xmlns:c16="http://schemas.microsoft.com/office/drawing/2014/chart" uri="{C3380CC4-5D6E-409C-BE32-E72D297353CC}">
              <c16:uniqueId val="{00000010-1050-47AD-B810-95594425FFE2}"/>
            </c:ext>
          </c:extLst>
        </c:ser>
        <c:ser>
          <c:idx val="7"/>
          <c:order val="16"/>
          <c:tx>
            <c:strRef>
              <c:f>'Court Applications'!$AL$163</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'Court Applications'!$Z$2:$AD$3</c:f>
              <c:strCache>
                <c:ptCount val="5"/>
                <c:pt idx="0">
                  <c:v>2014-15</c:v>
                </c:pt>
                <c:pt idx="1">
                  <c:v>2015-16</c:v>
                </c:pt>
                <c:pt idx="2">
                  <c:v>2016-17</c:v>
                </c:pt>
                <c:pt idx="3">
                  <c:v>2017-18</c:v>
                </c:pt>
                <c:pt idx="4">
                  <c:v>2018-19</c:v>
                </c:pt>
              </c:strCache>
            </c:strRef>
          </c:cat>
          <c:val>
            <c:numRef>
              <c:f>'Court Applications'!$AM$163:$AQ$163</c:f>
              <c:numCache>
                <c:formatCode>0.0</c:formatCode>
                <c:ptCount val="5"/>
                <c:pt idx="0">
                  <c:v>15.432098765432098</c:v>
                </c:pt>
                <c:pt idx="1">
                  <c:v>19.183673469387756</c:v>
                </c:pt>
                <c:pt idx="2">
                  <c:v>27.272727272727273</c:v>
                </c:pt>
                <c:pt idx="3">
                  <c:v>28.056112224448896</c:v>
                </c:pt>
                <c:pt idx="4">
                  <c:v>27.091633466135455</c:v>
                </c:pt>
              </c:numCache>
            </c:numRef>
          </c:val>
          <c:smooth val="0"/>
          <c:extLst>
            <c:ext xmlns:c16="http://schemas.microsoft.com/office/drawing/2014/chart" uri="{C3380CC4-5D6E-409C-BE32-E72D297353CC}">
              <c16:uniqueId val="{00000011-1050-47AD-B810-95594425FFE2}"/>
            </c:ext>
          </c:extLst>
        </c:ser>
        <c:ser>
          <c:idx val="8"/>
          <c:order val="17"/>
          <c:tx>
            <c:strRef>
              <c:f>'Court Applications'!$AL$164</c:f>
              <c:strCache>
                <c:ptCount val="1"/>
                <c:pt idx="0">
                  <c:v>Torbay</c:v>
                </c:pt>
              </c:strCache>
            </c:strRef>
          </c:tx>
          <c:spPr>
            <a:ln w="15875"/>
          </c:spPr>
          <c:marker>
            <c:symbol val="circle"/>
            <c:size val="5"/>
            <c:spPr>
              <a:solidFill>
                <a:schemeClr val="accent3">
                  <a:lumMod val="20000"/>
                  <a:lumOff val="80000"/>
                </a:schemeClr>
              </a:solidFill>
            </c:spPr>
          </c:marker>
          <c:cat>
            <c:strRef>
              <c:f>'Court Applications'!$Z$2:$AD$3</c:f>
              <c:strCache>
                <c:ptCount val="5"/>
                <c:pt idx="0">
                  <c:v>2014-15</c:v>
                </c:pt>
                <c:pt idx="1">
                  <c:v>2015-16</c:v>
                </c:pt>
                <c:pt idx="2">
                  <c:v>2016-17</c:v>
                </c:pt>
                <c:pt idx="3">
                  <c:v>2017-18</c:v>
                </c:pt>
                <c:pt idx="4">
                  <c:v>2018-19</c:v>
                </c:pt>
              </c:strCache>
            </c:strRef>
          </c:cat>
          <c:val>
            <c:numRef>
              <c:f>'Court Applications'!$AM$164:$AQ$164</c:f>
              <c:numCache>
                <c:formatCode>0.0</c:formatCode>
                <c:ptCount val="5"/>
                <c:pt idx="0">
                  <c:v>34.262948207171313</c:v>
                </c:pt>
                <c:pt idx="1">
                  <c:v>36.111111111111107</c:v>
                </c:pt>
                <c:pt idx="2">
                  <c:v>29.133858267716533</c:v>
                </c:pt>
                <c:pt idx="3">
                  <c:v>37.00787401574803</c:v>
                </c:pt>
                <c:pt idx="4">
                  <c:v>40.15748031496063</c:v>
                </c:pt>
              </c:numCache>
            </c:numRef>
          </c:val>
          <c:smooth val="0"/>
          <c:extLst>
            <c:ext xmlns:c16="http://schemas.microsoft.com/office/drawing/2014/chart" uri="{C3380CC4-5D6E-409C-BE32-E72D297353CC}">
              <c16:uniqueId val="{00000012-1050-47AD-B810-95594425FFE2}"/>
            </c:ext>
          </c:extLst>
        </c:ser>
        <c:ser>
          <c:idx val="23"/>
          <c:order val="18"/>
          <c:tx>
            <c:strRef>
              <c:f>'Court Applications'!$AL$165</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Applications'!$AM$165:$AQ$165</c:f>
              <c:numCache>
                <c:formatCode>0.0</c:formatCode>
                <c:ptCount val="5"/>
                <c:pt idx="0">
                  <c:v>12.640449438202246</c:v>
                </c:pt>
                <c:pt idx="1">
                  <c:v>20.728291316526612</c:v>
                </c:pt>
                <c:pt idx="2">
                  <c:v>20.612813370473539</c:v>
                </c:pt>
                <c:pt idx="3">
                  <c:v>19.83240223463687</c:v>
                </c:pt>
                <c:pt idx="4">
                  <c:v>13.48314606741573</c:v>
                </c:pt>
              </c:numCache>
            </c:numRef>
          </c:val>
          <c:smooth val="0"/>
          <c:extLst>
            <c:ext xmlns:c16="http://schemas.microsoft.com/office/drawing/2014/chart" uri="{C3380CC4-5D6E-409C-BE32-E72D297353CC}">
              <c16:uniqueId val="{00000013-1050-47AD-B810-95594425FFE2}"/>
            </c:ext>
          </c:extLst>
        </c:ser>
        <c:ser>
          <c:idx val="24"/>
          <c:order val="19"/>
          <c:tx>
            <c:strRef>
              <c:f>'Court Applications'!$AL$166</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Applications'!$AM$166:$AQ$166</c:f>
              <c:numCache>
                <c:formatCode>0.0</c:formatCode>
                <c:ptCount val="5"/>
                <c:pt idx="0">
                  <c:v>9.1824644549763033</c:v>
                </c:pt>
                <c:pt idx="1">
                  <c:v>12.676056338028168</c:v>
                </c:pt>
                <c:pt idx="2">
                  <c:v>13.795110593713622</c:v>
                </c:pt>
                <c:pt idx="3">
                  <c:v>15.637622619734564</c:v>
                </c:pt>
                <c:pt idx="4">
                  <c:v>13.737836290784202</c:v>
                </c:pt>
              </c:numCache>
            </c:numRef>
          </c:val>
          <c:smooth val="0"/>
          <c:extLst>
            <c:ext xmlns:c16="http://schemas.microsoft.com/office/drawing/2014/chart" uri="{C3380CC4-5D6E-409C-BE32-E72D297353CC}">
              <c16:uniqueId val="{00000014-1050-47AD-B810-95594425FFE2}"/>
            </c:ext>
          </c:extLst>
        </c:ser>
        <c:ser>
          <c:idx val="25"/>
          <c:order val="20"/>
          <c:tx>
            <c:strRef>
              <c:f>'Court Applications'!$AL$167</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Applications'!$AM$167:$AQ$167</c:f>
              <c:numCache>
                <c:formatCode>0.0</c:formatCode>
                <c:ptCount val="5"/>
                <c:pt idx="0">
                  <c:v>5.6886227544910186</c:v>
                </c:pt>
                <c:pt idx="1">
                  <c:v>6.2314540059347179</c:v>
                </c:pt>
                <c:pt idx="2">
                  <c:v>9.9415204678362574</c:v>
                </c:pt>
                <c:pt idx="3">
                  <c:v>9.3023255813953494</c:v>
                </c:pt>
                <c:pt idx="4">
                  <c:v>13.294797687861271</c:v>
                </c:pt>
              </c:numCache>
            </c:numRef>
          </c:val>
          <c:smooth val="0"/>
          <c:extLst>
            <c:ext xmlns:c16="http://schemas.microsoft.com/office/drawing/2014/chart" uri="{C3380CC4-5D6E-409C-BE32-E72D297353CC}">
              <c16:uniqueId val="{00000015-1050-47AD-B810-95594425FFE2}"/>
            </c:ext>
          </c:extLst>
        </c:ser>
        <c:ser>
          <c:idx val="26"/>
          <c:order val="21"/>
          <c:tx>
            <c:strRef>
              <c:f>'Court Applications'!$AL$168</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Applications'!$AM$168:$AQ$168</c:f>
              <c:numCache>
                <c:formatCode>0.0</c:formatCode>
                <c:ptCount val="5"/>
                <c:pt idx="0">
                  <c:v>4.6070460704607044</c:v>
                </c:pt>
                <c:pt idx="1">
                  <c:v>8.310991957104557</c:v>
                </c:pt>
                <c:pt idx="2">
                  <c:v>7.1052631578947372</c:v>
                </c:pt>
                <c:pt idx="3">
                  <c:v>11.36950904392765</c:v>
                </c:pt>
                <c:pt idx="4">
                  <c:v>12.151898734177216</c:v>
                </c:pt>
              </c:numCache>
            </c:numRef>
          </c:val>
          <c:smooth val="0"/>
          <c:extLst>
            <c:ext xmlns:c16="http://schemas.microsoft.com/office/drawing/2014/chart" uri="{C3380CC4-5D6E-409C-BE32-E72D297353CC}">
              <c16:uniqueId val="{00000016-1050-47AD-B810-95594425FFE2}"/>
            </c:ext>
          </c:extLst>
        </c:ser>
        <c:ser>
          <c:idx val="4"/>
          <c:order val="22"/>
          <c:tx>
            <c:strRef>
              <c:f>'Court Applications'!$AL$169</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'Court Applications'!$Z$2:$AD$3</c:f>
              <c:strCache>
                <c:ptCount val="5"/>
                <c:pt idx="0">
                  <c:v>2014-15</c:v>
                </c:pt>
                <c:pt idx="1">
                  <c:v>2015-16</c:v>
                </c:pt>
                <c:pt idx="2">
                  <c:v>2016-17</c:v>
                </c:pt>
                <c:pt idx="3">
                  <c:v>2017-18</c:v>
                </c:pt>
                <c:pt idx="4">
                  <c:v>2018-19</c:v>
                </c:pt>
              </c:strCache>
            </c:strRef>
          </c:cat>
          <c:val>
            <c:numRef>
              <c:f>'Court Applications'!$AM$169:$AQ$169</c:f>
              <c:numCache>
                <c:formatCode>0.0</c:formatCode>
                <c:ptCount val="5"/>
                <c:pt idx="0">
                  <c:v>12.593214998424536</c:v>
                </c:pt>
                <c:pt idx="1">
                  <c:v>15.911579166883897</c:v>
                </c:pt>
                <c:pt idx="2">
                  <c:v>16.185599006828056</c:v>
                </c:pt>
                <c:pt idx="3">
                  <c:v>16.410309172282524</c:v>
                </c:pt>
                <c:pt idx="4">
                  <c:v>15.402298850574713</c:v>
                </c:pt>
              </c:numCache>
            </c:numRef>
          </c:val>
          <c:smooth val="0"/>
          <c:extLst>
            <c:ext xmlns:c16="http://schemas.microsoft.com/office/drawing/2014/chart" uri="{C3380CC4-5D6E-409C-BE32-E72D297353CC}">
              <c16:uniqueId val="{00000017-1050-47AD-B810-95594425FFE2}"/>
            </c:ext>
          </c:extLst>
        </c:ser>
        <c:ser>
          <c:idx val="14"/>
          <c:order val="23"/>
          <c:tx>
            <c:strRef>
              <c:f>'Court Applications'!$AL$170</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'Court Applications'!$Z$2:$AD$3</c:f>
              <c:strCache>
                <c:ptCount val="5"/>
                <c:pt idx="0">
                  <c:v>2014-15</c:v>
                </c:pt>
                <c:pt idx="1">
                  <c:v>2015-16</c:v>
                </c:pt>
                <c:pt idx="2">
                  <c:v>2016-17</c:v>
                </c:pt>
                <c:pt idx="3">
                  <c:v>2017-18</c:v>
                </c:pt>
                <c:pt idx="4">
                  <c:v>2018-19</c:v>
                </c:pt>
              </c:strCache>
            </c:strRef>
          </c:cat>
          <c:val>
            <c:numRef>
              <c:f>'Court Applications'!$AM$170:$AQ$170</c:f>
              <c:numCache>
                <c:formatCode>0.0</c:formatCode>
                <c:ptCount val="5"/>
                <c:pt idx="0">
                  <c:v>16.252145932003071</c:v>
                </c:pt>
                <c:pt idx="1">
                  <c:v>18.208753286121649</c:v>
                </c:pt>
                <c:pt idx="2">
                  <c:v>20.444112580927086</c:v>
                </c:pt>
                <c:pt idx="3">
                  <c:v>19.892137861296028</c:v>
                </c:pt>
                <c:pt idx="4">
                  <c:v>18.447292255700734</c:v>
                </c:pt>
              </c:numCache>
            </c:numRef>
          </c:val>
          <c:smooth val="0"/>
          <c:extLst>
            <c:ext xmlns:c16="http://schemas.microsoft.com/office/drawing/2014/chart" uri="{C3380CC4-5D6E-409C-BE32-E72D297353CC}">
              <c16:uniqueId val="{00000018-1050-47AD-B810-95594425FFE2}"/>
            </c:ext>
          </c:extLst>
        </c:ser>
        <c:ser>
          <c:idx val="6"/>
          <c:order val="24"/>
          <c:tx>
            <c:strRef>
              <c:f>'Court Applications'!$AL$171</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'Court Applications'!$Z$2:$AD$3</c:f>
              <c:strCache>
                <c:ptCount val="5"/>
                <c:pt idx="0">
                  <c:v>2014-15</c:v>
                </c:pt>
                <c:pt idx="1">
                  <c:v>2015-16</c:v>
                </c:pt>
                <c:pt idx="2">
                  <c:v>2016-17</c:v>
                </c:pt>
                <c:pt idx="3">
                  <c:v>2017-18</c:v>
                </c:pt>
                <c:pt idx="4">
                  <c:v>2018-19</c:v>
                </c:pt>
              </c:strCache>
            </c:strRef>
          </c:cat>
          <c:val>
            <c:numRef>
              <c:f>'Court Applications'!$AM$171:$AQ$171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1050-47AD-B810-95594425FFE2}"/>
            </c:ext>
          </c:extLst>
        </c:ser>
        <c:dLbls>
          <c:showLegendKey val="0"/>
          <c:showVal val="0"/>
          <c:showCatName val="0"/>
          <c:showSerName val="0"/>
          <c:showPercent val="0"/>
          <c:showBubbleSize val="0"/>
        </c:dLbls>
        <c:marker val="1"/>
        <c:smooth val="0"/>
        <c:axId val="279295872"/>
        <c:axId val="279306240"/>
      </c:lineChart>
      <c:catAx>
        <c:axId val="279295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306240"/>
        <c:crosses val="autoZero"/>
        <c:auto val="1"/>
        <c:lblAlgn val="ctr"/>
        <c:lblOffset val="100"/>
        <c:tickLblSkip val="1"/>
        <c:tickMarkSkip val="1"/>
        <c:noMultiLvlLbl val="0"/>
      </c:catAx>
      <c:valAx>
        <c:axId val="2793062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29587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Care Applications to Court </a:t>
            </a:r>
          </a:p>
          <a:p>
            <a:pPr>
              <a:defRPr sz="1000" b="1" i="0" u="none" strike="noStrike" baseline="0">
                <a:solidFill>
                  <a:srgbClr val="000000"/>
                </a:solidFill>
                <a:latin typeface="Arial"/>
                <a:ea typeface="Arial"/>
                <a:cs typeface="Arial"/>
              </a:defRPr>
            </a:pPr>
            <a:r>
              <a:rPr lang="en-GB"/>
              <a:t>(Selected LA</a:t>
            </a:r>
            <a:r>
              <a:rPr lang="en-GB" baseline="0"/>
              <a:t> vs. SE)</a:t>
            </a:r>
            <a:r>
              <a:rPr lang="en-GB"/>
              <a:t> </a:t>
            </a:r>
          </a:p>
        </c:rich>
      </c:tx>
      <c:layout>
        <c:manualLayout>
          <c:xMode val="edge"/>
          <c:yMode val="edge"/>
          <c:x val="0.11589743589743588"/>
          <c:y val="3.8612538702123313E-3"/>
        </c:manualLayout>
      </c:layout>
      <c:overlay val="0"/>
      <c:spPr>
        <a:noFill/>
        <a:ln w="25400">
          <a:noFill/>
        </a:ln>
      </c:spPr>
    </c:title>
    <c:autoTitleDeleted val="0"/>
    <c:plotArea>
      <c:layout>
        <c:manualLayout>
          <c:layoutTarget val="inner"/>
          <c:xMode val="edge"/>
          <c:yMode val="edge"/>
          <c:x val="9.6909984154078643E-2"/>
          <c:y val="0.21104924384451942"/>
          <c:w val="0.65146216862752293"/>
          <c:h val="0.55187326135131309"/>
        </c:manualLayout>
      </c:layout>
      <c:barChart>
        <c:barDir val="col"/>
        <c:grouping val="clustered"/>
        <c:varyColors val="0"/>
        <c:ser>
          <c:idx val="6"/>
          <c:order val="0"/>
          <c:tx>
            <c:strRef>
              <c:f>'Court Applications'!$AA$4</c:f>
              <c:strCache>
                <c:ptCount val="1"/>
                <c:pt idx="0">
                  <c:v>Selected LA- (none)</c:v>
                </c:pt>
              </c:strCache>
            </c:strRef>
          </c:tx>
          <c:spPr>
            <a:solidFill>
              <a:srgbClr val="66FF99"/>
            </a:solidFill>
            <a:ln>
              <a:solidFill>
                <a:schemeClr val="tx1">
                  <a:lumMod val="75000"/>
                  <a:lumOff val="25000"/>
                </a:schemeClr>
              </a:solidFill>
            </a:ln>
          </c:spPr>
          <c:invertIfNegative val="0"/>
          <c:cat>
            <c:strRef>
              <c:f>'Court Applications'!$Z$2:$AD$3</c:f>
              <c:strCache>
                <c:ptCount val="5"/>
                <c:pt idx="0">
                  <c:v>2014-15</c:v>
                </c:pt>
                <c:pt idx="1">
                  <c:v>2015-16</c:v>
                </c:pt>
                <c:pt idx="2">
                  <c:v>2016-17</c:v>
                </c:pt>
                <c:pt idx="3">
                  <c:v>2017-18</c:v>
                </c:pt>
                <c:pt idx="4">
                  <c:v>2018-19</c:v>
                </c:pt>
              </c:strCache>
            </c:strRef>
          </c:cat>
          <c:val>
            <c:numRef>
              <c:f>'Court Applications'!$AM$171:$AQ$171</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7D24-4022-A9F9-C4FC4DE8B8F4}"/>
            </c:ext>
          </c:extLst>
        </c:ser>
        <c:ser>
          <c:idx val="4"/>
          <c:order val="1"/>
          <c:tx>
            <c:strRef>
              <c:f>'Court Applications'!$B$138</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'Court Applications'!$Z$2:$AD$3</c:f>
              <c:strCache>
                <c:ptCount val="5"/>
                <c:pt idx="0">
                  <c:v>2014-15</c:v>
                </c:pt>
                <c:pt idx="1">
                  <c:v>2015-16</c:v>
                </c:pt>
                <c:pt idx="2">
                  <c:v>2016-17</c:v>
                </c:pt>
                <c:pt idx="3">
                  <c:v>2017-18</c:v>
                </c:pt>
                <c:pt idx="4">
                  <c:v>2018-19</c:v>
                </c:pt>
              </c:strCache>
            </c:strRef>
          </c:cat>
          <c:val>
            <c:numRef>
              <c:f>'Court Applications'!$K$138:$O$138</c:f>
              <c:numCache>
                <c:formatCode>0.0</c:formatCode>
                <c:ptCount val="5"/>
                <c:pt idx="0">
                  <c:v>12.593214998424536</c:v>
                </c:pt>
                <c:pt idx="1">
                  <c:v>15.911579166883897</c:v>
                </c:pt>
                <c:pt idx="2">
                  <c:v>16.185599006828056</c:v>
                </c:pt>
                <c:pt idx="3">
                  <c:v>16.410309172282524</c:v>
                </c:pt>
                <c:pt idx="4">
                  <c:v>15.402298850574713</c:v>
                </c:pt>
              </c:numCache>
            </c:numRef>
          </c:val>
          <c:extLst>
            <c:ext xmlns:c16="http://schemas.microsoft.com/office/drawing/2014/chart" uri="{C3380CC4-5D6E-409C-BE32-E72D297353CC}">
              <c16:uniqueId val="{00000001-7D24-4022-A9F9-C4FC4DE8B8F4}"/>
            </c:ext>
          </c:extLst>
        </c:ser>
        <c:ser>
          <c:idx val="0"/>
          <c:order val="2"/>
          <c:tx>
            <c:strRef>
              <c:f>'Court Applications'!$B$139</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'Court Applications'!$Z$2:$AD$3</c:f>
              <c:strCache>
                <c:ptCount val="5"/>
                <c:pt idx="0">
                  <c:v>2014-15</c:v>
                </c:pt>
                <c:pt idx="1">
                  <c:v>2015-16</c:v>
                </c:pt>
                <c:pt idx="2">
                  <c:v>2016-17</c:v>
                </c:pt>
                <c:pt idx="3">
                  <c:v>2017-18</c:v>
                </c:pt>
                <c:pt idx="4">
                  <c:v>2018-19</c:v>
                </c:pt>
              </c:strCache>
            </c:strRef>
          </c:cat>
          <c:val>
            <c:numRef>
              <c:f>'Court Applications'!$K$139:$O$139</c:f>
              <c:numCache>
                <c:formatCode>0.0</c:formatCode>
                <c:ptCount val="5"/>
                <c:pt idx="0">
                  <c:v>16.252145932003071</c:v>
                </c:pt>
                <c:pt idx="1">
                  <c:v>18.208753286121649</c:v>
                </c:pt>
                <c:pt idx="2">
                  <c:v>20.444112580927086</c:v>
                </c:pt>
                <c:pt idx="3">
                  <c:v>19.892137861296028</c:v>
                </c:pt>
                <c:pt idx="4">
                  <c:v>18.447292255700734</c:v>
                </c:pt>
              </c:numCache>
            </c:numRef>
          </c:val>
          <c:extLst>
            <c:ext xmlns:c16="http://schemas.microsoft.com/office/drawing/2014/chart" uri="{C3380CC4-5D6E-409C-BE32-E72D297353CC}">
              <c16:uniqueId val="{00000002-7D24-4022-A9F9-C4FC4DE8B8F4}"/>
            </c:ext>
          </c:extLst>
        </c:ser>
        <c:dLbls>
          <c:showLegendKey val="0"/>
          <c:showVal val="0"/>
          <c:showCatName val="0"/>
          <c:showSerName val="0"/>
          <c:showPercent val="0"/>
          <c:showBubbleSize val="0"/>
        </c:dLbls>
        <c:gapWidth val="100"/>
        <c:axId val="279393792"/>
        <c:axId val="279395328"/>
      </c:barChart>
      <c:catAx>
        <c:axId val="279393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395328"/>
        <c:crosses val="autoZero"/>
        <c:auto val="1"/>
        <c:lblAlgn val="ctr"/>
        <c:lblOffset val="100"/>
        <c:noMultiLvlLbl val="0"/>
      </c:catAx>
      <c:valAx>
        <c:axId val="279395328"/>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393792"/>
        <c:crosses val="autoZero"/>
        <c:crossBetween val="between"/>
      </c:valAx>
      <c:spPr>
        <a:noFill/>
        <a:ln w="3175">
          <a:solidFill>
            <a:srgbClr val="000000"/>
          </a:solidFill>
          <a:prstDash val="solid"/>
        </a:ln>
      </c:spPr>
    </c:plotArea>
    <c:legend>
      <c:legendPos val="r"/>
      <c:layout>
        <c:manualLayout>
          <c:xMode val="edge"/>
          <c:yMode val="edge"/>
          <c:x val="0.75990284431229316"/>
          <c:y val="0.17953653819588342"/>
          <c:w val="0.24009715568770687"/>
          <c:h val="0.8204636396498341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b="1" i="0" u="none" strike="noStrike" baseline="0">
                <a:solidFill>
                  <a:srgbClr val="000000"/>
                </a:solidFill>
                <a:latin typeface="Arial"/>
                <a:ea typeface="Arial"/>
                <a:cs typeface="Arial"/>
              </a:defRPr>
            </a:pPr>
            <a:r>
              <a:rPr lang="en-GB"/>
              <a:t>Distance from Expected Rate of Children subject to Care Applications to Court</a:t>
            </a:r>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'Court Applications'!$U$9</c:f>
              <c:strCache>
                <c:ptCount val="1"/>
                <c:pt idx="0">
                  <c:v>Distance</c:v>
                </c:pt>
              </c:strCache>
            </c:strRef>
          </c:tx>
          <c:spPr>
            <a:solidFill>
              <a:srgbClr val="FB994F"/>
            </a:solidFill>
            <a:ln w="25400">
              <a:noFill/>
            </a:ln>
          </c:spPr>
          <c:invertIfNegative val="0"/>
          <c:cat>
            <c:strRef>
              <c:f>'Court Applications'!$Y$77:$Y$100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Applications'!$U$116:$U$139</c:f>
              <c:numCache>
                <c:formatCode>0.0</c:formatCode>
                <c:ptCount val="24"/>
                <c:pt idx="0">
                  <c:v>13.124927065275374</c:v>
                </c:pt>
                <c:pt idx="1">
                  <c:v>2.1809996647657819</c:v>
                </c:pt>
                <c:pt idx="2">
                  <c:v>1.8623092367431635</c:v>
                </c:pt>
                <c:pt idx="3">
                  <c:v>-7.3379899897134404</c:v>
                </c:pt>
                <c:pt idx="4">
                  <c:v>2.3228821264137967</c:v>
                </c:pt>
                <c:pt idx="5">
                  <c:v>4.0526737565750359</c:v>
                </c:pt>
                <c:pt idx="6">
                  <c:v>-7.5848841551981572</c:v>
                </c:pt>
                <c:pt idx="7">
                  <c:v>-3.4025324168796089</c:v>
                </c:pt>
                <c:pt idx="8">
                  <c:v>-0.20233514480693771</c:v>
                </c:pt>
                <c:pt idx="9">
                  <c:v>5.3043621668775742</c:v>
                </c:pt>
                <c:pt idx="10">
                  <c:v>1.5508675507353296</c:v>
                </c:pt>
                <c:pt idx="11">
                  <c:v>12.372342049386681</c:v>
                </c:pt>
                <c:pt idx="12">
                  <c:v>5.0911965342410888</c:v>
                </c:pt>
                <c:pt idx="13">
                  <c:v>6.9899626769455381E-2</c:v>
                </c:pt>
                <c:pt idx="14">
                  <c:v>1.1219987753984384</c:v>
                </c:pt>
                <c:pt idx="15">
                  <c:v>1.48982062216019</c:v>
                </c:pt>
                <c:pt idx="16">
                  <c:v>9.2709603331961254</c:v>
                </c:pt>
                <c:pt idx="17">
                  <c:v>15.503336043821459</c:v>
                </c:pt>
                <c:pt idx="18">
                  <c:v>1.7149759425962579</c:v>
                </c:pt>
                <c:pt idx="19">
                  <c:v>-0.27561720801521794</c:v>
                </c:pt>
                <c:pt idx="20">
                  <c:v>3.4790478882417535</c:v>
                </c:pt>
                <c:pt idx="21">
                  <c:v>3.4099801134176744</c:v>
                </c:pt>
                <c:pt idx="22">
                  <c:v>5.0199349529014725E-2</c:v>
                </c:pt>
                <c:pt idx="23">
                  <c:v>-1.5058274425478899</c:v>
                </c:pt>
              </c:numCache>
            </c:numRef>
          </c:val>
          <c:extLst>
            <c:ext xmlns:c16="http://schemas.microsoft.com/office/drawing/2014/chart" uri="{C3380CC4-5D6E-409C-BE32-E72D297353CC}">
              <c16:uniqueId val="{00000000-3808-4075-8F53-A74CC9D50297}"/>
            </c:ext>
          </c:extLst>
        </c:ser>
        <c:ser>
          <c:idx val="0"/>
          <c:order val="1"/>
          <c:tx>
            <c:strRef>
              <c:f>'Court Applications'!$AA$76</c:f>
              <c:strCache>
                <c:ptCount val="1"/>
                <c:pt idx="0">
                  <c:v>Distance from Expected Chart Highlight</c:v>
                </c:pt>
              </c:strCache>
            </c:strRef>
          </c:tx>
          <c:spPr>
            <a:solidFill>
              <a:srgbClr val="66FF99"/>
            </a:solidFill>
            <a:ln w="12700">
              <a:solidFill>
                <a:srgbClr val="000000"/>
              </a:solidFill>
              <a:prstDash val="solid"/>
            </a:ln>
          </c:spPr>
          <c:invertIfNegative val="0"/>
          <c:cat>
            <c:strRef>
              <c:f>'Court Applications'!$Y$77:$Y$100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Applications'!$AA$183:$AA$206</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3808-4075-8F53-A74CC9D50297}"/>
            </c:ext>
          </c:extLst>
        </c:ser>
        <c:dLbls>
          <c:showLegendKey val="0"/>
          <c:showVal val="0"/>
          <c:showCatName val="0"/>
          <c:showSerName val="0"/>
          <c:showPercent val="0"/>
          <c:showBubbleSize val="0"/>
        </c:dLbls>
        <c:gapWidth val="40"/>
        <c:overlap val="100"/>
        <c:axId val="279429888"/>
        <c:axId val="279431424"/>
      </c:barChart>
      <c:catAx>
        <c:axId val="279429888"/>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431424"/>
        <c:crossesAt val="0"/>
        <c:auto val="1"/>
        <c:lblAlgn val="ctr"/>
        <c:lblOffset val="100"/>
        <c:noMultiLvlLbl val="0"/>
      </c:catAx>
      <c:valAx>
        <c:axId val="279431424"/>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429888"/>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'Court Applications'!$AL$111</c:f>
          <c:strCache>
            <c:ptCount val="1"/>
            <c:pt idx="0">
              <c:v>Average Annual Change in Number of Children subject to Care Applications to Court during the year ending 31st March</c:v>
            </c:pt>
          </c:strCache>
        </c:strRef>
      </c:tx>
      <c:layout>
        <c:manualLayout>
          <c:xMode val="edge"/>
          <c:yMode val="edge"/>
          <c:x val="9.5785619809663491E-3"/>
          <c:y val="1.1152426478663088E-2"/>
        </c:manualLayout>
      </c:layout>
      <c:overlay val="0"/>
      <c:spPr>
        <a:noFill/>
        <a:ln w="25400">
          <a:noFill/>
        </a:ln>
      </c:spPr>
      <c:txPr>
        <a:bodyPr/>
        <a:lstStyle/>
        <a:p>
          <a:pPr algn="l">
            <a:defRPr sz="1000" b="1" i="0" u="none" strike="noStrike" baseline="0">
              <a:solidFill>
                <a:srgbClr val="000000"/>
              </a:solidFill>
              <a:latin typeface="Arial"/>
              <a:ea typeface="Arial"/>
              <a:cs typeface="Arial"/>
            </a:defRPr>
          </a:pPr>
          <a:endParaRPr lang="en-US"/>
        </a:p>
      </c:txPr>
    </c:title>
    <c:autoTitleDeleted val="0"/>
    <c:plotArea>
      <c:layout>
        <c:manualLayout>
          <c:layoutTarget val="inner"/>
          <c:xMode val="edge"/>
          <c:yMode val="edge"/>
          <c:x val="0.26583809159161659"/>
          <c:y val="0.13754659323684476"/>
          <c:w val="0.68840427716091512"/>
          <c:h val="0.80483344421018621"/>
        </c:manualLayout>
      </c:layout>
      <c:barChart>
        <c:barDir val="bar"/>
        <c:grouping val="clustered"/>
        <c:varyColors val="0"/>
        <c:ser>
          <c:idx val="0"/>
          <c:order val="0"/>
          <c:tx>
            <c:strRef>
              <c:f>'Court Applications'!$I$7</c:f>
              <c:strCache>
                <c:ptCount val="1"/>
                <c:pt idx="0">
                  <c:v>Average Annual Change </c:v>
                </c:pt>
              </c:strCache>
            </c:strRef>
          </c:tx>
          <c:spPr>
            <a:solidFill>
              <a:srgbClr val="FB994F"/>
            </a:solidFill>
            <a:ln w="25400">
              <a:noFill/>
            </a:ln>
          </c:spPr>
          <c:invertIfNegative val="0"/>
          <c:cat>
            <c:strRef>
              <c:f>'Court Applications'!$B$10:$B$33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Applications'!$I$116:$I$139</c:f>
              <c:numCache>
                <c:formatCode>0.0%</c:formatCode>
                <c:ptCount val="24"/>
                <c:pt idx="0">
                  <c:v>0.32721679062147013</c:v>
                </c:pt>
                <c:pt idx="1">
                  <c:v>-2.527103717533076E-2</c:v>
                </c:pt>
                <c:pt idx="2">
                  <c:v>0.25942173917031491</c:v>
                </c:pt>
                <c:pt idx="3">
                  <c:v>1.9247016039574315E-2</c:v>
                </c:pt>
                <c:pt idx="4">
                  <c:v>9.7628129324555391E-2</c:v>
                </c:pt>
                <c:pt idx="5">
                  <c:v>4.1137204890425084E-2</c:v>
                </c:pt>
                <c:pt idx="6">
                  <c:v>-1.0431164643499573E-2</c:v>
                </c:pt>
                <c:pt idx="7">
                  <c:v>4.7963985004158119E-2</c:v>
                </c:pt>
                <c:pt idx="8">
                  <c:v>0.27153633120335485</c:v>
                </c:pt>
                <c:pt idx="9">
                  <c:v>8.5890754878512138E-2</c:v>
                </c:pt>
                <c:pt idx="10">
                  <c:v>5.8414867163383344E-2</c:v>
                </c:pt>
                <c:pt idx="11">
                  <c:v>0.23215407760677637</c:v>
                </c:pt>
                <c:pt idx="12">
                  <c:v>0.20445258998248128</c:v>
                </c:pt>
                <c:pt idx="13">
                  <c:v>-2.191912140213885E-2</c:v>
                </c:pt>
                <c:pt idx="14">
                  <c:v>-9.8362006784044151E-2</c:v>
                </c:pt>
                <c:pt idx="15">
                  <c:v>0.19578750041626597</c:v>
                </c:pt>
                <c:pt idx="16">
                  <c:v>0.17449228864122482</c:v>
                </c:pt>
                <c:pt idx="17">
                  <c:v>5.6675750329881952E-2</c:v>
                </c:pt>
                <c:pt idx="18">
                  <c:v>6.9990060483018229E-2</c:v>
                </c:pt>
                <c:pt idx="19">
                  <c:v>0.12995984525484292</c:v>
                </c:pt>
                <c:pt idx="20">
                  <c:v>0.27574681188264782</c:v>
                </c:pt>
                <c:pt idx="21">
                  <c:v>0.35375896855972755</c:v>
                </c:pt>
                <c:pt idx="22">
                  <c:v>5.8295862300532811E-2</c:v>
                </c:pt>
                <c:pt idx="23">
                  <c:v>4.3942188964611856E-2</c:v>
                </c:pt>
              </c:numCache>
            </c:numRef>
          </c:val>
          <c:extLst>
            <c:ext xmlns:c16="http://schemas.microsoft.com/office/drawing/2014/chart" uri="{C3380CC4-5D6E-409C-BE32-E72D297353CC}">
              <c16:uniqueId val="{00000000-C70E-4B91-9EFF-97FCE300C386}"/>
            </c:ext>
          </c:extLst>
        </c:ser>
        <c:ser>
          <c:idx val="1"/>
          <c:order val="1"/>
          <c:tx>
            <c:strRef>
              <c:f>'Court Applications'!$Z$76</c:f>
              <c:strCache>
                <c:ptCount val="1"/>
                <c:pt idx="0">
                  <c:v>Percentage Change Chart Highlight</c:v>
                </c:pt>
              </c:strCache>
            </c:strRef>
          </c:tx>
          <c:spPr>
            <a:solidFill>
              <a:srgbClr val="66FF99"/>
            </a:solidFill>
            <a:ln w="12700">
              <a:solidFill>
                <a:srgbClr val="000000"/>
              </a:solidFill>
              <a:prstDash val="solid"/>
            </a:ln>
          </c:spPr>
          <c:invertIfNegative val="0"/>
          <c:cat>
            <c:strRef>
              <c:f>'Court Applications'!$B$10:$B$33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'Court Applications'!$Z$183:$Z$206</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C70E-4B91-9EFF-97FCE300C386}"/>
            </c:ext>
          </c:extLst>
        </c:ser>
        <c:dLbls>
          <c:showLegendKey val="0"/>
          <c:showVal val="0"/>
          <c:showCatName val="0"/>
          <c:showSerName val="0"/>
          <c:showPercent val="0"/>
          <c:showBubbleSize val="0"/>
        </c:dLbls>
        <c:gapWidth val="40"/>
        <c:overlap val="100"/>
        <c:axId val="279456384"/>
        <c:axId val="279458176"/>
      </c:barChart>
      <c:catAx>
        <c:axId val="279456384"/>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458176"/>
        <c:crosses val="autoZero"/>
        <c:auto val="1"/>
        <c:lblAlgn val="ctr"/>
        <c:lblOffset val="100"/>
        <c:noMultiLvlLbl val="0"/>
      </c:catAx>
      <c:valAx>
        <c:axId val="279458176"/>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456384"/>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Children subject to Care Applications</a:t>
            </a:r>
            <a:r>
              <a:rPr lang="en-GB" baseline="0"/>
              <a:t> to Court </a:t>
            </a:r>
            <a:r>
              <a:rPr lang="en-GB"/>
              <a:t>vs. IDACI</a:t>
            </a:r>
          </a:p>
        </c:rich>
      </c:tx>
      <c:layout>
        <c:manualLayout>
          <c:xMode val="edge"/>
          <c:yMode val="edge"/>
          <c:x val="0.13977883533789046"/>
          <c:y val="1.1993206731511502E-2"/>
        </c:manualLayout>
      </c:layout>
      <c:overlay val="0"/>
      <c:spPr>
        <a:noFill/>
        <a:ln w="25400">
          <a:noFill/>
        </a:ln>
      </c:spPr>
    </c:title>
    <c:autoTitleDeleted val="0"/>
    <c:plotArea>
      <c:layout>
        <c:manualLayout>
          <c:layoutTarget val="inner"/>
          <c:xMode val="edge"/>
          <c:yMode val="edge"/>
          <c:x val="0.17846630896801616"/>
          <c:y val="0.10979916766605345"/>
          <c:w val="0.71042412839987923"/>
          <c:h val="0.7425640385641078"/>
        </c:manualLayout>
      </c:layout>
      <c:scatterChart>
        <c:scatterStyle val="lineMarker"/>
        <c:varyColors val="0"/>
        <c:ser>
          <c:idx val="0"/>
          <c:order val="0"/>
          <c:tx>
            <c:strRef>
              <c:f>'Court Applications'!$AR$144</c:f>
              <c:strCache>
                <c:ptCount val="1"/>
                <c:pt idx="0">
                  <c:v>IDACI 2015</c:v>
                </c:pt>
              </c:strCache>
            </c:strRef>
          </c:tx>
          <c:spPr>
            <a:ln w="28575">
              <a:noFill/>
            </a:ln>
          </c:spPr>
          <c:marker>
            <c:symbol val="diamond"/>
            <c:size val="5"/>
            <c:spPr>
              <a:solidFill>
                <a:schemeClr val="accent2">
                  <a:lumMod val="20000"/>
                  <a:lumOff val="80000"/>
                </a:schemeClr>
              </a:solidFill>
              <a:ln>
                <a:solidFill>
                  <a:schemeClr val="accent2">
                    <a:lumMod val="50000"/>
                  </a:schemeClr>
                </a:solidFill>
                <a:prstDash val="solid"/>
              </a:ln>
            </c:spPr>
          </c:marker>
          <c:dPt>
            <c:idx val="28"/>
            <c:marker>
              <c:symbol val="triangle"/>
              <c:size val="6"/>
            </c:marker>
            <c:bubble3D val="0"/>
            <c:extLst>
              <c:ext xmlns:c16="http://schemas.microsoft.com/office/drawing/2014/chart" uri="{C3380CC4-5D6E-409C-BE32-E72D297353CC}">
                <c16:uniqueId val="{00000000-280B-4640-83E0-3777AACAD1CF}"/>
              </c:ext>
            </c:extLst>
          </c:dPt>
          <c:dLbls>
            <c:dLbl>
              <c:idx val="0"/>
              <c:tx>
                <c:strRef>
                  <c:f>Sheet1!$K$4</c:f>
                  <c:strCache>
                    <c:ptCount val="1"/>
                    <c:pt idx="0">
                      <c:v>Bracknell Forest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{D6D6F4A4-BBC8-4C84-B367-39C15DA2AC35}</c15:txfldGUID>
                      <c15:f>Sheet1!$K$4</c15:f>
                      <c15:dlblFieldTableCache>
                        <c:ptCount val="1"/>
                        <c:pt idx="0">
                          <c:v>Bracknell Forest</c:v>
                        </c:pt>
                      </c15:dlblFieldTableCache>
                    </c15:dlblFTEntry>
                  </c15:dlblFieldTable>
                  <c15:showDataLabelsRange val="0"/>
                </c:ext>
                <c:ext xmlns:c16="http://schemas.microsoft.com/office/drawing/2014/chart" uri="{C3380CC4-5D6E-409C-BE32-E72D297353CC}">
                  <c16:uniqueId val="{00000001-280B-4640-83E0-3777AACAD1CF}"/>
                </c:ext>
              </c:extLst>
            </c:dLbl>
            <c:dLbl>
              <c:idx val="1"/>
              <c:tx>
                <c:strRef>
                  <c:f>Sheet1!$K$5</c:f>
                  <c:strCache>
                    <c:ptCount val="1"/>
                    <c:pt idx="0">
                      <c:v>Brighton &amp; Hove</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{3C555B72-9B76-4998-A931-31A7546F840B}</c15:txfldGUID>
                      <c15:f>Sheet1!$K$5</c15:f>
                      <c15:dlblFieldTableCache>
                        <c:ptCount val="1"/>
                        <c:pt idx="0">
                          <c:v>Brighton &amp; Hove</c:v>
                        </c:pt>
                      </c15:dlblFieldTableCache>
                    </c15:dlblFTEntry>
                  </c15:dlblFieldTable>
                  <c15:showDataLabelsRange val="0"/>
                </c:ext>
                <c:ext xmlns:c16="http://schemas.microsoft.com/office/drawing/2014/chart" uri="{C3380CC4-5D6E-409C-BE32-E72D297353CC}">
                  <c16:uniqueId val="{00000002-280B-4640-83E0-3777AACAD1CF}"/>
                </c:ext>
              </c:extLst>
            </c:dLbl>
            <c:dLbl>
              <c:idx val="2"/>
              <c:tx>
                <c:strRef>
                  <c:f>Sheet1!$K$6</c:f>
                  <c:strCache>
                    <c:ptCount val="1"/>
                    <c:pt idx="0">
                      <c:v>Buckinghamshire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{6E25C123-6777-4254-AC1E-06A78AB78BA2}</c15:txfldGUID>
                      <c15:f>Sheet1!$K$6</c15:f>
                      <c15:dlblFieldTableCache>
                        <c:ptCount val="1"/>
                        <c:pt idx="0">
                          <c:v>Buckinghamshire</c:v>
                        </c:pt>
                      </c15:dlblFieldTableCache>
                    </c15:dlblFTEntry>
                  </c15:dlblFieldTable>
                  <c15:showDataLabelsRange val="0"/>
                </c:ext>
                <c:ext xmlns:c16="http://schemas.microsoft.com/office/drawing/2014/chart" uri="{C3380CC4-5D6E-409C-BE32-E72D297353CC}">
                  <c16:uniqueId val="{00000003-280B-4640-83E0-3777AACAD1CF}"/>
                </c:ext>
              </c:extLst>
            </c:dLbl>
            <c:dLbl>
              <c:idx val="3"/>
              <c:tx>
                <c:strRef>
                  <c:f>Sheet1!$K$7</c:f>
                  <c:strCache>
                    <c:ptCount val="1"/>
                    <c:pt idx="0">
                      <c:v>East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{838E5360-D644-4934-BBEC-88CD61E47298}</c15:txfldGUID>
                      <c15:f>Sheet1!$K$7</c15:f>
                      <c15:dlblFieldTableCache>
                        <c:ptCount val="1"/>
                        <c:pt idx="0">
                          <c:v>East Sussex</c:v>
                        </c:pt>
                      </c15:dlblFieldTableCache>
                    </c15:dlblFTEntry>
                  </c15:dlblFieldTable>
                  <c15:showDataLabelsRange val="0"/>
                </c:ext>
                <c:ext xmlns:c16="http://schemas.microsoft.com/office/drawing/2014/chart" uri="{C3380CC4-5D6E-409C-BE32-E72D297353CC}">
                  <c16:uniqueId val="{00000004-280B-4640-83E0-3777AACAD1CF}"/>
                </c:ext>
              </c:extLst>
            </c:dLbl>
            <c:dLbl>
              <c:idx val="4"/>
              <c:tx>
                <c:strRef>
                  <c:f>Sheet1!$K$8</c:f>
                  <c:strCache>
                    <c:ptCount val="1"/>
                    <c:pt idx="0">
                      <c:v>Hampshire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{BEADB156-0E6F-4BA8-8B70-57D7A0BAC2D6}</c15:txfldGUID>
                      <c15:f>Sheet1!$K$8</c15:f>
                      <c15:dlblFieldTableCache>
                        <c:ptCount val="1"/>
                        <c:pt idx="0">
                          <c:v>Hampshire</c:v>
                        </c:pt>
                      </c15:dlblFieldTableCache>
                    </c15:dlblFTEntry>
                  </c15:dlblFieldTable>
                  <c15:showDataLabelsRange val="0"/>
                </c:ext>
                <c:ext xmlns:c16="http://schemas.microsoft.com/office/drawing/2014/chart" uri="{C3380CC4-5D6E-409C-BE32-E72D297353CC}">
                  <c16:uniqueId val="{00000005-280B-4640-83E0-3777AACAD1CF}"/>
                </c:ext>
              </c:extLst>
            </c:dLbl>
            <c:dLbl>
              <c:idx val="5"/>
              <c:tx>
                <c:strRef>
                  <c:f>Sheet1!$K$9</c:f>
                  <c:strCache>
                    <c:ptCount val="1"/>
                    <c:pt idx="0">
                      <c:v>Isle of Wight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{8598A55D-F872-449F-B13B-F9EFC7C2109B}</c15:txfldGUID>
                      <c15:f>Sheet1!$K$9</c15:f>
                      <c15:dlblFieldTableCache>
                        <c:ptCount val="1"/>
                        <c:pt idx="0">
                          <c:v>Isle of Wight</c:v>
                        </c:pt>
                      </c15:dlblFieldTableCache>
                    </c15:dlblFTEntry>
                  </c15:dlblFieldTable>
                  <c15:showDataLabelsRange val="0"/>
                </c:ext>
                <c:ext xmlns:c16="http://schemas.microsoft.com/office/drawing/2014/chart" uri="{C3380CC4-5D6E-409C-BE32-E72D297353CC}">
                  <c16:uniqueId val="{00000006-280B-4640-83E0-3777AACAD1CF}"/>
                </c:ext>
              </c:extLst>
            </c:dLbl>
            <c:dLbl>
              <c:idx val="6"/>
              <c:tx>
                <c:strRef>
                  <c:f>Sheet1!$K$10</c:f>
                  <c:strCache>
                    <c:ptCount val="1"/>
                    <c:pt idx="0">
                      <c:v>Kent</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{A22E3E09-A7A7-484E-AAF6-761F40E8FC39}</c15:txfldGUID>
                      <c15:f>Sheet1!$K$10</c15:f>
                      <c15:dlblFieldTableCache>
                        <c:ptCount val="1"/>
                        <c:pt idx="0">
                          <c:v>Kent</c:v>
                        </c:pt>
                      </c15:dlblFieldTableCache>
                    </c15:dlblFTEntry>
                  </c15:dlblFieldTable>
                  <c15:showDataLabelsRange val="0"/>
                </c:ext>
                <c:ext xmlns:c16="http://schemas.microsoft.com/office/drawing/2014/chart" uri="{C3380CC4-5D6E-409C-BE32-E72D297353CC}">
                  <c16:uniqueId val="{00000007-280B-4640-83E0-3777AACAD1CF}"/>
                </c:ext>
              </c:extLst>
            </c:dLbl>
            <c:dLbl>
              <c:idx val="7"/>
              <c:tx>
                <c:strRef>
                  <c:f>Sheet1!$K$11</c:f>
                  <c:strCache>
                    <c:ptCount val="1"/>
                    <c:pt idx="0">
                      <c:v>Medway</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{D7638283-5935-475F-8F56-BEABDA4CF59E}</c15:txfldGUID>
                      <c15:f>Sheet1!$K$11</c15:f>
                      <c15:dlblFieldTableCache>
                        <c:ptCount val="1"/>
                        <c:pt idx="0">
                          <c:v>Medway</c:v>
                        </c:pt>
                      </c15:dlblFieldTableCache>
                    </c15:dlblFTEntry>
                  </c15:dlblFieldTable>
                  <c15:showDataLabelsRange val="0"/>
                </c:ext>
                <c:ext xmlns:c16="http://schemas.microsoft.com/office/drawing/2014/chart" uri="{C3380CC4-5D6E-409C-BE32-E72D297353CC}">
                  <c16:uniqueId val="{00000008-280B-4640-83E0-3777AACAD1CF}"/>
                </c:ext>
              </c:extLst>
            </c:dLbl>
            <c:dLbl>
              <c:idx val="8"/>
              <c:layout>
                <c:manualLayout>
                  <c:x val="-1.7354492148800423E-2"/>
                  <c:y val="1.782607922639495E-2"/>
                </c:manualLayout>
              </c:layout>
              <c:tx>
                <c:strRef>
                  <c:f>Sheet1!$K$12</c:f>
                  <c:strCache>
                    <c:ptCount val="1"/>
                    <c:pt idx="0">
                      <c:v>Milton Keynes</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{65582588-0840-445C-9072-3EF6429DE69B}</c15:txfldGUID>
                      <c15:f>Sheet1!$K$12</c15:f>
                      <c15:dlblFieldTableCache>
                        <c:ptCount val="1"/>
                        <c:pt idx="0">
                          <c:v>Milton Keynes</c:v>
                        </c:pt>
                      </c15:dlblFieldTableCache>
                    </c15:dlblFTEntry>
                  </c15:dlblFieldTable>
                  <c15:showDataLabelsRange val="0"/>
                </c:ext>
                <c:ext xmlns:c16="http://schemas.microsoft.com/office/drawing/2014/chart" uri="{C3380CC4-5D6E-409C-BE32-E72D297353CC}">
                  <c16:uniqueId val="{00000009-280B-4640-83E0-3777AACAD1CF}"/>
                </c:ext>
              </c:extLst>
            </c:dLbl>
            <c:dLbl>
              <c:idx val="9"/>
              <c:tx>
                <c:strRef>
                  <c:f>Sheet1!$K$13</c:f>
                  <c:strCache>
                    <c:ptCount val="1"/>
                    <c:pt idx="0">
                      <c:v>Oxfordshire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{F1F7B6D7-CE6A-4070-AE71-BAD76D350130}</c15:txfldGUID>
                      <c15:f>Sheet1!$K$13</c15:f>
                      <c15:dlblFieldTableCache>
                        <c:ptCount val="1"/>
                        <c:pt idx="0">
                          <c:v>Oxfordshire</c:v>
                        </c:pt>
                      </c15:dlblFieldTableCache>
                    </c15:dlblFTEntry>
                  </c15:dlblFieldTable>
                  <c15:showDataLabelsRange val="0"/>
                </c:ext>
                <c:ext xmlns:c16="http://schemas.microsoft.com/office/drawing/2014/chart" uri="{C3380CC4-5D6E-409C-BE32-E72D297353CC}">
                  <c16:uniqueId val="{0000000A-280B-4640-83E0-3777AACAD1CF}"/>
                </c:ext>
              </c:extLst>
            </c:dLbl>
            <c:dLbl>
              <c:idx val="10"/>
              <c:tx>
                <c:strRef>
                  <c:f>Sheet1!$K$14</c:f>
                  <c:strCache>
                    <c:ptCount val="1"/>
                    <c:pt idx="0">
                      <c:v>Portsmouth</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{D076B26F-3535-4B02-9FC2-DCBD130C92AE}</c15:txfldGUID>
                      <c15:f>Sheet1!$K$14</c15:f>
                      <c15:dlblFieldTableCache>
                        <c:ptCount val="1"/>
                        <c:pt idx="0">
                          <c:v>Portsmouth</c:v>
                        </c:pt>
                      </c15:dlblFieldTableCache>
                    </c15:dlblFTEntry>
                  </c15:dlblFieldTable>
                  <c15:showDataLabelsRange val="0"/>
                </c:ext>
                <c:ext xmlns:c16="http://schemas.microsoft.com/office/drawing/2014/chart" uri="{C3380CC4-5D6E-409C-BE32-E72D297353CC}">
                  <c16:uniqueId val="{0000000B-280B-4640-83E0-3777AACAD1CF}"/>
                </c:ext>
              </c:extLst>
            </c:dLbl>
            <c:dLbl>
              <c:idx val="11"/>
              <c:tx>
                <c:strRef>
                  <c:f>Sheet1!$K$15</c:f>
                  <c:strCache>
                    <c:ptCount val="1"/>
                    <c:pt idx="0">
                      <c:v>Reading</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{64DDE155-F902-48DF-8275-992FE207256B}</c15:txfldGUID>
                      <c15:f>Sheet1!$K$15</c15:f>
                      <c15:dlblFieldTableCache>
                        <c:ptCount val="1"/>
                        <c:pt idx="0">
                          <c:v>Reading</c:v>
                        </c:pt>
                      </c15:dlblFieldTableCache>
                    </c15:dlblFTEntry>
                  </c15:dlblFieldTable>
                  <c15:showDataLabelsRange val="0"/>
                </c:ext>
                <c:ext xmlns:c16="http://schemas.microsoft.com/office/drawing/2014/chart" uri="{C3380CC4-5D6E-409C-BE32-E72D297353CC}">
                  <c16:uniqueId val="{0000000C-280B-4640-83E0-3777AACAD1CF}"/>
                </c:ext>
              </c:extLst>
            </c:dLbl>
            <c:dLbl>
              <c:idx val="12"/>
              <c:tx>
                <c:strRef>
                  <c:f>Sheet1!$K$16</c:f>
                  <c:strCache>
                    <c:ptCount val="1"/>
                    <c:pt idx="0">
                      <c:v>Slough</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{34B75963-D781-4157-ACFF-7F3F1F7C70B5}</c15:txfldGUID>
                      <c15:f>Sheet1!$K$16</c15:f>
                      <c15:dlblFieldTableCache>
                        <c:ptCount val="1"/>
                        <c:pt idx="0">
                          <c:v>Slough</c:v>
                        </c:pt>
                      </c15:dlblFieldTableCache>
                    </c15:dlblFTEntry>
                  </c15:dlblFieldTable>
                  <c15:showDataLabelsRange val="0"/>
                </c:ext>
                <c:ext xmlns:c16="http://schemas.microsoft.com/office/drawing/2014/chart" uri="{C3380CC4-5D6E-409C-BE32-E72D297353CC}">
                  <c16:uniqueId val="{0000000D-280B-4640-83E0-3777AACAD1CF}"/>
                </c:ext>
              </c:extLst>
            </c:dLbl>
            <c:dLbl>
              <c:idx val="13"/>
              <c:tx>
                <c:strRef>
                  <c:f>Sheet1!$K$18</c:f>
                  <c:strCache>
                    <c:ptCount val="1"/>
                    <c:pt idx="0">
                      <c:v>Southampton</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{B42A7912-9571-4A40-8B87-FFA015D1B2F6}</c15:txfldGUID>
                      <c15:f>Sheet1!$K$18</c15:f>
                      <c15:dlblFieldTableCache>
                        <c:ptCount val="1"/>
                        <c:pt idx="0">
                          <c:v>Southampton</c:v>
                        </c:pt>
                      </c15:dlblFieldTableCache>
                    </c15:dlblFTEntry>
                  </c15:dlblFieldTable>
                  <c15:showDataLabelsRange val="0"/>
                </c:ext>
                <c:ext xmlns:c16="http://schemas.microsoft.com/office/drawing/2014/chart" uri="{C3380CC4-5D6E-409C-BE32-E72D297353CC}">
                  <c16:uniqueId val="{0000000E-280B-4640-83E0-3777AACAD1CF}"/>
                </c:ext>
              </c:extLst>
            </c:dLbl>
            <c:dLbl>
              <c:idx val="14"/>
              <c:tx>
                <c:strRef>
                  <c:f>Sheet1!$K$19</c:f>
                  <c:strCache>
                    <c:ptCount val="1"/>
                    <c:pt idx="0">
                      <c:v>Surrey</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{C02DD15C-ACF7-4268-B006-E4EDA6667583}</c15:txfldGUID>
                      <c15:f>Sheet1!$K$19</c15:f>
                      <c15:dlblFieldTableCache>
                        <c:ptCount val="1"/>
                        <c:pt idx="0">
                          <c:v>Surrey</c:v>
                        </c:pt>
                      </c15:dlblFieldTableCache>
                    </c15:dlblFTEntry>
                  </c15:dlblFieldTable>
                  <c15:showDataLabelsRange val="0"/>
                </c:ext>
                <c:ext xmlns:c16="http://schemas.microsoft.com/office/drawing/2014/chart" uri="{C3380CC4-5D6E-409C-BE32-E72D297353CC}">
                  <c16:uniqueId val="{0000000F-280B-4640-83E0-3777AACAD1CF}"/>
                </c:ext>
              </c:extLst>
            </c:dLbl>
            <c:dLbl>
              <c:idx val="15"/>
              <c:tx>
                <c:strRef>
                  <c:f>Sheet1!$K$22</c:f>
                  <c:strCache>
                    <c:ptCount val="1"/>
                    <c:pt idx="0">
                      <c:v>West Berkshire</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{5FD17131-8478-40AA-8C67-FF5D367AD172}</c15:txfldGUID>
                      <c15:f>Sheet1!$K$22</c15:f>
                      <c15:dlblFieldTableCache>
                        <c:ptCount val="1"/>
                        <c:pt idx="0">
                          <c:v>West Berkshire</c:v>
                        </c:pt>
                      </c15:dlblFieldTableCache>
                    </c15:dlblFTEntry>
                  </c15:dlblFieldTable>
                  <c15:showDataLabelsRange val="0"/>
                </c:ext>
                <c:ext xmlns:c16="http://schemas.microsoft.com/office/drawing/2014/chart" uri="{C3380CC4-5D6E-409C-BE32-E72D297353CC}">
                  <c16:uniqueId val="{00000010-280B-4640-83E0-3777AACAD1CF}"/>
                </c:ext>
              </c:extLst>
            </c:dLbl>
            <c:dLbl>
              <c:idx val="16"/>
              <c:tx>
                <c:strRef>
                  <c:f>Sheet1!$K$23</c:f>
                  <c:strCache>
                    <c:ptCount val="1"/>
                    <c:pt idx="0">
                      <c:v>West Sussex</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{CEE56B20-5D72-4FC7-AFFF-46E6DCB60D35}</c15:txfldGUID>
                      <c15:f>Sheet1!$K$23</c15:f>
                      <c15:dlblFieldTableCache>
                        <c:ptCount val="1"/>
                        <c:pt idx="0">
                          <c:v>West Sussex</c:v>
                        </c:pt>
                      </c15:dlblFieldTableCache>
                    </c15:dlblFTEntry>
                  </c15:dlblFieldTable>
                  <c15:showDataLabelsRange val="0"/>
                </c:ext>
                <c:ext xmlns:c16="http://schemas.microsoft.com/office/drawing/2014/chart" uri="{C3380CC4-5D6E-409C-BE32-E72D297353CC}">
                  <c16:uniqueId val="{00000011-280B-4640-83E0-3777AACAD1CF}"/>
                </c:ext>
              </c:extLst>
            </c:dLbl>
            <c:dLbl>
              <c:idx val="17"/>
              <c:layout>
                <c:manualLayout>
                  <c:x val="-2.1259252882280515E-2"/>
                  <c:y val="1.782607922639495E-2"/>
                </c:manualLayout>
              </c:layout>
              <c:tx>
                <c:strRef>
                  <c:f>Sheet1!$K$24</c:f>
                  <c:strCache>
                    <c:ptCount val="1"/>
                    <c:pt idx="0">
                      <c:v>Windsor &amp; Maidenhead</c:v>
                    </c:pt>
                  </c:strCache>
                </c:strRef>
              </c:tx>
              <c:dLblPos val="r"/>
              <c:showLegendKey val="0"/>
              <c:showVal val="0"/>
              <c:showCatName val="1"/>
              <c:showSerName val="0"/>
              <c:showPercent val="0"/>
              <c:showBubbleSize val="0"/>
              <c:extLst>
                <c:ext xmlns:c15="http://schemas.microsoft.com/office/drawing/2012/chart" uri="{CE6537A1-D6FC-4f65-9D91-7224C49458BB}">
                  <c15:dlblFieldTable>
                    <c15:dlblFTEntry>
                      <c15:txfldGUID>{5C15D67A-DC1F-467C-8448-E291A7EF8B6A}</c15:txfldGUID>
                      <c15:f>Sheet1!$K$24</c15:f>
                      <c15:dlblFieldTableCache>
                        <c:ptCount val="1"/>
                        <c:pt idx="0">
                          <c:v>Windsor &amp; Maidenhead</c:v>
                        </c:pt>
                      </c15:dlblFieldTableCache>
                    </c15:dlblFTEntry>
                  </c15:dlblFieldTable>
                  <c15:showDataLabelsRange val="0"/>
                </c:ext>
                <c:ext xmlns:c16="http://schemas.microsoft.com/office/drawing/2014/chart" uri="{C3380CC4-5D6E-409C-BE32-E72D297353CC}">
                  <c16:uniqueId val="{00000012-280B-4640-83E0-3777AACAD1CF}"/>
                </c:ext>
              </c:extLst>
            </c:dLbl>
            <c:dLbl>
              <c:idx val="18"/>
              <c:tx>
                <c:strRef>
                  <c:f>Sheet1!$K$25</c:f>
                  <c:strCache>
                    <c:ptCount val="1"/>
                    <c:pt idx="0">
                      <c:v>Wokingham</c:v>
                    </c:pt>
                  </c:strCache>
                </c:strRef>
              </c:tx>
              <c:dLblPos val="l"/>
              <c:showLegendKey val="0"/>
              <c:showVal val="0"/>
              <c:showCatName val="1"/>
              <c:showSerName val="0"/>
              <c:showPercent val="0"/>
              <c:showBubbleSize val="0"/>
              <c:extLst>
                <c:ext xmlns:c15="http://schemas.microsoft.com/office/drawing/2012/chart" uri="{CE6537A1-D6FC-4f65-9D91-7224C49458BB}">
                  <c15:dlblFieldTable>
                    <c15:dlblFTEntry>
                      <c15:txfldGUID>{CE13C36E-6E52-4845-9DC2-7DC9CBA75BC1}</c15:txfldGUID>
                      <c15:f>Sheet1!$K$25</c15:f>
                      <c15:dlblFieldTableCache>
                        <c:ptCount val="1"/>
                        <c:pt idx="0">
                          <c:v>Wokingham</c:v>
                        </c:pt>
                      </c15:dlblFieldTableCache>
                    </c15:dlblFTEntry>
                  </c15:dlblFieldTable>
                  <c15:showDataLabelsRange val="0"/>
                </c:ext>
                <c:ext xmlns:c16="http://schemas.microsoft.com/office/drawing/2014/chart" uri="{C3380CC4-5D6E-409C-BE32-E72D297353CC}">
                  <c16:uniqueId val="{00000013-280B-4640-83E0-3777AACAD1CF}"/>
                </c:ext>
              </c:extLst>
            </c:dLbl>
            <c:spPr>
              <a:noFill/>
              <a:ln>
                <a:noFill/>
              </a:ln>
              <a:effectLst/>
            </c:spPr>
            <c:txPr>
              <a:bodyPr/>
              <a:lstStyle/>
              <a:p>
                <a:pPr>
                  <a:defRPr sz="600">
                    <a:solidFill>
                      <a:schemeClr val="bg1">
                        <a:lumMod val="65000"/>
                      </a:schemeClr>
                    </a:solidFill>
                  </a:defRPr>
                </a:pPr>
                <a:endParaRPr lang="en-US"/>
              </a:p>
            </c:txPr>
            <c:dLblPos val="l"/>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('Court Applications'!$AR$147:$AR$159,'Court Applications'!$AR$161:$AR$162,'Court Applications'!$AR$165:$AR$168)</c:f>
              <c:numCache>
                <c:formatCode>0.0</c:formatCode>
                <c:ptCount val="19"/>
                <c:pt idx="0">
                  <c:v>8.9</c:v>
                </c:pt>
                <c:pt idx="1">
                  <c:v>15.299999999999999</c:v>
                </c:pt>
                <c:pt idx="2">
                  <c:v>8.5</c:v>
                </c:pt>
                <c:pt idx="3">
                  <c:v>16.100000000000001</c:v>
                </c:pt>
                <c:pt idx="4">
                  <c:v>10.100000000000001</c:v>
                </c:pt>
                <c:pt idx="5">
                  <c:v>18</c:v>
                </c:pt>
                <c:pt idx="6">
                  <c:v>15.8</c:v>
                </c:pt>
                <c:pt idx="7">
                  <c:v>18.899999999999999</c:v>
                </c:pt>
                <c:pt idx="8">
                  <c:v>15</c:v>
                </c:pt>
                <c:pt idx="9">
                  <c:v>10.100000000000001</c:v>
                </c:pt>
                <c:pt idx="10">
                  <c:v>20.200000000000003</c:v>
                </c:pt>
                <c:pt idx="11">
                  <c:v>16</c:v>
                </c:pt>
                <c:pt idx="12">
                  <c:v>14.7</c:v>
                </c:pt>
                <c:pt idx="13">
                  <c:v>20.5</c:v>
                </c:pt>
                <c:pt idx="14">
                  <c:v>8.3000000000000007</c:v>
                </c:pt>
                <c:pt idx="15">
                  <c:v>8.6999999999999993</c:v>
                </c:pt>
                <c:pt idx="16">
                  <c:v>11</c:v>
                </c:pt>
                <c:pt idx="17">
                  <c:v>6.7</c:v>
                </c:pt>
                <c:pt idx="18">
                  <c:v>5.6000000000000005</c:v>
                </c:pt>
              </c:numCache>
            </c:numRef>
          </c:xVal>
          <c:yVal>
            <c:numRef>
              <c:f>('Court Applications'!$AQ$147:$AQ$159,'Court Applications'!$AQ$161:$AQ$162,'Court Applications'!$AQ$165:$AQ$168)</c:f>
              <c:numCache>
                <c:formatCode>0.0</c:formatCode>
                <c:ptCount val="19"/>
                <c:pt idx="0">
                  <c:v>25.088339222614842</c:v>
                </c:pt>
                <c:pt idx="1">
                  <c:v>20.3921568627451</c:v>
                </c:pt>
                <c:pt idx="2">
                  <c:v>13.435237329042639</c:v>
                </c:pt>
                <c:pt idx="3">
                  <c:v>11.654135338345865</c:v>
                </c:pt>
                <c:pt idx="4">
                  <c:v>15.457746478873238</c:v>
                </c:pt>
                <c:pt idx="5">
                  <c:v>24.899598393574298</c:v>
                </c:pt>
                <c:pt idx="6">
                  <c:v>11.114378124081153</c:v>
                </c:pt>
                <c:pt idx="7">
                  <c:v>18.322981366459629</c:v>
                </c:pt>
                <c:pt idx="8">
                  <c:v>17.715959004392388</c:v>
                </c:pt>
                <c:pt idx="9">
                  <c:v>18.439226519337016</c:v>
                </c:pt>
                <c:pt idx="10">
                  <c:v>24.545454545454543</c:v>
                </c:pt>
                <c:pt idx="11">
                  <c:v>31.266846361185987</c:v>
                </c:pt>
                <c:pt idx="12">
                  <c:v>22.716627634660423</c:v>
                </c:pt>
                <c:pt idx="13">
                  <c:v>24.409448818897641</c:v>
                </c:pt>
                <c:pt idx="14">
                  <c:v>12.867506681939672</c:v>
                </c:pt>
                <c:pt idx="15">
                  <c:v>13.48314606741573</c:v>
                </c:pt>
                <c:pt idx="16">
                  <c:v>13.737836290784202</c:v>
                </c:pt>
                <c:pt idx="17">
                  <c:v>13.294797687861271</c:v>
                </c:pt>
                <c:pt idx="18">
                  <c:v>12.151898734177216</c:v>
                </c:pt>
              </c:numCache>
            </c:numRef>
          </c:yVal>
          <c:smooth val="0"/>
          <c:extLst>
            <c:ext xmlns:c16="http://schemas.microsoft.com/office/drawing/2014/chart" uri="{C3380CC4-5D6E-409C-BE32-E72D297353CC}">
              <c16:uniqueId val="{00000014-280B-4640-83E0-3777AACAD1CF}"/>
            </c:ext>
          </c:extLst>
        </c:ser>
        <c:ser>
          <c:idx val="3"/>
          <c:order val="1"/>
          <c:tx>
            <c:v>SouthWest</c:v>
          </c:tx>
          <c:spPr>
            <a:ln w="25400">
              <a:noFill/>
            </a:ln>
          </c:spPr>
          <c:marker>
            <c:symbol val="diamond"/>
            <c:size val="5"/>
            <c:spPr>
              <a:solidFill>
                <a:schemeClr val="tx2">
                  <a:lumMod val="20000"/>
                  <a:lumOff val="80000"/>
                </a:schemeClr>
              </a:solidFill>
              <a:ln>
                <a:solidFill>
                  <a:schemeClr val="tx2"/>
                </a:solidFill>
              </a:ln>
            </c:spPr>
          </c:marker>
          <c:dPt>
            <c:idx val="0"/>
            <c:bubble3D val="0"/>
            <c:extLst>
              <c:ext xmlns:c16="http://schemas.microsoft.com/office/drawing/2014/chart" uri="{C3380CC4-5D6E-409C-BE32-E72D297353CC}">
                <c16:uniqueId val="{00000015-280B-4640-83E0-3777AACAD1CF}"/>
              </c:ext>
            </c:extLst>
          </c:dPt>
          <c:dLbls>
            <c:dLbl>
              <c:idx val="0"/>
              <c:tx>
                <c:strRef>
                  <c:f>Sheet1!$K$17</c:f>
                  <c:strCache>
                    <c:ptCount val="1"/>
                    <c:pt idx="0">
                      <c:v>Somerset</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{4F0BC3C9-78BA-4ACC-97E8-20724810BDF7}</c15:txfldGUID>
                      <c15:f>Sheet1!$K$17</c15:f>
                      <c15:dlblFieldTableCache>
                        <c:ptCount val="1"/>
                        <c:pt idx="0">
                          <c:v>Somerset</c:v>
                        </c:pt>
                      </c15:dlblFieldTableCache>
                    </c15:dlblFTEntry>
                  </c15:dlblFieldTable>
                  <c15:showDataLabelsRange val="0"/>
                </c:ext>
                <c:ext xmlns:c16="http://schemas.microsoft.com/office/drawing/2014/chart" uri="{C3380CC4-5D6E-409C-BE32-E72D297353CC}">
                  <c16:uniqueId val="{00000015-280B-4640-83E0-3777AACAD1CF}"/>
                </c:ext>
              </c:extLst>
            </c:dLbl>
            <c:dLbl>
              <c:idx val="1"/>
              <c:tx>
                <c:strRef>
                  <c:f>Sheet1!$K$20</c:f>
                  <c:strCache>
                    <c:ptCount val="1"/>
                    <c:pt idx="0">
                      <c:v>Swindon</c:v>
                    </c:pt>
                  </c:strCache>
                </c:strRef>
              </c:tx>
              <c:dLblPos val="l"/>
              <c:showLegendKey val="0"/>
              <c:showVal val="0"/>
              <c:showCatName val="0"/>
              <c:showSerName val="1"/>
              <c:showPercent val="0"/>
              <c:showBubbleSize val="0"/>
              <c:extLst>
                <c:ext xmlns:c15="http://schemas.microsoft.com/office/drawing/2012/chart" uri="{CE6537A1-D6FC-4f65-9D91-7224C49458BB}">
                  <c15:dlblFieldTable>
                    <c15:dlblFTEntry>
                      <c15:txfldGUID>{A4F86D44-F0F1-4B51-A47A-5BB3F57975B9}</c15:txfldGUID>
                      <c15:f>Sheet1!$K$20</c15:f>
                      <c15:dlblFieldTableCache>
                        <c:ptCount val="1"/>
                        <c:pt idx="0">
                          <c:v>Swindon</c:v>
                        </c:pt>
                      </c15:dlblFieldTableCache>
                    </c15:dlblFTEntry>
                  </c15:dlblFieldTable>
                  <c15:showDataLabelsRange val="0"/>
                </c:ext>
                <c:ext xmlns:c16="http://schemas.microsoft.com/office/drawing/2014/chart" uri="{C3380CC4-5D6E-409C-BE32-E72D297353CC}">
                  <c16:uniqueId val="{00000016-280B-4640-83E0-3777AACAD1CF}"/>
                </c:ext>
              </c:extLst>
            </c:dLbl>
            <c:dLbl>
              <c:idx val="2"/>
              <c:tx>
                <c:strRef>
                  <c:f>Sheet1!$K$21</c:f>
                  <c:strCache>
                    <c:ptCount val="1"/>
                    <c:pt idx="0">
                      <c:v>Torbay</c:v>
                    </c:pt>
                  </c:strCache>
                </c:strRef>
              </c:tx>
              <c:showLegendKey val="0"/>
              <c:showVal val="0"/>
              <c:showCatName val="0"/>
              <c:showSerName val="1"/>
              <c:showPercent val="0"/>
              <c:showBubbleSize val="0"/>
              <c:extLst>
                <c:ext xmlns:c15="http://schemas.microsoft.com/office/drawing/2012/chart" uri="{CE6537A1-D6FC-4f65-9D91-7224C49458BB}">
                  <c15:dlblFieldTable>
                    <c15:dlblFTEntry>
                      <c15:txfldGUID>{6E819BA0-1133-41CC-B9AF-197F8C50D944}</c15:txfldGUID>
                      <c15:f>Sheet1!$K$21</c15:f>
                      <c15:dlblFieldTableCache>
                        <c:ptCount val="1"/>
                        <c:pt idx="0">
                          <c:v>Torbay</c:v>
                        </c:pt>
                      </c15:dlblFieldTableCache>
                    </c15:dlblFTEntry>
                  </c15:dlblFieldTable>
                  <c15:showDataLabelsRange val="0"/>
                </c:ext>
                <c:ext xmlns:c16="http://schemas.microsoft.com/office/drawing/2014/chart" uri="{C3380CC4-5D6E-409C-BE32-E72D297353CC}">
                  <c16:uniqueId val="{00000017-280B-4640-83E0-3777AACAD1CF}"/>
                </c:ext>
              </c:extLst>
            </c:dLbl>
            <c:spPr>
              <a:noFill/>
              <a:ln w="25400">
                <a:noFill/>
              </a:ln>
            </c:spPr>
            <c:txPr>
              <a:bodyPr wrap="square" lIns="38100" tIns="19050" rIns="38100" bIns="19050" anchor="ctr">
                <a:spAutoFit/>
              </a:bodyPr>
              <a:lstStyle/>
              <a:p>
                <a:pPr>
                  <a:defRPr sz="600" b="0" i="0" u="none" strike="noStrike" baseline="0">
                    <a:solidFill>
                      <a:schemeClr val="bg1">
                        <a:lumMod val="65000"/>
                      </a:schemeClr>
                    </a:solidFill>
                    <a:latin typeface="Arial"/>
                    <a:ea typeface="Arial"/>
                    <a:cs typeface="Arial"/>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('Court Applications'!$AR$160,'Court Applications'!$AR$163:$AR$164)</c:f>
              <c:numCache>
                <c:formatCode>0.0</c:formatCode>
                <c:ptCount val="3"/>
                <c:pt idx="0">
                  <c:v>13.600000000000001</c:v>
                </c:pt>
                <c:pt idx="1">
                  <c:v>14.899999999999999</c:v>
                </c:pt>
                <c:pt idx="2">
                  <c:v>21.9</c:v>
                </c:pt>
              </c:numCache>
            </c:numRef>
          </c:xVal>
          <c:yVal>
            <c:numRef>
              <c:f>('Court Applications'!$AQ$160,'Court Applications'!$AQ$163:$AQ$164)</c:f>
              <c:numCache>
                <c:formatCode>0.0</c:formatCode>
                <c:ptCount val="3"/>
                <c:pt idx="0">
                  <c:v>16.621499548328817</c:v>
                </c:pt>
                <c:pt idx="1">
                  <c:v>27.091633466135455</c:v>
                </c:pt>
                <c:pt idx="2">
                  <c:v>40.15748031496063</c:v>
                </c:pt>
              </c:numCache>
            </c:numRef>
          </c:yVal>
          <c:smooth val="0"/>
          <c:extLst>
            <c:ext xmlns:c16="http://schemas.microsoft.com/office/drawing/2014/chart" uri="{C3380CC4-5D6E-409C-BE32-E72D297353CC}">
              <c16:uniqueId val="{00000018-280B-4640-83E0-3777AACAD1CF}"/>
            </c:ext>
          </c:extLst>
        </c:ser>
        <c:ser>
          <c:idx val="1"/>
          <c:order val="2"/>
          <c:tx>
            <c:strRef>
              <c:f>'Court Applications'!$AA$4</c:f>
              <c:strCache>
                <c:ptCount val="1"/>
                <c:pt idx="0">
                  <c:v>Selected LA- (none)</c:v>
                </c:pt>
              </c:strCache>
            </c:strRef>
          </c:tx>
          <c:spPr>
            <a:ln w="28575">
              <a:noFill/>
            </a:ln>
          </c:spPr>
          <c:marker>
            <c:symbol val="circle"/>
            <c:size val="7"/>
            <c:spPr>
              <a:solidFill>
                <a:srgbClr val="66FF99"/>
              </a:solidFill>
              <a:ln>
                <a:solidFill>
                  <a:prstClr val="black"/>
                </a:solidFill>
              </a:ln>
            </c:spPr>
          </c:marker>
          <c:xVal>
            <c:numRef>
              <c:f>'Court Applications'!$AR$171</c:f>
              <c:numCache>
                <c:formatCode>0.0</c:formatCode>
                <c:ptCount val="1"/>
                <c:pt idx="0">
                  <c:v>#N/A</c:v>
                </c:pt>
              </c:numCache>
            </c:numRef>
          </c:xVal>
          <c:yVal>
            <c:numRef>
              <c:f>'Court Applications'!$AQ$171</c:f>
              <c:numCache>
                <c:formatCode>0.0</c:formatCode>
                <c:ptCount val="1"/>
                <c:pt idx="0">
                  <c:v>#N/A</c:v>
                </c:pt>
              </c:numCache>
            </c:numRef>
          </c:yVal>
          <c:smooth val="0"/>
          <c:extLst>
            <c:ext xmlns:c16="http://schemas.microsoft.com/office/drawing/2014/chart" uri="{C3380CC4-5D6E-409C-BE32-E72D297353CC}">
              <c16:uniqueId val="{00000019-280B-4640-83E0-3777AACAD1CF}"/>
            </c:ext>
          </c:extLst>
        </c:ser>
        <c:ser>
          <c:idx val="4"/>
          <c:order val="3"/>
          <c:tx>
            <c:strRef>
              <c:f>'Court Applications'!$B$138</c:f>
              <c:strCache>
                <c:ptCount val="1"/>
                <c:pt idx="0">
                  <c:v>South East</c:v>
                </c:pt>
              </c:strCache>
            </c:strRef>
          </c:tx>
          <c:spPr>
            <a:ln w="28575">
              <a:noFill/>
            </a:ln>
          </c:spPr>
          <c:marker>
            <c:symbol val="circle"/>
            <c:size val="5"/>
            <c:spPr>
              <a:solidFill>
                <a:srgbClr val="FFFFFF"/>
              </a:solidFill>
              <a:ln w="22225">
                <a:solidFill>
                  <a:srgbClr val="BA1400"/>
                </a:solidFill>
                <a:prstDash val="solid"/>
              </a:ln>
            </c:spPr>
          </c:marker>
          <c:xVal>
            <c:numRef>
              <c:f>'Court Applications'!$S$138</c:f>
              <c:numCache>
                <c:formatCode>0.0</c:formatCode>
                <c:ptCount val="1"/>
                <c:pt idx="0">
                  <c:v>12.371268250968637</c:v>
                </c:pt>
              </c:numCache>
            </c:numRef>
          </c:xVal>
          <c:yVal>
            <c:numRef>
              <c:f>'Court Applications'!$O$138</c:f>
              <c:numCache>
                <c:formatCode>0.0</c:formatCode>
                <c:ptCount val="1"/>
                <c:pt idx="0">
                  <c:v>15.402298850574713</c:v>
                </c:pt>
              </c:numCache>
            </c:numRef>
          </c:yVal>
          <c:smooth val="0"/>
          <c:extLst>
            <c:ext xmlns:c16="http://schemas.microsoft.com/office/drawing/2014/chart" uri="{C3380CC4-5D6E-409C-BE32-E72D297353CC}">
              <c16:uniqueId val="{0000001A-280B-4640-83E0-3777AACAD1CF}"/>
            </c:ext>
          </c:extLst>
        </c:ser>
        <c:ser>
          <c:idx val="2"/>
          <c:order val="4"/>
          <c:tx>
            <c:strRef>
              <c:f>'Court Applications'!$Y$149</c:f>
              <c:strCache>
                <c:ptCount val="1"/>
                <c:pt idx="0">
                  <c:v>National Trend 2019</c:v>
                </c:pt>
              </c:strCache>
            </c:strRef>
          </c:tx>
          <c:spPr>
            <a:ln w="15875">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B-280B-4640-83E0-3777AACAD1CF}"/>
                </c:ext>
              </c:extLst>
            </c:dLbl>
            <c:dLbl>
              <c:idx val="1"/>
              <c:layout>
                <c:manualLayout>
                  <c:x val="-7.3099415204678359E-2"/>
                  <c:y val="-1.2012012012012012E-2"/>
                </c:manualLayout>
              </c:layout>
              <c:tx>
                <c:strRef>
                  <c:f>'Court Applications'!$AD$149</c:f>
                  <c:strCache>
                    <c:ptCount val="1"/>
                    <c:pt idx="0">
                      <c:v>r² = 0.3</c:v>
                    </c:pt>
                  </c:strCache>
                </c:strRef>
              </c:tx>
              <c:spPr/>
              <c:txPr>
                <a:bodyPr/>
                <a:lstStyle/>
                <a:p>
                  <a:pPr>
                    <a:defRPr sz="900">
                      <a:solidFill>
                        <a:sysClr val="windowText" lastClr="000000"/>
                      </a:solidFill>
                    </a:defRPr>
                  </a:pPr>
                  <a:endParaRPr lang="en-US"/>
                </a:p>
              </c:txPr>
              <c:showLegendKey val="0"/>
              <c:showVal val="1"/>
              <c:showCatName val="0"/>
              <c:showSerName val="0"/>
              <c:showPercent val="0"/>
              <c:showBubbleSize val="0"/>
              <c:extLst>
                <c:ext xmlns:c15="http://schemas.microsoft.com/office/drawing/2012/chart" uri="{CE6537A1-D6FC-4f65-9D91-7224C49458BB}">
                  <c15:dlblFieldTable>
                    <c15:dlblFTEntry>
                      <c15:txfldGUID>{5A1A98F8-33F4-48D7-BD62-22B85CA4D50F}</c15:txfldGUID>
                      <c15:f>'Court Applications'!$AD$149</c15:f>
                      <c15:dlblFieldTableCache>
                        <c:ptCount val="1"/>
                        <c:pt idx="0">
                          <c:v>r² = 0.3</c:v>
                        </c:pt>
                      </c15:dlblFieldTableCache>
                    </c15:dlblFTEntry>
                  </c15:dlblFieldTable>
                  <c15:showDataLabelsRange val="0"/>
                </c:ext>
                <c:ext xmlns:c16="http://schemas.microsoft.com/office/drawing/2014/chart" uri="{C3380CC4-5D6E-409C-BE32-E72D297353CC}">
                  <c16:uniqueId val="{0000001C-280B-4640-83E0-3777AACAD1CF}"/>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Applications'!$AB$149:$AB$150</c:f>
              <c:numCache>
                <c:formatCode>General</c:formatCode>
                <c:ptCount val="2"/>
                <c:pt idx="0" formatCode="#,##0.0">
                  <c:v>5</c:v>
                </c:pt>
                <c:pt idx="1">
                  <c:v>35</c:v>
                </c:pt>
              </c:numCache>
            </c:numRef>
          </c:xVal>
          <c:yVal>
            <c:numRef>
              <c:f>'Court Applications'!$AC$149:$AC$150</c:f>
              <c:numCache>
                <c:formatCode>0.0</c:formatCode>
                <c:ptCount val="2"/>
                <c:pt idx="0">
                  <c:v>8.1561925231995556</c:v>
                </c:pt>
                <c:pt idx="1">
                  <c:v>37.442497401198871</c:v>
                </c:pt>
              </c:numCache>
            </c:numRef>
          </c:yVal>
          <c:smooth val="0"/>
          <c:extLst>
            <c:ext xmlns:c16="http://schemas.microsoft.com/office/drawing/2014/chart" uri="{C3380CC4-5D6E-409C-BE32-E72D297353CC}">
              <c16:uniqueId val="{0000001D-280B-4640-83E0-3777AACAD1CF}"/>
            </c:ext>
          </c:extLst>
        </c:ser>
        <c:ser>
          <c:idx val="5"/>
          <c:order val="5"/>
          <c:tx>
            <c:strRef>
              <c:f>'Court Applications'!$Y$147</c:f>
              <c:strCache>
                <c:ptCount val="1"/>
                <c:pt idx="0">
                  <c:v>South East LA Trend</c:v>
                </c:pt>
              </c:strCache>
            </c:strRef>
          </c:tx>
          <c:spPr>
            <a:ln w="12700">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E-280B-4640-83E0-3777AACAD1CF}"/>
                </c:ext>
              </c:extLst>
            </c:dLbl>
            <c:dLbl>
              <c:idx val="1"/>
              <c:layout>
                <c:manualLayout>
                  <c:x val="-6.1403508771929932E-2"/>
                  <c:y val="-2.1021021021021023E-2"/>
                </c:manualLayout>
              </c:layout>
              <c:tx>
                <c:strRef>
                  <c:f>'Court Applications'!$AD$148</c:f>
                  <c:strCache>
                    <c:ptCount val="1"/>
                    <c:pt idx="0">
                      <c:v>r² = 0.289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{485498AE-59F9-488F-AB8A-F868AB96A95D}</c15:txfldGUID>
                      <c15:f>'Court Applications'!$AD$148</c15:f>
                      <c15:dlblFieldTableCache>
                        <c:ptCount val="1"/>
                        <c:pt idx="0">
                          <c:v>r² = 0.289</c:v>
                        </c:pt>
                      </c15:dlblFieldTableCache>
                    </c15:dlblFTEntry>
                  </c15:dlblFieldTable>
                  <c15:showDataLabelsRange val="0"/>
                </c:ext>
                <c:ext xmlns:c16="http://schemas.microsoft.com/office/drawing/2014/chart" uri="{C3380CC4-5D6E-409C-BE32-E72D297353CC}">
                  <c16:uniqueId val="{0000001F-280B-4640-83E0-3777AACAD1CF}"/>
                </c:ext>
              </c:extLst>
            </c:dLbl>
            <c:spPr>
              <a:noFill/>
              <a:ln>
                <a:noFill/>
              </a:ln>
              <a:effectLst/>
            </c:spPr>
            <c:txPr>
              <a:bodyPr/>
              <a:lstStyle/>
              <a:p>
                <a:pPr>
                  <a:defRPr sz="900">
                    <a:solidFill>
                      <a:srgbClr val="C0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'Court Applications'!$AB$147:$AB$148</c:f>
              <c:numCache>
                <c:formatCode>General</c:formatCode>
                <c:ptCount val="2"/>
                <c:pt idx="0" formatCode="#,##0.0">
                  <c:v>5</c:v>
                </c:pt>
                <c:pt idx="1">
                  <c:v>35</c:v>
                </c:pt>
              </c:numCache>
            </c:numRef>
          </c:xVal>
          <c:yVal>
            <c:numRef>
              <c:f>'Court Applications'!$AC$147:$AC$148</c:f>
              <c:numCache>
                <c:formatCode>0.0</c:formatCode>
                <c:ptCount val="2"/>
                <c:pt idx="0">
                  <c:v>12.744282887118011</c:v>
                </c:pt>
                <c:pt idx="1">
                  <c:v>32.858744413832611</c:v>
                </c:pt>
              </c:numCache>
            </c:numRef>
          </c:yVal>
          <c:smooth val="0"/>
          <c:extLst>
            <c:ext xmlns:c16="http://schemas.microsoft.com/office/drawing/2014/chart" uri="{C3380CC4-5D6E-409C-BE32-E72D297353CC}">
              <c16:uniqueId val="{00000020-280B-4640-83E0-3777AACAD1CF}"/>
            </c:ext>
          </c:extLst>
        </c:ser>
        <c:dLbls>
          <c:showLegendKey val="0"/>
          <c:showVal val="0"/>
          <c:showCatName val="0"/>
          <c:showSerName val="0"/>
          <c:showPercent val="0"/>
          <c:showBubbleSize val="0"/>
        </c:dLbls>
        <c:axId val="279680512"/>
        <c:axId val="279682432"/>
      </c:scatterChart>
      <c:valAx>
        <c:axId val="279680512"/>
        <c:scaling>
          <c:orientation val="minMax"/>
          <c:max val="40"/>
          <c:min val="0"/>
        </c:scaling>
        <c:delete val="0"/>
        <c:axPos val="b"/>
        <c:title>
          <c:tx>
            <c:rich>
              <a:bodyPr/>
              <a:lstStyle/>
              <a:p>
                <a:pPr>
                  <a:defRPr sz="800" b="1" i="0" u="none" strike="noStrike" baseline="0">
                    <a:solidFill>
                      <a:srgbClr val="000000"/>
                    </a:solidFill>
                    <a:latin typeface="Arial"/>
                    <a:ea typeface="Arial"/>
                    <a:cs typeface="Arial"/>
                  </a:defRPr>
                </a:pPr>
                <a:r>
                  <a:rPr lang="en-GB"/>
                  <a:t>Local Authority IDACI Score 2015</a:t>
                </a:r>
              </a:p>
            </c:rich>
          </c:tx>
          <c:layout>
            <c:manualLayout>
              <c:xMode val="edge"/>
              <c:yMode val="edge"/>
              <c:x val="0.34087952964064139"/>
              <c:y val="0.919292294879008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682432"/>
        <c:crosses val="autoZero"/>
        <c:crossBetween val="midCat"/>
        <c:majorUnit val="5"/>
      </c:valAx>
      <c:valAx>
        <c:axId val="279682432"/>
        <c:scaling>
          <c:orientation val="minMax"/>
        </c:scaling>
        <c:delete val="0"/>
        <c:axPos val="l"/>
        <c:majorGridlines>
          <c:spPr>
            <a:ln w="12700">
              <a:solidFill>
                <a:schemeClr val="bg1">
                  <a:lumMod val="75000"/>
                </a:schemeClr>
              </a:solidFill>
              <a:prstDash val="solid"/>
            </a:ln>
          </c:spPr>
        </c:majorGridlines>
        <c:title>
          <c:tx>
            <c:rich>
              <a:bodyPr/>
              <a:lstStyle/>
              <a:p>
                <a:pPr>
                  <a:defRPr sz="800" b="1" i="0" u="none" strike="noStrike" baseline="0">
                    <a:solidFill>
                      <a:srgbClr val="000000"/>
                    </a:solidFill>
                    <a:latin typeface="Arial"/>
                    <a:ea typeface="Arial"/>
                    <a:cs typeface="Arial"/>
                  </a:defRPr>
                </a:pPr>
                <a:r>
                  <a:rPr lang="en-GB"/>
                  <a:t>Rate of Children subject</a:t>
                </a:r>
                <a:r>
                  <a:rPr lang="en-GB" baseline="0"/>
                  <a:t>  to</a:t>
                </a:r>
                <a:r>
                  <a:rPr lang="en-GB"/>
                  <a:t> Care Applications to Court </a:t>
                </a:r>
              </a:p>
              <a:p>
                <a:pPr>
                  <a:defRPr sz="800" b="1" i="0" u="none" strike="noStrike" baseline="0">
                    <a:solidFill>
                      <a:srgbClr val="000000"/>
                    </a:solidFill>
                    <a:latin typeface="Arial"/>
                    <a:ea typeface="Arial"/>
                    <a:cs typeface="Arial"/>
                  </a:defRPr>
                </a:pPr>
                <a:r>
                  <a:rPr lang="en-GB"/>
                  <a:t>per 10,000 0-17 year olds</a:t>
                </a:r>
              </a:p>
            </c:rich>
          </c:tx>
          <c:layout>
            <c:manualLayout>
              <c:xMode val="edge"/>
              <c:yMode val="edge"/>
              <c:x val="4.308684491361657E-2"/>
              <c:y val="0.1704606833648056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79680512"/>
        <c:crosses val="autoZero"/>
        <c:crossBetween val="midCat"/>
      </c:valAx>
      <c:spPr>
        <a:noFill/>
        <a:ln w="3175">
          <a:solidFill>
            <a:srgbClr val="000000"/>
          </a:solidFill>
          <a:prstDash val="solid"/>
        </a:ln>
      </c:spPr>
    </c:plotArea>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244" r="0.75000000000000244"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i="0" u="none" strike="noStrike" baseline="0">
                <a:solidFill>
                  <a:srgbClr val="000000"/>
                </a:solidFill>
                <a:latin typeface="Arial"/>
                <a:ea typeface="Arial"/>
                <a:cs typeface="Arial"/>
              </a:defRPr>
            </a:pPr>
            <a:r>
              <a:rPr lang="en-GB"/>
              <a:t>% Referrals with prior Early Help Intervention</a:t>
            </a:r>
          </a:p>
          <a:p>
            <a:pPr>
              <a:defRPr sz="1000" b="1" i="0" u="none" strike="noStrike" baseline="0">
                <a:solidFill>
                  <a:srgbClr val="000000"/>
                </a:solidFill>
                <a:latin typeface="Arial"/>
                <a:ea typeface="Arial"/>
                <a:cs typeface="Arial"/>
              </a:defRPr>
            </a:pPr>
            <a:r>
              <a:rPr lang="en-GB"/>
              <a:t>(Selected LA</a:t>
            </a:r>
            <a:r>
              <a:rPr lang="en-GB" baseline="0"/>
              <a:t> vs. SE &amp; National)</a:t>
            </a:r>
            <a:r>
              <a:rPr lang="en-GB"/>
              <a:t> </a:t>
            </a:r>
          </a:p>
        </c:rich>
      </c:tx>
      <c:layout>
        <c:manualLayout>
          <c:xMode val="edge"/>
          <c:yMode val="edge"/>
          <c:x val="0.1195897435897436"/>
          <c:y val="3.8613923259592556E-3"/>
        </c:manualLayout>
      </c:layout>
      <c:overlay val="0"/>
      <c:spPr>
        <a:noFill/>
        <a:ln w="25400">
          <a:noFill/>
        </a:ln>
      </c:spPr>
    </c:title>
    <c:autoTitleDeleted val="0"/>
    <c:plotArea>
      <c:layout>
        <c:manualLayout>
          <c:layoutTarget val="inner"/>
          <c:xMode val="edge"/>
          <c:yMode val="edge"/>
          <c:x val="9.8666564984461691E-2"/>
          <c:y val="0.23145379554828374"/>
          <c:w val="0.64607416380644722"/>
          <c:h val="0.51726216041176676"/>
        </c:manualLayout>
      </c:layout>
      <c:barChart>
        <c:barDir val="col"/>
        <c:grouping val="clustered"/>
        <c:varyColors val="0"/>
        <c:ser>
          <c:idx val="6"/>
          <c:order val="0"/>
          <c:tx>
            <c:strRef>
              <c:f>Referrals!$AA$4</c:f>
              <c:strCache>
                <c:ptCount val="1"/>
                <c:pt idx="0">
                  <c:v>Selected LA- (none)</c:v>
                </c:pt>
              </c:strCache>
            </c:strRef>
          </c:tx>
          <c:spPr>
            <a:solidFill>
              <a:srgbClr val="66FF99"/>
            </a:solidFill>
            <a:ln>
              <a:solidFill>
                <a:schemeClr val="tx1">
                  <a:lumMod val="75000"/>
                  <a:lumOff val="25000"/>
                </a:schemeClr>
              </a:solidFill>
            </a:ln>
          </c:spPr>
          <c:invertIfNegative val="0"/>
          <c:cat>
            <c:strRef>
              <c:f>Referrals!$Z$2:$AD$3</c:f>
              <c:strCache>
                <c:ptCount val="5"/>
                <c:pt idx="0">
                  <c:v>2014-15</c:v>
                </c:pt>
                <c:pt idx="1">
                  <c:v>2015-16</c:v>
                </c:pt>
                <c:pt idx="2">
                  <c:v>2016-17</c:v>
                </c:pt>
                <c:pt idx="3">
                  <c:v>2017-18</c:v>
                </c:pt>
                <c:pt idx="4">
                  <c:v>2018-19</c:v>
                </c:pt>
              </c:strCache>
            </c:strRef>
          </c:cat>
          <c:val>
            <c:numRef>
              <c:f>Referrals!$AX$65:$BB$65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2F4C-46B1-8025-FE754C779266}"/>
            </c:ext>
          </c:extLst>
        </c:ser>
        <c:ser>
          <c:idx val="4"/>
          <c:order val="1"/>
          <c:tx>
            <c:strRef>
              <c:f>Referrals!$B$170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Referrals!$Z$2:$AD$3</c:f>
              <c:strCache>
                <c:ptCount val="5"/>
                <c:pt idx="0">
                  <c:v>2014-15</c:v>
                </c:pt>
                <c:pt idx="1">
                  <c:v>2015-16</c:v>
                </c:pt>
                <c:pt idx="2">
                  <c:v>2016-17</c:v>
                </c:pt>
                <c:pt idx="3">
                  <c:v>2017-18</c:v>
                </c:pt>
                <c:pt idx="4">
                  <c:v>2018-19</c:v>
                </c:pt>
              </c:strCache>
            </c:strRef>
          </c:cat>
          <c:val>
            <c:numRef>
              <c:f>Referrals!$D$134:$H$134</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2F4C-46B1-8025-FE754C779266}"/>
            </c:ext>
          </c:extLst>
        </c:ser>
        <c:ser>
          <c:idx val="0"/>
          <c:order val="2"/>
          <c:tx>
            <c:strRef>
              <c:f>Referrals!$B$171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Referrals!$Z$2:$AD$3</c:f>
              <c:strCache>
                <c:ptCount val="5"/>
                <c:pt idx="0">
                  <c:v>2014-15</c:v>
                </c:pt>
                <c:pt idx="1">
                  <c:v>2015-16</c:v>
                </c:pt>
                <c:pt idx="2">
                  <c:v>2016-17</c:v>
                </c:pt>
                <c:pt idx="3">
                  <c:v>2017-18</c:v>
                </c:pt>
                <c:pt idx="4">
                  <c:v>2018-19</c:v>
                </c:pt>
              </c:strCache>
            </c:strRef>
          </c:cat>
          <c:val>
            <c:numRef>
              <c:f>Referrals!$D$135:$H$135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2-2F4C-46B1-8025-FE754C779266}"/>
            </c:ext>
          </c:extLst>
        </c:ser>
        <c:dLbls>
          <c:showLegendKey val="0"/>
          <c:showVal val="0"/>
          <c:showCatName val="0"/>
          <c:showSerName val="0"/>
          <c:showPercent val="0"/>
          <c:showBubbleSize val="0"/>
        </c:dLbls>
        <c:gapWidth val="100"/>
        <c:axId val="565338496"/>
        <c:axId val="565340032"/>
      </c:barChart>
      <c:catAx>
        <c:axId val="565338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5340032"/>
        <c:crosses val="autoZero"/>
        <c:auto val="1"/>
        <c:lblAlgn val="ctr"/>
        <c:lblOffset val="100"/>
        <c:noMultiLvlLbl val="0"/>
      </c:catAx>
      <c:valAx>
        <c:axId val="56534003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65338496"/>
        <c:crosses val="autoZero"/>
        <c:crossBetween val="between"/>
      </c:valAx>
      <c:spPr>
        <a:noFill/>
        <a:ln w="3175">
          <a:solidFill>
            <a:srgbClr val="000000"/>
          </a:solidFill>
          <a:prstDash val="solid"/>
        </a:ln>
      </c:spPr>
    </c:plotArea>
    <c:legend>
      <c:legendPos val="r"/>
      <c:layout>
        <c:manualLayout>
          <c:xMode val="edge"/>
          <c:yMode val="edge"/>
          <c:x val="0.77006568773497908"/>
          <c:y val="0.26323073252207113"/>
          <c:w val="0.22993431226502092"/>
          <c:h val="0.72941132358455196"/>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Looked After Children, per 10,000 0-17 year olds</a:t>
            </a:r>
          </a:p>
        </c:rich>
      </c:tx>
      <c:layout>
        <c:manualLayout>
          <c:xMode val="edge"/>
          <c:yMode val="edge"/>
          <c:x val="0.15320282593134354"/>
          <c:y val="2.0819758371612838E-2"/>
        </c:manualLayout>
      </c:layout>
      <c:overlay val="0"/>
      <c:spPr>
        <a:noFill/>
        <a:ln w="25400">
          <a:noFill/>
        </a:ln>
      </c:spPr>
    </c:title>
    <c:autoTitleDeleted val="0"/>
    <c:plotArea>
      <c:layout>
        <c:manualLayout>
          <c:layoutTarget val="inner"/>
          <c:xMode val="edge"/>
          <c:yMode val="edge"/>
          <c:x val="8.9669774541780586E-2"/>
          <c:y val="7.5616524512562011E-2"/>
          <c:w val="0.57508230927201043"/>
          <c:h val="0.86466476534538173"/>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FC8-4098-A5B8-06EE7E7744AB}"/>
              </c:ext>
            </c:extLst>
          </c:dPt>
          <c:cat>
            <c:strRef>
              <c:f>'Looked After Children'!$Z$2:$AD$3</c:f>
              <c:strCache>
                <c:ptCount val="5"/>
                <c:pt idx="0">
                  <c:v>2014-15</c:v>
                </c:pt>
                <c:pt idx="1">
                  <c:v>2015-16</c:v>
                </c:pt>
                <c:pt idx="2">
                  <c:v>2016-17</c:v>
                </c:pt>
                <c:pt idx="3">
                  <c:v>2017-18</c:v>
                </c:pt>
                <c:pt idx="4">
                  <c:v>2018-19</c:v>
                </c:pt>
              </c:strCache>
            </c:strRef>
          </c:cat>
          <c:val>
            <c:numRef>
              <c:f>'Looked After Children'!$AM$41:$AQ$41</c:f>
              <c:numCache>
                <c:formatCode>0.0</c:formatCode>
                <c:ptCount val="5"/>
                <c:pt idx="0">
                  <c:v>37.410071942446045</c:v>
                </c:pt>
                <c:pt idx="1">
                  <c:v>34.751773049645394</c:v>
                </c:pt>
                <c:pt idx="2">
                  <c:v>41.134751773049643</c:v>
                </c:pt>
                <c:pt idx="3">
                  <c:v>49.110320284697508</c:v>
                </c:pt>
                <c:pt idx="4">
                  <c:v>55.830388692579504</c:v>
                </c:pt>
              </c:numCache>
            </c:numRef>
          </c:val>
          <c:smooth val="0"/>
          <c:extLst>
            <c:ext xmlns:c16="http://schemas.microsoft.com/office/drawing/2014/chart" uri="{C3380CC4-5D6E-409C-BE32-E72D297353CC}">
              <c16:uniqueId val="{00000001-9FC8-4098-A5B8-06EE7E7744AB}"/>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Children'!$AM$42:$AQ$42</c:f>
              <c:numCache>
                <c:formatCode>0.0</c:formatCode>
                <c:ptCount val="5"/>
                <c:pt idx="0">
                  <c:v>92.54901960784315</c:v>
                </c:pt>
                <c:pt idx="1">
                  <c:v>85.546875</c:v>
                </c:pt>
                <c:pt idx="2">
                  <c:v>88.888888888888886</c:v>
                </c:pt>
                <c:pt idx="3">
                  <c:v>82.156862745098039</c:v>
                </c:pt>
                <c:pt idx="4">
                  <c:v>76.666666666666657</c:v>
                </c:pt>
              </c:numCache>
            </c:numRef>
          </c:val>
          <c:smooth val="0"/>
          <c:extLst>
            <c:ext xmlns:c16="http://schemas.microsoft.com/office/drawing/2014/chart" uri="{C3380CC4-5D6E-409C-BE32-E72D297353CC}">
              <c16:uniqueId val="{00000002-9FC8-4098-A5B8-06EE7E7744AB}"/>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Children'!$AM$43:$AQ$43</c:f>
              <c:numCache>
                <c:formatCode>0.0</c:formatCode>
                <c:ptCount val="5"/>
                <c:pt idx="0">
                  <c:v>36.585365853658537</c:v>
                </c:pt>
                <c:pt idx="1">
                  <c:v>38.059701492537314</c:v>
                </c:pt>
                <c:pt idx="2">
                  <c:v>37.152209492635023</c:v>
                </c:pt>
                <c:pt idx="3">
                  <c:v>38.342810722989441</c:v>
                </c:pt>
                <c:pt idx="4">
                  <c:v>41.432019308125504</c:v>
                </c:pt>
              </c:numCache>
            </c:numRef>
          </c:val>
          <c:smooth val="0"/>
          <c:extLst>
            <c:ext xmlns:c16="http://schemas.microsoft.com/office/drawing/2014/chart" uri="{C3380CC4-5D6E-409C-BE32-E72D297353CC}">
              <c16:uniqueId val="{00000003-9FC8-4098-A5B8-06EE7E7744AB}"/>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Children'!$AM$44:$AQ$44</c:f>
              <c:numCache>
                <c:formatCode>0.0</c:formatCode>
                <c:ptCount val="5"/>
                <c:pt idx="0">
                  <c:v>51.802656546489565</c:v>
                </c:pt>
                <c:pt idx="1">
                  <c:v>51.274787535410766</c:v>
                </c:pt>
                <c:pt idx="2">
                  <c:v>52.407932011331447</c:v>
                </c:pt>
                <c:pt idx="3">
                  <c:v>56.79245283018868</c:v>
                </c:pt>
                <c:pt idx="4">
                  <c:v>56.390977443609017</c:v>
                </c:pt>
              </c:numCache>
            </c:numRef>
          </c:val>
          <c:smooth val="0"/>
          <c:extLst>
            <c:ext xmlns:c16="http://schemas.microsoft.com/office/drawing/2014/chart" uri="{C3380CC4-5D6E-409C-BE32-E72D297353CC}">
              <c16:uniqueId val="{00000004-9FC8-4098-A5B8-06EE7E7744AB}"/>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Children'!$AM$45:$AQ$45</c:f>
              <c:numCache>
                <c:formatCode>0.0</c:formatCode>
                <c:ptCount val="5"/>
                <c:pt idx="0">
                  <c:v>47.353463587921851</c:v>
                </c:pt>
                <c:pt idx="1">
                  <c:v>46.293011706278826</c:v>
                </c:pt>
                <c:pt idx="2">
                  <c:v>50.919377652050912</c:v>
                </c:pt>
                <c:pt idx="3">
                  <c:v>56.265442993293327</c:v>
                </c:pt>
                <c:pt idx="4">
                  <c:v>58.591549295774648</c:v>
                </c:pt>
              </c:numCache>
            </c:numRef>
          </c:val>
          <c:smooth val="0"/>
          <c:extLst>
            <c:ext xmlns:c16="http://schemas.microsoft.com/office/drawing/2014/chart" uri="{C3380CC4-5D6E-409C-BE32-E72D297353CC}">
              <c16:uniqueId val="{00000005-9FC8-4098-A5B8-06EE7E7744AB}"/>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Children'!$AM$46:$AQ$46</c:f>
              <c:numCache>
                <c:formatCode>0.0</c:formatCode>
                <c:ptCount val="5"/>
                <c:pt idx="0">
                  <c:v>79.215686274509807</c:v>
                </c:pt>
                <c:pt idx="1">
                  <c:v>80.632411067193686</c:v>
                </c:pt>
                <c:pt idx="2">
                  <c:v>90.476190476190467</c:v>
                </c:pt>
                <c:pt idx="3">
                  <c:v>90.039840637450197</c:v>
                </c:pt>
                <c:pt idx="4">
                  <c:v>97.590361445783131</c:v>
                </c:pt>
              </c:numCache>
            </c:numRef>
          </c:val>
          <c:smooth val="0"/>
          <c:extLst>
            <c:ext xmlns:c16="http://schemas.microsoft.com/office/drawing/2014/chart" uri="{C3380CC4-5D6E-409C-BE32-E72D297353CC}">
              <c16:uniqueId val="{00000006-9FC8-4098-A5B8-06EE7E7744AB}"/>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Children'!$AM$47:$AQ$47</c:f>
              <c:numCache>
                <c:formatCode>0.0</c:formatCode>
                <c:ptCount val="5"/>
                <c:pt idx="0">
                  <c:v>56.868717636308254</c:v>
                </c:pt>
                <c:pt idx="1">
                  <c:v>70.036319612590802</c:v>
                </c:pt>
                <c:pt idx="2">
                  <c:v>57.087087087087085</c:v>
                </c:pt>
                <c:pt idx="3">
                  <c:v>48.824754537340077</c:v>
                </c:pt>
                <c:pt idx="4">
                  <c:v>46.75095560129374</c:v>
                </c:pt>
              </c:numCache>
            </c:numRef>
          </c:val>
          <c:smooth val="0"/>
          <c:extLst>
            <c:ext xmlns:c16="http://schemas.microsoft.com/office/drawing/2014/chart" uri="{C3380CC4-5D6E-409C-BE32-E72D297353CC}">
              <c16:uniqueId val="{00000007-9FC8-4098-A5B8-06EE7E7744AB}"/>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Children'!$AM$48:$AQ$48</c:f>
              <c:numCache>
                <c:formatCode>0.0</c:formatCode>
                <c:ptCount val="5"/>
                <c:pt idx="0">
                  <c:v>68.16</c:v>
                </c:pt>
                <c:pt idx="1">
                  <c:v>68.037974683544306</c:v>
                </c:pt>
                <c:pt idx="2">
                  <c:v>61.224489795918366</c:v>
                </c:pt>
                <c:pt idx="3">
                  <c:v>64.788732394366193</c:v>
                </c:pt>
                <c:pt idx="4">
                  <c:v>65.838509316770185</c:v>
                </c:pt>
              </c:numCache>
            </c:numRef>
          </c:val>
          <c:smooth val="0"/>
          <c:extLst>
            <c:ext xmlns:c16="http://schemas.microsoft.com/office/drawing/2014/chart" uri="{C3380CC4-5D6E-409C-BE32-E72D297353CC}">
              <c16:uniqueId val="{00000008-9FC8-4098-A5B8-06EE7E7744AB}"/>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Children'!$AM$49:$AQ$49</c:f>
              <c:numCache>
                <c:formatCode>0.0</c:formatCode>
                <c:ptCount val="5"/>
                <c:pt idx="0">
                  <c:v>51.993865030674847</c:v>
                </c:pt>
                <c:pt idx="1">
                  <c:v>52.193645990922839</c:v>
                </c:pt>
                <c:pt idx="2">
                  <c:v>59.016393442622949</c:v>
                </c:pt>
                <c:pt idx="3">
                  <c:v>58.284023668639051</c:v>
                </c:pt>
                <c:pt idx="4">
                  <c:v>55.783308931185942</c:v>
                </c:pt>
              </c:numCache>
            </c:numRef>
          </c:val>
          <c:smooth val="0"/>
          <c:extLst>
            <c:ext xmlns:c16="http://schemas.microsoft.com/office/drawing/2014/chart" uri="{C3380CC4-5D6E-409C-BE32-E72D297353CC}">
              <c16:uniqueId val="{00000009-9FC8-4098-A5B8-06EE7E7744AB}"/>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Children'!$AM$50:$AQ$50</c:f>
              <c:numCache>
                <c:formatCode>0.0</c:formatCode>
                <c:ptCount val="5"/>
                <c:pt idx="0">
                  <c:v>36.118980169971671</c:v>
                </c:pt>
                <c:pt idx="1">
                  <c:v>41.819464033850494</c:v>
                </c:pt>
                <c:pt idx="2">
                  <c:v>46.60601819454164</c:v>
                </c:pt>
                <c:pt idx="3">
                  <c:v>47.698744769874473</c:v>
                </c:pt>
                <c:pt idx="4">
                  <c:v>53.798342541436462</c:v>
                </c:pt>
              </c:numCache>
            </c:numRef>
          </c:val>
          <c:smooth val="0"/>
          <c:extLst>
            <c:ext xmlns:c16="http://schemas.microsoft.com/office/drawing/2014/chart" uri="{C3380CC4-5D6E-409C-BE32-E72D297353CC}">
              <c16:uniqueId val="{0000000A-9FC8-4098-A5B8-06EE7E7744AB}"/>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Children'!$AM$51:$AQ$51</c:f>
              <c:numCache>
                <c:formatCode>0.0</c:formatCode>
                <c:ptCount val="5"/>
                <c:pt idx="0">
                  <c:v>73.73271889400921</c:v>
                </c:pt>
                <c:pt idx="1">
                  <c:v>73.515981735159826</c:v>
                </c:pt>
                <c:pt idx="2">
                  <c:v>81.36363636363636</c:v>
                </c:pt>
                <c:pt idx="3">
                  <c:v>93.891402714932127</c:v>
                </c:pt>
                <c:pt idx="4">
                  <c:v>110.45454545454545</c:v>
                </c:pt>
              </c:numCache>
            </c:numRef>
          </c:val>
          <c:smooth val="0"/>
          <c:extLst>
            <c:ext xmlns:c16="http://schemas.microsoft.com/office/drawing/2014/chart" uri="{C3380CC4-5D6E-409C-BE32-E72D297353CC}">
              <c16:uniqueId val="{0000000B-9FC8-4098-A5B8-06EE7E7744AB}"/>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Children'!$AM$52:$AQ$52</c:f>
              <c:numCache>
                <c:formatCode>0.0</c:formatCode>
                <c:ptCount val="5"/>
                <c:pt idx="0">
                  <c:v>58.217270194986071</c:v>
                </c:pt>
                <c:pt idx="1">
                  <c:v>60.439560439560445</c:v>
                </c:pt>
                <c:pt idx="2">
                  <c:v>71.857923497267763</c:v>
                </c:pt>
                <c:pt idx="3">
                  <c:v>75.202156334231802</c:v>
                </c:pt>
                <c:pt idx="4">
                  <c:v>73.584905660377359</c:v>
                </c:pt>
              </c:numCache>
            </c:numRef>
          </c:val>
          <c:smooth val="0"/>
          <c:extLst>
            <c:ext xmlns:c16="http://schemas.microsoft.com/office/drawing/2014/chart" uri="{C3380CC4-5D6E-409C-BE32-E72D297353CC}">
              <c16:uniqueId val="{0000000C-9FC8-4098-A5B8-06EE7E7744AB}"/>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Children'!$AM$53:$AQ$53</c:f>
              <c:numCache>
                <c:formatCode>0.0</c:formatCode>
                <c:ptCount val="5"/>
                <c:pt idx="0">
                  <c:v>49.122807017543863</c:v>
                </c:pt>
                <c:pt idx="1">
                  <c:v>44.088669950738911</c:v>
                </c:pt>
                <c:pt idx="2">
                  <c:v>45.893719806763286</c:v>
                </c:pt>
                <c:pt idx="3">
                  <c:v>48.81516587677725</c:v>
                </c:pt>
                <c:pt idx="4">
                  <c:v>49.882903981264633</c:v>
                </c:pt>
              </c:numCache>
            </c:numRef>
          </c:val>
          <c:smooth val="0"/>
          <c:extLst>
            <c:ext xmlns:c16="http://schemas.microsoft.com/office/drawing/2014/chart" uri="{C3380CC4-5D6E-409C-BE32-E72D297353CC}">
              <c16:uniqueId val="{0000000D-9FC8-4098-A5B8-06EE7E7744AB}"/>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Children'!$AM$54:$AQ$54</c:f>
              <c:numCache>
                <c:formatCode>0.0</c:formatCode>
                <c:ptCount val="5"/>
                <c:pt idx="0">
                  <c:v>44.719926538108353</c:v>
                </c:pt>
                <c:pt idx="1">
                  <c:v>45.879120879120876</c:v>
                </c:pt>
                <c:pt idx="2">
                  <c:v>43.39106654512306</c:v>
                </c:pt>
                <c:pt idx="3">
                  <c:v>46.957311534968213</c:v>
                </c:pt>
                <c:pt idx="4">
                  <c:v>48.238482384823854</c:v>
                </c:pt>
              </c:numCache>
            </c:numRef>
          </c:val>
          <c:smooth val="0"/>
          <c:extLst>
            <c:ext xmlns:c16="http://schemas.microsoft.com/office/drawing/2014/chart" uri="{C3380CC4-5D6E-409C-BE32-E72D297353CC}">
              <c16:uniqueId val="{0000000E-9FC8-4098-A5B8-06EE7E7744AB}"/>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Children'!$AM$55:$AQ$55</c:f>
              <c:numCache>
                <c:formatCode>0.0</c:formatCode>
                <c:ptCount val="5"/>
                <c:pt idx="0">
                  <c:v>119.75308641975309</c:v>
                </c:pt>
                <c:pt idx="1">
                  <c:v>120.1219512195122</c:v>
                </c:pt>
                <c:pt idx="2">
                  <c:v>108.21643286573146</c:v>
                </c:pt>
                <c:pt idx="3">
                  <c:v>103.77733598409543</c:v>
                </c:pt>
                <c:pt idx="4">
                  <c:v>94.685039370078741</c:v>
                </c:pt>
              </c:numCache>
            </c:numRef>
          </c:val>
          <c:smooth val="0"/>
          <c:extLst>
            <c:ext xmlns:c16="http://schemas.microsoft.com/office/drawing/2014/chart" uri="{C3380CC4-5D6E-409C-BE32-E72D297353CC}">
              <c16:uniqueId val="{0000000F-9FC8-4098-A5B8-06EE7E7744AB}"/>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Children'!$AM$56:$AQ$56</c:f>
              <c:numCache>
                <c:formatCode>0.0</c:formatCode>
                <c:ptCount val="5"/>
                <c:pt idx="0">
                  <c:v>30.597014925373138</c:v>
                </c:pt>
                <c:pt idx="1">
                  <c:v>33.814352574102962</c:v>
                </c:pt>
                <c:pt idx="2">
                  <c:v>33.552123552123554</c:v>
                </c:pt>
                <c:pt idx="3">
                  <c:v>35.728006146753742</c:v>
                </c:pt>
                <c:pt idx="4">
                  <c:v>37.151584574264987</c:v>
                </c:pt>
              </c:numCache>
            </c:numRef>
          </c:val>
          <c:smooth val="0"/>
          <c:extLst>
            <c:ext xmlns:c16="http://schemas.microsoft.com/office/drawing/2014/chart" uri="{C3380CC4-5D6E-409C-BE32-E72D297353CC}">
              <c16:uniqueId val="{00000010-9FC8-4098-A5B8-06EE7E7744AB}"/>
            </c:ext>
          </c:extLst>
        </c:ser>
        <c:ser>
          <c:idx val="7"/>
          <c:order val="16"/>
          <c:tx>
            <c:strRef>
              <c:f>'Looked After Children'!$AL$57</c:f>
              <c:strCache>
                <c:ptCount val="1"/>
                <c:pt idx="0">
                  <c:v>Swindon</c:v>
                </c:pt>
              </c:strCache>
            </c:strRef>
          </c:tx>
          <c:spPr>
            <a:ln w="15875">
              <a:solidFill>
                <a:srgbClr val="A8423F"/>
              </a:solidFill>
            </a:ln>
          </c:spPr>
          <c:marker>
            <c:symbol val="triangle"/>
            <c:size val="5"/>
            <c:spPr>
              <a:solidFill>
                <a:schemeClr val="accent2">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Children'!$AM$57:$AQ$57</c:f>
              <c:numCache>
                <c:formatCode>0.0</c:formatCode>
                <c:ptCount val="5"/>
                <c:pt idx="0">
                  <c:v>51.440329218106996</c:v>
                </c:pt>
                <c:pt idx="1">
                  <c:v>59.795918367346943</c:v>
                </c:pt>
                <c:pt idx="2">
                  <c:v>66.666666666666671</c:v>
                </c:pt>
                <c:pt idx="3">
                  <c:v>72.144288577154313</c:v>
                </c:pt>
                <c:pt idx="4">
                  <c:v>69.322709163346616</c:v>
                </c:pt>
              </c:numCache>
            </c:numRef>
          </c:val>
          <c:smooth val="0"/>
          <c:extLst>
            <c:ext xmlns:c16="http://schemas.microsoft.com/office/drawing/2014/chart" uri="{C3380CC4-5D6E-409C-BE32-E72D297353CC}">
              <c16:uniqueId val="{00000011-9FC8-4098-A5B8-06EE7E7744AB}"/>
            </c:ext>
          </c:extLst>
        </c:ser>
        <c:ser>
          <c:idx val="8"/>
          <c:order val="17"/>
          <c:tx>
            <c:strRef>
              <c:f>'Looked After Children'!$AL$58</c:f>
              <c:strCache>
                <c:ptCount val="1"/>
                <c:pt idx="0">
                  <c:v>Torbay</c:v>
                </c:pt>
              </c:strCache>
            </c:strRef>
          </c:tx>
          <c:spPr>
            <a:ln w="15875"/>
          </c:spPr>
          <c:marker>
            <c:symbol val="circle"/>
            <c:size val="5"/>
            <c:spPr>
              <a:solidFill>
                <a:schemeClr val="accent3">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Children'!$AM$58:$AQ$58</c:f>
              <c:numCache>
                <c:formatCode>0.0</c:formatCode>
                <c:ptCount val="5"/>
                <c:pt idx="0">
                  <c:v>121.91235059760956</c:v>
                </c:pt>
                <c:pt idx="1">
                  <c:v>110.71428571428571</c:v>
                </c:pt>
                <c:pt idx="2">
                  <c:v>113.77952755905513</c:v>
                </c:pt>
                <c:pt idx="3">
                  <c:v>129.5275590551181</c:v>
                </c:pt>
                <c:pt idx="4">
                  <c:v>142.51968503937007</c:v>
                </c:pt>
              </c:numCache>
            </c:numRef>
          </c:val>
          <c:smooth val="0"/>
          <c:extLst>
            <c:ext xmlns:c16="http://schemas.microsoft.com/office/drawing/2014/chart" uri="{C3380CC4-5D6E-409C-BE32-E72D297353CC}">
              <c16:uniqueId val="{00000012-9FC8-4098-A5B8-06EE7E7744AB}"/>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Children'!$AM$59:$AQ$59</c:f>
              <c:numCache>
                <c:formatCode>0.0</c:formatCode>
                <c:ptCount val="5"/>
                <c:pt idx="0">
                  <c:v>48.033707865168537</c:v>
                </c:pt>
                <c:pt idx="1">
                  <c:v>43.977591036414566</c:v>
                </c:pt>
                <c:pt idx="2">
                  <c:v>44.846796657381617</c:v>
                </c:pt>
                <c:pt idx="3">
                  <c:v>40.502793296089386</c:v>
                </c:pt>
                <c:pt idx="4">
                  <c:v>48.31460674157303</c:v>
                </c:pt>
              </c:numCache>
            </c:numRef>
          </c:val>
          <c:smooth val="0"/>
          <c:extLst>
            <c:ext xmlns:c16="http://schemas.microsoft.com/office/drawing/2014/chart" uri="{C3380CC4-5D6E-409C-BE32-E72D297353CC}">
              <c16:uniqueId val="{00000013-9FC8-4098-A5B8-06EE7E7744AB}"/>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Children'!$AM$60:$AQ$60</c:f>
              <c:numCache>
                <c:formatCode>0.0</c:formatCode>
                <c:ptCount val="5"/>
                <c:pt idx="0">
                  <c:v>38.15165876777251</c:v>
                </c:pt>
                <c:pt idx="1">
                  <c:v>37.5</c:v>
                </c:pt>
                <c:pt idx="2">
                  <c:v>38.59138533178114</c:v>
                </c:pt>
                <c:pt idx="3">
                  <c:v>40.623196768609347</c:v>
                </c:pt>
                <c:pt idx="4">
                  <c:v>40.297653119633658</c:v>
                </c:pt>
              </c:numCache>
            </c:numRef>
          </c:val>
          <c:smooth val="0"/>
          <c:extLst>
            <c:ext xmlns:c16="http://schemas.microsoft.com/office/drawing/2014/chart" uri="{C3380CC4-5D6E-409C-BE32-E72D297353CC}">
              <c16:uniqueId val="{00000014-9FC8-4098-A5B8-06EE7E7744AB}"/>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Children'!$AM$61:$AQ$61</c:f>
              <c:numCache>
                <c:formatCode>0.0</c:formatCode>
                <c:ptCount val="5"/>
                <c:pt idx="0">
                  <c:v>29.640718562874252</c:v>
                </c:pt>
                <c:pt idx="1">
                  <c:v>26.409495548961427</c:v>
                </c:pt>
                <c:pt idx="2">
                  <c:v>31.871345029239766</c:v>
                </c:pt>
                <c:pt idx="3">
                  <c:v>31.104651162790699</c:v>
                </c:pt>
                <c:pt idx="4">
                  <c:v>35.838150289017342</c:v>
                </c:pt>
              </c:numCache>
            </c:numRef>
          </c:val>
          <c:smooth val="0"/>
          <c:extLst>
            <c:ext xmlns:c16="http://schemas.microsoft.com/office/drawing/2014/chart" uri="{C3380CC4-5D6E-409C-BE32-E72D297353CC}">
              <c16:uniqueId val="{00000015-9FC8-4098-A5B8-06EE7E7744AB}"/>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Children'!$AM$62:$AQ$62</c:f>
              <c:numCache>
                <c:formatCode>0.0</c:formatCode>
                <c:ptCount val="5"/>
                <c:pt idx="0">
                  <c:v>20.325203252032523</c:v>
                </c:pt>
                <c:pt idx="1">
                  <c:v>21.715817694369974</c:v>
                </c:pt>
                <c:pt idx="2">
                  <c:v>19.736842105263158</c:v>
                </c:pt>
                <c:pt idx="3">
                  <c:v>27.390180878552972</c:v>
                </c:pt>
                <c:pt idx="4">
                  <c:v>27.848101265822784</c:v>
                </c:pt>
              </c:numCache>
            </c:numRef>
          </c:val>
          <c:smooth val="0"/>
          <c:extLst>
            <c:ext xmlns:c16="http://schemas.microsoft.com/office/drawing/2014/chart" uri="{C3380CC4-5D6E-409C-BE32-E72D297353CC}">
              <c16:uniqueId val="{00000016-9FC8-4098-A5B8-06EE7E7744AB}"/>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Children'!$AM$63:$AQ$63</c:f>
              <c:numCache>
                <c:formatCode>0.0</c:formatCode>
                <c:ptCount val="5"/>
                <c:pt idx="0">
                  <c:v>48.886788489813064</c:v>
                </c:pt>
                <c:pt idx="1">
                  <c:v>51.45717115895939</c:v>
                </c:pt>
                <c:pt idx="2">
                  <c:v>50.850964771610364</c:v>
                </c:pt>
                <c:pt idx="3">
                  <c:v>51.442975461700712</c:v>
                </c:pt>
                <c:pt idx="4">
                  <c:v>52.518647185041381</c:v>
                </c:pt>
              </c:numCache>
            </c:numRef>
          </c:val>
          <c:smooth val="0"/>
          <c:extLst>
            <c:ext xmlns:c16="http://schemas.microsoft.com/office/drawing/2014/chart" uri="{C3380CC4-5D6E-409C-BE32-E72D297353CC}">
              <c16:uniqueId val="{00000017-9FC8-4098-A5B8-06EE7E7744AB}"/>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noFill/>
              <a:ln w="12700">
                <a:solidFill>
                  <a:schemeClr val="tx1">
                    <a:lumMod val="75000"/>
                    <a:lumOff val="2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Children'!$AM$64:$AQ$64</c:f>
              <c:numCache>
                <c:formatCode>0.0</c:formatCode>
                <c:ptCount val="5"/>
                <c:pt idx="0">
                  <c:v>59.930812564162288</c:v>
                </c:pt>
                <c:pt idx="1">
                  <c:v>60.293374664965448</c:v>
                </c:pt>
                <c:pt idx="2">
                  <c:v>61.610650556201371</c:v>
                </c:pt>
                <c:pt idx="3">
                  <c:v>63.512260891547989</c:v>
                </c:pt>
                <c:pt idx="4">
                  <c:v>65.37232529737507</c:v>
                </c:pt>
              </c:numCache>
            </c:numRef>
          </c:val>
          <c:smooth val="0"/>
          <c:extLst>
            <c:ext xmlns:c16="http://schemas.microsoft.com/office/drawing/2014/chart" uri="{C3380CC4-5D6E-409C-BE32-E72D297353CC}">
              <c16:uniqueId val="{00000018-9FC8-4098-A5B8-06EE7E7744AB}"/>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Children'!$AM$65:$AQ$65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9FC8-4098-A5B8-06EE7E7744AB}"/>
            </c:ext>
          </c:extLst>
        </c:ser>
        <c:dLbls>
          <c:showLegendKey val="0"/>
          <c:showVal val="0"/>
          <c:showCatName val="0"/>
          <c:showSerName val="0"/>
          <c:showPercent val="0"/>
          <c:showBubbleSize val="0"/>
        </c:dLbls>
        <c:marker val="1"/>
        <c:smooth val="0"/>
        <c:axId val="290181504"/>
        <c:axId val="290183424"/>
      </c:lineChart>
      <c:catAx>
        <c:axId val="290181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183424"/>
        <c:crosses val="autoZero"/>
        <c:auto val="1"/>
        <c:lblAlgn val="ctr"/>
        <c:lblOffset val="100"/>
        <c:tickLblSkip val="1"/>
        <c:tickMarkSkip val="1"/>
        <c:noMultiLvlLbl val="0"/>
      </c:catAx>
      <c:valAx>
        <c:axId val="290183424"/>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18150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2280746527237453"/>
          <c:h val="0.89602431295865037"/>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Rate of </a:t>
            </a:r>
            <a:r>
              <a:rPr lang="en-GB" sz="1000" b="1" i="0" u="none" strike="noStrike" baseline="0">
                <a:effectLst/>
              </a:rPr>
              <a:t>Looked After Children </a:t>
            </a:r>
            <a:r>
              <a:rPr lang="en-GB"/>
              <a:t>(Selected LA</a:t>
            </a:r>
            <a:r>
              <a:rPr lang="en-GB" baseline="0"/>
              <a:t> vs. SE)</a:t>
            </a:r>
            <a:r>
              <a:rPr lang="en-GB"/>
              <a:t> </a:t>
            </a:r>
          </a:p>
        </c:rich>
      </c:tx>
      <c:layout>
        <c:manualLayout>
          <c:xMode val="edge"/>
          <c:yMode val="edge"/>
          <c:x val="0.13687547797784019"/>
          <c:y val="2.7670916135483066E-2"/>
        </c:manualLayout>
      </c:layout>
      <c:overlay val="0"/>
      <c:spPr>
        <a:noFill/>
        <a:ln w="25400">
          <a:noFill/>
        </a:ln>
      </c:spPr>
    </c:title>
    <c:autoTitleDeleted val="0"/>
    <c:plotArea>
      <c:layout>
        <c:manualLayout>
          <c:layoutTarget val="inner"/>
          <c:xMode val="edge"/>
          <c:yMode val="edge"/>
          <c:x val="9.6909984154078643E-2"/>
          <c:y val="0.1713664245008048"/>
          <c:w val="0.65146216862752293"/>
          <c:h val="0.59828958880139982"/>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Children'!$AM$65:$AQ$65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5AB-444D-9073-D1E953139D0B}"/>
            </c:ext>
          </c:extLst>
        </c:ser>
        <c:ser>
          <c:idx val="4"/>
          <c:order val="1"/>
          <c:tx>
            <c:strRef>
              <c:f>'Looked After Children'!$B$32</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Children'!$K$32:$O$32</c:f>
              <c:numCache>
                <c:formatCode>0.0</c:formatCode>
                <c:ptCount val="5"/>
                <c:pt idx="0">
                  <c:v>48.886788489813064</c:v>
                </c:pt>
                <c:pt idx="1">
                  <c:v>51.45717115895939</c:v>
                </c:pt>
                <c:pt idx="2">
                  <c:v>50.850964771610364</c:v>
                </c:pt>
                <c:pt idx="3">
                  <c:v>51.442975461700712</c:v>
                </c:pt>
                <c:pt idx="4">
                  <c:v>52.518647185041381</c:v>
                </c:pt>
              </c:numCache>
            </c:numRef>
          </c:val>
          <c:extLst>
            <c:ext xmlns:c16="http://schemas.microsoft.com/office/drawing/2014/chart" uri="{C3380CC4-5D6E-409C-BE32-E72D297353CC}">
              <c16:uniqueId val="{00000001-B5AB-444D-9073-D1E953139D0B}"/>
            </c:ext>
          </c:extLst>
        </c:ser>
        <c:ser>
          <c:idx val="0"/>
          <c:order val="2"/>
          <c:tx>
            <c:strRef>
              <c:f>'Looked After Children'!$B$33</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Children'!$K$33:$O$33</c:f>
              <c:numCache>
                <c:formatCode>0.0</c:formatCode>
                <c:ptCount val="5"/>
                <c:pt idx="0">
                  <c:v>59.930812564162288</c:v>
                </c:pt>
                <c:pt idx="1">
                  <c:v>60.293374664965448</c:v>
                </c:pt>
                <c:pt idx="2">
                  <c:v>61.610650556201371</c:v>
                </c:pt>
                <c:pt idx="3">
                  <c:v>63.512260891547989</c:v>
                </c:pt>
                <c:pt idx="4" formatCode="0%">
                  <c:v>65.37232529737507</c:v>
                </c:pt>
              </c:numCache>
            </c:numRef>
          </c:val>
          <c:extLst>
            <c:ext xmlns:c16="http://schemas.microsoft.com/office/drawing/2014/chart" uri="{C3380CC4-5D6E-409C-BE32-E72D297353CC}">
              <c16:uniqueId val="{00000002-B5AB-444D-9073-D1E953139D0B}"/>
            </c:ext>
          </c:extLst>
        </c:ser>
        <c:dLbls>
          <c:showLegendKey val="0"/>
          <c:showVal val="0"/>
          <c:showCatName val="0"/>
          <c:showSerName val="0"/>
          <c:showPercent val="0"/>
          <c:showBubbleSize val="0"/>
        </c:dLbls>
        <c:gapWidth val="100"/>
        <c:axId val="290275328"/>
        <c:axId val="290276864"/>
      </c:barChart>
      <c:catAx>
        <c:axId val="290275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276864"/>
        <c:crosses val="autoZero"/>
        <c:auto val="1"/>
        <c:lblAlgn val="ctr"/>
        <c:lblOffset val="100"/>
        <c:noMultiLvlLbl val="0"/>
      </c:catAx>
      <c:valAx>
        <c:axId val="290276864"/>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275328"/>
        <c:crosses val="autoZero"/>
        <c:crossBetween val="between"/>
      </c:valAx>
      <c:spPr>
        <a:noFill/>
        <a:ln w="3175">
          <a:solidFill>
            <a:srgbClr val="000000"/>
          </a:solidFill>
          <a:prstDash val="solid"/>
        </a:ln>
      </c:spPr>
    </c:plotArea>
    <c:legend>
      <c:legendPos val="r"/>
      <c:layout>
        <c:manualLayout>
          <c:xMode val="edge"/>
          <c:yMode val="edge"/>
          <c:x val="0.75111164950535025"/>
          <c:y val="0.17953653819588342"/>
          <c:w val="0.24888835049464972"/>
          <c:h val="0.82046369203849523"/>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for at least 2.5 Years in same placement for 2+ Years (Selected LA</a:t>
            </a:r>
            <a:r>
              <a:rPr lang="en-GB" sz="900" baseline="0"/>
              <a:t> vs. SE &amp; National)</a:t>
            </a:r>
            <a:r>
              <a:rPr lang="en-GB" sz="900"/>
              <a:t> </a:t>
            </a:r>
          </a:p>
        </c:rich>
      </c:tx>
      <c:layout>
        <c:manualLayout>
          <c:xMode val="edge"/>
          <c:yMode val="edge"/>
          <c:x val="0.10929914529914531"/>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823635681903403"/>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Children'!$AX$65:$BB$65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CE51-4B1D-B394-2CCAA875767E}"/>
            </c:ext>
          </c:extLst>
        </c:ser>
        <c:ser>
          <c:idx val="4"/>
          <c:order val="1"/>
          <c:tx>
            <c:strRef>
              <c:f>'Looked After Children'!$B$170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Children'!$D$170:$H$170</c:f>
              <c:numCache>
                <c:formatCode>0%</c:formatCode>
                <c:ptCount val="5"/>
                <c:pt idx="0">
                  <c:v>#N/A</c:v>
                </c:pt>
                <c:pt idx="1">
                  <c:v>0.66608996539792387</c:v>
                </c:pt>
                <c:pt idx="2">
                  <c:v>0.68305084745762712</c:v>
                </c:pt>
                <c:pt idx="3">
                  <c:v>0.68181818181818177</c:v>
                </c:pt>
                <c:pt idx="4">
                  <c:v>0.67692307692307696</c:v>
                </c:pt>
              </c:numCache>
            </c:numRef>
          </c:val>
          <c:extLst>
            <c:ext xmlns:c16="http://schemas.microsoft.com/office/drawing/2014/chart" uri="{C3380CC4-5D6E-409C-BE32-E72D297353CC}">
              <c16:uniqueId val="{00000001-CE51-4B1D-B394-2CCAA875767E}"/>
            </c:ext>
          </c:extLst>
        </c:ser>
        <c:ser>
          <c:idx val="0"/>
          <c:order val="2"/>
          <c:tx>
            <c:strRef>
              <c:f>'Looked After Children'!$B$171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Children'!$D$171:$H$171</c:f>
              <c:numCache>
                <c:formatCode>0%</c:formatCode>
                <c:ptCount val="5"/>
                <c:pt idx="0">
                  <c:v>#N/A</c:v>
                </c:pt>
                <c:pt idx="1">
                  <c:v>0.68485617597292725</c:v>
                </c:pt>
                <c:pt idx="2">
                  <c:v>0.70191507077435467</c:v>
                </c:pt>
                <c:pt idx="3">
                  <c:v>0.69813614262560775</c:v>
                </c:pt>
                <c:pt idx="4">
                  <c:v>0.68660194174757283</c:v>
                </c:pt>
              </c:numCache>
            </c:numRef>
          </c:val>
          <c:extLst>
            <c:ext xmlns:c16="http://schemas.microsoft.com/office/drawing/2014/chart" uri="{C3380CC4-5D6E-409C-BE32-E72D297353CC}">
              <c16:uniqueId val="{00000002-CE51-4B1D-B394-2CCAA875767E}"/>
            </c:ext>
          </c:extLst>
        </c:ser>
        <c:dLbls>
          <c:showLegendKey val="0"/>
          <c:showVal val="0"/>
          <c:showCatName val="0"/>
          <c:showSerName val="0"/>
          <c:showPercent val="0"/>
          <c:showBubbleSize val="0"/>
        </c:dLbls>
        <c:gapWidth val="100"/>
        <c:axId val="290319360"/>
        <c:axId val="290333440"/>
      </c:barChart>
      <c:catAx>
        <c:axId val="290319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333440"/>
        <c:crosses val="autoZero"/>
        <c:auto val="1"/>
        <c:lblAlgn val="ctr"/>
        <c:lblOffset val="100"/>
        <c:noMultiLvlLbl val="0"/>
      </c:catAx>
      <c:valAx>
        <c:axId val="29033344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319360"/>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3194259808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for at least 2.5 Years in same placement for at least 2 Years</a:t>
            </a:r>
          </a:p>
        </c:rich>
      </c:tx>
      <c:layout>
        <c:manualLayout>
          <c:xMode val="edge"/>
          <c:yMode val="edge"/>
          <c:x val="0.11860373868745022"/>
          <c:y val="6.1214799217111891E-3"/>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E09-4F66-82C8-CB153B10E057}"/>
              </c:ext>
            </c:extLst>
          </c:dPt>
          <c:cat>
            <c:strRef>
              <c:f>'Looked After Children'!$Z$2:$AD$3</c:f>
              <c:strCache>
                <c:ptCount val="5"/>
                <c:pt idx="0">
                  <c:v>2014-15</c:v>
                </c:pt>
                <c:pt idx="1">
                  <c:v>2015-16</c:v>
                </c:pt>
                <c:pt idx="2">
                  <c:v>2016-17</c:v>
                </c:pt>
                <c:pt idx="3">
                  <c:v>2017-18</c:v>
                </c:pt>
                <c:pt idx="4">
                  <c:v>2018-19</c:v>
                </c:pt>
              </c:strCache>
            </c:strRef>
          </c:cat>
          <c:val>
            <c:numRef>
              <c:f>'Looked After Children'!$AX$41:$BB$41</c:f>
              <c:numCache>
                <c:formatCode>0.0%</c:formatCode>
                <c:ptCount val="5"/>
                <c:pt idx="0">
                  <c:v>#N/A</c:v>
                </c:pt>
                <c:pt idx="1">
                  <c:v>0.6</c:v>
                </c:pt>
                <c:pt idx="2">
                  <c:v>0.5714285714285714</c:v>
                </c:pt>
                <c:pt idx="3">
                  <c:v>0.56000000000000005</c:v>
                </c:pt>
                <c:pt idx="4">
                  <c:v>0.64516129032258063</c:v>
                </c:pt>
              </c:numCache>
            </c:numRef>
          </c:val>
          <c:smooth val="0"/>
          <c:extLst>
            <c:ext xmlns:c16="http://schemas.microsoft.com/office/drawing/2014/chart" uri="{C3380CC4-5D6E-409C-BE32-E72D297353CC}">
              <c16:uniqueId val="{00000001-CE09-4F66-82C8-CB153B10E057}"/>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Children'!$AX$42:$BB$42</c:f>
              <c:numCache>
                <c:formatCode>0.0%</c:formatCode>
                <c:ptCount val="5"/>
                <c:pt idx="0">
                  <c:v>#N/A</c:v>
                </c:pt>
                <c:pt idx="1">
                  <c:v>0.6428571428571429</c:v>
                </c:pt>
                <c:pt idx="2">
                  <c:v>0.73076923076923073</c:v>
                </c:pt>
                <c:pt idx="3">
                  <c:v>0.68852459016393441</c:v>
                </c:pt>
                <c:pt idx="4">
                  <c:v>0.63716814159292035</c:v>
                </c:pt>
              </c:numCache>
            </c:numRef>
          </c:val>
          <c:smooth val="0"/>
          <c:extLst>
            <c:ext xmlns:c16="http://schemas.microsoft.com/office/drawing/2014/chart" uri="{C3380CC4-5D6E-409C-BE32-E72D297353CC}">
              <c16:uniqueId val="{00000002-CE09-4F66-82C8-CB153B10E057}"/>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Children'!$AX$43:$BB$43</c:f>
              <c:numCache>
                <c:formatCode>0.0%</c:formatCode>
                <c:ptCount val="5"/>
                <c:pt idx="0">
                  <c:v>#N/A</c:v>
                </c:pt>
                <c:pt idx="1">
                  <c:v>0.6333333333333333</c:v>
                </c:pt>
                <c:pt idx="2">
                  <c:v>0.7142857142857143</c:v>
                </c:pt>
                <c:pt idx="3">
                  <c:v>0.7021276595744681</c:v>
                </c:pt>
                <c:pt idx="4">
                  <c:v>0.72674418604651159</c:v>
                </c:pt>
              </c:numCache>
            </c:numRef>
          </c:val>
          <c:smooth val="0"/>
          <c:extLst>
            <c:ext xmlns:c16="http://schemas.microsoft.com/office/drawing/2014/chart" uri="{C3380CC4-5D6E-409C-BE32-E72D297353CC}">
              <c16:uniqueId val="{00000003-CE09-4F66-82C8-CB153B10E057}"/>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Children'!$AX$44:$BB$44</c:f>
              <c:numCache>
                <c:formatCode>0.0%</c:formatCode>
                <c:ptCount val="5"/>
                <c:pt idx="0">
                  <c:v>#N/A</c:v>
                </c:pt>
                <c:pt idx="1">
                  <c:v>0.64583333333333337</c:v>
                </c:pt>
                <c:pt idx="2">
                  <c:v>0.70454545454545459</c:v>
                </c:pt>
                <c:pt idx="3">
                  <c:v>0.70531400966183577</c:v>
                </c:pt>
                <c:pt idx="4">
                  <c:v>0.69683257918552033</c:v>
                </c:pt>
              </c:numCache>
            </c:numRef>
          </c:val>
          <c:smooth val="0"/>
          <c:extLst>
            <c:ext xmlns:c16="http://schemas.microsoft.com/office/drawing/2014/chart" uri="{C3380CC4-5D6E-409C-BE32-E72D297353CC}">
              <c16:uniqueId val="{00000004-CE09-4F66-82C8-CB153B10E057}"/>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Children'!$AX$45:$BB$45</c:f>
              <c:numCache>
                <c:formatCode>0.0%</c:formatCode>
                <c:ptCount val="5"/>
                <c:pt idx="0">
                  <c:v>#N/A</c:v>
                </c:pt>
                <c:pt idx="1">
                  <c:v>0.66666666666666663</c:v>
                </c:pt>
                <c:pt idx="2">
                  <c:v>0.68421052631578949</c:v>
                </c:pt>
                <c:pt idx="3">
                  <c:v>0.72386587771203159</c:v>
                </c:pt>
                <c:pt idx="4">
                  <c:v>0.67354596622889307</c:v>
                </c:pt>
              </c:numCache>
            </c:numRef>
          </c:val>
          <c:smooth val="0"/>
          <c:extLst>
            <c:ext xmlns:c16="http://schemas.microsoft.com/office/drawing/2014/chart" uri="{C3380CC4-5D6E-409C-BE32-E72D297353CC}">
              <c16:uniqueId val="{00000005-CE09-4F66-82C8-CB153B10E057}"/>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Children'!$AX$46:$BB$46</c:f>
              <c:numCache>
                <c:formatCode>0.0%</c:formatCode>
                <c:ptCount val="5"/>
                <c:pt idx="0">
                  <c:v>#N/A</c:v>
                </c:pt>
                <c:pt idx="1">
                  <c:v>0.66666666666666663</c:v>
                </c:pt>
                <c:pt idx="2">
                  <c:v>0.63636363636363635</c:v>
                </c:pt>
                <c:pt idx="3">
                  <c:v>0.7384615384615385</c:v>
                </c:pt>
                <c:pt idx="4">
                  <c:v>0.62105263157894741</c:v>
                </c:pt>
              </c:numCache>
            </c:numRef>
          </c:val>
          <c:smooth val="0"/>
          <c:extLst>
            <c:ext xmlns:c16="http://schemas.microsoft.com/office/drawing/2014/chart" uri="{C3380CC4-5D6E-409C-BE32-E72D297353CC}">
              <c16:uniqueId val="{00000006-CE09-4F66-82C8-CB153B10E057}"/>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Children'!$AX$47:$BB$47</c:f>
              <c:numCache>
                <c:formatCode>0.0%</c:formatCode>
                <c:ptCount val="5"/>
                <c:pt idx="0">
                  <c:v>#N/A</c:v>
                </c:pt>
                <c:pt idx="1">
                  <c:v>0.69026548672566368</c:v>
                </c:pt>
                <c:pt idx="2">
                  <c:v>0.69090909090909092</c:v>
                </c:pt>
                <c:pt idx="3">
                  <c:v>0.67844522968197885</c:v>
                </c:pt>
                <c:pt idx="4">
                  <c:v>0.70437956204379559</c:v>
                </c:pt>
              </c:numCache>
            </c:numRef>
          </c:val>
          <c:smooth val="0"/>
          <c:extLst>
            <c:ext xmlns:c16="http://schemas.microsoft.com/office/drawing/2014/chart" uri="{C3380CC4-5D6E-409C-BE32-E72D297353CC}">
              <c16:uniqueId val="{00000007-CE09-4F66-82C8-CB153B10E057}"/>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Children'!$AX$48:$BB$48</c:f>
              <c:numCache>
                <c:formatCode>0.0%</c:formatCode>
                <c:ptCount val="5"/>
                <c:pt idx="0">
                  <c:v>#N/A</c:v>
                </c:pt>
                <c:pt idx="1">
                  <c:v>0.73076923076923073</c:v>
                </c:pt>
                <c:pt idx="2">
                  <c:v>0.76666666666666672</c:v>
                </c:pt>
                <c:pt idx="3">
                  <c:v>0.6706586826347305</c:v>
                </c:pt>
                <c:pt idx="4">
                  <c:v>0.71176470588235297</c:v>
                </c:pt>
              </c:numCache>
            </c:numRef>
          </c:val>
          <c:smooth val="0"/>
          <c:extLst>
            <c:ext xmlns:c16="http://schemas.microsoft.com/office/drawing/2014/chart" uri="{C3380CC4-5D6E-409C-BE32-E72D297353CC}">
              <c16:uniqueId val="{00000008-CE09-4F66-82C8-CB153B10E057}"/>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Children'!$AX$49:$BB$49</c:f>
              <c:numCache>
                <c:formatCode>0.0%</c:formatCode>
                <c:ptCount val="5"/>
                <c:pt idx="0">
                  <c:v>#N/A</c:v>
                </c:pt>
                <c:pt idx="1">
                  <c:v>0.54545454545454541</c:v>
                </c:pt>
                <c:pt idx="2">
                  <c:v>0.625</c:v>
                </c:pt>
                <c:pt idx="3">
                  <c:v>0.5703125</c:v>
                </c:pt>
                <c:pt idx="4">
                  <c:v>0.66</c:v>
                </c:pt>
              </c:numCache>
            </c:numRef>
          </c:val>
          <c:smooth val="0"/>
          <c:extLst>
            <c:ext xmlns:c16="http://schemas.microsoft.com/office/drawing/2014/chart" uri="{C3380CC4-5D6E-409C-BE32-E72D297353CC}">
              <c16:uniqueId val="{00000009-CE09-4F66-82C8-CB153B10E057}"/>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Children'!$AX$50:$BB$50</c:f>
              <c:numCache>
                <c:formatCode>0.0%</c:formatCode>
                <c:ptCount val="5"/>
                <c:pt idx="0">
                  <c:v>#N/A</c:v>
                </c:pt>
                <c:pt idx="1">
                  <c:v>0.66666666666666663</c:v>
                </c:pt>
                <c:pt idx="2">
                  <c:v>0.69230769230769229</c:v>
                </c:pt>
                <c:pt idx="3">
                  <c:v>0.65432098765432101</c:v>
                </c:pt>
                <c:pt idx="4">
                  <c:v>0.70370370370370372</c:v>
                </c:pt>
              </c:numCache>
            </c:numRef>
          </c:val>
          <c:smooth val="0"/>
          <c:extLst>
            <c:ext xmlns:c16="http://schemas.microsoft.com/office/drawing/2014/chart" uri="{C3380CC4-5D6E-409C-BE32-E72D297353CC}">
              <c16:uniqueId val="{0000000A-CE09-4F66-82C8-CB153B10E057}"/>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Children'!$AX$51:$BB$51</c:f>
              <c:numCache>
                <c:formatCode>0.0%</c:formatCode>
                <c:ptCount val="5"/>
                <c:pt idx="0">
                  <c:v>#N/A</c:v>
                </c:pt>
                <c:pt idx="1">
                  <c:v>0.54545454545454541</c:v>
                </c:pt>
                <c:pt idx="2">
                  <c:v>0.6</c:v>
                </c:pt>
                <c:pt idx="3">
                  <c:v>0.62184873949579833</c:v>
                </c:pt>
                <c:pt idx="4">
                  <c:v>0.66400000000000003</c:v>
                </c:pt>
              </c:numCache>
            </c:numRef>
          </c:val>
          <c:smooth val="0"/>
          <c:extLst>
            <c:ext xmlns:c16="http://schemas.microsoft.com/office/drawing/2014/chart" uri="{C3380CC4-5D6E-409C-BE32-E72D297353CC}">
              <c16:uniqueId val="{0000000B-CE09-4F66-82C8-CB153B10E057}"/>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Children'!$AX$52:$BB$52</c:f>
              <c:numCache>
                <c:formatCode>0.0%</c:formatCode>
                <c:ptCount val="5"/>
                <c:pt idx="0">
                  <c:v>#N/A</c:v>
                </c:pt>
                <c:pt idx="1">
                  <c:v>0.61538461538461542</c:v>
                </c:pt>
                <c:pt idx="2">
                  <c:v>0.75</c:v>
                </c:pt>
                <c:pt idx="3">
                  <c:v>0.63095238095238093</c:v>
                </c:pt>
                <c:pt idx="4">
                  <c:v>0.65979381443298968</c:v>
                </c:pt>
              </c:numCache>
            </c:numRef>
          </c:val>
          <c:smooth val="0"/>
          <c:extLst>
            <c:ext xmlns:c16="http://schemas.microsoft.com/office/drawing/2014/chart" uri="{C3380CC4-5D6E-409C-BE32-E72D297353CC}">
              <c16:uniqueId val="{0000000C-CE09-4F66-82C8-CB153B10E057}"/>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Children'!$AX$53:$BB$53</c:f>
              <c:numCache>
                <c:formatCode>0.0%</c:formatCode>
                <c:ptCount val="5"/>
                <c:pt idx="0">
                  <c:v>#N/A</c:v>
                </c:pt>
                <c:pt idx="1">
                  <c:v>0.54545454545454541</c:v>
                </c:pt>
                <c:pt idx="2">
                  <c:v>0.6</c:v>
                </c:pt>
                <c:pt idx="3">
                  <c:v>0.71739130434782605</c:v>
                </c:pt>
                <c:pt idx="4">
                  <c:v>0.64814814814814814</c:v>
                </c:pt>
              </c:numCache>
            </c:numRef>
          </c:val>
          <c:smooth val="0"/>
          <c:extLst>
            <c:ext xmlns:c16="http://schemas.microsoft.com/office/drawing/2014/chart" uri="{C3380CC4-5D6E-409C-BE32-E72D297353CC}">
              <c16:uniqueId val="{0000000D-CE09-4F66-82C8-CB153B10E057}"/>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Children'!$AX$54:$BB$54</c:f>
              <c:numCache>
                <c:formatCode>0.0%</c:formatCode>
                <c:ptCount val="5"/>
                <c:pt idx="0">
                  <c:v>#N/A</c:v>
                </c:pt>
                <c:pt idx="1">
                  <c:v>0.56666666666666665</c:v>
                </c:pt>
                <c:pt idx="2">
                  <c:v>0.6</c:v>
                </c:pt>
                <c:pt idx="3">
                  <c:v>0.61963190184049077</c:v>
                </c:pt>
                <c:pt idx="4">
                  <c:v>0.625</c:v>
                </c:pt>
              </c:numCache>
            </c:numRef>
          </c:val>
          <c:smooth val="0"/>
          <c:extLst>
            <c:ext xmlns:c16="http://schemas.microsoft.com/office/drawing/2014/chart" uri="{C3380CC4-5D6E-409C-BE32-E72D297353CC}">
              <c16:uniqueId val="{0000000E-CE09-4F66-82C8-CB153B10E057}"/>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Children'!$AX$55:$BB$55</c:f>
              <c:numCache>
                <c:formatCode>0.0%</c:formatCode>
                <c:ptCount val="5"/>
                <c:pt idx="0">
                  <c:v>#N/A</c:v>
                </c:pt>
                <c:pt idx="1">
                  <c:v>0.69230769230769229</c:v>
                </c:pt>
                <c:pt idx="2">
                  <c:v>0.65217391304347827</c:v>
                </c:pt>
                <c:pt idx="3">
                  <c:v>0.70940170940170943</c:v>
                </c:pt>
                <c:pt idx="4">
                  <c:v>0.64680851063829792</c:v>
                </c:pt>
              </c:numCache>
            </c:numRef>
          </c:val>
          <c:smooth val="0"/>
          <c:extLst>
            <c:ext xmlns:c16="http://schemas.microsoft.com/office/drawing/2014/chart" uri="{C3380CC4-5D6E-409C-BE32-E72D297353CC}">
              <c16:uniqueId val="{0000000F-CE09-4F66-82C8-CB153B10E057}"/>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Children'!$AX$56:$BB$56</c:f>
              <c:numCache>
                <c:formatCode>0.0%</c:formatCode>
                <c:ptCount val="5"/>
                <c:pt idx="0">
                  <c:v>#N/A</c:v>
                </c:pt>
                <c:pt idx="1">
                  <c:v>0.7021276595744681</c:v>
                </c:pt>
                <c:pt idx="2">
                  <c:v>0.63636363636363635</c:v>
                </c:pt>
                <c:pt idx="3">
                  <c:v>0.67213114754098358</c:v>
                </c:pt>
                <c:pt idx="4">
                  <c:v>0.64800000000000002</c:v>
                </c:pt>
              </c:numCache>
            </c:numRef>
          </c:val>
          <c:smooth val="0"/>
          <c:extLst>
            <c:ext xmlns:c16="http://schemas.microsoft.com/office/drawing/2014/chart" uri="{C3380CC4-5D6E-409C-BE32-E72D297353CC}">
              <c16:uniqueId val="{00000010-CE09-4F66-82C8-CB153B10E057}"/>
            </c:ext>
          </c:extLst>
        </c:ser>
        <c:ser>
          <c:idx val="7"/>
          <c:order val="16"/>
          <c:tx>
            <c:strRef>
              <c:f>'Looked After Children'!$AL$57</c:f>
              <c:strCache>
                <c:ptCount val="1"/>
                <c:pt idx="0">
                  <c:v>Swindon</c:v>
                </c:pt>
              </c:strCache>
            </c:strRef>
          </c:tx>
          <c:spPr>
            <a:ln w="15875"/>
          </c:spPr>
          <c:marker>
            <c:symbol val="triangle"/>
            <c:size val="5"/>
            <c:spPr>
              <a:solidFill>
                <a:schemeClr val="accent2">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Children'!$AX$57:$BB$57</c:f>
              <c:numCache>
                <c:formatCode>0.0%</c:formatCode>
                <c:ptCount val="5"/>
                <c:pt idx="0">
                  <c:v>#N/A</c:v>
                </c:pt>
                <c:pt idx="1">
                  <c:v>0.61538461538461542</c:v>
                </c:pt>
                <c:pt idx="2">
                  <c:v>0.75</c:v>
                </c:pt>
                <c:pt idx="3">
                  <c:v>0.61194029850746268</c:v>
                </c:pt>
                <c:pt idx="4">
                  <c:v>0.58490566037735847</c:v>
                </c:pt>
              </c:numCache>
            </c:numRef>
          </c:val>
          <c:smooth val="0"/>
          <c:extLst>
            <c:ext xmlns:c16="http://schemas.microsoft.com/office/drawing/2014/chart" uri="{C3380CC4-5D6E-409C-BE32-E72D297353CC}">
              <c16:uniqueId val="{00000011-CE09-4F66-82C8-CB153B10E057}"/>
            </c:ext>
          </c:extLst>
        </c:ser>
        <c:ser>
          <c:idx val="8"/>
          <c:order val="17"/>
          <c:tx>
            <c:strRef>
              <c:f>'Looked After Children'!$AL$58</c:f>
              <c:strCache>
                <c:ptCount val="1"/>
                <c:pt idx="0">
                  <c:v>Torbay</c:v>
                </c:pt>
              </c:strCache>
            </c:strRef>
          </c:tx>
          <c:spPr>
            <a:ln w="15875"/>
          </c:spPr>
          <c:marker>
            <c:symbol val="circle"/>
            <c:size val="5"/>
            <c:spPr>
              <a:solidFill>
                <a:schemeClr val="accent3">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Children'!$AX$58:$BB$58</c:f>
              <c:numCache>
                <c:formatCode>0.0%</c:formatCode>
                <c:ptCount val="5"/>
                <c:pt idx="0">
                  <c:v>#N/A</c:v>
                </c:pt>
                <c:pt idx="1">
                  <c:v>0.45833333333333331</c:v>
                </c:pt>
                <c:pt idx="2">
                  <c:v>0.56000000000000005</c:v>
                </c:pt>
                <c:pt idx="3">
                  <c:v>0.56818181818181823</c:v>
                </c:pt>
                <c:pt idx="4">
                  <c:v>0.64341085271317833</c:v>
                </c:pt>
              </c:numCache>
            </c:numRef>
          </c:val>
          <c:smooth val="0"/>
          <c:extLst>
            <c:ext xmlns:c16="http://schemas.microsoft.com/office/drawing/2014/chart" uri="{C3380CC4-5D6E-409C-BE32-E72D297353CC}">
              <c16:uniqueId val="{00000012-CE09-4F66-82C8-CB153B10E057}"/>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Children'!$AX$59:$BB$59</c:f>
              <c:numCache>
                <c:formatCode>0.0%</c:formatCode>
                <c:ptCount val="5"/>
                <c:pt idx="0">
                  <c:v>#N/A</c:v>
                </c:pt>
                <c:pt idx="1">
                  <c:v>0.77777777777777779</c:v>
                </c:pt>
                <c:pt idx="2">
                  <c:v>0.63636363636363635</c:v>
                </c:pt>
                <c:pt idx="3">
                  <c:v>0.63636363636363635</c:v>
                </c:pt>
                <c:pt idx="4">
                  <c:v>0.54</c:v>
                </c:pt>
              </c:numCache>
            </c:numRef>
          </c:val>
          <c:smooth val="0"/>
          <c:extLst>
            <c:ext xmlns:c16="http://schemas.microsoft.com/office/drawing/2014/chart" uri="{C3380CC4-5D6E-409C-BE32-E72D297353CC}">
              <c16:uniqueId val="{00000013-CE09-4F66-82C8-CB153B10E057}"/>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Children'!$AX$60:$BB$60</c:f>
              <c:numCache>
                <c:formatCode>0.0%</c:formatCode>
                <c:ptCount val="5"/>
                <c:pt idx="0">
                  <c:v>#N/A</c:v>
                </c:pt>
                <c:pt idx="1">
                  <c:v>0.73529411764705888</c:v>
                </c:pt>
                <c:pt idx="2">
                  <c:v>0.76666666666666672</c:v>
                </c:pt>
                <c:pt idx="3">
                  <c:v>0.69871794871794868</c:v>
                </c:pt>
                <c:pt idx="4">
                  <c:v>0.66298342541436461</c:v>
                </c:pt>
              </c:numCache>
            </c:numRef>
          </c:val>
          <c:smooth val="0"/>
          <c:extLst>
            <c:ext xmlns:c16="http://schemas.microsoft.com/office/drawing/2014/chart" uri="{C3380CC4-5D6E-409C-BE32-E72D297353CC}">
              <c16:uniqueId val="{00000014-CE09-4F66-82C8-CB153B10E057}"/>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Children'!$AX$61:$BB$61</c:f>
              <c:numCache>
                <c:formatCode>0.0%</c:formatCode>
                <c:ptCount val="5"/>
                <c:pt idx="0">
                  <c:v>#N/A</c:v>
                </c:pt>
                <c:pt idx="1">
                  <c:v>0.7142857142857143</c:v>
                </c:pt>
                <c:pt idx="2">
                  <c:v>0.7142857142857143</c:v>
                </c:pt>
                <c:pt idx="3">
                  <c:v>0.70967741935483875</c:v>
                </c:pt>
                <c:pt idx="4">
                  <c:v>0.76</c:v>
                </c:pt>
              </c:numCache>
            </c:numRef>
          </c:val>
          <c:smooth val="0"/>
          <c:extLst>
            <c:ext xmlns:c16="http://schemas.microsoft.com/office/drawing/2014/chart" uri="{C3380CC4-5D6E-409C-BE32-E72D297353CC}">
              <c16:uniqueId val="{00000015-CE09-4F66-82C8-CB153B10E057}"/>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Children'!$AX$62:$BB$62</c:f>
              <c:numCache>
                <c:formatCode>0.0%</c:formatCode>
                <c:ptCount val="5"/>
                <c:pt idx="0">
                  <c:v>#N/A</c:v>
                </c:pt>
                <c:pt idx="1">
                  <c:v>0.5</c:v>
                </c:pt>
                <c:pt idx="2">
                  <c:v>0.5</c:v>
                </c:pt>
                <c:pt idx="3">
                  <c:v>0.75</c:v>
                </c:pt>
                <c:pt idx="4">
                  <c:v>0.8</c:v>
                </c:pt>
              </c:numCache>
            </c:numRef>
          </c:val>
          <c:smooth val="0"/>
          <c:extLst>
            <c:ext xmlns:c16="http://schemas.microsoft.com/office/drawing/2014/chart" uri="{C3380CC4-5D6E-409C-BE32-E72D297353CC}">
              <c16:uniqueId val="{00000016-CE09-4F66-82C8-CB153B10E057}"/>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Children'!$AX$63:$BB$63</c:f>
              <c:numCache>
                <c:formatCode>0.0%</c:formatCode>
                <c:ptCount val="5"/>
                <c:pt idx="0">
                  <c:v>#N/A</c:v>
                </c:pt>
                <c:pt idx="1">
                  <c:v>0.66608996539792387</c:v>
                </c:pt>
                <c:pt idx="2">
                  <c:v>0.68305084745762712</c:v>
                </c:pt>
                <c:pt idx="3">
                  <c:v>0.68181818181818177</c:v>
                </c:pt>
                <c:pt idx="4">
                  <c:v>0.67692307692307696</c:v>
                </c:pt>
              </c:numCache>
            </c:numRef>
          </c:val>
          <c:smooth val="0"/>
          <c:extLst>
            <c:ext xmlns:c16="http://schemas.microsoft.com/office/drawing/2014/chart" uri="{C3380CC4-5D6E-409C-BE32-E72D297353CC}">
              <c16:uniqueId val="{00000017-CE09-4F66-82C8-CB153B10E057}"/>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Children'!$AX$64:$BB$64</c:f>
              <c:numCache>
                <c:formatCode>0.0%</c:formatCode>
                <c:ptCount val="5"/>
                <c:pt idx="0">
                  <c:v>#N/A</c:v>
                </c:pt>
                <c:pt idx="1">
                  <c:v>0.68485617597292725</c:v>
                </c:pt>
                <c:pt idx="2">
                  <c:v>0.70191507077435467</c:v>
                </c:pt>
                <c:pt idx="3">
                  <c:v>0.69813614262560775</c:v>
                </c:pt>
                <c:pt idx="4">
                  <c:v>0.68660194174757283</c:v>
                </c:pt>
              </c:numCache>
            </c:numRef>
          </c:val>
          <c:smooth val="0"/>
          <c:extLst>
            <c:ext xmlns:c16="http://schemas.microsoft.com/office/drawing/2014/chart" uri="{C3380CC4-5D6E-409C-BE32-E72D297353CC}">
              <c16:uniqueId val="{00000018-CE09-4F66-82C8-CB153B10E057}"/>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E09-4F66-82C8-CB153B10E057}"/>
            </c:ext>
          </c:extLst>
        </c:ser>
        <c:dLbls>
          <c:showLegendKey val="0"/>
          <c:showVal val="0"/>
          <c:showCatName val="0"/>
          <c:showSerName val="0"/>
          <c:showPercent val="0"/>
          <c:showBubbleSize val="0"/>
        </c:dLbls>
        <c:marker val="1"/>
        <c:smooth val="0"/>
        <c:axId val="290467200"/>
        <c:axId val="290469376"/>
      </c:lineChart>
      <c:catAx>
        <c:axId val="290467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469376"/>
        <c:crosses val="autoZero"/>
        <c:auto val="1"/>
        <c:lblAlgn val="ctr"/>
        <c:lblOffset val="100"/>
        <c:tickLblSkip val="1"/>
        <c:tickMarkSkip val="1"/>
        <c:noMultiLvlLbl val="0"/>
      </c:catAx>
      <c:valAx>
        <c:axId val="29046937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46720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Distance from Expected Rate of </a:t>
            </a:r>
            <a:r>
              <a:rPr lang="en-GB" sz="1000" b="1" i="0" u="none" strike="noStrike" baseline="0">
                <a:effectLst/>
              </a:rPr>
              <a:t>Looked After Children</a:t>
            </a:r>
            <a:endParaRPr lang="en-GB"/>
          </a:p>
        </c:rich>
      </c:tx>
      <c:layout>
        <c:manualLayout>
          <c:xMode val="edge"/>
          <c:yMode val="edge"/>
          <c:x val="9.5785619809663491E-3"/>
          <c:y val="1.1152426478663088E-2"/>
        </c:manualLayout>
      </c:layout>
      <c:overlay val="0"/>
      <c:spPr>
        <a:noFill/>
        <a:ln w="25400">
          <a:noFill/>
        </a:ln>
      </c:spPr>
    </c:title>
    <c:autoTitleDeleted val="0"/>
    <c:plotArea>
      <c:layout>
        <c:manualLayout>
          <c:layoutTarget val="inner"/>
          <c:xMode val="edge"/>
          <c:yMode val="edge"/>
          <c:x val="0.26753493047411625"/>
          <c:y val="0.13754659323684476"/>
          <c:w val="0.6965077344055397"/>
          <c:h val="0.80483344421018621"/>
        </c:manualLayout>
      </c:layout>
      <c:barChart>
        <c:barDir val="bar"/>
        <c:grouping val="clustered"/>
        <c:varyColors val="0"/>
        <c:ser>
          <c:idx val="2"/>
          <c:order val="0"/>
          <c:tx>
            <c:strRef>
              <c:f>'Looked After Children'!$S$7:$U$7</c:f>
              <c:strCache>
                <c:ptCount val="1"/>
                <c:pt idx="0">
                  <c:v>Distance from Expected 2019</c:v>
                </c:pt>
              </c:strCache>
            </c:strRef>
          </c:tx>
          <c:spPr>
            <a:solidFill>
              <a:srgbClr val="FB994F"/>
            </a:solidFill>
            <a:ln w="25400">
              <a:noFill/>
            </a:ln>
          </c:spPr>
          <c:invertIfNegative val="0"/>
          <c:cat>
            <c:strRef>
              <c:f>'Looked After Children'!$Y$77:$Y$100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Children'!$U$10:$U$33</c:f>
              <c:numCache>
                <c:formatCode>0.0</c:formatCode>
                <c:ptCount val="24"/>
                <c:pt idx="0">
                  <c:v>15.435782324907379</c:v>
                </c:pt>
                <c:pt idx="1">
                  <c:v>13.634025579979145</c:v>
                </c:pt>
                <c:pt idx="2">
                  <c:v>2.4522901103918429</c:v>
                </c:pt>
                <c:pt idx="3">
                  <c:v>-9.4714179829554297</c:v>
                </c:pt>
                <c:pt idx="4">
                  <c:v>13.952311418287131</c:v>
                </c:pt>
                <c:pt idx="5">
                  <c:v>25.007299462010991</c:v>
                </c:pt>
                <c:pt idx="6">
                  <c:v>-18.050281947816856</c:v>
                </c:pt>
                <c:pt idx="7">
                  <c:v>-9.9280262993634807</c:v>
                </c:pt>
                <c:pt idx="8">
                  <c:v>-6.1881742780477325</c:v>
                </c:pt>
                <c:pt idx="9">
                  <c:v>9.1591046639489448</c:v>
                </c:pt>
                <c:pt idx="10">
                  <c:v>30.089659036111769</c:v>
                </c:pt>
                <c:pt idx="11">
                  <c:v>8.0762295262975385</c:v>
                </c:pt>
                <c:pt idx="12">
                  <c:v>-11.027421350515191</c:v>
                </c:pt>
                <c:pt idx="13">
                  <c:v>-8.7809307296252044</c:v>
                </c:pt>
                <c:pt idx="14">
                  <c:v>13.258995074191219</c:v>
                </c:pt>
                <c:pt idx="15">
                  <c:v>-1.1207060384994492</c:v>
                </c:pt>
                <c:pt idx="16">
                  <c:v>7.7049452465975605</c:v>
                </c:pt>
                <c:pt idx="17">
                  <c:v>56.141570648697936</c:v>
                </c:pt>
                <c:pt idx="18">
                  <c:v>8.6274389588701368</c:v>
                </c:pt>
                <c:pt idx="19">
                  <c:v>-7.525058390215392</c:v>
                </c:pt>
                <c:pt idx="20">
                  <c:v>3.2253683560067543</c:v>
                </c:pt>
                <c:pt idx="21">
                  <c:v>-0.87376844985703528</c:v>
                </c:pt>
                <c:pt idx="22">
                  <c:v>-0.15450468020009822</c:v>
                </c:pt>
                <c:pt idx="23">
                  <c:v>-3.9721302605829862</c:v>
                </c:pt>
              </c:numCache>
            </c:numRef>
          </c:val>
          <c:extLst>
            <c:ext xmlns:c16="http://schemas.microsoft.com/office/drawing/2014/chart" uri="{C3380CC4-5D6E-409C-BE32-E72D297353CC}">
              <c16:uniqueId val="{00000000-3277-49D6-B662-81B890681F6B}"/>
            </c:ext>
          </c:extLst>
        </c:ser>
        <c:ser>
          <c:idx val="0"/>
          <c:order val="1"/>
          <c:tx>
            <c:strRef>
              <c:f>'Looked After Children'!$AA$4</c:f>
              <c:strCache>
                <c:ptCount val="1"/>
                <c:pt idx="0">
                  <c:v>Selected LA- (none)</c:v>
                </c:pt>
              </c:strCache>
            </c:strRef>
          </c:tx>
          <c:spPr>
            <a:solidFill>
              <a:srgbClr val="66FF99"/>
            </a:solidFill>
            <a:ln w="12700">
              <a:solidFill>
                <a:srgbClr val="000000"/>
              </a:solidFill>
              <a:prstDash val="solid"/>
            </a:ln>
          </c:spPr>
          <c:invertIfNegative val="0"/>
          <c:cat>
            <c:strRef>
              <c:f>'Looked After Children'!$Y$77:$Y$100</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Children'!$AA$77:$AA$100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3277-49D6-B662-81B890681F6B}"/>
            </c:ext>
          </c:extLst>
        </c:ser>
        <c:dLbls>
          <c:showLegendKey val="0"/>
          <c:showVal val="0"/>
          <c:showCatName val="0"/>
          <c:showSerName val="0"/>
          <c:showPercent val="0"/>
          <c:showBubbleSize val="0"/>
        </c:dLbls>
        <c:gapWidth val="40"/>
        <c:overlap val="100"/>
        <c:axId val="290483200"/>
        <c:axId val="290505472"/>
      </c:barChart>
      <c:catAx>
        <c:axId val="290483200"/>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505472"/>
        <c:crossesAt val="0"/>
        <c:auto val="1"/>
        <c:lblAlgn val="ctr"/>
        <c:lblOffset val="100"/>
        <c:noMultiLvlLbl val="0"/>
      </c:catAx>
      <c:valAx>
        <c:axId val="290505472"/>
        <c:scaling>
          <c:orientation val="minMax"/>
        </c:scaling>
        <c:delete val="0"/>
        <c:axPos val="b"/>
        <c:majorGridlines>
          <c:spPr>
            <a:ln w="3175">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483200"/>
        <c:crosses val="max"/>
        <c:crossBetween val="between"/>
      </c:valAx>
      <c:spPr>
        <a:noFill/>
        <a:ln w="12700">
          <a:solidFill>
            <a:srgbClr val="000000"/>
          </a:solidFill>
          <a:prstDash val="solid"/>
        </a:ln>
      </c:spPr>
    </c:plotArea>
    <c:legend>
      <c:legendPos val="t"/>
      <c:layout>
        <c:manualLayout>
          <c:xMode val="edge"/>
          <c:yMode val="edge"/>
          <c:x val="0.25749153150727955"/>
          <c:y val="7.2490772111310081E-2"/>
          <c:w val="0.66710972025932658"/>
          <c:h val="4.089223042176466E-2"/>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0333" r="0.75000000000000333" t="1" header="0.5" footer="0.5"/>
    <c:pageSetup paperSize="9"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'Looked After Children'!$AL$5</c:f>
          <c:strCache>
            <c:ptCount val="1"/>
            <c:pt idx="0">
              <c:v>Average Annual Change in Number of Looked After Children</c:v>
            </c:pt>
          </c:strCache>
        </c:strRef>
      </c:tx>
      <c:layout>
        <c:manualLayout>
          <c:xMode val="edge"/>
          <c:yMode val="edge"/>
          <c:x val="1.6088706346115263E-2"/>
          <c:y val="1.2345679012345678E-2"/>
        </c:manualLayout>
      </c:layout>
      <c:overlay val="1"/>
      <c:txPr>
        <a:bodyPr/>
        <a:lstStyle/>
        <a:p>
          <a:pPr algn="l">
            <a:defRPr b="1"/>
          </a:pPr>
          <a:endParaRPr lang="en-US"/>
        </a:p>
      </c:txPr>
    </c:title>
    <c:autoTitleDeleted val="0"/>
    <c:plotArea>
      <c:layout>
        <c:manualLayout>
          <c:layoutTarget val="inner"/>
          <c:xMode val="edge"/>
          <c:yMode val="edge"/>
          <c:x val="0.26583809159161659"/>
          <c:y val="0.13343135348822138"/>
          <c:w val="0.68840427716091512"/>
          <c:h val="0.80894867308253138"/>
        </c:manualLayout>
      </c:layout>
      <c:barChart>
        <c:barDir val="bar"/>
        <c:grouping val="clustered"/>
        <c:varyColors val="0"/>
        <c:ser>
          <c:idx val="0"/>
          <c:order val="0"/>
          <c:tx>
            <c:strRef>
              <c:f>'Looked After Children'!$I$7</c:f>
              <c:strCache>
                <c:ptCount val="1"/>
                <c:pt idx="0">
                  <c:v>Average Annual Change </c:v>
                </c:pt>
              </c:strCache>
            </c:strRef>
          </c:tx>
          <c:spPr>
            <a:solidFill>
              <a:srgbClr val="FB994F"/>
            </a:solidFill>
            <a:ln w="25400">
              <a:noFill/>
            </a:ln>
          </c:spPr>
          <c:invertIfNegative val="0"/>
          <c:cat>
            <c:strRef>
              <c:f>'Looked After Children'!$B$10:$B$33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Children'!$I$10:$I$33</c:f>
              <c:numCache>
                <c:formatCode>0.0%</c:formatCode>
                <c:ptCount val="24"/>
                <c:pt idx="0">
                  <c:v>0.11514096758528114</c:v>
                </c:pt>
                <c:pt idx="1">
                  <c:v>-4.4726033606910853E-2</c:v>
                </c:pt>
                <c:pt idx="2">
                  <c:v>4.375710990337621E-2</c:v>
                </c:pt>
                <c:pt idx="3">
                  <c:v>2.4491841891944678E-2</c:v>
                </c:pt>
                <c:pt idx="4">
                  <c:v>5.8325537260968348E-2</c:v>
                </c:pt>
                <c:pt idx="5">
                  <c:v>4.8499339509007755E-2</c:v>
                </c:pt>
                <c:pt idx="6">
                  <c:v>-2.6726506067293772E-2</c:v>
                </c:pt>
                <c:pt idx="7">
                  <c:v>5.1486661449776875E-4</c:v>
                </c:pt>
                <c:pt idx="8">
                  <c:v>3.1869943273099111E-2</c:v>
                </c:pt>
                <c:pt idx="9">
                  <c:v>0.11294097018355526</c:v>
                </c:pt>
                <c:pt idx="10">
                  <c:v>0.11208836417009863</c:v>
                </c:pt>
                <c:pt idx="11">
                  <c:v>7.1854312489742139E-2</c:v>
                </c:pt>
                <c:pt idx="12">
                  <c:v>2.3227232232247687E-2</c:v>
                </c:pt>
                <c:pt idx="13">
                  <c:v>2.446592476275428E-2</c:v>
                </c:pt>
                <c:pt idx="14">
                  <c:v>-4.5676973338474237E-2</c:v>
                </c:pt>
                <c:pt idx="15">
                  <c:v>5.7926082888031541E-2</c:v>
                </c:pt>
                <c:pt idx="16">
                  <c:v>8.8963905264246551E-2</c:v>
                </c:pt>
                <c:pt idx="17">
                  <c:v>4.6579813913803503E-2</c:v>
                </c:pt>
                <c:pt idx="18">
                  <c:v>7.6085941353190439E-3</c:v>
                </c:pt>
                <c:pt idx="19">
                  <c:v>2.2908707738594991E-2</c:v>
                </c:pt>
                <c:pt idx="20">
                  <c:v>6.6059720233295163E-2</c:v>
                </c:pt>
                <c:pt idx="21">
                  <c:v>0.11424877707896576</c:v>
                </c:pt>
                <c:pt idx="22">
                  <c:v>1.833738238289578E-2</c:v>
                </c:pt>
                <c:pt idx="23">
                  <c:v>2.9918144410209839E-2</c:v>
                </c:pt>
              </c:numCache>
            </c:numRef>
          </c:val>
          <c:extLst>
            <c:ext xmlns:c16="http://schemas.microsoft.com/office/drawing/2014/chart" uri="{C3380CC4-5D6E-409C-BE32-E72D297353CC}">
              <c16:uniqueId val="{00000000-DD4A-4B98-A624-958893C06EC9}"/>
            </c:ext>
          </c:extLst>
        </c:ser>
        <c:ser>
          <c:idx val="1"/>
          <c:order val="1"/>
          <c:tx>
            <c:strRef>
              <c:f>'Looked After Children'!$AA$4</c:f>
              <c:strCache>
                <c:ptCount val="1"/>
                <c:pt idx="0">
                  <c:v>Selected LA- (none)</c:v>
                </c:pt>
              </c:strCache>
            </c:strRef>
          </c:tx>
          <c:spPr>
            <a:solidFill>
              <a:srgbClr val="66FF99"/>
            </a:solidFill>
            <a:ln w="12700">
              <a:solidFill>
                <a:srgbClr val="000000"/>
              </a:solidFill>
              <a:prstDash val="solid"/>
            </a:ln>
          </c:spPr>
          <c:invertIfNegative val="0"/>
          <c:cat>
            <c:strRef>
              <c:f>'Looked After Children'!$B$10:$B$33</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Children'!$Z$77:$Z$100</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1-DD4A-4B98-A624-958893C06EC9}"/>
            </c:ext>
          </c:extLst>
        </c:ser>
        <c:dLbls>
          <c:showLegendKey val="0"/>
          <c:showVal val="0"/>
          <c:showCatName val="0"/>
          <c:showSerName val="0"/>
          <c:showPercent val="0"/>
          <c:showBubbleSize val="0"/>
        </c:dLbls>
        <c:gapWidth val="40"/>
        <c:overlap val="100"/>
        <c:axId val="290985472"/>
        <c:axId val="290987008"/>
      </c:barChart>
      <c:catAx>
        <c:axId val="290985472"/>
        <c:scaling>
          <c:orientation val="maxMin"/>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987008"/>
        <c:crosses val="autoZero"/>
        <c:auto val="1"/>
        <c:lblAlgn val="ctr"/>
        <c:lblOffset val="100"/>
        <c:noMultiLvlLbl val="0"/>
      </c:catAx>
      <c:valAx>
        <c:axId val="290987008"/>
        <c:scaling>
          <c:orientation val="minMax"/>
        </c:scaling>
        <c:delete val="0"/>
        <c:axPos val="b"/>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985472"/>
        <c:crosses val="max"/>
        <c:crossBetween val="between"/>
      </c:valAx>
      <c:spPr>
        <a:noFill/>
        <a:ln w="3175">
          <a:solidFill>
            <a:srgbClr val="000000"/>
          </a:solidFill>
          <a:prstDash val="solid"/>
        </a:ln>
      </c:spPr>
    </c:plotArea>
    <c:legend>
      <c:legendPos val="t"/>
      <c:layout>
        <c:manualLayout>
          <c:xMode val="edge"/>
          <c:yMode val="edge"/>
          <c:x val="0.25031989591044707"/>
          <c:y val="7.8066985350641618E-2"/>
          <c:w val="0.69938219261053902"/>
          <c:h val="4.089223042176466E-2"/>
        </c:manualLayout>
      </c:layout>
      <c:overlay val="0"/>
      <c:spPr>
        <a:noFill/>
        <a:ln w="12700">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0"/>
    <c:dispBlanksAs val="gap"/>
    <c:showDLblsOverMax val="0"/>
  </c:chart>
  <c:spPr>
    <a:solidFill>
      <a:srgbClr val="FFFFFF"/>
    </a:solidFill>
    <a:ln w="12700">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a:t>
            </a:r>
            <a:r>
              <a:rPr lang="en-GB" sz="900" baseline="0"/>
              <a:t> Children Looked After for 2yrs+ </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19822222222222222"/>
          <c:y val="3.8616326805303181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4145868399038699"/>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Children'!$AS$65:$AW$65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D152-4AF8-9B15-AF3532EC69B2}"/>
            </c:ext>
          </c:extLst>
        </c:ser>
        <c:ser>
          <c:idx val="4"/>
          <c:order val="1"/>
          <c:tx>
            <c:strRef>
              <c:f>'Looked After Children'!$B$170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Children'!$D$134:$H$134</c:f>
              <c:numCache>
                <c:formatCode>0%</c:formatCode>
                <c:ptCount val="5"/>
                <c:pt idx="0">
                  <c:v>#N/A</c:v>
                </c:pt>
                <c:pt idx="1">
                  <c:v>0.40876944837340878</c:v>
                </c:pt>
                <c:pt idx="2">
                  <c:v>0.4102920723226704</c:v>
                </c:pt>
                <c:pt idx="3">
                  <c:v>0.41342281879194631</c:v>
                </c:pt>
                <c:pt idx="4">
                  <c:v>0.42932628797886396</c:v>
                </c:pt>
              </c:numCache>
            </c:numRef>
          </c:val>
          <c:extLst>
            <c:ext xmlns:c16="http://schemas.microsoft.com/office/drawing/2014/chart" uri="{C3380CC4-5D6E-409C-BE32-E72D297353CC}">
              <c16:uniqueId val="{00000001-D152-4AF8-9B15-AF3532EC69B2}"/>
            </c:ext>
          </c:extLst>
        </c:ser>
        <c:ser>
          <c:idx val="0"/>
          <c:order val="2"/>
          <c:tx>
            <c:strRef>
              <c:f>'Looked After Children'!$B$171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Children'!$D$135:$H$135</c:f>
              <c:numCache>
                <c:formatCode>0%</c:formatCode>
                <c:ptCount val="5"/>
                <c:pt idx="0">
                  <c:v>#N/A</c:v>
                </c:pt>
                <c:pt idx="1">
                  <c:v>0.43785886275236152</c:v>
                </c:pt>
                <c:pt idx="2">
                  <c:v>0.43178141290670502</c:v>
                </c:pt>
                <c:pt idx="3">
                  <c:v>0.44364551500988675</c:v>
                </c:pt>
                <c:pt idx="4">
                  <c:v>0.43074606891937101</c:v>
                </c:pt>
              </c:numCache>
            </c:numRef>
          </c:val>
          <c:extLst>
            <c:ext xmlns:c16="http://schemas.microsoft.com/office/drawing/2014/chart" uri="{C3380CC4-5D6E-409C-BE32-E72D297353CC}">
              <c16:uniqueId val="{00000002-D152-4AF8-9B15-AF3532EC69B2}"/>
            </c:ext>
          </c:extLst>
        </c:ser>
        <c:dLbls>
          <c:showLegendKey val="0"/>
          <c:showVal val="0"/>
          <c:showCatName val="0"/>
          <c:showSerName val="0"/>
          <c:showPercent val="0"/>
          <c:showBubbleSize val="0"/>
        </c:dLbls>
        <c:gapWidth val="100"/>
        <c:axId val="291017088"/>
        <c:axId val="291018624"/>
      </c:barChart>
      <c:catAx>
        <c:axId val="291017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018624"/>
        <c:crosses val="autoZero"/>
        <c:auto val="1"/>
        <c:lblAlgn val="ctr"/>
        <c:lblOffset val="100"/>
        <c:noMultiLvlLbl val="0"/>
      </c:catAx>
      <c:valAx>
        <c:axId val="291018624"/>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01708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for at least 2.5 Years</a:t>
            </a:r>
          </a:p>
        </c:rich>
      </c:tx>
      <c:layout>
        <c:manualLayout>
          <c:xMode val="edge"/>
          <c:yMode val="edge"/>
          <c:x val="0.19463904079199876"/>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37915654714237"/>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059-4644-AF65-ED7C2E80A131}"/>
              </c:ext>
            </c:extLst>
          </c:dPt>
          <c:cat>
            <c:strRef>
              <c:f>'Looked After Children'!$Z$2:$AD$3</c:f>
              <c:strCache>
                <c:ptCount val="5"/>
                <c:pt idx="0">
                  <c:v>2014-15</c:v>
                </c:pt>
                <c:pt idx="1">
                  <c:v>2015-16</c:v>
                </c:pt>
                <c:pt idx="2">
                  <c:v>2016-17</c:v>
                </c:pt>
                <c:pt idx="3">
                  <c:v>2017-18</c:v>
                </c:pt>
                <c:pt idx="4">
                  <c:v>2018-19</c:v>
                </c:pt>
              </c:strCache>
            </c:strRef>
          </c:cat>
          <c:val>
            <c:numRef>
              <c:f>'Looked After Children'!$AS$41:$AW$41</c:f>
              <c:numCache>
                <c:formatCode>0.0%</c:formatCode>
                <c:ptCount val="5"/>
                <c:pt idx="0">
                  <c:v>#N/A</c:v>
                </c:pt>
                <c:pt idx="1">
                  <c:v>0.41666666666666669</c:v>
                </c:pt>
                <c:pt idx="2">
                  <c:v>0.42168674698795183</c:v>
                </c:pt>
                <c:pt idx="3">
                  <c:v>0.24271844660194175</c:v>
                </c:pt>
                <c:pt idx="4">
                  <c:v>0.31632653061224492</c:v>
                </c:pt>
              </c:numCache>
            </c:numRef>
          </c:val>
          <c:smooth val="0"/>
          <c:extLst>
            <c:ext xmlns:c16="http://schemas.microsoft.com/office/drawing/2014/chart" uri="{C3380CC4-5D6E-409C-BE32-E72D297353CC}">
              <c16:uniqueId val="{00000001-9059-4644-AF65-ED7C2E80A131}"/>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Children'!$AS$42:$AW$42</c:f>
              <c:numCache>
                <c:formatCode>0.0%</c:formatCode>
                <c:ptCount val="5"/>
                <c:pt idx="0">
                  <c:v>#N/A</c:v>
                </c:pt>
                <c:pt idx="1">
                  <c:v>0.4375</c:v>
                </c:pt>
                <c:pt idx="2">
                  <c:v>0.40123456790123457</c:v>
                </c:pt>
                <c:pt idx="3">
                  <c:v>0.40531561461794019</c:v>
                </c:pt>
                <c:pt idx="4">
                  <c:v>0.41851851851851851</c:v>
                </c:pt>
              </c:numCache>
            </c:numRef>
          </c:val>
          <c:smooth val="0"/>
          <c:extLst>
            <c:ext xmlns:c16="http://schemas.microsoft.com/office/drawing/2014/chart" uri="{C3380CC4-5D6E-409C-BE32-E72D297353CC}">
              <c16:uniqueId val="{00000002-9059-4644-AF65-ED7C2E80A131}"/>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Children'!$AS$43:$AW$43</c:f>
              <c:numCache>
                <c:formatCode>0.0%</c:formatCode>
                <c:ptCount val="5"/>
                <c:pt idx="0">
                  <c:v>#N/A</c:v>
                </c:pt>
                <c:pt idx="1">
                  <c:v>0.42253521126760563</c:v>
                </c:pt>
                <c:pt idx="2">
                  <c:v>0.39660056657223797</c:v>
                </c:pt>
                <c:pt idx="3">
                  <c:v>0.39943342776203966</c:v>
                </c:pt>
                <c:pt idx="4">
                  <c:v>0.45263157894736844</c:v>
                </c:pt>
              </c:numCache>
            </c:numRef>
          </c:val>
          <c:smooth val="0"/>
          <c:extLst>
            <c:ext xmlns:c16="http://schemas.microsoft.com/office/drawing/2014/chart" uri="{C3380CC4-5D6E-409C-BE32-E72D297353CC}">
              <c16:uniqueId val="{00000003-9059-4644-AF65-ED7C2E80A131}"/>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Children'!$AS$44:$AW$44</c:f>
              <c:numCache>
                <c:formatCode>0.0%</c:formatCode>
                <c:ptCount val="5"/>
                <c:pt idx="0">
                  <c:v>#N/A</c:v>
                </c:pt>
                <c:pt idx="1">
                  <c:v>0.53333333333333333</c:v>
                </c:pt>
                <c:pt idx="2">
                  <c:v>0.51044083526682138</c:v>
                </c:pt>
                <c:pt idx="3">
                  <c:v>0.44420600858369097</c:v>
                </c:pt>
                <c:pt idx="4">
                  <c:v>0.45945945945945948</c:v>
                </c:pt>
              </c:numCache>
            </c:numRef>
          </c:val>
          <c:smooth val="0"/>
          <c:extLst>
            <c:ext xmlns:c16="http://schemas.microsoft.com/office/drawing/2014/chart" uri="{C3380CC4-5D6E-409C-BE32-E72D297353CC}">
              <c16:uniqueId val="{00000004-9059-4644-AF65-ED7C2E80A131}"/>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Children'!$AS$45:$AW$45</c:f>
              <c:numCache>
                <c:formatCode>0.0%</c:formatCode>
                <c:ptCount val="5"/>
                <c:pt idx="0">
                  <c:v>#N/A</c:v>
                </c:pt>
                <c:pt idx="1">
                  <c:v>0.40191387559808611</c:v>
                </c:pt>
                <c:pt idx="2">
                  <c:v>0.4144851657940663</c:v>
                </c:pt>
                <c:pt idx="3">
                  <c:v>0.4095315024232633</c:v>
                </c:pt>
                <c:pt idx="4">
                  <c:v>0.42101105845181674</c:v>
                </c:pt>
              </c:numCache>
            </c:numRef>
          </c:val>
          <c:smooth val="0"/>
          <c:extLst>
            <c:ext xmlns:c16="http://schemas.microsoft.com/office/drawing/2014/chart" uri="{C3380CC4-5D6E-409C-BE32-E72D297353CC}">
              <c16:uniqueId val="{00000005-9059-4644-AF65-ED7C2E80A131}"/>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Children'!$AS$46:$AW$46</c:f>
              <c:numCache>
                <c:formatCode>0.0%</c:formatCode>
                <c:ptCount val="5"/>
                <c:pt idx="0">
                  <c:v>#N/A</c:v>
                </c:pt>
                <c:pt idx="1">
                  <c:v>0.41379310344827586</c:v>
                </c:pt>
                <c:pt idx="2">
                  <c:v>0.3235294117647059</c:v>
                </c:pt>
                <c:pt idx="3">
                  <c:v>0.34946236559139787</c:v>
                </c:pt>
                <c:pt idx="4">
                  <c:v>0.46568627450980393</c:v>
                </c:pt>
              </c:numCache>
            </c:numRef>
          </c:val>
          <c:smooth val="0"/>
          <c:extLst>
            <c:ext xmlns:c16="http://schemas.microsoft.com/office/drawing/2014/chart" uri="{C3380CC4-5D6E-409C-BE32-E72D297353CC}">
              <c16:uniqueId val="{00000006-9059-4644-AF65-ED7C2E80A131}"/>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Children'!$AS$47:$AW$47</c:f>
              <c:numCache>
                <c:formatCode>0.0%</c:formatCode>
                <c:ptCount val="5"/>
                <c:pt idx="0">
                  <c:v>#N/A</c:v>
                </c:pt>
                <c:pt idx="1">
                  <c:v>0.43129770992366412</c:v>
                </c:pt>
                <c:pt idx="2">
                  <c:v>0.46179680940386231</c:v>
                </c:pt>
                <c:pt idx="3">
                  <c:v>0.5122171945701357</c:v>
                </c:pt>
                <c:pt idx="4">
                  <c:v>0.52641690682036502</c:v>
                </c:pt>
              </c:numCache>
            </c:numRef>
          </c:val>
          <c:smooth val="0"/>
          <c:extLst>
            <c:ext xmlns:c16="http://schemas.microsoft.com/office/drawing/2014/chart" uri="{C3380CC4-5D6E-409C-BE32-E72D297353CC}">
              <c16:uniqueId val="{00000007-9059-4644-AF65-ED7C2E80A131}"/>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Children'!$AS$48:$AW$48</c:f>
              <c:numCache>
                <c:formatCode>0.0%</c:formatCode>
                <c:ptCount val="5"/>
                <c:pt idx="0">
                  <c:v>#N/A</c:v>
                </c:pt>
                <c:pt idx="1">
                  <c:v>0.37681159420289856</c:v>
                </c:pt>
                <c:pt idx="2">
                  <c:v>0.47021943573667713</c:v>
                </c:pt>
                <c:pt idx="3">
                  <c:v>0.48973607038123168</c:v>
                </c:pt>
                <c:pt idx="4">
                  <c:v>0.50595238095238093</c:v>
                </c:pt>
              </c:numCache>
            </c:numRef>
          </c:val>
          <c:smooth val="0"/>
          <c:extLst>
            <c:ext xmlns:c16="http://schemas.microsoft.com/office/drawing/2014/chart" uri="{C3380CC4-5D6E-409C-BE32-E72D297353CC}">
              <c16:uniqueId val="{00000008-9059-4644-AF65-ED7C2E80A131}"/>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Children'!$AS$49:$AW$49</c:f>
              <c:numCache>
                <c:formatCode>0.0%</c:formatCode>
                <c:ptCount val="5"/>
                <c:pt idx="0">
                  <c:v>#N/A</c:v>
                </c:pt>
                <c:pt idx="1">
                  <c:v>0.44</c:v>
                </c:pt>
                <c:pt idx="2">
                  <c:v>0.39473684210526316</c:v>
                </c:pt>
                <c:pt idx="3">
                  <c:v>0.40251572327044027</c:v>
                </c:pt>
                <c:pt idx="4">
                  <c:v>0.47468354430379744</c:v>
                </c:pt>
              </c:numCache>
            </c:numRef>
          </c:val>
          <c:smooth val="0"/>
          <c:extLst>
            <c:ext xmlns:c16="http://schemas.microsoft.com/office/drawing/2014/chart" uri="{C3380CC4-5D6E-409C-BE32-E72D297353CC}">
              <c16:uniqueId val="{00000009-9059-4644-AF65-ED7C2E80A131}"/>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Children'!$AS$50:$AW$50</c:f>
              <c:numCache>
                <c:formatCode>0.0%</c:formatCode>
                <c:ptCount val="5"/>
                <c:pt idx="0">
                  <c:v>#N/A</c:v>
                </c:pt>
                <c:pt idx="1">
                  <c:v>0.27586206896551724</c:v>
                </c:pt>
                <c:pt idx="2">
                  <c:v>0.25590551181102361</c:v>
                </c:pt>
                <c:pt idx="3">
                  <c:v>0.31517509727626458</c:v>
                </c:pt>
                <c:pt idx="4">
                  <c:v>0.32586206896551723</c:v>
                </c:pt>
              </c:numCache>
            </c:numRef>
          </c:val>
          <c:smooth val="0"/>
          <c:extLst>
            <c:ext xmlns:c16="http://schemas.microsoft.com/office/drawing/2014/chart" uri="{C3380CC4-5D6E-409C-BE32-E72D297353CC}">
              <c16:uniqueId val="{0000000A-9059-4644-AF65-ED7C2E80A131}"/>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Children'!$AS$51:$AW$51</c:f>
              <c:numCache>
                <c:formatCode>0.0%</c:formatCode>
                <c:ptCount val="5"/>
                <c:pt idx="0">
                  <c:v>#N/A</c:v>
                </c:pt>
                <c:pt idx="1">
                  <c:v>0.42307692307692307</c:v>
                </c:pt>
                <c:pt idx="2">
                  <c:v>0.45955882352941174</c:v>
                </c:pt>
                <c:pt idx="3">
                  <c:v>0.40476190476190477</c:v>
                </c:pt>
                <c:pt idx="4">
                  <c:v>0.38109756097560976</c:v>
                </c:pt>
              </c:numCache>
            </c:numRef>
          </c:val>
          <c:smooth val="0"/>
          <c:extLst>
            <c:ext xmlns:c16="http://schemas.microsoft.com/office/drawing/2014/chart" uri="{C3380CC4-5D6E-409C-BE32-E72D297353CC}">
              <c16:uniqueId val="{0000000B-9059-4644-AF65-ED7C2E80A131}"/>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Children'!$AS$52:$AW$52</c:f>
              <c:numCache>
                <c:formatCode>0.0%</c:formatCode>
                <c:ptCount val="5"/>
                <c:pt idx="0">
                  <c:v>#N/A</c:v>
                </c:pt>
                <c:pt idx="1">
                  <c:v>0.37142857142857144</c:v>
                </c:pt>
                <c:pt idx="2">
                  <c:v>0.29556650246305421</c:v>
                </c:pt>
                <c:pt idx="3">
                  <c:v>0.37168141592920356</c:v>
                </c:pt>
                <c:pt idx="4">
                  <c:v>0.43891402714932126</c:v>
                </c:pt>
              </c:numCache>
            </c:numRef>
          </c:val>
          <c:smooth val="0"/>
          <c:extLst>
            <c:ext xmlns:c16="http://schemas.microsoft.com/office/drawing/2014/chart" uri="{C3380CC4-5D6E-409C-BE32-E72D297353CC}">
              <c16:uniqueId val="{0000000C-9059-4644-AF65-ED7C2E80A131}"/>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Children'!$AS$53:$AW$53</c:f>
              <c:numCache>
                <c:formatCode>0.0%</c:formatCode>
                <c:ptCount val="5"/>
                <c:pt idx="0">
                  <c:v>#N/A</c:v>
                </c:pt>
                <c:pt idx="1">
                  <c:v>0.36666666666666664</c:v>
                </c:pt>
                <c:pt idx="2">
                  <c:v>0.35714285714285715</c:v>
                </c:pt>
                <c:pt idx="3">
                  <c:v>0.30463576158940397</c:v>
                </c:pt>
                <c:pt idx="4">
                  <c:v>0.32926829268292684</c:v>
                </c:pt>
              </c:numCache>
            </c:numRef>
          </c:val>
          <c:smooth val="0"/>
          <c:extLst>
            <c:ext xmlns:c16="http://schemas.microsoft.com/office/drawing/2014/chart" uri="{C3380CC4-5D6E-409C-BE32-E72D297353CC}">
              <c16:uniqueId val="{0000000D-9059-4644-AF65-ED7C2E80A131}"/>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Children'!$AS$54:$AW$54</c:f>
              <c:numCache>
                <c:formatCode>0.0%</c:formatCode>
                <c:ptCount val="5"/>
                <c:pt idx="0">
                  <c:v>#N/A</c:v>
                </c:pt>
                <c:pt idx="1">
                  <c:v>0.38461538461538464</c:v>
                </c:pt>
                <c:pt idx="2">
                  <c:v>0.4178272980501393</c:v>
                </c:pt>
                <c:pt idx="3">
                  <c:v>0.41687979539641945</c:v>
                </c:pt>
                <c:pt idx="4">
                  <c:v>0.40404040404040403</c:v>
                </c:pt>
              </c:numCache>
            </c:numRef>
          </c:val>
          <c:smooth val="0"/>
          <c:extLst>
            <c:ext xmlns:c16="http://schemas.microsoft.com/office/drawing/2014/chart" uri="{C3380CC4-5D6E-409C-BE32-E72D297353CC}">
              <c16:uniqueId val="{0000000E-9059-4644-AF65-ED7C2E80A131}"/>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Children'!$AS$55:$AW$55</c:f>
              <c:numCache>
                <c:formatCode>0.0%</c:formatCode>
                <c:ptCount val="5"/>
                <c:pt idx="0">
                  <c:v>#N/A</c:v>
                </c:pt>
                <c:pt idx="1">
                  <c:v>0.37864077669902912</c:v>
                </c:pt>
                <c:pt idx="2">
                  <c:v>0.49568965517241381</c:v>
                </c:pt>
                <c:pt idx="3">
                  <c:v>0.53061224489795922</c:v>
                </c:pt>
                <c:pt idx="4">
                  <c:v>0.57457212713936434</c:v>
                </c:pt>
              </c:numCache>
            </c:numRef>
          </c:val>
          <c:smooth val="0"/>
          <c:extLst>
            <c:ext xmlns:c16="http://schemas.microsoft.com/office/drawing/2014/chart" uri="{C3380CC4-5D6E-409C-BE32-E72D297353CC}">
              <c16:uniqueId val="{0000000F-9059-4644-AF65-ED7C2E80A131}"/>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Children'!$AS$56:$AW$56</c:f>
              <c:numCache>
                <c:formatCode>0.0%</c:formatCode>
                <c:ptCount val="5"/>
                <c:pt idx="0">
                  <c:v>#N/A</c:v>
                </c:pt>
                <c:pt idx="1">
                  <c:v>0.39166666666666666</c:v>
                </c:pt>
                <c:pt idx="2">
                  <c:v>0.38128249566724437</c:v>
                </c:pt>
                <c:pt idx="3">
                  <c:v>0.37308868501529052</c:v>
                </c:pt>
                <c:pt idx="4">
                  <c:v>0.36764705882352944</c:v>
                </c:pt>
              </c:numCache>
            </c:numRef>
          </c:val>
          <c:smooth val="0"/>
          <c:extLst>
            <c:ext xmlns:c16="http://schemas.microsoft.com/office/drawing/2014/chart" uri="{C3380CC4-5D6E-409C-BE32-E72D297353CC}">
              <c16:uniqueId val="{00000010-9059-4644-AF65-ED7C2E80A131}"/>
            </c:ext>
          </c:extLst>
        </c:ser>
        <c:ser>
          <c:idx val="7"/>
          <c:order val="16"/>
          <c:tx>
            <c:strRef>
              <c:f>'Looked After Children'!$AL$57</c:f>
              <c:strCache>
                <c:ptCount val="1"/>
                <c:pt idx="0">
                  <c:v>Swindon</c:v>
                </c:pt>
              </c:strCache>
            </c:strRef>
          </c:tx>
          <c:spPr>
            <a:ln w="15875"/>
          </c:spPr>
          <c:marker>
            <c:symbol val="triangle"/>
            <c:size val="5"/>
            <c:spPr>
              <a:solidFill>
                <a:schemeClr val="accent2">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Children'!$AS$57:$AW$57</c:f>
              <c:numCache>
                <c:formatCode>0.0%</c:formatCode>
                <c:ptCount val="5"/>
                <c:pt idx="0">
                  <c:v>#N/A</c:v>
                </c:pt>
                <c:pt idx="1">
                  <c:v>0.28888888888888886</c:v>
                </c:pt>
                <c:pt idx="2">
                  <c:v>0.22988505747126436</c:v>
                </c:pt>
                <c:pt idx="3">
                  <c:v>0.24014336917562723</c:v>
                </c:pt>
                <c:pt idx="4">
                  <c:v>0.4140625</c:v>
                </c:pt>
              </c:numCache>
            </c:numRef>
          </c:val>
          <c:smooth val="0"/>
          <c:extLst>
            <c:ext xmlns:c16="http://schemas.microsoft.com/office/drawing/2014/chart" uri="{C3380CC4-5D6E-409C-BE32-E72D297353CC}">
              <c16:uniqueId val="{00000011-9059-4644-AF65-ED7C2E80A131}"/>
            </c:ext>
          </c:extLst>
        </c:ser>
        <c:ser>
          <c:idx val="8"/>
          <c:order val="17"/>
          <c:tx>
            <c:strRef>
              <c:f>'Looked After Children'!$AL$58</c:f>
              <c:strCache>
                <c:ptCount val="1"/>
                <c:pt idx="0">
                  <c:v>Torbay</c:v>
                </c:pt>
              </c:strCache>
            </c:strRef>
          </c:tx>
          <c:spPr>
            <a:ln w="15875"/>
          </c:spPr>
          <c:marker>
            <c:symbol val="circle"/>
            <c:size val="5"/>
            <c:spPr>
              <a:solidFill>
                <a:schemeClr val="accent3">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Children'!$AS$58:$AW$58</c:f>
              <c:numCache>
                <c:formatCode>0.0%</c:formatCode>
                <c:ptCount val="5"/>
                <c:pt idx="0">
                  <c:v>#N/A</c:v>
                </c:pt>
                <c:pt idx="1">
                  <c:v>0.53333333333333333</c:v>
                </c:pt>
                <c:pt idx="2">
                  <c:v>0.53418803418803418</c:v>
                </c:pt>
                <c:pt idx="3">
                  <c:v>0.49070631970260226</c:v>
                </c:pt>
                <c:pt idx="4">
                  <c:v>0.43288590604026844</c:v>
                </c:pt>
              </c:numCache>
            </c:numRef>
          </c:val>
          <c:smooth val="0"/>
          <c:extLst>
            <c:ext xmlns:c16="http://schemas.microsoft.com/office/drawing/2014/chart" uri="{C3380CC4-5D6E-409C-BE32-E72D297353CC}">
              <c16:uniqueId val="{00000012-9059-4644-AF65-ED7C2E80A131}"/>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Children'!$AS$59:$AW$59</c:f>
              <c:numCache>
                <c:formatCode>0.0%</c:formatCode>
                <c:ptCount val="5"/>
                <c:pt idx="0">
                  <c:v>#N/A</c:v>
                </c:pt>
                <c:pt idx="1">
                  <c:v>0.45</c:v>
                </c:pt>
                <c:pt idx="2">
                  <c:v>0.44715447154471544</c:v>
                </c:pt>
                <c:pt idx="3">
                  <c:v>0.61111111111111116</c:v>
                </c:pt>
                <c:pt idx="4">
                  <c:v>0.47169811320754718</c:v>
                </c:pt>
              </c:numCache>
            </c:numRef>
          </c:val>
          <c:smooth val="0"/>
          <c:extLst>
            <c:ext xmlns:c16="http://schemas.microsoft.com/office/drawing/2014/chart" uri="{C3380CC4-5D6E-409C-BE32-E72D297353CC}">
              <c16:uniqueId val="{00000013-9059-4644-AF65-ED7C2E80A131}"/>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Children'!$AS$60:$AW$60</c:f>
              <c:numCache>
                <c:formatCode>0.0%</c:formatCode>
                <c:ptCount val="5"/>
                <c:pt idx="0">
                  <c:v>#N/A</c:v>
                </c:pt>
                <c:pt idx="1">
                  <c:v>0.37362637362637363</c:v>
                </c:pt>
                <c:pt idx="2">
                  <c:v>0.31914893617021278</c:v>
                </c:pt>
                <c:pt idx="3">
                  <c:v>0.312</c:v>
                </c:pt>
                <c:pt idx="4">
                  <c:v>0.35629921259842517</c:v>
                </c:pt>
              </c:numCache>
            </c:numRef>
          </c:val>
          <c:smooth val="0"/>
          <c:extLst>
            <c:ext xmlns:c16="http://schemas.microsoft.com/office/drawing/2014/chart" uri="{C3380CC4-5D6E-409C-BE32-E72D297353CC}">
              <c16:uniqueId val="{00000014-9059-4644-AF65-ED7C2E80A131}"/>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Children'!$AS$61:$AW$61</c:f>
              <c:numCache>
                <c:formatCode>0.0%</c:formatCode>
                <c:ptCount val="5"/>
                <c:pt idx="0">
                  <c:v>#N/A</c:v>
                </c:pt>
                <c:pt idx="1">
                  <c:v>0.7</c:v>
                </c:pt>
                <c:pt idx="2">
                  <c:v>0.60344827586206895</c:v>
                </c:pt>
                <c:pt idx="3">
                  <c:v>0.50819672131147542</c:v>
                </c:pt>
                <c:pt idx="4">
                  <c:v>0.37313432835820898</c:v>
                </c:pt>
              </c:numCache>
            </c:numRef>
          </c:val>
          <c:smooth val="0"/>
          <c:extLst>
            <c:ext xmlns:c16="http://schemas.microsoft.com/office/drawing/2014/chart" uri="{C3380CC4-5D6E-409C-BE32-E72D297353CC}">
              <c16:uniqueId val="{00000015-9059-4644-AF65-ED7C2E80A131}"/>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Children'!$AS$62:$AW$62</c:f>
              <c:numCache>
                <c:formatCode>0.0%</c:formatCode>
                <c:ptCount val="5"/>
                <c:pt idx="0">
                  <c:v>#N/A</c:v>
                </c:pt>
                <c:pt idx="1">
                  <c:v>0.4</c:v>
                </c:pt>
                <c:pt idx="2">
                  <c:v>0.60606060606060608</c:v>
                </c:pt>
                <c:pt idx="3">
                  <c:v>0.2857142857142857</c:v>
                </c:pt>
                <c:pt idx="4">
                  <c:v>0.20547945205479451</c:v>
                </c:pt>
              </c:numCache>
            </c:numRef>
          </c:val>
          <c:smooth val="0"/>
          <c:extLst>
            <c:ext xmlns:c16="http://schemas.microsoft.com/office/drawing/2014/chart" uri="{C3380CC4-5D6E-409C-BE32-E72D297353CC}">
              <c16:uniqueId val="{00000016-9059-4644-AF65-ED7C2E80A131}"/>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Children'!$AS$63:$AW$63</c:f>
              <c:numCache>
                <c:formatCode>0.0%</c:formatCode>
                <c:ptCount val="5"/>
                <c:pt idx="0">
                  <c:v>#N/A</c:v>
                </c:pt>
                <c:pt idx="1">
                  <c:v>0.40876944837340878</c:v>
                </c:pt>
                <c:pt idx="2">
                  <c:v>0.4102920723226704</c:v>
                </c:pt>
                <c:pt idx="3">
                  <c:v>0.41342281879194631</c:v>
                </c:pt>
                <c:pt idx="4">
                  <c:v>0.42932628797886396</c:v>
                </c:pt>
              </c:numCache>
            </c:numRef>
          </c:val>
          <c:smooth val="0"/>
          <c:extLst>
            <c:ext xmlns:c16="http://schemas.microsoft.com/office/drawing/2014/chart" uri="{C3380CC4-5D6E-409C-BE32-E72D297353CC}">
              <c16:uniqueId val="{00000017-9059-4644-AF65-ED7C2E80A131}"/>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Children'!$AS$64:$AW$64</c:f>
              <c:numCache>
                <c:formatCode>0.0%</c:formatCode>
                <c:ptCount val="5"/>
                <c:pt idx="0">
                  <c:v>#N/A</c:v>
                </c:pt>
                <c:pt idx="1">
                  <c:v>0.43785886275236152</c:v>
                </c:pt>
                <c:pt idx="2">
                  <c:v>0.43178141290670502</c:v>
                </c:pt>
                <c:pt idx="3">
                  <c:v>0.44364551500988675</c:v>
                </c:pt>
                <c:pt idx="4">
                  <c:v>0.43074606891937101</c:v>
                </c:pt>
              </c:numCache>
            </c:numRef>
          </c:val>
          <c:smooth val="0"/>
          <c:extLst>
            <c:ext xmlns:c16="http://schemas.microsoft.com/office/drawing/2014/chart" uri="{C3380CC4-5D6E-409C-BE32-E72D297353CC}">
              <c16:uniqueId val="{00000018-9059-4644-AF65-ED7C2E80A131}"/>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Children'!$AS$65:$AW$65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9059-4644-AF65-ED7C2E80A131}"/>
            </c:ext>
          </c:extLst>
        </c:ser>
        <c:dLbls>
          <c:showLegendKey val="0"/>
          <c:showVal val="0"/>
          <c:showCatName val="0"/>
          <c:showSerName val="0"/>
          <c:showPercent val="0"/>
          <c:showBubbleSize val="0"/>
        </c:dLbls>
        <c:marker val="1"/>
        <c:smooth val="0"/>
        <c:axId val="290829440"/>
        <c:axId val="290830976"/>
      </c:lineChart>
      <c:catAx>
        <c:axId val="290829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830976"/>
        <c:crosses val="autoZero"/>
        <c:auto val="1"/>
        <c:lblAlgn val="ctr"/>
        <c:lblOffset val="100"/>
        <c:tickLblSkip val="1"/>
        <c:tickMarkSkip val="1"/>
        <c:noMultiLvlLbl val="0"/>
      </c:catAx>
      <c:valAx>
        <c:axId val="290830976"/>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829440"/>
        <c:crosses val="autoZero"/>
        <c:crossBetween val="between"/>
      </c:valAx>
      <c:spPr>
        <a:solidFill>
          <a:sysClr val="window" lastClr="FFFFFF"/>
        </a:solidFill>
        <a:ln w="3175">
          <a:solidFill>
            <a:srgbClr val="000000"/>
          </a:solidFill>
          <a:prstDash val="solid"/>
        </a:ln>
      </c:spPr>
    </c:plotArea>
    <c:legend>
      <c:legendPos val="r"/>
      <c:layout>
        <c:manualLayout>
          <c:xMode val="edge"/>
          <c:yMode val="edge"/>
          <c:x val="0.67109092691214423"/>
          <c:y val="7.5190870500600387E-2"/>
          <c:w val="0.31566325129860862"/>
          <c:h val="0.8602417953569757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a:t>
            </a:r>
            <a:r>
              <a:rPr lang="en-GB" sz="900" baseline="0"/>
              <a:t> </a:t>
            </a:r>
            <a:r>
              <a:rPr lang="en-GB" sz="900"/>
              <a:t>at 31st March with 3 or more placements in year (Selected LA</a:t>
            </a:r>
            <a:r>
              <a:rPr lang="en-GB" sz="900" baseline="0"/>
              <a:t> vs. SE &amp; National)</a:t>
            </a:r>
            <a:r>
              <a:rPr lang="en-GB" sz="900"/>
              <a:t> </a:t>
            </a:r>
          </a:p>
        </c:rich>
      </c:tx>
      <c:layout>
        <c:manualLayout>
          <c:xMode val="edge"/>
          <c:yMode val="edge"/>
          <c:x val="0.12300854700854699"/>
          <c:y val="3.8615036134181857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53924123120973511"/>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Children'!$BC$65:$BG$65</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0-76E5-465D-941F-D8A98213B8D5}"/>
            </c:ext>
          </c:extLst>
        </c:ser>
        <c:ser>
          <c:idx val="4"/>
          <c:order val="1"/>
          <c:tx>
            <c:strRef>
              <c:f>'Looked After Children'!$B$170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Children'!$D$206:$H$206</c:f>
              <c:numCache>
                <c:formatCode>0%</c:formatCode>
                <c:ptCount val="5"/>
                <c:pt idx="0">
                  <c:v>#N/A</c:v>
                </c:pt>
                <c:pt idx="1">
                  <c:v>0.12203767470123557</c:v>
                </c:pt>
                <c:pt idx="2">
                  <c:v>0.11698880976602238</c:v>
                </c:pt>
                <c:pt idx="3">
                  <c:v>0.11902380476095219</c:v>
                </c:pt>
                <c:pt idx="4">
                  <c:v>0.11574749537982687</c:v>
                </c:pt>
              </c:numCache>
            </c:numRef>
          </c:val>
          <c:extLst>
            <c:ext xmlns:c16="http://schemas.microsoft.com/office/drawing/2014/chart" uri="{C3380CC4-5D6E-409C-BE32-E72D297353CC}">
              <c16:uniqueId val="{00000001-76E5-465D-941F-D8A98213B8D5}"/>
            </c:ext>
          </c:extLst>
        </c:ser>
        <c:ser>
          <c:idx val="0"/>
          <c:order val="2"/>
          <c:tx>
            <c:strRef>
              <c:f>'Looked After Children'!$B$171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Children'!$D$207:$H$207</c:f>
              <c:numCache>
                <c:formatCode>0%</c:formatCode>
                <c:ptCount val="5"/>
                <c:pt idx="0">
                  <c:v>#N/A</c:v>
                </c:pt>
                <c:pt idx="1">
                  <c:v>0.10296832836244851</c:v>
                </c:pt>
                <c:pt idx="2">
                  <c:v>0.103567001790387</c:v>
                </c:pt>
                <c:pt idx="3">
                  <c:v>0.10468356109858033</c:v>
                </c:pt>
                <c:pt idx="4">
                  <c:v>0.10377479206653871</c:v>
                </c:pt>
              </c:numCache>
            </c:numRef>
          </c:val>
          <c:extLst>
            <c:ext xmlns:c16="http://schemas.microsoft.com/office/drawing/2014/chart" uri="{C3380CC4-5D6E-409C-BE32-E72D297353CC}">
              <c16:uniqueId val="{00000002-76E5-465D-941F-D8A98213B8D5}"/>
            </c:ext>
          </c:extLst>
        </c:ser>
        <c:dLbls>
          <c:showLegendKey val="0"/>
          <c:showVal val="0"/>
          <c:showCatName val="0"/>
          <c:showSerName val="0"/>
          <c:showPercent val="0"/>
          <c:showBubbleSize val="0"/>
        </c:dLbls>
        <c:gapWidth val="100"/>
        <c:axId val="290939264"/>
        <c:axId val="290940800"/>
      </c:barChart>
      <c:catAx>
        <c:axId val="290939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940800"/>
        <c:crosses val="autoZero"/>
        <c:auto val="1"/>
        <c:lblAlgn val="ctr"/>
        <c:lblOffset val="100"/>
        <c:noMultiLvlLbl val="0"/>
      </c:catAx>
      <c:valAx>
        <c:axId val="290940800"/>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0939264"/>
        <c:crosses val="autoZero"/>
        <c:crossBetween val="between"/>
      </c:valAx>
      <c:spPr>
        <a:noFill/>
        <a:ln w="3175">
          <a:solidFill>
            <a:srgbClr val="000000"/>
          </a:solidFill>
          <a:prstDash val="solid"/>
        </a:ln>
      </c:spPr>
    </c:plotArea>
    <c:legend>
      <c:legendPos val="r"/>
      <c:layout>
        <c:manualLayout>
          <c:xMode val="edge"/>
          <c:yMode val="edge"/>
          <c:x val="0.7556512733205647"/>
          <c:y val="0.19396666325800185"/>
          <c:w val="0.24434861026987012"/>
          <c:h val="0.80603333674199817"/>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with 3 or more placements in the year</a:t>
            </a:r>
          </a:p>
        </c:rich>
      </c:tx>
      <c:layout>
        <c:manualLayout>
          <c:xMode val="edge"/>
          <c:yMode val="edge"/>
          <c:x val="9.6729546233621386E-2"/>
          <c:y val="1.657081538778752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CACF-4709-AF25-55A391D97677}"/>
              </c:ext>
            </c:extLst>
          </c:dPt>
          <c:cat>
            <c:strRef>
              <c:f>'Looked After Children'!$Z$2:$AD$3</c:f>
              <c:strCache>
                <c:ptCount val="5"/>
                <c:pt idx="0">
                  <c:v>2014-15</c:v>
                </c:pt>
                <c:pt idx="1">
                  <c:v>2015-16</c:v>
                </c:pt>
                <c:pt idx="2">
                  <c:v>2016-17</c:v>
                </c:pt>
                <c:pt idx="3">
                  <c:v>2017-18</c:v>
                </c:pt>
                <c:pt idx="4">
                  <c:v>2018-19</c:v>
                </c:pt>
              </c:strCache>
            </c:strRef>
          </c:cat>
          <c:val>
            <c:numRef>
              <c:f>'Looked After Children'!$BC$41:$BG$41</c:f>
              <c:numCache>
                <c:formatCode>0.0%</c:formatCode>
                <c:ptCount val="5"/>
                <c:pt idx="0">
                  <c:v>#N/A</c:v>
                </c:pt>
                <c:pt idx="1">
                  <c:v>0.15306122448979592</c:v>
                </c:pt>
                <c:pt idx="2">
                  <c:v>8.6206896551724144E-2</c:v>
                </c:pt>
                <c:pt idx="3">
                  <c:v>0.13768115942028986</c:v>
                </c:pt>
                <c:pt idx="4">
                  <c:v>0.19620253164556961</c:v>
                </c:pt>
              </c:numCache>
            </c:numRef>
          </c:val>
          <c:smooth val="0"/>
          <c:extLst>
            <c:ext xmlns:c16="http://schemas.microsoft.com/office/drawing/2014/chart" uri="{C3380CC4-5D6E-409C-BE32-E72D297353CC}">
              <c16:uniqueId val="{00000001-CACF-4709-AF25-55A391D97677}"/>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Children'!$BC$42:$BG$42</c:f>
              <c:numCache>
                <c:formatCode>0.0%</c:formatCode>
                <c:ptCount val="5"/>
                <c:pt idx="0">
                  <c:v>#N/A</c:v>
                </c:pt>
                <c:pt idx="1">
                  <c:v>0.14840182648401826</c:v>
                </c:pt>
                <c:pt idx="2">
                  <c:v>0.1206140350877193</c:v>
                </c:pt>
                <c:pt idx="3">
                  <c:v>9.5465393794749401E-2</c:v>
                </c:pt>
                <c:pt idx="4">
                  <c:v>8.1841432225063945E-2</c:v>
                </c:pt>
              </c:numCache>
            </c:numRef>
          </c:val>
          <c:smooth val="0"/>
          <c:extLst>
            <c:ext xmlns:c16="http://schemas.microsoft.com/office/drawing/2014/chart" uri="{C3380CC4-5D6E-409C-BE32-E72D297353CC}">
              <c16:uniqueId val="{00000002-CACF-4709-AF25-55A391D97677}"/>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Children'!$BC$43:$BG$43</c:f>
              <c:numCache>
                <c:formatCode>0.0%</c:formatCode>
                <c:ptCount val="5"/>
                <c:pt idx="0">
                  <c:v>#N/A</c:v>
                </c:pt>
                <c:pt idx="1">
                  <c:v>7.6252723311546838E-2</c:v>
                </c:pt>
                <c:pt idx="2">
                  <c:v>7.7092511013215861E-2</c:v>
                </c:pt>
                <c:pt idx="3">
                  <c:v>5.9322033898305086E-2</c:v>
                </c:pt>
                <c:pt idx="4">
                  <c:v>8.9320388349514557E-2</c:v>
                </c:pt>
              </c:numCache>
            </c:numRef>
          </c:val>
          <c:smooth val="0"/>
          <c:extLst>
            <c:ext xmlns:c16="http://schemas.microsoft.com/office/drawing/2014/chart" uri="{C3380CC4-5D6E-409C-BE32-E72D297353CC}">
              <c16:uniqueId val="{00000003-CACF-4709-AF25-55A391D97677}"/>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Children'!$BC$44:$BG$44</c:f>
              <c:numCache>
                <c:formatCode>0.0%</c:formatCode>
                <c:ptCount val="5"/>
                <c:pt idx="0">
                  <c:v>#N/A</c:v>
                </c:pt>
                <c:pt idx="1">
                  <c:v>0.11049723756906077</c:v>
                </c:pt>
                <c:pt idx="2">
                  <c:v>0.13513513513513514</c:v>
                </c:pt>
                <c:pt idx="3">
                  <c:v>0.11129568106312292</c:v>
                </c:pt>
                <c:pt idx="4">
                  <c:v>0.12</c:v>
                </c:pt>
              </c:numCache>
            </c:numRef>
          </c:val>
          <c:smooth val="0"/>
          <c:extLst>
            <c:ext xmlns:c16="http://schemas.microsoft.com/office/drawing/2014/chart" uri="{C3380CC4-5D6E-409C-BE32-E72D297353CC}">
              <c16:uniqueId val="{00000004-CACF-4709-AF25-55A391D97677}"/>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Children'!$BC$45:$BG$45</c:f>
              <c:numCache>
                <c:formatCode>0.0%</c:formatCode>
                <c:ptCount val="5"/>
                <c:pt idx="0">
                  <c:v>#N/A</c:v>
                </c:pt>
                <c:pt idx="1">
                  <c:v>0.17241379310344829</c:v>
                </c:pt>
                <c:pt idx="2">
                  <c:v>0.15625</c:v>
                </c:pt>
                <c:pt idx="3">
                  <c:v>0.16436637390213299</c:v>
                </c:pt>
                <c:pt idx="4">
                  <c:v>0.15925480769230768</c:v>
                </c:pt>
              </c:numCache>
            </c:numRef>
          </c:val>
          <c:smooth val="0"/>
          <c:extLst>
            <c:ext xmlns:c16="http://schemas.microsoft.com/office/drawing/2014/chart" uri="{C3380CC4-5D6E-409C-BE32-E72D297353CC}">
              <c16:uniqueId val="{00000005-CACF-4709-AF25-55A391D97677}"/>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Children'!$BC$46:$BG$46</c:f>
              <c:numCache>
                <c:formatCode>0.0%</c:formatCode>
                <c:ptCount val="5"/>
                <c:pt idx="0">
                  <c:v>#N/A</c:v>
                </c:pt>
                <c:pt idx="1">
                  <c:v>0.12254901960784313</c:v>
                </c:pt>
                <c:pt idx="2">
                  <c:v>0.10964912280701754</c:v>
                </c:pt>
                <c:pt idx="3">
                  <c:v>0.18141592920353983</c:v>
                </c:pt>
                <c:pt idx="4">
                  <c:v>9.8765432098765427E-2</c:v>
                </c:pt>
              </c:numCache>
            </c:numRef>
          </c:val>
          <c:smooth val="0"/>
          <c:extLst>
            <c:ext xmlns:c16="http://schemas.microsoft.com/office/drawing/2014/chart" uri="{C3380CC4-5D6E-409C-BE32-E72D297353CC}">
              <c16:uniqueId val="{00000006-CACF-4709-AF25-55A391D97677}"/>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Children'!$BC$47:$BG$47</c:f>
              <c:numCache>
                <c:formatCode>0.0%</c:formatCode>
                <c:ptCount val="5"/>
                <c:pt idx="0">
                  <c:v>#N/A</c:v>
                </c:pt>
                <c:pt idx="1">
                  <c:v>0.12532411408815902</c:v>
                </c:pt>
                <c:pt idx="2">
                  <c:v>0.1262493424513414</c:v>
                </c:pt>
                <c:pt idx="3">
                  <c:v>0.11761121267519806</c:v>
                </c:pt>
                <c:pt idx="4">
                  <c:v>0.10377358490566038</c:v>
                </c:pt>
              </c:numCache>
            </c:numRef>
          </c:val>
          <c:smooth val="0"/>
          <c:extLst>
            <c:ext xmlns:c16="http://schemas.microsoft.com/office/drawing/2014/chart" uri="{C3380CC4-5D6E-409C-BE32-E72D297353CC}">
              <c16:uniqueId val="{00000007-CACF-4709-AF25-55A391D97677}"/>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Children'!$BC$48:$BG$48</c:f>
              <c:numCache>
                <c:formatCode>0.0%</c:formatCode>
                <c:ptCount val="5"/>
                <c:pt idx="0">
                  <c:v>#N/A</c:v>
                </c:pt>
                <c:pt idx="1">
                  <c:v>9.3023255813953487E-2</c:v>
                </c:pt>
                <c:pt idx="2">
                  <c:v>0.11538461538461539</c:v>
                </c:pt>
                <c:pt idx="3">
                  <c:v>9.9033816425120769E-2</c:v>
                </c:pt>
                <c:pt idx="4">
                  <c:v>9.4339622641509441E-2</c:v>
                </c:pt>
              </c:numCache>
            </c:numRef>
          </c:val>
          <c:smooth val="0"/>
          <c:extLst>
            <c:ext xmlns:c16="http://schemas.microsoft.com/office/drawing/2014/chart" uri="{C3380CC4-5D6E-409C-BE32-E72D297353CC}">
              <c16:uniqueId val="{00000008-CACF-4709-AF25-55A391D97677}"/>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Children'!$BC$49:$BG$49</c:f>
              <c:numCache>
                <c:formatCode>0.0%</c:formatCode>
                <c:ptCount val="5"/>
                <c:pt idx="0">
                  <c:v>#N/A</c:v>
                </c:pt>
                <c:pt idx="1">
                  <c:v>0.11594202898550725</c:v>
                </c:pt>
                <c:pt idx="2">
                  <c:v>8.8383838383838384E-2</c:v>
                </c:pt>
                <c:pt idx="3">
                  <c:v>0.1116751269035533</c:v>
                </c:pt>
                <c:pt idx="4">
                  <c:v>0.10761154855643044</c:v>
                </c:pt>
              </c:numCache>
            </c:numRef>
          </c:val>
          <c:smooth val="0"/>
          <c:extLst>
            <c:ext xmlns:c16="http://schemas.microsoft.com/office/drawing/2014/chart" uri="{C3380CC4-5D6E-409C-BE32-E72D297353CC}">
              <c16:uniqueId val="{00000009-CACF-4709-AF25-55A391D97677}"/>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Children'!$BC$50:$BG$50</c:f>
              <c:numCache>
                <c:formatCode>0.0%</c:formatCode>
                <c:ptCount val="5"/>
                <c:pt idx="0">
                  <c:v>#N/A</c:v>
                </c:pt>
                <c:pt idx="1">
                  <c:v>6.7453625632377737E-2</c:v>
                </c:pt>
                <c:pt idx="2">
                  <c:v>8.2582582582582581E-2</c:v>
                </c:pt>
                <c:pt idx="3">
                  <c:v>0.11257309941520467</c:v>
                </c:pt>
                <c:pt idx="4">
                  <c:v>9.2426187419768935E-2</c:v>
                </c:pt>
              </c:numCache>
            </c:numRef>
          </c:val>
          <c:smooth val="0"/>
          <c:extLst>
            <c:ext xmlns:c16="http://schemas.microsoft.com/office/drawing/2014/chart" uri="{C3380CC4-5D6E-409C-BE32-E72D297353CC}">
              <c16:uniqueId val="{0000000A-CACF-4709-AF25-55A391D97677}"/>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Children'!$BC$51:$BG$51</c:f>
              <c:numCache>
                <c:formatCode>0.0%</c:formatCode>
                <c:ptCount val="5"/>
                <c:pt idx="0">
                  <c:v>#N/A</c:v>
                </c:pt>
                <c:pt idx="1">
                  <c:v>0.15527950310559005</c:v>
                </c:pt>
                <c:pt idx="2">
                  <c:v>0.15363128491620112</c:v>
                </c:pt>
                <c:pt idx="3">
                  <c:v>0.14457831325301204</c:v>
                </c:pt>
                <c:pt idx="4">
                  <c:v>0.15843621399176955</c:v>
                </c:pt>
              </c:numCache>
            </c:numRef>
          </c:val>
          <c:smooth val="0"/>
          <c:extLst>
            <c:ext xmlns:c16="http://schemas.microsoft.com/office/drawing/2014/chart" uri="{C3380CC4-5D6E-409C-BE32-E72D297353CC}">
              <c16:uniqueId val="{0000000B-CACF-4709-AF25-55A391D97677}"/>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Children'!$BC$52:$BG$52</c:f>
              <c:numCache>
                <c:formatCode>0.0%</c:formatCode>
                <c:ptCount val="5"/>
                <c:pt idx="0">
                  <c:v>#N/A</c:v>
                </c:pt>
                <c:pt idx="1">
                  <c:v>9.0909090909090912E-2</c:v>
                </c:pt>
                <c:pt idx="2">
                  <c:v>3.8022813688212927E-2</c:v>
                </c:pt>
                <c:pt idx="3">
                  <c:v>0.11469534050179211</c:v>
                </c:pt>
                <c:pt idx="4">
                  <c:v>0.12087912087912088</c:v>
                </c:pt>
              </c:numCache>
            </c:numRef>
          </c:val>
          <c:smooth val="0"/>
          <c:extLst>
            <c:ext xmlns:c16="http://schemas.microsoft.com/office/drawing/2014/chart" uri="{C3380CC4-5D6E-409C-BE32-E72D297353CC}">
              <c16:uniqueId val="{0000000C-CACF-4709-AF25-55A391D97677}"/>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Children'!$BC$53:$BG$53</c:f>
              <c:numCache>
                <c:formatCode>0.0%</c:formatCode>
                <c:ptCount val="5"/>
                <c:pt idx="0">
                  <c:v>#N/A</c:v>
                </c:pt>
                <c:pt idx="1">
                  <c:v>0.13966480446927373</c:v>
                </c:pt>
                <c:pt idx="2">
                  <c:v>0.13157894736842105</c:v>
                </c:pt>
                <c:pt idx="3">
                  <c:v>0.16019417475728157</c:v>
                </c:pt>
                <c:pt idx="4">
                  <c:v>0.107981220657277</c:v>
                </c:pt>
              </c:numCache>
            </c:numRef>
          </c:val>
          <c:smooth val="0"/>
          <c:extLst>
            <c:ext xmlns:c16="http://schemas.microsoft.com/office/drawing/2014/chart" uri="{C3380CC4-5D6E-409C-BE32-E72D297353CC}">
              <c16:uniqueId val="{0000000D-CACF-4709-AF25-55A391D97677}"/>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Children'!$BC$54:$BG$54</c:f>
              <c:numCache>
                <c:formatCode>0.0%</c:formatCode>
                <c:ptCount val="5"/>
                <c:pt idx="0">
                  <c:v>#N/A</c:v>
                </c:pt>
                <c:pt idx="1">
                  <c:v>0.12974051896207583</c:v>
                </c:pt>
                <c:pt idx="2">
                  <c:v>0.10504201680672269</c:v>
                </c:pt>
                <c:pt idx="3">
                  <c:v>0.15473887814313347</c:v>
                </c:pt>
                <c:pt idx="4">
                  <c:v>0.14419475655430711</c:v>
                </c:pt>
              </c:numCache>
            </c:numRef>
          </c:val>
          <c:smooth val="0"/>
          <c:extLst>
            <c:ext xmlns:c16="http://schemas.microsoft.com/office/drawing/2014/chart" uri="{C3380CC4-5D6E-409C-BE32-E72D297353CC}">
              <c16:uniqueId val="{0000000E-CACF-4709-AF25-55A391D97677}"/>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Children'!$BC$55:$BG$55</c:f>
              <c:numCache>
                <c:formatCode>0.0%</c:formatCode>
                <c:ptCount val="5"/>
                <c:pt idx="0">
                  <c:v>#N/A</c:v>
                </c:pt>
                <c:pt idx="1">
                  <c:v>0.13536379018612521</c:v>
                </c:pt>
                <c:pt idx="2">
                  <c:v>0.12037037037037036</c:v>
                </c:pt>
                <c:pt idx="3">
                  <c:v>9.5785440613026823E-2</c:v>
                </c:pt>
                <c:pt idx="4">
                  <c:v>0.12474012474012475</c:v>
                </c:pt>
              </c:numCache>
            </c:numRef>
          </c:val>
          <c:smooth val="0"/>
          <c:extLst>
            <c:ext xmlns:c16="http://schemas.microsoft.com/office/drawing/2014/chart" uri="{C3380CC4-5D6E-409C-BE32-E72D297353CC}">
              <c16:uniqueId val="{0000000F-CACF-4709-AF25-55A391D97677}"/>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Children'!$BC$56:$BG$56</c:f>
              <c:numCache>
                <c:formatCode>0.0%</c:formatCode>
                <c:ptCount val="5"/>
                <c:pt idx="0">
                  <c:v>#N/A</c:v>
                </c:pt>
                <c:pt idx="1">
                  <c:v>0.10380622837370242</c:v>
                </c:pt>
                <c:pt idx="2">
                  <c:v>8.0552359033371698E-2</c:v>
                </c:pt>
                <c:pt idx="3">
                  <c:v>7.6344086021505372E-2</c:v>
                </c:pt>
                <c:pt idx="4">
                  <c:v>9.044193216855087E-2</c:v>
                </c:pt>
              </c:numCache>
            </c:numRef>
          </c:val>
          <c:smooth val="0"/>
          <c:extLst>
            <c:ext xmlns:c16="http://schemas.microsoft.com/office/drawing/2014/chart" uri="{C3380CC4-5D6E-409C-BE32-E72D297353CC}">
              <c16:uniqueId val="{00000010-CACF-4709-AF25-55A391D97677}"/>
            </c:ext>
          </c:extLst>
        </c:ser>
        <c:ser>
          <c:idx val="7"/>
          <c:order val="16"/>
          <c:tx>
            <c:strRef>
              <c:f>'Looked After Children'!$AL$57</c:f>
              <c:strCache>
                <c:ptCount val="1"/>
                <c:pt idx="0">
                  <c:v>Swindon</c:v>
                </c:pt>
              </c:strCache>
            </c:strRef>
          </c:tx>
          <c:spPr>
            <a:ln w="15875"/>
          </c:spPr>
          <c:marker>
            <c:symbol val="triangle"/>
            <c:size val="5"/>
            <c:spPr>
              <a:solidFill>
                <a:schemeClr val="accent2">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Children'!$BC$57:$BG$57</c:f>
              <c:numCache>
                <c:formatCode>0.0%</c:formatCode>
                <c:ptCount val="5"/>
                <c:pt idx="0">
                  <c:v>#N/A</c:v>
                </c:pt>
                <c:pt idx="1">
                  <c:v>0.10238907849829351</c:v>
                </c:pt>
                <c:pt idx="2">
                  <c:v>0.12121212121212122</c:v>
                </c:pt>
                <c:pt idx="3">
                  <c:v>0.12222222222222222</c:v>
                </c:pt>
                <c:pt idx="4">
                  <c:v>7.183908045977011E-2</c:v>
                </c:pt>
              </c:numCache>
            </c:numRef>
          </c:val>
          <c:smooth val="0"/>
          <c:extLst>
            <c:ext xmlns:c16="http://schemas.microsoft.com/office/drawing/2014/chart" uri="{C3380CC4-5D6E-409C-BE32-E72D297353CC}">
              <c16:uniqueId val="{00000011-CACF-4709-AF25-55A391D97677}"/>
            </c:ext>
          </c:extLst>
        </c:ser>
        <c:ser>
          <c:idx val="8"/>
          <c:order val="17"/>
          <c:tx>
            <c:strRef>
              <c:f>'Looked After Children'!$AL$58</c:f>
              <c:strCache>
                <c:ptCount val="1"/>
                <c:pt idx="0">
                  <c:v>Torbay</c:v>
                </c:pt>
              </c:strCache>
            </c:strRef>
          </c:tx>
          <c:spPr>
            <a:ln w="15875"/>
          </c:spPr>
          <c:marker>
            <c:symbol val="circle"/>
            <c:size val="5"/>
            <c:spPr>
              <a:solidFill>
                <a:schemeClr val="accent3">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Children'!$BC$58:$BG$58</c:f>
              <c:numCache>
                <c:formatCode>0.0%</c:formatCode>
                <c:ptCount val="5"/>
                <c:pt idx="0">
                  <c:v>#N/A</c:v>
                </c:pt>
                <c:pt idx="1">
                  <c:v>0.21505376344086022</c:v>
                </c:pt>
                <c:pt idx="2">
                  <c:v>0.25951557093425603</c:v>
                </c:pt>
                <c:pt idx="3">
                  <c:v>0.25227963525835867</c:v>
                </c:pt>
                <c:pt idx="4">
                  <c:v>0.11049723756906077</c:v>
                </c:pt>
              </c:numCache>
            </c:numRef>
          </c:val>
          <c:smooth val="0"/>
          <c:extLst>
            <c:ext xmlns:c16="http://schemas.microsoft.com/office/drawing/2014/chart" uri="{C3380CC4-5D6E-409C-BE32-E72D297353CC}">
              <c16:uniqueId val="{00000012-CACF-4709-AF25-55A391D97677}"/>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Children'!$BC$59:$BG$59</c:f>
              <c:numCache>
                <c:formatCode>0.0%</c:formatCode>
                <c:ptCount val="5"/>
                <c:pt idx="0">
                  <c:v>#N/A</c:v>
                </c:pt>
                <c:pt idx="1">
                  <c:v>6.3694267515923567E-2</c:v>
                </c:pt>
                <c:pt idx="2">
                  <c:v>9.3167701863354033E-2</c:v>
                </c:pt>
                <c:pt idx="3">
                  <c:v>5.5172413793103448E-2</c:v>
                </c:pt>
                <c:pt idx="4">
                  <c:v>9.8837209302325577E-2</c:v>
                </c:pt>
              </c:numCache>
            </c:numRef>
          </c:val>
          <c:smooth val="0"/>
          <c:extLst>
            <c:ext xmlns:c16="http://schemas.microsoft.com/office/drawing/2014/chart" uri="{C3380CC4-5D6E-409C-BE32-E72D297353CC}">
              <c16:uniqueId val="{00000013-CACF-4709-AF25-55A391D97677}"/>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Children'!$BC$60:$BG$60</c:f>
              <c:numCache>
                <c:formatCode>0.0%</c:formatCode>
                <c:ptCount val="5"/>
                <c:pt idx="0">
                  <c:v>#N/A</c:v>
                </c:pt>
                <c:pt idx="1">
                  <c:v>0.10954616588419405</c:v>
                </c:pt>
                <c:pt idx="2">
                  <c:v>0.12066365007541478</c:v>
                </c:pt>
                <c:pt idx="3">
                  <c:v>0.140625</c:v>
                </c:pt>
                <c:pt idx="4">
                  <c:v>0.10227272727272728</c:v>
                </c:pt>
              </c:numCache>
            </c:numRef>
          </c:val>
          <c:smooth val="0"/>
          <c:extLst>
            <c:ext xmlns:c16="http://schemas.microsoft.com/office/drawing/2014/chart" uri="{C3380CC4-5D6E-409C-BE32-E72D297353CC}">
              <c16:uniqueId val="{00000014-CACF-4709-AF25-55A391D97677}"/>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Children'!$BC$61:$BG$61</c:f>
              <c:numCache>
                <c:formatCode>0.0%</c:formatCode>
                <c:ptCount val="5"/>
                <c:pt idx="0">
                  <c:v>#N/A</c:v>
                </c:pt>
                <c:pt idx="1">
                  <c:v>0.16853932584269662</c:v>
                </c:pt>
                <c:pt idx="2">
                  <c:v>0.13761467889908258</c:v>
                </c:pt>
                <c:pt idx="3">
                  <c:v>0.13084112149532709</c:v>
                </c:pt>
                <c:pt idx="4">
                  <c:v>0.15322580645161291</c:v>
                </c:pt>
              </c:numCache>
            </c:numRef>
          </c:val>
          <c:smooth val="0"/>
          <c:extLst>
            <c:ext xmlns:c16="http://schemas.microsoft.com/office/drawing/2014/chart" uri="{C3380CC4-5D6E-409C-BE32-E72D297353CC}">
              <c16:uniqueId val="{00000015-CACF-4709-AF25-55A391D97677}"/>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Children'!$BC$62:$BG$62</c:f>
              <c:numCache>
                <c:formatCode>0.0%</c:formatCode>
                <c:ptCount val="5"/>
                <c:pt idx="0">
                  <c:v>#N/A</c:v>
                </c:pt>
                <c:pt idx="1">
                  <c:v>0.12345679012345678</c:v>
                </c:pt>
                <c:pt idx="2">
                  <c:v>0.2</c:v>
                </c:pt>
                <c:pt idx="3">
                  <c:v>0.13207547169811321</c:v>
                </c:pt>
                <c:pt idx="4">
                  <c:v>0.1</c:v>
                </c:pt>
              </c:numCache>
            </c:numRef>
          </c:val>
          <c:smooth val="0"/>
          <c:extLst>
            <c:ext xmlns:c16="http://schemas.microsoft.com/office/drawing/2014/chart" uri="{C3380CC4-5D6E-409C-BE32-E72D297353CC}">
              <c16:uniqueId val="{00000016-CACF-4709-AF25-55A391D97677}"/>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Children'!$BC$63:$BG$63</c:f>
              <c:numCache>
                <c:formatCode>0.0%</c:formatCode>
                <c:ptCount val="5"/>
                <c:pt idx="0">
                  <c:v>#N/A</c:v>
                </c:pt>
                <c:pt idx="1">
                  <c:v>0.12203767470123557</c:v>
                </c:pt>
                <c:pt idx="2">
                  <c:v>0.11698880976602238</c:v>
                </c:pt>
                <c:pt idx="3">
                  <c:v>0.11902380476095219</c:v>
                </c:pt>
                <c:pt idx="4">
                  <c:v>0.11574749537982687</c:v>
                </c:pt>
              </c:numCache>
            </c:numRef>
          </c:val>
          <c:smooth val="0"/>
          <c:extLst>
            <c:ext xmlns:c16="http://schemas.microsoft.com/office/drawing/2014/chart" uri="{C3380CC4-5D6E-409C-BE32-E72D297353CC}">
              <c16:uniqueId val="{00000017-CACF-4709-AF25-55A391D97677}"/>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Children'!$BC$64:$BG$64</c:f>
              <c:numCache>
                <c:formatCode>0.0%</c:formatCode>
                <c:ptCount val="5"/>
                <c:pt idx="0">
                  <c:v>#N/A</c:v>
                </c:pt>
                <c:pt idx="1">
                  <c:v>0.10296832836244851</c:v>
                </c:pt>
                <c:pt idx="2">
                  <c:v>0.103567001790387</c:v>
                </c:pt>
                <c:pt idx="3">
                  <c:v>0.10468356109858033</c:v>
                </c:pt>
                <c:pt idx="4">
                  <c:v>0.10377479206653871</c:v>
                </c:pt>
              </c:numCache>
            </c:numRef>
          </c:val>
          <c:smooth val="0"/>
          <c:extLst>
            <c:ext xmlns:c16="http://schemas.microsoft.com/office/drawing/2014/chart" uri="{C3380CC4-5D6E-409C-BE32-E72D297353CC}">
              <c16:uniqueId val="{00000018-CACF-4709-AF25-55A391D97677}"/>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Children'!$BC$65:$BG$65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CACF-4709-AF25-55A391D97677}"/>
            </c:ext>
          </c:extLst>
        </c:ser>
        <c:dLbls>
          <c:showLegendKey val="0"/>
          <c:showVal val="0"/>
          <c:showCatName val="0"/>
          <c:showSerName val="0"/>
          <c:showPercent val="0"/>
          <c:showBubbleSize val="0"/>
        </c:dLbls>
        <c:marker val="1"/>
        <c:smooth val="0"/>
        <c:axId val="291055104"/>
        <c:axId val="291056640"/>
      </c:lineChart>
      <c:catAx>
        <c:axId val="291055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056640"/>
        <c:crosses val="autoZero"/>
        <c:auto val="1"/>
        <c:lblAlgn val="ctr"/>
        <c:lblOffset val="100"/>
        <c:tickLblSkip val="1"/>
        <c:tickMarkSkip val="1"/>
        <c:noMultiLvlLbl val="0"/>
      </c:catAx>
      <c:valAx>
        <c:axId val="291056640"/>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05510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688613315662184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Proportion of Referrals with prior Early Help Intervention</a:t>
            </a:r>
          </a:p>
        </c:rich>
      </c:tx>
      <c:layout>
        <c:manualLayout>
          <c:xMode val="edge"/>
          <c:yMode val="edge"/>
          <c:x val="0.11295666613101933"/>
          <c:y val="1.8729793519741571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Referrals!$AL$41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003E-405C-B911-6CFEE3E9B57F}"/>
              </c:ext>
            </c:extLst>
          </c:dPt>
          <c:cat>
            <c:strRef>
              <c:f>Referrals!$Z$2:$AD$3</c:f>
              <c:strCache>
                <c:ptCount val="5"/>
                <c:pt idx="0">
                  <c:v>2014-15</c:v>
                </c:pt>
                <c:pt idx="1">
                  <c:v>2015-16</c:v>
                </c:pt>
                <c:pt idx="2">
                  <c:v>2016-17</c:v>
                </c:pt>
                <c:pt idx="3">
                  <c:v>2017-18</c:v>
                </c:pt>
                <c:pt idx="4">
                  <c:v>2018-19</c:v>
                </c:pt>
              </c:strCache>
            </c:strRef>
          </c:cat>
          <c:val>
            <c:numRef>
              <c:f>Referrals!$AX$41:$BB$41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03E-405C-B911-6CFEE3E9B57F}"/>
            </c:ext>
          </c:extLst>
        </c:ser>
        <c:ser>
          <c:idx val="1"/>
          <c:order val="1"/>
          <c:tx>
            <c:strRef>
              <c:f>Referrals!$AL$42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Referrals!$Z$2:$AD$3</c:f>
              <c:strCache>
                <c:ptCount val="5"/>
                <c:pt idx="0">
                  <c:v>2014-15</c:v>
                </c:pt>
                <c:pt idx="1">
                  <c:v>2015-16</c:v>
                </c:pt>
                <c:pt idx="2">
                  <c:v>2016-17</c:v>
                </c:pt>
                <c:pt idx="3">
                  <c:v>2017-18</c:v>
                </c:pt>
                <c:pt idx="4">
                  <c:v>2018-19</c:v>
                </c:pt>
              </c:strCache>
            </c:strRef>
          </c:cat>
          <c:val>
            <c:numRef>
              <c:f>Referrals!$AX$42:$BB$42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003E-405C-B911-6CFEE3E9B57F}"/>
            </c:ext>
          </c:extLst>
        </c:ser>
        <c:ser>
          <c:idx val="2"/>
          <c:order val="2"/>
          <c:tx>
            <c:strRef>
              <c:f>Referrals!$AL$43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Referrals!$Z$2:$AD$3</c:f>
              <c:strCache>
                <c:ptCount val="5"/>
                <c:pt idx="0">
                  <c:v>2014-15</c:v>
                </c:pt>
                <c:pt idx="1">
                  <c:v>2015-16</c:v>
                </c:pt>
                <c:pt idx="2">
                  <c:v>2016-17</c:v>
                </c:pt>
                <c:pt idx="3">
                  <c:v>2017-18</c:v>
                </c:pt>
                <c:pt idx="4">
                  <c:v>2018-19</c:v>
                </c:pt>
              </c:strCache>
            </c:strRef>
          </c:cat>
          <c:val>
            <c:numRef>
              <c:f>Referrals!$AX$43:$BB$43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003E-405C-B911-6CFEE3E9B57F}"/>
            </c:ext>
          </c:extLst>
        </c:ser>
        <c:ser>
          <c:idx val="5"/>
          <c:order val="3"/>
          <c:tx>
            <c:strRef>
              <c:f>Referrals!$AL$44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Referrals!$Z$2:$AD$3</c:f>
              <c:strCache>
                <c:ptCount val="5"/>
                <c:pt idx="0">
                  <c:v>2014-15</c:v>
                </c:pt>
                <c:pt idx="1">
                  <c:v>2015-16</c:v>
                </c:pt>
                <c:pt idx="2">
                  <c:v>2016-17</c:v>
                </c:pt>
                <c:pt idx="3">
                  <c:v>2017-18</c:v>
                </c:pt>
                <c:pt idx="4">
                  <c:v>2018-19</c:v>
                </c:pt>
              </c:strCache>
            </c:strRef>
          </c:cat>
          <c:val>
            <c:numRef>
              <c:f>Referrals!$AX$44:$BB$44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003E-405C-B911-6CFEE3E9B57F}"/>
            </c:ext>
          </c:extLst>
        </c:ser>
        <c:ser>
          <c:idx val="9"/>
          <c:order val="4"/>
          <c:tx>
            <c:strRef>
              <c:f>Referrals!$AL$45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Referrals!$Z$2:$AD$3</c:f>
              <c:strCache>
                <c:ptCount val="5"/>
                <c:pt idx="0">
                  <c:v>2014-15</c:v>
                </c:pt>
                <c:pt idx="1">
                  <c:v>2015-16</c:v>
                </c:pt>
                <c:pt idx="2">
                  <c:v>2016-17</c:v>
                </c:pt>
                <c:pt idx="3">
                  <c:v>2017-18</c:v>
                </c:pt>
                <c:pt idx="4">
                  <c:v>2018-19</c:v>
                </c:pt>
              </c:strCache>
            </c:strRef>
          </c:cat>
          <c:val>
            <c:numRef>
              <c:f>Referrals!$AX$45:$BB$45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003E-405C-B911-6CFEE3E9B57F}"/>
            </c:ext>
          </c:extLst>
        </c:ser>
        <c:ser>
          <c:idx val="10"/>
          <c:order val="5"/>
          <c:tx>
            <c:strRef>
              <c:f>Referrals!$AL$46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Referrals!$Z$2:$AD$3</c:f>
              <c:strCache>
                <c:ptCount val="5"/>
                <c:pt idx="0">
                  <c:v>2014-15</c:v>
                </c:pt>
                <c:pt idx="1">
                  <c:v>2015-16</c:v>
                </c:pt>
                <c:pt idx="2">
                  <c:v>2016-17</c:v>
                </c:pt>
                <c:pt idx="3">
                  <c:v>2017-18</c:v>
                </c:pt>
                <c:pt idx="4">
                  <c:v>2018-19</c:v>
                </c:pt>
              </c:strCache>
            </c:strRef>
          </c:cat>
          <c:val>
            <c:numRef>
              <c:f>Referrals!$AX$46:$BB$46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003E-405C-B911-6CFEE3E9B57F}"/>
            </c:ext>
          </c:extLst>
        </c:ser>
        <c:ser>
          <c:idx val="11"/>
          <c:order val="6"/>
          <c:tx>
            <c:strRef>
              <c:f>Referrals!$AL$47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Referrals!$Z$2:$AD$3</c:f>
              <c:strCache>
                <c:ptCount val="5"/>
                <c:pt idx="0">
                  <c:v>2014-15</c:v>
                </c:pt>
                <c:pt idx="1">
                  <c:v>2015-16</c:v>
                </c:pt>
                <c:pt idx="2">
                  <c:v>2016-17</c:v>
                </c:pt>
                <c:pt idx="3">
                  <c:v>2017-18</c:v>
                </c:pt>
                <c:pt idx="4">
                  <c:v>2018-19</c:v>
                </c:pt>
              </c:strCache>
            </c:strRef>
          </c:cat>
          <c:val>
            <c:numRef>
              <c:f>Referrals!$AX$47:$BB$47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003E-405C-B911-6CFEE3E9B57F}"/>
            </c:ext>
          </c:extLst>
        </c:ser>
        <c:ser>
          <c:idx val="12"/>
          <c:order val="7"/>
          <c:tx>
            <c:strRef>
              <c:f>Referrals!$AL$48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Referrals!$Z$2:$AD$3</c:f>
              <c:strCache>
                <c:ptCount val="5"/>
                <c:pt idx="0">
                  <c:v>2014-15</c:v>
                </c:pt>
                <c:pt idx="1">
                  <c:v>2015-16</c:v>
                </c:pt>
                <c:pt idx="2">
                  <c:v>2016-17</c:v>
                </c:pt>
                <c:pt idx="3">
                  <c:v>2017-18</c:v>
                </c:pt>
                <c:pt idx="4">
                  <c:v>2018-19</c:v>
                </c:pt>
              </c:strCache>
            </c:strRef>
          </c:cat>
          <c:val>
            <c:numRef>
              <c:f>Referrals!$AX$48:$BB$48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003E-405C-B911-6CFEE3E9B57F}"/>
            </c:ext>
          </c:extLst>
        </c:ser>
        <c:ser>
          <c:idx val="13"/>
          <c:order val="8"/>
          <c:tx>
            <c:strRef>
              <c:f>Referrals!$AL$49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Referrals!$Z$2:$AD$3</c:f>
              <c:strCache>
                <c:ptCount val="5"/>
                <c:pt idx="0">
                  <c:v>2014-15</c:v>
                </c:pt>
                <c:pt idx="1">
                  <c:v>2015-16</c:v>
                </c:pt>
                <c:pt idx="2">
                  <c:v>2016-17</c:v>
                </c:pt>
                <c:pt idx="3">
                  <c:v>2017-18</c:v>
                </c:pt>
                <c:pt idx="4">
                  <c:v>2018-19</c:v>
                </c:pt>
              </c:strCache>
            </c:strRef>
          </c:cat>
          <c:val>
            <c:numRef>
              <c:f>Referrals!$AX$49:$BB$49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003E-405C-B911-6CFEE3E9B57F}"/>
            </c:ext>
          </c:extLst>
        </c:ser>
        <c:ser>
          <c:idx val="15"/>
          <c:order val="9"/>
          <c:tx>
            <c:strRef>
              <c:f>Referrals!$AL$50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Referrals!$Z$2:$AD$3</c:f>
              <c:strCache>
                <c:ptCount val="5"/>
                <c:pt idx="0">
                  <c:v>2014-15</c:v>
                </c:pt>
                <c:pt idx="1">
                  <c:v>2015-16</c:v>
                </c:pt>
                <c:pt idx="2">
                  <c:v>2016-17</c:v>
                </c:pt>
                <c:pt idx="3">
                  <c:v>2017-18</c:v>
                </c:pt>
                <c:pt idx="4">
                  <c:v>2018-19</c:v>
                </c:pt>
              </c:strCache>
            </c:strRef>
          </c:cat>
          <c:val>
            <c:numRef>
              <c:f>Referrals!$AX$50:$BB$50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003E-405C-B911-6CFEE3E9B57F}"/>
            </c:ext>
          </c:extLst>
        </c:ser>
        <c:ser>
          <c:idx val="16"/>
          <c:order val="10"/>
          <c:tx>
            <c:strRef>
              <c:f>Referrals!$AL$51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Referrals!$Z$2:$AD$3</c:f>
              <c:strCache>
                <c:ptCount val="5"/>
                <c:pt idx="0">
                  <c:v>2014-15</c:v>
                </c:pt>
                <c:pt idx="1">
                  <c:v>2015-16</c:v>
                </c:pt>
                <c:pt idx="2">
                  <c:v>2016-17</c:v>
                </c:pt>
                <c:pt idx="3">
                  <c:v>2017-18</c:v>
                </c:pt>
                <c:pt idx="4">
                  <c:v>2018-19</c:v>
                </c:pt>
              </c:strCache>
            </c:strRef>
          </c:cat>
          <c:val>
            <c:numRef>
              <c:f>Referrals!$AX$51:$BB$51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003E-405C-B911-6CFEE3E9B57F}"/>
            </c:ext>
          </c:extLst>
        </c:ser>
        <c:ser>
          <c:idx val="17"/>
          <c:order val="11"/>
          <c:tx>
            <c:strRef>
              <c:f>Referrals!$AL$52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Referrals!$Z$2:$AD$3</c:f>
              <c:strCache>
                <c:ptCount val="5"/>
                <c:pt idx="0">
                  <c:v>2014-15</c:v>
                </c:pt>
                <c:pt idx="1">
                  <c:v>2015-16</c:v>
                </c:pt>
                <c:pt idx="2">
                  <c:v>2016-17</c:v>
                </c:pt>
                <c:pt idx="3">
                  <c:v>2017-18</c:v>
                </c:pt>
                <c:pt idx="4">
                  <c:v>2018-19</c:v>
                </c:pt>
              </c:strCache>
            </c:strRef>
          </c:cat>
          <c:val>
            <c:numRef>
              <c:f>Referrals!$AX$52:$BB$52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003E-405C-B911-6CFEE3E9B57F}"/>
            </c:ext>
          </c:extLst>
        </c:ser>
        <c:ser>
          <c:idx val="19"/>
          <c:order val="12"/>
          <c:tx>
            <c:strRef>
              <c:f>Referrals!$AL$53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Referrals!$Z$2:$AD$3</c:f>
              <c:strCache>
                <c:ptCount val="5"/>
                <c:pt idx="0">
                  <c:v>2014-15</c:v>
                </c:pt>
                <c:pt idx="1">
                  <c:v>2015-16</c:v>
                </c:pt>
                <c:pt idx="2">
                  <c:v>2016-17</c:v>
                </c:pt>
                <c:pt idx="3">
                  <c:v>2017-18</c:v>
                </c:pt>
                <c:pt idx="4">
                  <c:v>2018-19</c:v>
                </c:pt>
              </c:strCache>
            </c:strRef>
          </c:cat>
          <c:val>
            <c:numRef>
              <c:f>Referrals!$AX$53:$BB$53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003E-405C-B911-6CFEE3E9B57F}"/>
            </c:ext>
          </c:extLst>
        </c:ser>
        <c:ser>
          <c:idx val="3"/>
          <c:order val="13"/>
          <c:tx>
            <c:strRef>
              <c:f>Referrals!$AL$54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Referrals!$Z$2:$AD$3</c:f>
              <c:strCache>
                <c:ptCount val="5"/>
                <c:pt idx="0">
                  <c:v>2014-15</c:v>
                </c:pt>
                <c:pt idx="1">
                  <c:v>2015-16</c:v>
                </c:pt>
                <c:pt idx="2">
                  <c:v>2016-17</c:v>
                </c:pt>
                <c:pt idx="3">
                  <c:v>2017-18</c:v>
                </c:pt>
                <c:pt idx="4">
                  <c:v>2018-19</c:v>
                </c:pt>
              </c:strCache>
            </c:strRef>
          </c:cat>
          <c:val>
            <c:numRef>
              <c:f>Referrals!$AX$54:$BB$54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003E-405C-B911-6CFEE3E9B57F}"/>
            </c:ext>
          </c:extLst>
        </c:ser>
        <c:ser>
          <c:idx val="20"/>
          <c:order val="14"/>
          <c:tx>
            <c:strRef>
              <c:f>Referrals!$AL$55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Referrals!$Z$2:$AD$3</c:f>
              <c:strCache>
                <c:ptCount val="5"/>
                <c:pt idx="0">
                  <c:v>2014-15</c:v>
                </c:pt>
                <c:pt idx="1">
                  <c:v>2015-16</c:v>
                </c:pt>
                <c:pt idx="2">
                  <c:v>2016-17</c:v>
                </c:pt>
                <c:pt idx="3">
                  <c:v>2017-18</c:v>
                </c:pt>
                <c:pt idx="4">
                  <c:v>2018-19</c:v>
                </c:pt>
              </c:strCache>
            </c:strRef>
          </c:cat>
          <c:val>
            <c:numRef>
              <c:f>Referrals!$AX$55:$BB$55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003E-405C-B911-6CFEE3E9B57F}"/>
            </c:ext>
          </c:extLst>
        </c:ser>
        <c:ser>
          <c:idx val="22"/>
          <c:order val="15"/>
          <c:tx>
            <c:strRef>
              <c:f>Referrals!$AL$56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Referrals!$Z$2:$AD$3</c:f>
              <c:strCache>
                <c:ptCount val="5"/>
                <c:pt idx="0">
                  <c:v>2014-15</c:v>
                </c:pt>
                <c:pt idx="1">
                  <c:v>2015-16</c:v>
                </c:pt>
                <c:pt idx="2">
                  <c:v>2016-17</c:v>
                </c:pt>
                <c:pt idx="3">
                  <c:v>2017-18</c:v>
                </c:pt>
                <c:pt idx="4">
                  <c:v>2018-19</c:v>
                </c:pt>
              </c:strCache>
            </c:strRef>
          </c:cat>
          <c:val>
            <c:numRef>
              <c:f>Referrals!$AX$56:$BB$56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003E-405C-B911-6CFEE3E9B57F}"/>
            </c:ext>
          </c:extLst>
        </c:ser>
        <c:ser>
          <c:idx val="7"/>
          <c:order val="16"/>
          <c:tx>
            <c:strRef>
              <c:f>Referrals!$AL$57</c:f>
              <c:strCache>
                <c:ptCount val="1"/>
                <c:pt idx="0">
                  <c:v>Swindon</c:v>
                </c:pt>
              </c:strCache>
            </c:strRef>
          </c:tx>
          <c:spPr>
            <a:ln w="15875"/>
          </c:spPr>
          <c:marker>
            <c:symbol val="triangle"/>
            <c:size val="5"/>
            <c:spPr>
              <a:solidFill>
                <a:schemeClr val="accent2">
                  <a:lumMod val="20000"/>
                  <a:lumOff val="80000"/>
                </a:schemeClr>
              </a:solidFill>
            </c:spPr>
          </c:marker>
          <c:cat>
            <c:strRef>
              <c:f>Referrals!$Z$2:$AD$3</c:f>
              <c:strCache>
                <c:ptCount val="5"/>
                <c:pt idx="0">
                  <c:v>2014-15</c:v>
                </c:pt>
                <c:pt idx="1">
                  <c:v>2015-16</c:v>
                </c:pt>
                <c:pt idx="2">
                  <c:v>2016-17</c:v>
                </c:pt>
                <c:pt idx="3">
                  <c:v>2017-18</c:v>
                </c:pt>
                <c:pt idx="4">
                  <c:v>2018-19</c:v>
                </c:pt>
              </c:strCache>
            </c:strRef>
          </c:cat>
          <c:val>
            <c:numRef>
              <c:f>Referrals!$AX$57:$BB$57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003E-405C-B911-6CFEE3E9B57F}"/>
            </c:ext>
          </c:extLst>
        </c:ser>
        <c:ser>
          <c:idx val="8"/>
          <c:order val="17"/>
          <c:tx>
            <c:strRef>
              <c:f>Referrals!$AL$58</c:f>
              <c:strCache>
                <c:ptCount val="1"/>
                <c:pt idx="0">
                  <c:v>Torbay</c:v>
                </c:pt>
              </c:strCache>
            </c:strRef>
          </c:tx>
          <c:spPr>
            <a:ln w="15875"/>
          </c:spPr>
          <c:marker>
            <c:symbol val="circle"/>
            <c:size val="5"/>
            <c:spPr>
              <a:solidFill>
                <a:schemeClr val="accent3">
                  <a:lumMod val="20000"/>
                  <a:lumOff val="80000"/>
                </a:schemeClr>
              </a:solidFill>
            </c:spPr>
          </c:marker>
          <c:cat>
            <c:strRef>
              <c:f>Referrals!$Z$2:$AD$3</c:f>
              <c:strCache>
                <c:ptCount val="5"/>
                <c:pt idx="0">
                  <c:v>2014-15</c:v>
                </c:pt>
                <c:pt idx="1">
                  <c:v>2015-16</c:v>
                </c:pt>
                <c:pt idx="2">
                  <c:v>2016-17</c:v>
                </c:pt>
                <c:pt idx="3">
                  <c:v>2017-18</c:v>
                </c:pt>
                <c:pt idx="4">
                  <c:v>2018-19</c:v>
                </c:pt>
              </c:strCache>
            </c:strRef>
          </c:cat>
          <c:val>
            <c:numRef>
              <c:f>Referrals!$AX$58:$BB$58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003E-405C-B911-6CFEE3E9B57F}"/>
            </c:ext>
          </c:extLst>
        </c:ser>
        <c:ser>
          <c:idx val="23"/>
          <c:order val="18"/>
          <c:tx>
            <c:strRef>
              <c:f>Referrals!$AL$59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Referrals!$Z$2:$AD$3</c:f>
              <c:strCache>
                <c:ptCount val="5"/>
                <c:pt idx="0">
                  <c:v>2014-15</c:v>
                </c:pt>
                <c:pt idx="1">
                  <c:v>2015-16</c:v>
                </c:pt>
                <c:pt idx="2">
                  <c:v>2016-17</c:v>
                </c:pt>
                <c:pt idx="3">
                  <c:v>2017-18</c:v>
                </c:pt>
                <c:pt idx="4">
                  <c:v>2018-19</c:v>
                </c:pt>
              </c:strCache>
            </c:strRef>
          </c:cat>
          <c:val>
            <c:numRef>
              <c:f>Referrals!$AX$59:$BB$59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003E-405C-B911-6CFEE3E9B57F}"/>
            </c:ext>
          </c:extLst>
        </c:ser>
        <c:ser>
          <c:idx val="24"/>
          <c:order val="19"/>
          <c:tx>
            <c:strRef>
              <c:f>Referrals!$AL$60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Referrals!$Z$2:$AD$3</c:f>
              <c:strCache>
                <c:ptCount val="5"/>
                <c:pt idx="0">
                  <c:v>2014-15</c:v>
                </c:pt>
                <c:pt idx="1">
                  <c:v>2015-16</c:v>
                </c:pt>
                <c:pt idx="2">
                  <c:v>2016-17</c:v>
                </c:pt>
                <c:pt idx="3">
                  <c:v>2017-18</c:v>
                </c:pt>
                <c:pt idx="4">
                  <c:v>2018-19</c:v>
                </c:pt>
              </c:strCache>
            </c:strRef>
          </c:cat>
          <c:val>
            <c:numRef>
              <c:f>Referrals!$AX$60:$BB$60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003E-405C-B911-6CFEE3E9B57F}"/>
            </c:ext>
          </c:extLst>
        </c:ser>
        <c:ser>
          <c:idx val="25"/>
          <c:order val="20"/>
          <c:tx>
            <c:strRef>
              <c:f>Referrals!$AL$61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Referrals!$Z$2:$AD$3</c:f>
              <c:strCache>
                <c:ptCount val="5"/>
                <c:pt idx="0">
                  <c:v>2014-15</c:v>
                </c:pt>
                <c:pt idx="1">
                  <c:v>2015-16</c:v>
                </c:pt>
                <c:pt idx="2">
                  <c:v>2016-17</c:v>
                </c:pt>
                <c:pt idx="3">
                  <c:v>2017-18</c:v>
                </c:pt>
                <c:pt idx="4">
                  <c:v>2018-19</c:v>
                </c:pt>
              </c:strCache>
            </c:strRef>
          </c:cat>
          <c:val>
            <c:numRef>
              <c:f>Referrals!$AX$61:$BB$61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003E-405C-B911-6CFEE3E9B57F}"/>
            </c:ext>
          </c:extLst>
        </c:ser>
        <c:ser>
          <c:idx val="26"/>
          <c:order val="21"/>
          <c:tx>
            <c:strRef>
              <c:f>Referrals!$AL$62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Referrals!$Z$2:$AD$3</c:f>
              <c:strCache>
                <c:ptCount val="5"/>
                <c:pt idx="0">
                  <c:v>2014-15</c:v>
                </c:pt>
                <c:pt idx="1">
                  <c:v>2015-16</c:v>
                </c:pt>
                <c:pt idx="2">
                  <c:v>2016-17</c:v>
                </c:pt>
                <c:pt idx="3">
                  <c:v>2017-18</c:v>
                </c:pt>
                <c:pt idx="4">
                  <c:v>2018-19</c:v>
                </c:pt>
              </c:strCache>
            </c:strRef>
          </c:cat>
          <c:val>
            <c:numRef>
              <c:f>Referrals!$AX$62:$BB$62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003E-405C-B911-6CFEE3E9B57F}"/>
            </c:ext>
          </c:extLst>
        </c:ser>
        <c:ser>
          <c:idx val="4"/>
          <c:order val="22"/>
          <c:tx>
            <c:strRef>
              <c:f>Referrals!$AL$63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Referrals!$Z$2:$AD$3</c:f>
              <c:strCache>
                <c:ptCount val="5"/>
                <c:pt idx="0">
                  <c:v>2014-15</c:v>
                </c:pt>
                <c:pt idx="1">
                  <c:v>2015-16</c:v>
                </c:pt>
                <c:pt idx="2">
                  <c:v>2016-17</c:v>
                </c:pt>
                <c:pt idx="3">
                  <c:v>2017-18</c:v>
                </c:pt>
                <c:pt idx="4">
                  <c:v>2018-19</c:v>
                </c:pt>
              </c:strCache>
            </c:strRef>
          </c:cat>
          <c:val>
            <c:numRef>
              <c:f>Referrals!$AX$63:$BB$63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003E-405C-B911-6CFEE3E9B57F}"/>
            </c:ext>
          </c:extLst>
        </c:ser>
        <c:ser>
          <c:idx val="14"/>
          <c:order val="23"/>
          <c:tx>
            <c:strRef>
              <c:f>Referrals!$AL$64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Referrals!$Z$2:$AD$3</c:f>
              <c:strCache>
                <c:ptCount val="5"/>
                <c:pt idx="0">
                  <c:v>2014-15</c:v>
                </c:pt>
                <c:pt idx="1">
                  <c:v>2015-16</c:v>
                </c:pt>
                <c:pt idx="2">
                  <c:v>2016-17</c:v>
                </c:pt>
                <c:pt idx="3">
                  <c:v>2017-18</c:v>
                </c:pt>
                <c:pt idx="4">
                  <c:v>2018-19</c:v>
                </c:pt>
              </c:strCache>
            </c:strRef>
          </c:cat>
          <c:val>
            <c:numRef>
              <c:f>Referrals!$AX$64:$BB$64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003E-405C-B911-6CFEE3E9B57F}"/>
            </c:ext>
          </c:extLst>
        </c:ser>
        <c:ser>
          <c:idx val="6"/>
          <c:order val="24"/>
          <c:tx>
            <c:strRef>
              <c:f>Referrals!$AL$65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Referrals!$Z$2:$AD$3</c:f>
              <c:strCache>
                <c:ptCount val="5"/>
                <c:pt idx="0">
                  <c:v>2014-15</c:v>
                </c:pt>
                <c:pt idx="1">
                  <c:v>2015-16</c:v>
                </c:pt>
                <c:pt idx="2">
                  <c:v>2016-17</c:v>
                </c:pt>
                <c:pt idx="3">
                  <c:v>2017-18</c:v>
                </c:pt>
                <c:pt idx="4">
                  <c:v>2018-19</c:v>
                </c:pt>
              </c:strCache>
            </c:strRef>
          </c:cat>
          <c:val>
            <c:numRef>
              <c:f>Referrals!$AX$65:$BB$65</c:f>
              <c:numCache>
                <c:formatCode>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003E-405C-B911-6CFEE3E9B57F}"/>
            </c:ext>
          </c:extLst>
        </c:ser>
        <c:dLbls>
          <c:showLegendKey val="0"/>
          <c:showVal val="0"/>
          <c:showCatName val="0"/>
          <c:showSerName val="0"/>
          <c:showPercent val="0"/>
          <c:showBubbleSize val="0"/>
        </c:dLbls>
        <c:marker val="1"/>
        <c:smooth val="0"/>
        <c:axId val="578976384"/>
        <c:axId val="578990848"/>
      </c:lineChart>
      <c:catAx>
        <c:axId val="578976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8990848"/>
        <c:crosses val="autoZero"/>
        <c:auto val="1"/>
        <c:lblAlgn val="ctr"/>
        <c:lblOffset val="100"/>
        <c:tickLblSkip val="1"/>
        <c:tickMarkSkip val="1"/>
        <c:noMultiLvlLbl val="0"/>
      </c:catAx>
      <c:valAx>
        <c:axId val="578990848"/>
        <c:scaling>
          <c:orientation val="minMax"/>
        </c:scaling>
        <c:delete val="0"/>
        <c:axPos val="l"/>
        <c:majorGridlines>
          <c:spPr>
            <a:ln w="12700">
              <a:solidFill>
                <a:srgbClr val="969696"/>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78976384"/>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566325129860862"/>
          <c:h val="0.91875808074084542"/>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latin typeface="Arial" panose="020B0604020202020204" pitchFamily="34" charset="0"/>
                <a:cs typeface="Arial" panose="020B0604020202020204" pitchFamily="34" charset="0"/>
              </a:defRPr>
            </a:pPr>
            <a:r>
              <a:rPr lang="en-GB" sz="1000">
                <a:latin typeface="Arial" panose="020B0604020202020204" pitchFamily="34" charset="0"/>
                <a:cs typeface="Arial" panose="020B0604020202020204" pitchFamily="34" charset="0"/>
              </a:rPr>
              <a:t>% LAC in each Age Group</a:t>
            </a:r>
          </a:p>
        </c:rich>
      </c:tx>
      <c:layout>
        <c:manualLayout>
          <c:xMode val="edge"/>
          <c:yMode val="edge"/>
          <c:x val="0.21636141636141637"/>
          <c:y val="2.3429234807187563E-2"/>
        </c:manualLayout>
      </c:layout>
      <c:overlay val="1"/>
    </c:title>
    <c:autoTitleDeleted val="0"/>
    <c:plotArea>
      <c:layout>
        <c:manualLayout>
          <c:layoutTarget val="inner"/>
          <c:xMode val="edge"/>
          <c:yMode val="edge"/>
          <c:x val="2.7777777777777776E-2"/>
          <c:y val="8.2321207433611862E-2"/>
          <c:w val="0.94444444444444442"/>
          <c:h val="0.77264643851885662"/>
        </c:manualLayout>
      </c:layout>
      <c:barChart>
        <c:barDir val="bar"/>
        <c:grouping val="percentStacked"/>
        <c:varyColors val="0"/>
        <c:ser>
          <c:idx val="3"/>
          <c:order val="5"/>
          <c:tx>
            <c:strRef>
              <c:f>'Looked After Children'!$Z$4</c:f>
              <c:strCache>
                <c:ptCount val="1"/>
                <c:pt idx="0">
                  <c:v>(none)</c:v>
                </c:pt>
              </c:strCache>
            </c:strRef>
          </c:tx>
          <c:spPr>
            <a:solidFill>
              <a:srgbClr val="66FF99"/>
            </a:solidFill>
            <a:ln>
              <a:solidFill>
                <a:schemeClr val="tx1"/>
              </a:solidFill>
            </a:ln>
          </c:spPr>
          <c:invertIfNegative val="0"/>
          <c:val>
            <c:numRef>
              <c:f>'Looked After Children'!$AE$291:$AE$314</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4F4C-48EE-9610-6919BAE838E8}"/>
            </c:ext>
          </c:extLst>
        </c:ser>
        <c:dLbls>
          <c:showLegendKey val="0"/>
          <c:showVal val="0"/>
          <c:showCatName val="0"/>
          <c:showSerName val="0"/>
          <c:showPercent val="0"/>
          <c:showBubbleSize val="0"/>
        </c:dLbls>
        <c:gapWidth val="0"/>
        <c:overlap val="100"/>
        <c:axId val="291179136"/>
        <c:axId val="291185024"/>
      </c:barChart>
      <c:barChart>
        <c:barDir val="bar"/>
        <c:grouping val="percentStacked"/>
        <c:varyColors val="0"/>
        <c:ser>
          <c:idx val="0"/>
          <c:order val="0"/>
          <c:tx>
            <c:strRef>
              <c:f>'Looked After Children'!$I$290</c:f>
              <c:strCache>
                <c:ptCount val="1"/>
                <c:pt idx="0">
                  <c:v> &lt;1</c:v>
                </c:pt>
              </c:strCache>
            </c:strRef>
          </c:tx>
          <c:spPr>
            <a:solidFill>
              <a:srgbClr val="BC3E7D"/>
            </a:solidFill>
            <a:ln w="12700">
              <a:solidFill>
                <a:srgbClr val="000000"/>
              </a:solidFill>
              <a:prstDash val="solid"/>
            </a:ln>
          </c:spPr>
          <c:invertIfNegative val="0"/>
          <c:cat>
            <c:strRef>
              <c:f>'Looked After Children'!$B$291:$B$314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 (2017)</c:v>
                </c:pt>
              </c:strCache>
            </c:strRef>
          </c:cat>
          <c:val>
            <c:numRef>
              <c:f>'Looked After Children'!$I$291:$I$314</c:f>
              <c:numCache>
                <c:formatCode>0%</c:formatCode>
                <c:ptCount val="24"/>
                <c:pt idx="0">
                  <c:v>0</c:v>
                </c:pt>
                <c:pt idx="1">
                  <c:v>3.5805626598465472E-2</c:v>
                </c:pt>
                <c:pt idx="2">
                  <c:v>4.0776699029126215E-2</c:v>
                </c:pt>
                <c:pt idx="3">
                  <c:v>5.3333333333333337E-2</c:v>
                </c:pt>
                <c:pt idx="4">
                  <c:v>3.7259615384615384E-2</c:v>
                </c:pt>
                <c:pt idx="5">
                  <c:v>5.3497942386831275E-2</c:v>
                </c:pt>
                <c:pt idx="6">
                  <c:v>4.0251572327044023E-2</c:v>
                </c:pt>
                <c:pt idx="7">
                  <c:v>7.0754716981132074E-2</c:v>
                </c:pt>
                <c:pt idx="8">
                  <c:v>7.3490813648293962E-2</c:v>
                </c:pt>
                <c:pt idx="9">
                  <c:v>4.2362002567394093E-2</c:v>
                </c:pt>
                <c:pt idx="10">
                  <c:v>3.7037037037037035E-2</c:v>
                </c:pt>
                <c:pt idx="11">
                  <c:v>7.3260073260073263E-2</c:v>
                </c:pt>
                <c:pt idx="12">
                  <c:v>7.9812206572769953E-2</c:v>
                </c:pt>
                <c:pt idx="13">
                  <c:v>5.8052434456928842E-2</c:v>
                </c:pt>
                <c:pt idx="14">
                  <c:v>5.1975051975051978E-2</c:v>
                </c:pt>
                <c:pt idx="15">
                  <c:v>3.8026721479958892E-2</c:v>
                </c:pt>
                <c:pt idx="16">
                  <c:v>4.3103448275862072E-2</c:v>
                </c:pt>
                <c:pt idx="17">
                  <c:v>3.591160220994475E-2</c:v>
                </c:pt>
                <c:pt idx="18">
                  <c:v>5.8139534883720929E-2</c:v>
                </c:pt>
                <c:pt idx="19">
                  <c:v>7.2443181818181823E-2</c:v>
                </c:pt>
                <c:pt idx="20">
                  <c:v>0</c:v>
                </c:pt>
                <c:pt idx="21">
                  <c:v>6.363636363636363E-2</c:v>
                </c:pt>
                <c:pt idx="22">
                  <c:v>4.7619047619047616E-2</c:v>
                </c:pt>
                <c:pt idx="23">
                  <c:v>5.2328556806550665E-2</c:v>
                </c:pt>
              </c:numCache>
            </c:numRef>
          </c:val>
          <c:extLst>
            <c:ext xmlns:c16="http://schemas.microsoft.com/office/drawing/2014/chart" uri="{C3380CC4-5D6E-409C-BE32-E72D297353CC}">
              <c16:uniqueId val="{00000001-4F4C-48EE-9610-6919BAE838E8}"/>
            </c:ext>
          </c:extLst>
        </c:ser>
        <c:ser>
          <c:idx val="1"/>
          <c:order val="1"/>
          <c:tx>
            <c:strRef>
              <c:f>'Looked After Children'!$J$290</c:f>
              <c:strCache>
                <c:ptCount val="1"/>
                <c:pt idx="0">
                  <c:v> 1 - 4    </c:v>
                </c:pt>
              </c:strCache>
            </c:strRef>
          </c:tx>
          <c:spPr>
            <a:solidFill>
              <a:srgbClr val="FB994F"/>
            </a:solidFill>
            <a:ln w="12700">
              <a:solidFill>
                <a:srgbClr val="000000"/>
              </a:solidFill>
              <a:prstDash val="solid"/>
            </a:ln>
          </c:spPr>
          <c:invertIfNegative val="0"/>
          <c:cat>
            <c:strRef>
              <c:f>'Looked After Children'!$B$291:$B$314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 (2017)</c:v>
                </c:pt>
              </c:strCache>
            </c:strRef>
          </c:cat>
          <c:val>
            <c:numRef>
              <c:f>'Looked After Children'!$J$291:$J$314</c:f>
              <c:numCache>
                <c:formatCode>0%</c:formatCode>
                <c:ptCount val="24"/>
                <c:pt idx="0">
                  <c:v>0</c:v>
                </c:pt>
                <c:pt idx="1">
                  <c:v>8.4398976982097182E-2</c:v>
                </c:pt>
                <c:pt idx="2">
                  <c:v>0.12038834951456311</c:v>
                </c:pt>
                <c:pt idx="3">
                  <c:v>0.13833333333333334</c:v>
                </c:pt>
                <c:pt idx="4">
                  <c:v>0.1201923076923077</c:v>
                </c:pt>
                <c:pt idx="5">
                  <c:v>0.15637860082304528</c:v>
                </c:pt>
                <c:pt idx="6">
                  <c:v>5.2830188679245285E-2</c:v>
                </c:pt>
                <c:pt idx="7">
                  <c:v>0.125</c:v>
                </c:pt>
                <c:pt idx="8">
                  <c:v>0.13385826771653545</c:v>
                </c:pt>
                <c:pt idx="9">
                  <c:v>0.12066752246469833</c:v>
                </c:pt>
                <c:pt idx="10">
                  <c:v>0.11728395061728394</c:v>
                </c:pt>
                <c:pt idx="11">
                  <c:v>0.12454212454212454</c:v>
                </c:pt>
                <c:pt idx="12">
                  <c:v>0.15492957746478872</c:v>
                </c:pt>
                <c:pt idx="13">
                  <c:v>0.14981273408239701</c:v>
                </c:pt>
                <c:pt idx="14">
                  <c:v>0.11434511434511435</c:v>
                </c:pt>
                <c:pt idx="15">
                  <c:v>9.5580678314491269E-2</c:v>
                </c:pt>
                <c:pt idx="16">
                  <c:v>0.15517241379310345</c:v>
                </c:pt>
                <c:pt idx="17">
                  <c:v>0.14917127071823205</c:v>
                </c:pt>
                <c:pt idx="18">
                  <c:v>5.8139534883720929E-2</c:v>
                </c:pt>
                <c:pt idx="19">
                  <c:v>0.11363636363636363</c:v>
                </c:pt>
                <c:pt idx="20">
                  <c:v>0</c:v>
                </c:pt>
                <c:pt idx="21">
                  <c:v>0.10909090909090909</c:v>
                </c:pt>
                <c:pt idx="22">
                  <c:v>0.10689990281827016</c:v>
                </c:pt>
                <c:pt idx="23">
                  <c:v>0.13421187308085977</c:v>
                </c:pt>
              </c:numCache>
            </c:numRef>
          </c:val>
          <c:extLst>
            <c:ext xmlns:c16="http://schemas.microsoft.com/office/drawing/2014/chart" uri="{C3380CC4-5D6E-409C-BE32-E72D297353CC}">
              <c16:uniqueId val="{00000002-4F4C-48EE-9610-6919BAE838E8}"/>
            </c:ext>
          </c:extLst>
        </c:ser>
        <c:ser>
          <c:idx val="2"/>
          <c:order val="2"/>
          <c:tx>
            <c:strRef>
              <c:f>'Looked After Children'!$L$290</c:f>
              <c:strCache>
                <c:ptCount val="1"/>
                <c:pt idx="0">
                  <c:v> 5 - 9</c:v>
                </c:pt>
              </c:strCache>
            </c:strRef>
          </c:tx>
          <c:spPr>
            <a:solidFill>
              <a:srgbClr val="9999FF"/>
            </a:solidFill>
            <a:ln w="12700">
              <a:solidFill>
                <a:srgbClr val="000000"/>
              </a:solidFill>
              <a:prstDash val="solid"/>
            </a:ln>
          </c:spPr>
          <c:invertIfNegative val="0"/>
          <c:cat>
            <c:strRef>
              <c:f>'Looked After Children'!$B$291:$B$314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 (2017)</c:v>
                </c:pt>
              </c:strCache>
            </c:strRef>
          </c:cat>
          <c:val>
            <c:numRef>
              <c:f>'Looked After Children'!$L$291:$L$314</c:f>
              <c:numCache>
                <c:formatCode>0%</c:formatCode>
                <c:ptCount val="24"/>
                <c:pt idx="0">
                  <c:v>0.17647058823529413</c:v>
                </c:pt>
                <c:pt idx="1">
                  <c:v>0.17135549872122763</c:v>
                </c:pt>
                <c:pt idx="2">
                  <c:v>0.15145631067961166</c:v>
                </c:pt>
                <c:pt idx="3">
                  <c:v>0.19333333333333333</c:v>
                </c:pt>
                <c:pt idx="4">
                  <c:v>0.21394230769230768</c:v>
                </c:pt>
                <c:pt idx="5">
                  <c:v>0.23868312757201646</c:v>
                </c:pt>
                <c:pt idx="6">
                  <c:v>0.12578616352201258</c:v>
                </c:pt>
                <c:pt idx="7">
                  <c:v>0.17452830188679244</c:v>
                </c:pt>
                <c:pt idx="8">
                  <c:v>0.2283464566929134</c:v>
                </c:pt>
                <c:pt idx="9">
                  <c:v>0.19768934531450577</c:v>
                </c:pt>
                <c:pt idx="10">
                  <c:v>0.12962962962962962</c:v>
                </c:pt>
                <c:pt idx="11">
                  <c:v>0.2087912087912088</c:v>
                </c:pt>
                <c:pt idx="12">
                  <c:v>0.14553990610328638</c:v>
                </c:pt>
                <c:pt idx="13">
                  <c:v>0.15355805243445692</c:v>
                </c:pt>
                <c:pt idx="14">
                  <c:v>0.2390852390852391</c:v>
                </c:pt>
                <c:pt idx="15">
                  <c:v>0.18499486125385406</c:v>
                </c:pt>
                <c:pt idx="16">
                  <c:v>0.22126436781609196</c:v>
                </c:pt>
                <c:pt idx="17">
                  <c:v>0.17679558011049723</c:v>
                </c:pt>
                <c:pt idx="18">
                  <c:v>0.13372093023255813</c:v>
                </c:pt>
                <c:pt idx="19">
                  <c:v>0.14488636363636365</c:v>
                </c:pt>
                <c:pt idx="20">
                  <c:v>0.13761467889908258</c:v>
                </c:pt>
                <c:pt idx="21">
                  <c:v>0.16363636363636364</c:v>
                </c:pt>
                <c:pt idx="22">
                  <c:v>0.17687074829931973</c:v>
                </c:pt>
                <c:pt idx="23">
                  <c:v>0.18449334698055272</c:v>
                </c:pt>
              </c:numCache>
            </c:numRef>
          </c:val>
          <c:extLst>
            <c:ext xmlns:c16="http://schemas.microsoft.com/office/drawing/2014/chart" uri="{C3380CC4-5D6E-409C-BE32-E72D297353CC}">
              <c16:uniqueId val="{00000003-4F4C-48EE-9610-6919BAE838E8}"/>
            </c:ext>
          </c:extLst>
        </c:ser>
        <c:ser>
          <c:idx val="5"/>
          <c:order val="3"/>
          <c:tx>
            <c:strRef>
              <c:f>'Looked After Children'!$M$290</c:f>
              <c:strCache>
                <c:ptCount val="1"/>
                <c:pt idx="0">
                  <c:v> 10 - 15  </c:v>
                </c:pt>
              </c:strCache>
            </c:strRef>
          </c:tx>
          <c:spPr>
            <a:solidFill>
              <a:srgbClr val="FF99CC"/>
            </a:solidFill>
            <a:ln w="12700">
              <a:solidFill>
                <a:srgbClr val="000000"/>
              </a:solidFill>
              <a:prstDash val="solid"/>
            </a:ln>
          </c:spPr>
          <c:invertIfNegative val="0"/>
          <c:cat>
            <c:strRef>
              <c:f>'Looked After Children'!$B$291:$B$314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 (2017)</c:v>
                </c:pt>
              </c:strCache>
            </c:strRef>
          </c:cat>
          <c:val>
            <c:numRef>
              <c:f>'Looked After Children'!$M$291:$M$314</c:f>
              <c:numCache>
                <c:formatCode>0%</c:formatCode>
                <c:ptCount val="24"/>
                <c:pt idx="0">
                  <c:v>0.54411764705882348</c:v>
                </c:pt>
                <c:pt idx="1">
                  <c:v>0.39897698209718668</c:v>
                </c:pt>
                <c:pt idx="2">
                  <c:v>0.42524271844660194</c:v>
                </c:pt>
                <c:pt idx="3">
                  <c:v>0.41666666666666669</c:v>
                </c:pt>
                <c:pt idx="4">
                  <c:v>0.38942307692307693</c:v>
                </c:pt>
                <c:pt idx="5">
                  <c:v>0.39094650205761317</c:v>
                </c:pt>
                <c:pt idx="6">
                  <c:v>0.4358490566037736</c:v>
                </c:pt>
                <c:pt idx="7">
                  <c:v>0.42216981132075471</c:v>
                </c:pt>
                <c:pt idx="8">
                  <c:v>0.39370078740157483</c:v>
                </c:pt>
                <c:pt idx="9">
                  <c:v>0.38382541720154045</c:v>
                </c:pt>
                <c:pt idx="10">
                  <c:v>0.39094650205761317</c:v>
                </c:pt>
                <c:pt idx="11">
                  <c:v>0.40293040293040294</c:v>
                </c:pt>
                <c:pt idx="12">
                  <c:v>0.38967136150234744</c:v>
                </c:pt>
                <c:pt idx="13">
                  <c:v>0.38014981273408238</c:v>
                </c:pt>
                <c:pt idx="14">
                  <c:v>0.44490644490644493</c:v>
                </c:pt>
                <c:pt idx="15">
                  <c:v>0.38026721479958892</c:v>
                </c:pt>
                <c:pt idx="16">
                  <c:v>0.31609195402298851</c:v>
                </c:pt>
                <c:pt idx="17">
                  <c:v>0.46132596685082872</c:v>
                </c:pt>
                <c:pt idx="18">
                  <c:v>0.36627906976744184</c:v>
                </c:pt>
                <c:pt idx="19">
                  <c:v>0.390625</c:v>
                </c:pt>
                <c:pt idx="20">
                  <c:v>0.47706422018348627</c:v>
                </c:pt>
                <c:pt idx="21">
                  <c:v>0.32727272727272727</c:v>
                </c:pt>
                <c:pt idx="22">
                  <c:v>0.4042759961127308</c:v>
                </c:pt>
                <c:pt idx="23">
                  <c:v>0.39380757420675538</c:v>
                </c:pt>
              </c:numCache>
            </c:numRef>
          </c:val>
          <c:extLst>
            <c:ext xmlns:c16="http://schemas.microsoft.com/office/drawing/2014/chart" uri="{C3380CC4-5D6E-409C-BE32-E72D297353CC}">
              <c16:uniqueId val="{00000004-4F4C-48EE-9610-6919BAE838E8}"/>
            </c:ext>
          </c:extLst>
        </c:ser>
        <c:ser>
          <c:idx val="9"/>
          <c:order val="4"/>
          <c:tx>
            <c:strRef>
              <c:f>'Looked After Children'!$N$290</c:f>
              <c:strCache>
                <c:ptCount val="1"/>
                <c:pt idx="0">
                  <c:v> 16 +</c:v>
                </c:pt>
              </c:strCache>
            </c:strRef>
          </c:tx>
          <c:spPr>
            <a:solidFill>
              <a:srgbClr val="9B4719"/>
            </a:solidFill>
            <a:ln w="12700">
              <a:solidFill>
                <a:srgbClr val="000000"/>
              </a:solidFill>
              <a:prstDash val="solid"/>
            </a:ln>
          </c:spPr>
          <c:invertIfNegative val="0"/>
          <c:cat>
            <c:strRef>
              <c:f>'Looked After Children'!$B$291:$B$314</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 (2017)</c:v>
                </c:pt>
              </c:strCache>
            </c:strRef>
          </c:cat>
          <c:val>
            <c:numRef>
              <c:f>'Looked After Children'!$N$291:$N$314</c:f>
              <c:numCache>
                <c:formatCode>0%</c:formatCode>
                <c:ptCount val="24"/>
                <c:pt idx="0">
                  <c:v>0.27941176470588236</c:v>
                </c:pt>
                <c:pt idx="1">
                  <c:v>0.30946291560102301</c:v>
                </c:pt>
                <c:pt idx="2">
                  <c:v>0.26213592233009708</c:v>
                </c:pt>
                <c:pt idx="3">
                  <c:v>0.19833333333333333</c:v>
                </c:pt>
                <c:pt idx="4">
                  <c:v>0.23918269230769232</c:v>
                </c:pt>
                <c:pt idx="5">
                  <c:v>0.16049382716049382</c:v>
                </c:pt>
                <c:pt idx="6">
                  <c:v>0.34528301886792451</c:v>
                </c:pt>
                <c:pt idx="7">
                  <c:v>0.20754716981132076</c:v>
                </c:pt>
                <c:pt idx="8">
                  <c:v>0.17060367454068243</c:v>
                </c:pt>
                <c:pt idx="9">
                  <c:v>0.25545571245186138</c:v>
                </c:pt>
                <c:pt idx="10">
                  <c:v>0.32510288065843623</c:v>
                </c:pt>
                <c:pt idx="11">
                  <c:v>0.19047619047619047</c:v>
                </c:pt>
                <c:pt idx="12">
                  <c:v>0.2300469483568075</c:v>
                </c:pt>
                <c:pt idx="13">
                  <c:v>0.25842696629213485</c:v>
                </c:pt>
                <c:pt idx="14">
                  <c:v>0.1496881496881497</c:v>
                </c:pt>
                <c:pt idx="15">
                  <c:v>0.30113052415210689</c:v>
                </c:pt>
                <c:pt idx="16">
                  <c:v>0.26436781609195403</c:v>
                </c:pt>
                <c:pt idx="17">
                  <c:v>0.17679558011049723</c:v>
                </c:pt>
                <c:pt idx="18">
                  <c:v>0.38372093023255816</c:v>
                </c:pt>
                <c:pt idx="19">
                  <c:v>0.27840909090909088</c:v>
                </c:pt>
                <c:pt idx="20">
                  <c:v>0.38532110091743121</c:v>
                </c:pt>
                <c:pt idx="21">
                  <c:v>0.33636363636363636</c:v>
                </c:pt>
                <c:pt idx="22">
                  <c:v>0.26433430515063167</c:v>
                </c:pt>
                <c:pt idx="23">
                  <c:v>0.23515864892528146</c:v>
                </c:pt>
              </c:numCache>
            </c:numRef>
          </c:val>
          <c:extLst>
            <c:ext xmlns:c16="http://schemas.microsoft.com/office/drawing/2014/chart" uri="{C3380CC4-5D6E-409C-BE32-E72D297353CC}">
              <c16:uniqueId val="{00000005-4F4C-48EE-9610-6919BAE838E8}"/>
            </c:ext>
          </c:extLst>
        </c:ser>
        <c:dLbls>
          <c:showLegendKey val="0"/>
          <c:showVal val="0"/>
          <c:showCatName val="0"/>
          <c:showSerName val="0"/>
          <c:showPercent val="0"/>
          <c:showBubbleSize val="0"/>
        </c:dLbls>
        <c:gapWidth val="50"/>
        <c:overlap val="100"/>
        <c:axId val="291188096"/>
        <c:axId val="291186560"/>
      </c:barChart>
      <c:catAx>
        <c:axId val="291179136"/>
        <c:scaling>
          <c:orientation val="maxMin"/>
        </c:scaling>
        <c:delete val="1"/>
        <c:axPos val="l"/>
        <c:majorGridlines>
          <c:spPr>
            <a:ln>
              <a:noFill/>
              <a:prstDash val="sysDash"/>
            </a:ln>
          </c:spPr>
        </c:majorGridlines>
        <c:numFmt formatCode="General" sourceLinked="1"/>
        <c:majorTickMark val="out"/>
        <c:minorTickMark val="none"/>
        <c:tickLblPos val="nextTo"/>
        <c:crossAx val="291185024"/>
        <c:crosses val="autoZero"/>
        <c:auto val="1"/>
        <c:lblAlgn val="ctr"/>
        <c:lblOffset val="100"/>
        <c:noMultiLvlLbl val="0"/>
      </c:catAx>
      <c:valAx>
        <c:axId val="291185024"/>
        <c:scaling>
          <c:orientation val="minMax"/>
          <c:max val="1"/>
        </c:scaling>
        <c:delete val="0"/>
        <c:axPos val="b"/>
        <c:majorGridlines>
          <c:spPr>
            <a:ln>
              <a:prstDash val="sysDash"/>
            </a:ln>
          </c:spPr>
        </c:majorGridlines>
        <c:numFmt formatCode="0%" sourceLinked="1"/>
        <c:majorTickMark val="out"/>
        <c:minorTickMark val="none"/>
        <c:tickLblPos val="nextTo"/>
        <c:txPr>
          <a:bodyPr rot="5400000" vert="horz"/>
          <a:lstStyle/>
          <a:p>
            <a:pPr>
              <a:defRPr sz="800" b="0">
                <a:latin typeface="Arial" panose="020B0604020202020204" pitchFamily="34" charset="0"/>
                <a:cs typeface="Arial" panose="020B0604020202020204" pitchFamily="34" charset="0"/>
              </a:defRPr>
            </a:pPr>
            <a:endParaRPr lang="en-US"/>
          </a:p>
        </c:txPr>
        <c:crossAx val="291179136"/>
        <c:crosses val="max"/>
        <c:crossBetween val="between"/>
        <c:majorUnit val="0.2"/>
      </c:valAx>
      <c:valAx>
        <c:axId val="291186560"/>
        <c:scaling>
          <c:orientation val="minMax"/>
        </c:scaling>
        <c:delete val="1"/>
        <c:axPos val="b"/>
        <c:numFmt formatCode="0%" sourceLinked="1"/>
        <c:majorTickMark val="out"/>
        <c:minorTickMark val="none"/>
        <c:tickLblPos val="nextTo"/>
        <c:crossAx val="291188096"/>
        <c:crosses val="max"/>
        <c:crossBetween val="between"/>
      </c:valAx>
      <c:catAx>
        <c:axId val="291188096"/>
        <c:scaling>
          <c:orientation val="maxMin"/>
        </c:scaling>
        <c:delete val="1"/>
        <c:axPos val="r"/>
        <c:majorGridlines/>
        <c:numFmt formatCode="General" sourceLinked="0"/>
        <c:majorTickMark val="out"/>
        <c:minorTickMark val="none"/>
        <c:tickLblPos val="nextTo"/>
        <c:crossAx val="291186560"/>
        <c:crosses val="max"/>
        <c:auto val="1"/>
        <c:lblAlgn val="ctr"/>
        <c:lblOffset val="100"/>
        <c:noMultiLvlLbl val="0"/>
      </c:catAx>
      <c:spPr>
        <a:noFill/>
        <a:ln w="3175">
          <a:solidFill>
            <a:schemeClr val="tx1">
              <a:lumMod val="50000"/>
              <a:lumOff val="50000"/>
            </a:schemeClr>
          </a:solidFill>
          <a:prstDash val="solid"/>
        </a:ln>
      </c:spPr>
    </c:plotArea>
    <c:legend>
      <c:legendPos val="t"/>
      <c:layout>
        <c:manualLayout>
          <c:xMode val="edge"/>
          <c:yMode val="edge"/>
          <c:x val="0"/>
          <c:y val="0.90441798639904314"/>
          <c:w val="1"/>
          <c:h val="9.5582013600956889E-2"/>
        </c:manualLayout>
      </c:layout>
      <c:overlay val="0"/>
      <c:spPr>
        <a:ln>
          <a:noFill/>
        </a:ln>
      </c:spPr>
      <c:txPr>
        <a:bodyPr/>
        <a:lstStyle/>
        <a:p>
          <a:pPr>
            <a:defRPr sz="900" b="0" i="0" u="none" strike="noStrike" baseline="0">
              <a:solidFill>
                <a:srgbClr val="000000"/>
              </a:solidFill>
              <a:latin typeface="Arial"/>
              <a:ea typeface="Arial"/>
              <a:cs typeface="Arial"/>
            </a:defRPr>
          </a:pPr>
          <a:endParaRPr lang="en-US"/>
        </a:p>
      </c:txPr>
    </c:legend>
    <c:plotVisOnly val="0"/>
    <c:dispBlanksAs val="zero"/>
    <c:showDLblsOverMax val="0"/>
  </c:chart>
  <c:spPr>
    <a:solidFill>
      <a:schemeClr val="bg1"/>
    </a:solidFill>
    <a:ln w="3175">
      <a:solidFill>
        <a:schemeClr val="tx1">
          <a:lumMod val="50000"/>
          <a:lumOff val="50000"/>
        </a:schemeClr>
      </a:solidFill>
      <a:prstDash val="solid"/>
    </a:ln>
  </c:spPr>
  <c:printSettings>
    <c:headerFooter alignWithMargins="0"/>
    <c:pageMargins b="1" l="0.750000000000004" r="0.750000000000004" t="1" header="0.5" footer="0.5"/>
    <c:pageSetup orientation="portrait"/>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Under 1</a:t>
            </a:r>
          </a:p>
        </c:rich>
      </c:tx>
      <c:layout>
        <c:manualLayout>
          <c:xMode val="edge"/>
          <c:yMode val="edge"/>
          <c:x val="0.25363534648193381"/>
          <c:y val="0"/>
        </c:manualLayout>
      </c:layout>
      <c:overlay val="1"/>
    </c:title>
    <c:autoTitleDeleted val="0"/>
    <c:plotArea>
      <c:layout>
        <c:manualLayout>
          <c:layoutTarget val="inner"/>
          <c:xMode val="edge"/>
          <c:yMode val="edge"/>
          <c:x val="7.4722072135237141E-2"/>
          <c:y val="3.0402416679047195E-2"/>
          <c:w val="0.85055585572952574"/>
          <c:h val="0.90653810726489381"/>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Children'!$B$326:$B$349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Children'!$AE$326:$AE$349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5A59-4331-8347-8DBD852E52D4}"/>
            </c:ext>
          </c:extLst>
        </c:ser>
        <c:dLbls>
          <c:showLegendKey val="0"/>
          <c:showVal val="0"/>
          <c:showCatName val="0"/>
          <c:showSerName val="0"/>
          <c:showPercent val="0"/>
          <c:showBubbleSize val="0"/>
        </c:dLbls>
        <c:gapWidth val="0"/>
        <c:overlap val="100"/>
        <c:axId val="291225600"/>
        <c:axId val="291227136"/>
      </c:barChart>
      <c:barChart>
        <c:barDir val="bar"/>
        <c:grouping val="clustered"/>
        <c:varyColors val="0"/>
        <c:ser>
          <c:idx val="0"/>
          <c:order val="0"/>
          <c:tx>
            <c:strRef>
              <c:f>'Looked After Children'!$D$325</c:f>
              <c:strCache>
                <c:ptCount val="1"/>
                <c:pt idx="0">
                  <c:v>Under 1</c:v>
                </c:pt>
              </c:strCache>
            </c:strRef>
          </c:tx>
          <c:spPr>
            <a:solidFill>
              <a:srgbClr val="BC3E7D"/>
            </a:solidFill>
            <a:ln w="12700">
              <a:solidFill>
                <a:srgbClr val="000000"/>
              </a:solidFill>
              <a:prstDash val="solid"/>
            </a:ln>
          </c:spPr>
          <c:invertIfNegative val="0"/>
          <c:cat>
            <c:strRef>
              <c:f>'Looked After Children'!$B$326:$B$349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Children'!$D$326:$D$349</c:f>
              <c:numCache>
                <c:formatCode>0.0</c:formatCode>
                <c:ptCount val="24"/>
                <c:pt idx="0">
                  <c:v>0</c:v>
                </c:pt>
                <c:pt idx="1">
                  <c:v>50.909090909090914</c:v>
                </c:pt>
                <c:pt idx="2">
                  <c:v>35.437057036787039</c:v>
                </c:pt>
                <c:pt idx="3">
                  <c:v>63.253607432298878</c:v>
                </c:pt>
                <c:pt idx="4">
                  <c:v>44.165835589115254</c:v>
                </c:pt>
                <c:pt idx="5">
                  <c:v>107.43801652892562</c:v>
                </c:pt>
                <c:pt idx="6">
                  <c:v>36.693039789015018</c:v>
                </c:pt>
                <c:pt idx="7">
                  <c:v>82.191780821917803</c:v>
                </c:pt>
                <c:pt idx="8">
                  <c:v>77.929306985805738</c:v>
                </c:pt>
                <c:pt idx="9">
                  <c:v>43.888815001994942</c:v>
                </c:pt>
                <c:pt idx="10">
                  <c:v>72.609923356192013</c:v>
                </c:pt>
                <c:pt idx="11">
                  <c:v>81.26777732629013</c:v>
                </c:pt>
                <c:pt idx="12">
                  <c:v>66.484161126319904</c:v>
                </c:pt>
                <c:pt idx="13">
                  <c:v>56.81818181818182</c:v>
                </c:pt>
                <c:pt idx="14">
                  <c:v>79.41550190597205</c:v>
                </c:pt>
                <c:pt idx="15">
                  <c:v>28.181887424784829</c:v>
                </c:pt>
                <c:pt idx="16">
                  <c:v>52.46589716684155</c:v>
                </c:pt>
                <c:pt idx="17">
                  <c:v>98.261526832955411</c:v>
                </c:pt>
                <c:pt idx="18">
                  <c:v>59.701492537313435</c:v>
                </c:pt>
                <c:pt idx="19">
                  <c:v>58.066719799612883</c:v>
                </c:pt>
                <c:pt idx="20">
                  <c:v>0</c:v>
                </c:pt>
                <c:pt idx="21">
                  <c:v>39.392234102419806</c:v>
                </c:pt>
                <c:pt idx="22">
                  <c:v>48.869518385909622</c:v>
                </c:pt>
                <c:pt idx="23">
                  <c:v>62.589235569661518</c:v>
                </c:pt>
              </c:numCache>
            </c:numRef>
          </c:val>
          <c:extLst>
            <c:ext xmlns:c16="http://schemas.microsoft.com/office/drawing/2014/chart" uri="{C3380CC4-5D6E-409C-BE32-E72D297353CC}">
              <c16:uniqueId val="{00000001-5A59-4331-8347-8DBD852E52D4}"/>
            </c:ext>
          </c:extLst>
        </c:ser>
        <c:dLbls>
          <c:showLegendKey val="0"/>
          <c:showVal val="0"/>
          <c:showCatName val="0"/>
          <c:showSerName val="0"/>
          <c:showPercent val="0"/>
          <c:showBubbleSize val="0"/>
        </c:dLbls>
        <c:gapWidth val="40"/>
        <c:axId val="291228672"/>
        <c:axId val="291230464"/>
      </c:barChart>
      <c:catAx>
        <c:axId val="291225600"/>
        <c:scaling>
          <c:orientation val="maxMin"/>
        </c:scaling>
        <c:delete val="1"/>
        <c:axPos val="l"/>
        <c:majorGridlines/>
        <c:numFmt formatCode="General" sourceLinked="0"/>
        <c:majorTickMark val="out"/>
        <c:minorTickMark val="none"/>
        <c:tickLblPos val="nextTo"/>
        <c:crossAx val="291227136"/>
        <c:crosses val="autoZero"/>
        <c:auto val="1"/>
        <c:lblAlgn val="ctr"/>
        <c:lblOffset val="100"/>
        <c:noMultiLvlLbl val="0"/>
      </c:catAx>
      <c:valAx>
        <c:axId val="291227136"/>
        <c:scaling>
          <c:orientation val="minMax"/>
          <c:max val="15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91225600"/>
        <c:crosses val="max"/>
        <c:crossBetween val="between"/>
      </c:valAx>
      <c:catAx>
        <c:axId val="291228672"/>
        <c:scaling>
          <c:orientation val="maxMin"/>
        </c:scaling>
        <c:delete val="1"/>
        <c:axPos val="l"/>
        <c:numFmt formatCode="General" sourceLinked="0"/>
        <c:majorTickMark val="out"/>
        <c:minorTickMark val="none"/>
        <c:tickLblPos val="nextTo"/>
        <c:crossAx val="291230464"/>
        <c:crosses val="autoZero"/>
        <c:auto val="1"/>
        <c:lblAlgn val="ctr"/>
        <c:lblOffset val="100"/>
        <c:noMultiLvlLbl val="0"/>
      </c:catAx>
      <c:valAx>
        <c:axId val="291230464"/>
        <c:scaling>
          <c:orientation val="minMax"/>
        </c:scaling>
        <c:delete val="1"/>
        <c:axPos val="t"/>
        <c:numFmt formatCode="0.0" sourceLinked="1"/>
        <c:majorTickMark val="out"/>
        <c:minorTickMark val="none"/>
        <c:tickLblPos val="nextTo"/>
        <c:crossAx val="291228672"/>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1-4</a:t>
            </a:r>
          </a:p>
        </c:rich>
      </c:tx>
      <c:layout>
        <c:manualLayout>
          <c:xMode val="edge"/>
          <c:yMode val="edge"/>
          <c:x val="0.38249214489337674"/>
          <c:y val="0"/>
        </c:manualLayout>
      </c:layout>
      <c:overlay val="1"/>
    </c:title>
    <c:autoTitleDeleted val="0"/>
    <c:plotArea>
      <c:layout>
        <c:manualLayout>
          <c:layoutTarget val="inner"/>
          <c:xMode val="edge"/>
          <c:yMode val="edge"/>
          <c:x val="6.3291139240506333E-2"/>
          <c:y val="3.107136136284851E-2"/>
          <c:w val="0.85337539650698635"/>
          <c:h val="0.90606546823156542"/>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Children'!$AF$326:$AF$349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E970-46A9-91E4-5DF1EB1D0295}"/>
            </c:ext>
          </c:extLst>
        </c:ser>
        <c:dLbls>
          <c:showLegendKey val="0"/>
          <c:showVal val="0"/>
          <c:showCatName val="0"/>
          <c:showSerName val="0"/>
          <c:showPercent val="0"/>
          <c:showBubbleSize val="0"/>
        </c:dLbls>
        <c:gapWidth val="0"/>
        <c:overlap val="100"/>
        <c:axId val="291256576"/>
        <c:axId val="291258368"/>
      </c:barChart>
      <c:barChart>
        <c:barDir val="bar"/>
        <c:grouping val="clustered"/>
        <c:varyColors val="0"/>
        <c:ser>
          <c:idx val="0"/>
          <c:order val="0"/>
          <c:tx>
            <c:strRef>
              <c:f>'Looked After Children'!$E$325</c:f>
              <c:strCache>
                <c:ptCount val="1"/>
                <c:pt idx="0">
                  <c:v>      1 - 4    </c:v>
                </c:pt>
              </c:strCache>
            </c:strRef>
          </c:tx>
          <c:spPr>
            <a:solidFill>
              <a:srgbClr val="FB994F"/>
            </a:solidFill>
            <a:ln w="12700">
              <a:solidFill>
                <a:srgbClr val="00000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Children'!$E$326:$E$349</c:f>
              <c:numCache>
                <c:formatCode>0.0</c:formatCode>
                <c:ptCount val="24"/>
                <c:pt idx="0">
                  <c:v>0</c:v>
                </c:pt>
                <c:pt idx="1">
                  <c:v>28.932140978432404</c:v>
                </c:pt>
                <c:pt idx="2">
                  <c:v>23.234897316744117</c:v>
                </c:pt>
                <c:pt idx="3">
                  <c:v>36.997414638495144</c:v>
                </c:pt>
                <c:pt idx="4">
                  <c:v>32.456467762613393</c:v>
                </c:pt>
                <c:pt idx="5">
                  <c:v>70.331297427355167</c:v>
                </c:pt>
                <c:pt idx="6">
                  <c:v>11.357951241937883</c:v>
                </c:pt>
                <c:pt idx="7">
                  <c:v>35.532314293376238</c:v>
                </c:pt>
                <c:pt idx="8">
                  <c:v>32.317343641087383</c:v>
                </c:pt>
                <c:pt idx="9">
                  <c:v>29.361236920193658</c:v>
                </c:pt>
                <c:pt idx="10">
                  <c:v>53.541236145031</c:v>
                </c:pt>
                <c:pt idx="11">
                  <c:v>35.153019023986765</c:v>
                </c:pt>
                <c:pt idx="12">
                  <c:v>31.536697247706424</c:v>
                </c:pt>
                <c:pt idx="13">
                  <c:v>33.655868742111906</c:v>
                </c:pt>
                <c:pt idx="14">
                  <c:v>42.688606022974234</c:v>
                </c:pt>
                <c:pt idx="15">
                  <c:v>16.064673265274394</c:v>
                </c:pt>
                <c:pt idx="16">
                  <c:v>45.336243808244483</c:v>
                </c:pt>
                <c:pt idx="17">
                  <c:v>92.228864218616565</c:v>
                </c:pt>
                <c:pt idx="18">
                  <c:v>13.386880856760374</c:v>
                </c:pt>
                <c:pt idx="19">
                  <c:v>20.82736716044883</c:v>
                </c:pt>
                <c:pt idx="20">
                  <c:v>0</c:v>
                </c:pt>
                <c:pt idx="21">
                  <c:v>14.680694886224614</c:v>
                </c:pt>
                <c:pt idx="22">
                  <c:v>25.406738791008788</c:v>
                </c:pt>
                <c:pt idx="23">
                  <c:v>38.404397944248089</c:v>
                </c:pt>
              </c:numCache>
            </c:numRef>
          </c:val>
          <c:extLst>
            <c:ext xmlns:c16="http://schemas.microsoft.com/office/drawing/2014/chart" uri="{C3380CC4-5D6E-409C-BE32-E72D297353CC}">
              <c16:uniqueId val="{00000001-E970-46A9-91E4-5DF1EB1D0295}"/>
            </c:ext>
          </c:extLst>
        </c:ser>
        <c:dLbls>
          <c:showLegendKey val="0"/>
          <c:showVal val="0"/>
          <c:showCatName val="0"/>
          <c:showSerName val="0"/>
          <c:showPercent val="0"/>
          <c:showBubbleSize val="0"/>
        </c:dLbls>
        <c:gapWidth val="40"/>
        <c:axId val="291259904"/>
        <c:axId val="291261440"/>
      </c:barChart>
      <c:catAx>
        <c:axId val="291256576"/>
        <c:scaling>
          <c:orientation val="maxMin"/>
        </c:scaling>
        <c:delete val="1"/>
        <c:axPos val="l"/>
        <c:majorGridlines/>
        <c:numFmt formatCode="General" sourceLinked="0"/>
        <c:majorTickMark val="out"/>
        <c:minorTickMark val="none"/>
        <c:tickLblPos val="nextTo"/>
        <c:crossAx val="291258368"/>
        <c:crosses val="autoZero"/>
        <c:auto val="1"/>
        <c:lblAlgn val="ctr"/>
        <c:lblOffset val="100"/>
        <c:noMultiLvlLbl val="0"/>
      </c:catAx>
      <c:valAx>
        <c:axId val="291258368"/>
        <c:scaling>
          <c:orientation val="minMax"/>
          <c:max val="1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91256576"/>
        <c:crosses val="max"/>
        <c:crossBetween val="between"/>
      </c:valAx>
      <c:catAx>
        <c:axId val="291259904"/>
        <c:scaling>
          <c:orientation val="maxMin"/>
        </c:scaling>
        <c:delete val="1"/>
        <c:axPos val="l"/>
        <c:numFmt formatCode="General" sourceLinked="0"/>
        <c:majorTickMark val="out"/>
        <c:minorTickMark val="none"/>
        <c:tickLblPos val="nextTo"/>
        <c:crossAx val="291261440"/>
        <c:crosses val="autoZero"/>
        <c:auto val="1"/>
        <c:lblAlgn val="ctr"/>
        <c:lblOffset val="100"/>
        <c:noMultiLvlLbl val="0"/>
      </c:catAx>
      <c:valAx>
        <c:axId val="291261440"/>
        <c:scaling>
          <c:orientation val="minMax"/>
        </c:scaling>
        <c:delete val="1"/>
        <c:axPos val="t"/>
        <c:numFmt formatCode="0.0" sourceLinked="1"/>
        <c:majorTickMark val="out"/>
        <c:minorTickMark val="none"/>
        <c:tickLblPos val="nextTo"/>
        <c:crossAx val="291259904"/>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5-9</a:t>
            </a:r>
          </a:p>
        </c:rich>
      </c:tx>
      <c:layout>
        <c:manualLayout>
          <c:xMode val="edge"/>
          <c:yMode val="edge"/>
          <c:x val="0.40666873150381211"/>
          <c:y val="0"/>
        </c:manualLayout>
      </c:layout>
      <c:overlay val="1"/>
    </c:title>
    <c:autoTitleDeleted val="0"/>
    <c:plotArea>
      <c:layout>
        <c:manualLayout>
          <c:layoutTarget val="inner"/>
          <c:xMode val="edge"/>
          <c:yMode val="edge"/>
          <c:x val="6.3291139240506333E-2"/>
          <c:y val="3.1071367517727433E-2"/>
          <c:w val="0.85609092334103243"/>
          <c:h val="0.9060654496242162"/>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Children'!$AG$326:$AG$349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34B0-4752-831A-90D1EA60D706}"/>
            </c:ext>
          </c:extLst>
        </c:ser>
        <c:dLbls>
          <c:showLegendKey val="0"/>
          <c:showVal val="0"/>
          <c:showCatName val="0"/>
          <c:showSerName val="0"/>
          <c:showPercent val="0"/>
          <c:showBubbleSize val="0"/>
        </c:dLbls>
        <c:gapWidth val="0"/>
        <c:overlap val="100"/>
        <c:axId val="291287424"/>
        <c:axId val="291288960"/>
      </c:barChart>
      <c:barChart>
        <c:barDir val="bar"/>
        <c:grouping val="clustered"/>
        <c:varyColors val="0"/>
        <c:ser>
          <c:idx val="0"/>
          <c:order val="0"/>
          <c:tx>
            <c:strRef>
              <c:f>'Looked After Children'!$F$325</c:f>
              <c:strCache>
                <c:ptCount val="1"/>
                <c:pt idx="0">
                  <c:v>      5 - 9    </c:v>
                </c:pt>
              </c:strCache>
            </c:strRef>
          </c:tx>
          <c:spPr>
            <a:solidFill>
              <a:srgbClr val="9999FF"/>
            </a:solidFill>
            <a:ln w="12700">
              <a:solidFill>
                <a:srgbClr val="000000"/>
              </a:solidFill>
              <a:prstDash val="solid"/>
            </a:ln>
          </c:spPr>
          <c:invertIfNegative val="0"/>
          <c:cat>
            <c:strRef>
              <c:f>'Looked After Children'!$B$326:$B$349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Children'!$F$326:$F$349</c:f>
              <c:numCache>
                <c:formatCode>0.0</c:formatCode>
                <c:ptCount val="24"/>
                <c:pt idx="0">
                  <c:v>28.271881258098716</c:v>
                </c:pt>
                <c:pt idx="1">
                  <c:v>45.307005680281307</c:v>
                </c:pt>
                <c:pt idx="2">
                  <c:v>21.281820414176966</c:v>
                </c:pt>
                <c:pt idx="3">
                  <c:v>37.331445306214398</c:v>
                </c:pt>
                <c:pt idx="4">
                  <c:v>42.542004254200428</c:v>
                </c:pt>
                <c:pt idx="5">
                  <c:v>83.094555873925501</c:v>
                </c:pt>
                <c:pt idx="6">
                  <c:v>20.272256403498989</c:v>
                </c:pt>
                <c:pt idx="7">
                  <c:v>39.76784178847808</c:v>
                </c:pt>
                <c:pt idx="8">
                  <c:v>40.952739597062703</c:v>
                </c:pt>
                <c:pt idx="9">
                  <c:v>36.196117143797302</c:v>
                </c:pt>
                <c:pt idx="10">
                  <c:v>47.759836251989995</c:v>
                </c:pt>
                <c:pt idx="11">
                  <c:v>50.938337801608576</c:v>
                </c:pt>
                <c:pt idx="12">
                  <c:v>24.060850667494567</c:v>
                </c:pt>
                <c:pt idx="13">
                  <c:v>25.716615442513955</c:v>
                </c:pt>
                <c:pt idx="14">
                  <c:v>75.449416087127673</c:v>
                </c:pt>
                <c:pt idx="15">
                  <c:v>23.165128759507354</c:v>
                </c:pt>
                <c:pt idx="16">
                  <c:v>51.319648093841643</c:v>
                </c:pt>
                <c:pt idx="17">
                  <c:v>87.431693989071036</c:v>
                </c:pt>
                <c:pt idx="18">
                  <c:v>21.990630079357491</c:v>
                </c:pt>
                <c:pt idx="19">
                  <c:v>19.661892553540106</c:v>
                </c:pt>
                <c:pt idx="20">
                  <c:v>15.148454857604523</c:v>
                </c:pt>
                <c:pt idx="21">
                  <c:v>15.043877977434182</c:v>
                </c:pt>
                <c:pt idx="22">
                  <c:v>31.535301344062265</c:v>
                </c:pt>
                <c:pt idx="23">
                  <c:v>41.230604889000467</c:v>
                </c:pt>
              </c:numCache>
            </c:numRef>
          </c:val>
          <c:extLst>
            <c:ext xmlns:c16="http://schemas.microsoft.com/office/drawing/2014/chart" uri="{C3380CC4-5D6E-409C-BE32-E72D297353CC}">
              <c16:uniqueId val="{00000001-34B0-4752-831A-90D1EA60D706}"/>
            </c:ext>
          </c:extLst>
        </c:ser>
        <c:dLbls>
          <c:showLegendKey val="0"/>
          <c:showVal val="0"/>
          <c:showCatName val="0"/>
          <c:showSerName val="0"/>
          <c:showPercent val="0"/>
          <c:showBubbleSize val="0"/>
        </c:dLbls>
        <c:gapWidth val="40"/>
        <c:axId val="291290496"/>
        <c:axId val="291296384"/>
      </c:barChart>
      <c:catAx>
        <c:axId val="291287424"/>
        <c:scaling>
          <c:orientation val="maxMin"/>
        </c:scaling>
        <c:delete val="1"/>
        <c:axPos val="l"/>
        <c:majorGridlines/>
        <c:numFmt formatCode="General" sourceLinked="0"/>
        <c:majorTickMark val="out"/>
        <c:minorTickMark val="none"/>
        <c:tickLblPos val="nextTo"/>
        <c:crossAx val="291288960"/>
        <c:crosses val="autoZero"/>
        <c:auto val="1"/>
        <c:lblAlgn val="ctr"/>
        <c:lblOffset val="100"/>
        <c:noMultiLvlLbl val="0"/>
      </c:catAx>
      <c:valAx>
        <c:axId val="291288960"/>
        <c:scaling>
          <c:orientation val="minMax"/>
          <c:max val="1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91287424"/>
        <c:crosses val="max"/>
        <c:crossBetween val="between"/>
      </c:valAx>
      <c:catAx>
        <c:axId val="291290496"/>
        <c:scaling>
          <c:orientation val="maxMin"/>
        </c:scaling>
        <c:delete val="1"/>
        <c:axPos val="l"/>
        <c:numFmt formatCode="General" sourceLinked="0"/>
        <c:majorTickMark val="out"/>
        <c:minorTickMark val="none"/>
        <c:tickLblPos val="nextTo"/>
        <c:crossAx val="291296384"/>
        <c:crosses val="autoZero"/>
        <c:auto val="1"/>
        <c:lblAlgn val="ctr"/>
        <c:lblOffset val="100"/>
        <c:noMultiLvlLbl val="0"/>
      </c:catAx>
      <c:valAx>
        <c:axId val="291296384"/>
        <c:scaling>
          <c:orientation val="minMax"/>
        </c:scaling>
        <c:delete val="1"/>
        <c:axPos val="t"/>
        <c:numFmt formatCode="0.0" sourceLinked="1"/>
        <c:majorTickMark val="out"/>
        <c:minorTickMark val="none"/>
        <c:tickLblPos val="nextTo"/>
        <c:crossAx val="291290496"/>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10-15</a:t>
            </a:r>
          </a:p>
        </c:rich>
      </c:tx>
      <c:layout>
        <c:manualLayout>
          <c:xMode val="edge"/>
          <c:yMode val="edge"/>
          <c:x val="0.33220635401345555"/>
          <c:y val="0"/>
        </c:manualLayout>
      </c:layout>
      <c:overlay val="1"/>
    </c:title>
    <c:autoTitleDeleted val="0"/>
    <c:plotArea>
      <c:layout>
        <c:manualLayout>
          <c:layoutTarget val="inner"/>
          <c:xMode val="edge"/>
          <c:yMode val="edge"/>
          <c:x val="6.3291139240506333E-2"/>
          <c:y val="3.107136136284851E-2"/>
          <c:w val="0.84247785232402017"/>
          <c:h val="0.90606546823156542"/>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Children'!$AH$326:$AH$349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2B38-4BCA-BFED-256A3E67FCB0}"/>
            </c:ext>
          </c:extLst>
        </c:ser>
        <c:dLbls>
          <c:showLegendKey val="0"/>
          <c:showVal val="0"/>
          <c:showCatName val="0"/>
          <c:showSerName val="0"/>
          <c:showPercent val="0"/>
          <c:showBubbleSize val="0"/>
        </c:dLbls>
        <c:gapWidth val="0"/>
        <c:overlap val="100"/>
        <c:axId val="291728000"/>
        <c:axId val="291733888"/>
      </c:barChart>
      <c:barChart>
        <c:barDir val="bar"/>
        <c:grouping val="clustered"/>
        <c:varyColors val="0"/>
        <c:ser>
          <c:idx val="0"/>
          <c:order val="0"/>
          <c:tx>
            <c:strRef>
              <c:f>'Looked After Children'!$G$325</c:f>
              <c:strCache>
                <c:ptCount val="1"/>
                <c:pt idx="0">
                  <c:v>   10 - 15  </c:v>
                </c:pt>
              </c:strCache>
            </c:strRef>
          </c:tx>
          <c:spPr>
            <a:solidFill>
              <a:srgbClr val="FF99CC"/>
            </a:solidFill>
            <a:ln w="12700">
              <a:solidFill>
                <a:srgbClr val="00000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Children'!$G$326:$G$349</c:f>
              <c:numCache>
                <c:formatCode>0.0</c:formatCode>
                <c:ptCount val="24"/>
                <c:pt idx="0">
                  <c:v>82.644628099173559</c:v>
                </c:pt>
                <c:pt idx="1">
                  <c:v>94.907829895966415</c:v>
                </c:pt>
                <c:pt idx="2">
                  <c:v>53.923620515598451</c:v>
                </c:pt>
                <c:pt idx="3">
                  <c:v>70.54574185902139</c:v>
                </c:pt>
                <c:pt idx="4">
                  <c:v>69.71565051802601</c:v>
                </c:pt>
                <c:pt idx="5">
                  <c:v>113.05486135903844</c:v>
                </c:pt>
                <c:pt idx="6">
                  <c:v>63.081432394545686</c:v>
                </c:pt>
                <c:pt idx="7">
                  <c:v>89.045866082976815</c:v>
                </c:pt>
                <c:pt idx="8">
                  <c:v>72.365881898880744</c:v>
                </c:pt>
                <c:pt idx="9">
                  <c:v>64.770487186707967</c:v>
                </c:pt>
                <c:pt idx="10">
                  <c:v>139.65453877251011</c:v>
                </c:pt>
                <c:pt idx="11">
                  <c:v>105.27323188821897</c:v>
                </c:pt>
                <c:pt idx="12">
                  <c:v>65.669752353825459</c:v>
                </c:pt>
                <c:pt idx="13">
                  <c:v>55.70954197425835</c:v>
                </c:pt>
                <c:pt idx="14">
                  <c:v>148.33298676093438</c:v>
                </c:pt>
                <c:pt idx="15">
                  <c:v>44.038182294270271</c:v>
                </c:pt>
                <c:pt idx="16">
                  <c:v>72.468542064694645</c:v>
                </c:pt>
                <c:pt idx="17">
                  <c:v>204.10657540943535</c:v>
                </c:pt>
                <c:pt idx="18">
                  <c:v>52.693208430913344</c:v>
                </c:pt>
                <c:pt idx="19">
                  <c:v>49.194991055456171</c:v>
                </c:pt>
                <c:pt idx="20">
                  <c:v>44.304336712959021</c:v>
                </c:pt>
                <c:pt idx="21">
                  <c:v>28.118409747715376</c:v>
                </c:pt>
                <c:pt idx="22">
                  <c:v>66.328751440976177</c:v>
                </c:pt>
                <c:pt idx="23">
                  <c:v>81.956649778306996</c:v>
                </c:pt>
              </c:numCache>
            </c:numRef>
          </c:val>
          <c:extLst>
            <c:ext xmlns:c16="http://schemas.microsoft.com/office/drawing/2014/chart" uri="{C3380CC4-5D6E-409C-BE32-E72D297353CC}">
              <c16:uniqueId val="{00000001-2B38-4BCA-BFED-256A3E67FCB0}"/>
            </c:ext>
          </c:extLst>
        </c:ser>
        <c:dLbls>
          <c:showLegendKey val="0"/>
          <c:showVal val="0"/>
          <c:showCatName val="0"/>
          <c:showSerName val="0"/>
          <c:showPercent val="0"/>
          <c:showBubbleSize val="0"/>
        </c:dLbls>
        <c:gapWidth val="40"/>
        <c:axId val="291735424"/>
        <c:axId val="291736960"/>
      </c:barChart>
      <c:catAx>
        <c:axId val="291728000"/>
        <c:scaling>
          <c:orientation val="maxMin"/>
        </c:scaling>
        <c:delete val="1"/>
        <c:axPos val="l"/>
        <c:majorGridlines/>
        <c:numFmt formatCode="General" sourceLinked="0"/>
        <c:majorTickMark val="out"/>
        <c:minorTickMark val="none"/>
        <c:tickLblPos val="nextTo"/>
        <c:crossAx val="291733888"/>
        <c:crosses val="autoZero"/>
        <c:auto val="1"/>
        <c:lblAlgn val="ctr"/>
        <c:lblOffset val="100"/>
        <c:noMultiLvlLbl val="0"/>
      </c:catAx>
      <c:valAx>
        <c:axId val="291733888"/>
        <c:scaling>
          <c:orientation val="minMax"/>
          <c:max val="20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91728000"/>
        <c:crosses val="max"/>
        <c:crossBetween val="between"/>
      </c:valAx>
      <c:catAx>
        <c:axId val="291735424"/>
        <c:scaling>
          <c:orientation val="maxMin"/>
        </c:scaling>
        <c:delete val="1"/>
        <c:axPos val="l"/>
        <c:numFmt formatCode="General" sourceLinked="0"/>
        <c:majorTickMark val="out"/>
        <c:minorTickMark val="none"/>
        <c:tickLblPos val="nextTo"/>
        <c:crossAx val="291736960"/>
        <c:crosses val="autoZero"/>
        <c:auto val="1"/>
        <c:lblAlgn val="ctr"/>
        <c:lblOffset val="100"/>
        <c:noMultiLvlLbl val="0"/>
      </c:catAx>
      <c:valAx>
        <c:axId val="291736960"/>
        <c:scaling>
          <c:orientation val="minMax"/>
        </c:scaling>
        <c:delete val="1"/>
        <c:axPos val="t"/>
        <c:numFmt formatCode="0.0" sourceLinked="1"/>
        <c:majorTickMark val="out"/>
        <c:minorTickMark val="none"/>
        <c:tickLblPos val="nextTo"/>
        <c:crossAx val="291735424"/>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latin typeface="Arial" panose="020B0604020202020204" pitchFamily="34" charset="0"/>
                <a:cs typeface="Arial" panose="020B0604020202020204" pitchFamily="34" charset="0"/>
              </a:defRPr>
            </a:pPr>
            <a:r>
              <a:rPr lang="en-GB" sz="800">
                <a:latin typeface="Arial" panose="020B0604020202020204" pitchFamily="34" charset="0"/>
                <a:cs typeface="Arial" panose="020B0604020202020204" pitchFamily="34" charset="0"/>
              </a:rPr>
              <a:t>16-17</a:t>
            </a:r>
          </a:p>
        </c:rich>
      </c:tx>
      <c:layout>
        <c:manualLayout>
          <c:xMode val="edge"/>
          <c:yMode val="edge"/>
          <c:x val="0.33207819044530873"/>
          <c:y val="0"/>
        </c:manualLayout>
      </c:layout>
      <c:overlay val="1"/>
    </c:title>
    <c:autoTitleDeleted val="0"/>
    <c:plotArea>
      <c:layout>
        <c:manualLayout>
          <c:layoutTarget val="inner"/>
          <c:xMode val="edge"/>
          <c:yMode val="edge"/>
          <c:x val="6.3291139240506333E-2"/>
          <c:y val="3.0852875917966805E-2"/>
          <c:w val="0.8524475409375778"/>
          <c:h val="0.90624155028803055"/>
        </c:manualLayout>
      </c:layout>
      <c:barChart>
        <c:barDir val="bar"/>
        <c:grouping val="stacked"/>
        <c:varyColors val="0"/>
        <c:ser>
          <c:idx val="1"/>
          <c:order val="1"/>
          <c:tx>
            <c:strRef>
              <c:f>'Looked After Children'!$AA$4</c:f>
              <c:strCache>
                <c:ptCount val="1"/>
                <c:pt idx="0">
                  <c:v>Selected LA- (none)</c:v>
                </c:pt>
              </c:strCache>
            </c:strRef>
          </c:tx>
          <c:spPr>
            <a:solidFill>
              <a:srgbClr val="66FF99"/>
            </a:solidFill>
            <a:ln w="12700">
              <a:solidFill>
                <a:srgbClr val="80808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Children'!$AI$326:$AI$349</c:f>
              <c:numCache>
                <c:formatCode>General</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extLst>
            <c:ext xmlns:c16="http://schemas.microsoft.com/office/drawing/2014/chart" uri="{C3380CC4-5D6E-409C-BE32-E72D297353CC}">
              <c16:uniqueId val="{00000000-C994-4D81-87B7-3C99823FBC86}"/>
            </c:ext>
          </c:extLst>
        </c:ser>
        <c:dLbls>
          <c:showLegendKey val="0"/>
          <c:showVal val="0"/>
          <c:showCatName val="0"/>
          <c:showSerName val="0"/>
          <c:showPercent val="0"/>
          <c:showBubbleSize val="0"/>
        </c:dLbls>
        <c:gapWidth val="0"/>
        <c:overlap val="100"/>
        <c:axId val="291439744"/>
        <c:axId val="291441280"/>
      </c:barChart>
      <c:barChart>
        <c:barDir val="bar"/>
        <c:grouping val="clustered"/>
        <c:varyColors val="0"/>
        <c:ser>
          <c:idx val="0"/>
          <c:order val="0"/>
          <c:tx>
            <c:strRef>
              <c:f>'Looked After Children'!$H$325</c:f>
              <c:strCache>
                <c:ptCount val="1"/>
                <c:pt idx="0">
                  <c:v>16-17</c:v>
                </c:pt>
              </c:strCache>
            </c:strRef>
          </c:tx>
          <c:spPr>
            <a:solidFill>
              <a:srgbClr val="9B4719"/>
            </a:solidFill>
            <a:ln w="12700">
              <a:solidFill>
                <a:srgbClr val="000000"/>
              </a:solidFill>
              <a:prstDash val="solid"/>
            </a:ln>
          </c:spPr>
          <c:invertIfNegative val="0"/>
          <c:cat>
            <c:strRef>
              <c:f>'Looked After Children'!$Y$326:$Y$349</c:f>
              <c:strCache>
                <c:ptCount val="24"/>
                <c:pt idx="0">
                  <c:v>Bracknell Forest</c:v>
                </c:pt>
                <c:pt idx="1">
                  <c:v>Brighton &amp; Hove</c:v>
                </c:pt>
                <c:pt idx="2">
                  <c:v>Buckinghamshire</c:v>
                </c:pt>
                <c:pt idx="3">
                  <c:v>East Sussex</c:v>
                </c:pt>
                <c:pt idx="4">
                  <c:v>Hampshire</c:v>
                </c:pt>
                <c:pt idx="5">
                  <c:v>Isle of Wight</c:v>
                </c:pt>
                <c:pt idx="6">
                  <c:v>Kent</c:v>
                </c:pt>
                <c:pt idx="7">
                  <c:v>Medway</c:v>
                </c:pt>
                <c:pt idx="8">
                  <c:v>Milton Keynes</c:v>
                </c:pt>
                <c:pt idx="9">
                  <c:v>Oxfordshire</c:v>
                </c:pt>
                <c:pt idx="10">
                  <c:v>Portsmouth</c:v>
                </c:pt>
                <c:pt idx="11">
                  <c:v>Reading</c:v>
                </c:pt>
                <c:pt idx="12">
                  <c:v>Slough</c:v>
                </c:pt>
                <c:pt idx="13">
                  <c:v>Somerset</c:v>
                </c:pt>
                <c:pt idx="14">
                  <c:v>Southampton</c:v>
                </c:pt>
                <c:pt idx="15">
                  <c:v>Surrey</c:v>
                </c:pt>
                <c:pt idx="16">
                  <c:v>Swindon</c:v>
                </c:pt>
                <c:pt idx="17">
                  <c:v>Torbay</c:v>
                </c:pt>
                <c:pt idx="18">
                  <c:v>West Berkshire</c:v>
                </c:pt>
                <c:pt idx="19">
                  <c:v>West Sussex</c:v>
                </c:pt>
                <c:pt idx="20">
                  <c:v>Windsor &amp; Maidenhead</c:v>
                </c:pt>
                <c:pt idx="21">
                  <c:v>Wokingham</c:v>
                </c:pt>
                <c:pt idx="22">
                  <c:v>South East</c:v>
                </c:pt>
                <c:pt idx="23">
                  <c:v>England</c:v>
                </c:pt>
              </c:strCache>
            </c:strRef>
          </c:cat>
          <c:val>
            <c:numRef>
              <c:f>'Looked After Children'!$H$326:$H$349</c:f>
              <c:numCache>
                <c:formatCode>0.0</c:formatCode>
                <c:ptCount val="24"/>
                <c:pt idx="0">
                  <c:v>119.76047904191617</c:v>
                </c:pt>
                <c:pt idx="1">
                  <c:v>216.07142857142856</c:v>
                </c:pt>
                <c:pt idx="2">
                  <c:v>102.26497992576321</c:v>
                </c:pt>
                <c:pt idx="3">
                  <c:v>98.829000913545386</c:v>
                </c:pt>
                <c:pt idx="4">
                  <c:v>128.28777720474471</c:v>
                </c:pt>
                <c:pt idx="5">
                  <c:v>127.49264465511605</c:v>
                </c:pt>
                <c:pt idx="6">
                  <c:v>151.75807164971252</c:v>
                </c:pt>
                <c:pt idx="7">
                  <c:v>131.9934003299835</c:v>
                </c:pt>
                <c:pt idx="8">
                  <c:v>103.15822885256308</c:v>
                </c:pt>
                <c:pt idx="9">
                  <c:v>130.91243997105454</c:v>
                </c:pt>
                <c:pt idx="10">
                  <c:v>369.93678295481146</c:v>
                </c:pt>
                <c:pt idx="11">
                  <c:v>156.57934357121349</c:v>
                </c:pt>
                <c:pt idx="12">
                  <c:v>134.76347634763476</c:v>
                </c:pt>
                <c:pt idx="13">
                  <c:v>110.10931141785686</c:v>
                </c:pt>
                <c:pt idx="14">
                  <c:v>156.38575152041705</c:v>
                </c:pt>
                <c:pt idx="15">
                  <c:v>106.29806994630678</c:v>
                </c:pt>
                <c:pt idx="16">
                  <c:v>185.07342587004629</c:v>
                </c:pt>
                <c:pt idx="17">
                  <c:v>233.83266350018269</c:v>
                </c:pt>
                <c:pt idx="18">
                  <c:v>156.02836879432624</c:v>
                </c:pt>
                <c:pt idx="19">
                  <c:v>107.04533042053522</c:v>
                </c:pt>
                <c:pt idx="20">
                  <c:v>105.7934508816121</c:v>
                </c:pt>
                <c:pt idx="21">
                  <c:v>92.8948029123776</c:v>
                </c:pt>
                <c:pt idx="22">
                  <c:v>131.82637690712056</c:v>
                </c:pt>
                <c:pt idx="23">
                  <c:v>149.5541853202559</c:v>
                </c:pt>
              </c:numCache>
            </c:numRef>
          </c:val>
          <c:extLst>
            <c:ext xmlns:c16="http://schemas.microsoft.com/office/drawing/2014/chart" uri="{C3380CC4-5D6E-409C-BE32-E72D297353CC}">
              <c16:uniqueId val="{00000001-C994-4D81-87B7-3C99823FBC86}"/>
            </c:ext>
          </c:extLst>
        </c:ser>
        <c:dLbls>
          <c:showLegendKey val="0"/>
          <c:showVal val="0"/>
          <c:showCatName val="0"/>
          <c:showSerName val="0"/>
          <c:showPercent val="0"/>
          <c:showBubbleSize val="0"/>
        </c:dLbls>
        <c:gapWidth val="40"/>
        <c:axId val="291451264"/>
        <c:axId val="291452800"/>
      </c:barChart>
      <c:catAx>
        <c:axId val="291439744"/>
        <c:scaling>
          <c:orientation val="maxMin"/>
        </c:scaling>
        <c:delete val="1"/>
        <c:axPos val="l"/>
        <c:majorGridlines/>
        <c:numFmt formatCode="General" sourceLinked="0"/>
        <c:majorTickMark val="out"/>
        <c:minorTickMark val="none"/>
        <c:tickLblPos val="nextTo"/>
        <c:crossAx val="291441280"/>
        <c:crosses val="autoZero"/>
        <c:auto val="1"/>
        <c:lblAlgn val="ctr"/>
        <c:lblOffset val="100"/>
        <c:noMultiLvlLbl val="0"/>
      </c:catAx>
      <c:valAx>
        <c:axId val="291441280"/>
        <c:scaling>
          <c:orientation val="minMax"/>
          <c:max val="250"/>
          <c:min val="0"/>
        </c:scaling>
        <c:delete val="0"/>
        <c:axPos val="b"/>
        <c:majorGridlines>
          <c:spPr>
            <a:ln>
              <a:prstDash val="sysDash"/>
            </a:ln>
          </c:spPr>
        </c:majorGridlines>
        <c:numFmt formatCode="General" sourceLinked="0"/>
        <c:majorTickMark val="cross"/>
        <c:minorTickMark val="none"/>
        <c:tickLblPos val="high"/>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291439744"/>
        <c:crosses val="max"/>
        <c:crossBetween val="between"/>
      </c:valAx>
      <c:catAx>
        <c:axId val="291451264"/>
        <c:scaling>
          <c:orientation val="maxMin"/>
        </c:scaling>
        <c:delete val="1"/>
        <c:axPos val="l"/>
        <c:numFmt formatCode="General" sourceLinked="0"/>
        <c:majorTickMark val="out"/>
        <c:minorTickMark val="none"/>
        <c:tickLblPos val="nextTo"/>
        <c:crossAx val="291452800"/>
        <c:crosses val="autoZero"/>
        <c:auto val="1"/>
        <c:lblAlgn val="ctr"/>
        <c:lblOffset val="100"/>
        <c:noMultiLvlLbl val="0"/>
      </c:catAx>
      <c:valAx>
        <c:axId val="291452800"/>
        <c:scaling>
          <c:orientation val="minMax"/>
        </c:scaling>
        <c:delete val="1"/>
        <c:axPos val="t"/>
        <c:numFmt formatCode="0.0" sourceLinked="1"/>
        <c:majorTickMark val="out"/>
        <c:minorTickMark val="none"/>
        <c:tickLblPos val="nextTo"/>
        <c:crossAx val="291451264"/>
        <c:crosses val="autoZero"/>
        <c:crossBetween val="between"/>
      </c:valAx>
      <c:spPr>
        <a:noFill/>
        <a:ln w="15875">
          <a:solidFill>
            <a:schemeClr val="tx1">
              <a:lumMod val="50000"/>
              <a:lumOff val="50000"/>
            </a:schemeClr>
          </a:solidFill>
        </a:ln>
      </c:spPr>
    </c:plotArea>
    <c:plotVisOnly val="0"/>
    <c:dispBlanksAs val="zero"/>
    <c:showDLblsOverMax val="0"/>
  </c:chart>
  <c:spPr>
    <a:solidFill>
      <a:srgbClr val="FFFFFF"/>
    </a:solidFill>
    <a:ln w="3175">
      <a:solidFill>
        <a:srgbClr val="000000"/>
      </a:solidFill>
      <a:prstDash val="solid"/>
    </a:ln>
  </c:spPr>
  <c:printSettings>
    <c:headerFooter alignWithMargins="0"/>
    <c:pageMargins b="1" l="0.75000000000000488" r="0.75000000000000488" t="1" header="0.5" footer="0.5"/>
    <c:pageSetup orientation="portrait"/>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who were UASC</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967780378803996"/>
          <c:h val="0.54035093858877536"/>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Children'!$BH$65:$BL$65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4411-456D-9C3A-BB39CA296401}"/>
            </c:ext>
          </c:extLst>
        </c:ser>
        <c:ser>
          <c:idx val="4"/>
          <c:order val="1"/>
          <c:tx>
            <c:strRef>
              <c:f>'Looked After Children'!$B$170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Children'!$D$278:$H$278</c:f>
              <c:numCache>
                <c:formatCode>0%</c:formatCode>
                <c:ptCount val="5"/>
                <c:pt idx="0">
                  <c:v>8.0047086521483221E-2</c:v>
                </c:pt>
                <c:pt idx="1">
                  <c:v>0.15841584158415842</c:v>
                </c:pt>
                <c:pt idx="2">
                  <c:v>0.11873350923482849</c:v>
                </c:pt>
                <c:pt idx="3">
                  <c:v>8.9985178911708666E-2</c:v>
                </c:pt>
                <c:pt idx="4">
                  <c:v>9.961606309017329E-2</c:v>
                </c:pt>
              </c:numCache>
            </c:numRef>
          </c:val>
          <c:extLst>
            <c:ext xmlns:c16="http://schemas.microsoft.com/office/drawing/2014/chart" uri="{C3380CC4-5D6E-409C-BE32-E72D297353CC}">
              <c16:uniqueId val="{00000001-4411-456D-9C3A-BB39CA296401}"/>
            </c:ext>
          </c:extLst>
        </c:ser>
        <c:ser>
          <c:idx val="0"/>
          <c:order val="2"/>
          <c:tx>
            <c:strRef>
              <c:f>'Looked After Children'!$B$171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Children'!$D$279:$H$279</c:f>
              <c:numCache>
                <c:formatCode>0%</c:formatCode>
                <c:ptCount val="5"/>
                <c:pt idx="0">
                  <c:v>3.9729379588311499E-2</c:v>
                </c:pt>
                <c:pt idx="1">
                  <c:v>6.1638971736969181E-2</c:v>
                </c:pt>
                <c:pt idx="2">
                  <c:v>6.4729376118991877E-2</c:v>
                </c:pt>
                <c:pt idx="3">
                  <c:v>6.0368847021361284E-2</c:v>
                </c:pt>
                <c:pt idx="4">
                  <c:v>6.4875239923224567E-2</c:v>
                </c:pt>
              </c:numCache>
            </c:numRef>
          </c:val>
          <c:extLst>
            <c:ext xmlns:c16="http://schemas.microsoft.com/office/drawing/2014/chart" uri="{C3380CC4-5D6E-409C-BE32-E72D297353CC}">
              <c16:uniqueId val="{00000002-4411-456D-9C3A-BB39CA296401}"/>
            </c:ext>
          </c:extLst>
        </c:ser>
        <c:dLbls>
          <c:showLegendKey val="0"/>
          <c:showVal val="0"/>
          <c:showCatName val="0"/>
          <c:showSerName val="0"/>
          <c:showPercent val="0"/>
          <c:showBubbleSize val="0"/>
        </c:dLbls>
        <c:gapWidth val="100"/>
        <c:axId val="291485952"/>
        <c:axId val="291500032"/>
      </c:barChart>
      <c:catAx>
        <c:axId val="291485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500032"/>
        <c:crosses val="autoZero"/>
        <c:auto val="1"/>
        <c:lblAlgn val="ctr"/>
        <c:lblOffset val="100"/>
        <c:noMultiLvlLbl val="0"/>
      </c:catAx>
      <c:valAx>
        <c:axId val="291500032"/>
        <c:scaling>
          <c:orientation val="minMax"/>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485952"/>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6434408198975127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who were UASC</a:t>
            </a:r>
          </a:p>
        </c:rich>
      </c:tx>
      <c:layout>
        <c:manualLayout>
          <c:xMode val="edge"/>
          <c:yMode val="edge"/>
          <c:x val="0.22741610515059887"/>
          <c:y val="2.0750544393247337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9076-4241-B2E5-7E6365A50086}"/>
              </c:ext>
            </c:extLst>
          </c:dPt>
          <c:cat>
            <c:strRef>
              <c:f>'Looked After Children'!$Z$2:$AD$3</c:f>
              <c:strCache>
                <c:ptCount val="5"/>
                <c:pt idx="0">
                  <c:v>2014-15</c:v>
                </c:pt>
                <c:pt idx="1">
                  <c:v>2015-16</c:v>
                </c:pt>
                <c:pt idx="2">
                  <c:v>2016-17</c:v>
                </c:pt>
                <c:pt idx="3">
                  <c:v>2017-18</c:v>
                </c:pt>
                <c:pt idx="4">
                  <c:v>2018-19</c:v>
                </c:pt>
              </c:strCache>
            </c:strRef>
          </c:cat>
          <c:val>
            <c:numRef>
              <c:f>'Looked After Children'!$BH$41:$BL$41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076-4241-B2E5-7E6365A50086}"/>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Children'!$BH$42:$BL$42</c:f>
              <c:numCache>
                <c:formatCode>0.0%</c:formatCode>
                <c:ptCount val="5"/>
                <c:pt idx="0">
                  <c:v>2.1186440677966101E-2</c:v>
                </c:pt>
                <c:pt idx="1">
                  <c:v>7.7625570776255703E-2</c:v>
                </c:pt>
                <c:pt idx="2">
                  <c:v>8.3333333333333329E-2</c:v>
                </c:pt>
                <c:pt idx="3">
                  <c:v>7.1599045346062054E-2</c:v>
                </c:pt>
                <c:pt idx="4">
                  <c:v>9.718670076726342E-2</c:v>
                </c:pt>
              </c:numCache>
            </c:numRef>
          </c:val>
          <c:smooth val="0"/>
          <c:extLst>
            <c:ext xmlns:c16="http://schemas.microsoft.com/office/drawing/2014/chart" uri="{C3380CC4-5D6E-409C-BE32-E72D297353CC}">
              <c16:uniqueId val="{00000002-9076-4241-B2E5-7E6365A50086}"/>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Children'!$BH$43:$BL$43</c:f>
              <c:numCache>
                <c:formatCode>0.0%</c:formatCode>
                <c:ptCount val="5"/>
                <c:pt idx="0">
                  <c:v>4.1379310344827586E-2</c:v>
                </c:pt>
                <c:pt idx="1">
                  <c:v>4.1394335511982572E-2</c:v>
                </c:pt>
                <c:pt idx="2">
                  <c:v>5.2863436123348019E-2</c:v>
                </c:pt>
                <c:pt idx="3">
                  <c:v>7.4152542372881353E-2</c:v>
                </c:pt>
                <c:pt idx="4">
                  <c:v>6.0194174757281553E-2</c:v>
                </c:pt>
              </c:numCache>
            </c:numRef>
          </c:val>
          <c:smooth val="0"/>
          <c:extLst>
            <c:ext xmlns:c16="http://schemas.microsoft.com/office/drawing/2014/chart" uri="{C3380CC4-5D6E-409C-BE32-E72D297353CC}">
              <c16:uniqueId val="{00000003-9076-4241-B2E5-7E6365A50086}"/>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Children'!$BH$44:$BL$44</c:f>
              <c:numCache>
                <c:formatCode>0.0%</c:formatCode>
                <c:ptCount val="5"/>
                <c:pt idx="0">
                  <c:v>1.098901098901099E-2</c:v>
                </c:pt>
                <c:pt idx="1">
                  <c:v>3.1307550644567222E-2</c:v>
                </c:pt>
                <c:pt idx="2">
                  <c:v>4.3243243243243246E-2</c:v>
                </c:pt>
                <c:pt idx="3">
                  <c:v>3.3222591362126248E-2</c:v>
                </c:pt>
                <c:pt idx="4">
                  <c:v>0.06</c:v>
                </c:pt>
              </c:numCache>
            </c:numRef>
          </c:val>
          <c:smooth val="0"/>
          <c:extLst>
            <c:ext xmlns:c16="http://schemas.microsoft.com/office/drawing/2014/chart" uri="{C3380CC4-5D6E-409C-BE32-E72D297353CC}">
              <c16:uniqueId val="{00000004-9076-4241-B2E5-7E6365A50086}"/>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Children'!$BH$45:$BL$45</c:f>
              <c:numCache>
                <c:formatCode>0.0%</c:formatCode>
                <c:ptCount val="5"/>
                <c:pt idx="0">
                  <c:v>1.5003750937734433E-2</c:v>
                </c:pt>
                <c:pt idx="1">
                  <c:v>2.2222222222222223E-2</c:v>
                </c:pt>
                <c:pt idx="2">
                  <c:v>5.5555555555555552E-2</c:v>
                </c:pt>
                <c:pt idx="3">
                  <c:v>7.0890840652446677E-2</c:v>
                </c:pt>
                <c:pt idx="4">
                  <c:v>7.9927884615384609E-2</c:v>
                </c:pt>
              </c:numCache>
            </c:numRef>
          </c:val>
          <c:smooth val="0"/>
          <c:extLst>
            <c:ext xmlns:c16="http://schemas.microsoft.com/office/drawing/2014/chart" uri="{C3380CC4-5D6E-409C-BE32-E72D297353CC}">
              <c16:uniqueId val="{00000005-9076-4241-B2E5-7E6365A50086}"/>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Children'!$BH$46:$BL$46</c:f>
              <c:numCache>
                <c:formatCode>0.0%</c:formatCode>
                <c:ptCount val="5"/>
                <c:pt idx="0">
                  <c:v>0</c:v>
                </c:pt>
                <c:pt idx="1">
                  <c:v>0</c:v>
                </c:pt>
                <c:pt idx="2">
                  <c:v>#N/A</c:v>
                </c:pt>
                <c:pt idx="3">
                  <c:v>3.0973451327433628E-2</c:v>
                </c:pt>
                <c:pt idx="4">
                  <c:v>2.4691358024691357E-2</c:v>
                </c:pt>
              </c:numCache>
            </c:numRef>
          </c:val>
          <c:smooth val="0"/>
          <c:extLst>
            <c:ext xmlns:c16="http://schemas.microsoft.com/office/drawing/2014/chart" uri="{C3380CC4-5D6E-409C-BE32-E72D297353CC}">
              <c16:uniqueId val="{00000006-9076-4241-B2E5-7E6365A50086}"/>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Children'!$BH$47:$BL$47</c:f>
              <c:numCache>
                <c:formatCode>0.0%</c:formatCode>
                <c:ptCount val="5"/>
                <c:pt idx="0">
                  <c:v>0.19657204070701662</c:v>
                </c:pt>
                <c:pt idx="1">
                  <c:v>0.37510803802938636</c:v>
                </c:pt>
                <c:pt idx="2">
                  <c:v>0.25460284061020516</c:v>
                </c:pt>
                <c:pt idx="3">
                  <c:v>0.14259597806215721</c:v>
                </c:pt>
                <c:pt idx="4">
                  <c:v>0.16037735849056603</c:v>
                </c:pt>
              </c:numCache>
            </c:numRef>
          </c:val>
          <c:smooth val="0"/>
          <c:extLst>
            <c:ext xmlns:c16="http://schemas.microsoft.com/office/drawing/2014/chart" uri="{C3380CC4-5D6E-409C-BE32-E72D297353CC}">
              <c16:uniqueId val="{00000007-9076-4241-B2E5-7E6365A50086}"/>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Children'!$BH$48:$BL$48</c:f>
              <c:numCache>
                <c:formatCode>0.0%</c:formatCode>
                <c:ptCount val="5"/>
                <c:pt idx="0">
                  <c:v>#N/A</c:v>
                </c:pt>
                <c:pt idx="1">
                  <c:v>#N/A</c:v>
                </c:pt>
                <c:pt idx="2">
                  <c:v>#N/A</c:v>
                </c:pt>
                <c:pt idx="3">
                  <c:v>#N/A</c:v>
                </c:pt>
                <c:pt idx="4">
                  <c:v>2.5943396226415096E-2</c:v>
                </c:pt>
              </c:numCache>
            </c:numRef>
          </c:val>
          <c:smooth val="0"/>
          <c:extLst>
            <c:ext xmlns:c16="http://schemas.microsoft.com/office/drawing/2014/chart" uri="{C3380CC4-5D6E-409C-BE32-E72D297353CC}">
              <c16:uniqueId val="{00000008-9076-4241-B2E5-7E6365A50086}"/>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Children'!$BH$49:$BL$49</c:f>
              <c:numCache>
                <c:formatCode>0.0%</c:formatCode>
                <c:ptCount val="5"/>
                <c:pt idx="0">
                  <c:v>7.3746312684365781E-2</c:v>
                </c:pt>
                <c:pt idx="1">
                  <c:v>0.11884057971014493</c:v>
                </c:pt>
                <c:pt idx="2">
                  <c:v>0.10353535353535354</c:v>
                </c:pt>
                <c:pt idx="3">
                  <c:v>7.6142131979695438E-2</c:v>
                </c:pt>
                <c:pt idx="4">
                  <c:v>6.0367454068241469E-2</c:v>
                </c:pt>
              </c:numCache>
            </c:numRef>
          </c:val>
          <c:smooth val="0"/>
          <c:extLst>
            <c:ext xmlns:c16="http://schemas.microsoft.com/office/drawing/2014/chart" uri="{C3380CC4-5D6E-409C-BE32-E72D297353CC}">
              <c16:uniqueId val="{00000009-9076-4241-B2E5-7E6365A50086}"/>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Children'!$BH$50:$BL$50</c:f>
              <c:numCache>
                <c:formatCode>0.0%</c:formatCode>
                <c:ptCount val="5"/>
                <c:pt idx="0">
                  <c:v>8.2352941176470587E-2</c:v>
                </c:pt>
                <c:pt idx="1">
                  <c:v>9.7807757166947729E-2</c:v>
                </c:pt>
                <c:pt idx="2">
                  <c:v>8.1081081081081086E-2</c:v>
                </c:pt>
                <c:pt idx="3">
                  <c:v>8.3333333333333329E-2</c:v>
                </c:pt>
                <c:pt idx="4">
                  <c:v>8.2156611039794603E-2</c:v>
                </c:pt>
              </c:numCache>
            </c:numRef>
          </c:val>
          <c:smooth val="0"/>
          <c:extLst>
            <c:ext xmlns:c16="http://schemas.microsoft.com/office/drawing/2014/chart" uri="{C3380CC4-5D6E-409C-BE32-E72D297353CC}">
              <c16:uniqueId val="{0000000A-9076-4241-B2E5-7E6365A50086}"/>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Children'!$BH$51:$BL$51</c:f>
              <c:numCache>
                <c:formatCode>0.0%</c:formatCode>
                <c:ptCount val="5"/>
                <c:pt idx="0">
                  <c:v>2.8125000000000001E-2</c:v>
                </c:pt>
                <c:pt idx="1">
                  <c:v>9.9378881987577633E-2</c:v>
                </c:pt>
                <c:pt idx="2">
                  <c:v>0.12569832402234637</c:v>
                </c:pt>
                <c:pt idx="3">
                  <c:v>0.17349397590361446</c:v>
                </c:pt>
                <c:pt idx="4">
                  <c:v>0.20781893004115226</c:v>
                </c:pt>
              </c:numCache>
            </c:numRef>
          </c:val>
          <c:smooth val="0"/>
          <c:extLst>
            <c:ext xmlns:c16="http://schemas.microsoft.com/office/drawing/2014/chart" uri="{C3380CC4-5D6E-409C-BE32-E72D297353CC}">
              <c16:uniqueId val="{0000000B-9076-4241-B2E5-7E6365A50086}"/>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Children'!$BH$52:$BL$52</c:f>
              <c:numCache>
                <c:formatCode>0.0%</c:formatCode>
                <c:ptCount val="5"/>
                <c:pt idx="0">
                  <c:v>#N/A</c:v>
                </c:pt>
                <c:pt idx="1">
                  <c:v>2.7272727272727271E-2</c:v>
                </c:pt>
                <c:pt idx="2">
                  <c:v>4.1825095057034217E-2</c:v>
                </c:pt>
                <c:pt idx="3">
                  <c:v>3.2258064516129031E-2</c:v>
                </c:pt>
                <c:pt idx="4">
                  <c:v>#N/A</c:v>
                </c:pt>
              </c:numCache>
            </c:numRef>
          </c:val>
          <c:smooth val="0"/>
          <c:extLst>
            <c:ext xmlns:c16="http://schemas.microsoft.com/office/drawing/2014/chart" uri="{C3380CC4-5D6E-409C-BE32-E72D297353CC}">
              <c16:uniqueId val="{0000000C-9076-4241-B2E5-7E6365A50086}"/>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Children'!$BH$53:$BL$53</c:f>
              <c:numCache>
                <c:formatCode>0.0%</c:formatCode>
                <c:ptCount val="5"/>
                <c:pt idx="0">
                  <c:v>5.1020408163265307E-2</c:v>
                </c:pt>
                <c:pt idx="1">
                  <c:v>6.7039106145251395E-2</c:v>
                </c:pt>
                <c:pt idx="2">
                  <c:v>7.3684210526315783E-2</c:v>
                </c:pt>
                <c:pt idx="3">
                  <c:v>3.8834951456310676E-2</c:v>
                </c:pt>
                <c:pt idx="4">
                  <c:v>#N/A</c:v>
                </c:pt>
              </c:numCache>
            </c:numRef>
          </c:val>
          <c:smooth val="0"/>
          <c:extLst>
            <c:ext xmlns:c16="http://schemas.microsoft.com/office/drawing/2014/chart" uri="{C3380CC4-5D6E-409C-BE32-E72D297353CC}">
              <c16:uniqueId val="{0000000D-9076-4241-B2E5-7E6365A50086}"/>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Children'!$BH$54:$BL$54</c:f>
              <c:numCache>
                <c:formatCode>0.0%</c:formatCode>
                <c:ptCount val="5"/>
                <c:pt idx="0">
                  <c:v>#N/A</c:v>
                </c:pt>
                <c:pt idx="1">
                  <c:v>#N/A</c:v>
                </c:pt>
                <c:pt idx="2">
                  <c:v>2.9411764705882353E-2</c:v>
                </c:pt>
                <c:pt idx="3">
                  <c:v>5.4158607350096713E-2</c:v>
                </c:pt>
                <c:pt idx="4">
                  <c:v>2.4344569288389514E-2</c:v>
                </c:pt>
              </c:numCache>
            </c:numRef>
          </c:val>
          <c:smooth val="0"/>
          <c:extLst>
            <c:ext xmlns:c16="http://schemas.microsoft.com/office/drawing/2014/chart" uri="{C3380CC4-5D6E-409C-BE32-E72D297353CC}">
              <c16:uniqueId val="{0000000E-9076-4241-B2E5-7E6365A50086}"/>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Children'!$BH$55:$BL$55</c:f>
              <c:numCache>
                <c:formatCode>0.0%</c:formatCode>
                <c:ptCount val="5"/>
                <c:pt idx="0">
                  <c:v>1.0309278350515464E-2</c:v>
                </c:pt>
                <c:pt idx="1">
                  <c:v>#N/A</c:v>
                </c:pt>
                <c:pt idx="2">
                  <c:v>2.0370370370370372E-2</c:v>
                </c:pt>
                <c:pt idx="3">
                  <c:v>2.8735632183908046E-2</c:v>
                </c:pt>
                <c:pt idx="4">
                  <c:v>3.1185031185031187E-2</c:v>
                </c:pt>
              </c:numCache>
            </c:numRef>
          </c:val>
          <c:smooth val="0"/>
          <c:extLst>
            <c:ext xmlns:c16="http://schemas.microsoft.com/office/drawing/2014/chart" uri="{C3380CC4-5D6E-409C-BE32-E72D297353CC}">
              <c16:uniqueId val="{0000000F-9076-4241-B2E5-7E6365A50086}"/>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Children'!$BH$56:$BL$56</c:f>
              <c:numCache>
                <c:formatCode>0.0%</c:formatCode>
                <c:ptCount val="5"/>
                <c:pt idx="0">
                  <c:v>0.12836970474967907</c:v>
                </c:pt>
                <c:pt idx="1">
                  <c:v>0.17416378316032297</c:v>
                </c:pt>
                <c:pt idx="2">
                  <c:v>0.16340621403912542</c:v>
                </c:pt>
                <c:pt idx="3">
                  <c:v>0.11935483870967742</c:v>
                </c:pt>
                <c:pt idx="4">
                  <c:v>0.1171634121274409</c:v>
                </c:pt>
              </c:numCache>
            </c:numRef>
          </c:val>
          <c:smooth val="0"/>
          <c:extLst>
            <c:ext xmlns:c16="http://schemas.microsoft.com/office/drawing/2014/chart" uri="{C3380CC4-5D6E-409C-BE32-E72D297353CC}">
              <c16:uniqueId val="{00000010-9076-4241-B2E5-7E6365A50086}"/>
            </c:ext>
          </c:extLst>
        </c:ser>
        <c:ser>
          <c:idx val="7"/>
          <c:order val="16"/>
          <c:tx>
            <c:strRef>
              <c:f>'Looked After Children'!$AL$57</c:f>
              <c:strCache>
                <c:ptCount val="1"/>
                <c:pt idx="0">
                  <c:v>Swindon</c:v>
                </c:pt>
              </c:strCache>
            </c:strRef>
          </c:tx>
          <c:spPr>
            <a:ln w="15875"/>
          </c:spPr>
          <c:marker>
            <c:symbol val="triangle"/>
            <c:size val="5"/>
            <c:spPr>
              <a:solidFill>
                <a:schemeClr val="accent2">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Children'!$BH$57:$BL$57</c:f>
              <c:numCache>
                <c:formatCode>0.0%</c:formatCode>
                <c:ptCount val="5"/>
                <c:pt idx="0">
                  <c:v>#N/A</c:v>
                </c:pt>
                <c:pt idx="1">
                  <c:v>4.778156996587031E-2</c:v>
                </c:pt>
                <c:pt idx="2">
                  <c:v>6.363636363636363E-2</c:v>
                </c:pt>
                <c:pt idx="3">
                  <c:v>7.2222222222222215E-2</c:v>
                </c:pt>
                <c:pt idx="4">
                  <c:v>6.8965517241379309E-2</c:v>
                </c:pt>
              </c:numCache>
            </c:numRef>
          </c:val>
          <c:smooth val="0"/>
          <c:extLst>
            <c:ext xmlns:c16="http://schemas.microsoft.com/office/drawing/2014/chart" uri="{C3380CC4-5D6E-409C-BE32-E72D297353CC}">
              <c16:uniqueId val="{00000011-9076-4241-B2E5-7E6365A50086}"/>
            </c:ext>
          </c:extLst>
        </c:ser>
        <c:ser>
          <c:idx val="8"/>
          <c:order val="17"/>
          <c:tx>
            <c:strRef>
              <c:f>'Looked After Children'!$AL$58</c:f>
              <c:strCache>
                <c:ptCount val="1"/>
                <c:pt idx="0">
                  <c:v>Torbay</c:v>
                </c:pt>
              </c:strCache>
            </c:strRef>
          </c:tx>
          <c:spPr>
            <a:ln w="15875"/>
          </c:spPr>
          <c:marker>
            <c:symbol val="circle"/>
            <c:size val="5"/>
            <c:spPr>
              <a:solidFill>
                <a:schemeClr val="accent3">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Children'!$BH$58:$BL$58</c:f>
              <c:numCache>
                <c:formatCode>0.0%</c:formatCode>
                <c:ptCount val="5"/>
                <c:pt idx="0">
                  <c:v>0</c:v>
                </c:pt>
                <c:pt idx="1">
                  <c:v>0</c:v>
                </c:pt>
                <c:pt idx="2">
                  <c:v>#N/A</c:v>
                </c:pt>
                <c:pt idx="3">
                  <c:v>#N/A</c:v>
                </c:pt>
                <c:pt idx="4">
                  <c:v>#N/A</c:v>
                </c:pt>
              </c:numCache>
            </c:numRef>
          </c:val>
          <c:smooth val="0"/>
          <c:extLst>
            <c:ext xmlns:c16="http://schemas.microsoft.com/office/drawing/2014/chart" uri="{C3380CC4-5D6E-409C-BE32-E72D297353CC}">
              <c16:uniqueId val="{00000012-9076-4241-B2E5-7E6365A50086}"/>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Children'!$BH$59:$BL$59</c:f>
              <c:numCache>
                <c:formatCode>0.0%</c:formatCode>
                <c:ptCount val="5"/>
                <c:pt idx="0">
                  <c:v>5.8479532163742687E-2</c:v>
                </c:pt>
                <c:pt idx="1">
                  <c:v>8.2802547770700632E-2</c:v>
                </c:pt>
                <c:pt idx="2">
                  <c:v>9.9378881987577633E-2</c:v>
                </c:pt>
                <c:pt idx="3">
                  <c:v>0.1103448275862069</c:v>
                </c:pt>
                <c:pt idx="4">
                  <c:v>0.1744186046511628</c:v>
                </c:pt>
              </c:numCache>
            </c:numRef>
          </c:val>
          <c:smooth val="0"/>
          <c:extLst>
            <c:ext xmlns:c16="http://schemas.microsoft.com/office/drawing/2014/chart" uri="{C3380CC4-5D6E-409C-BE32-E72D297353CC}">
              <c16:uniqueId val="{00000013-9076-4241-B2E5-7E6365A50086}"/>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Children'!$BH$60:$BL$60</c:f>
              <c:numCache>
                <c:formatCode>0.0%</c:formatCode>
                <c:ptCount val="5"/>
                <c:pt idx="0">
                  <c:v>5.5900621118012424E-2</c:v>
                </c:pt>
                <c:pt idx="1">
                  <c:v>0.10015649452269171</c:v>
                </c:pt>
                <c:pt idx="2">
                  <c:v>0.11010558069381599</c:v>
                </c:pt>
                <c:pt idx="3">
                  <c:v>9.8011363636363633E-2</c:v>
                </c:pt>
                <c:pt idx="4">
                  <c:v>0.10227272727272728</c:v>
                </c:pt>
              </c:numCache>
            </c:numRef>
          </c:val>
          <c:smooth val="0"/>
          <c:extLst>
            <c:ext xmlns:c16="http://schemas.microsoft.com/office/drawing/2014/chart" uri="{C3380CC4-5D6E-409C-BE32-E72D297353CC}">
              <c16:uniqueId val="{00000014-9076-4241-B2E5-7E6365A50086}"/>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Children'!$BH$61:$BL$61</c:f>
              <c:numCache>
                <c:formatCode>0.0%</c:formatCode>
                <c:ptCount val="5"/>
                <c:pt idx="0">
                  <c:v>9.0909090909090912E-2</c:v>
                </c:pt>
                <c:pt idx="1">
                  <c:v>#N/A</c:v>
                </c:pt>
                <c:pt idx="2">
                  <c:v>6.4220183486238536E-2</c:v>
                </c:pt>
                <c:pt idx="3">
                  <c:v>6.5420560747663545E-2</c:v>
                </c:pt>
                <c:pt idx="4">
                  <c:v>8.0645161290322578E-2</c:v>
                </c:pt>
              </c:numCache>
            </c:numRef>
          </c:val>
          <c:smooth val="0"/>
          <c:extLst>
            <c:ext xmlns:c16="http://schemas.microsoft.com/office/drawing/2014/chart" uri="{C3380CC4-5D6E-409C-BE32-E72D297353CC}">
              <c16:uniqueId val="{00000015-9076-4241-B2E5-7E6365A50086}"/>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Children'!$BH$62:$BL$62</c:f>
              <c:numCache>
                <c:formatCode>0.0%</c:formatCode>
                <c:ptCount val="5"/>
                <c:pt idx="0">
                  <c:v>#N/A</c:v>
                </c:pt>
                <c:pt idx="1">
                  <c:v>#N/A</c:v>
                </c:pt>
                <c:pt idx="2">
                  <c:v>0.10666666666666667</c:v>
                </c:pt>
                <c:pt idx="3">
                  <c:v>0.13207547169811321</c:v>
                </c:pt>
                <c:pt idx="4">
                  <c:v>0.10909090909090909</c:v>
                </c:pt>
              </c:numCache>
            </c:numRef>
          </c:val>
          <c:smooth val="0"/>
          <c:extLst>
            <c:ext xmlns:c16="http://schemas.microsoft.com/office/drawing/2014/chart" uri="{C3380CC4-5D6E-409C-BE32-E72D297353CC}">
              <c16:uniqueId val="{00000016-9076-4241-B2E5-7E6365A50086}"/>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Children'!$BH$63:$BL$63</c:f>
              <c:numCache>
                <c:formatCode>0.0%</c:formatCode>
                <c:ptCount val="5"/>
                <c:pt idx="0">
                  <c:v>8.0047086521483221E-2</c:v>
                </c:pt>
                <c:pt idx="1">
                  <c:v>0.15841584158415842</c:v>
                </c:pt>
                <c:pt idx="2">
                  <c:v>0.11873350923482849</c:v>
                </c:pt>
                <c:pt idx="3">
                  <c:v>8.9985178911708666E-2</c:v>
                </c:pt>
                <c:pt idx="4">
                  <c:v>9.961606309017329E-2</c:v>
                </c:pt>
              </c:numCache>
            </c:numRef>
          </c:val>
          <c:smooth val="0"/>
          <c:extLst>
            <c:ext xmlns:c16="http://schemas.microsoft.com/office/drawing/2014/chart" uri="{C3380CC4-5D6E-409C-BE32-E72D297353CC}">
              <c16:uniqueId val="{00000017-9076-4241-B2E5-7E6365A50086}"/>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Children'!$BH$64:$BL$64</c:f>
              <c:numCache>
                <c:formatCode>0.0%</c:formatCode>
                <c:ptCount val="5"/>
                <c:pt idx="0">
                  <c:v>3.9729379588311499E-2</c:v>
                </c:pt>
                <c:pt idx="1">
                  <c:v>6.1638971736969181E-2</c:v>
                </c:pt>
                <c:pt idx="2">
                  <c:v>6.4729376118991877E-2</c:v>
                </c:pt>
                <c:pt idx="3">
                  <c:v>6.0368847021361284E-2</c:v>
                </c:pt>
                <c:pt idx="4">
                  <c:v>6.4875239923224567E-2</c:v>
                </c:pt>
              </c:numCache>
            </c:numRef>
          </c:val>
          <c:smooth val="0"/>
          <c:extLst>
            <c:ext xmlns:c16="http://schemas.microsoft.com/office/drawing/2014/chart" uri="{C3380CC4-5D6E-409C-BE32-E72D297353CC}">
              <c16:uniqueId val="{00000018-9076-4241-B2E5-7E6365A50086}"/>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Children'!$BH$65:$BL$65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9076-4241-B2E5-7E6365A50086}"/>
            </c:ext>
          </c:extLst>
        </c:ser>
        <c:dLbls>
          <c:showLegendKey val="0"/>
          <c:showVal val="0"/>
          <c:showCatName val="0"/>
          <c:showSerName val="0"/>
          <c:showPercent val="0"/>
          <c:showBubbleSize val="0"/>
        </c:dLbls>
        <c:marker val="1"/>
        <c:smooth val="0"/>
        <c:axId val="291633792"/>
        <c:axId val="291775232"/>
      </c:lineChart>
      <c:catAx>
        <c:axId val="291633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775232"/>
        <c:crosses val="autoZero"/>
        <c:auto val="1"/>
        <c:lblAlgn val="ctr"/>
        <c:lblOffset val="100"/>
        <c:tickLblSkip val="1"/>
        <c:tickMarkSkip val="1"/>
        <c:noMultiLvlLbl val="0"/>
      </c:catAx>
      <c:valAx>
        <c:axId val="291775232"/>
        <c:scaling>
          <c:orientation val="minMax"/>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633792"/>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9148383506262765"/>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900" b="1" i="0" u="none" strike="noStrike" baseline="0">
                <a:solidFill>
                  <a:srgbClr val="000000"/>
                </a:solidFill>
                <a:latin typeface="Arial"/>
                <a:ea typeface="Arial"/>
                <a:cs typeface="Arial"/>
              </a:defRPr>
            </a:pPr>
            <a:r>
              <a:rPr lang="en-GB" sz="900"/>
              <a:t>% CLA with Reviews in Timescales</a:t>
            </a:r>
          </a:p>
          <a:p>
            <a:pPr>
              <a:defRPr sz="900" b="1" i="0" u="none" strike="noStrike" baseline="0">
                <a:solidFill>
                  <a:srgbClr val="000000"/>
                </a:solidFill>
                <a:latin typeface="Arial"/>
                <a:ea typeface="Arial"/>
                <a:cs typeface="Arial"/>
              </a:defRPr>
            </a:pPr>
            <a:r>
              <a:rPr lang="en-GB" sz="900"/>
              <a:t>(Selected LA</a:t>
            </a:r>
            <a:r>
              <a:rPr lang="en-GB" sz="900" baseline="0"/>
              <a:t> vs. SE &amp; National)</a:t>
            </a:r>
            <a:r>
              <a:rPr lang="en-GB" sz="900"/>
              <a:t> </a:t>
            </a:r>
          </a:p>
        </c:rich>
      </c:tx>
      <c:layout>
        <c:manualLayout>
          <c:xMode val="edge"/>
          <c:yMode val="edge"/>
          <c:x val="0.20505982905982906"/>
          <c:y val="3.8613923259592556E-3"/>
        </c:manualLayout>
      </c:layout>
      <c:overlay val="0"/>
      <c:spPr>
        <a:noFill/>
        <a:ln w="25400">
          <a:noFill/>
        </a:ln>
      </c:spPr>
    </c:title>
    <c:autoTitleDeleted val="0"/>
    <c:plotArea>
      <c:layout>
        <c:manualLayout>
          <c:layoutTarget val="inner"/>
          <c:xMode val="edge"/>
          <c:yMode val="edge"/>
          <c:x val="9.8666564984461691E-2"/>
          <c:y val="0.21047931508561429"/>
          <c:w val="0.64607416380644722"/>
          <c:h val="0.62582114735658045"/>
        </c:manualLayout>
      </c:layout>
      <c:barChart>
        <c:barDir val="col"/>
        <c:grouping val="clustered"/>
        <c:varyColors val="0"/>
        <c:ser>
          <c:idx val="6"/>
          <c:order val="0"/>
          <c:tx>
            <c:strRef>
              <c:f>'Looked After Children'!$AA$4</c:f>
              <c:strCache>
                <c:ptCount val="1"/>
                <c:pt idx="0">
                  <c:v>Selected LA- (none)</c:v>
                </c:pt>
              </c:strCache>
            </c:strRef>
          </c:tx>
          <c:spPr>
            <a:solidFill>
              <a:srgbClr val="66FF99"/>
            </a:solidFill>
            <a:ln>
              <a:solidFill>
                <a:schemeClr val="tx1">
                  <a:lumMod val="75000"/>
                  <a:lumOff val="25000"/>
                </a:scheme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Children'!$BM$65:$BQ$65</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E00-4198-A516-C25A605348C3}"/>
            </c:ext>
          </c:extLst>
        </c:ser>
        <c:ser>
          <c:idx val="4"/>
          <c:order val="1"/>
          <c:tx>
            <c:strRef>
              <c:f>'Looked After Children'!$B$170</c:f>
              <c:strCache>
                <c:ptCount val="1"/>
                <c:pt idx="0">
                  <c:v>South East</c:v>
                </c:pt>
              </c:strCache>
            </c:strRef>
          </c:tx>
          <c:spPr>
            <a:solidFill>
              <a:schemeClr val="accent2"/>
            </a:solidFill>
            <a:ln w="9525">
              <a:solidFill>
                <a:schemeClr val="tx1">
                  <a:lumMod val="75000"/>
                  <a:lumOff val="25000"/>
                </a:schemeClr>
              </a:solidFill>
              <a:prstDash val="solid"/>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Children'!$D$242:$H$242</c:f>
              <c:numCache>
                <c:formatCode>0%</c:formatCode>
                <c:ptCount val="5"/>
                <c:pt idx="0">
                  <c:v>#N/A</c:v>
                </c:pt>
                <c:pt idx="1">
                  <c:v>#N/A</c:v>
                </c:pt>
                <c:pt idx="2">
                  <c:v>#N/A</c:v>
                </c:pt>
                <c:pt idx="3">
                  <c:v>#N/A</c:v>
                </c:pt>
                <c:pt idx="4">
                  <c:v>#N/A</c:v>
                </c:pt>
              </c:numCache>
            </c:numRef>
          </c:val>
          <c:extLst>
            <c:ext xmlns:c16="http://schemas.microsoft.com/office/drawing/2014/chart" uri="{C3380CC4-5D6E-409C-BE32-E72D297353CC}">
              <c16:uniqueId val="{00000001-BE00-4198-A516-C25A605348C3}"/>
            </c:ext>
          </c:extLst>
        </c:ser>
        <c:ser>
          <c:idx val="0"/>
          <c:order val="2"/>
          <c:tx>
            <c:strRef>
              <c:f>'Looked After Children'!$B$171</c:f>
              <c:strCache>
                <c:ptCount val="1"/>
                <c:pt idx="0">
                  <c:v>England</c:v>
                </c:pt>
              </c:strCache>
            </c:strRef>
          </c:tx>
          <c:spPr>
            <a:solidFill>
              <a:sysClr val="windowText" lastClr="000000">
                <a:lumMod val="75000"/>
                <a:lumOff val="25000"/>
              </a:sysClr>
            </a:solidFill>
            <a:ln>
              <a:solidFill>
                <a:sysClr val="windowText" lastClr="000000">
                  <a:lumMod val="75000"/>
                  <a:lumOff val="25000"/>
                </a:sysClr>
              </a:solidFill>
            </a:ln>
          </c:spPr>
          <c:invertIfNegative val="0"/>
          <c:cat>
            <c:strRef>
              <c:f>'Looked After Children'!$Z$2:$AD$3</c:f>
              <c:strCache>
                <c:ptCount val="5"/>
                <c:pt idx="0">
                  <c:v>2014-15</c:v>
                </c:pt>
                <c:pt idx="1">
                  <c:v>2015-16</c:v>
                </c:pt>
                <c:pt idx="2">
                  <c:v>2016-17</c:v>
                </c:pt>
                <c:pt idx="3">
                  <c:v>2017-18</c:v>
                </c:pt>
                <c:pt idx="4">
                  <c:v>2018-19</c:v>
                </c:pt>
              </c:strCache>
            </c:strRef>
          </c:cat>
          <c:val>
            <c:numRef>
              <c:f>'Looked After Children'!$D$207:$H$207</c:f>
              <c:numCache>
                <c:formatCode>0%</c:formatCode>
                <c:ptCount val="5"/>
                <c:pt idx="0">
                  <c:v>#N/A</c:v>
                </c:pt>
                <c:pt idx="1">
                  <c:v>0.10296832836244851</c:v>
                </c:pt>
                <c:pt idx="2">
                  <c:v>0.103567001790387</c:v>
                </c:pt>
                <c:pt idx="3">
                  <c:v>0.10468356109858033</c:v>
                </c:pt>
                <c:pt idx="4">
                  <c:v>0.10377479206653871</c:v>
                </c:pt>
              </c:numCache>
            </c:numRef>
          </c:val>
          <c:extLst>
            <c:ext xmlns:c16="http://schemas.microsoft.com/office/drawing/2014/chart" uri="{C3380CC4-5D6E-409C-BE32-E72D297353CC}">
              <c16:uniqueId val="{00000002-BE00-4198-A516-C25A605348C3}"/>
            </c:ext>
          </c:extLst>
        </c:ser>
        <c:dLbls>
          <c:showLegendKey val="0"/>
          <c:showVal val="0"/>
          <c:showCatName val="0"/>
          <c:showSerName val="0"/>
          <c:showPercent val="0"/>
          <c:showBubbleSize val="0"/>
        </c:dLbls>
        <c:gapWidth val="100"/>
        <c:axId val="291801728"/>
        <c:axId val="291807616"/>
      </c:barChart>
      <c:catAx>
        <c:axId val="291801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807616"/>
        <c:crosses val="autoZero"/>
        <c:auto val="1"/>
        <c:lblAlgn val="ctr"/>
        <c:lblOffset val="100"/>
        <c:noMultiLvlLbl val="0"/>
      </c:catAx>
      <c:valAx>
        <c:axId val="291807616"/>
        <c:scaling>
          <c:orientation val="minMax"/>
          <c:max val="1"/>
          <c:min val="0"/>
        </c:scaling>
        <c:delete val="0"/>
        <c:axPos val="l"/>
        <c:majorGridlines>
          <c:spPr>
            <a:ln w="12700">
              <a:solidFill>
                <a:sysClr val="window" lastClr="FFFFFF">
                  <a:lumMod val="75000"/>
                </a:sys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801728"/>
        <c:crosses val="autoZero"/>
        <c:crossBetween val="between"/>
      </c:valAx>
      <c:spPr>
        <a:noFill/>
        <a:ln w="3175">
          <a:solidFill>
            <a:srgbClr val="000000"/>
          </a:solidFill>
          <a:prstDash val="solid"/>
        </a:ln>
      </c:spPr>
    </c:plotArea>
    <c:legend>
      <c:legendPos val="r"/>
      <c:layout>
        <c:manualLayout>
          <c:xMode val="edge"/>
          <c:yMode val="edge"/>
          <c:x val="0.75565138973012991"/>
          <c:y val="0.21128233970753657"/>
          <c:w val="0.24434861026987012"/>
          <c:h val="0.7887174179168060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GB"/>
              <a:t>% Children Looked After reviewed</a:t>
            </a:r>
            <a:r>
              <a:rPr lang="en-GB" baseline="0"/>
              <a:t> within Timescales</a:t>
            </a:r>
            <a:endParaRPr lang="en-GB"/>
          </a:p>
        </c:rich>
      </c:tx>
      <c:layout>
        <c:manualLayout>
          <c:xMode val="edge"/>
          <c:yMode val="edge"/>
          <c:x val="0.15949041457537105"/>
          <c:y val="1.866067989051743E-2"/>
        </c:manualLayout>
      </c:layout>
      <c:overlay val="0"/>
      <c:spPr>
        <a:noFill/>
        <a:ln w="25400">
          <a:noFill/>
        </a:ln>
      </c:spPr>
    </c:title>
    <c:autoTitleDeleted val="0"/>
    <c:plotArea>
      <c:layout>
        <c:manualLayout>
          <c:layoutTarget val="inner"/>
          <c:xMode val="edge"/>
          <c:yMode val="edge"/>
          <c:x val="8.9669774541780586E-2"/>
          <c:y val="7.3549410974790952E-2"/>
          <c:w val="0.57508230927201043"/>
          <c:h val="0.86579581299760788"/>
        </c:manualLayout>
      </c:layout>
      <c:lineChart>
        <c:grouping val="standard"/>
        <c:varyColors val="0"/>
        <c:ser>
          <c:idx val="0"/>
          <c:order val="0"/>
          <c:tx>
            <c:strRef>
              <c:f>'Looked After Children'!$AL$41</c:f>
              <c:strCache>
                <c:ptCount val="1"/>
                <c:pt idx="0">
                  <c:v>Bracknell Forest</c:v>
                </c:pt>
              </c:strCache>
            </c:strRef>
          </c:tx>
          <c:spPr>
            <a:ln w="12700">
              <a:solidFill>
                <a:srgbClr val="002060"/>
              </a:solidFill>
              <a:prstDash val="solid"/>
            </a:ln>
          </c:spPr>
          <c:marker>
            <c:symbol val="diamond"/>
            <c:size val="5"/>
            <c:spPr>
              <a:solidFill>
                <a:srgbClr val="002060"/>
              </a:solidFill>
              <a:ln>
                <a:solidFill>
                  <a:srgbClr val="002060"/>
                </a:solidFill>
                <a:prstDash val="solid"/>
              </a:ln>
            </c:spPr>
          </c:marker>
          <c:dPt>
            <c:idx val="0"/>
            <c:bubble3D val="0"/>
            <c:extLst>
              <c:ext xmlns:c16="http://schemas.microsoft.com/office/drawing/2014/chart" uri="{C3380CC4-5D6E-409C-BE32-E72D297353CC}">
                <c16:uniqueId val="{00000000-F084-4FDA-95D5-AC3355022674}"/>
              </c:ext>
            </c:extLst>
          </c:dPt>
          <c:cat>
            <c:strRef>
              <c:f>'Looked After Children'!$Z$2:$AD$3</c:f>
              <c:strCache>
                <c:ptCount val="5"/>
                <c:pt idx="0">
                  <c:v>2014-15</c:v>
                </c:pt>
                <c:pt idx="1">
                  <c:v>2015-16</c:v>
                </c:pt>
                <c:pt idx="2">
                  <c:v>2016-17</c:v>
                </c:pt>
                <c:pt idx="3">
                  <c:v>2017-18</c:v>
                </c:pt>
                <c:pt idx="4">
                  <c:v>2018-19</c:v>
                </c:pt>
              </c:strCache>
            </c:strRef>
          </c:cat>
          <c:val>
            <c:numRef>
              <c:f>'Looked After Children'!$BM$41:$BQ$41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084-4FDA-95D5-AC3355022674}"/>
            </c:ext>
          </c:extLst>
        </c:ser>
        <c:ser>
          <c:idx val="1"/>
          <c:order val="1"/>
          <c:tx>
            <c:strRef>
              <c:f>'Looked After Children'!$AL$42</c:f>
              <c:strCache>
                <c:ptCount val="1"/>
                <c:pt idx="0">
                  <c:v>Brighton &amp; Hove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Children'!$BM$42:$BQ$42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2-F084-4FDA-95D5-AC3355022674}"/>
            </c:ext>
          </c:extLst>
        </c:ser>
        <c:ser>
          <c:idx val="2"/>
          <c:order val="2"/>
          <c:tx>
            <c:strRef>
              <c:f>'Looked After Children'!$AL$43</c:f>
              <c:strCache>
                <c:ptCount val="1"/>
                <c:pt idx="0">
                  <c:v>Buckinghamshire</c:v>
                </c:pt>
              </c:strCache>
            </c:strRef>
          </c:tx>
          <c:spPr>
            <a:ln w="12700">
              <a:solidFill>
                <a:srgbClr val="CCCC00"/>
              </a:solidFill>
              <a:prstDash val="solid"/>
            </a:ln>
          </c:spPr>
          <c:marker>
            <c:symbol val="triangle"/>
            <c:size val="5"/>
            <c:spPr>
              <a:solidFill>
                <a:srgbClr val="CCCC00"/>
              </a:solidFill>
              <a:ln>
                <a:solidFill>
                  <a:srgbClr val="CC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Children'!$BM$43:$BQ$43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3-F084-4FDA-95D5-AC3355022674}"/>
            </c:ext>
          </c:extLst>
        </c:ser>
        <c:ser>
          <c:idx val="5"/>
          <c:order val="3"/>
          <c:tx>
            <c:strRef>
              <c:f>'Looked After Children'!$AL$44</c:f>
              <c:strCache>
                <c:ptCount val="1"/>
                <c:pt idx="0">
                  <c:v>East Sussex</c:v>
                </c:pt>
              </c:strCache>
            </c:strRef>
          </c:tx>
          <c:spPr>
            <a:ln w="12700">
              <a:solidFill>
                <a:srgbClr val="FF6600"/>
              </a:solidFill>
              <a:prstDash val="solid"/>
            </a:ln>
          </c:spPr>
          <c:marker>
            <c:symbol val="circle"/>
            <c:size val="5"/>
            <c:spPr>
              <a:solidFill>
                <a:srgbClr val="FF6600"/>
              </a:solidFill>
              <a:ln>
                <a:solidFill>
                  <a:srgbClr val="FF66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Children'!$BM$44:$BQ$44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4-F084-4FDA-95D5-AC3355022674}"/>
            </c:ext>
          </c:extLst>
        </c:ser>
        <c:ser>
          <c:idx val="9"/>
          <c:order val="4"/>
          <c:tx>
            <c:strRef>
              <c:f>'Looked After Children'!$AL$45</c:f>
              <c:strCache>
                <c:ptCount val="1"/>
                <c:pt idx="0">
                  <c:v>Hampshire</c:v>
                </c:pt>
              </c:strCache>
            </c:strRef>
          </c:tx>
          <c:spPr>
            <a:ln w="12700">
              <a:solidFill>
                <a:srgbClr val="66FFFF"/>
              </a:solidFill>
              <a:prstDash val="solid"/>
            </a:ln>
          </c:spPr>
          <c:marker>
            <c:symbol val="diamond"/>
            <c:size val="5"/>
            <c:spPr>
              <a:solidFill>
                <a:srgbClr val="66FFFF"/>
              </a:solidFill>
              <a:ln>
                <a:solidFill>
                  <a:srgbClr val="66FF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Children'!$BM$45:$BQ$45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5-F084-4FDA-95D5-AC3355022674}"/>
            </c:ext>
          </c:extLst>
        </c:ser>
        <c:ser>
          <c:idx val="10"/>
          <c:order val="5"/>
          <c:tx>
            <c:strRef>
              <c:f>'Looked After Children'!$AL$46</c:f>
              <c:strCache>
                <c:ptCount val="1"/>
                <c:pt idx="0">
                  <c:v>Isle of Wight</c:v>
                </c:pt>
              </c:strCache>
            </c:strRef>
          </c:tx>
          <c:spPr>
            <a:ln w="12700">
              <a:solidFill>
                <a:srgbClr val="99FF99"/>
              </a:solidFill>
              <a:prstDash val="solid"/>
            </a:ln>
          </c:spPr>
          <c:marker>
            <c:symbol val="circle"/>
            <c:size val="5"/>
            <c:spPr>
              <a:solidFill>
                <a:srgbClr val="99FF99"/>
              </a:solidFill>
              <a:ln>
                <a:solidFill>
                  <a:srgbClr val="99FF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Children'!$BM$46:$BQ$46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6-F084-4FDA-95D5-AC3355022674}"/>
            </c:ext>
          </c:extLst>
        </c:ser>
        <c:ser>
          <c:idx val="11"/>
          <c:order val="6"/>
          <c:tx>
            <c:strRef>
              <c:f>'Looked After Children'!$AL$47</c:f>
              <c:strCache>
                <c:ptCount val="1"/>
                <c:pt idx="0">
                  <c:v>Kent</c:v>
                </c:pt>
              </c:strCache>
            </c:strRef>
          </c:tx>
          <c:spPr>
            <a:ln w="12700">
              <a:solidFill>
                <a:srgbClr val="CCFF33"/>
              </a:solidFill>
              <a:prstDash val="solid"/>
            </a:ln>
          </c:spPr>
          <c:marker>
            <c:symbol val="triangle"/>
            <c:size val="5"/>
            <c:spPr>
              <a:solidFill>
                <a:srgbClr val="CCFF33"/>
              </a:solidFill>
              <a:ln>
                <a:solidFill>
                  <a:srgbClr val="CCFF33"/>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Children'!$BM$47:$BQ$47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7-F084-4FDA-95D5-AC3355022674}"/>
            </c:ext>
          </c:extLst>
        </c:ser>
        <c:ser>
          <c:idx val="12"/>
          <c:order val="7"/>
          <c:tx>
            <c:strRef>
              <c:f>'Looked After Children'!$AL$48</c:f>
              <c:strCache>
                <c:ptCount val="1"/>
                <c:pt idx="0">
                  <c:v>Medway</c:v>
                </c:pt>
              </c:strCache>
            </c:strRef>
          </c:tx>
          <c:spPr>
            <a:ln w="12700">
              <a:solidFill>
                <a:srgbClr val="99CCFF"/>
              </a:solidFill>
              <a:prstDash val="solid"/>
            </a:ln>
          </c:spPr>
          <c:marker>
            <c:symbol val="circle"/>
            <c:size val="5"/>
            <c:spPr>
              <a:solidFill>
                <a:srgbClr val="99CCFF"/>
              </a:solidFill>
              <a:ln>
                <a:solidFill>
                  <a:srgbClr val="99CC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Children'!$BM$48:$BQ$48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8-F084-4FDA-95D5-AC3355022674}"/>
            </c:ext>
          </c:extLst>
        </c:ser>
        <c:ser>
          <c:idx val="13"/>
          <c:order val="8"/>
          <c:tx>
            <c:strRef>
              <c:f>'Looked After Children'!$AL$49</c:f>
              <c:strCache>
                <c:ptCount val="1"/>
                <c:pt idx="0">
                  <c:v>Milton Keynes</c:v>
                </c:pt>
              </c:strCache>
            </c:strRef>
          </c:tx>
          <c:spPr>
            <a:ln w="12700">
              <a:solidFill>
                <a:srgbClr val="FF99CC"/>
              </a:solidFill>
              <a:prstDash val="solid"/>
            </a:ln>
          </c:spPr>
          <c:marker>
            <c:symbol val="diamond"/>
            <c:size val="5"/>
            <c:spPr>
              <a:solidFill>
                <a:srgbClr val="FF99CC"/>
              </a:solidFill>
              <a:ln>
                <a:solidFill>
                  <a:srgbClr val="FF99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Children'!$BM$49:$BQ$49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9-F084-4FDA-95D5-AC3355022674}"/>
            </c:ext>
          </c:extLst>
        </c:ser>
        <c:ser>
          <c:idx val="15"/>
          <c:order val="9"/>
          <c:tx>
            <c:strRef>
              <c:f>'Looked After Children'!$AL$50</c:f>
              <c:strCache>
                <c:ptCount val="1"/>
                <c:pt idx="0">
                  <c:v>Oxfordshire</c:v>
                </c:pt>
              </c:strCache>
            </c:strRef>
          </c:tx>
          <c:spPr>
            <a:ln w="12700">
              <a:solidFill>
                <a:srgbClr val="FFCC99"/>
              </a:solidFill>
              <a:prstDash val="solid"/>
            </a:ln>
          </c:spPr>
          <c:marker>
            <c:symbol val="square"/>
            <c:size val="5"/>
            <c:spPr>
              <a:solidFill>
                <a:srgbClr val="FFCC99"/>
              </a:solidFill>
              <a:ln>
                <a:solidFill>
                  <a:srgbClr val="FFCC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Children'!$BM$50:$BQ$50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A-F084-4FDA-95D5-AC3355022674}"/>
            </c:ext>
          </c:extLst>
        </c:ser>
        <c:ser>
          <c:idx val="16"/>
          <c:order val="10"/>
          <c:tx>
            <c:strRef>
              <c:f>'Looked After Children'!$AL$51</c:f>
              <c:strCache>
                <c:ptCount val="1"/>
                <c:pt idx="0">
                  <c:v>Portsmouth</c:v>
                </c:pt>
              </c:strCache>
            </c:strRef>
          </c:tx>
          <c:spPr>
            <a:ln w="12700">
              <a:solidFill>
                <a:srgbClr val="3366FF"/>
              </a:solidFill>
              <a:prstDash val="solid"/>
            </a:ln>
          </c:spPr>
          <c:marker>
            <c:symbol val="triangle"/>
            <c:size val="5"/>
            <c:spPr>
              <a:solidFill>
                <a:srgbClr val="3366FF"/>
              </a:solidFill>
              <a:ln>
                <a:solidFill>
                  <a:srgbClr val="3366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Children'!$BM$51:$BQ$51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B-F084-4FDA-95D5-AC3355022674}"/>
            </c:ext>
          </c:extLst>
        </c:ser>
        <c:ser>
          <c:idx val="17"/>
          <c:order val="11"/>
          <c:tx>
            <c:strRef>
              <c:f>'Looked After Children'!$AL$52</c:f>
              <c:strCache>
                <c:ptCount val="1"/>
                <c:pt idx="0">
                  <c:v>Reading</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Children'!$BM$52:$BQ$52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C-F084-4FDA-95D5-AC3355022674}"/>
            </c:ext>
          </c:extLst>
        </c:ser>
        <c:ser>
          <c:idx val="19"/>
          <c:order val="12"/>
          <c:tx>
            <c:strRef>
              <c:f>'Looked After Children'!$AL$53</c:f>
              <c:strCache>
                <c:ptCount val="1"/>
                <c:pt idx="0">
                  <c:v>Slough</c:v>
                </c:pt>
              </c:strCache>
            </c:strRef>
          </c:tx>
          <c:spPr>
            <a:ln w="12700">
              <a:solidFill>
                <a:srgbClr val="FFCC00"/>
              </a:solidFill>
              <a:prstDash val="solid"/>
            </a:ln>
          </c:spPr>
          <c:marker>
            <c:symbol val="diamond"/>
            <c:size val="5"/>
            <c:spPr>
              <a:solidFill>
                <a:srgbClr val="FFCC00"/>
              </a:solidFill>
              <a:ln>
                <a:solidFill>
                  <a:srgbClr val="FFCC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Children'!$BM$53:$BQ$53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D-F084-4FDA-95D5-AC3355022674}"/>
            </c:ext>
          </c:extLst>
        </c:ser>
        <c:ser>
          <c:idx val="3"/>
          <c:order val="13"/>
          <c:tx>
            <c:strRef>
              <c:f>'Looked After Children'!$AL$54</c:f>
              <c:strCache>
                <c:ptCount val="1"/>
                <c:pt idx="0">
                  <c:v>Somerset</c:v>
                </c:pt>
              </c:strCache>
            </c:strRef>
          </c:tx>
          <c:spPr>
            <a:ln w="12700">
              <a:solidFill>
                <a:srgbClr val="0000FF"/>
              </a:solidFill>
              <a:prstDash val="solid"/>
            </a:ln>
          </c:spPr>
          <c:marker>
            <c:symbol val="square"/>
            <c:size val="5"/>
            <c:spPr>
              <a:solidFill>
                <a:schemeClr val="tx2">
                  <a:lumMod val="20000"/>
                  <a:lumOff val="80000"/>
                </a:schemeClr>
              </a:solidFill>
              <a:ln>
                <a:solidFill>
                  <a:srgbClr val="0000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Children'!$BM$54:$BQ$54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E-F084-4FDA-95D5-AC3355022674}"/>
            </c:ext>
          </c:extLst>
        </c:ser>
        <c:ser>
          <c:idx val="20"/>
          <c:order val="14"/>
          <c:tx>
            <c:strRef>
              <c:f>'Looked After Children'!$AL$55</c:f>
              <c:strCache>
                <c:ptCount val="1"/>
                <c:pt idx="0">
                  <c:v>Southampton</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Children'!$BM$55:$BQ$55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F-F084-4FDA-95D5-AC3355022674}"/>
            </c:ext>
          </c:extLst>
        </c:ser>
        <c:ser>
          <c:idx val="22"/>
          <c:order val="15"/>
          <c:tx>
            <c:strRef>
              <c:f>'Looked After Children'!$AL$56</c:f>
              <c:strCache>
                <c:ptCount val="1"/>
                <c:pt idx="0">
                  <c:v>Surrey</c:v>
                </c:pt>
              </c:strCache>
            </c:strRef>
          </c:tx>
          <c:spPr>
            <a:ln w="12700">
              <a:solidFill>
                <a:srgbClr val="CC99FF"/>
              </a:solidFill>
              <a:prstDash val="solid"/>
            </a:ln>
          </c:spPr>
          <c:marker>
            <c:symbol val="square"/>
            <c:size val="5"/>
            <c:spPr>
              <a:solidFill>
                <a:srgbClr val="CC99FF"/>
              </a:solidFill>
              <a:ln>
                <a:solidFill>
                  <a:srgbClr val="CC99FF"/>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Children'!$BM$56:$BQ$56</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0-F084-4FDA-95D5-AC3355022674}"/>
            </c:ext>
          </c:extLst>
        </c:ser>
        <c:ser>
          <c:idx val="7"/>
          <c:order val="16"/>
          <c:tx>
            <c:strRef>
              <c:f>'Looked After Children'!$AL$57</c:f>
              <c:strCache>
                <c:ptCount val="1"/>
                <c:pt idx="0">
                  <c:v>Swindon</c:v>
                </c:pt>
              </c:strCache>
            </c:strRef>
          </c:tx>
          <c:spPr>
            <a:ln w="15875"/>
          </c:spPr>
          <c:marker>
            <c:symbol val="triangle"/>
            <c:size val="5"/>
            <c:spPr>
              <a:solidFill>
                <a:schemeClr val="accent2">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Children'!$BM$57:$BQ$57</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1-F084-4FDA-95D5-AC3355022674}"/>
            </c:ext>
          </c:extLst>
        </c:ser>
        <c:ser>
          <c:idx val="8"/>
          <c:order val="17"/>
          <c:tx>
            <c:strRef>
              <c:f>'Looked After Children'!$AL$58</c:f>
              <c:strCache>
                <c:ptCount val="1"/>
                <c:pt idx="0">
                  <c:v>Torbay</c:v>
                </c:pt>
              </c:strCache>
            </c:strRef>
          </c:tx>
          <c:spPr>
            <a:ln w="15875"/>
          </c:spPr>
          <c:marker>
            <c:symbol val="circle"/>
            <c:size val="5"/>
            <c:spPr>
              <a:solidFill>
                <a:schemeClr val="accent3">
                  <a:lumMod val="20000"/>
                  <a:lumOff val="80000"/>
                </a:schemeClr>
              </a:solidFill>
            </c:spPr>
          </c:marker>
          <c:cat>
            <c:strRef>
              <c:f>'Looked After Children'!$Z$2:$AD$3</c:f>
              <c:strCache>
                <c:ptCount val="5"/>
                <c:pt idx="0">
                  <c:v>2014-15</c:v>
                </c:pt>
                <c:pt idx="1">
                  <c:v>2015-16</c:v>
                </c:pt>
                <c:pt idx="2">
                  <c:v>2016-17</c:v>
                </c:pt>
                <c:pt idx="3">
                  <c:v>2017-18</c:v>
                </c:pt>
                <c:pt idx="4">
                  <c:v>2018-19</c:v>
                </c:pt>
              </c:strCache>
            </c:strRef>
          </c:cat>
          <c:val>
            <c:numRef>
              <c:f>'Looked After Children'!$BM$58:$BQ$58</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2-F084-4FDA-95D5-AC3355022674}"/>
            </c:ext>
          </c:extLst>
        </c:ser>
        <c:ser>
          <c:idx val="23"/>
          <c:order val="18"/>
          <c:tx>
            <c:strRef>
              <c:f>'Looked After Children'!$AL$59</c:f>
              <c:strCache>
                <c:ptCount val="1"/>
                <c:pt idx="0">
                  <c:v>West Berkshire</c:v>
                </c:pt>
              </c:strCache>
            </c:strRef>
          </c:tx>
          <c:spPr>
            <a:ln w="12700">
              <a:solidFill>
                <a:srgbClr val="969696"/>
              </a:solidFill>
              <a:prstDash val="solid"/>
            </a:ln>
          </c:spPr>
          <c:marker>
            <c:symbol val="circle"/>
            <c:size val="5"/>
            <c:spPr>
              <a:solidFill>
                <a:srgbClr val="969696"/>
              </a:solidFill>
              <a:ln>
                <a:solidFill>
                  <a:srgbClr val="96969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Children'!$BM$59:$BQ$59</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3-F084-4FDA-95D5-AC3355022674}"/>
            </c:ext>
          </c:extLst>
        </c:ser>
        <c:ser>
          <c:idx val="24"/>
          <c:order val="19"/>
          <c:tx>
            <c:strRef>
              <c:f>'Looked After Children'!$AL$60</c:f>
              <c:strCache>
                <c:ptCount val="1"/>
                <c:pt idx="0">
                  <c:v>West Sussex</c:v>
                </c:pt>
              </c:strCache>
            </c:strRef>
          </c:tx>
          <c:spPr>
            <a:ln w="12700">
              <a:solidFill>
                <a:srgbClr val="666699"/>
              </a:solidFill>
              <a:prstDash val="solid"/>
            </a:ln>
          </c:spPr>
          <c:marker>
            <c:symbol val="diamond"/>
            <c:size val="5"/>
            <c:spPr>
              <a:solidFill>
                <a:srgbClr val="666699"/>
              </a:solidFill>
              <a:ln>
                <a:solidFill>
                  <a:srgbClr val="666699"/>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Children'!$BM$60:$BQ$60</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4-F084-4FDA-95D5-AC3355022674}"/>
            </c:ext>
          </c:extLst>
        </c:ser>
        <c:ser>
          <c:idx val="25"/>
          <c:order val="20"/>
          <c:tx>
            <c:strRef>
              <c:f>'Looked After Children'!$AL$61</c:f>
              <c:strCache>
                <c:ptCount val="1"/>
                <c:pt idx="0">
                  <c:v>Windsor &amp; Maidenhead</c:v>
                </c:pt>
              </c:strCache>
            </c:strRef>
          </c:tx>
          <c:spPr>
            <a:ln w="12700">
              <a:solidFill>
                <a:srgbClr val="339966"/>
              </a:solidFill>
              <a:prstDash val="solid"/>
            </a:ln>
          </c:spPr>
          <c:marker>
            <c:symbol val="square"/>
            <c:size val="5"/>
            <c:spPr>
              <a:solidFill>
                <a:srgbClr val="339966"/>
              </a:solidFill>
              <a:ln>
                <a:solidFill>
                  <a:srgbClr val="339966"/>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Children'!$BM$61:$BQ$61</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5-F084-4FDA-95D5-AC3355022674}"/>
            </c:ext>
          </c:extLst>
        </c:ser>
        <c:ser>
          <c:idx val="26"/>
          <c:order val="21"/>
          <c:tx>
            <c:strRef>
              <c:f>'Looked After Children'!$AL$62</c:f>
              <c:strCache>
                <c:ptCount val="1"/>
                <c:pt idx="0">
                  <c:v>Wokingham</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Children'!$BM$62:$BQ$62</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6-F084-4FDA-95D5-AC3355022674}"/>
            </c:ext>
          </c:extLst>
        </c:ser>
        <c:ser>
          <c:idx val="4"/>
          <c:order val="22"/>
          <c:tx>
            <c:strRef>
              <c:f>'Looked After Children'!$AL$63</c:f>
              <c:strCache>
                <c:ptCount val="1"/>
                <c:pt idx="0">
                  <c:v>South East</c:v>
                </c:pt>
              </c:strCache>
            </c:strRef>
          </c:tx>
          <c:spPr>
            <a:ln w="19050">
              <a:solidFill>
                <a:srgbClr val="C00000"/>
              </a:solidFill>
              <a:prstDash val="solid"/>
            </a:ln>
          </c:spPr>
          <c:marker>
            <c:symbol val="circle"/>
            <c:size val="5"/>
            <c:spPr>
              <a:solidFill>
                <a:schemeClr val="bg1"/>
              </a:solidFill>
              <a:ln w="15875">
                <a:solidFill>
                  <a:srgbClr val="C00000"/>
                </a:solidFill>
                <a:prstDash val="solid"/>
              </a:ln>
            </c:spPr>
          </c:marker>
          <c:cat>
            <c:strRef>
              <c:f>'Looked After Children'!$Z$2:$AD$3</c:f>
              <c:strCache>
                <c:ptCount val="5"/>
                <c:pt idx="0">
                  <c:v>2014-15</c:v>
                </c:pt>
                <c:pt idx="1">
                  <c:v>2015-16</c:v>
                </c:pt>
                <c:pt idx="2">
                  <c:v>2016-17</c:v>
                </c:pt>
                <c:pt idx="3">
                  <c:v>2017-18</c:v>
                </c:pt>
                <c:pt idx="4">
                  <c:v>2018-19</c:v>
                </c:pt>
              </c:strCache>
            </c:strRef>
          </c:cat>
          <c:val>
            <c:numRef>
              <c:f>'Looked After Children'!$BM$63:$BQ$63</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7-F084-4FDA-95D5-AC3355022674}"/>
            </c:ext>
          </c:extLst>
        </c:ser>
        <c:ser>
          <c:idx val="14"/>
          <c:order val="23"/>
          <c:tx>
            <c:strRef>
              <c:f>'Looked After Children'!$AL$64</c:f>
              <c:strCache>
                <c:ptCount val="1"/>
                <c:pt idx="0">
                  <c:v>England</c:v>
                </c:pt>
              </c:strCache>
            </c:strRef>
          </c:tx>
          <c:spPr>
            <a:ln w="19050">
              <a:solidFill>
                <a:schemeClr val="tx1">
                  <a:lumMod val="75000"/>
                  <a:lumOff val="25000"/>
                </a:schemeClr>
              </a:solidFill>
            </a:ln>
          </c:spPr>
          <c:marker>
            <c:symbol val="plus"/>
            <c:size val="6"/>
            <c:spPr>
              <a:ln w="12700">
                <a:solidFill>
                  <a:schemeClr val="tx1">
                    <a:lumMod val="75000"/>
                    <a:lumOff val="2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Children'!$BM$64:$BQ$64</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8-F084-4FDA-95D5-AC3355022674}"/>
            </c:ext>
          </c:extLst>
        </c:ser>
        <c:ser>
          <c:idx val="6"/>
          <c:order val="24"/>
          <c:tx>
            <c:strRef>
              <c:f>'Looked After Children'!$AL$65</c:f>
              <c:strCache>
                <c:ptCount val="1"/>
                <c:pt idx="0">
                  <c:v>Selected LA- (none)</c:v>
                </c:pt>
              </c:strCache>
            </c:strRef>
          </c:tx>
          <c:spPr>
            <a:ln>
              <a:solidFill>
                <a:schemeClr val="tx1">
                  <a:lumMod val="95000"/>
                  <a:lumOff val="5000"/>
                </a:schemeClr>
              </a:solidFill>
            </a:ln>
          </c:spPr>
          <c:marker>
            <c:symbol val="circle"/>
            <c:size val="6"/>
            <c:spPr>
              <a:solidFill>
                <a:srgbClr val="66FF99"/>
              </a:solidFill>
              <a:ln>
                <a:solidFill>
                  <a:schemeClr val="tx1">
                    <a:lumMod val="95000"/>
                    <a:lumOff val="5000"/>
                  </a:schemeClr>
                </a:solidFill>
              </a:ln>
            </c:spPr>
          </c:marker>
          <c:cat>
            <c:strRef>
              <c:f>'Looked After Children'!$Z$2:$AD$3</c:f>
              <c:strCache>
                <c:ptCount val="5"/>
                <c:pt idx="0">
                  <c:v>2014-15</c:v>
                </c:pt>
                <c:pt idx="1">
                  <c:v>2015-16</c:v>
                </c:pt>
                <c:pt idx="2">
                  <c:v>2016-17</c:v>
                </c:pt>
                <c:pt idx="3">
                  <c:v>2017-18</c:v>
                </c:pt>
                <c:pt idx="4">
                  <c:v>2018-19</c:v>
                </c:pt>
              </c:strCache>
            </c:strRef>
          </c:cat>
          <c:val>
            <c:numRef>
              <c:f>'Looked After Children'!$BM$65:$BQ$65</c:f>
              <c:numCache>
                <c:formatCode>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19-F084-4FDA-95D5-AC3355022674}"/>
            </c:ext>
          </c:extLst>
        </c:ser>
        <c:dLbls>
          <c:showLegendKey val="0"/>
          <c:showVal val="0"/>
          <c:showCatName val="0"/>
          <c:showSerName val="0"/>
          <c:showPercent val="0"/>
          <c:showBubbleSize val="0"/>
        </c:dLbls>
        <c:marker val="1"/>
        <c:smooth val="0"/>
        <c:axId val="291859840"/>
        <c:axId val="291874304"/>
      </c:lineChart>
      <c:catAx>
        <c:axId val="291859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874304"/>
        <c:crosses val="autoZero"/>
        <c:auto val="1"/>
        <c:lblAlgn val="ctr"/>
        <c:lblOffset val="100"/>
        <c:tickLblSkip val="1"/>
        <c:tickMarkSkip val="1"/>
        <c:noMultiLvlLbl val="0"/>
      </c:catAx>
      <c:valAx>
        <c:axId val="291874304"/>
        <c:scaling>
          <c:orientation val="minMax"/>
          <c:max val="1"/>
          <c:min val="0.60000000000000009"/>
        </c:scaling>
        <c:delete val="0"/>
        <c:axPos val="l"/>
        <c:majorGridlines>
          <c:spPr>
            <a:ln w="12700">
              <a:solidFill>
                <a:schemeClr val="bg1">
                  <a:lumMod val="75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91859840"/>
        <c:crosses val="autoZero"/>
        <c:crossBetween val="between"/>
      </c:valAx>
      <c:spPr>
        <a:noFill/>
        <a:ln w="3175">
          <a:solidFill>
            <a:srgbClr val="000000"/>
          </a:solidFill>
          <a:prstDash val="solid"/>
        </a:ln>
      </c:spPr>
    </c:plotArea>
    <c:legend>
      <c:legendPos val="r"/>
      <c:layout>
        <c:manualLayout>
          <c:xMode val="edge"/>
          <c:yMode val="edge"/>
          <c:x val="0.67109092691214423"/>
          <c:y val="7.5190870500600387E-2"/>
          <c:w val="0.31211251343072949"/>
          <c:h val="0.87095119606894844"/>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0"/>
    <c:dispBlanksAs val="span"/>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1200" verticalDpi="1200"/>
  </c:printSettings>
</c:chartSpace>
</file>

<file path=xl/ctrlProps/ctrlProp1.xml><?xml version="1.0" encoding="utf-8"?>
<formControlPr xmlns="http://schemas.microsoft.com/office/spreadsheetml/2009/9/main" objectType="CheckBox" checked="Checked" fmlaLink="$AJ41" lockText="1" noThreeD="1"/>
</file>

<file path=xl/ctrlProps/ctrlProp10.xml><?xml version="1.0" encoding="utf-8"?>
<formControlPr xmlns="http://schemas.microsoft.com/office/spreadsheetml/2009/9/main" objectType="CheckBox" checked="Checked" fmlaLink="$AJ50" lockText="1" noThreeD="1"/>
</file>

<file path=xl/ctrlProps/ctrlProp100.xml><?xml version="1.0" encoding="utf-8"?>
<formControlPr xmlns="http://schemas.microsoft.com/office/spreadsheetml/2009/9/main" objectType="CheckBox" checked="Checked" fmlaLink="$AJ44" lockText="1" noThreeD="1"/>
</file>

<file path=xl/ctrlProps/ctrlProp101.xml><?xml version="1.0" encoding="utf-8"?>
<formControlPr xmlns="http://schemas.microsoft.com/office/spreadsheetml/2009/9/main" objectType="CheckBox" checked="Checked" fmlaLink="$AJ45" lockText="1" noThreeD="1"/>
</file>

<file path=xl/ctrlProps/ctrlProp102.xml><?xml version="1.0" encoding="utf-8"?>
<formControlPr xmlns="http://schemas.microsoft.com/office/spreadsheetml/2009/9/main" objectType="CheckBox" checked="Checked" fmlaLink="$AJ46" lockText="1" noThreeD="1"/>
</file>

<file path=xl/ctrlProps/ctrlProp103.xml><?xml version="1.0" encoding="utf-8"?>
<formControlPr xmlns="http://schemas.microsoft.com/office/spreadsheetml/2009/9/main" objectType="CheckBox" checked="Checked" fmlaLink="$AJ47" lockText="1" noThreeD="1"/>
</file>

<file path=xl/ctrlProps/ctrlProp104.xml><?xml version="1.0" encoding="utf-8"?>
<formControlPr xmlns="http://schemas.microsoft.com/office/spreadsheetml/2009/9/main" objectType="CheckBox" checked="Checked" fmlaLink="$AJ48" lockText="1" noThreeD="1"/>
</file>

<file path=xl/ctrlProps/ctrlProp105.xml><?xml version="1.0" encoding="utf-8"?>
<formControlPr xmlns="http://schemas.microsoft.com/office/spreadsheetml/2009/9/main" objectType="CheckBox" checked="Checked" fmlaLink="$AJ49" lockText="1" noThreeD="1"/>
</file>

<file path=xl/ctrlProps/ctrlProp106.xml><?xml version="1.0" encoding="utf-8"?>
<formControlPr xmlns="http://schemas.microsoft.com/office/spreadsheetml/2009/9/main" objectType="CheckBox" checked="Checked" fmlaLink="$AJ50" lockText="1" noThreeD="1"/>
</file>

<file path=xl/ctrlProps/ctrlProp107.xml><?xml version="1.0" encoding="utf-8"?>
<formControlPr xmlns="http://schemas.microsoft.com/office/spreadsheetml/2009/9/main" objectType="CheckBox" checked="Checked" fmlaLink="$AJ51" lockText="1" noThreeD="1"/>
</file>

<file path=xl/ctrlProps/ctrlProp108.xml><?xml version="1.0" encoding="utf-8"?>
<formControlPr xmlns="http://schemas.microsoft.com/office/spreadsheetml/2009/9/main" objectType="CheckBox" checked="Checked" fmlaLink="$AJ52" lockText="1" noThreeD="1"/>
</file>

<file path=xl/ctrlProps/ctrlProp109.xml><?xml version="1.0" encoding="utf-8"?>
<formControlPr xmlns="http://schemas.microsoft.com/office/spreadsheetml/2009/9/main" objectType="CheckBox" checked="Checked" fmlaLink="$AJ53" lockText="1" noThreeD="1"/>
</file>

<file path=xl/ctrlProps/ctrlProp11.xml><?xml version="1.0" encoding="utf-8"?>
<formControlPr xmlns="http://schemas.microsoft.com/office/spreadsheetml/2009/9/main" objectType="CheckBox" checked="Checked" fmlaLink="$AJ51" lockText="1" noThreeD="1"/>
</file>

<file path=xl/ctrlProps/ctrlProp110.xml><?xml version="1.0" encoding="utf-8"?>
<formControlPr xmlns="http://schemas.microsoft.com/office/spreadsheetml/2009/9/main" objectType="CheckBox" checked="Checked" fmlaLink="$AJ54" lockText="1" noThreeD="1"/>
</file>

<file path=xl/ctrlProps/ctrlProp111.xml><?xml version="1.0" encoding="utf-8"?>
<formControlPr xmlns="http://schemas.microsoft.com/office/spreadsheetml/2009/9/main" objectType="CheckBox" checked="Checked" fmlaLink="$AJ55" lockText="1" noThreeD="1"/>
</file>

<file path=xl/ctrlProps/ctrlProp112.xml><?xml version="1.0" encoding="utf-8"?>
<formControlPr xmlns="http://schemas.microsoft.com/office/spreadsheetml/2009/9/main" objectType="CheckBox" checked="Checked" fmlaLink="$AJ$56" lockText="1" noThreeD="1"/>
</file>

<file path=xl/ctrlProps/ctrlProp113.xml><?xml version="1.0" encoding="utf-8"?>
<formControlPr xmlns="http://schemas.microsoft.com/office/spreadsheetml/2009/9/main" objectType="CheckBox" checked="Checked" fmlaLink="$AJ$59" lockText="1" noThreeD="1"/>
</file>

<file path=xl/ctrlProps/ctrlProp114.xml><?xml version="1.0" encoding="utf-8"?>
<formControlPr xmlns="http://schemas.microsoft.com/office/spreadsheetml/2009/9/main" objectType="CheckBox" checked="Checked" fmlaLink="$AJ$60" lockText="1" noThreeD="1"/>
</file>

<file path=xl/ctrlProps/ctrlProp115.xml><?xml version="1.0" encoding="utf-8"?>
<formControlPr xmlns="http://schemas.microsoft.com/office/spreadsheetml/2009/9/main" objectType="CheckBox" checked="Checked" fmlaLink="$AJ$61" lockText="1" noThreeD="1"/>
</file>

<file path=xl/ctrlProps/ctrlProp116.xml><?xml version="1.0" encoding="utf-8"?>
<formControlPr xmlns="http://schemas.microsoft.com/office/spreadsheetml/2009/9/main" objectType="CheckBox" checked="Checked" fmlaLink="$AJ$62" lockText="1" noThreeD="1"/>
</file>

<file path=xl/ctrlProps/ctrlProp117.xml><?xml version="1.0" encoding="utf-8"?>
<formControlPr xmlns="http://schemas.microsoft.com/office/spreadsheetml/2009/9/main" objectType="CheckBox" checked="Checked" fmlaLink="$AJ$63" lockText="1" noThreeD="1"/>
</file>

<file path=xl/ctrlProps/ctrlProp118.xml><?xml version="1.0" encoding="utf-8"?>
<formControlPr xmlns="http://schemas.microsoft.com/office/spreadsheetml/2009/9/main" objectType="CheckBox" checked="Checked" fmlaLink="$AJ$57" lockText="1" noThreeD="1"/>
</file>

<file path=xl/ctrlProps/ctrlProp119.xml><?xml version="1.0" encoding="utf-8"?>
<formControlPr xmlns="http://schemas.microsoft.com/office/spreadsheetml/2009/9/main" objectType="CheckBox" checked="Checked" fmlaLink="$AJ$58" lockText="1" noThreeD="1"/>
</file>

<file path=xl/ctrlProps/ctrlProp12.xml><?xml version="1.0" encoding="utf-8"?>
<formControlPr xmlns="http://schemas.microsoft.com/office/spreadsheetml/2009/9/main" objectType="CheckBox" checked="Checked" fmlaLink="$AJ52" lockText="1" noThreeD="1"/>
</file>

<file path=xl/ctrlProps/ctrlProp120.xml><?xml version="1.0" encoding="utf-8"?>
<formControlPr xmlns="http://schemas.microsoft.com/office/spreadsheetml/2009/9/main" objectType="CheckBox" checked="Checked" fmlaLink="$AJ$64" lockText="1" noThreeD="1"/>
</file>

<file path=xl/ctrlProps/ctrlProp121.xml><?xml version="1.0" encoding="utf-8"?>
<formControlPr xmlns="http://schemas.microsoft.com/office/spreadsheetml/2009/9/main" objectType="CheckBox" checked="Checked" fmlaLink="$AJ41" lockText="1" noThreeD="1"/>
</file>

<file path=xl/ctrlProps/ctrlProp122.xml><?xml version="1.0" encoding="utf-8"?>
<formControlPr xmlns="http://schemas.microsoft.com/office/spreadsheetml/2009/9/main" objectType="CheckBox" checked="Checked" fmlaLink="$AJ42" lockText="1" noThreeD="1"/>
</file>

<file path=xl/ctrlProps/ctrlProp123.xml><?xml version="1.0" encoding="utf-8"?>
<formControlPr xmlns="http://schemas.microsoft.com/office/spreadsheetml/2009/9/main" objectType="CheckBox" checked="Checked" fmlaLink="$AJ43" lockText="1" noThreeD="1"/>
</file>

<file path=xl/ctrlProps/ctrlProp124.xml><?xml version="1.0" encoding="utf-8"?>
<formControlPr xmlns="http://schemas.microsoft.com/office/spreadsheetml/2009/9/main" objectType="CheckBox" checked="Checked" fmlaLink="$AJ44" lockText="1" noThreeD="1"/>
</file>

<file path=xl/ctrlProps/ctrlProp125.xml><?xml version="1.0" encoding="utf-8"?>
<formControlPr xmlns="http://schemas.microsoft.com/office/spreadsheetml/2009/9/main" objectType="CheckBox" checked="Checked" fmlaLink="$AJ45" lockText="1" noThreeD="1"/>
</file>

<file path=xl/ctrlProps/ctrlProp126.xml><?xml version="1.0" encoding="utf-8"?>
<formControlPr xmlns="http://schemas.microsoft.com/office/spreadsheetml/2009/9/main" objectType="CheckBox" checked="Checked" fmlaLink="$AJ46" lockText="1" noThreeD="1"/>
</file>

<file path=xl/ctrlProps/ctrlProp127.xml><?xml version="1.0" encoding="utf-8"?>
<formControlPr xmlns="http://schemas.microsoft.com/office/spreadsheetml/2009/9/main" objectType="CheckBox" checked="Checked" fmlaLink="$AJ47" lockText="1" noThreeD="1"/>
</file>

<file path=xl/ctrlProps/ctrlProp128.xml><?xml version="1.0" encoding="utf-8"?>
<formControlPr xmlns="http://schemas.microsoft.com/office/spreadsheetml/2009/9/main" objectType="CheckBox" checked="Checked" fmlaLink="$AJ48" lockText="1" noThreeD="1"/>
</file>

<file path=xl/ctrlProps/ctrlProp129.xml><?xml version="1.0" encoding="utf-8"?>
<formControlPr xmlns="http://schemas.microsoft.com/office/spreadsheetml/2009/9/main" objectType="CheckBox" checked="Checked" fmlaLink="$AJ49" lockText="1" noThreeD="1"/>
</file>

<file path=xl/ctrlProps/ctrlProp13.xml><?xml version="1.0" encoding="utf-8"?>
<formControlPr xmlns="http://schemas.microsoft.com/office/spreadsheetml/2009/9/main" objectType="CheckBox" checked="Checked" fmlaLink="$AJ53" lockText="1" noThreeD="1"/>
</file>

<file path=xl/ctrlProps/ctrlProp130.xml><?xml version="1.0" encoding="utf-8"?>
<formControlPr xmlns="http://schemas.microsoft.com/office/spreadsheetml/2009/9/main" objectType="CheckBox" checked="Checked" fmlaLink="$AJ50" lockText="1" noThreeD="1"/>
</file>

<file path=xl/ctrlProps/ctrlProp131.xml><?xml version="1.0" encoding="utf-8"?>
<formControlPr xmlns="http://schemas.microsoft.com/office/spreadsheetml/2009/9/main" objectType="CheckBox" checked="Checked" fmlaLink="$AJ51" lockText="1" noThreeD="1"/>
</file>

<file path=xl/ctrlProps/ctrlProp132.xml><?xml version="1.0" encoding="utf-8"?>
<formControlPr xmlns="http://schemas.microsoft.com/office/spreadsheetml/2009/9/main" objectType="CheckBox" checked="Checked" fmlaLink="$AJ52" lockText="1" noThreeD="1"/>
</file>

<file path=xl/ctrlProps/ctrlProp133.xml><?xml version="1.0" encoding="utf-8"?>
<formControlPr xmlns="http://schemas.microsoft.com/office/spreadsheetml/2009/9/main" objectType="CheckBox" checked="Checked" fmlaLink="$AJ53" lockText="1" noThreeD="1"/>
</file>

<file path=xl/ctrlProps/ctrlProp134.xml><?xml version="1.0" encoding="utf-8"?>
<formControlPr xmlns="http://schemas.microsoft.com/office/spreadsheetml/2009/9/main" objectType="CheckBox" checked="Checked" fmlaLink="$AJ54" lockText="1" noThreeD="1"/>
</file>

<file path=xl/ctrlProps/ctrlProp135.xml><?xml version="1.0" encoding="utf-8"?>
<formControlPr xmlns="http://schemas.microsoft.com/office/spreadsheetml/2009/9/main" objectType="CheckBox" checked="Checked" fmlaLink="$AJ55" lockText="1" noThreeD="1"/>
</file>

<file path=xl/ctrlProps/ctrlProp136.xml><?xml version="1.0" encoding="utf-8"?>
<formControlPr xmlns="http://schemas.microsoft.com/office/spreadsheetml/2009/9/main" objectType="CheckBox" checked="Checked" fmlaLink="$AJ$56" lockText="1" noThreeD="1"/>
</file>

<file path=xl/ctrlProps/ctrlProp137.xml><?xml version="1.0" encoding="utf-8"?>
<formControlPr xmlns="http://schemas.microsoft.com/office/spreadsheetml/2009/9/main" objectType="CheckBox" checked="Checked" fmlaLink="$AJ$59" lockText="1" noThreeD="1"/>
</file>

<file path=xl/ctrlProps/ctrlProp138.xml><?xml version="1.0" encoding="utf-8"?>
<formControlPr xmlns="http://schemas.microsoft.com/office/spreadsheetml/2009/9/main" objectType="CheckBox" checked="Checked" fmlaLink="$AJ$60" lockText="1" noThreeD="1"/>
</file>

<file path=xl/ctrlProps/ctrlProp139.xml><?xml version="1.0" encoding="utf-8"?>
<formControlPr xmlns="http://schemas.microsoft.com/office/spreadsheetml/2009/9/main" objectType="CheckBox" checked="Checked" fmlaLink="$AJ$61" lockText="1" noThreeD="1"/>
</file>

<file path=xl/ctrlProps/ctrlProp14.xml><?xml version="1.0" encoding="utf-8"?>
<formControlPr xmlns="http://schemas.microsoft.com/office/spreadsheetml/2009/9/main" objectType="CheckBox" checked="Checked" fmlaLink="$AJ54" lockText="1" noThreeD="1"/>
</file>

<file path=xl/ctrlProps/ctrlProp140.xml><?xml version="1.0" encoding="utf-8"?>
<formControlPr xmlns="http://schemas.microsoft.com/office/spreadsheetml/2009/9/main" objectType="CheckBox" checked="Checked" fmlaLink="$AJ$62" lockText="1" noThreeD="1"/>
</file>

<file path=xl/ctrlProps/ctrlProp141.xml><?xml version="1.0" encoding="utf-8"?>
<formControlPr xmlns="http://schemas.microsoft.com/office/spreadsheetml/2009/9/main" objectType="CheckBox" checked="Checked" fmlaLink="$AJ$63" lockText="1" noThreeD="1"/>
</file>

<file path=xl/ctrlProps/ctrlProp142.xml><?xml version="1.0" encoding="utf-8"?>
<formControlPr xmlns="http://schemas.microsoft.com/office/spreadsheetml/2009/9/main" objectType="CheckBox" checked="Checked" fmlaLink="$AJ$57" lockText="1" noThreeD="1"/>
</file>

<file path=xl/ctrlProps/ctrlProp143.xml><?xml version="1.0" encoding="utf-8"?>
<formControlPr xmlns="http://schemas.microsoft.com/office/spreadsheetml/2009/9/main" objectType="CheckBox" checked="Checked" fmlaLink="$AJ$58" lockText="1" noThreeD="1"/>
</file>

<file path=xl/ctrlProps/ctrlProp144.xml><?xml version="1.0" encoding="utf-8"?>
<formControlPr xmlns="http://schemas.microsoft.com/office/spreadsheetml/2009/9/main" objectType="CheckBox" checked="Checked" fmlaLink="$AJ$64" lockText="1" noThreeD="1"/>
</file>

<file path=xl/ctrlProps/ctrlProp145.xml><?xml version="1.0" encoding="utf-8"?>
<formControlPr xmlns="http://schemas.microsoft.com/office/spreadsheetml/2009/9/main" objectType="CheckBox" checked="Checked" fmlaLink="$AJ41" lockText="1" noThreeD="1"/>
</file>

<file path=xl/ctrlProps/ctrlProp146.xml><?xml version="1.0" encoding="utf-8"?>
<formControlPr xmlns="http://schemas.microsoft.com/office/spreadsheetml/2009/9/main" objectType="CheckBox" checked="Checked" fmlaLink="$AJ42" lockText="1" noThreeD="1"/>
</file>

<file path=xl/ctrlProps/ctrlProp147.xml><?xml version="1.0" encoding="utf-8"?>
<formControlPr xmlns="http://schemas.microsoft.com/office/spreadsheetml/2009/9/main" objectType="CheckBox" checked="Checked" fmlaLink="$AJ43" lockText="1" noThreeD="1"/>
</file>

<file path=xl/ctrlProps/ctrlProp148.xml><?xml version="1.0" encoding="utf-8"?>
<formControlPr xmlns="http://schemas.microsoft.com/office/spreadsheetml/2009/9/main" objectType="CheckBox" checked="Checked" fmlaLink="$AJ44" lockText="1" noThreeD="1"/>
</file>

<file path=xl/ctrlProps/ctrlProp149.xml><?xml version="1.0" encoding="utf-8"?>
<formControlPr xmlns="http://schemas.microsoft.com/office/spreadsheetml/2009/9/main" objectType="CheckBox" checked="Checked" fmlaLink="$AJ45" lockText="1" noThreeD="1"/>
</file>

<file path=xl/ctrlProps/ctrlProp15.xml><?xml version="1.0" encoding="utf-8"?>
<formControlPr xmlns="http://schemas.microsoft.com/office/spreadsheetml/2009/9/main" objectType="CheckBox" checked="Checked" fmlaLink="$AJ55" lockText="1" noThreeD="1"/>
</file>

<file path=xl/ctrlProps/ctrlProp150.xml><?xml version="1.0" encoding="utf-8"?>
<formControlPr xmlns="http://schemas.microsoft.com/office/spreadsheetml/2009/9/main" objectType="CheckBox" checked="Checked" fmlaLink="$AJ46" lockText="1" noThreeD="1"/>
</file>

<file path=xl/ctrlProps/ctrlProp151.xml><?xml version="1.0" encoding="utf-8"?>
<formControlPr xmlns="http://schemas.microsoft.com/office/spreadsheetml/2009/9/main" objectType="CheckBox" checked="Checked" fmlaLink="$AJ47" lockText="1" noThreeD="1"/>
</file>

<file path=xl/ctrlProps/ctrlProp152.xml><?xml version="1.0" encoding="utf-8"?>
<formControlPr xmlns="http://schemas.microsoft.com/office/spreadsheetml/2009/9/main" objectType="CheckBox" checked="Checked" fmlaLink="$AJ48" lockText="1" noThreeD="1"/>
</file>

<file path=xl/ctrlProps/ctrlProp153.xml><?xml version="1.0" encoding="utf-8"?>
<formControlPr xmlns="http://schemas.microsoft.com/office/spreadsheetml/2009/9/main" objectType="CheckBox" checked="Checked" fmlaLink="$AJ49" lockText="1" noThreeD="1"/>
</file>

<file path=xl/ctrlProps/ctrlProp154.xml><?xml version="1.0" encoding="utf-8"?>
<formControlPr xmlns="http://schemas.microsoft.com/office/spreadsheetml/2009/9/main" objectType="CheckBox" checked="Checked" fmlaLink="$AJ50" lockText="1" noThreeD="1"/>
</file>

<file path=xl/ctrlProps/ctrlProp155.xml><?xml version="1.0" encoding="utf-8"?>
<formControlPr xmlns="http://schemas.microsoft.com/office/spreadsheetml/2009/9/main" objectType="CheckBox" checked="Checked" fmlaLink="$AJ51" lockText="1" noThreeD="1"/>
</file>

<file path=xl/ctrlProps/ctrlProp156.xml><?xml version="1.0" encoding="utf-8"?>
<formControlPr xmlns="http://schemas.microsoft.com/office/spreadsheetml/2009/9/main" objectType="CheckBox" checked="Checked" fmlaLink="$AJ52" lockText="1" noThreeD="1"/>
</file>

<file path=xl/ctrlProps/ctrlProp157.xml><?xml version="1.0" encoding="utf-8"?>
<formControlPr xmlns="http://schemas.microsoft.com/office/spreadsheetml/2009/9/main" objectType="CheckBox" checked="Checked" fmlaLink="$AJ53" lockText="1" noThreeD="1"/>
</file>

<file path=xl/ctrlProps/ctrlProp158.xml><?xml version="1.0" encoding="utf-8"?>
<formControlPr xmlns="http://schemas.microsoft.com/office/spreadsheetml/2009/9/main" objectType="CheckBox" checked="Checked" fmlaLink="$AJ54" lockText="1" noThreeD="1"/>
</file>

<file path=xl/ctrlProps/ctrlProp159.xml><?xml version="1.0" encoding="utf-8"?>
<formControlPr xmlns="http://schemas.microsoft.com/office/spreadsheetml/2009/9/main" objectType="CheckBox" checked="Checked" fmlaLink="$AJ55" lockText="1" noThreeD="1"/>
</file>

<file path=xl/ctrlProps/ctrlProp16.xml><?xml version="1.0" encoding="utf-8"?>
<formControlPr xmlns="http://schemas.microsoft.com/office/spreadsheetml/2009/9/main" objectType="CheckBox" checked="Checked" fmlaLink="$AJ$56" lockText="1" noThreeD="1"/>
</file>

<file path=xl/ctrlProps/ctrlProp160.xml><?xml version="1.0" encoding="utf-8"?>
<formControlPr xmlns="http://schemas.microsoft.com/office/spreadsheetml/2009/9/main" objectType="CheckBox" checked="Checked" fmlaLink="$AJ$56" lockText="1" noThreeD="1"/>
</file>

<file path=xl/ctrlProps/ctrlProp161.xml><?xml version="1.0" encoding="utf-8"?>
<formControlPr xmlns="http://schemas.microsoft.com/office/spreadsheetml/2009/9/main" objectType="CheckBox" checked="Checked" fmlaLink="$AJ$59" lockText="1" noThreeD="1"/>
</file>

<file path=xl/ctrlProps/ctrlProp162.xml><?xml version="1.0" encoding="utf-8"?>
<formControlPr xmlns="http://schemas.microsoft.com/office/spreadsheetml/2009/9/main" objectType="CheckBox" checked="Checked" fmlaLink="$AJ$60" lockText="1" noThreeD="1"/>
</file>

<file path=xl/ctrlProps/ctrlProp163.xml><?xml version="1.0" encoding="utf-8"?>
<formControlPr xmlns="http://schemas.microsoft.com/office/spreadsheetml/2009/9/main" objectType="CheckBox" checked="Checked" fmlaLink="$AJ$61" lockText="1" noThreeD="1"/>
</file>

<file path=xl/ctrlProps/ctrlProp164.xml><?xml version="1.0" encoding="utf-8"?>
<formControlPr xmlns="http://schemas.microsoft.com/office/spreadsheetml/2009/9/main" objectType="CheckBox" checked="Checked" fmlaLink="$AJ$62" lockText="1" noThreeD="1"/>
</file>

<file path=xl/ctrlProps/ctrlProp165.xml><?xml version="1.0" encoding="utf-8"?>
<formControlPr xmlns="http://schemas.microsoft.com/office/spreadsheetml/2009/9/main" objectType="CheckBox" checked="Checked" fmlaLink="$AJ$63" lockText="1" noThreeD="1"/>
</file>

<file path=xl/ctrlProps/ctrlProp166.xml><?xml version="1.0" encoding="utf-8"?>
<formControlPr xmlns="http://schemas.microsoft.com/office/spreadsheetml/2009/9/main" objectType="CheckBox" checked="Checked" fmlaLink="$AJ$57" lockText="1" noThreeD="1"/>
</file>

<file path=xl/ctrlProps/ctrlProp167.xml><?xml version="1.0" encoding="utf-8"?>
<formControlPr xmlns="http://schemas.microsoft.com/office/spreadsheetml/2009/9/main" objectType="CheckBox" checked="Checked" fmlaLink="$AJ$58" lockText="1" noThreeD="1"/>
</file>

<file path=xl/ctrlProps/ctrlProp168.xml><?xml version="1.0" encoding="utf-8"?>
<formControlPr xmlns="http://schemas.microsoft.com/office/spreadsheetml/2009/9/main" objectType="CheckBox" checked="Checked" fmlaLink="$AJ$64" lockText="1" noThreeD="1"/>
</file>

<file path=xl/ctrlProps/ctrlProp169.xml><?xml version="1.0" encoding="utf-8"?>
<formControlPr xmlns="http://schemas.microsoft.com/office/spreadsheetml/2009/9/main" objectType="CheckBox" checked="Checked" fmlaLink="$AJ41" lockText="1" noThreeD="1"/>
</file>

<file path=xl/ctrlProps/ctrlProp17.xml><?xml version="1.0" encoding="utf-8"?>
<formControlPr xmlns="http://schemas.microsoft.com/office/spreadsheetml/2009/9/main" objectType="CheckBox" checked="Checked" fmlaLink="$AJ$59" lockText="1" noThreeD="1"/>
</file>

<file path=xl/ctrlProps/ctrlProp170.xml><?xml version="1.0" encoding="utf-8"?>
<formControlPr xmlns="http://schemas.microsoft.com/office/spreadsheetml/2009/9/main" objectType="CheckBox" checked="Checked" fmlaLink="$AJ42" lockText="1" noThreeD="1"/>
</file>

<file path=xl/ctrlProps/ctrlProp171.xml><?xml version="1.0" encoding="utf-8"?>
<formControlPr xmlns="http://schemas.microsoft.com/office/spreadsheetml/2009/9/main" objectType="CheckBox" checked="Checked" fmlaLink="$AJ43" lockText="1" noThreeD="1"/>
</file>

<file path=xl/ctrlProps/ctrlProp172.xml><?xml version="1.0" encoding="utf-8"?>
<formControlPr xmlns="http://schemas.microsoft.com/office/spreadsheetml/2009/9/main" objectType="CheckBox" checked="Checked" fmlaLink="$AJ44" lockText="1" noThreeD="1"/>
</file>

<file path=xl/ctrlProps/ctrlProp173.xml><?xml version="1.0" encoding="utf-8"?>
<formControlPr xmlns="http://schemas.microsoft.com/office/spreadsheetml/2009/9/main" objectType="CheckBox" checked="Checked" fmlaLink="$AJ45" lockText="1" noThreeD="1"/>
</file>

<file path=xl/ctrlProps/ctrlProp174.xml><?xml version="1.0" encoding="utf-8"?>
<formControlPr xmlns="http://schemas.microsoft.com/office/spreadsheetml/2009/9/main" objectType="CheckBox" checked="Checked" fmlaLink="$AJ46" lockText="1" noThreeD="1"/>
</file>

<file path=xl/ctrlProps/ctrlProp175.xml><?xml version="1.0" encoding="utf-8"?>
<formControlPr xmlns="http://schemas.microsoft.com/office/spreadsheetml/2009/9/main" objectType="CheckBox" checked="Checked" fmlaLink="$AJ47" lockText="1" noThreeD="1"/>
</file>

<file path=xl/ctrlProps/ctrlProp176.xml><?xml version="1.0" encoding="utf-8"?>
<formControlPr xmlns="http://schemas.microsoft.com/office/spreadsheetml/2009/9/main" objectType="CheckBox" checked="Checked" fmlaLink="$AJ48" lockText="1" noThreeD="1"/>
</file>

<file path=xl/ctrlProps/ctrlProp177.xml><?xml version="1.0" encoding="utf-8"?>
<formControlPr xmlns="http://schemas.microsoft.com/office/spreadsheetml/2009/9/main" objectType="CheckBox" checked="Checked" fmlaLink="$AJ49" lockText="1" noThreeD="1"/>
</file>

<file path=xl/ctrlProps/ctrlProp178.xml><?xml version="1.0" encoding="utf-8"?>
<formControlPr xmlns="http://schemas.microsoft.com/office/spreadsheetml/2009/9/main" objectType="CheckBox" checked="Checked" fmlaLink="$AJ50" lockText="1" noThreeD="1"/>
</file>

<file path=xl/ctrlProps/ctrlProp179.xml><?xml version="1.0" encoding="utf-8"?>
<formControlPr xmlns="http://schemas.microsoft.com/office/spreadsheetml/2009/9/main" objectType="CheckBox" checked="Checked" fmlaLink="$AJ51" lockText="1" noThreeD="1"/>
</file>

<file path=xl/ctrlProps/ctrlProp18.xml><?xml version="1.0" encoding="utf-8"?>
<formControlPr xmlns="http://schemas.microsoft.com/office/spreadsheetml/2009/9/main" objectType="CheckBox" checked="Checked" fmlaLink="$AJ$60" lockText="1" noThreeD="1"/>
</file>

<file path=xl/ctrlProps/ctrlProp180.xml><?xml version="1.0" encoding="utf-8"?>
<formControlPr xmlns="http://schemas.microsoft.com/office/spreadsheetml/2009/9/main" objectType="CheckBox" checked="Checked" fmlaLink="$AJ52" lockText="1" noThreeD="1"/>
</file>

<file path=xl/ctrlProps/ctrlProp181.xml><?xml version="1.0" encoding="utf-8"?>
<formControlPr xmlns="http://schemas.microsoft.com/office/spreadsheetml/2009/9/main" objectType="CheckBox" checked="Checked" fmlaLink="$AJ53" lockText="1" noThreeD="1"/>
</file>

<file path=xl/ctrlProps/ctrlProp182.xml><?xml version="1.0" encoding="utf-8"?>
<formControlPr xmlns="http://schemas.microsoft.com/office/spreadsheetml/2009/9/main" objectType="CheckBox" checked="Checked" fmlaLink="$AJ54" lockText="1" noThreeD="1"/>
</file>

<file path=xl/ctrlProps/ctrlProp183.xml><?xml version="1.0" encoding="utf-8"?>
<formControlPr xmlns="http://schemas.microsoft.com/office/spreadsheetml/2009/9/main" objectType="CheckBox" checked="Checked" fmlaLink="$AJ55" lockText="1" noThreeD="1"/>
</file>

<file path=xl/ctrlProps/ctrlProp184.xml><?xml version="1.0" encoding="utf-8"?>
<formControlPr xmlns="http://schemas.microsoft.com/office/spreadsheetml/2009/9/main" objectType="CheckBox" checked="Checked" fmlaLink="$AJ$56" lockText="1" noThreeD="1"/>
</file>

<file path=xl/ctrlProps/ctrlProp185.xml><?xml version="1.0" encoding="utf-8"?>
<formControlPr xmlns="http://schemas.microsoft.com/office/spreadsheetml/2009/9/main" objectType="CheckBox" checked="Checked" fmlaLink="$AJ$59" lockText="1" noThreeD="1"/>
</file>

<file path=xl/ctrlProps/ctrlProp186.xml><?xml version="1.0" encoding="utf-8"?>
<formControlPr xmlns="http://schemas.microsoft.com/office/spreadsheetml/2009/9/main" objectType="CheckBox" checked="Checked" fmlaLink="$AJ$60" lockText="1" noThreeD="1"/>
</file>

<file path=xl/ctrlProps/ctrlProp187.xml><?xml version="1.0" encoding="utf-8"?>
<formControlPr xmlns="http://schemas.microsoft.com/office/spreadsheetml/2009/9/main" objectType="CheckBox" checked="Checked" fmlaLink="$AJ$61" lockText="1" noThreeD="1"/>
</file>

<file path=xl/ctrlProps/ctrlProp188.xml><?xml version="1.0" encoding="utf-8"?>
<formControlPr xmlns="http://schemas.microsoft.com/office/spreadsheetml/2009/9/main" objectType="CheckBox" checked="Checked" fmlaLink="$AJ$62" lockText="1" noThreeD="1"/>
</file>

<file path=xl/ctrlProps/ctrlProp189.xml><?xml version="1.0" encoding="utf-8"?>
<formControlPr xmlns="http://schemas.microsoft.com/office/spreadsheetml/2009/9/main" objectType="CheckBox" checked="Checked" fmlaLink="$AJ$63" lockText="1" noThreeD="1"/>
</file>

<file path=xl/ctrlProps/ctrlProp19.xml><?xml version="1.0" encoding="utf-8"?>
<formControlPr xmlns="http://schemas.microsoft.com/office/spreadsheetml/2009/9/main" objectType="CheckBox" checked="Checked" fmlaLink="$AJ$61" lockText="1" noThreeD="1"/>
</file>

<file path=xl/ctrlProps/ctrlProp190.xml><?xml version="1.0" encoding="utf-8"?>
<formControlPr xmlns="http://schemas.microsoft.com/office/spreadsheetml/2009/9/main" objectType="CheckBox" checked="Checked" fmlaLink="$AJ$57" lockText="1" noThreeD="1"/>
</file>

<file path=xl/ctrlProps/ctrlProp191.xml><?xml version="1.0" encoding="utf-8"?>
<formControlPr xmlns="http://schemas.microsoft.com/office/spreadsheetml/2009/9/main" objectType="CheckBox" checked="Checked" fmlaLink="$AJ$58" lockText="1" noThreeD="1"/>
</file>

<file path=xl/ctrlProps/ctrlProp192.xml><?xml version="1.0" encoding="utf-8"?>
<formControlPr xmlns="http://schemas.microsoft.com/office/spreadsheetml/2009/9/main" objectType="CheckBox" checked="Checked" fmlaLink="$AJ$64" lockText="1" noThreeD="1"/>
</file>

<file path=xl/ctrlProps/ctrlProp193.xml><?xml version="1.0" encoding="utf-8"?>
<formControlPr xmlns="http://schemas.microsoft.com/office/spreadsheetml/2009/9/main" objectType="CheckBox" checked="Checked" fmlaLink="$AJ41" lockText="1" noThreeD="1"/>
</file>

<file path=xl/ctrlProps/ctrlProp194.xml><?xml version="1.0" encoding="utf-8"?>
<formControlPr xmlns="http://schemas.microsoft.com/office/spreadsheetml/2009/9/main" objectType="CheckBox" checked="Checked" fmlaLink="$AJ42" lockText="1" noThreeD="1"/>
</file>

<file path=xl/ctrlProps/ctrlProp195.xml><?xml version="1.0" encoding="utf-8"?>
<formControlPr xmlns="http://schemas.microsoft.com/office/spreadsheetml/2009/9/main" objectType="CheckBox" checked="Checked" fmlaLink="$AJ43" lockText="1" noThreeD="1"/>
</file>

<file path=xl/ctrlProps/ctrlProp196.xml><?xml version="1.0" encoding="utf-8"?>
<formControlPr xmlns="http://schemas.microsoft.com/office/spreadsheetml/2009/9/main" objectType="CheckBox" checked="Checked" fmlaLink="$AJ44" lockText="1" noThreeD="1"/>
</file>

<file path=xl/ctrlProps/ctrlProp197.xml><?xml version="1.0" encoding="utf-8"?>
<formControlPr xmlns="http://schemas.microsoft.com/office/spreadsheetml/2009/9/main" objectType="CheckBox" checked="Checked" fmlaLink="$AJ45" lockText="1" noThreeD="1"/>
</file>

<file path=xl/ctrlProps/ctrlProp198.xml><?xml version="1.0" encoding="utf-8"?>
<formControlPr xmlns="http://schemas.microsoft.com/office/spreadsheetml/2009/9/main" objectType="CheckBox" checked="Checked" fmlaLink="$AJ46" lockText="1" noThreeD="1"/>
</file>

<file path=xl/ctrlProps/ctrlProp199.xml><?xml version="1.0" encoding="utf-8"?>
<formControlPr xmlns="http://schemas.microsoft.com/office/spreadsheetml/2009/9/main" objectType="CheckBox" checked="Checked" fmlaLink="$AJ47" lockText="1" noThreeD="1"/>
</file>

<file path=xl/ctrlProps/ctrlProp2.xml><?xml version="1.0" encoding="utf-8"?>
<formControlPr xmlns="http://schemas.microsoft.com/office/spreadsheetml/2009/9/main" objectType="CheckBox" checked="Checked" fmlaLink="$AJ42" lockText="1" noThreeD="1"/>
</file>

<file path=xl/ctrlProps/ctrlProp20.xml><?xml version="1.0" encoding="utf-8"?>
<formControlPr xmlns="http://schemas.microsoft.com/office/spreadsheetml/2009/9/main" objectType="CheckBox" checked="Checked" fmlaLink="$AJ$62" lockText="1" noThreeD="1"/>
</file>

<file path=xl/ctrlProps/ctrlProp200.xml><?xml version="1.0" encoding="utf-8"?>
<formControlPr xmlns="http://schemas.microsoft.com/office/spreadsheetml/2009/9/main" objectType="CheckBox" checked="Checked" fmlaLink="$AJ48" lockText="1" noThreeD="1"/>
</file>

<file path=xl/ctrlProps/ctrlProp201.xml><?xml version="1.0" encoding="utf-8"?>
<formControlPr xmlns="http://schemas.microsoft.com/office/spreadsheetml/2009/9/main" objectType="CheckBox" checked="Checked" fmlaLink="$AJ49" lockText="1" noThreeD="1"/>
</file>

<file path=xl/ctrlProps/ctrlProp202.xml><?xml version="1.0" encoding="utf-8"?>
<formControlPr xmlns="http://schemas.microsoft.com/office/spreadsheetml/2009/9/main" objectType="CheckBox" checked="Checked" fmlaLink="$AJ50" lockText="1" noThreeD="1"/>
</file>

<file path=xl/ctrlProps/ctrlProp203.xml><?xml version="1.0" encoding="utf-8"?>
<formControlPr xmlns="http://schemas.microsoft.com/office/spreadsheetml/2009/9/main" objectType="CheckBox" checked="Checked" fmlaLink="$AJ51" lockText="1" noThreeD="1"/>
</file>

<file path=xl/ctrlProps/ctrlProp204.xml><?xml version="1.0" encoding="utf-8"?>
<formControlPr xmlns="http://schemas.microsoft.com/office/spreadsheetml/2009/9/main" objectType="CheckBox" checked="Checked" fmlaLink="$AJ52" lockText="1" noThreeD="1"/>
</file>

<file path=xl/ctrlProps/ctrlProp205.xml><?xml version="1.0" encoding="utf-8"?>
<formControlPr xmlns="http://schemas.microsoft.com/office/spreadsheetml/2009/9/main" objectType="CheckBox" checked="Checked" fmlaLink="$AJ53" lockText="1" noThreeD="1"/>
</file>

<file path=xl/ctrlProps/ctrlProp206.xml><?xml version="1.0" encoding="utf-8"?>
<formControlPr xmlns="http://schemas.microsoft.com/office/spreadsheetml/2009/9/main" objectType="CheckBox" checked="Checked" fmlaLink="$AJ54" lockText="1" noThreeD="1"/>
</file>

<file path=xl/ctrlProps/ctrlProp207.xml><?xml version="1.0" encoding="utf-8"?>
<formControlPr xmlns="http://schemas.microsoft.com/office/spreadsheetml/2009/9/main" objectType="CheckBox" checked="Checked" fmlaLink="$AJ55" lockText="1" noThreeD="1"/>
</file>

<file path=xl/ctrlProps/ctrlProp208.xml><?xml version="1.0" encoding="utf-8"?>
<formControlPr xmlns="http://schemas.microsoft.com/office/spreadsheetml/2009/9/main" objectType="CheckBox" checked="Checked" fmlaLink="$AJ$56" lockText="1" noThreeD="1"/>
</file>

<file path=xl/ctrlProps/ctrlProp209.xml><?xml version="1.0" encoding="utf-8"?>
<formControlPr xmlns="http://schemas.microsoft.com/office/spreadsheetml/2009/9/main" objectType="CheckBox" checked="Checked" fmlaLink="$AJ$59" lockText="1" noThreeD="1"/>
</file>

<file path=xl/ctrlProps/ctrlProp21.xml><?xml version="1.0" encoding="utf-8"?>
<formControlPr xmlns="http://schemas.microsoft.com/office/spreadsheetml/2009/9/main" objectType="CheckBox" checked="Checked" fmlaLink="$AJ$63" lockText="1" noThreeD="1"/>
</file>

<file path=xl/ctrlProps/ctrlProp210.xml><?xml version="1.0" encoding="utf-8"?>
<formControlPr xmlns="http://schemas.microsoft.com/office/spreadsheetml/2009/9/main" objectType="CheckBox" checked="Checked" fmlaLink="$AJ$60" lockText="1" noThreeD="1"/>
</file>

<file path=xl/ctrlProps/ctrlProp211.xml><?xml version="1.0" encoding="utf-8"?>
<formControlPr xmlns="http://schemas.microsoft.com/office/spreadsheetml/2009/9/main" objectType="CheckBox" checked="Checked" fmlaLink="$AJ$61" lockText="1" noThreeD="1"/>
</file>

<file path=xl/ctrlProps/ctrlProp212.xml><?xml version="1.0" encoding="utf-8"?>
<formControlPr xmlns="http://schemas.microsoft.com/office/spreadsheetml/2009/9/main" objectType="CheckBox" checked="Checked" fmlaLink="$AJ$62" lockText="1" noThreeD="1"/>
</file>

<file path=xl/ctrlProps/ctrlProp213.xml><?xml version="1.0" encoding="utf-8"?>
<formControlPr xmlns="http://schemas.microsoft.com/office/spreadsheetml/2009/9/main" objectType="CheckBox" checked="Checked" fmlaLink="$AJ$63" lockText="1" noThreeD="1"/>
</file>

<file path=xl/ctrlProps/ctrlProp214.xml><?xml version="1.0" encoding="utf-8"?>
<formControlPr xmlns="http://schemas.microsoft.com/office/spreadsheetml/2009/9/main" objectType="CheckBox" checked="Checked" fmlaLink="$AJ$57" lockText="1" noThreeD="1"/>
</file>

<file path=xl/ctrlProps/ctrlProp215.xml><?xml version="1.0" encoding="utf-8"?>
<formControlPr xmlns="http://schemas.microsoft.com/office/spreadsheetml/2009/9/main" objectType="CheckBox" checked="Checked" fmlaLink="$AJ$58" lockText="1" noThreeD="1"/>
</file>

<file path=xl/ctrlProps/ctrlProp216.xml><?xml version="1.0" encoding="utf-8"?>
<formControlPr xmlns="http://schemas.microsoft.com/office/spreadsheetml/2009/9/main" objectType="CheckBox" checked="Checked" fmlaLink="$AJ$64" lockText="1" noThreeD="1"/>
</file>

<file path=xl/ctrlProps/ctrlProp217.xml><?xml version="1.0" encoding="utf-8"?>
<formControlPr xmlns="http://schemas.microsoft.com/office/spreadsheetml/2009/9/main" objectType="CheckBox" checked="Checked" fmlaLink="$AJ44" lockText="1" noThreeD="1"/>
</file>

<file path=xl/ctrlProps/ctrlProp218.xml><?xml version="1.0" encoding="utf-8"?>
<formControlPr xmlns="http://schemas.microsoft.com/office/spreadsheetml/2009/9/main" objectType="CheckBox" checked="Checked" fmlaLink="$AJ45" lockText="1" noThreeD="1"/>
</file>

<file path=xl/ctrlProps/ctrlProp219.xml><?xml version="1.0" encoding="utf-8"?>
<formControlPr xmlns="http://schemas.microsoft.com/office/spreadsheetml/2009/9/main" objectType="CheckBox" checked="Checked" fmlaLink="$AJ46" lockText="1" noThreeD="1"/>
</file>

<file path=xl/ctrlProps/ctrlProp22.xml><?xml version="1.0" encoding="utf-8"?>
<formControlPr xmlns="http://schemas.microsoft.com/office/spreadsheetml/2009/9/main" objectType="CheckBox" checked="Checked" fmlaLink="$AJ$57" lockText="1" noThreeD="1"/>
</file>

<file path=xl/ctrlProps/ctrlProp220.xml><?xml version="1.0" encoding="utf-8"?>
<formControlPr xmlns="http://schemas.microsoft.com/office/spreadsheetml/2009/9/main" objectType="CheckBox" checked="Checked" fmlaLink="$AJ47" lockText="1" noThreeD="1"/>
</file>

<file path=xl/ctrlProps/ctrlProp221.xml><?xml version="1.0" encoding="utf-8"?>
<formControlPr xmlns="http://schemas.microsoft.com/office/spreadsheetml/2009/9/main" objectType="CheckBox" checked="Checked" fmlaLink="$AJ48" lockText="1" noThreeD="1"/>
</file>

<file path=xl/ctrlProps/ctrlProp222.xml><?xml version="1.0" encoding="utf-8"?>
<formControlPr xmlns="http://schemas.microsoft.com/office/spreadsheetml/2009/9/main" objectType="CheckBox" checked="Checked" fmlaLink="$AJ49" lockText="1" noThreeD="1"/>
</file>

<file path=xl/ctrlProps/ctrlProp223.xml><?xml version="1.0" encoding="utf-8"?>
<formControlPr xmlns="http://schemas.microsoft.com/office/spreadsheetml/2009/9/main" objectType="CheckBox" checked="Checked" fmlaLink="$AJ50" lockText="1" noThreeD="1"/>
</file>

<file path=xl/ctrlProps/ctrlProp224.xml><?xml version="1.0" encoding="utf-8"?>
<formControlPr xmlns="http://schemas.microsoft.com/office/spreadsheetml/2009/9/main" objectType="CheckBox" checked="Checked" fmlaLink="$AJ51" lockText="1" noThreeD="1"/>
</file>

<file path=xl/ctrlProps/ctrlProp225.xml><?xml version="1.0" encoding="utf-8"?>
<formControlPr xmlns="http://schemas.microsoft.com/office/spreadsheetml/2009/9/main" objectType="CheckBox" checked="Checked" fmlaLink="$AJ52" lockText="1" noThreeD="1"/>
</file>

<file path=xl/ctrlProps/ctrlProp226.xml><?xml version="1.0" encoding="utf-8"?>
<formControlPr xmlns="http://schemas.microsoft.com/office/spreadsheetml/2009/9/main" objectType="CheckBox" checked="Checked" fmlaLink="$AJ53" lockText="1" noThreeD="1"/>
</file>

<file path=xl/ctrlProps/ctrlProp227.xml><?xml version="1.0" encoding="utf-8"?>
<formControlPr xmlns="http://schemas.microsoft.com/office/spreadsheetml/2009/9/main" objectType="CheckBox" checked="Checked" fmlaLink="$AJ54" lockText="1" noThreeD="1"/>
</file>

<file path=xl/ctrlProps/ctrlProp228.xml><?xml version="1.0" encoding="utf-8"?>
<formControlPr xmlns="http://schemas.microsoft.com/office/spreadsheetml/2009/9/main" objectType="CheckBox" checked="Checked" fmlaLink="$AJ55" lockText="1" noThreeD="1"/>
</file>

<file path=xl/ctrlProps/ctrlProp229.xml><?xml version="1.0" encoding="utf-8"?>
<formControlPr xmlns="http://schemas.microsoft.com/office/spreadsheetml/2009/9/main" objectType="CheckBox" checked="Checked" fmlaLink="$AJ$56" lockText="1" noThreeD="1"/>
</file>

<file path=xl/ctrlProps/ctrlProp23.xml><?xml version="1.0" encoding="utf-8"?>
<formControlPr xmlns="http://schemas.microsoft.com/office/spreadsheetml/2009/9/main" objectType="CheckBox" checked="Checked" fmlaLink="$AJ$58" lockText="1" noThreeD="1"/>
</file>

<file path=xl/ctrlProps/ctrlProp230.xml><?xml version="1.0" encoding="utf-8"?>
<formControlPr xmlns="http://schemas.microsoft.com/office/spreadsheetml/2009/9/main" objectType="CheckBox" checked="Checked" fmlaLink="$AJ$59" lockText="1" noThreeD="1"/>
</file>

<file path=xl/ctrlProps/ctrlProp231.xml><?xml version="1.0" encoding="utf-8"?>
<formControlPr xmlns="http://schemas.microsoft.com/office/spreadsheetml/2009/9/main" objectType="CheckBox" checked="Checked" fmlaLink="$AJ$60" lockText="1" noThreeD="1"/>
</file>

<file path=xl/ctrlProps/ctrlProp232.xml><?xml version="1.0" encoding="utf-8"?>
<formControlPr xmlns="http://schemas.microsoft.com/office/spreadsheetml/2009/9/main" objectType="CheckBox" checked="Checked" fmlaLink="$AJ$61" lockText="1" noThreeD="1"/>
</file>

<file path=xl/ctrlProps/ctrlProp233.xml><?xml version="1.0" encoding="utf-8"?>
<formControlPr xmlns="http://schemas.microsoft.com/office/spreadsheetml/2009/9/main" objectType="CheckBox" checked="Checked" fmlaLink="$AJ$62" lockText="1" noThreeD="1"/>
</file>

<file path=xl/ctrlProps/ctrlProp234.xml><?xml version="1.0" encoding="utf-8"?>
<formControlPr xmlns="http://schemas.microsoft.com/office/spreadsheetml/2009/9/main" objectType="CheckBox" checked="Checked" fmlaLink="$AJ$63" lockText="1" noThreeD="1"/>
</file>

<file path=xl/ctrlProps/ctrlProp235.xml><?xml version="1.0" encoding="utf-8"?>
<formControlPr xmlns="http://schemas.microsoft.com/office/spreadsheetml/2009/9/main" objectType="CheckBox" checked="Checked" fmlaLink="$AJ$57" lockText="1" noThreeD="1"/>
</file>

<file path=xl/ctrlProps/ctrlProp236.xml><?xml version="1.0" encoding="utf-8"?>
<formControlPr xmlns="http://schemas.microsoft.com/office/spreadsheetml/2009/9/main" objectType="CheckBox" checked="Checked" fmlaLink="$AJ$58" lockText="1" noThreeD="1"/>
</file>

<file path=xl/ctrlProps/ctrlProp237.xml><?xml version="1.0" encoding="utf-8"?>
<formControlPr xmlns="http://schemas.microsoft.com/office/spreadsheetml/2009/9/main" objectType="CheckBox" checked="Checked" fmlaLink="$AJ$64" lockText="1" noThreeD="1"/>
</file>

<file path=xl/ctrlProps/ctrlProp238.xml><?xml version="1.0" encoding="utf-8"?>
<formControlPr xmlns="http://schemas.microsoft.com/office/spreadsheetml/2009/9/main" objectType="CheckBox" checked="Checked" fmlaLink="$AJ41" lockText="1" noThreeD="1"/>
</file>

<file path=xl/ctrlProps/ctrlProp239.xml><?xml version="1.0" encoding="utf-8"?>
<formControlPr xmlns="http://schemas.microsoft.com/office/spreadsheetml/2009/9/main" objectType="CheckBox" checked="Checked" fmlaLink="$AJ42" lockText="1" noThreeD="1"/>
</file>

<file path=xl/ctrlProps/ctrlProp24.xml><?xml version="1.0" encoding="utf-8"?>
<formControlPr xmlns="http://schemas.microsoft.com/office/spreadsheetml/2009/9/main" objectType="CheckBox" checked="Checked" fmlaLink="$AJ$64" lockText="1" noThreeD="1"/>
</file>

<file path=xl/ctrlProps/ctrlProp240.xml><?xml version="1.0" encoding="utf-8"?>
<formControlPr xmlns="http://schemas.microsoft.com/office/spreadsheetml/2009/9/main" objectType="CheckBox" checked="Checked" fmlaLink="$AJ43" lockText="1" noThreeD="1"/>
</file>

<file path=xl/ctrlProps/ctrlProp241.xml><?xml version="1.0" encoding="utf-8"?>
<formControlPr xmlns="http://schemas.microsoft.com/office/spreadsheetml/2009/9/main" objectType="CheckBox" checked="Checked" fmlaLink="$AI41" lockText="1" noThreeD="1"/>
</file>

<file path=xl/ctrlProps/ctrlProp242.xml><?xml version="1.0" encoding="utf-8"?>
<formControlPr xmlns="http://schemas.microsoft.com/office/spreadsheetml/2009/9/main" objectType="CheckBox" checked="Checked" fmlaLink="$AI42" lockText="1" noThreeD="1"/>
</file>

<file path=xl/ctrlProps/ctrlProp243.xml><?xml version="1.0" encoding="utf-8"?>
<formControlPr xmlns="http://schemas.microsoft.com/office/spreadsheetml/2009/9/main" objectType="CheckBox" checked="Checked" fmlaLink="$AI43" lockText="1" noThreeD="1"/>
</file>

<file path=xl/ctrlProps/ctrlProp244.xml><?xml version="1.0" encoding="utf-8"?>
<formControlPr xmlns="http://schemas.microsoft.com/office/spreadsheetml/2009/9/main" objectType="CheckBox" checked="Checked" fmlaLink="$AI44" lockText="1" noThreeD="1"/>
</file>

<file path=xl/ctrlProps/ctrlProp245.xml><?xml version="1.0" encoding="utf-8"?>
<formControlPr xmlns="http://schemas.microsoft.com/office/spreadsheetml/2009/9/main" objectType="CheckBox" checked="Checked" fmlaLink="$AI45" lockText="1" noThreeD="1"/>
</file>

<file path=xl/ctrlProps/ctrlProp246.xml><?xml version="1.0" encoding="utf-8"?>
<formControlPr xmlns="http://schemas.microsoft.com/office/spreadsheetml/2009/9/main" objectType="CheckBox" checked="Checked" fmlaLink="$AI46" lockText="1" noThreeD="1"/>
</file>

<file path=xl/ctrlProps/ctrlProp247.xml><?xml version="1.0" encoding="utf-8"?>
<formControlPr xmlns="http://schemas.microsoft.com/office/spreadsheetml/2009/9/main" objectType="CheckBox" checked="Checked" fmlaLink="$AI47" lockText="1" noThreeD="1"/>
</file>

<file path=xl/ctrlProps/ctrlProp248.xml><?xml version="1.0" encoding="utf-8"?>
<formControlPr xmlns="http://schemas.microsoft.com/office/spreadsheetml/2009/9/main" objectType="CheckBox" checked="Checked" fmlaLink="$AI48" lockText="1" noThreeD="1"/>
</file>

<file path=xl/ctrlProps/ctrlProp249.xml><?xml version="1.0" encoding="utf-8"?>
<formControlPr xmlns="http://schemas.microsoft.com/office/spreadsheetml/2009/9/main" objectType="CheckBox" checked="Checked" fmlaLink="$AI49" lockText="1" noThreeD="1"/>
</file>

<file path=xl/ctrlProps/ctrlProp25.xml><?xml version="1.0" encoding="utf-8"?>
<formControlPr xmlns="http://schemas.microsoft.com/office/spreadsheetml/2009/9/main" objectType="CheckBox" checked="Checked" fmlaLink="$AJ41" lockText="1" noThreeD="1"/>
</file>

<file path=xl/ctrlProps/ctrlProp250.xml><?xml version="1.0" encoding="utf-8"?>
<formControlPr xmlns="http://schemas.microsoft.com/office/spreadsheetml/2009/9/main" objectType="CheckBox" checked="Checked" fmlaLink="$AI50" lockText="1" noThreeD="1"/>
</file>

<file path=xl/ctrlProps/ctrlProp251.xml><?xml version="1.0" encoding="utf-8"?>
<formControlPr xmlns="http://schemas.microsoft.com/office/spreadsheetml/2009/9/main" objectType="CheckBox" checked="Checked" fmlaLink="$AI51" lockText="1" noThreeD="1"/>
</file>

<file path=xl/ctrlProps/ctrlProp252.xml><?xml version="1.0" encoding="utf-8"?>
<formControlPr xmlns="http://schemas.microsoft.com/office/spreadsheetml/2009/9/main" objectType="CheckBox" checked="Checked" fmlaLink="$AI52" lockText="1" noThreeD="1"/>
</file>

<file path=xl/ctrlProps/ctrlProp253.xml><?xml version="1.0" encoding="utf-8"?>
<formControlPr xmlns="http://schemas.microsoft.com/office/spreadsheetml/2009/9/main" objectType="CheckBox" checked="Checked" fmlaLink="$AI53" lockText="1" noThreeD="1"/>
</file>

<file path=xl/ctrlProps/ctrlProp254.xml><?xml version="1.0" encoding="utf-8"?>
<formControlPr xmlns="http://schemas.microsoft.com/office/spreadsheetml/2009/9/main" objectType="CheckBox" checked="Checked" fmlaLink="$AI54" lockText="1" noThreeD="1"/>
</file>

<file path=xl/ctrlProps/ctrlProp255.xml><?xml version="1.0" encoding="utf-8"?>
<formControlPr xmlns="http://schemas.microsoft.com/office/spreadsheetml/2009/9/main" objectType="CheckBox" checked="Checked" fmlaLink="$AI55" lockText="1" noThreeD="1"/>
</file>

<file path=xl/ctrlProps/ctrlProp256.xml><?xml version="1.0" encoding="utf-8"?>
<formControlPr xmlns="http://schemas.microsoft.com/office/spreadsheetml/2009/9/main" objectType="CheckBox" checked="Checked" fmlaLink="$AI$56" lockText="1" noThreeD="1"/>
</file>

<file path=xl/ctrlProps/ctrlProp257.xml><?xml version="1.0" encoding="utf-8"?>
<formControlPr xmlns="http://schemas.microsoft.com/office/spreadsheetml/2009/9/main" objectType="CheckBox" checked="Checked" fmlaLink="$AI$59" lockText="1" noThreeD="1"/>
</file>

<file path=xl/ctrlProps/ctrlProp258.xml><?xml version="1.0" encoding="utf-8"?>
<formControlPr xmlns="http://schemas.microsoft.com/office/spreadsheetml/2009/9/main" objectType="CheckBox" checked="Checked" fmlaLink="$AI$60" lockText="1" noThreeD="1"/>
</file>

<file path=xl/ctrlProps/ctrlProp259.xml><?xml version="1.0" encoding="utf-8"?>
<formControlPr xmlns="http://schemas.microsoft.com/office/spreadsheetml/2009/9/main" objectType="CheckBox" checked="Checked" fmlaLink="$AI$61" lockText="1" noThreeD="1"/>
</file>

<file path=xl/ctrlProps/ctrlProp26.xml><?xml version="1.0" encoding="utf-8"?>
<formControlPr xmlns="http://schemas.microsoft.com/office/spreadsheetml/2009/9/main" objectType="CheckBox" checked="Checked" fmlaLink="$AJ42" lockText="1" noThreeD="1"/>
</file>

<file path=xl/ctrlProps/ctrlProp260.xml><?xml version="1.0" encoding="utf-8"?>
<formControlPr xmlns="http://schemas.microsoft.com/office/spreadsheetml/2009/9/main" objectType="CheckBox" checked="Checked" fmlaLink="$AI$62" lockText="1" noThreeD="1"/>
</file>

<file path=xl/ctrlProps/ctrlProp261.xml><?xml version="1.0" encoding="utf-8"?>
<formControlPr xmlns="http://schemas.microsoft.com/office/spreadsheetml/2009/9/main" objectType="CheckBox" checked="Checked" fmlaLink="$AI$63" lockText="1" noThreeD="1"/>
</file>

<file path=xl/ctrlProps/ctrlProp262.xml><?xml version="1.0" encoding="utf-8"?>
<formControlPr xmlns="http://schemas.microsoft.com/office/spreadsheetml/2009/9/main" objectType="CheckBox" checked="Checked" fmlaLink="$AI$57" lockText="1" noThreeD="1"/>
</file>

<file path=xl/ctrlProps/ctrlProp263.xml><?xml version="1.0" encoding="utf-8"?>
<formControlPr xmlns="http://schemas.microsoft.com/office/spreadsheetml/2009/9/main" objectType="CheckBox" checked="Checked" fmlaLink="$AI$58" lockText="1" noThreeD="1"/>
</file>

<file path=xl/ctrlProps/ctrlProp264.xml><?xml version="1.0" encoding="utf-8"?>
<formControlPr xmlns="http://schemas.microsoft.com/office/spreadsheetml/2009/9/main" objectType="CheckBox" checked="Checked" fmlaLink="$AK42" lockText="1" noThreeD="1"/>
</file>

<file path=xl/ctrlProps/ctrlProp265.xml><?xml version="1.0" encoding="utf-8"?>
<formControlPr xmlns="http://schemas.microsoft.com/office/spreadsheetml/2009/9/main" objectType="CheckBox" checked="Checked" fmlaLink="$AK43" lockText="1" noThreeD="1"/>
</file>

<file path=xl/ctrlProps/ctrlProp266.xml><?xml version="1.0" encoding="utf-8"?>
<formControlPr xmlns="http://schemas.microsoft.com/office/spreadsheetml/2009/9/main" objectType="CheckBox" checked="Checked" fmlaLink="$AK44" lockText="1" noThreeD="1"/>
</file>

<file path=xl/ctrlProps/ctrlProp267.xml><?xml version="1.0" encoding="utf-8"?>
<formControlPr xmlns="http://schemas.microsoft.com/office/spreadsheetml/2009/9/main" objectType="CheckBox" checked="Checked" fmlaLink="$AK45" lockText="1" noThreeD="1"/>
</file>

<file path=xl/ctrlProps/ctrlProp268.xml><?xml version="1.0" encoding="utf-8"?>
<formControlPr xmlns="http://schemas.microsoft.com/office/spreadsheetml/2009/9/main" objectType="CheckBox" checked="Checked" fmlaLink="$AK46" lockText="1" noThreeD="1"/>
</file>

<file path=xl/ctrlProps/ctrlProp269.xml><?xml version="1.0" encoding="utf-8"?>
<formControlPr xmlns="http://schemas.microsoft.com/office/spreadsheetml/2009/9/main" objectType="CheckBox" checked="Checked" fmlaLink="$AK47" lockText="1" noThreeD="1"/>
</file>

<file path=xl/ctrlProps/ctrlProp27.xml><?xml version="1.0" encoding="utf-8"?>
<formControlPr xmlns="http://schemas.microsoft.com/office/spreadsheetml/2009/9/main" objectType="CheckBox" checked="Checked" fmlaLink="$AJ43" lockText="1" noThreeD="1"/>
</file>

<file path=xl/ctrlProps/ctrlProp270.xml><?xml version="1.0" encoding="utf-8"?>
<formControlPr xmlns="http://schemas.microsoft.com/office/spreadsheetml/2009/9/main" objectType="CheckBox" checked="Checked" fmlaLink="$AK48" lockText="1" noThreeD="1"/>
</file>

<file path=xl/ctrlProps/ctrlProp271.xml><?xml version="1.0" encoding="utf-8"?>
<formControlPr xmlns="http://schemas.microsoft.com/office/spreadsheetml/2009/9/main" objectType="CheckBox" checked="Checked" fmlaLink="$AK49" lockText="1" noThreeD="1"/>
</file>

<file path=xl/ctrlProps/ctrlProp272.xml><?xml version="1.0" encoding="utf-8"?>
<formControlPr xmlns="http://schemas.microsoft.com/office/spreadsheetml/2009/9/main" objectType="CheckBox" checked="Checked" fmlaLink="$AK50" lockText="1" noThreeD="1"/>
</file>

<file path=xl/ctrlProps/ctrlProp273.xml><?xml version="1.0" encoding="utf-8"?>
<formControlPr xmlns="http://schemas.microsoft.com/office/spreadsheetml/2009/9/main" objectType="CheckBox" checked="Checked" fmlaLink="$AK51" lockText="1" noThreeD="1"/>
</file>

<file path=xl/ctrlProps/ctrlProp274.xml><?xml version="1.0" encoding="utf-8"?>
<formControlPr xmlns="http://schemas.microsoft.com/office/spreadsheetml/2009/9/main" objectType="CheckBox" checked="Checked" fmlaLink="$AK52" lockText="1" noThreeD="1"/>
</file>

<file path=xl/ctrlProps/ctrlProp275.xml><?xml version="1.0" encoding="utf-8"?>
<formControlPr xmlns="http://schemas.microsoft.com/office/spreadsheetml/2009/9/main" objectType="CheckBox" checked="Checked" fmlaLink="$AK53" lockText="1" noThreeD="1"/>
</file>

<file path=xl/ctrlProps/ctrlProp276.xml><?xml version="1.0" encoding="utf-8"?>
<formControlPr xmlns="http://schemas.microsoft.com/office/spreadsheetml/2009/9/main" objectType="CheckBox" checked="Checked" fmlaLink="$AK54" lockText="1" noThreeD="1"/>
</file>

<file path=xl/ctrlProps/ctrlProp277.xml><?xml version="1.0" encoding="utf-8"?>
<formControlPr xmlns="http://schemas.microsoft.com/office/spreadsheetml/2009/9/main" objectType="CheckBox" checked="Checked" fmlaLink="$AK55" lockText="1" noThreeD="1"/>
</file>

<file path=xl/ctrlProps/ctrlProp278.xml><?xml version="1.0" encoding="utf-8"?>
<formControlPr xmlns="http://schemas.microsoft.com/office/spreadsheetml/2009/9/main" objectType="CheckBox" checked="Checked" fmlaLink="$AK56" lockText="1" noThreeD="1"/>
</file>

<file path=xl/ctrlProps/ctrlProp279.xml><?xml version="1.0" encoding="utf-8"?>
<formControlPr xmlns="http://schemas.microsoft.com/office/spreadsheetml/2009/9/main" objectType="CheckBox" checked="Checked" fmlaLink="$AK$57" lockText="1" noThreeD="1"/>
</file>

<file path=xl/ctrlProps/ctrlProp28.xml><?xml version="1.0" encoding="utf-8"?>
<formControlPr xmlns="http://schemas.microsoft.com/office/spreadsheetml/2009/9/main" objectType="CheckBox" checked="Checked" fmlaLink="$AJ44" lockText="1" noThreeD="1"/>
</file>

<file path=xl/ctrlProps/ctrlProp280.xml><?xml version="1.0" encoding="utf-8"?>
<formControlPr xmlns="http://schemas.microsoft.com/office/spreadsheetml/2009/9/main" objectType="CheckBox" checked="Checked" fmlaLink="$AK$60" lockText="1" noThreeD="1"/>
</file>

<file path=xl/ctrlProps/ctrlProp281.xml><?xml version="1.0" encoding="utf-8"?>
<formControlPr xmlns="http://schemas.microsoft.com/office/spreadsheetml/2009/9/main" objectType="CheckBox" checked="Checked" fmlaLink="$AK$61" lockText="1" noThreeD="1"/>
</file>

<file path=xl/ctrlProps/ctrlProp282.xml><?xml version="1.0" encoding="utf-8"?>
<formControlPr xmlns="http://schemas.microsoft.com/office/spreadsheetml/2009/9/main" objectType="CheckBox" checked="Checked" fmlaLink="$AK$62" lockText="1" noThreeD="1"/>
</file>

<file path=xl/ctrlProps/ctrlProp283.xml><?xml version="1.0" encoding="utf-8"?>
<formControlPr xmlns="http://schemas.microsoft.com/office/spreadsheetml/2009/9/main" objectType="CheckBox" checked="Checked" fmlaLink="$AK$63" lockText="1" noThreeD="1"/>
</file>

<file path=xl/ctrlProps/ctrlProp284.xml><?xml version="1.0" encoding="utf-8"?>
<formControlPr xmlns="http://schemas.microsoft.com/office/spreadsheetml/2009/9/main" objectType="CheckBox" checked="Checked" fmlaLink="$AK$64" lockText="1" noThreeD="1"/>
</file>

<file path=xl/ctrlProps/ctrlProp285.xml><?xml version="1.0" encoding="utf-8"?>
<formControlPr xmlns="http://schemas.microsoft.com/office/spreadsheetml/2009/9/main" objectType="CheckBox" checked="Checked" fmlaLink="$AK$58" lockText="1" noThreeD="1"/>
</file>

<file path=xl/ctrlProps/ctrlProp286.xml><?xml version="1.0" encoding="utf-8"?>
<formControlPr xmlns="http://schemas.microsoft.com/office/spreadsheetml/2009/9/main" objectType="CheckBox" checked="Checked" fmlaLink="$AK$59" lockText="1" noThreeD="1"/>
</file>

<file path=xl/ctrlProps/ctrlProp287.xml><?xml version="1.0" encoding="utf-8"?>
<formControlPr xmlns="http://schemas.microsoft.com/office/spreadsheetml/2009/9/main" objectType="CheckBox" checked="Checked" fmlaLink="$AK$65" lockText="1" noThreeD="1"/>
</file>

<file path=xl/ctrlProps/ctrlProp29.xml><?xml version="1.0" encoding="utf-8"?>
<formControlPr xmlns="http://schemas.microsoft.com/office/spreadsheetml/2009/9/main" objectType="CheckBox" checked="Checked" fmlaLink="$AJ45" lockText="1" noThreeD="1"/>
</file>

<file path=xl/ctrlProps/ctrlProp3.xml><?xml version="1.0" encoding="utf-8"?>
<formControlPr xmlns="http://schemas.microsoft.com/office/spreadsheetml/2009/9/main" objectType="CheckBox" checked="Checked" fmlaLink="$AJ43" lockText="1" noThreeD="1"/>
</file>

<file path=xl/ctrlProps/ctrlProp30.xml><?xml version="1.0" encoding="utf-8"?>
<formControlPr xmlns="http://schemas.microsoft.com/office/spreadsheetml/2009/9/main" objectType="CheckBox" checked="Checked" fmlaLink="$AJ46" lockText="1" noThreeD="1"/>
</file>

<file path=xl/ctrlProps/ctrlProp31.xml><?xml version="1.0" encoding="utf-8"?>
<formControlPr xmlns="http://schemas.microsoft.com/office/spreadsheetml/2009/9/main" objectType="CheckBox" checked="Checked" fmlaLink="$AJ47" lockText="1" noThreeD="1"/>
</file>

<file path=xl/ctrlProps/ctrlProp32.xml><?xml version="1.0" encoding="utf-8"?>
<formControlPr xmlns="http://schemas.microsoft.com/office/spreadsheetml/2009/9/main" objectType="CheckBox" checked="Checked" fmlaLink="$AJ48" lockText="1" noThreeD="1"/>
</file>

<file path=xl/ctrlProps/ctrlProp33.xml><?xml version="1.0" encoding="utf-8"?>
<formControlPr xmlns="http://schemas.microsoft.com/office/spreadsheetml/2009/9/main" objectType="CheckBox" checked="Checked" fmlaLink="$AJ49" lockText="1" noThreeD="1"/>
</file>

<file path=xl/ctrlProps/ctrlProp34.xml><?xml version="1.0" encoding="utf-8"?>
<formControlPr xmlns="http://schemas.microsoft.com/office/spreadsheetml/2009/9/main" objectType="CheckBox" checked="Checked" fmlaLink="$AJ50" lockText="1" noThreeD="1"/>
</file>

<file path=xl/ctrlProps/ctrlProp35.xml><?xml version="1.0" encoding="utf-8"?>
<formControlPr xmlns="http://schemas.microsoft.com/office/spreadsheetml/2009/9/main" objectType="CheckBox" checked="Checked" fmlaLink="$AJ51" lockText="1" noThreeD="1"/>
</file>

<file path=xl/ctrlProps/ctrlProp36.xml><?xml version="1.0" encoding="utf-8"?>
<formControlPr xmlns="http://schemas.microsoft.com/office/spreadsheetml/2009/9/main" objectType="CheckBox" checked="Checked" fmlaLink="$AJ52" lockText="1" noThreeD="1"/>
</file>

<file path=xl/ctrlProps/ctrlProp37.xml><?xml version="1.0" encoding="utf-8"?>
<formControlPr xmlns="http://schemas.microsoft.com/office/spreadsheetml/2009/9/main" objectType="CheckBox" checked="Checked" fmlaLink="$AJ53" lockText="1" noThreeD="1"/>
</file>

<file path=xl/ctrlProps/ctrlProp38.xml><?xml version="1.0" encoding="utf-8"?>
<formControlPr xmlns="http://schemas.microsoft.com/office/spreadsheetml/2009/9/main" objectType="CheckBox" checked="Checked" fmlaLink="$AJ54" lockText="1" noThreeD="1"/>
</file>

<file path=xl/ctrlProps/ctrlProp39.xml><?xml version="1.0" encoding="utf-8"?>
<formControlPr xmlns="http://schemas.microsoft.com/office/spreadsheetml/2009/9/main" objectType="CheckBox" checked="Checked" fmlaLink="$AJ55" lockText="1" noThreeD="1"/>
</file>

<file path=xl/ctrlProps/ctrlProp4.xml><?xml version="1.0" encoding="utf-8"?>
<formControlPr xmlns="http://schemas.microsoft.com/office/spreadsheetml/2009/9/main" objectType="CheckBox" checked="Checked" fmlaLink="$AJ44" lockText="1" noThreeD="1"/>
</file>

<file path=xl/ctrlProps/ctrlProp40.xml><?xml version="1.0" encoding="utf-8"?>
<formControlPr xmlns="http://schemas.microsoft.com/office/spreadsheetml/2009/9/main" objectType="CheckBox" checked="Checked" fmlaLink="$AJ$56" lockText="1" noThreeD="1"/>
</file>

<file path=xl/ctrlProps/ctrlProp41.xml><?xml version="1.0" encoding="utf-8"?>
<formControlPr xmlns="http://schemas.microsoft.com/office/spreadsheetml/2009/9/main" objectType="CheckBox" checked="Checked" fmlaLink="$AJ$59" lockText="1" noThreeD="1"/>
</file>

<file path=xl/ctrlProps/ctrlProp42.xml><?xml version="1.0" encoding="utf-8"?>
<formControlPr xmlns="http://schemas.microsoft.com/office/spreadsheetml/2009/9/main" objectType="CheckBox" checked="Checked" fmlaLink="$AJ$60" lockText="1" noThreeD="1"/>
</file>

<file path=xl/ctrlProps/ctrlProp43.xml><?xml version="1.0" encoding="utf-8"?>
<formControlPr xmlns="http://schemas.microsoft.com/office/spreadsheetml/2009/9/main" objectType="CheckBox" checked="Checked" fmlaLink="$AJ$61" lockText="1" noThreeD="1"/>
</file>

<file path=xl/ctrlProps/ctrlProp44.xml><?xml version="1.0" encoding="utf-8"?>
<formControlPr xmlns="http://schemas.microsoft.com/office/spreadsheetml/2009/9/main" objectType="CheckBox" checked="Checked" fmlaLink="$AJ$62" lockText="1" noThreeD="1"/>
</file>

<file path=xl/ctrlProps/ctrlProp45.xml><?xml version="1.0" encoding="utf-8"?>
<formControlPr xmlns="http://schemas.microsoft.com/office/spreadsheetml/2009/9/main" objectType="CheckBox" checked="Checked" fmlaLink="$AJ$63" lockText="1" noThreeD="1"/>
</file>

<file path=xl/ctrlProps/ctrlProp46.xml><?xml version="1.0" encoding="utf-8"?>
<formControlPr xmlns="http://schemas.microsoft.com/office/spreadsheetml/2009/9/main" objectType="CheckBox" checked="Checked" fmlaLink="$AJ$57" lockText="1" noThreeD="1"/>
</file>

<file path=xl/ctrlProps/ctrlProp47.xml><?xml version="1.0" encoding="utf-8"?>
<formControlPr xmlns="http://schemas.microsoft.com/office/spreadsheetml/2009/9/main" objectType="CheckBox" checked="Checked" fmlaLink="$AJ$58" lockText="1" noThreeD="1"/>
</file>

<file path=xl/ctrlProps/ctrlProp48.xml><?xml version="1.0" encoding="utf-8"?>
<formControlPr xmlns="http://schemas.microsoft.com/office/spreadsheetml/2009/9/main" objectType="CheckBox" checked="Checked" fmlaLink="$AJ$64" lockText="1" noThreeD="1"/>
</file>

<file path=xl/ctrlProps/ctrlProp49.xml><?xml version="1.0" encoding="utf-8"?>
<formControlPr xmlns="http://schemas.microsoft.com/office/spreadsheetml/2009/9/main" objectType="CheckBox" checked="Checked" fmlaLink="$AJ41" lockText="1" noThreeD="1"/>
</file>

<file path=xl/ctrlProps/ctrlProp5.xml><?xml version="1.0" encoding="utf-8"?>
<formControlPr xmlns="http://schemas.microsoft.com/office/spreadsheetml/2009/9/main" objectType="CheckBox" checked="Checked" fmlaLink="$AJ45" lockText="1" noThreeD="1"/>
</file>

<file path=xl/ctrlProps/ctrlProp50.xml><?xml version="1.0" encoding="utf-8"?>
<formControlPr xmlns="http://schemas.microsoft.com/office/spreadsheetml/2009/9/main" objectType="CheckBox" checked="Checked" fmlaLink="$AJ42" lockText="1" noThreeD="1"/>
</file>

<file path=xl/ctrlProps/ctrlProp51.xml><?xml version="1.0" encoding="utf-8"?>
<formControlPr xmlns="http://schemas.microsoft.com/office/spreadsheetml/2009/9/main" objectType="CheckBox" checked="Checked" fmlaLink="$AJ43" lockText="1" noThreeD="1"/>
</file>

<file path=xl/ctrlProps/ctrlProp52.xml><?xml version="1.0" encoding="utf-8"?>
<formControlPr xmlns="http://schemas.microsoft.com/office/spreadsheetml/2009/9/main" objectType="CheckBox" checked="Checked" fmlaLink="$AJ44" lockText="1" noThreeD="1"/>
</file>

<file path=xl/ctrlProps/ctrlProp53.xml><?xml version="1.0" encoding="utf-8"?>
<formControlPr xmlns="http://schemas.microsoft.com/office/spreadsheetml/2009/9/main" objectType="CheckBox" checked="Checked" fmlaLink="$AJ45" lockText="1" noThreeD="1"/>
</file>

<file path=xl/ctrlProps/ctrlProp54.xml><?xml version="1.0" encoding="utf-8"?>
<formControlPr xmlns="http://schemas.microsoft.com/office/spreadsheetml/2009/9/main" objectType="CheckBox" checked="Checked" fmlaLink="$AJ46" lockText="1" noThreeD="1"/>
</file>

<file path=xl/ctrlProps/ctrlProp55.xml><?xml version="1.0" encoding="utf-8"?>
<formControlPr xmlns="http://schemas.microsoft.com/office/spreadsheetml/2009/9/main" objectType="CheckBox" checked="Checked" fmlaLink="$AJ47" lockText="1" noThreeD="1"/>
</file>

<file path=xl/ctrlProps/ctrlProp56.xml><?xml version="1.0" encoding="utf-8"?>
<formControlPr xmlns="http://schemas.microsoft.com/office/spreadsheetml/2009/9/main" objectType="CheckBox" checked="Checked" fmlaLink="$AJ48" lockText="1" noThreeD="1"/>
</file>

<file path=xl/ctrlProps/ctrlProp57.xml><?xml version="1.0" encoding="utf-8"?>
<formControlPr xmlns="http://schemas.microsoft.com/office/spreadsheetml/2009/9/main" objectType="CheckBox" checked="Checked" fmlaLink="$AJ49" lockText="1" noThreeD="1"/>
</file>

<file path=xl/ctrlProps/ctrlProp58.xml><?xml version="1.0" encoding="utf-8"?>
<formControlPr xmlns="http://schemas.microsoft.com/office/spreadsheetml/2009/9/main" objectType="CheckBox" checked="Checked" fmlaLink="$AJ50" lockText="1" noThreeD="1"/>
</file>

<file path=xl/ctrlProps/ctrlProp59.xml><?xml version="1.0" encoding="utf-8"?>
<formControlPr xmlns="http://schemas.microsoft.com/office/spreadsheetml/2009/9/main" objectType="CheckBox" checked="Checked" fmlaLink="$AJ51" lockText="1" noThreeD="1"/>
</file>

<file path=xl/ctrlProps/ctrlProp6.xml><?xml version="1.0" encoding="utf-8"?>
<formControlPr xmlns="http://schemas.microsoft.com/office/spreadsheetml/2009/9/main" objectType="CheckBox" checked="Checked" fmlaLink="$AJ46" lockText="1" noThreeD="1"/>
</file>

<file path=xl/ctrlProps/ctrlProp60.xml><?xml version="1.0" encoding="utf-8"?>
<formControlPr xmlns="http://schemas.microsoft.com/office/spreadsheetml/2009/9/main" objectType="CheckBox" checked="Checked" fmlaLink="$AJ52" lockText="1" noThreeD="1"/>
</file>

<file path=xl/ctrlProps/ctrlProp61.xml><?xml version="1.0" encoding="utf-8"?>
<formControlPr xmlns="http://schemas.microsoft.com/office/spreadsheetml/2009/9/main" objectType="CheckBox" checked="Checked" fmlaLink="$AJ53" lockText="1" noThreeD="1"/>
</file>

<file path=xl/ctrlProps/ctrlProp62.xml><?xml version="1.0" encoding="utf-8"?>
<formControlPr xmlns="http://schemas.microsoft.com/office/spreadsheetml/2009/9/main" objectType="CheckBox" checked="Checked" fmlaLink="$AJ54" lockText="1" noThreeD="1"/>
</file>

<file path=xl/ctrlProps/ctrlProp63.xml><?xml version="1.0" encoding="utf-8"?>
<formControlPr xmlns="http://schemas.microsoft.com/office/spreadsheetml/2009/9/main" objectType="CheckBox" checked="Checked" fmlaLink="$AJ55" lockText="1" noThreeD="1"/>
</file>

<file path=xl/ctrlProps/ctrlProp64.xml><?xml version="1.0" encoding="utf-8"?>
<formControlPr xmlns="http://schemas.microsoft.com/office/spreadsheetml/2009/9/main" objectType="CheckBox" checked="Checked" fmlaLink="$AJ$56" lockText="1" noThreeD="1"/>
</file>

<file path=xl/ctrlProps/ctrlProp65.xml><?xml version="1.0" encoding="utf-8"?>
<formControlPr xmlns="http://schemas.microsoft.com/office/spreadsheetml/2009/9/main" objectType="CheckBox" checked="Checked" fmlaLink="$AJ$59" lockText="1" noThreeD="1"/>
</file>

<file path=xl/ctrlProps/ctrlProp66.xml><?xml version="1.0" encoding="utf-8"?>
<formControlPr xmlns="http://schemas.microsoft.com/office/spreadsheetml/2009/9/main" objectType="CheckBox" checked="Checked" fmlaLink="$AJ$60" lockText="1" noThreeD="1"/>
</file>

<file path=xl/ctrlProps/ctrlProp67.xml><?xml version="1.0" encoding="utf-8"?>
<formControlPr xmlns="http://schemas.microsoft.com/office/spreadsheetml/2009/9/main" objectType="CheckBox" checked="Checked" fmlaLink="$AJ$61" lockText="1" noThreeD="1"/>
</file>

<file path=xl/ctrlProps/ctrlProp68.xml><?xml version="1.0" encoding="utf-8"?>
<formControlPr xmlns="http://schemas.microsoft.com/office/spreadsheetml/2009/9/main" objectType="CheckBox" checked="Checked" fmlaLink="$AJ$62" lockText="1" noThreeD="1"/>
</file>

<file path=xl/ctrlProps/ctrlProp69.xml><?xml version="1.0" encoding="utf-8"?>
<formControlPr xmlns="http://schemas.microsoft.com/office/spreadsheetml/2009/9/main" objectType="CheckBox" checked="Checked" fmlaLink="$AJ$63" lockText="1" noThreeD="1"/>
</file>

<file path=xl/ctrlProps/ctrlProp7.xml><?xml version="1.0" encoding="utf-8"?>
<formControlPr xmlns="http://schemas.microsoft.com/office/spreadsheetml/2009/9/main" objectType="CheckBox" checked="Checked" fmlaLink="$AJ47" lockText="1" noThreeD="1"/>
</file>

<file path=xl/ctrlProps/ctrlProp70.xml><?xml version="1.0" encoding="utf-8"?>
<formControlPr xmlns="http://schemas.microsoft.com/office/spreadsheetml/2009/9/main" objectType="CheckBox" checked="Checked" fmlaLink="$AJ$57" lockText="1" noThreeD="1"/>
</file>

<file path=xl/ctrlProps/ctrlProp71.xml><?xml version="1.0" encoding="utf-8"?>
<formControlPr xmlns="http://schemas.microsoft.com/office/spreadsheetml/2009/9/main" objectType="CheckBox" checked="Checked" fmlaLink="$AJ$58" lockText="1" noThreeD="1"/>
</file>

<file path=xl/ctrlProps/ctrlProp72.xml><?xml version="1.0" encoding="utf-8"?>
<formControlPr xmlns="http://schemas.microsoft.com/office/spreadsheetml/2009/9/main" objectType="CheckBox" checked="Checked" fmlaLink="$AJ$64" lockText="1" noThreeD="1"/>
</file>

<file path=xl/ctrlProps/ctrlProp73.xml><?xml version="1.0" encoding="utf-8"?>
<formControlPr xmlns="http://schemas.microsoft.com/office/spreadsheetml/2009/9/main" objectType="CheckBox" checked="Checked" fmlaLink="$AJ41" lockText="1" noThreeD="1"/>
</file>

<file path=xl/ctrlProps/ctrlProp74.xml><?xml version="1.0" encoding="utf-8"?>
<formControlPr xmlns="http://schemas.microsoft.com/office/spreadsheetml/2009/9/main" objectType="CheckBox" checked="Checked" fmlaLink="$AJ42" lockText="1" noThreeD="1"/>
</file>

<file path=xl/ctrlProps/ctrlProp75.xml><?xml version="1.0" encoding="utf-8"?>
<formControlPr xmlns="http://schemas.microsoft.com/office/spreadsheetml/2009/9/main" objectType="CheckBox" checked="Checked" fmlaLink="$AJ43" lockText="1" noThreeD="1"/>
</file>

<file path=xl/ctrlProps/ctrlProp76.xml><?xml version="1.0" encoding="utf-8"?>
<formControlPr xmlns="http://schemas.microsoft.com/office/spreadsheetml/2009/9/main" objectType="CheckBox" checked="Checked" fmlaLink="$AJ44" lockText="1" noThreeD="1"/>
</file>

<file path=xl/ctrlProps/ctrlProp77.xml><?xml version="1.0" encoding="utf-8"?>
<formControlPr xmlns="http://schemas.microsoft.com/office/spreadsheetml/2009/9/main" objectType="CheckBox" checked="Checked" fmlaLink="$AJ45" lockText="1" noThreeD="1"/>
</file>

<file path=xl/ctrlProps/ctrlProp78.xml><?xml version="1.0" encoding="utf-8"?>
<formControlPr xmlns="http://schemas.microsoft.com/office/spreadsheetml/2009/9/main" objectType="CheckBox" checked="Checked" fmlaLink="$AJ46" lockText="1" noThreeD="1"/>
</file>

<file path=xl/ctrlProps/ctrlProp79.xml><?xml version="1.0" encoding="utf-8"?>
<formControlPr xmlns="http://schemas.microsoft.com/office/spreadsheetml/2009/9/main" objectType="CheckBox" checked="Checked" fmlaLink="$AJ47" lockText="1" noThreeD="1"/>
</file>

<file path=xl/ctrlProps/ctrlProp8.xml><?xml version="1.0" encoding="utf-8"?>
<formControlPr xmlns="http://schemas.microsoft.com/office/spreadsheetml/2009/9/main" objectType="CheckBox" checked="Checked" fmlaLink="$AJ48" lockText="1" noThreeD="1"/>
</file>

<file path=xl/ctrlProps/ctrlProp80.xml><?xml version="1.0" encoding="utf-8"?>
<formControlPr xmlns="http://schemas.microsoft.com/office/spreadsheetml/2009/9/main" objectType="CheckBox" checked="Checked" fmlaLink="$AJ48" lockText="1" noThreeD="1"/>
</file>

<file path=xl/ctrlProps/ctrlProp81.xml><?xml version="1.0" encoding="utf-8"?>
<formControlPr xmlns="http://schemas.microsoft.com/office/spreadsheetml/2009/9/main" objectType="CheckBox" checked="Checked" fmlaLink="$AJ49" lockText="1" noThreeD="1"/>
</file>

<file path=xl/ctrlProps/ctrlProp82.xml><?xml version="1.0" encoding="utf-8"?>
<formControlPr xmlns="http://schemas.microsoft.com/office/spreadsheetml/2009/9/main" objectType="CheckBox" checked="Checked" fmlaLink="$AJ50" lockText="1" noThreeD="1"/>
</file>

<file path=xl/ctrlProps/ctrlProp83.xml><?xml version="1.0" encoding="utf-8"?>
<formControlPr xmlns="http://schemas.microsoft.com/office/spreadsheetml/2009/9/main" objectType="CheckBox" checked="Checked" fmlaLink="$AJ51" lockText="1" noThreeD="1"/>
</file>

<file path=xl/ctrlProps/ctrlProp84.xml><?xml version="1.0" encoding="utf-8"?>
<formControlPr xmlns="http://schemas.microsoft.com/office/spreadsheetml/2009/9/main" objectType="CheckBox" checked="Checked" fmlaLink="$AJ52" lockText="1" noThreeD="1"/>
</file>

<file path=xl/ctrlProps/ctrlProp85.xml><?xml version="1.0" encoding="utf-8"?>
<formControlPr xmlns="http://schemas.microsoft.com/office/spreadsheetml/2009/9/main" objectType="CheckBox" checked="Checked" fmlaLink="$AJ53" lockText="1" noThreeD="1"/>
</file>

<file path=xl/ctrlProps/ctrlProp86.xml><?xml version="1.0" encoding="utf-8"?>
<formControlPr xmlns="http://schemas.microsoft.com/office/spreadsheetml/2009/9/main" objectType="CheckBox" checked="Checked" fmlaLink="$AJ54" lockText="1" noThreeD="1"/>
</file>

<file path=xl/ctrlProps/ctrlProp87.xml><?xml version="1.0" encoding="utf-8"?>
<formControlPr xmlns="http://schemas.microsoft.com/office/spreadsheetml/2009/9/main" objectType="CheckBox" checked="Checked" fmlaLink="$AJ55" lockText="1" noThreeD="1"/>
</file>

<file path=xl/ctrlProps/ctrlProp88.xml><?xml version="1.0" encoding="utf-8"?>
<formControlPr xmlns="http://schemas.microsoft.com/office/spreadsheetml/2009/9/main" objectType="CheckBox" checked="Checked" fmlaLink="$AJ$56" lockText="1" noThreeD="1"/>
</file>

<file path=xl/ctrlProps/ctrlProp89.xml><?xml version="1.0" encoding="utf-8"?>
<formControlPr xmlns="http://schemas.microsoft.com/office/spreadsheetml/2009/9/main" objectType="CheckBox" checked="Checked" fmlaLink="$AJ$59" lockText="1" noThreeD="1"/>
</file>

<file path=xl/ctrlProps/ctrlProp9.xml><?xml version="1.0" encoding="utf-8"?>
<formControlPr xmlns="http://schemas.microsoft.com/office/spreadsheetml/2009/9/main" objectType="CheckBox" checked="Checked" fmlaLink="$AJ49" lockText="1" noThreeD="1"/>
</file>

<file path=xl/ctrlProps/ctrlProp90.xml><?xml version="1.0" encoding="utf-8"?>
<formControlPr xmlns="http://schemas.microsoft.com/office/spreadsheetml/2009/9/main" objectType="CheckBox" checked="Checked" fmlaLink="$AJ$60" lockText="1" noThreeD="1"/>
</file>

<file path=xl/ctrlProps/ctrlProp91.xml><?xml version="1.0" encoding="utf-8"?>
<formControlPr xmlns="http://schemas.microsoft.com/office/spreadsheetml/2009/9/main" objectType="CheckBox" checked="Checked" fmlaLink="$AJ$61" lockText="1" noThreeD="1"/>
</file>

<file path=xl/ctrlProps/ctrlProp92.xml><?xml version="1.0" encoding="utf-8"?>
<formControlPr xmlns="http://schemas.microsoft.com/office/spreadsheetml/2009/9/main" objectType="CheckBox" checked="Checked" fmlaLink="$AJ$62" lockText="1" noThreeD="1"/>
</file>

<file path=xl/ctrlProps/ctrlProp93.xml><?xml version="1.0" encoding="utf-8"?>
<formControlPr xmlns="http://schemas.microsoft.com/office/spreadsheetml/2009/9/main" objectType="CheckBox" checked="Checked" fmlaLink="$AJ$63" lockText="1" noThreeD="1"/>
</file>

<file path=xl/ctrlProps/ctrlProp94.xml><?xml version="1.0" encoding="utf-8"?>
<formControlPr xmlns="http://schemas.microsoft.com/office/spreadsheetml/2009/9/main" objectType="CheckBox" checked="Checked" fmlaLink="$AJ$57" lockText="1" noThreeD="1"/>
</file>

<file path=xl/ctrlProps/ctrlProp95.xml><?xml version="1.0" encoding="utf-8"?>
<formControlPr xmlns="http://schemas.microsoft.com/office/spreadsheetml/2009/9/main" objectType="CheckBox" checked="Checked" fmlaLink="$AJ$58" lockText="1" noThreeD="1"/>
</file>

<file path=xl/ctrlProps/ctrlProp96.xml><?xml version="1.0" encoding="utf-8"?>
<formControlPr xmlns="http://schemas.microsoft.com/office/spreadsheetml/2009/9/main" objectType="CheckBox" checked="Checked" fmlaLink="$AJ$64" lockText="1" noThreeD="1"/>
</file>

<file path=xl/ctrlProps/ctrlProp97.xml><?xml version="1.0" encoding="utf-8"?>
<formControlPr xmlns="http://schemas.microsoft.com/office/spreadsheetml/2009/9/main" objectType="CheckBox" checked="Checked" fmlaLink="$AJ41" lockText="1" noThreeD="1"/>
</file>

<file path=xl/ctrlProps/ctrlProp98.xml><?xml version="1.0" encoding="utf-8"?>
<formControlPr xmlns="http://schemas.microsoft.com/office/spreadsheetml/2009/9/main" objectType="CheckBox" checked="Checked" fmlaLink="$AJ42" lockText="1" noThreeD="1"/>
</file>

<file path=xl/ctrlProps/ctrlProp99.xml><?xml version="1.0" encoding="utf-8"?>
<formControlPr xmlns="http://schemas.microsoft.com/office/spreadsheetml/2009/9/main" objectType="CheckBox" checked="Checked" fmlaLink="$AJ43"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chart" Target="../charts/chart34.xml"/><Relationship Id="rId3" Type="http://schemas.openxmlformats.org/officeDocument/2006/relationships/chart" Target="../charts/chart29.xml"/><Relationship Id="rId7" Type="http://schemas.openxmlformats.org/officeDocument/2006/relationships/chart" Target="../charts/chart33.xml"/><Relationship Id="rId2" Type="http://schemas.openxmlformats.org/officeDocument/2006/relationships/chart" Target="../charts/chart28.xml"/><Relationship Id="rId1" Type="http://schemas.openxmlformats.org/officeDocument/2006/relationships/image" Target="../media/image6.png"/><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 Id="rId9" Type="http://schemas.openxmlformats.org/officeDocument/2006/relationships/chart" Target="../charts/chart35.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chart" Target="../charts/chart37.xml"/><Relationship Id="rId1" Type="http://schemas.openxmlformats.org/officeDocument/2006/relationships/chart" Target="../charts/chart36.xml"/><Relationship Id="rId6" Type="http://schemas.openxmlformats.org/officeDocument/2006/relationships/chart" Target="../charts/chart40.xml"/><Relationship Id="rId5" Type="http://schemas.openxmlformats.org/officeDocument/2006/relationships/image" Target="../media/image6.png"/><Relationship Id="rId4" Type="http://schemas.openxmlformats.org/officeDocument/2006/relationships/chart" Target="../charts/chart39.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chart" Target="../charts/chart41.xml"/><Relationship Id="rId6" Type="http://schemas.openxmlformats.org/officeDocument/2006/relationships/chart" Target="../charts/chart45.xml"/><Relationship Id="rId5" Type="http://schemas.openxmlformats.org/officeDocument/2006/relationships/image" Target="../media/image6.png"/><Relationship Id="rId4" Type="http://schemas.openxmlformats.org/officeDocument/2006/relationships/chart" Target="../charts/chart44.xml"/></Relationships>
</file>

<file path=xl/drawings/_rels/drawing13.xml.rels><?xml version="1.0" encoding="UTF-8" standalone="yes"?>
<Relationships xmlns="http://schemas.openxmlformats.org/package/2006/relationships"><Relationship Id="rId8" Type="http://schemas.openxmlformats.org/officeDocument/2006/relationships/chart" Target="../charts/chart53.xml"/><Relationship Id="rId3" Type="http://schemas.openxmlformats.org/officeDocument/2006/relationships/chart" Target="../charts/chart48.xml"/><Relationship Id="rId7" Type="http://schemas.openxmlformats.org/officeDocument/2006/relationships/chart" Target="../charts/chart52.xml"/><Relationship Id="rId2" Type="http://schemas.openxmlformats.org/officeDocument/2006/relationships/chart" Target="../charts/chart47.xml"/><Relationship Id="rId1" Type="http://schemas.openxmlformats.org/officeDocument/2006/relationships/chart" Target="../charts/chart46.xml"/><Relationship Id="rId6" Type="http://schemas.openxmlformats.org/officeDocument/2006/relationships/chart" Target="../charts/chart51.xml"/><Relationship Id="rId5" Type="http://schemas.openxmlformats.org/officeDocument/2006/relationships/chart" Target="../charts/chart50.xml"/><Relationship Id="rId10" Type="http://schemas.openxmlformats.org/officeDocument/2006/relationships/chart" Target="../charts/chart54.xml"/><Relationship Id="rId4" Type="http://schemas.openxmlformats.org/officeDocument/2006/relationships/chart" Target="../charts/chart49.xml"/><Relationship Id="rId9" Type="http://schemas.openxmlformats.org/officeDocument/2006/relationships/image" Target="../media/image6.png"/></Relationships>
</file>

<file path=xl/drawings/_rels/drawing14.xml.rels><?xml version="1.0" encoding="UTF-8" standalone="yes"?>
<Relationships xmlns="http://schemas.openxmlformats.org/package/2006/relationships"><Relationship Id="rId8" Type="http://schemas.openxmlformats.org/officeDocument/2006/relationships/chart" Target="../charts/chart62.xml"/><Relationship Id="rId13" Type="http://schemas.openxmlformats.org/officeDocument/2006/relationships/chart" Target="../charts/chart66.xml"/><Relationship Id="rId3" Type="http://schemas.openxmlformats.org/officeDocument/2006/relationships/chart" Target="../charts/chart57.xml"/><Relationship Id="rId7" Type="http://schemas.openxmlformats.org/officeDocument/2006/relationships/chart" Target="../charts/chart61.xml"/><Relationship Id="rId12" Type="http://schemas.openxmlformats.org/officeDocument/2006/relationships/chart" Target="../charts/chart65.xml"/><Relationship Id="rId2" Type="http://schemas.openxmlformats.org/officeDocument/2006/relationships/chart" Target="../charts/chart56.xml"/><Relationship Id="rId16" Type="http://schemas.openxmlformats.org/officeDocument/2006/relationships/chart" Target="../charts/chart69.xml"/><Relationship Id="rId1" Type="http://schemas.openxmlformats.org/officeDocument/2006/relationships/chart" Target="../charts/chart55.xml"/><Relationship Id="rId6" Type="http://schemas.openxmlformats.org/officeDocument/2006/relationships/chart" Target="../charts/chart60.xml"/><Relationship Id="rId11" Type="http://schemas.openxmlformats.org/officeDocument/2006/relationships/image" Target="../media/image6.png"/><Relationship Id="rId5" Type="http://schemas.openxmlformats.org/officeDocument/2006/relationships/chart" Target="../charts/chart59.xml"/><Relationship Id="rId15" Type="http://schemas.openxmlformats.org/officeDocument/2006/relationships/chart" Target="../charts/chart68.xml"/><Relationship Id="rId10" Type="http://schemas.openxmlformats.org/officeDocument/2006/relationships/chart" Target="../charts/chart64.xml"/><Relationship Id="rId4" Type="http://schemas.openxmlformats.org/officeDocument/2006/relationships/chart" Target="../charts/chart58.xml"/><Relationship Id="rId9" Type="http://schemas.openxmlformats.org/officeDocument/2006/relationships/chart" Target="../charts/chart63.xml"/><Relationship Id="rId14" Type="http://schemas.openxmlformats.org/officeDocument/2006/relationships/chart" Target="../charts/chart67.xml"/></Relationships>
</file>

<file path=xl/drawings/_rels/drawing15.xml.rels><?xml version="1.0" encoding="UTF-8" standalone="yes"?>
<Relationships xmlns="http://schemas.openxmlformats.org/package/2006/relationships"><Relationship Id="rId8" Type="http://schemas.openxmlformats.org/officeDocument/2006/relationships/chart" Target="../charts/chart76.xml"/><Relationship Id="rId3" Type="http://schemas.openxmlformats.org/officeDocument/2006/relationships/chart" Target="../charts/chart72.xml"/><Relationship Id="rId7" Type="http://schemas.openxmlformats.org/officeDocument/2006/relationships/chart" Target="../charts/chart75.xml"/><Relationship Id="rId2" Type="http://schemas.openxmlformats.org/officeDocument/2006/relationships/chart" Target="../charts/chart71.xml"/><Relationship Id="rId1" Type="http://schemas.openxmlformats.org/officeDocument/2006/relationships/chart" Target="../charts/chart70.xml"/><Relationship Id="rId6" Type="http://schemas.openxmlformats.org/officeDocument/2006/relationships/chart" Target="../charts/chart74.xml"/><Relationship Id="rId11" Type="http://schemas.openxmlformats.org/officeDocument/2006/relationships/chart" Target="../charts/chart79.xml"/><Relationship Id="rId5" Type="http://schemas.openxmlformats.org/officeDocument/2006/relationships/image" Target="../media/image6.png"/><Relationship Id="rId10" Type="http://schemas.openxmlformats.org/officeDocument/2006/relationships/chart" Target="../charts/chart78.xml"/><Relationship Id="rId4" Type="http://schemas.openxmlformats.org/officeDocument/2006/relationships/chart" Target="../charts/chart73.xml"/><Relationship Id="rId9" Type="http://schemas.openxmlformats.org/officeDocument/2006/relationships/chart" Target="../charts/chart77.xml"/></Relationships>
</file>

<file path=xl/drawings/_rels/drawing16.xml.rels><?xml version="1.0" encoding="UTF-8" standalone="yes"?>
<Relationships xmlns="http://schemas.openxmlformats.org/package/2006/relationships"><Relationship Id="rId8" Type="http://schemas.openxmlformats.org/officeDocument/2006/relationships/chart" Target="../charts/chart87.xml"/><Relationship Id="rId13" Type="http://schemas.openxmlformats.org/officeDocument/2006/relationships/chart" Target="../charts/chart92.xml"/><Relationship Id="rId18" Type="http://schemas.openxmlformats.org/officeDocument/2006/relationships/chart" Target="../charts/chart97.xml"/><Relationship Id="rId3" Type="http://schemas.openxmlformats.org/officeDocument/2006/relationships/chart" Target="../charts/chart82.xml"/><Relationship Id="rId21" Type="http://schemas.openxmlformats.org/officeDocument/2006/relationships/image" Target="../media/image6.png"/><Relationship Id="rId7" Type="http://schemas.openxmlformats.org/officeDocument/2006/relationships/chart" Target="../charts/chart86.xml"/><Relationship Id="rId12" Type="http://schemas.openxmlformats.org/officeDocument/2006/relationships/chart" Target="../charts/chart91.xml"/><Relationship Id="rId17" Type="http://schemas.openxmlformats.org/officeDocument/2006/relationships/chart" Target="../charts/chart96.xml"/><Relationship Id="rId2" Type="http://schemas.openxmlformats.org/officeDocument/2006/relationships/chart" Target="../charts/chart81.xml"/><Relationship Id="rId16" Type="http://schemas.openxmlformats.org/officeDocument/2006/relationships/chart" Target="../charts/chart95.xml"/><Relationship Id="rId20" Type="http://schemas.openxmlformats.org/officeDocument/2006/relationships/chart" Target="../charts/chart99.xml"/><Relationship Id="rId1" Type="http://schemas.openxmlformats.org/officeDocument/2006/relationships/chart" Target="../charts/chart80.xml"/><Relationship Id="rId6" Type="http://schemas.openxmlformats.org/officeDocument/2006/relationships/chart" Target="../charts/chart85.xml"/><Relationship Id="rId11" Type="http://schemas.openxmlformats.org/officeDocument/2006/relationships/chart" Target="../charts/chart90.xml"/><Relationship Id="rId5" Type="http://schemas.openxmlformats.org/officeDocument/2006/relationships/chart" Target="../charts/chart84.xml"/><Relationship Id="rId15" Type="http://schemas.openxmlformats.org/officeDocument/2006/relationships/chart" Target="../charts/chart94.xml"/><Relationship Id="rId10" Type="http://schemas.openxmlformats.org/officeDocument/2006/relationships/chart" Target="../charts/chart89.xml"/><Relationship Id="rId19" Type="http://schemas.openxmlformats.org/officeDocument/2006/relationships/chart" Target="../charts/chart98.xml"/><Relationship Id="rId4" Type="http://schemas.openxmlformats.org/officeDocument/2006/relationships/chart" Target="../charts/chart83.xml"/><Relationship Id="rId9" Type="http://schemas.openxmlformats.org/officeDocument/2006/relationships/chart" Target="../charts/chart88.xml"/><Relationship Id="rId14" Type="http://schemas.openxmlformats.org/officeDocument/2006/relationships/chart" Target="../charts/chart93.xml"/><Relationship Id="rId22" Type="http://schemas.openxmlformats.org/officeDocument/2006/relationships/chart" Target="../charts/chart100.xml"/></Relationships>
</file>

<file path=xl/drawings/_rels/drawing17.xml.rels><?xml version="1.0" encoding="UTF-8" standalone="yes"?>
<Relationships xmlns="http://schemas.openxmlformats.org/package/2006/relationships"><Relationship Id="rId8" Type="http://schemas.openxmlformats.org/officeDocument/2006/relationships/chart" Target="../charts/chart107.xml"/><Relationship Id="rId13" Type="http://schemas.openxmlformats.org/officeDocument/2006/relationships/chart" Target="../charts/chart112.xml"/><Relationship Id="rId18" Type="http://schemas.openxmlformats.org/officeDocument/2006/relationships/chart" Target="../charts/chart117.xml"/><Relationship Id="rId3" Type="http://schemas.openxmlformats.org/officeDocument/2006/relationships/chart" Target="../charts/chart103.xml"/><Relationship Id="rId7" Type="http://schemas.openxmlformats.org/officeDocument/2006/relationships/chart" Target="../charts/chart106.xml"/><Relationship Id="rId12" Type="http://schemas.openxmlformats.org/officeDocument/2006/relationships/chart" Target="../charts/chart111.xml"/><Relationship Id="rId17" Type="http://schemas.openxmlformats.org/officeDocument/2006/relationships/chart" Target="../charts/chart116.xml"/><Relationship Id="rId2" Type="http://schemas.openxmlformats.org/officeDocument/2006/relationships/chart" Target="../charts/chart102.xml"/><Relationship Id="rId16" Type="http://schemas.openxmlformats.org/officeDocument/2006/relationships/chart" Target="../charts/chart115.xml"/><Relationship Id="rId1" Type="http://schemas.openxmlformats.org/officeDocument/2006/relationships/chart" Target="../charts/chart101.xml"/><Relationship Id="rId6" Type="http://schemas.openxmlformats.org/officeDocument/2006/relationships/chart" Target="../charts/chart105.xml"/><Relationship Id="rId11" Type="http://schemas.openxmlformats.org/officeDocument/2006/relationships/chart" Target="../charts/chart110.xml"/><Relationship Id="rId5" Type="http://schemas.openxmlformats.org/officeDocument/2006/relationships/image" Target="../media/image6.png"/><Relationship Id="rId15" Type="http://schemas.openxmlformats.org/officeDocument/2006/relationships/chart" Target="../charts/chart114.xml"/><Relationship Id="rId10" Type="http://schemas.openxmlformats.org/officeDocument/2006/relationships/chart" Target="../charts/chart109.xml"/><Relationship Id="rId4" Type="http://schemas.openxmlformats.org/officeDocument/2006/relationships/chart" Target="../charts/chart104.xml"/><Relationship Id="rId9" Type="http://schemas.openxmlformats.org/officeDocument/2006/relationships/chart" Target="../charts/chart108.xml"/><Relationship Id="rId14" Type="http://schemas.openxmlformats.org/officeDocument/2006/relationships/chart" Target="../charts/chart113.xml"/></Relationships>
</file>

<file path=xl/drawings/_rels/drawing18.xml.rels><?xml version="1.0" encoding="UTF-8" standalone="yes"?>
<Relationships xmlns="http://schemas.openxmlformats.org/package/2006/relationships"><Relationship Id="rId8" Type="http://schemas.openxmlformats.org/officeDocument/2006/relationships/chart" Target="../charts/chart125.xml"/><Relationship Id="rId3" Type="http://schemas.openxmlformats.org/officeDocument/2006/relationships/chart" Target="../charts/chart120.xml"/><Relationship Id="rId7" Type="http://schemas.openxmlformats.org/officeDocument/2006/relationships/chart" Target="../charts/chart124.xml"/><Relationship Id="rId2" Type="http://schemas.openxmlformats.org/officeDocument/2006/relationships/chart" Target="../charts/chart119.xml"/><Relationship Id="rId1" Type="http://schemas.openxmlformats.org/officeDocument/2006/relationships/chart" Target="../charts/chart118.xml"/><Relationship Id="rId6" Type="http://schemas.openxmlformats.org/officeDocument/2006/relationships/chart" Target="../charts/chart123.xml"/><Relationship Id="rId5" Type="http://schemas.openxmlformats.org/officeDocument/2006/relationships/chart" Target="../charts/chart122.xml"/><Relationship Id="rId10" Type="http://schemas.openxmlformats.org/officeDocument/2006/relationships/chart" Target="../charts/chart126.xml"/><Relationship Id="rId4" Type="http://schemas.openxmlformats.org/officeDocument/2006/relationships/chart" Target="../charts/chart121.xml"/><Relationship Id="rId9" Type="http://schemas.openxmlformats.org/officeDocument/2006/relationships/image" Target="../media/image6.png"/></Relationships>
</file>

<file path=xl/drawings/_rels/drawing19.xml.rels><?xml version="1.0" encoding="UTF-8" standalone="yes"?>
<Relationships xmlns="http://schemas.openxmlformats.org/package/2006/relationships"><Relationship Id="rId3" Type="http://schemas.openxmlformats.org/officeDocument/2006/relationships/chart" Target="../charts/chart129.xml"/><Relationship Id="rId2" Type="http://schemas.openxmlformats.org/officeDocument/2006/relationships/chart" Target="../charts/chart128.xml"/><Relationship Id="rId1" Type="http://schemas.openxmlformats.org/officeDocument/2006/relationships/chart" Target="../charts/chart127.xml"/><Relationship Id="rId6" Type="http://schemas.openxmlformats.org/officeDocument/2006/relationships/chart" Target="../charts/chart131.xml"/><Relationship Id="rId5" Type="http://schemas.openxmlformats.org/officeDocument/2006/relationships/image" Target="../media/image6.png"/><Relationship Id="rId4" Type="http://schemas.openxmlformats.org/officeDocument/2006/relationships/chart" Target="../charts/chart130.xml"/></Relationships>
</file>

<file path=xl/drawings/_rels/drawing2.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10" Type="http://schemas.openxmlformats.org/officeDocument/2006/relationships/chart" Target="../charts/chart10.xml"/><Relationship Id="rId4" Type="http://schemas.openxmlformats.org/officeDocument/2006/relationships/chart" Target="../charts/chart5.xml"/><Relationship Id="rId9" Type="http://schemas.openxmlformats.org/officeDocument/2006/relationships/image" Target="../media/image5.png"/></Relationships>
</file>

<file path=xl/drawings/_rels/drawing8.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2.xml"/><Relationship Id="rId7" Type="http://schemas.openxmlformats.org/officeDocument/2006/relationships/chart" Target="../charts/chart16.xml"/><Relationship Id="rId2" Type="http://schemas.openxmlformats.org/officeDocument/2006/relationships/chart" Target="../charts/chart11.xml"/><Relationship Id="rId1" Type="http://schemas.openxmlformats.org/officeDocument/2006/relationships/image" Target="../media/image6.png"/><Relationship Id="rId6" Type="http://schemas.openxmlformats.org/officeDocument/2006/relationships/chart" Target="../charts/chart15.xml"/><Relationship Id="rId11" Type="http://schemas.openxmlformats.org/officeDocument/2006/relationships/chart" Target="../charts/chart20.xml"/><Relationship Id="rId5" Type="http://schemas.openxmlformats.org/officeDocument/2006/relationships/chart" Target="../charts/chart14.xml"/><Relationship Id="rId10" Type="http://schemas.openxmlformats.org/officeDocument/2006/relationships/chart" Target="../charts/chart19.xml"/><Relationship Id="rId4" Type="http://schemas.openxmlformats.org/officeDocument/2006/relationships/chart" Target="../charts/chart13.xml"/><Relationship Id="rId9"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8" Type="http://schemas.openxmlformats.org/officeDocument/2006/relationships/chart" Target="../charts/chart27.xml"/><Relationship Id="rId3" Type="http://schemas.openxmlformats.org/officeDocument/2006/relationships/chart" Target="../charts/chart23.xml"/><Relationship Id="rId7" Type="http://schemas.openxmlformats.org/officeDocument/2006/relationships/image" Target="../media/image6.png"/><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133350</xdr:colOff>
      <xdr:row>6</xdr:row>
      <xdr:rowOff>0</xdr:rowOff>
    </xdr:to>
    <xdr:sp macro="" textlink="">
      <xdr:nvSpPr>
        <xdr:cNvPr id="2" name="AutoShape 2">
          <a:extLst>
            <a:ext uri="{FF2B5EF4-FFF2-40B4-BE49-F238E27FC236}">
              <a16:creationId xmlns:a16="http://schemas.microsoft.com/office/drawing/2014/main" id="{00000000-0008-0000-0800-000002000000}"/>
            </a:ext>
          </a:extLst>
        </xdr:cNvPr>
        <xdr:cNvSpPr>
          <a:spLocks noChangeArrowheads="1"/>
        </xdr:cNvSpPr>
      </xdr:nvSpPr>
      <xdr:spPr bwMode="auto">
        <a:xfrm>
          <a:off x="266700" y="266700"/>
          <a:ext cx="3581400" cy="1657350"/>
        </a:xfrm>
        <a:prstGeom prst="roundRect">
          <a:avLst>
            <a:gd name="adj" fmla="val 16667"/>
          </a:avLst>
        </a:prstGeom>
        <a:solidFill>
          <a:srgbClr val="C85100"/>
        </a:solidFill>
        <a:ln w="19050">
          <a:solidFill>
            <a:srgbClr val="C85100"/>
          </a:solidFill>
          <a:round/>
          <a:headEnd/>
          <a:tailEnd/>
        </a:ln>
      </xdr:spPr>
      <xdr:txBody>
        <a:bodyPr vertOverflow="clip" wrap="square" lIns="54864" tIns="41148" rIns="54864" bIns="41148" anchor="ctr" upright="1"/>
        <a:lstStyle/>
        <a:p>
          <a:pPr algn="ctr" rtl="0">
            <a:defRPr sz="1000"/>
          </a:pPr>
          <a:r>
            <a:rPr lang="en-GB" sz="2500" b="1" i="0" u="none" strike="noStrike" baseline="0">
              <a:solidFill>
                <a:srgbClr val="FFFFFF"/>
              </a:solidFill>
              <a:latin typeface="Arial"/>
              <a:cs typeface="Arial"/>
            </a:rPr>
            <a:t>Children's Social Care Benchmarking</a:t>
          </a:r>
        </a:p>
        <a:p>
          <a:pPr algn="ctr" rtl="0">
            <a:defRPr sz="1000"/>
          </a:pPr>
          <a:r>
            <a:rPr lang="en-GB" sz="2000" b="1" i="0" u="none" strike="noStrike" baseline="0">
              <a:solidFill>
                <a:srgbClr val="FFCC99"/>
              </a:solidFill>
              <a:latin typeface="Arial"/>
              <a:cs typeface="Arial"/>
            </a:rPr>
            <a:t>Sector-Led Improvement</a:t>
          </a:r>
        </a:p>
      </xdr:txBody>
    </xdr:sp>
    <xdr:clientData/>
  </xdr:twoCellAnchor>
  <xdr:twoCellAnchor>
    <xdr:from>
      <xdr:col>7</xdr:col>
      <xdr:colOff>371475</xdr:colOff>
      <xdr:row>28</xdr:row>
      <xdr:rowOff>55109</xdr:rowOff>
    </xdr:from>
    <xdr:to>
      <xdr:col>10</xdr:col>
      <xdr:colOff>0</xdr:colOff>
      <xdr:row>34</xdr:row>
      <xdr:rowOff>0</xdr:rowOff>
    </xdr:to>
    <xdr:pic>
      <xdr:nvPicPr>
        <xdr:cNvPr id="6265" name="Picture 3" descr="ESCC_logo_RGB">
          <a:extLst>
            <a:ext uri="{FF2B5EF4-FFF2-40B4-BE49-F238E27FC236}">
              <a16:creationId xmlns:a16="http://schemas.microsoft.com/office/drawing/2014/main" id="{00000000-0008-0000-08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24775" y="5665334"/>
          <a:ext cx="1238250" cy="8402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962025</xdr:colOff>
      <xdr:row>32</xdr:row>
      <xdr:rowOff>142875</xdr:rowOff>
    </xdr:from>
    <xdr:to>
      <xdr:col>2</xdr:col>
      <xdr:colOff>76199</xdr:colOff>
      <xdr:row>34</xdr:row>
      <xdr:rowOff>57150</xdr:rowOff>
    </xdr:to>
    <xdr:sp macro="" textlink="">
      <xdr:nvSpPr>
        <xdr:cNvPr id="6267" name="Right Arrow 50">
          <a:extLst>
            <a:ext uri="{FF2B5EF4-FFF2-40B4-BE49-F238E27FC236}">
              <a16:creationId xmlns:a16="http://schemas.microsoft.com/office/drawing/2014/main" id="{00000000-0008-0000-0800-00007B180000}"/>
            </a:ext>
          </a:extLst>
        </xdr:cNvPr>
        <xdr:cNvSpPr>
          <a:spLocks noChangeArrowheads="1"/>
        </xdr:cNvSpPr>
      </xdr:nvSpPr>
      <xdr:spPr bwMode="auto">
        <a:xfrm flipH="1">
          <a:off x="1190625" y="6334125"/>
          <a:ext cx="257174" cy="25717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2</xdr:col>
      <xdr:colOff>142873</xdr:colOff>
      <xdr:row>32</xdr:row>
      <xdr:rowOff>142875</xdr:rowOff>
    </xdr:from>
    <xdr:to>
      <xdr:col>2</xdr:col>
      <xdr:colOff>398473</xdr:colOff>
      <xdr:row>34</xdr:row>
      <xdr:rowOff>57150</xdr:rowOff>
    </xdr:to>
    <xdr:sp macro="" textlink="">
      <xdr:nvSpPr>
        <xdr:cNvPr id="11" name="Right Arrow 50">
          <a:extLst>
            <a:ext uri="{FF2B5EF4-FFF2-40B4-BE49-F238E27FC236}">
              <a16:creationId xmlns:a16="http://schemas.microsoft.com/office/drawing/2014/main" id="{00000000-0008-0000-0800-00000B000000}"/>
            </a:ext>
          </a:extLst>
        </xdr:cNvPr>
        <xdr:cNvSpPr>
          <a:spLocks noChangeArrowheads="1"/>
        </xdr:cNvSpPr>
      </xdr:nvSpPr>
      <xdr:spPr bwMode="auto">
        <a:xfrm>
          <a:off x="1514473" y="6334125"/>
          <a:ext cx="255600" cy="25717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4</xdr:col>
      <xdr:colOff>0</xdr:colOff>
      <xdr:row>27</xdr:row>
      <xdr:rowOff>0</xdr:rowOff>
    </xdr:from>
    <xdr:to>
      <xdr:col>4</xdr:col>
      <xdr:colOff>304800</xdr:colOff>
      <xdr:row>29</xdr:row>
      <xdr:rowOff>0</xdr:rowOff>
    </xdr:to>
    <xdr:sp macro="" textlink="">
      <xdr:nvSpPr>
        <xdr:cNvPr id="1025" name="0bDyKzIGauR6eM:" descr="Image result for house icon free">
          <a:extLst>
            <a:ext uri="{FF2B5EF4-FFF2-40B4-BE49-F238E27FC236}">
              <a16:creationId xmlns:a16="http://schemas.microsoft.com/office/drawing/2014/main" id="{00000000-0008-0000-0800-000001040000}"/>
            </a:ext>
          </a:extLst>
        </xdr:cNvPr>
        <xdr:cNvSpPr>
          <a:spLocks noChangeAspect="1" noChangeArrowheads="1"/>
        </xdr:cNvSpPr>
      </xdr:nvSpPr>
      <xdr:spPr bwMode="auto">
        <a:xfrm>
          <a:off x="3962400" y="5476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36</xdr:row>
      <xdr:rowOff>0</xdr:rowOff>
    </xdr:from>
    <xdr:to>
      <xdr:col>6</xdr:col>
      <xdr:colOff>123825</xdr:colOff>
      <xdr:row>55</xdr:row>
      <xdr:rowOff>114300</xdr:rowOff>
    </xdr:to>
    <xdr:sp macro="" textlink="">
      <xdr:nvSpPr>
        <xdr:cNvPr id="1026" name="AutoShape 2" descr="Image result for house icon free">
          <a:extLst>
            <a:ext uri="{FF2B5EF4-FFF2-40B4-BE49-F238E27FC236}">
              <a16:creationId xmlns:a16="http://schemas.microsoft.com/office/drawing/2014/main" id="{00000000-0008-0000-0800-000002040000}"/>
            </a:ext>
          </a:extLst>
        </xdr:cNvPr>
        <xdr:cNvSpPr>
          <a:spLocks noChangeAspect="1" noChangeArrowheads="1"/>
        </xdr:cNvSpPr>
      </xdr:nvSpPr>
      <xdr:spPr bwMode="auto">
        <a:xfrm>
          <a:off x="3676650" y="7067550"/>
          <a:ext cx="3495675" cy="2828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123825</xdr:colOff>
      <xdr:row>26</xdr:row>
      <xdr:rowOff>149095</xdr:rowOff>
    </xdr:from>
    <xdr:to>
      <xdr:col>2</xdr:col>
      <xdr:colOff>772968</xdr:colOff>
      <xdr:row>31</xdr:row>
      <xdr:rowOff>78061</xdr:rowOff>
    </xdr:to>
    <xdr:pic macro="[0]!Home">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5425" y="5473570"/>
          <a:ext cx="649143" cy="6623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22</xdr:col>
      <xdr:colOff>66675</xdr:colOff>
      <xdr:row>0</xdr:row>
      <xdr:rowOff>193416</xdr:rowOff>
    </xdr:from>
    <xdr:to>
      <xdr:col>22</xdr:col>
      <xdr:colOff>371475</xdr:colOff>
      <xdr:row>2</xdr:row>
      <xdr:rowOff>47625</xdr:rowOff>
    </xdr:to>
    <xdr:pic macro="[0]!Home">
      <xdr:nvPicPr>
        <xdr:cNvPr id="73" name="Picture 72">
          <a:extLst>
            <a:ext uri="{FF2B5EF4-FFF2-40B4-BE49-F238E27FC236}">
              <a16:creationId xmlns:a16="http://schemas.microsoft.com/office/drawing/2014/main" id="{00000000-0008-0000-1100-00004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xdr:from>
      <xdr:col>1</xdr:col>
      <xdr:colOff>0</xdr:colOff>
      <xdr:row>39</xdr:row>
      <xdr:rowOff>0</xdr:rowOff>
    </xdr:from>
    <xdr:to>
      <xdr:col>11</xdr:col>
      <xdr:colOff>0</xdr:colOff>
      <xdr:row>67</xdr:row>
      <xdr:rowOff>533399</xdr:rowOff>
    </xdr:to>
    <xdr:graphicFrame macro="">
      <xdr:nvGraphicFramePr>
        <xdr:cNvPr id="6" name="Chart 13">
          <a:extLst>
            <a:ext uri="{FF2B5EF4-FFF2-40B4-BE49-F238E27FC236}">
              <a16:creationId xmlns:a16="http://schemas.microsoft.com/office/drawing/2014/main" id="{00000000-0008-0000-1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1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11" name="Chart 13">
          <a:extLst>
            <a:ext uri="{FF2B5EF4-FFF2-40B4-BE49-F238E27FC236}">
              <a16:creationId xmlns:a16="http://schemas.microsoft.com/office/drawing/2014/main" id="{00000000-0008-0000-1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28575</xdr:rowOff>
        </xdr:from>
        <xdr:to>
          <xdr:col>36</xdr:col>
          <xdr:colOff>47625</xdr:colOff>
          <xdr:row>41</xdr:row>
          <xdr:rowOff>9525</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1100-00000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1100-00000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87043" name="Check Box 3" hidden="1">
              <a:extLst>
                <a:ext uri="{63B3BB69-23CF-44E3-9099-C40C66FF867C}">
                  <a14:compatExt spid="_x0000_s87043"/>
                </a:ext>
                <a:ext uri="{FF2B5EF4-FFF2-40B4-BE49-F238E27FC236}">
                  <a16:creationId xmlns:a16="http://schemas.microsoft.com/office/drawing/2014/main" id="{00000000-0008-0000-1100-00000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87044" name="Check Box 4" hidden="1">
              <a:extLst>
                <a:ext uri="{63B3BB69-23CF-44E3-9099-C40C66FF867C}">
                  <a14:compatExt spid="_x0000_s87044"/>
                </a:ext>
                <a:ext uri="{FF2B5EF4-FFF2-40B4-BE49-F238E27FC236}">
                  <a16:creationId xmlns:a16="http://schemas.microsoft.com/office/drawing/2014/main" id="{00000000-0008-0000-1100-00000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87045" name="Check Box 5" hidden="1">
              <a:extLst>
                <a:ext uri="{63B3BB69-23CF-44E3-9099-C40C66FF867C}">
                  <a14:compatExt spid="_x0000_s87045"/>
                </a:ext>
                <a:ext uri="{FF2B5EF4-FFF2-40B4-BE49-F238E27FC236}">
                  <a16:creationId xmlns:a16="http://schemas.microsoft.com/office/drawing/2014/main" id="{00000000-0008-0000-1100-00000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87046" name="Check Box 6" hidden="1">
              <a:extLst>
                <a:ext uri="{63B3BB69-23CF-44E3-9099-C40C66FF867C}">
                  <a14:compatExt spid="_x0000_s87046"/>
                </a:ext>
                <a:ext uri="{FF2B5EF4-FFF2-40B4-BE49-F238E27FC236}">
                  <a16:creationId xmlns:a16="http://schemas.microsoft.com/office/drawing/2014/main" id="{00000000-0008-0000-1100-00000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87047" name="Check Box 7" hidden="1">
              <a:extLst>
                <a:ext uri="{63B3BB69-23CF-44E3-9099-C40C66FF867C}">
                  <a14:compatExt spid="_x0000_s87047"/>
                </a:ext>
                <a:ext uri="{FF2B5EF4-FFF2-40B4-BE49-F238E27FC236}">
                  <a16:creationId xmlns:a16="http://schemas.microsoft.com/office/drawing/2014/main" id="{00000000-0008-0000-1100-000007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87048" name="Check Box 8" hidden="1">
              <a:extLst>
                <a:ext uri="{63B3BB69-23CF-44E3-9099-C40C66FF867C}">
                  <a14:compatExt spid="_x0000_s87048"/>
                </a:ext>
                <a:ext uri="{FF2B5EF4-FFF2-40B4-BE49-F238E27FC236}">
                  <a16:creationId xmlns:a16="http://schemas.microsoft.com/office/drawing/2014/main" id="{00000000-0008-0000-1100-000008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87049" name="Check Box 9" hidden="1">
              <a:extLst>
                <a:ext uri="{63B3BB69-23CF-44E3-9099-C40C66FF867C}">
                  <a14:compatExt spid="_x0000_s87049"/>
                </a:ext>
                <a:ext uri="{FF2B5EF4-FFF2-40B4-BE49-F238E27FC236}">
                  <a16:creationId xmlns:a16="http://schemas.microsoft.com/office/drawing/2014/main" id="{00000000-0008-0000-1100-000009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87050" name="Check Box 10" hidden="1">
              <a:extLst>
                <a:ext uri="{63B3BB69-23CF-44E3-9099-C40C66FF867C}">
                  <a14:compatExt spid="_x0000_s87050"/>
                </a:ext>
                <a:ext uri="{FF2B5EF4-FFF2-40B4-BE49-F238E27FC236}">
                  <a16:creationId xmlns:a16="http://schemas.microsoft.com/office/drawing/2014/main" id="{00000000-0008-0000-1100-00000A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87051" name="Check Box 11" hidden="1">
              <a:extLst>
                <a:ext uri="{63B3BB69-23CF-44E3-9099-C40C66FF867C}">
                  <a14:compatExt spid="_x0000_s87051"/>
                </a:ext>
                <a:ext uri="{FF2B5EF4-FFF2-40B4-BE49-F238E27FC236}">
                  <a16:creationId xmlns:a16="http://schemas.microsoft.com/office/drawing/2014/main" id="{00000000-0008-0000-1100-00000B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87052" name="Check Box 12" hidden="1">
              <a:extLst>
                <a:ext uri="{63B3BB69-23CF-44E3-9099-C40C66FF867C}">
                  <a14:compatExt spid="_x0000_s87052"/>
                </a:ext>
                <a:ext uri="{FF2B5EF4-FFF2-40B4-BE49-F238E27FC236}">
                  <a16:creationId xmlns:a16="http://schemas.microsoft.com/office/drawing/2014/main" id="{00000000-0008-0000-1100-00000C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87053" name="Check Box 13" hidden="1">
              <a:extLst>
                <a:ext uri="{63B3BB69-23CF-44E3-9099-C40C66FF867C}">
                  <a14:compatExt spid="_x0000_s87053"/>
                </a:ext>
                <a:ext uri="{FF2B5EF4-FFF2-40B4-BE49-F238E27FC236}">
                  <a16:creationId xmlns:a16="http://schemas.microsoft.com/office/drawing/2014/main" id="{00000000-0008-0000-1100-00000D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87054" name="Check Box 14" hidden="1">
              <a:extLst>
                <a:ext uri="{63B3BB69-23CF-44E3-9099-C40C66FF867C}">
                  <a14:compatExt spid="_x0000_s87054"/>
                </a:ext>
                <a:ext uri="{FF2B5EF4-FFF2-40B4-BE49-F238E27FC236}">
                  <a16:creationId xmlns:a16="http://schemas.microsoft.com/office/drawing/2014/main" id="{00000000-0008-0000-1100-00000E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87055" name="Check Box 15" hidden="1">
              <a:extLst>
                <a:ext uri="{63B3BB69-23CF-44E3-9099-C40C66FF867C}">
                  <a14:compatExt spid="_x0000_s87055"/>
                </a:ext>
                <a:ext uri="{FF2B5EF4-FFF2-40B4-BE49-F238E27FC236}">
                  <a16:creationId xmlns:a16="http://schemas.microsoft.com/office/drawing/2014/main" id="{00000000-0008-0000-1100-00000F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87056" name="Check Box 16" hidden="1">
              <a:extLst>
                <a:ext uri="{63B3BB69-23CF-44E3-9099-C40C66FF867C}">
                  <a14:compatExt spid="_x0000_s87056"/>
                </a:ext>
                <a:ext uri="{FF2B5EF4-FFF2-40B4-BE49-F238E27FC236}">
                  <a16:creationId xmlns:a16="http://schemas.microsoft.com/office/drawing/2014/main" id="{00000000-0008-0000-1100-000010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87057" name="Check Box 17" hidden="1">
              <a:extLst>
                <a:ext uri="{63B3BB69-23CF-44E3-9099-C40C66FF867C}">
                  <a14:compatExt spid="_x0000_s87057"/>
                </a:ext>
                <a:ext uri="{FF2B5EF4-FFF2-40B4-BE49-F238E27FC236}">
                  <a16:creationId xmlns:a16="http://schemas.microsoft.com/office/drawing/2014/main" id="{00000000-0008-0000-1100-00001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87058" name="Check Box 18" hidden="1">
              <a:extLst>
                <a:ext uri="{63B3BB69-23CF-44E3-9099-C40C66FF867C}">
                  <a14:compatExt spid="_x0000_s87058"/>
                </a:ext>
                <a:ext uri="{FF2B5EF4-FFF2-40B4-BE49-F238E27FC236}">
                  <a16:creationId xmlns:a16="http://schemas.microsoft.com/office/drawing/2014/main" id="{00000000-0008-0000-1100-00001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87059" name="Check Box 19" hidden="1">
              <a:extLst>
                <a:ext uri="{63B3BB69-23CF-44E3-9099-C40C66FF867C}">
                  <a14:compatExt spid="_x0000_s87059"/>
                </a:ext>
                <a:ext uri="{FF2B5EF4-FFF2-40B4-BE49-F238E27FC236}">
                  <a16:creationId xmlns:a16="http://schemas.microsoft.com/office/drawing/2014/main" id="{00000000-0008-0000-1100-00001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87060" name="Check Box 20" hidden="1">
              <a:extLst>
                <a:ext uri="{63B3BB69-23CF-44E3-9099-C40C66FF867C}">
                  <a14:compatExt spid="_x0000_s87060"/>
                </a:ext>
                <a:ext uri="{FF2B5EF4-FFF2-40B4-BE49-F238E27FC236}">
                  <a16:creationId xmlns:a16="http://schemas.microsoft.com/office/drawing/2014/main" id="{00000000-0008-0000-1100-00001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152400</xdr:rowOff>
        </xdr:from>
        <xdr:to>
          <xdr:col>36</xdr:col>
          <xdr:colOff>47625</xdr:colOff>
          <xdr:row>63</xdr:row>
          <xdr:rowOff>9525</xdr:rowOff>
        </xdr:to>
        <xdr:sp macro="" textlink="">
          <xdr:nvSpPr>
            <xdr:cNvPr id="87061" name="Check Box 21" hidden="1">
              <a:extLst>
                <a:ext uri="{63B3BB69-23CF-44E3-9099-C40C66FF867C}">
                  <a14:compatExt spid="_x0000_s87061"/>
                </a:ext>
                <a:ext uri="{FF2B5EF4-FFF2-40B4-BE49-F238E27FC236}">
                  <a16:creationId xmlns:a16="http://schemas.microsoft.com/office/drawing/2014/main" id="{00000000-0008-0000-1100-000015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87062" name="Check Box 22" hidden="1">
              <a:extLst>
                <a:ext uri="{63B3BB69-23CF-44E3-9099-C40C66FF867C}">
                  <a14:compatExt spid="_x0000_s87062"/>
                </a:ext>
                <a:ext uri="{FF2B5EF4-FFF2-40B4-BE49-F238E27FC236}">
                  <a16:creationId xmlns:a16="http://schemas.microsoft.com/office/drawing/2014/main" id="{00000000-0008-0000-1100-000016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87063" name="Check Box 23" hidden="1">
              <a:extLst>
                <a:ext uri="{63B3BB69-23CF-44E3-9099-C40C66FF867C}">
                  <a14:compatExt spid="_x0000_s87063"/>
                </a:ext>
                <a:ext uri="{FF2B5EF4-FFF2-40B4-BE49-F238E27FC236}">
                  <a16:creationId xmlns:a16="http://schemas.microsoft.com/office/drawing/2014/main" id="{00000000-0008-0000-1100-000017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62</xdr:row>
          <xdr:rowOff>152400</xdr:rowOff>
        </xdr:from>
        <xdr:to>
          <xdr:col>36</xdr:col>
          <xdr:colOff>47625</xdr:colOff>
          <xdr:row>64</xdr:row>
          <xdr:rowOff>9525</xdr:rowOff>
        </xdr:to>
        <xdr:sp macro="" textlink="">
          <xdr:nvSpPr>
            <xdr:cNvPr id="87064" name="Check Box 24" hidden="1">
              <a:extLst>
                <a:ext uri="{63B3BB69-23CF-44E3-9099-C40C66FF867C}">
                  <a14:compatExt spid="_x0000_s87064"/>
                </a:ext>
                <a:ext uri="{FF2B5EF4-FFF2-40B4-BE49-F238E27FC236}">
                  <a16:creationId xmlns:a16="http://schemas.microsoft.com/office/drawing/2014/main" id="{00000000-0008-0000-1100-000018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107</xdr:row>
      <xdr:rowOff>0</xdr:rowOff>
    </xdr:from>
    <xdr:to>
      <xdr:col>21</xdr:col>
      <xdr:colOff>0</xdr:colOff>
      <xdr:row>139</xdr:row>
      <xdr:rowOff>0</xdr:rowOff>
    </xdr:to>
    <xdr:graphicFrame macro="">
      <xdr:nvGraphicFramePr>
        <xdr:cNvPr id="58" name="Chart 13">
          <a:extLst>
            <a:ext uri="{FF2B5EF4-FFF2-40B4-BE49-F238E27FC236}">
              <a16:creationId xmlns:a16="http://schemas.microsoft.com/office/drawing/2014/main" id="{00000000-0008-0000-1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126000</xdr:colOff>
      <xdr:row>72</xdr:row>
      <xdr:rowOff>0</xdr:rowOff>
    </xdr:from>
    <xdr:to>
      <xdr:col>21</xdr:col>
      <xdr:colOff>0</xdr:colOff>
      <xdr:row>103</xdr:row>
      <xdr:rowOff>0</xdr:rowOff>
    </xdr:to>
    <xdr:graphicFrame macro="">
      <xdr:nvGraphicFramePr>
        <xdr:cNvPr id="59" name="Chart 176">
          <a:extLst>
            <a:ext uri="{FF2B5EF4-FFF2-40B4-BE49-F238E27FC236}">
              <a16:creationId xmlns:a16="http://schemas.microsoft.com/office/drawing/2014/main" id="{00000000-0008-0000-1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60" name="Chart 764">
          <a:extLst>
            <a:ext uri="{FF2B5EF4-FFF2-40B4-BE49-F238E27FC236}">
              <a16:creationId xmlns:a16="http://schemas.microsoft.com/office/drawing/2014/main" id="{00000000-0008-0000-1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136</xdr:row>
      <xdr:rowOff>0</xdr:rowOff>
    </xdr:from>
    <xdr:to>
      <xdr:col>8</xdr:col>
      <xdr:colOff>0</xdr:colOff>
      <xdr:row>139</xdr:row>
      <xdr:rowOff>0</xdr:rowOff>
    </xdr:to>
    <xdr:graphicFrame macro="">
      <xdr:nvGraphicFramePr>
        <xdr:cNvPr id="63" name="Chart 13">
          <a:extLst>
            <a:ext uri="{FF2B5EF4-FFF2-40B4-BE49-F238E27FC236}">
              <a16:creationId xmlns:a16="http://schemas.microsoft.com/office/drawing/2014/main" id="{00000000-0008-0000-1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143</xdr:row>
      <xdr:rowOff>104774</xdr:rowOff>
    </xdr:from>
    <xdr:to>
      <xdr:col>21</xdr:col>
      <xdr:colOff>0</xdr:colOff>
      <xdr:row>173</xdr:row>
      <xdr:rowOff>476249</xdr:rowOff>
    </xdr:to>
    <xdr:graphicFrame macro="">
      <xdr:nvGraphicFramePr>
        <xdr:cNvPr id="56" name="Chart 13">
          <a:extLst>
            <a:ext uri="{FF2B5EF4-FFF2-40B4-BE49-F238E27FC236}">
              <a16:creationId xmlns:a16="http://schemas.microsoft.com/office/drawing/2014/main" id="{00000000-0008-0000-1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175</xdr:row>
      <xdr:rowOff>47625</xdr:rowOff>
    </xdr:from>
    <xdr:ext cx="252000" cy="252000"/>
    <xdr:sp macro="[0]!Assessments" textlink="">
      <xdr:nvSpPr>
        <xdr:cNvPr id="67" name="Down Arrow 44">
          <a:extLst>
            <a:ext uri="{FF2B5EF4-FFF2-40B4-BE49-F238E27FC236}">
              <a16:creationId xmlns:a16="http://schemas.microsoft.com/office/drawing/2014/main" id="{00000000-0008-0000-1100-000043000000}"/>
            </a:ext>
          </a:extLst>
        </xdr:cNvPr>
        <xdr:cNvSpPr>
          <a:spLocks noChangeArrowheads="1"/>
        </xdr:cNvSpPr>
      </xdr:nvSpPr>
      <xdr:spPr bwMode="auto">
        <a:xfrm flipV="1">
          <a:off x="9277350" y="334327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140</xdr:row>
      <xdr:rowOff>47625</xdr:rowOff>
    </xdr:from>
    <xdr:ext cx="252000" cy="252000"/>
    <xdr:sp macro="[0]!Assessments" textlink="">
      <xdr:nvSpPr>
        <xdr:cNvPr id="68" name="Down Arrow 44">
          <a:extLst>
            <a:ext uri="{FF2B5EF4-FFF2-40B4-BE49-F238E27FC236}">
              <a16:creationId xmlns:a16="http://schemas.microsoft.com/office/drawing/2014/main" id="{00000000-0008-0000-1100-000044000000}"/>
            </a:ext>
          </a:extLst>
        </xdr:cNvPr>
        <xdr:cNvSpPr>
          <a:spLocks noChangeArrowheads="1"/>
        </xdr:cNvSpPr>
      </xdr:nvSpPr>
      <xdr:spPr bwMode="auto">
        <a:xfrm flipV="1">
          <a:off x="9277350" y="266890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104</xdr:row>
      <xdr:rowOff>47625</xdr:rowOff>
    </xdr:from>
    <xdr:ext cx="252000" cy="252000"/>
    <xdr:sp macro="[0]!Assessments" textlink="">
      <xdr:nvSpPr>
        <xdr:cNvPr id="70" name="Down Arrow 44">
          <a:extLst>
            <a:ext uri="{FF2B5EF4-FFF2-40B4-BE49-F238E27FC236}">
              <a16:creationId xmlns:a16="http://schemas.microsoft.com/office/drawing/2014/main" id="{00000000-0008-0000-1100-000046000000}"/>
            </a:ext>
          </a:extLst>
        </xdr:cNvPr>
        <xdr:cNvSpPr>
          <a:spLocks noChangeArrowheads="1"/>
        </xdr:cNvSpPr>
      </xdr:nvSpPr>
      <xdr:spPr bwMode="auto">
        <a:xfrm flipV="1">
          <a:off x="9277350" y="199453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69</xdr:row>
      <xdr:rowOff>47625</xdr:rowOff>
    </xdr:from>
    <xdr:ext cx="252000" cy="252000"/>
    <xdr:sp macro="[0]!Assessments" textlink="">
      <xdr:nvSpPr>
        <xdr:cNvPr id="71" name="Down Arrow 44">
          <a:extLst>
            <a:ext uri="{FF2B5EF4-FFF2-40B4-BE49-F238E27FC236}">
              <a16:creationId xmlns:a16="http://schemas.microsoft.com/office/drawing/2014/main" id="{00000000-0008-0000-1100-000047000000}"/>
            </a:ext>
          </a:extLst>
        </xdr:cNvPr>
        <xdr:cNvSpPr>
          <a:spLocks noChangeArrowheads="1"/>
        </xdr:cNvSpPr>
      </xdr:nvSpPr>
      <xdr:spPr bwMode="auto">
        <a:xfrm flipV="1">
          <a:off x="9277350" y="132016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22</xdr:col>
      <xdr:colOff>95250</xdr:colOff>
      <xdr:row>36</xdr:row>
      <xdr:rowOff>38100</xdr:rowOff>
    </xdr:from>
    <xdr:ext cx="252000" cy="252000"/>
    <xdr:sp macro="[0]!Assessments" textlink="">
      <xdr:nvSpPr>
        <xdr:cNvPr id="72" name="Down Arrow 44">
          <a:extLst>
            <a:ext uri="{FF2B5EF4-FFF2-40B4-BE49-F238E27FC236}">
              <a16:creationId xmlns:a16="http://schemas.microsoft.com/office/drawing/2014/main" id="{00000000-0008-0000-1100-000048000000}"/>
            </a:ext>
          </a:extLst>
        </xdr:cNvPr>
        <xdr:cNvSpPr>
          <a:spLocks noChangeArrowheads="1"/>
        </xdr:cNvSpPr>
      </xdr:nvSpPr>
      <xdr:spPr bwMode="auto">
        <a:xfrm flipV="1">
          <a:off x="9277350" y="6448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22</xdr:col>
      <xdr:colOff>57150</xdr:colOff>
      <xdr:row>3</xdr:row>
      <xdr:rowOff>0</xdr:rowOff>
    </xdr:from>
    <xdr:to>
      <xdr:col>22</xdr:col>
      <xdr:colOff>304800</xdr:colOff>
      <xdr:row>4</xdr:row>
      <xdr:rowOff>133350</xdr:rowOff>
    </xdr:to>
    <xdr:sp macro="[0]!Re_referrals" textlink="">
      <xdr:nvSpPr>
        <xdr:cNvPr id="52" name="Right Arrow 51">
          <a:extLst>
            <a:ext uri="{FF2B5EF4-FFF2-40B4-BE49-F238E27FC236}">
              <a16:creationId xmlns:a16="http://schemas.microsoft.com/office/drawing/2014/main" id="{00000000-0008-0000-1100-000034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iN" textlink="">
      <xdr:nvSpPr>
        <xdr:cNvPr id="53" name="Right Arrow 50">
          <a:extLst>
            <a:ext uri="{FF2B5EF4-FFF2-40B4-BE49-F238E27FC236}">
              <a16:creationId xmlns:a16="http://schemas.microsoft.com/office/drawing/2014/main" id="{00000000-0008-0000-1100-000035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38</xdr:row>
      <xdr:rowOff>142874</xdr:rowOff>
    </xdr:from>
    <xdr:to>
      <xdr:col>21</xdr:col>
      <xdr:colOff>0</xdr:colOff>
      <xdr:row>63</xdr:row>
      <xdr:rowOff>0</xdr:rowOff>
    </xdr:to>
    <xdr:graphicFrame macro="">
      <xdr:nvGraphicFramePr>
        <xdr:cNvPr id="61" name="Chart 176">
          <a:extLst>
            <a:ext uri="{FF2B5EF4-FFF2-40B4-BE49-F238E27FC236}">
              <a16:creationId xmlns:a16="http://schemas.microsoft.com/office/drawing/2014/main" id="{00000000-0008-0000-1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69" name="Oval 2165">
          <a:extLst>
            <a:ext uri="{FF2B5EF4-FFF2-40B4-BE49-F238E27FC236}">
              <a16:creationId xmlns:a16="http://schemas.microsoft.com/office/drawing/2014/main" id="{00000000-0008-0000-1100-000045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74" name="Line 283">
          <a:extLst>
            <a:ext uri="{FF2B5EF4-FFF2-40B4-BE49-F238E27FC236}">
              <a16:creationId xmlns:a16="http://schemas.microsoft.com/office/drawing/2014/main" id="{00000000-0008-0000-1100-00004A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75" name="Oval 2164">
          <a:extLst>
            <a:ext uri="{FF2B5EF4-FFF2-40B4-BE49-F238E27FC236}">
              <a16:creationId xmlns:a16="http://schemas.microsoft.com/office/drawing/2014/main" id="{00000000-0008-0000-1100-00004B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76" name="Line 283">
          <a:extLst>
            <a:ext uri="{FF2B5EF4-FFF2-40B4-BE49-F238E27FC236}">
              <a16:creationId xmlns:a16="http://schemas.microsoft.com/office/drawing/2014/main" id="{00000000-0008-0000-1100-00004C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347250</xdr:colOff>
      <xdr:row>37</xdr:row>
      <xdr:rowOff>95250</xdr:rowOff>
    </xdr:to>
    <xdr:sp macro="[0]!CiN" textlink="">
      <xdr:nvSpPr>
        <xdr:cNvPr id="2" name="Down Arrow 44">
          <a:extLst>
            <a:ext uri="{FF2B5EF4-FFF2-40B4-BE49-F238E27FC236}">
              <a16:creationId xmlns:a16="http://schemas.microsoft.com/office/drawing/2014/main" id="{00000000-0008-0000-12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CiN" textlink="">
      <xdr:nvSpPr>
        <xdr:cNvPr id="3" name="Down Arrow 2">
          <a:extLst>
            <a:ext uri="{FF2B5EF4-FFF2-40B4-BE49-F238E27FC236}">
              <a16:creationId xmlns:a16="http://schemas.microsoft.com/office/drawing/2014/main" id="{00000000-0008-0000-12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2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11" name="Chart 13">
          <a:extLst>
            <a:ext uri="{FF2B5EF4-FFF2-40B4-BE49-F238E27FC236}">
              <a16:creationId xmlns:a16="http://schemas.microsoft.com/office/drawing/2014/main" id="{00000000-0008-0000-1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28575</xdr:rowOff>
        </xdr:from>
        <xdr:to>
          <xdr:col>36</xdr:col>
          <xdr:colOff>47625</xdr:colOff>
          <xdr:row>41</xdr:row>
          <xdr:rowOff>9525</xdr:rowOff>
        </xdr:to>
        <xdr:sp macro="" textlink="">
          <xdr:nvSpPr>
            <xdr:cNvPr id="96257" name="Check Box 1" hidden="1">
              <a:extLst>
                <a:ext uri="{63B3BB69-23CF-44E3-9099-C40C66FF867C}">
                  <a14:compatExt spid="_x0000_s96257"/>
                </a:ext>
                <a:ext uri="{FF2B5EF4-FFF2-40B4-BE49-F238E27FC236}">
                  <a16:creationId xmlns:a16="http://schemas.microsoft.com/office/drawing/2014/main" id="{00000000-0008-0000-1200-000001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96258" name="Check Box 2" hidden="1">
              <a:extLst>
                <a:ext uri="{63B3BB69-23CF-44E3-9099-C40C66FF867C}">
                  <a14:compatExt spid="_x0000_s96258"/>
                </a:ext>
                <a:ext uri="{FF2B5EF4-FFF2-40B4-BE49-F238E27FC236}">
                  <a16:creationId xmlns:a16="http://schemas.microsoft.com/office/drawing/2014/main" id="{00000000-0008-0000-1200-000002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96259" name="Check Box 3" hidden="1">
              <a:extLst>
                <a:ext uri="{63B3BB69-23CF-44E3-9099-C40C66FF867C}">
                  <a14:compatExt spid="_x0000_s96259"/>
                </a:ext>
                <a:ext uri="{FF2B5EF4-FFF2-40B4-BE49-F238E27FC236}">
                  <a16:creationId xmlns:a16="http://schemas.microsoft.com/office/drawing/2014/main" id="{00000000-0008-0000-1200-000003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96260" name="Check Box 4" hidden="1">
              <a:extLst>
                <a:ext uri="{63B3BB69-23CF-44E3-9099-C40C66FF867C}">
                  <a14:compatExt spid="_x0000_s96260"/>
                </a:ext>
                <a:ext uri="{FF2B5EF4-FFF2-40B4-BE49-F238E27FC236}">
                  <a16:creationId xmlns:a16="http://schemas.microsoft.com/office/drawing/2014/main" id="{00000000-0008-0000-1200-000004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96261" name="Check Box 5" hidden="1">
              <a:extLst>
                <a:ext uri="{63B3BB69-23CF-44E3-9099-C40C66FF867C}">
                  <a14:compatExt spid="_x0000_s96261"/>
                </a:ext>
                <a:ext uri="{FF2B5EF4-FFF2-40B4-BE49-F238E27FC236}">
                  <a16:creationId xmlns:a16="http://schemas.microsoft.com/office/drawing/2014/main" id="{00000000-0008-0000-1200-00000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96262" name="Check Box 6" hidden="1">
              <a:extLst>
                <a:ext uri="{63B3BB69-23CF-44E3-9099-C40C66FF867C}">
                  <a14:compatExt spid="_x0000_s96262"/>
                </a:ext>
                <a:ext uri="{FF2B5EF4-FFF2-40B4-BE49-F238E27FC236}">
                  <a16:creationId xmlns:a16="http://schemas.microsoft.com/office/drawing/2014/main" id="{00000000-0008-0000-1200-000006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96263" name="Check Box 7" hidden="1">
              <a:extLst>
                <a:ext uri="{63B3BB69-23CF-44E3-9099-C40C66FF867C}">
                  <a14:compatExt spid="_x0000_s96263"/>
                </a:ext>
                <a:ext uri="{FF2B5EF4-FFF2-40B4-BE49-F238E27FC236}">
                  <a16:creationId xmlns:a16="http://schemas.microsoft.com/office/drawing/2014/main" id="{00000000-0008-0000-1200-000007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96264" name="Check Box 8" hidden="1">
              <a:extLst>
                <a:ext uri="{63B3BB69-23CF-44E3-9099-C40C66FF867C}">
                  <a14:compatExt spid="_x0000_s96264"/>
                </a:ext>
                <a:ext uri="{FF2B5EF4-FFF2-40B4-BE49-F238E27FC236}">
                  <a16:creationId xmlns:a16="http://schemas.microsoft.com/office/drawing/2014/main" id="{00000000-0008-0000-1200-000008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96265" name="Check Box 9" hidden="1">
              <a:extLst>
                <a:ext uri="{63B3BB69-23CF-44E3-9099-C40C66FF867C}">
                  <a14:compatExt spid="_x0000_s96265"/>
                </a:ext>
                <a:ext uri="{FF2B5EF4-FFF2-40B4-BE49-F238E27FC236}">
                  <a16:creationId xmlns:a16="http://schemas.microsoft.com/office/drawing/2014/main" id="{00000000-0008-0000-1200-000009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96266" name="Check Box 10" hidden="1">
              <a:extLst>
                <a:ext uri="{63B3BB69-23CF-44E3-9099-C40C66FF867C}">
                  <a14:compatExt spid="_x0000_s96266"/>
                </a:ext>
                <a:ext uri="{FF2B5EF4-FFF2-40B4-BE49-F238E27FC236}">
                  <a16:creationId xmlns:a16="http://schemas.microsoft.com/office/drawing/2014/main" id="{00000000-0008-0000-1200-00000A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96267" name="Check Box 11" hidden="1">
              <a:extLst>
                <a:ext uri="{63B3BB69-23CF-44E3-9099-C40C66FF867C}">
                  <a14:compatExt spid="_x0000_s96267"/>
                </a:ext>
                <a:ext uri="{FF2B5EF4-FFF2-40B4-BE49-F238E27FC236}">
                  <a16:creationId xmlns:a16="http://schemas.microsoft.com/office/drawing/2014/main" id="{00000000-0008-0000-1200-00000B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96268" name="Check Box 12" hidden="1">
              <a:extLst>
                <a:ext uri="{63B3BB69-23CF-44E3-9099-C40C66FF867C}">
                  <a14:compatExt spid="_x0000_s96268"/>
                </a:ext>
                <a:ext uri="{FF2B5EF4-FFF2-40B4-BE49-F238E27FC236}">
                  <a16:creationId xmlns:a16="http://schemas.microsoft.com/office/drawing/2014/main" id="{00000000-0008-0000-1200-00000C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96269" name="Check Box 13" hidden="1">
              <a:extLst>
                <a:ext uri="{63B3BB69-23CF-44E3-9099-C40C66FF867C}">
                  <a14:compatExt spid="_x0000_s96269"/>
                </a:ext>
                <a:ext uri="{FF2B5EF4-FFF2-40B4-BE49-F238E27FC236}">
                  <a16:creationId xmlns:a16="http://schemas.microsoft.com/office/drawing/2014/main" id="{00000000-0008-0000-1200-00000D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96270" name="Check Box 14" hidden="1">
              <a:extLst>
                <a:ext uri="{63B3BB69-23CF-44E3-9099-C40C66FF867C}">
                  <a14:compatExt spid="_x0000_s96270"/>
                </a:ext>
                <a:ext uri="{FF2B5EF4-FFF2-40B4-BE49-F238E27FC236}">
                  <a16:creationId xmlns:a16="http://schemas.microsoft.com/office/drawing/2014/main" id="{00000000-0008-0000-1200-00000E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96271" name="Check Box 15" hidden="1">
              <a:extLst>
                <a:ext uri="{63B3BB69-23CF-44E3-9099-C40C66FF867C}">
                  <a14:compatExt spid="_x0000_s96271"/>
                </a:ext>
                <a:ext uri="{FF2B5EF4-FFF2-40B4-BE49-F238E27FC236}">
                  <a16:creationId xmlns:a16="http://schemas.microsoft.com/office/drawing/2014/main" id="{00000000-0008-0000-1200-00000F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96272" name="Check Box 16" hidden="1">
              <a:extLst>
                <a:ext uri="{63B3BB69-23CF-44E3-9099-C40C66FF867C}">
                  <a14:compatExt spid="_x0000_s96272"/>
                </a:ext>
                <a:ext uri="{FF2B5EF4-FFF2-40B4-BE49-F238E27FC236}">
                  <a16:creationId xmlns:a16="http://schemas.microsoft.com/office/drawing/2014/main" id="{00000000-0008-0000-1200-000010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96273" name="Check Box 17" hidden="1">
              <a:extLst>
                <a:ext uri="{63B3BB69-23CF-44E3-9099-C40C66FF867C}">
                  <a14:compatExt spid="_x0000_s96273"/>
                </a:ext>
                <a:ext uri="{FF2B5EF4-FFF2-40B4-BE49-F238E27FC236}">
                  <a16:creationId xmlns:a16="http://schemas.microsoft.com/office/drawing/2014/main" id="{00000000-0008-0000-1200-000011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96274" name="Check Box 18" hidden="1">
              <a:extLst>
                <a:ext uri="{63B3BB69-23CF-44E3-9099-C40C66FF867C}">
                  <a14:compatExt spid="_x0000_s96274"/>
                </a:ext>
                <a:ext uri="{FF2B5EF4-FFF2-40B4-BE49-F238E27FC236}">
                  <a16:creationId xmlns:a16="http://schemas.microsoft.com/office/drawing/2014/main" id="{00000000-0008-0000-1200-000012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96275" name="Check Box 19" hidden="1">
              <a:extLst>
                <a:ext uri="{63B3BB69-23CF-44E3-9099-C40C66FF867C}">
                  <a14:compatExt spid="_x0000_s96275"/>
                </a:ext>
                <a:ext uri="{FF2B5EF4-FFF2-40B4-BE49-F238E27FC236}">
                  <a16:creationId xmlns:a16="http://schemas.microsoft.com/office/drawing/2014/main" id="{00000000-0008-0000-1200-000013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96276" name="Check Box 20" hidden="1">
              <a:extLst>
                <a:ext uri="{63B3BB69-23CF-44E3-9099-C40C66FF867C}">
                  <a14:compatExt spid="_x0000_s96276"/>
                </a:ext>
                <a:ext uri="{FF2B5EF4-FFF2-40B4-BE49-F238E27FC236}">
                  <a16:creationId xmlns:a16="http://schemas.microsoft.com/office/drawing/2014/main" id="{00000000-0008-0000-1200-000014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152400</xdr:rowOff>
        </xdr:from>
        <xdr:to>
          <xdr:col>36</xdr:col>
          <xdr:colOff>47625</xdr:colOff>
          <xdr:row>63</xdr:row>
          <xdr:rowOff>9525</xdr:rowOff>
        </xdr:to>
        <xdr:sp macro="" textlink="">
          <xdr:nvSpPr>
            <xdr:cNvPr id="96277" name="Check Box 21" hidden="1">
              <a:extLst>
                <a:ext uri="{63B3BB69-23CF-44E3-9099-C40C66FF867C}">
                  <a14:compatExt spid="_x0000_s96277"/>
                </a:ext>
                <a:ext uri="{FF2B5EF4-FFF2-40B4-BE49-F238E27FC236}">
                  <a16:creationId xmlns:a16="http://schemas.microsoft.com/office/drawing/2014/main" id="{00000000-0008-0000-1200-000015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96278" name="Check Box 22" hidden="1">
              <a:extLst>
                <a:ext uri="{63B3BB69-23CF-44E3-9099-C40C66FF867C}">
                  <a14:compatExt spid="_x0000_s96278"/>
                </a:ext>
                <a:ext uri="{FF2B5EF4-FFF2-40B4-BE49-F238E27FC236}">
                  <a16:creationId xmlns:a16="http://schemas.microsoft.com/office/drawing/2014/main" id="{00000000-0008-0000-1200-000016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96279" name="Check Box 23" hidden="1">
              <a:extLst>
                <a:ext uri="{63B3BB69-23CF-44E3-9099-C40C66FF867C}">
                  <a14:compatExt spid="_x0000_s96279"/>
                </a:ext>
                <a:ext uri="{FF2B5EF4-FFF2-40B4-BE49-F238E27FC236}">
                  <a16:creationId xmlns:a16="http://schemas.microsoft.com/office/drawing/2014/main" id="{00000000-0008-0000-1200-000017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62</xdr:row>
          <xdr:rowOff>152400</xdr:rowOff>
        </xdr:from>
        <xdr:to>
          <xdr:col>36</xdr:col>
          <xdr:colOff>47625</xdr:colOff>
          <xdr:row>64</xdr:row>
          <xdr:rowOff>9525</xdr:rowOff>
        </xdr:to>
        <xdr:sp macro="" textlink="">
          <xdr:nvSpPr>
            <xdr:cNvPr id="96280" name="Check Box 24" hidden="1">
              <a:extLst>
                <a:ext uri="{63B3BB69-23CF-44E3-9099-C40C66FF867C}">
                  <a14:compatExt spid="_x0000_s96280"/>
                </a:ext>
                <a:ext uri="{FF2B5EF4-FFF2-40B4-BE49-F238E27FC236}">
                  <a16:creationId xmlns:a16="http://schemas.microsoft.com/office/drawing/2014/main" id="{00000000-0008-0000-1200-0000187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CiN" textlink="">
      <xdr:nvSpPr>
        <xdr:cNvPr id="39" name="Down Arrow 44">
          <a:extLst>
            <a:ext uri="{FF2B5EF4-FFF2-40B4-BE49-F238E27FC236}">
              <a16:creationId xmlns:a16="http://schemas.microsoft.com/office/drawing/2014/main" id="{00000000-0008-0000-12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40" name="Chart 176">
          <a:extLst>
            <a:ext uri="{FF2B5EF4-FFF2-40B4-BE49-F238E27FC236}">
              <a16:creationId xmlns:a16="http://schemas.microsoft.com/office/drawing/2014/main" id="{00000000-0008-0000-1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41" name="Chart 764">
          <a:extLst>
            <a:ext uri="{FF2B5EF4-FFF2-40B4-BE49-F238E27FC236}">
              <a16:creationId xmlns:a16="http://schemas.microsoft.com/office/drawing/2014/main" id="{00000000-0008-0000-1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5" name="Picture 44">
          <a:extLst>
            <a:ext uri="{FF2B5EF4-FFF2-40B4-BE49-F238E27FC236}">
              <a16:creationId xmlns:a16="http://schemas.microsoft.com/office/drawing/2014/main" id="{00000000-0008-0000-1200-00002D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Assessments" textlink="">
      <xdr:nvSpPr>
        <xdr:cNvPr id="46" name="Right Arrow 45">
          <a:extLst>
            <a:ext uri="{FF2B5EF4-FFF2-40B4-BE49-F238E27FC236}">
              <a16:creationId xmlns:a16="http://schemas.microsoft.com/office/drawing/2014/main" id="{00000000-0008-0000-1200-00002E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Sec_47" textlink="">
      <xdr:nvSpPr>
        <xdr:cNvPr id="47" name="Right Arrow 50">
          <a:extLst>
            <a:ext uri="{FF2B5EF4-FFF2-40B4-BE49-F238E27FC236}">
              <a16:creationId xmlns:a16="http://schemas.microsoft.com/office/drawing/2014/main" id="{00000000-0008-0000-1200-00002F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38</xdr:row>
      <xdr:rowOff>142874</xdr:rowOff>
    </xdr:from>
    <xdr:to>
      <xdr:col>21</xdr:col>
      <xdr:colOff>0</xdr:colOff>
      <xdr:row>62</xdr:row>
      <xdr:rowOff>180974</xdr:rowOff>
    </xdr:to>
    <xdr:graphicFrame macro="">
      <xdr:nvGraphicFramePr>
        <xdr:cNvPr id="48" name="Chart 176">
          <a:extLst>
            <a:ext uri="{FF2B5EF4-FFF2-40B4-BE49-F238E27FC236}">
              <a16:creationId xmlns:a16="http://schemas.microsoft.com/office/drawing/2014/main" id="{00000000-0008-0000-1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49" name="Oval 2165">
          <a:extLst>
            <a:ext uri="{FF2B5EF4-FFF2-40B4-BE49-F238E27FC236}">
              <a16:creationId xmlns:a16="http://schemas.microsoft.com/office/drawing/2014/main" id="{00000000-0008-0000-1200-000031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50" name="Line 283">
          <a:extLst>
            <a:ext uri="{FF2B5EF4-FFF2-40B4-BE49-F238E27FC236}">
              <a16:creationId xmlns:a16="http://schemas.microsoft.com/office/drawing/2014/main" id="{00000000-0008-0000-12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51" name="Oval 2164">
          <a:extLst>
            <a:ext uri="{FF2B5EF4-FFF2-40B4-BE49-F238E27FC236}">
              <a16:creationId xmlns:a16="http://schemas.microsoft.com/office/drawing/2014/main" id="{00000000-0008-0000-12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52" name="Line 283">
          <a:extLst>
            <a:ext uri="{FF2B5EF4-FFF2-40B4-BE49-F238E27FC236}">
              <a16:creationId xmlns:a16="http://schemas.microsoft.com/office/drawing/2014/main" id="{00000000-0008-0000-12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347250</xdr:colOff>
      <xdr:row>37</xdr:row>
      <xdr:rowOff>95250</xdr:rowOff>
    </xdr:to>
    <xdr:sp macro="[0]!Sec_47" textlink="">
      <xdr:nvSpPr>
        <xdr:cNvPr id="2" name="Down Arrow 44">
          <a:extLst>
            <a:ext uri="{FF2B5EF4-FFF2-40B4-BE49-F238E27FC236}">
              <a16:creationId xmlns:a16="http://schemas.microsoft.com/office/drawing/2014/main" id="{00000000-0008-0000-13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Sec_47" textlink="">
      <xdr:nvSpPr>
        <xdr:cNvPr id="3" name="Down Arrow 2">
          <a:extLst>
            <a:ext uri="{FF2B5EF4-FFF2-40B4-BE49-F238E27FC236}">
              <a16:creationId xmlns:a16="http://schemas.microsoft.com/office/drawing/2014/main" id="{00000000-0008-0000-13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8" name="AutoShape 32">
          <a:extLst>
            <a:ext uri="{FF2B5EF4-FFF2-40B4-BE49-F238E27FC236}">
              <a16:creationId xmlns:a16="http://schemas.microsoft.com/office/drawing/2014/main" id="{00000000-0008-0000-1300-000008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a:extLst>
            <a:ext uri="{FF2B5EF4-FFF2-40B4-BE49-F238E27FC236}">
              <a16:creationId xmlns:a16="http://schemas.microsoft.com/office/drawing/2014/main" id="{00000000-0008-0000-1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28575</xdr:rowOff>
        </xdr:from>
        <xdr:to>
          <xdr:col>36</xdr:col>
          <xdr:colOff>47625</xdr:colOff>
          <xdr:row>41</xdr:row>
          <xdr:rowOff>9525</xdr:rowOff>
        </xdr:to>
        <xdr:sp macro="" textlink="">
          <xdr:nvSpPr>
            <xdr:cNvPr id="97281" name="Check Box 1" hidden="1">
              <a:extLst>
                <a:ext uri="{63B3BB69-23CF-44E3-9099-C40C66FF867C}">
                  <a14:compatExt spid="_x0000_s97281"/>
                </a:ext>
                <a:ext uri="{FF2B5EF4-FFF2-40B4-BE49-F238E27FC236}">
                  <a16:creationId xmlns:a16="http://schemas.microsoft.com/office/drawing/2014/main" id="{00000000-0008-0000-1300-00000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97282" name="Check Box 2" hidden="1">
              <a:extLst>
                <a:ext uri="{63B3BB69-23CF-44E3-9099-C40C66FF867C}">
                  <a14:compatExt spid="_x0000_s97282"/>
                </a:ext>
                <a:ext uri="{FF2B5EF4-FFF2-40B4-BE49-F238E27FC236}">
                  <a16:creationId xmlns:a16="http://schemas.microsoft.com/office/drawing/2014/main" id="{00000000-0008-0000-1300-00000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97283" name="Check Box 3" hidden="1">
              <a:extLst>
                <a:ext uri="{63B3BB69-23CF-44E3-9099-C40C66FF867C}">
                  <a14:compatExt spid="_x0000_s97283"/>
                </a:ext>
                <a:ext uri="{FF2B5EF4-FFF2-40B4-BE49-F238E27FC236}">
                  <a16:creationId xmlns:a16="http://schemas.microsoft.com/office/drawing/2014/main" id="{00000000-0008-0000-1300-000003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97284" name="Check Box 4" hidden="1">
              <a:extLst>
                <a:ext uri="{63B3BB69-23CF-44E3-9099-C40C66FF867C}">
                  <a14:compatExt spid="_x0000_s97284"/>
                </a:ext>
                <a:ext uri="{FF2B5EF4-FFF2-40B4-BE49-F238E27FC236}">
                  <a16:creationId xmlns:a16="http://schemas.microsoft.com/office/drawing/2014/main" id="{00000000-0008-0000-1300-00000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97285" name="Check Box 5" hidden="1">
              <a:extLst>
                <a:ext uri="{63B3BB69-23CF-44E3-9099-C40C66FF867C}">
                  <a14:compatExt spid="_x0000_s97285"/>
                </a:ext>
                <a:ext uri="{FF2B5EF4-FFF2-40B4-BE49-F238E27FC236}">
                  <a16:creationId xmlns:a16="http://schemas.microsoft.com/office/drawing/2014/main" id="{00000000-0008-0000-1300-000005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97286" name="Check Box 6" hidden="1">
              <a:extLst>
                <a:ext uri="{63B3BB69-23CF-44E3-9099-C40C66FF867C}">
                  <a14:compatExt spid="_x0000_s97286"/>
                </a:ext>
                <a:ext uri="{FF2B5EF4-FFF2-40B4-BE49-F238E27FC236}">
                  <a16:creationId xmlns:a16="http://schemas.microsoft.com/office/drawing/2014/main" id="{00000000-0008-0000-1300-000006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97287" name="Check Box 7" hidden="1">
              <a:extLst>
                <a:ext uri="{63B3BB69-23CF-44E3-9099-C40C66FF867C}">
                  <a14:compatExt spid="_x0000_s97287"/>
                </a:ext>
                <a:ext uri="{FF2B5EF4-FFF2-40B4-BE49-F238E27FC236}">
                  <a16:creationId xmlns:a16="http://schemas.microsoft.com/office/drawing/2014/main" id="{00000000-0008-0000-1300-000007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97288" name="Check Box 8" hidden="1">
              <a:extLst>
                <a:ext uri="{63B3BB69-23CF-44E3-9099-C40C66FF867C}">
                  <a14:compatExt spid="_x0000_s97288"/>
                </a:ext>
                <a:ext uri="{FF2B5EF4-FFF2-40B4-BE49-F238E27FC236}">
                  <a16:creationId xmlns:a16="http://schemas.microsoft.com/office/drawing/2014/main" id="{00000000-0008-0000-1300-000008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97289" name="Check Box 9" hidden="1">
              <a:extLst>
                <a:ext uri="{63B3BB69-23CF-44E3-9099-C40C66FF867C}">
                  <a14:compatExt spid="_x0000_s97289"/>
                </a:ext>
                <a:ext uri="{FF2B5EF4-FFF2-40B4-BE49-F238E27FC236}">
                  <a16:creationId xmlns:a16="http://schemas.microsoft.com/office/drawing/2014/main" id="{00000000-0008-0000-1300-000009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97290" name="Check Box 10" hidden="1">
              <a:extLst>
                <a:ext uri="{63B3BB69-23CF-44E3-9099-C40C66FF867C}">
                  <a14:compatExt spid="_x0000_s97290"/>
                </a:ext>
                <a:ext uri="{FF2B5EF4-FFF2-40B4-BE49-F238E27FC236}">
                  <a16:creationId xmlns:a16="http://schemas.microsoft.com/office/drawing/2014/main" id="{00000000-0008-0000-1300-00000A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97291" name="Check Box 11" hidden="1">
              <a:extLst>
                <a:ext uri="{63B3BB69-23CF-44E3-9099-C40C66FF867C}">
                  <a14:compatExt spid="_x0000_s97291"/>
                </a:ext>
                <a:ext uri="{FF2B5EF4-FFF2-40B4-BE49-F238E27FC236}">
                  <a16:creationId xmlns:a16="http://schemas.microsoft.com/office/drawing/2014/main" id="{00000000-0008-0000-1300-00000B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97292" name="Check Box 12" hidden="1">
              <a:extLst>
                <a:ext uri="{63B3BB69-23CF-44E3-9099-C40C66FF867C}">
                  <a14:compatExt spid="_x0000_s97292"/>
                </a:ext>
                <a:ext uri="{FF2B5EF4-FFF2-40B4-BE49-F238E27FC236}">
                  <a16:creationId xmlns:a16="http://schemas.microsoft.com/office/drawing/2014/main" id="{00000000-0008-0000-1300-00000C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97293" name="Check Box 13" hidden="1">
              <a:extLst>
                <a:ext uri="{63B3BB69-23CF-44E3-9099-C40C66FF867C}">
                  <a14:compatExt spid="_x0000_s97293"/>
                </a:ext>
                <a:ext uri="{FF2B5EF4-FFF2-40B4-BE49-F238E27FC236}">
                  <a16:creationId xmlns:a16="http://schemas.microsoft.com/office/drawing/2014/main" id="{00000000-0008-0000-1300-00000D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97294" name="Check Box 14" hidden="1">
              <a:extLst>
                <a:ext uri="{63B3BB69-23CF-44E3-9099-C40C66FF867C}">
                  <a14:compatExt spid="_x0000_s97294"/>
                </a:ext>
                <a:ext uri="{FF2B5EF4-FFF2-40B4-BE49-F238E27FC236}">
                  <a16:creationId xmlns:a16="http://schemas.microsoft.com/office/drawing/2014/main" id="{00000000-0008-0000-1300-00000E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97295" name="Check Box 15" hidden="1">
              <a:extLst>
                <a:ext uri="{63B3BB69-23CF-44E3-9099-C40C66FF867C}">
                  <a14:compatExt spid="_x0000_s97295"/>
                </a:ext>
                <a:ext uri="{FF2B5EF4-FFF2-40B4-BE49-F238E27FC236}">
                  <a16:creationId xmlns:a16="http://schemas.microsoft.com/office/drawing/2014/main" id="{00000000-0008-0000-1300-00000F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97296" name="Check Box 16" hidden="1">
              <a:extLst>
                <a:ext uri="{63B3BB69-23CF-44E3-9099-C40C66FF867C}">
                  <a14:compatExt spid="_x0000_s97296"/>
                </a:ext>
                <a:ext uri="{FF2B5EF4-FFF2-40B4-BE49-F238E27FC236}">
                  <a16:creationId xmlns:a16="http://schemas.microsoft.com/office/drawing/2014/main" id="{00000000-0008-0000-1300-000010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97297" name="Check Box 17" hidden="1">
              <a:extLst>
                <a:ext uri="{63B3BB69-23CF-44E3-9099-C40C66FF867C}">
                  <a14:compatExt spid="_x0000_s97297"/>
                </a:ext>
                <a:ext uri="{FF2B5EF4-FFF2-40B4-BE49-F238E27FC236}">
                  <a16:creationId xmlns:a16="http://schemas.microsoft.com/office/drawing/2014/main" id="{00000000-0008-0000-1300-000011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97298" name="Check Box 18" hidden="1">
              <a:extLst>
                <a:ext uri="{63B3BB69-23CF-44E3-9099-C40C66FF867C}">
                  <a14:compatExt spid="_x0000_s97298"/>
                </a:ext>
                <a:ext uri="{FF2B5EF4-FFF2-40B4-BE49-F238E27FC236}">
                  <a16:creationId xmlns:a16="http://schemas.microsoft.com/office/drawing/2014/main" id="{00000000-0008-0000-1300-000012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97299" name="Check Box 19" hidden="1">
              <a:extLst>
                <a:ext uri="{63B3BB69-23CF-44E3-9099-C40C66FF867C}">
                  <a14:compatExt spid="_x0000_s97299"/>
                </a:ext>
                <a:ext uri="{FF2B5EF4-FFF2-40B4-BE49-F238E27FC236}">
                  <a16:creationId xmlns:a16="http://schemas.microsoft.com/office/drawing/2014/main" id="{00000000-0008-0000-1300-000013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97300" name="Check Box 20" hidden="1">
              <a:extLst>
                <a:ext uri="{63B3BB69-23CF-44E3-9099-C40C66FF867C}">
                  <a14:compatExt spid="_x0000_s97300"/>
                </a:ext>
                <a:ext uri="{FF2B5EF4-FFF2-40B4-BE49-F238E27FC236}">
                  <a16:creationId xmlns:a16="http://schemas.microsoft.com/office/drawing/2014/main" id="{00000000-0008-0000-1300-000014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152400</xdr:rowOff>
        </xdr:from>
        <xdr:to>
          <xdr:col>36</xdr:col>
          <xdr:colOff>47625</xdr:colOff>
          <xdr:row>63</xdr:row>
          <xdr:rowOff>9525</xdr:rowOff>
        </xdr:to>
        <xdr:sp macro="" textlink="">
          <xdr:nvSpPr>
            <xdr:cNvPr id="97301" name="Check Box 21" hidden="1">
              <a:extLst>
                <a:ext uri="{63B3BB69-23CF-44E3-9099-C40C66FF867C}">
                  <a14:compatExt spid="_x0000_s97301"/>
                </a:ext>
                <a:ext uri="{FF2B5EF4-FFF2-40B4-BE49-F238E27FC236}">
                  <a16:creationId xmlns:a16="http://schemas.microsoft.com/office/drawing/2014/main" id="{00000000-0008-0000-1300-000015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97302" name="Check Box 22" hidden="1">
              <a:extLst>
                <a:ext uri="{63B3BB69-23CF-44E3-9099-C40C66FF867C}">
                  <a14:compatExt spid="_x0000_s97302"/>
                </a:ext>
                <a:ext uri="{FF2B5EF4-FFF2-40B4-BE49-F238E27FC236}">
                  <a16:creationId xmlns:a16="http://schemas.microsoft.com/office/drawing/2014/main" id="{00000000-0008-0000-1300-000016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97303" name="Check Box 23" hidden="1">
              <a:extLst>
                <a:ext uri="{63B3BB69-23CF-44E3-9099-C40C66FF867C}">
                  <a14:compatExt spid="_x0000_s97303"/>
                </a:ext>
                <a:ext uri="{FF2B5EF4-FFF2-40B4-BE49-F238E27FC236}">
                  <a16:creationId xmlns:a16="http://schemas.microsoft.com/office/drawing/2014/main" id="{00000000-0008-0000-1300-000017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62</xdr:row>
          <xdr:rowOff>152400</xdr:rowOff>
        </xdr:from>
        <xdr:to>
          <xdr:col>36</xdr:col>
          <xdr:colOff>47625</xdr:colOff>
          <xdr:row>64</xdr:row>
          <xdr:rowOff>9525</xdr:rowOff>
        </xdr:to>
        <xdr:sp macro="" textlink="">
          <xdr:nvSpPr>
            <xdr:cNvPr id="97304" name="Check Box 24" hidden="1">
              <a:extLst>
                <a:ext uri="{63B3BB69-23CF-44E3-9099-C40C66FF867C}">
                  <a14:compatExt spid="_x0000_s97304"/>
                </a:ext>
                <a:ext uri="{FF2B5EF4-FFF2-40B4-BE49-F238E27FC236}">
                  <a16:creationId xmlns:a16="http://schemas.microsoft.com/office/drawing/2014/main" id="{00000000-0008-0000-1300-0000187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Sec_47" textlink="">
      <xdr:nvSpPr>
        <xdr:cNvPr id="37" name="Down Arrow 44">
          <a:extLst>
            <a:ext uri="{FF2B5EF4-FFF2-40B4-BE49-F238E27FC236}">
              <a16:creationId xmlns:a16="http://schemas.microsoft.com/office/drawing/2014/main" id="{00000000-0008-0000-13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38" name="Chart 176">
          <a:extLst>
            <a:ext uri="{FF2B5EF4-FFF2-40B4-BE49-F238E27FC236}">
              <a16:creationId xmlns:a16="http://schemas.microsoft.com/office/drawing/2014/main" id="{00000000-0008-0000-13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39" name="Chart 764">
          <a:extLst>
            <a:ext uri="{FF2B5EF4-FFF2-40B4-BE49-F238E27FC236}">
              <a16:creationId xmlns:a16="http://schemas.microsoft.com/office/drawing/2014/main" id="{00000000-0008-0000-13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3" name="Picture 42">
          <a:extLst>
            <a:ext uri="{FF2B5EF4-FFF2-40B4-BE49-F238E27FC236}">
              <a16:creationId xmlns:a16="http://schemas.microsoft.com/office/drawing/2014/main" id="{00000000-0008-0000-1300-00002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iN" textlink="">
      <xdr:nvSpPr>
        <xdr:cNvPr id="44" name="Right Arrow 43">
          <a:extLst>
            <a:ext uri="{FF2B5EF4-FFF2-40B4-BE49-F238E27FC236}">
              <a16:creationId xmlns:a16="http://schemas.microsoft.com/office/drawing/2014/main" id="{00000000-0008-0000-1300-00002C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ICPC" textlink="">
      <xdr:nvSpPr>
        <xdr:cNvPr id="45" name="Right Arrow 50">
          <a:extLst>
            <a:ext uri="{FF2B5EF4-FFF2-40B4-BE49-F238E27FC236}">
              <a16:creationId xmlns:a16="http://schemas.microsoft.com/office/drawing/2014/main" id="{00000000-0008-0000-1300-00002D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38</xdr:row>
      <xdr:rowOff>142874</xdr:rowOff>
    </xdr:from>
    <xdr:to>
      <xdr:col>21</xdr:col>
      <xdr:colOff>0</xdr:colOff>
      <xdr:row>62</xdr:row>
      <xdr:rowOff>180974</xdr:rowOff>
    </xdr:to>
    <xdr:graphicFrame macro="">
      <xdr:nvGraphicFramePr>
        <xdr:cNvPr id="46" name="Chart 176">
          <a:extLst>
            <a:ext uri="{FF2B5EF4-FFF2-40B4-BE49-F238E27FC236}">
              <a16:creationId xmlns:a16="http://schemas.microsoft.com/office/drawing/2014/main" id="{00000000-0008-0000-13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47" name="Oval 2165">
          <a:extLst>
            <a:ext uri="{FF2B5EF4-FFF2-40B4-BE49-F238E27FC236}">
              <a16:creationId xmlns:a16="http://schemas.microsoft.com/office/drawing/2014/main" id="{00000000-0008-0000-1300-00002F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48" name="Line 283">
          <a:extLst>
            <a:ext uri="{FF2B5EF4-FFF2-40B4-BE49-F238E27FC236}">
              <a16:creationId xmlns:a16="http://schemas.microsoft.com/office/drawing/2014/main" id="{00000000-0008-0000-1300-000030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49" name="Oval 2164">
          <a:extLst>
            <a:ext uri="{FF2B5EF4-FFF2-40B4-BE49-F238E27FC236}">
              <a16:creationId xmlns:a16="http://schemas.microsoft.com/office/drawing/2014/main" id="{00000000-0008-0000-1300-000031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50" name="Line 283">
          <a:extLst>
            <a:ext uri="{FF2B5EF4-FFF2-40B4-BE49-F238E27FC236}">
              <a16:creationId xmlns:a16="http://schemas.microsoft.com/office/drawing/2014/main" id="{00000000-0008-0000-1300-000032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347250</xdr:colOff>
      <xdr:row>37</xdr:row>
      <xdr:rowOff>95250</xdr:rowOff>
    </xdr:to>
    <xdr:sp macro="[0]!ICPC" textlink="">
      <xdr:nvSpPr>
        <xdr:cNvPr id="2" name="Down Arrow 44">
          <a:extLst>
            <a:ext uri="{FF2B5EF4-FFF2-40B4-BE49-F238E27FC236}">
              <a16:creationId xmlns:a16="http://schemas.microsoft.com/office/drawing/2014/main" id="{00000000-0008-0000-14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ICPC" textlink="">
      <xdr:nvSpPr>
        <xdr:cNvPr id="3" name="Down Arrow 2">
          <a:extLst>
            <a:ext uri="{FF2B5EF4-FFF2-40B4-BE49-F238E27FC236}">
              <a16:creationId xmlns:a16="http://schemas.microsoft.com/office/drawing/2014/main" id="{00000000-0008-0000-14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8" name="AutoShape 32">
          <a:extLst>
            <a:ext uri="{FF2B5EF4-FFF2-40B4-BE49-F238E27FC236}">
              <a16:creationId xmlns:a16="http://schemas.microsoft.com/office/drawing/2014/main" id="{00000000-0008-0000-1400-000008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a:extLst>
            <a:ext uri="{FF2B5EF4-FFF2-40B4-BE49-F238E27FC236}">
              <a16:creationId xmlns:a16="http://schemas.microsoft.com/office/drawing/2014/main" id="{00000000-0008-0000-1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28575</xdr:rowOff>
        </xdr:from>
        <xdr:to>
          <xdr:col>36</xdr:col>
          <xdr:colOff>47625</xdr:colOff>
          <xdr:row>41</xdr:row>
          <xdr:rowOff>9525</xdr:rowOff>
        </xdr:to>
        <xdr:sp macro="" textlink="">
          <xdr:nvSpPr>
            <xdr:cNvPr id="98305" name="Check Box 1" hidden="1">
              <a:extLst>
                <a:ext uri="{63B3BB69-23CF-44E3-9099-C40C66FF867C}">
                  <a14:compatExt spid="_x0000_s98305"/>
                </a:ext>
                <a:ext uri="{FF2B5EF4-FFF2-40B4-BE49-F238E27FC236}">
                  <a16:creationId xmlns:a16="http://schemas.microsoft.com/office/drawing/2014/main" id="{00000000-0008-0000-1400-00000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98306" name="Check Box 2" hidden="1">
              <a:extLst>
                <a:ext uri="{63B3BB69-23CF-44E3-9099-C40C66FF867C}">
                  <a14:compatExt spid="_x0000_s98306"/>
                </a:ext>
                <a:ext uri="{FF2B5EF4-FFF2-40B4-BE49-F238E27FC236}">
                  <a16:creationId xmlns:a16="http://schemas.microsoft.com/office/drawing/2014/main" id="{00000000-0008-0000-1400-00000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98307" name="Check Box 3" hidden="1">
              <a:extLst>
                <a:ext uri="{63B3BB69-23CF-44E3-9099-C40C66FF867C}">
                  <a14:compatExt spid="_x0000_s98307"/>
                </a:ext>
                <a:ext uri="{FF2B5EF4-FFF2-40B4-BE49-F238E27FC236}">
                  <a16:creationId xmlns:a16="http://schemas.microsoft.com/office/drawing/2014/main" id="{00000000-0008-0000-1400-00000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98308" name="Check Box 4" hidden="1">
              <a:extLst>
                <a:ext uri="{63B3BB69-23CF-44E3-9099-C40C66FF867C}">
                  <a14:compatExt spid="_x0000_s98308"/>
                </a:ext>
                <a:ext uri="{FF2B5EF4-FFF2-40B4-BE49-F238E27FC236}">
                  <a16:creationId xmlns:a16="http://schemas.microsoft.com/office/drawing/2014/main" id="{00000000-0008-0000-1400-00000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98309" name="Check Box 5" hidden="1">
              <a:extLst>
                <a:ext uri="{63B3BB69-23CF-44E3-9099-C40C66FF867C}">
                  <a14:compatExt spid="_x0000_s98309"/>
                </a:ext>
                <a:ext uri="{FF2B5EF4-FFF2-40B4-BE49-F238E27FC236}">
                  <a16:creationId xmlns:a16="http://schemas.microsoft.com/office/drawing/2014/main" id="{00000000-0008-0000-1400-00000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98310" name="Check Box 6" hidden="1">
              <a:extLst>
                <a:ext uri="{63B3BB69-23CF-44E3-9099-C40C66FF867C}">
                  <a14:compatExt spid="_x0000_s98310"/>
                </a:ext>
                <a:ext uri="{FF2B5EF4-FFF2-40B4-BE49-F238E27FC236}">
                  <a16:creationId xmlns:a16="http://schemas.microsoft.com/office/drawing/2014/main" id="{00000000-0008-0000-1400-00000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98311" name="Check Box 7" hidden="1">
              <a:extLst>
                <a:ext uri="{63B3BB69-23CF-44E3-9099-C40C66FF867C}">
                  <a14:compatExt spid="_x0000_s98311"/>
                </a:ext>
                <a:ext uri="{FF2B5EF4-FFF2-40B4-BE49-F238E27FC236}">
                  <a16:creationId xmlns:a16="http://schemas.microsoft.com/office/drawing/2014/main" id="{00000000-0008-0000-1400-00000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98312" name="Check Box 8" hidden="1">
              <a:extLst>
                <a:ext uri="{63B3BB69-23CF-44E3-9099-C40C66FF867C}">
                  <a14:compatExt spid="_x0000_s98312"/>
                </a:ext>
                <a:ext uri="{FF2B5EF4-FFF2-40B4-BE49-F238E27FC236}">
                  <a16:creationId xmlns:a16="http://schemas.microsoft.com/office/drawing/2014/main" id="{00000000-0008-0000-1400-00000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98313" name="Check Box 9" hidden="1">
              <a:extLst>
                <a:ext uri="{63B3BB69-23CF-44E3-9099-C40C66FF867C}">
                  <a14:compatExt spid="_x0000_s98313"/>
                </a:ext>
                <a:ext uri="{FF2B5EF4-FFF2-40B4-BE49-F238E27FC236}">
                  <a16:creationId xmlns:a16="http://schemas.microsoft.com/office/drawing/2014/main" id="{00000000-0008-0000-1400-000009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98314" name="Check Box 10" hidden="1">
              <a:extLst>
                <a:ext uri="{63B3BB69-23CF-44E3-9099-C40C66FF867C}">
                  <a14:compatExt spid="_x0000_s98314"/>
                </a:ext>
                <a:ext uri="{FF2B5EF4-FFF2-40B4-BE49-F238E27FC236}">
                  <a16:creationId xmlns:a16="http://schemas.microsoft.com/office/drawing/2014/main" id="{00000000-0008-0000-1400-00000A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98315" name="Check Box 11" hidden="1">
              <a:extLst>
                <a:ext uri="{63B3BB69-23CF-44E3-9099-C40C66FF867C}">
                  <a14:compatExt spid="_x0000_s98315"/>
                </a:ext>
                <a:ext uri="{FF2B5EF4-FFF2-40B4-BE49-F238E27FC236}">
                  <a16:creationId xmlns:a16="http://schemas.microsoft.com/office/drawing/2014/main" id="{00000000-0008-0000-1400-00000B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98316" name="Check Box 12" hidden="1">
              <a:extLst>
                <a:ext uri="{63B3BB69-23CF-44E3-9099-C40C66FF867C}">
                  <a14:compatExt spid="_x0000_s98316"/>
                </a:ext>
                <a:ext uri="{FF2B5EF4-FFF2-40B4-BE49-F238E27FC236}">
                  <a16:creationId xmlns:a16="http://schemas.microsoft.com/office/drawing/2014/main" id="{00000000-0008-0000-1400-00000C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98317" name="Check Box 13" hidden="1">
              <a:extLst>
                <a:ext uri="{63B3BB69-23CF-44E3-9099-C40C66FF867C}">
                  <a14:compatExt spid="_x0000_s98317"/>
                </a:ext>
                <a:ext uri="{FF2B5EF4-FFF2-40B4-BE49-F238E27FC236}">
                  <a16:creationId xmlns:a16="http://schemas.microsoft.com/office/drawing/2014/main" id="{00000000-0008-0000-1400-00000D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98318" name="Check Box 14" hidden="1">
              <a:extLst>
                <a:ext uri="{63B3BB69-23CF-44E3-9099-C40C66FF867C}">
                  <a14:compatExt spid="_x0000_s98318"/>
                </a:ext>
                <a:ext uri="{FF2B5EF4-FFF2-40B4-BE49-F238E27FC236}">
                  <a16:creationId xmlns:a16="http://schemas.microsoft.com/office/drawing/2014/main" id="{00000000-0008-0000-1400-00000E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98319" name="Check Box 15" hidden="1">
              <a:extLst>
                <a:ext uri="{63B3BB69-23CF-44E3-9099-C40C66FF867C}">
                  <a14:compatExt spid="_x0000_s98319"/>
                </a:ext>
                <a:ext uri="{FF2B5EF4-FFF2-40B4-BE49-F238E27FC236}">
                  <a16:creationId xmlns:a16="http://schemas.microsoft.com/office/drawing/2014/main" id="{00000000-0008-0000-1400-00000F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98320" name="Check Box 16" hidden="1">
              <a:extLst>
                <a:ext uri="{63B3BB69-23CF-44E3-9099-C40C66FF867C}">
                  <a14:compatExt spid="_x0000_s98320"/>
                </a:ext>
                <a:ext uri="{FF2B5EF4-FFF2-40B4-BE49-F238E27FC236}">
                  <a16:creationId xmlns:a16="http://schemas.microsoft.com/office/drawing/2014/main" id="{00000000-0008-0000-1400-000010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98321" name="Check Box 17" hidden="1">
              <a:extLst>
                <a:ext uri="{63B3BB69-23CF-44E3-9099-C40C66FF867C}">
                  <a14:compatExt spid="_x0000_s98321"/>
                </a:ext>
                <a:ext uri="{FF2B5EF4-FFF2-40B4-BE49-F238E27FC236}">
                  <a16:creationId xmlns:a16="http://schemas.microsoft.com/office/drawing/2014/main" id="{00000000-0008-0000-1400-000011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98322" name="Check Box 18" hidden="1">
              <a:extLst>
                <a:ext uri="{63B3BB69-23CF-44E3-9099-C40C66FF867C}">
                  <a14:compatExt spid="_x0000_s98322"/>
                </a:ext>
                <a:ext uri="{FF2B5EF4-FFF2-40B4-BE49-F238E27FC236}">
                  <a16:creationId xmlns:a16="http://schemas.microsoft.com/office/drawing/2014/main" id="{00000000-0008-0000-1400-000012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98323" name="Check Box 19" hidden="1">
              <a:extLst>
                <a:ext uri="{63B3BB69-23CF-44E3-9099-C40C66FF867C}">
                  <a14:compatExt spid="_x0000_s98323"/>
                </a:ext>
                <a:ext uri="{FF2B5EF4-FFF2-40B4-BE49-F238E27FC236}">
                  <a16:creationId xmlns:a16="http://schemas.microsoft.com/office/drawing/2014/main" id="{00000000-0008-0000-1400-000013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98324" name="Check Box 20" hidden="1">
              <a:extLst>
                <a:ext uri="{63B3BB69-23CF-44E3-9099-C40C66FF867C}">
                  <a14:compatExt spid="_x0000_s98324"/>
                </a:ext>
                <a:ext uri="{FF2B5EF4-FFF2-40B4-BE49-F238E27FC236}">
                  <a16:creationId xmlns:a16="http://schemas.microsoft.com/office/drawing/2014/main" id="{00000000-0008-0000-1400-000014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152400</xdr:rowOff>
        </xdr:from>
        <xdr:to>
          <xdr:col>36</xdr:col>
          <xdr:colOff>47625</xdr:colOff>
          <xdr:row>63</xdr:row>
          <xdr:rowOff>9525</xdr:rowOff>
        </xdr:to>
        <xdr:sp macro="" textlink="">
          <xdr:nvSpPr>
            <xdr:cNvPr id="98325" name="Check Box 21" hidden="1">
              <a:extLst>
                <a:ext uri="{63B3BB69-23CF-44E3-9099-C40C66FF867C}">
                  <a14:compatExt spid="_x0000_s98325"/>
                </a:ext>
                <a:ext uri="{FF2B5EF4-FFF2-40B4-BE49-F238E27FC236}">
                  <a16:creationId xmlns:a16="http://schemas.microsoft.com/office/drawing/2014/main" id="{00000000-0008-0000-1400-000015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176</xdr:row>
      <xdr:rowOff>33750</xdr:rowOff>
    </xdr:from>
    <xdr:ext cx="252000" cy="252000"/>
    <xdr:sp macro="[0]!ICPC" textlink="">
      <xdr:nvSpPr>
        <xdr:cNvPr id="31" name="Down Arrow 44">
          <a:extLst>
            <a:ext uri="{FF2B5EF4-FFF2-40B4-BE49-F238E27FC236}">
              <a16:creationId xmlns:a16="http://schemas.microsoft.com/office/drawing/2014/main" id="{00000000-0008-0000-1400-00001F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172</xdr:row>
      <xdr:rowOff>0</xdr:rowOff>
    </xdr:from>
    <xdr:to>
      <xdr:col>8</xdr:col>
      <xdr:colOff>0</xdr:colOff>
      <xdr:row>175</xdr:row>
      <xdr:rowOff>0</xdr:rowOff>
    </xdr:to>
    <xdr:graphicFrame macro="">
      <xdr:nvGraphicFramePr>
        <xdr:cNvPr id="32" name="Chart 13">
          <a:extLst>
            <a:ext uri="{FF2B5EF4-FFF2-40B4-BE49-F238E27FC236}">
              <a16:creationId xmlns:a16="http://schemas.microsoft.com/office/drawing/2014/main" id="{00000000-0008-0000-14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98326" name="Check Box 22" hidden="1">
              <a:extLst>
                <a:ext uri="{63B3BB69-23CF-44E3-9099-C40C66FF867C}">
                  <a14:compatExt spid="_x0000_s98326"/>
                </a:ext>
                <a:ext uri="{FF2B5EF4-FFF2-40B4-BE49-F238E27FC236}">
                  <a16:creationId xmlns:a16="http://schemas.microsoft.com/office/drawing/2014/main" id="{00000000-0008-0000-1400-000016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98327" name="Check Box 23" hidden="1">
              <a:extLst>
                <a:ext uri="{63B3BB69-23CF-44E3-9099-C40C66FF867C}">
                  <a14:compatExt spid="_x0000_s98327"/>
                </a:ext>
                <a:ext uri="{FF2B5EF4-FFF2-40B4-BE49-F238E27FC236}">
                  <a16:creationId xmlns:a16="http://schemas.microsoft.com/office/drawing/2014/main" id="{00000000-0008-0000-1400-000017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143</xdr:row>
      <xdr:rowOff>95250</xdr:rowOff>
    </xdr:from>
    <xdr:to>
      <xdr:col>20</xdr:col>
      <xdr:colOff>514349</xdr:colOff>
      <xdr:row>174</xdr:row>
      <xdr:rowOff>533399</xdr:rowOff>
    </xdr:to>
    <xdr:graphicFrame macro="">
      <xdr:nvGraphicFramePr>
        <xdr:cNvPr id="35" name="Chart 13">
          <a:extLst>
            <a:ext uri="{FF2B5EF4-FFF2-40B4-BE49-F238E27FC236}">
              <a16:creationId xmlns:a16="http://schemas.microsoft.com/office/drawing/2014/main" id="{00000000-0008-0000-14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152400</xdr:rowOff>
        </xdr:from>
        <xdr:to>
          <xdr:col>36</xdr:col>
          <xdr:colOff>47625</xdr:colOff>
          <xdr:row>64</xdr:row>
          <xdr:rowOff>9525</xdr:rowOff>
        </xdr:to>
        <xdr:sp macro="" textlink="">
          <xdr:nvSpPr>
            <xdr:cNvPr id="98328" name="Check Box 24" hidden="1">
              <a:extLst>
                <a:ext uri="{63B3BB69-23CF-44E3-9099-C40C66FF867C}">
                  <a14:compatExt spid="_x0000_s98328"/>
                </a:ext>
                <a:ext uri="{FF2B5EF4-FFF2-40B4-BE49-F238E27FC236}">
                  <a16:creationId xmlns:a16="http://schemas.microsoft.com/office/drawing/2014/main" id="{00000000-0008-0000-1400-0000188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ICPC" textlink="">
      <xdr:nvSpPr>
        <xdr:cNvPr id="37" name="Down Arrow 44">
          <a:extLst>
            <a:ext uri="{FF2B5EF4-FFF2-40B4-BE49-F238E27FC236}">
              <a16:creationId xmlns:a16="http://schemas.microsoft.com/office/drawing/2014/main" id="{00000000-0008-0000-14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38" name="Chart 176">
          <a:extLst>
            <a:ext uri="{FF2B5EF4-FFF2-40B4-BE49-F238E27FC236}">
              <a16:creationId xmlns:a16="http://schemas.microsoft.com/office/drawing/2014/main" id="{00000000-0008-0000-14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39" name="Chart 764">
          <a:extLst>
            <a:ext uri="{FF2B5EF4-FFF2-40B4-BE49-F238E27FC236}">
              <a16:creationId xmlns:a16="http://schemas.microsoft.com/office/drawing/2014/main" id="{00000000-0008-0000-14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140</xdr:row>
      <xdr:rowOff>33750</xdr:rowOff>
    </xdr:from>
    <xdr:ext cx="252000" cy="252000"/>
    <xdr:sp macro="[0]!ICPC" textlink="">
      <xdr:nvSpPr>
        <xdr:cNvPr id="42" name="Down Arrow 44">
          <a:extLst>
            <a:ext uri="{FF2B5EF4-FFF2-40B4-BE49-F238E27FC236}">
              <a16:creationId xmlns:a16="http://schemas.microsoft.com/office/drawing/2014/main" id="{00000000-0008-0000-1400-00002A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136</xdr:row>
      <xdr:rowOff>0</xdr:rowOff>
    </xdr:from>
    <xdr:to>
      <xdr:col>8</xdr:col>
      <xdr:colOff>0</xdr:colOff>
      <xdr:row>139</xdr:row>
      <xdr:rowOff>0</xdr:rowOff>
    </xdr:to>
    <xdr:graphicFrame macro="">
      <xdr:nvGraphicFramePr>
        <xdr:cNvPr id="43" name="Chart 13">
          <a:extLst>
            <a:ext uri="{FF2B5EF4-FFF2-40B4-BE49-F238E27FC236}">
              <a16:creationId xmlns:a16="http://schemas.microsoft.com/office/drawing/2014/main" id="{00000000-0008-0000-14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514349</xdr:colOff>
      <xdr:row>107</xdr:row>
      <xdr:rowOff>95250</xdr:rowOff>
    </xdr:from>
    <xdr:to>
      <xdr:col>20</xdr:col>
      <xdr:colOff>514349</xdr:colOff>
      <xdr:row>138</xdr:row>
      <xdr:rowOff>533399</xdr:rowOff>
    </xdr:to>
    <xdr:graphicFrame macro="">
      <xdr:nvGraphicFramePr>
        <xdr:cNvPr id="44" name="Chart 13">
          <a:extLst>
            <a:ext uri="{FF2B5EF4-FFF2-40B4-BE49-F238E27FC236}">
              <a16:creationId xmlns:a16="http://schemas.microsoft.com/office/drawing/2014/main" id="{00000000-0008-0000-14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6" name="Picture 45">
          <a:extLst>
            <a:ext uri="{FF2B5EF4-FFF2-40B4-BE49-F238E27FC236}">
              <a16:creationId xmlns:a16="http://schemas.microsoft.com/office/drawing/2014/main" id="{00000000-0008-0000-1400-00002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Sec_47" textlink="">
      <xdr:nvSpPr>
        <xdr:cNvPr id="47" name="Right Arrow 46">
          <a:extLst>
            <a:ext uri="{FF2B5EF4-FFF2-40B4-BE49-F238E27FC236}">
              <a16:creationId xmlns:a16="http://schemas.microsoft.com/office/drawing/2014/main" id="{00000000-0008-0000-1400-00002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PP" textlink="">
      <xdr:nvSpPr>
        <xdr:cNvPr id="48" name="Right Arrow 50">
          <a:extLst>
            <a:ext uri="{FF2B5EF4-FFF2-40B4-BE49-F238E27FC236}">
              <a16:creationId xmlns:a16="http://schemas.microsoft.com/office/drawing/2014/main" id="{00000000-0008-0000-1400-00003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180975</xdr:colOff>
      <xdr:row>64</xdr:row>
      <xdr:rowOff>47625</xdr:rowOff>
    </xdr:from>
    <xdr:to>
      <xdr:col>11</xdr:col>
      <xdr:colOff>257175</xdr:colOff>
      <xdr:row>64</xdr:row>
      <xdr:rowOff>123825</xdr:rowOff>
    </xdr:to>
    <xdr:sp macro="" textlink="">
      <xdr:nvSpPr>
        <xdr:cNvPr id="49" name="Oval 2165">
          <a:extLst>
            <a:ext uri="{FF2B5EF4-FFF2-40B4-BE49-F238E27FC236}">
              <a16:creationId xmlns:a16="http://schemas.microsoft.com/office/drawing/2014/main" id="{00000000-0008-0000-1400-000031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50" name="Line 283">
          <a:extLst>
            <a:ext uri="{FF2B5EF4-FFF2-40B4-BE49-F238E27FC236}">
              <a16:creationId xmlns:a16="http://schemas.microsoft.com/office/drawing/2014/main" id="{00000000-0008-0000-14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51" name="Oval 2164">
          <a:extLst>
            <a:ext uri="{FF2B5EF4-FFF2-40B4-BE49-F238E27FC236}">
              <a16:creationId xmlns:a16="http://schemas.microsoft.com/office/drawing/2014/main" id="{00000000-0008-0000-14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52" name="Line 283">
          <a:extLst>
            <a:ext uri="{FF2B5EF4-FFF2-40B4-BE49-F238E27FC236}">
              <a16:creationId xmlns:a16="http://schemas.microsoft.com/office/drawing/2014/main" id="{00000000-0008-0000-14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38</xdr:row>
      <xdr:rowOff>133350</xdr:rowOff>
    </xdr:from>
    <xdr:to>
      <xdr:col>21</xdr:col>
      <xdr:colOff>0</xdr:colOff>
      <xdr:row>63</xdr:row>
      <xdr:rowOff>0</xdr:rowOff>
    </xdr:to>
    <xdr:graphicFrame macro="">
      <xdr:nvGraphicFramePr>
        <xdr:cNvPr id="53" name="Chart 176">
          <a:extLst>
            <a:ext uri="{FF2B5EF4-FFF2-40B4-BE49-F238E27FC236}">
              <a16:creationId xmlns:a16="http://schemas.microsoft.com/office/drawing/2014/main" id="{00000000-0008-0000-14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347250</xdr:colOff>
      <xdr:row>37</xdr:row>
      <xdr:rowOff>95250</xdr:rowOff>
    </xdr:to>
    <xdr:sp macro="[0]!CPP" textlink="">
      <xdr:nvSpPr>
        <xdr:cNvPr id="2" name="Down Arrow 44">
          <a:extLst>
            <a:ext uri="{FF2B5EF4-FFF2-40B4-BE49-F238E27FC236}">
              <a16:creationId xmlns:a16="http://schemas.microsoft.com/office/drawing/2014/main" id="{00000000-0008-0000-15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CPP" textlink="">
      <xdr:nvSpPr>
        <xdr:cNvPr id="3" name="Down Arrow 2">
          <a:extLst>
            <a:ext uri="{FF2B5EF4-FFF2-40B4-BE49-F238E27FC236}">
              <a16:creationId xmlns:a16="http://schemas.microsoft.com/office/drawing/2014/main" id="{00000000-0008-0000-15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409573</xdr:colOff>
      <xdr:row>0</xdr:row>
      <xdr:rowOff>85725</xdr:rowOff>
    </xdr:from>
    <xdr:to>
      <xdr:col>21</xdr:col>
      <xdr:colOff>54973</xdr:colOff>
      <xdr:row>2</xdr:row>
      <xdr:rowOff>149475</xdr:rowOff>
    </xdr:to>
    <xdr:sp macro="" textlink="">
      <xdr:nvSpPr>
        <xdr:cNvPr id="8" name="AutoShape 32">
          <a:extLst>
            <a:ext uri="{FF2B5EF4-FFF2-40B4-BE49-F238E27FC236}">
              <a16:creationId xmlns:a16="http://schemas.microsoft.com/office/drawing/2014/main" id="{00000000-0008-0000-1500-000008000000}"/>
            </a:ext>
          </a:extLst>
        </xdr:cNvPr>
        <xdr:cNvSpPr>
          <a:spLocks noChangeArrowheads="1"/>
        </xdr:cNvSpPr>
      </xdr:nvSpPr>
      <xdr:spPr bwMode="auto">
        <a:xfrm>
          <a:off x="6953248"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a:extLst>
            <a:ext uri="{FF2B5EF4-FFF2-40B4-BE49-F238E27FC236}">
              <a16:creationId xmlns:a16="http://schemas.microsoft.com/office/drawing/2014/main" id="{00000000-0008-0000-1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28575</xdr:rowOff>
        </xdr:from>
        <xdr:to>
          <xdr:col>36</xdr:col>
          <xdr:colOff>47625</xdr:colOff>
          <xdr:row>41</xdr:row>
          <xdr:rowOff>28575</xdr:rowOff>
        </xdr:to>
        <xdr:sp macro="" textlink="">
          <xdr:nvSpPr>
            <xdr:cNvPr id="99329" name="Check Box 1" hidden="1">
              <a:extLst>
                <a:ext uri="{63B3BB69-23CF-44E3-9099-C40C66FF867C}">
                  <a14:compatExt spid="_x0000_s99329"/>
                </a:ext>
                <a:ext uri="{FF2B5EF4-FFF2-40B4-BE49-F238E27FC236}">
                  <a16:creationId xmlns:a16="http://schemas.microsoft.com/office/drawing/2014/main" id="{00000000-0008-0000-1500-00000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161925</xdr:rowOff>
        </xdr:from>
        <xdr:to>
          <xdr:col>36</xdr:col>
          <xdr:colOff>47625</xdr:colOff>
          <xdr:row>42</xdr:row>
          <xdr:rowOff>28575</xdr:rowOff>
        </xdr:to>
        <xdr:sp macro="" textlink="">
          <xdr:nvSpPr>
            <xdr:cNvPr id="99330" name="Check Box 2" hidden="1">
              <a:extLst>
                <a:ext uri="{63B3BB69-23CF-44E3-9099-C40C66FF867C}">
                  <a14:compatExt spid="_x0000_s99330"/>
                </a:ext>
                <a:ext uri="{FF2B5EF4-FFF2-40B4-BE49-F238E27FC236}">
                  <a16:creationId xmlns:a16="http://schemas.microsoft.com/office/drawing/2014/main" id="{00000000-0008-0000-1500-00000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161925</xdr:rowOff>
        </xdr:from>
        <xdr:to>
          <xdr:col>36</xdr:col>
          <xdr:colOff>47625</xdr:colOff>
          <xdr:row>43</xdr:row>
          <xdr:rowOff>28575</xdr:rowOff>
        </xdr:to>
        <xdr:sp macro="" textlink="">
          <xdr:nvSpPr>
            <xdr:cNvPr id="99331" name="Check Box 3" hidden="1">
              <a:extLst>
                <a:ext uri="{63B3BB69-23CF-44E3-9099-C40C66FF867C}">
                  <a14:compatExt spid="_x0000_s99331"/>
                </a:ext>
                <a:ext uri="{FF2B5EF4-FFF2-40B4-BE49-F238E27FC236}">
                  <a16:creationId xmlns:a16="http://schemas.microsoft.com/office/drawing/2014/main" id="{00000000-0008-0000-1500-00000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161925</xdr:rowOff>
        </xdr:from>
        <xdr:to>
          <xdr:col>36</xdr:col>
          <xdr:colOff>47625</xdr:colOff>
          <xdr:row>44</xdr:row>
          <xdr:rowOff>28575</xdr:rowOff>
        </xdr:to>
        <xdr:sp macro="" textlink="">
          <xdr:nvSpPr>
            <xdr:cNvPr id="99332" name="Check Box 4" hidden="1">
              <a:extLst>
                <a:ext uri="{63B3BB69-23CF-44E3-9099-C40C66FF867C}">
                  <a14:compatExt spid="_x0000_s99332"/>
                </a:ext>
                <a:ext uri="{FF2B5EF4-FFF2-40B4-BE49-F238E27FC236}">
                  <a16:creationId xmlns:a16="http://schemas.microsoft.com/office/drawing/2014/main" id="{00000000-0008-0000-1500-00000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161925</xdr:rowOff>
        </xdr:from>
        <xdr:to>
          <xdr:col>36</xdr:col>
          <xdr:colOff>47625</xdr:colOff>
          <xdr:row>45</xdr:row>
          <xdr:rowOff>28575</xdr:rowOff>
        </xdr:to>
        <xdr:sp macro="" textlink="">
          <xdr:nvSpPr>
            <xdr:cNvPr id="99333" name="Check Box 5" hidden="1">
              <a:extLst>
                <a:ext uri="{63B3BB69-23CF-44E3-9099-C40C66FF867C}">
                  <a14:compatExt spid="_x0000_s99333"/>
                </a:ext>
                <a:ext uri="{FF2B5EF4-FFF2-40B4-BE49-F238E27FC236}">
                  <a16:creationId xmlns:a16="http://schemas.microsoft.com/office/drawing/2014/main" id="{00000000-0008-0000-1500-00000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161925</xdr:rowOff>
        </xdr:from>
        <xdr:to>
          <xdr:col>36</xdr:col>
          <xdr:colOff>47625</xdr:colOff>
          <xdr:row>46</xdr:row>
          <xdr:rowOff>28575</xdr:rowOff>
        </xdr:to>
        <xdr:sp macro="" textlink="">
          <xdr:nvSpPr>
            <xdr:cNvPr id="99334" name="Check Box 6" hidden="1">
              <a:extLst>
                <a:ext uri="{63B3BB69-23CF-44E3-9099-C40C66FF867C}">
                  <a14:compatExt spid="_x0000_s99334"/>
                </a:ext>
                <a:ext uri="{FF2B5EF4-FFF2-40B4-BE49-F238E27FC236}">
                  <a16:creationId xmlns:a16="http://schemas.microsoft.com/office/drawing/2014/main" id="{00000000-0008-0000-1500-00000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161925</xdr:rowOff>
        </xdr:from>
        <xdr:to>
          <xdr:col>36</xdr:col>
          <xdr:colOff>47625</xdr:colOff>
          <xdr:row>47</xdr:row>
          <xdr:rowOff>28575</xdr:rowOff>
        </xdr:to>
        <xdr:sp macro="" textlink="">
          <xdr:nvSpPr>
            <xdr:cNvPr id="99335" name="Check Box 7" hidden="1">
              <a:extLst>
                <a:ext uri="{63B3BB69-23CF-44E3-9099-C40C66FF867C}">
                  <a14:compatExt spid="_x0000_s99335"/>
                </a:ext>
                <a:ext uri="{FF2B5EF4-FFF2-40B4-BE49-F238E27FC236}">
                  <a16:creationId xmlns:a16="http://schemas.microsoft.com/office/drawing/2014/main" id="{00000000-0008-0000-1500-00000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161925</xdr:rowOff>
        </xdr:from>
        <xdr:to>
          <xdr:col>36</xdr:col>
          <xdr:colOff>47625</xdr:colOff>
          <xdr:row>48</xdr:row>
          <xdr:rowOff>28575</xdr:rowOff>
        </xdr:to>
        <xdr:sp macro="" textlink="">
          <xdr:nvSpPr>
            <xdr:cNvPr id="99336" name="Check Box 8" hidden="1">
              <a:extLst>
                <a:ext uri="{63B3BB69-23CF-44E3-9099-C40C66FF867C}">
                  <a14:compatExt spid="_x0000_s99336"/>
                </a:ext>
                <a:ext uri="{FF2B5EF4-FFF2-40B4-BE49-F238E27FC236}">
                  <a16:creationId xmlns:a16="http://schemas.microsoft.com/office/drawing/2014/main" id="{00000000-0008-0000-1500-00000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161925</xdr:rowOff>
        </xdr:from>
        <xdr:to>
          <xdr:col>36</xdr:col>
          <xdr:colOff>47625</xdr:colOff>
          <xdr:row>49</xdr:row>
          <xdr:rowOff>28575</xdr:rowOff>
        </xdr:to>
        <xdr:sp macro="" textlink="">
          <xdr:nvSpPr>
            <xdr:cNvPr id="99337" name="Check Box 9" hidden="1">
              <a:extLst>
                <a:ext uri="{63B3BB69-23CF-44E3-9099-C40C66FF867C}">
                  <a14:compatExt spid="_x0000_s99337"/>
                </a:ext>
                <a:ext uri="{FF2B5EF4-FFF2-40B4-BE49-F238E27FC236}">
                  <a16:creationId xmlns:a16="http://schemas.microsoft.com/office/drawing/2014/main" id="{00000000-0008-0000-1500-000009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161925</xdr:rowOff>
        </xdr:from>
        <xdr:to>
          <xdr:col>36</xdr:col>
          <xdr:colOff>47625</xdr:colOff>
          <xdr:row>50</xdr:row>
          <xdr:rowOff>28575</xdr:rowOff>
        </xdr:to>
        <xdr:sp macro="" textlink="">
          <xdr:nvSpPr>
            <xdr:cNvPr id="99338" name="Check Box 10" hidden="1">
              <a:extLst>
                <a:ext uri="{63B3BB69-23CF-44E3-9099-C40C66FF867C}">
                  <a14:compatExt spid="_x0000_s99338"/>
                </a:ext>
                <a:ext uri="{FF2B5EF4-FFF2-40B4-BE49-F238E27FC236}">
                  <a16:creationId xmlns:a16="http://schemas.microsoft.com/office/drawing/2014/main" id="{00000000-0008-0000-1500-00000A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161925</xdr:rowOff>
        </xdr:from>
        <xdr:to>
          <xdr:col>36</xdr:col>
          <xdr:colOff>47625</xdr:colOff>
          <xdr:row>51</xdr:row>
          <xdr:rowOff>28575</xdr:rowOff>
        </xdr:to>
        <xdr:sp macro="" textlink="">
          <xdr:nvSpPr>
            <xdr:cNvPr id="99339" name="Check Box 11" hidden="1">
              <a:extLst>
                <a:ext uri="{63B3BB69-23CF-44E3-9099-C40C66FF867C}">
                  <a14:compatExt spid="_x0000_s99339"/>
                </a:ext>
                <a:ext uri="{FF2B5EF4-FFF2-40B4-BE49-F238E27FC236}">
                  <a16:creationId xmlns:a16="http://schemas.microsoft.com/office/drawing/2014/main" id="{00000000-0008-0000-1500-00000B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161925</xdr:rowOff>
        </xdr:from>
        <xdr:to>
          <xdr:col>36</xdr:col>
          <xdr:colOff>47625</xdr:colOff>
          <xdr:row>52</xdr:row>
          <xdr:rowOff>28575</xdr:rowOff>
        </xdr:to>
        <xdr:sp macro="" textlink="">
          <xdr:nvSpPr>
            <xdr:cNvPr id="99340" name="Check Box 12" hidden="1">
              <a:extLst>
                <a:ext uri="{63B3BB69-23CF-44E3-9099-C40C66FF867C}">
                  <a14:compatExt spid="_x0000_s99340"/>
                </a:ext>
                <a:ext uri="{FF2B5EF4-FFF2-40B4-BE49-F238E27FC236}">
                  <a16:creationId xmlns:a16="http://schemas.microsoft.com/office/drawing/2014/main" id="{00000000-0008-0000-1500-00000C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161925</xdr:rowOff>
        </xdr:from>
        <xdr:to>
          <xdr:col>36</xdr:col>
          <xdr:colOff>47625</xdr:colOff>
          <xdr:row>53</xdr:row>
          <xdr:rowOff>28575</xdr:rowOff>
        </xdr:to>
        <xdr:sp macro="" textlink="">
          <xdr:nvSpPr>
            <xdr:cNvPr id="99341" name="Check Box 13" hidden="1">
              <a:extLst>
                <a:ext uri="{63B3BB69-23CF-44E3-9099-C40C66FF867C}">
                  <a14:compatExt spid="_x0000_s99341"/>
                </a:ext>
                <a:ext uri="{FF2B5EF4-FFF2-40B4-BE49-F238E27FC236}">
                  <a16:creationId xmlns:a16="http://schemas.microsoft.com/office/drawing/2014/main" id="{00000000-0008-0000-1500-00000D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161925</xdr:rowOff>
        </xdr:from>
        <xdr:to>
          <xdr:col>36</xdr:col>
          <xdr:colOff>47625</xdr:colOff>
          <xdr:row>54</xdr:row>
          <xdr:rowOff>28575</xdr:rowOff>
        </xdr:to>
        <xdr:sp macro="" textlink="">
          <xdr:nvSpPr>
            <xdr:cNvPr id="99342" name="Check Box 14" hidden="1">
              <a:extLst>
                <a:ext uri="{63B3BB69-23CF-44E3-9099-C40C66FF867C}">
                  <a14:compatExt spid="_x0000_s99342"/>
                </a:ext>
                <a:ext uri="{FF2B5EF4-FFF2-40B4-BE49-F238E27FC236}">
                  <a16:creationId xmlns:a16="http://schemas.microsoft.com/office/drawing/2014/main" id="{00000000-0008-0000-1500-00000E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161925</xdr:rowOff>
        </xdr:from>
        <xdr:to>
          <xdr:col>36</xdr:col>
          <xdr:colOff>47625</xdr:colOff>
          <xdr:row>55</xdr:row>
          <xdr:rowOff>28575</xdr:rowOff>
        </xdr:to>
        <xdr:sp macro="" textlink="">
          <xdr:nvSpPr>
            <xdr:cNvPr id="99343" name="Check Box 15" hidden="1">
              <a:extLst>
                <a:ext uri="{63B3BB69-23CF-44E3-9099-C40C66FF867C}">
                  <a14:compatExt spid="_x0000_s99343"/>
                </a:ext>
                <a:ext uri="{FF2B5EF4-FFF2-40B4-BE49-F238E27FC236}">
                  <a16:creationId xmlns:a16="http://schemas.microsoft.com/office/drawing/2014/main" id="{00000000-0008-0000-1500-00000F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161925</xdr:rowOff>
        </xdr:from>
        <xdr:to>
          <xdr:col>36</xdr:col>
          <xdr:colOff>47625</xdr:colOff>
          <xdr:row>56</xdr:row>
          <xdr:rowOff>28575</xdr:rowOff>
        </xdr:to>
        <xdr:sp macro="" textlink="">
          <xdr:nvSpPr>
            <xdr:cNvPr id="99344" name="Check Box 16" hidden="1">
              <a:extLst>
                <a:ext uri="{63B3BB69-23CF-44E3-9099-C40C66FF867C}">
                  <a14:compatExt spid="_x0000_s99344"/>
                </a:ext>
                <a:ext uri="{FF2B5EF4-FFF2-40B4-BE49-F238E27FC236}">
                  <a16:creationId xmlns:a16="http://schemas.microsoft.com/office/drawing/2014/main" id="{00000000-0008-0000-1500-000010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161925</xdr:rowOff>
        </xdr:from>
        <xdr:to>
          <xdr:col>36</xdr:col>
          <xdr:colOff>47625</xdr:colOff>
          <xdr:row>59</xdr:row>
          <xdr:rowOff>28575</xdr:rowOff>
        </xdr:to>
        <xdr:sp macro="" textlink="">
          <xdr:nvSpPr>
            <xdr:cNvPr id="99345" name="Check Box 17" hidden="1">
              <a:extLst>
                <a:ext uri="{63B3BB69-23CF-44E3-9099-C40C66FF867C}">
                  <a14:compatExt spid="_x0000_s99345"/>
                </a:ext>
                <a:ext uri="{FF2B5EF4-FFF2-40B4-BE49-F238E27FC236}">
                  <a16:creationId xmlns:a16="http://schemas.microsoft.com/office/drawing/2014/main" id="{00000000-0008-0000-1500-000011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161925</xdr:rowOff>
        </xdr:from>
        <xdr:to>
          <xdr:col>36</xdr:col>
          <xdr:colOff>47625</xdr:colOff>
          <xdr:row>60</xdr:row>
          <xdr:rowOff>28575</xdr:rowOff>
        </xdr:to>
        <xdr:sp macro="" textlink="">
          <xdr:nvSpPr>
            <xdr:cNvPr id="99346" name="Check Box 18" hidden="1">
              <a:extLst>
                <a:ext uri="{63B3BB69-23CF-44E3-9099-C40C66FF867C}">
                  <a14:compatExt spid="_x0000_s99346"/>
                </a:ext>
                <a:ext uri="{FF2B5EF4-FFF2-40B4-BE49-F238E27FC236}">
                  <a16:creationId xmlns:a16="http://schemas.microsoft.com/office/drawing/2014/main" id="{00000000-0008-0000-1500-000012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161925</xdr:rowOff>
        </xdr:from>
        <xdr:to>
          <xdr:col>36</xdr:col>
          <xdr:colOff>47625</xdr:colOff>
          <xdr:row>61</xdr:row>
          <xdr:rowOff>28575</xdr:rowOff>
        </xdr:to>
        <xdr:sp macro="" textlink="">
          <xdr:nvSpPr>
            <xdr:cNvPr id="99347" name="Check Box 19" hidden="1">
              <a:extLst>
                <a:ext uri="{63B3BB69-23CF-44E3-9099-C40C66FF867C}">
                  <a14:compatExt spid="_x0000_s99347"/>
                </a:ext>
                <a:ext uri="{FF2B5EF4-FFF2-40B4-BE49-F238E27FC236}">
                  <a16:creationId xmlns:a16="http://schemas.microsoft.com/office/drawing/2014/main" id="{00000000-0008-0000-1500-000013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161925</xdr:rowOff>
        </xdr:from>
        <xdr:to>
          <xdr:col>36</xdr:col>
          <xdr:colOff>47625</xdr:colOff>
          <xdr:row>62</xdr:row>
          <xdr:rowOff>28575</xdr:rowOff>
        </xdr:to>
        <xdr:sp macro="" textlink="">
          <xdr:nvSpPr>
            <xdr:cNvPr id="99348" name="Check Box 20" hidden="1">
              <a:extLst>
                <a:ext uri="{63B3BB69-23CF-44E3-9099-C40C66FF867C}">
                  <a14:compatExt spid="_x0000_s99348"/>
                </a:ext>
                <a:ext uri="{FF2B5EF4-FFF2-40B4-BE49-F238E27FC236}">
                  <a16:creationId xmlns:a16="http://schemas.microsoft.com/office/drawing/2014/main" id="{00000000-0008-0000-1500-000014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161925</xdr:rowOff>
        </xdr:from>
        <xdr:to>
          <xdr:col>36</xdr:col>
          <xdr:colOff>47625</xdr:colOff>
          <xdr:row>63</xdr:row>
          <xdr:rowOff>28575</xdr:rowOff>
        </xdr:to>
        <xdr:sp macro="" textlink="">
          <xdr:nvSpPr>
            <xdr:cNvPr id="99349" name="Check Box 21" hidden="1">
              <a:extLst>
                <a:ext uri="{63B3BB69-23CF-44E3-9099-C40C66FF867C}">
                  <a14:compatExt spid="_x0000_s99349"/>
                </a:ext>
                <a:ext uri="{FF2B5EF4-FFF2-40B4-BE49-F238E27FC236}">
                  <a16:creationId xmlns:a16="http://schemas.microsoft.com/office/drawing/2014/main" id="{00000000-0008-0000-1500-000015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284</xdr:row>
      <xdr:rowOff>33750</xdr:rowOff>
    </xdr:from>
    <xdr:ext cx="252000" cy="252000"/>
    <xdr:sp macro="[0]!CPP" textlink="">
      <xdr:nvSpPr>
        <xdr:cNvPr id="31" name="Down Arrow 44">
          <a:extLst>
            <a:ext uri="{FF2B5EF4-FFF2-40B4-BE49-F238E27FC236}">
              <a16:creationId xmlns:a16="http://schemas.microsoft.com/office/drawing/2014/main" id="{00000000-0008-0000-1500-00001F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280</xdr:row>
      <xdr:rowOff>0</xdr:rowOff>
    </xdr:from>
    <xdr:to>
      <xdr:col>8</xdr:col>
      <xdr:colOff>0</xdr:colOff>
      <xdr:row>283</xdr:row>
      <xdr:rowOff>0</xdr:rowOff>
    </xdr:to>
    <xdr:graphicFrame macro="">
      <xdr:nvGraphicFramePr>
        <xdr:cNvPr id="32" name="Chart 13">
          <a:extLst>
            <a:ext uri="{FF2B5EF4-FFF2-40B4-BE49-F238E27FC236}">
              <a16:creationId xmlns:a16="http://schemas.microsoft.com/office/drawing/2014/main" id="{00000000-0008-0000-15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161925</xdr:rowOff>
        </xdr:from>
        <xdr:to>
          <xdr:col>36</xdr:col>
          <xdr:colOff>47625</xdr:colOff>
          <xdr:row>57</xdr:row>
          <xdr:rowOff>28575</xdr:rowOff>
        </xdr:to>
        <xdr:sp macro="" textlink="">
          <xdr:nvSpPr>
            <xdr:cNvPr id="99350" name="Check Box 22" hidden="1">
              <a:extLst>
                <a:ext uri="{63B3BB69-23CF-44E3-9099-C40C66FF867C}">
                  <a14:compatExt spid="_x0000_s99350"/>
                </a:ext>
                <a:ext uri="{FF2B5EF4-FFF2-40B4-BE49-F238E27FC236}">
                  <a16:creationId xmlns:a16="http://schemas.microsoft.com/office/drawing/2014/main" id="{00000000-0008-0000-1500-000016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161925</xdr:rowOff>
        </xdr:from>
        <xdr:to>
          <xdr:col>36</xdr:col>
          <xdr:colOff>47625</xdr:colOff>
          <xdr:row>58</xdr:row>
          <xdr:rowOff>28575</xdr:rowOff>
        </xdr:to>
        <xdr:sp macro="" textlink="">
          <xdr:nvSpPr>
            <xdr:cNvPr id="99351" name="Check Box 23" hidden="1">
              <a:extLst>
                <a:ext uri="{63B3BB69-23CF-44E3-9099-C40C66FF867C}">
                  <a14:compatExt spid="_x0000_s99351"/>
                </a:ext>
                <a:ext uri="{FF2B5EF4-FFF2-40B4-BE49-F238E27FC236}">
                  <a16:creationId xmlns:a16="http://schemas.microsoft.com/office/drawing/2014/main" id="{00000000-0008-0000-1500-000017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251</xdr:row>
      <xdr:rowOff>95250</xdr:rowOff>
    </xdr:from>
    <xdr:to>
      <xdr:col>20</xdr:col>
      <xdr:colOff>514349</xdr:colOff>
      <xdr:row>282</xdr:row>
      <xdr:rowOff>533399</xdr:rowOff>
    </xdr:to>
    <xdr:graphicFrame macro="">
      <xdr:nvGraphicFramePr>
        <xdr:cNvPr id="35" name="Chart 13">
          <a:extLst>
            <a:ext uri="{FF2B5EF4-FFF2-40B4-BE49-F238E27FC236}">
              <a16:creationId xmlns:a16="http://schemas.microsoft.com/office/drawing/2014/main" id="{00000000-0008-0000-15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161925</xdr:rowOff>
        </xdr:from>
        <xdr:to>
          <xdr:col>36</xdr:col>
          <xdr:colOff>47625</xdr:colOff>
          <xdr:row>64</xdr:row>
          <xdr:rowOff>28575</xdr:rowOff>
        </xdr:to>
        <xdr:sp macro="" textlink="">
          <xdr:nvSpPr>
            <xdr:cNvPr id="99352" name="Check Box 24" hidden="1">
              <a:extLst>
                <a:ext uri="{63B3BB69-23CF-44E3-9099-C40C66FF867C}">
                  <a14:compatExt spid="_x0000_s99352"/>
                </a:ext>
                <a:ext uri="{FF2B5EF4-FFF2-40B4-BE49-F238E27FC236}">
                  <a16:creationId xmlns:a16="http://schemas.microsoft.com/office/drawing/2014/main" id="{00000000-0008-0000-1500-0000188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CPP" textlink="">
      <xdr:nvSpPr>
        <xdr:cNvPr id="37" name="Down Arrow 44">
          <a:extLst>
            <a:ext uri="{FF2B5EF4-FFF2-40B4-BE49-F238E27FC236}">
              <a16:creationId xmlns:a16="http://schemas.microsoft.com/office/drawing/2014/main" id="{00000000-0008-0000-1500-000025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38" name="Chart 176">
          <a:extLst>
            <a:ext uri="{FF2B5EF4-FFF2-40B4-BE49-F238E27FC236}">
              <a16:creationId xmlns:a16="http://schemas.microsoft.com/office/drawing/2014/main" id="{00000000-0008-0000-15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39" name="Chart 764">
          <a:extLst>
            <a:ext uri="{FF2B5EF4-FFF2-40B4-BE49-F238E27FC236}">
              <a16:creationId xmlns:a16="http://schemas.microsoft.com/office/drawing/2014/main" id="{00000000-0008-0000-15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248</xdr:row>
      <xdr:rowOff>33750</xdr:rowOff>
    </xdr:from>
    <xdr:ext cx="252000" cy="252000"/>
    <xdr:sp macro="[0]!CPP" textlink="">
      <xdr:nvSpPr>
        <xdr:cNvPr id="42" name="Down Arrow 44">
          <a:extLst>
            <a:ext uri="{FF2B5EF4-FFF2-40B4-BE49-F238E27FC236}">
              <a16:creationId xmlns:a16="http://schemas.microsoft.com/office/drawing/2014/main" id="{00000000-0008-0000-1500-00002A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244</xdr:row>
      <xdr:rowOff>0</xdr:rowOff>
    </xdr:from>
    <xdr:to>
      <xdr:col>8</xdr:col>
      <xdr:colOff>0</xdr:colOff>
      <xdr:row>247</xdr:row>
      <xdr:rowOff>0</xdr:rowOff>
    </xdr:to>
    <xdr:graphicFrame macro="">
      <xdr:nvGraphicFramePr>
        <xdr:cNvPr id="43" name="Chart 13">
          <a:extLst>
            <a:ext uri="{FF2B5EF4-FFF2-40B4-BE49-F238E27FC236}">
              <a16:creationId xmlns:a16="http://schemas.microsoft.com/office/drawing/2014/main" id="{00000000-0008-0000-15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514349</xdr:colOff>
      <xdr:row>215</xdr:row>
      <xdr:rowOff>95250</xdr:rowOff>
    </xdr:from>
    <xdr:to>
      <xdr:col>20</xdr:col>
      <xdr:colOff>514349</xdr:colOff>
      <xdr:row>246</xdr:row>
      <xdr:rowOff>533399</xdr:rowOff>
    </xdr:to>
    <xdr:graphicFrame macro="">
      <xdr:nvGraphicFramePr>
        <xdr:cNvPr id="44" name="Chart 13">
          <a:extLst>
            <a:ext uri="{FF2B5EF4-FFF2-40B4-BE49-F238E27FC236}">
              <a16:creationId xmlns:a16="http://schemas.microsoft.com/office/drawing/2014/main" id="{00000000-0008-0000-15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212</xdr:row>
      <xdr:rowOff>33750</xdr:rowOff>
    </xdr:from>
    <xdr:ext cx="252000" cy="252000"/>
    <xdr:sp macro="[0]!CPP" textlink="">
      <xdr:nvSpPr>
        <xdr:cNvPr id="45" name="Down Arrow 44">
          <a:extLst>
            <a:ext uri="{FF2B5EF4-FFF2-40B4-BE49-F238E27FC236}">
              <a16:creationId xmlns:a16="http://schemas.microsoft.com/office/drawing/2014/main" id="{00000000-0008-0000-1500-00002D000000}"/>
            </a:ext>
          </a:extLst>
        </xdr:cNvPr>
        <xdr:cNvSpPr>
          <a:spLocks noChangeArrowheads="1"/>
        </xdr:cNvSpPr>
      </xdr:nvSpPr>
      <xdr:spPr bwMode="auto">
        <a:xfrm flipV="1">
          <a:off x="9277350" y="469062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208</xdr:row>
      <xdr:rowOff>0</xdr:rowOff>
    </xdr:from>
    <xdr:to>
      <xdr:col>8</xdr:col>
      <xdr:colOff>0</xdr:colOff>
      <xdr:row>211</xdr:row>
      <xdr:rowOff>0</xdr:rowOff>
    </xdr:to>
    <xdr:graphicFrame macro="">
      <xdr:nvGraphicFramePr>
        <xdr:cNvPr id="46" name="Chart 13">
          <a:extLst>
            <a:ext uri="{FF2B5EF4-FFF2-40B4-BE49-F238E27FC236}">
              <a16:creationId xmlns:a16="http://schemas.microsoft.com/office/drawing/2014/main" id="{00000000-0008-0000-15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514349</xdr:colOff>
      <xdr:row>179</xdr:row>
      <xdr:rowOff>95250</xdr:rowOff>
    </xdr:from>
    <xdr:to>
      <xdr:col>20</xdr:col>
      <xdr:colOff>504824</xdr:colOff>
      <xdr:row>210</xdr:row>
      <xdr:rowOff>495299</xdr:rowOff>
    </xdr:to>
    <xdr:graphicFrame macro="">
      <xdr:nvGraphicFramePr>
        <xdr:cNvPr id="47" name="Chart 13">
          <a:extLst>
            <a:ext uri="{FF2B5EF4-FFF2-40B4-BE49-F238E27FC236}">
              <a16:creationId xmlns:a16="http://schemas.microsoft.com/office/drawing/2014/main" id="{00000000-0008-0000-15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53" name="Picture 52">
          <a:extLst>
            <a:ext uri="{FF2B5EF4-FFF2-40B4-BE49-F238E27FC236}">
              <a16:creationId xmlns:a16="http://schemas.microsoft.com/office/drawing/2014/main" id="{00000000-0008-0000-1500-000035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ICPC" textlink="">
      <xdr:nvSpPr>
        <xdr:cNvPr id="55" name="Right Arrow 54">
          <a:extLst>
            <a:ext uri="{FF2B5EF4-FFF2-40B4-BE49-F238E27FC236}">
              <a16:creationId xmlns:a16="http://schemas.microsoft.com/office/drawing/2014/main" id="{00000000-0008-0000-1500-000037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Court" textlink="">
      <xdr:nvSpPr>
        <xdr:cNvPr id="56" name="Right Arrow 50">
          <a:extLst>
            <a:ext uri="{FF2B5EF4-FFF2-40B4-BE49-F238E27FC236}">
              <a16:creationId xmlns:a16="http://schemas.microsoft.com/office/drawing/2014/main" id="{00000000-0008-0000-1500-000038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xdr:col>
      <xdr:colOff>0</xdr:colOff>
      <xdr:row>172</xdr:row>
      <xdr:rowOff>0</xdr:rowOff>
    </xdr:from>
    <xdr:to>
      <xdr:col>8</xdr:col>
      <xdr:colOff>0</xdr:colOff>
      <xdr:row>175</xdr:row>
      <xdr:rowOff>0</xdr:rowOff>
    </xdr:to>
    <xdr:graphicFrame macro="">
      <xdr:nvGraphicFramePr>
        <xdr:cNvPr id="58" name="Chart 13">
          <a:extLst>
            <a:ext uri="{FF2B5EF4-FFF2-40B4-BE49-F238E27FC236}">
              <a16:creationId xmlns:a16="http://schemas.microsoft.com/office/drawing/2014/main" id="{00000000-0008-0000-15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514349</xdr:colOff>
      <xdr:row>143</xdr:row>
      <xdr:rowOff>95250</xdr:rowOff>
    </xdr:from>
    <xdr:to>
      <xdr:col>20</xdr:col>
      <xdr:colOff>504824</xdr:colOff>
      <xdr:row>174</xdr:row>
      <xdr:rowOff>495299</xdr:rowOff>
    </xdr:to>
    <xdr:graphicFrame macro="">
      <xdr:nvGraphicFramePr>
        <xdr:cNvPr id="59" name="Chart 13">
          <a:extLst>
            <a:ext uri="{FF2B5EF4-FFF2-40B4-BE49-F238E27FC236}">
              <a16:creationId xmlns:a16="http://schemas.microsoft.com/office/drawing/2014/main" id="{00000000-0008-0000-15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22</xdr:col>
      <xdr:colOff>95250</xdr:colOff>
      <xdr:row>140</xdr:row>
      <xdr:rowOff>33750</xdr:rowOff>
    </xdr:from>
    <xdr:to>
      <xdr:col>22</xdr:col>
      <xdr:colOff>347250</xdr:colOff>
      <xdr:row>141</xdr:row>
      <xdr:rowOff>95250</xdr:rowOff>
    </xdr:to>
    <xdr:sp macro="[0]!CPP" textlink="">
      <xdr:nvSpPr>
        <xdr:cNvPr id="60" name="Down Arrow 59">
          <a:extLst>
            <a:ext uri="{FF2B5EF4-FFF2-40B4-BE49-F238E27FC236}">
              <a16:creationId xmlns:a16="http://schemas.microsoft.com/office/drawing/2014/main" id="{00000000-0008-0000-1500-00003C000000}"/>
            </a:ext>
          </a:extLst>
        </xdr:cNvPr>
        <xdr:cNvSpPr>
          <a:spLocks noChangeArrowheads="1"/>
        </xdr:cNvSpPr>
      </xdr:nvSpPr>
      <xdr:spPr bwMode="auto">
        <a:xfrm flipV="1">
          <a:off x="9277350" y="316758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xdr:col>
      <xdr:colOff>0</xdr:colOff>
      <xdr:row>136</xdr:row>
      <xdr:rowOff>0</xdr:rowOff>
    </xdr:from>
    <xdr:to>
      <xdr:col>8</xdr:col>
      <xdr:colOff>0</xdr:colOff>
      <xdr:row>139</xdr:row>
      <xdr:rowOff>0</xdr:rowOff>
    </xdr:to>
    <xdr:graphicFrame macro="">
      <xdr:nvGraphicFramePr>
        <xdr:cNvPr id="61" name="Chart 13">
          <a:extLst>
            <a:ext uri="{FF2B5EF4-FFF2-40B4-BE49-F238E27FC236}">
              <a16:creationId xmlns:a16="http://schemas.microsoft.com/office/drawing/2014/main" id="{00000000-0008-0000-15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514349</xdr:colOff>
      <xdr:row>107</xdr:row>
      <xdr:rowOff>95250</xdr:rowOff>
    </xdr:from>
    <xdr:to>
      <xdr:col>20</xdr:col>
      <xdr:colOff>504824</xdr:colOff>
      <xdr:row>138</xdr:row>
      <xdr:rowOff>495299</xdr:rowOff>
    </xdr:to>
    <xdr:graphicFrame macro="">
      <xdr:nvGraphicFramePr>
        <xdr:cNvPr id="62" name="Chart 13">
          <a:extLst>
            <a:ext uri="{FF2B5EF4-FFF2-40B4-BE49-F238E27FC236}">
              <a16:creationId xmlns:a16="http://schemas.microsoft.com/office/drawing/2014/main" id="{00000000-0008-0000-15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0</xdr:colOff>
      <xdr:row>39</xdr:row>
      <xdr:rowOff>0</xdr:rowOff>
    </xdr:from>
    <xdr:to>
      <xdr:col>21</xdr:col>
      <xdr:colOff>0</xdr:colOff>
      <xdr:row>63</xdr:row>
      <xdr:rowOff>0</xdr:rowOff>
    </xdr:to>
    <xdr:graphicFrame macro="">
      <xdr:nvGraphicFramePr>
        <xdr:cNvPr id="63" name="Chart 176">
          <a:extLst>
            <a:ext uri="{FF2B5EF4-FFF2-40B4-BE49-F238E27FC236}">
              <a16:creationId xmlns:a16="http://schemas.microsoft.com/office/drawing/2014/main" id="{00000000-0008-0000-15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64" name="Oval 2165">
          <a:extLst>
            <a:ext uri="{FF2B5EF4-FFF2-40B4-BE49-F238E27FC236}">
              <a16:creationId xmlns:a16="http://schemas.microsoft.com/office/drawing/2014/main" id="{00000000-0008-0000-1500-000040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65" name="Line 283">
          <a:extLst>
            <a:ext uri="{FF2B5EF4-FFF2-40B4-BE49-F238E27FC236}">
              <a16:creationId xmlns:a16="http://schemas.microsoft.com/office/drawing/2014/main" id="{00000000-0008-0000-1500-000041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66" name="Oval 2164">
          <a:extLst>
            <a:ext uri="{FF2B5EF4-FFF2-40B4-BE49-F238E27FC236}">
              <a16:creationId xmlns:a16="http://schemas.microsoft.com/office/drawing/2014/main" id="{00000000-0008-0000-1500-000042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67" name="Line 283">
          <a:extLst>
            <a:ext uri="{FF2B5EF4-FFF2-40B4-BE49-F238E27FC236}">
              <a16:creationId xmlns:a16="http://schemas.microsoft.com/office/drawing/2014/main" id="{00000000-0008-0000-1500-000043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347250</xdr:colOff>
      <xdr:row>37</xdr:row>
      <xdr:rowOff>95250</xdr:rowOff>
    </xdr:to>
    <xdr:sp macro="[0]!Court" textlink="">
      <xdr:nvSpPr>
        <xdr:cNvPr id="2" name="Down Arrow 44">
          <a:extLst>
            <a:ext uri="{FF2B5EF4-FFF2-40B4-BE49-F238E27FC236}">
              <a16:creationId xmlns:a16="http://schemas.microsoft.com/office/drawing/2014/main" id="{00000000-0008-0000-16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Court" textlink="">
      <xdr:nvSpPr>
        <xdr:cNvPr id="3" name="Down Arrow 2">
          <a:extLst>
            <a:ext uri="{FF2B5EF4-FFF2-40B4-BE49-F238E27FC236}">
              <a16:creationId xmlns:a16="http://schemas.microsoft.com/office/drawing/2014/main" id="{00000000-0008-0000-16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8" name="AutoShape 32">
          <a:extLst>
            <a:ext uri="{FF2B5EF4-FFF2-40B4-BE49-F238E27FC236}">
              <a16:creationId xmlns:a16="http://schemas.microsoft.com/office/drawing/2014/main" id="{00000000-0008-0000-1600-000008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a:extLst>
            <a:ext uri="{FF2B5EF4-FFF2-40B4-BE49-F238E27FC236}">
              <a16:creationId xmlns:a16="http://schemas.microsoft.com/office/drawing/2014/main" id="{00000000-0008-0000-16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28575</xdr:rowOff>
        </xdr:from>
        <xdr:to>
          <xdr:col>36</xdr:col>
          <xdr:colOff>47625</xdr:colOff>
          <xdr:row>41</xdr:row>
          <xdr:rowOff>9525</xdr:rowOff>
        </xdr:to>
        <xdr:sp macro="" textlink="">
          <xdr:nvSpPr>
            <xdr:cNvPr id="104449" name="Check Box 1" hidden="1">
              <a:extLst>
                <a:ext uri="{63B3BB69-23CF-44E3-9099-C40C66FF867C}">
                  <a14:compatExt spid="_x0000_s104449"/>
                </a:ext>
                <a:ext uri="{FF2B5EF4-FFF2-40B4-BE49-F238E27FC236}">
                  <a16:creationId xmlns:a16="http://schemas.microsoft.com/office/drawing/2014/main" id="{00000000-0008-0000-1600-00000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16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16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16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16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104454" name="Check Box 6" hidden="1">
              <a:extLst>
                <a:ext uri="{63B3BB69-23CF-44E3-9099-C40C66FF867C}">
                  <a14:compatExt spid="_x0000_s104454"/>
                </a:ext>
                <a:ext uri="{FF2B5EF4-FFF2-40B4-BE49-F238E27FC236}">
                  <a16:creationId xmlns:a16="http://schemas.microsoft.com/office/drawing/2014/main" id="{00000000-0008-0000-1600-000006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104455" name="Check Box 7" hidden="1">
              <a:extLst>
                <a:ext uri="{63B3BB69-23CF-44E3-9099-C40C66FF867C}">
                  <a14:compatExt spid="_x0000_s104455"/>
                </a:ext>
                <a:ext uri="{FF2B5EF4-FFF2-40B4-BE49-F238E27FC236}">
                  <a16:creationId xmlns:a16="http://schemas.microsoft.com/office/drawing/2014/main" id="{00000000-0008-0000-1600-00000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104456" name="Check Box 8" hidden="1">
              <a:extLst>
                <a:ext uri="{63B3BB69-23CF-44E3-9099-C40C66FF867C}">
                  <a14:compatExt spid="_x0000_s104456"/>
                </a:ext>
                <a:ext uri="{FF2B5EF4-FFF2-40B4-BE49-F238E27FC236}">
                  <a16:creationId xmlns:a16="http://schemas.microsoft.com/office/drawing/2014/main" id="{00000000-0008-0000-1600-000008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104457" name="Check Box 9" hidden="1">
              <a:extLst>
                <a:ext uri="{63B3BB69-23CF-44E3-9099-C40C66FF867C}">
                  <a14:compatExt spid="_x0000_s104457"/>
                </a:ext>
                <a:ext uri="{FF2B5EF4-FFF2-40B4-BE49-F238E27FC236}">
                  <a16:creationId xmlns:a16="http://schemas.microsoft.com/office/drawing/2014/main" id="{00000000-0008-0000-1600-000009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104458" name="Check Box 10" hidden="1">
              <a:extLst>
                <a:ext uri="{63B3BB69-23CF-44E3-9099-C40C66FF867C}">
                  <a14:compatExt spid="_x0000_s104458"/>
                </a:ext>
                <a:ext uri="{FF2B5EF4-FFF2-40B4-BE49-F238E27FC236}">
                  <a16:creationId xmlns:a16="http://schemas.microsoft.com/office/drawing/2014/main" id="{00000000-0008-0000-1600-00000A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104459" name="Check Box 11" hidden="1">
              <a:extLst>
                <a:ext uri="{63B3BB69-23CF-44E3-9099-C40C66FF867C}">
                  <a14:compatExt spid="_x0000_s104459"/>
                </a:ext>
                <a:ext uri="{FF2B5EF4-FFF2-40B4-BE49-F238E27FC236}">
                  <a16:creationId xmlns:a16="http://schemas.microsoft.com/office/drawing/2014/main" id="{00000000-0008-0000-1600-00000B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104460" name="Check Box 12" hidden="1">
              <a:extLst>
                <a:ext uri="{63B3BB69-23CF-44E3-9099-C40C66FF867C}">
                  <a14:compatExt spid="_x0000_s104460"/>
                </a:ext>
                <a:ext uri="{FF2B5EF4-FFF2-40B4-BE49-F238E27FC236}">
                  <a16:creationId xmlns:a16="http://schemas.microsoft.com/office/drawing/2014/main" id="{00000000-0008-0000-1600-00000C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104461" name="Check Box 13" hidden="1">
              <a:extLst>
                <a:ext uri="{63B3BB69-23CF-44E3-9099-C40C66FF867C}">
                  <a14:compatExt spid="_x0000_s104461"/>
                </a:ext>
                <a:ext uri="{FF2B5EF4-FFF2-40B4-BE49-F238E27FC236}">
                  <a16:creationId xmlns:a16="http://schemas.microsoft.com/office/drawing/2014/main" id="{00000000-0008-0000-1600-00000D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104462" name="Check Box 14" hidden="1">
              <a:extLst>
                <a:ext uri="{63B3BB69-23CF-44E3-9099-C40C66FF867C}">
                  <a14:compatExt spid="_x0000_s104462"/>
                </a:ext>
                <a:ext uri="{FF2B5EF4-FFF2-40B4-BE49-F238E27FC236}">
                  <a16:creationId xmlns:a16="http://schemas.microsoft.com/office/drawing/2014/main" id="{00000000-0008-0000-1600-00000E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16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104464" name="Check Box 16" hidden="1">
              <a:extLst>
                <a:ext uri="{63B3BB69-23CF-44E3-9099-C40C66FF867C}">
                  <a14:compatExt spid="_x0000_s104464"/>
                </a:ext>
                <a:ext uri="{FF2B5EF4-FFF2-40B4-BE49-F238E27FC236}">
                  <a16:creationId xmlns:a16="http://schemas.microsoft.com/office/drawing/2014/main" id="{00000000-0008-0000-1600-000010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104465" name="Check Box 17" hidden="1">
              <a:extLst>
                <a:ext uri="{63B3BB69-23CF-44E3-9099-C40C66FF867C}">
                  <a14:compatExt spid="_x0000_s104465"/>
                </a:ext>
                <a:ext uri="{FF2B5EF4-FFF2-40B4-BE49-F238E27FC236}">
                  <a16:creationId xmlns:a16="http://schemas.microsoft.com/office/drawing/2014/main" id="{00000000-0008-0000-1600-000011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104466" name="Check Box 18" hidden="1">
              <a:extLst>
                <a:ext uri="{63B3BB69-23CF-44E3-9099-C40C66FF867C}">
                  <a14:compatExt spid="_x0000_s104466"/>
                </a:ext>
                <a:ext uri="{FF2B5EF4-FFF2-40B4-BE49-F238E27FC236}">
                  <a16:creationId xmlns:a16="http://schemas.microsoft.com/office/drawing/2014/main" id="{00000000-0008-0000-1600-00001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104467" name="Check Box 19" hidden="1">
              <a:extLst>
                <a:ext uri="{63B3BB69-23CF-44E3-9099-C40C66FF867C}">
                  <a14:compatExt spid="_x0000_s104467"/>
                </a:ext>
                <a:ext uri="{FF2B5EF4-FFF2-40B4-BE49-F238E27FC236}">
                  <a16:creationId xmlns:a16="http://schemas.microsoft.com/office/drawing/2014/main" id="{00000000-0008-0000-1600-00001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16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152400</xdr:rowOff>
        </xdr:from>
        <xdr:to>
          <xdr:col>36</xdr:col>
          <xdr:colOff>47625</xdr:colOff>
          <xdr:row>63</xdr:row>
          <xdr:rowOff>9525</xdr:rowOff>
        </xdr:to>
        <xdr:sp macro="" textlink="">
          <xdr:nvSpPr>
            <xdr:cNvPr id="104469" name="Check Box 21" hidden="1">
              <a:extLst>
                <a:ext uri="{63B3BB69-23CF-44E3-9099-C40C66FF867C}">
                  <a14:compatExt spid="_x0000_s104469"/>
                </a:ext>
                <a:ext uri="{FF2B5EF4-FFF2-40B4-BE49-F238E27FC236}">
                  <a16:creationId xmlns:a16="http://schemas.microsoft.com/office/drawing/2014/main" id="{00000000-0008-0000-1600-00001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104470" name="Check Box 22" hidden="1">
              <a:extLst>
                <a:ext uri="{63B3BB69-23CF-44E3-9099-C40C66FF867C}">
                  <a14:compatExt spid="_x0000_s104470"/>
                </a:ext>
                <a:ext uri="{FF2B5EF4-FFF2-40B4-BE49-F238E27FC236}">
                  <a16:creationId xmlns:a16="http://schemas.microsoft.com/office/drawing/2014/main" id="{00000000-0008-0000-1600-000016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104471" name="Check Box 23" hidden="1">
              <a:extLst>
                <a:ext uri="{63B3BB69-23CF-44E3-9099-C40C66FF867C}">
                  <a14:compatExt spid="_x0000_s104471"/>
                </a:ext>
                <a:ext uri="{FF2B5EF4-FFF2-40B4-BE49-F238E27FC236}">
                  <a16:creationId xmlns:a16="http://schemas.microsoft.com/office/drawing/2014/main" id="{00000000-0008-0000-1600-00001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62</xdr:row>
          <xdr:rowOff>152400</xdr:rowOff>
        </xdr:from>
        <xdr:to>
          <xdr:col>36</xdr:col>
          <xdr:colOff>47625</xdr:colOff>
          <xdr:row>64</xdr:row>
          <xdr:rowOff>9525</xdr:rowOff>
        </xdr:to>
        <xdr:sp macro="" textlink="">
          <xdr:nvSpPr>
            <xdr:cNvPr id="104472" name="Check Box 24" hidden="1">
              <a:extLst>
                <a:ext uri="{63B3BB69-23CF-44E3-9099-C40C66FF867C}">
                  <a14:compatExt spid="_x0000_s104472"/>
                </a:ext>
                <a:ext uri="{FF2B5EF4-FFF2-40B4-BE49-F238E27FC236}">
                  <a16:creationId xmlns:a16="http://schemas.microsoft.com/office/drawing/2014/main" id="{00000000-0008-0000-1600-000018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Court" textlink="">
      <xdr:nvSpPr>
        <xdr:cNvPr id="34" name="Down Arrow 44">
          <a:extLst>
            <a:ext uri="{FF2B5EF4-FFF2-40B4-BE49-F238E27FC236}">
              <a16:creationId xmlns:a16="http://schemas.microsoft.com/office/drawing/2014/main" id="{00000000-0008-0000-1600-000022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35" name="Chart 176">
          <a:extLst>
            <a:ext uri="{FF2B5EF4-FFF2-40B4-BE49-F238E27FC236}">
              <a16:creationId xmlns:a16="http://schemas.microsoft.com/office/drawing/2014/main" id="{00000000-0008-0000-16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36" name="Chart 764">
          <a:extLst>
            <a:ext uri="{FF2B5EF4-FFF2-40B4-BE49-F238E27FC236}">
              <a16:creationId xmlns:a16="http://schemas.microsoft.com/office/drawing/2014/main" id="{00000000-0008-0000-16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0" name="Picture 39">
          <a:extLst>
            <a:ext uri="{FF2B5EF4-FFF2-40B4-BE49-F238E27FC236}">
              <a16:creationId xmlns:a16="http://schemas.microsoft.com/office/drawing/2014/main" id="{00000000-0008-0000-1600-000028000000}"/>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PP" textlink="">
      <xdr:nvSpPr>
        <xdr:cNvPr id="41" name="Right Arrow 40">
          <a:extLst>
            <a:ext uri="{FF2B5EF4-FFF2-40B4-BE49-F238E27FC236}">
              <a16:creationId xmlns:a16="http://schemas.microsoft.com/office/drawing/2014/main" id="{00000000-0008-0000-1600-000029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LAC" textlink="">
      <xdr:nvSpPr>
        <xdr:cNvPr id="42" name="Right Arrow 50">
          <a:extLst>
            <a:ext uri="{FF2B5EF4-FFF2-40B4-BE49-F238E27FC236}">
              <a16:creationId xmlns:a16="http://schemas.microsoft.com/office/drawing/2014/main" id="{00000000-0008-0000-1600-00002A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39</xdr:row>
      <xdr:rowOff>1</xdr:rowOff>
    </xdr:from>
    <xdr:to>
      <xdr:col>21</xdr:col>
      <xdr:colOff>0</xdr:colOff>
      <xdr:row>63</xdr:row>
      <xdr:rowOff>1</xdr:rowOff>
    </xdr:to>
    <xdr:graphicFrame macro="">
      <xdr:nvGraphicFramePr>
        <xdr:cNvPr id="43" name="Chart 176">
          <a:extLst>
            <a:ext uri="{FF2B5EF4-FFF2-40B4-BE49-F238E27FC236}">
              <a16:creationId xmlns:a16="http://schemas.microsoft.com/office/drawing/2014/main" id="{00000000-0008-0000-16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44" name="Oval 2165">
          <a:extLst>
            <a:ext uri="{FF2B5EF4-FFF2-40B4-BE49-F238E27FC236}">
              <a16:creationId xmlns:a16="http://schemas.microsoft.com/office/drawing/2014/main" id="{00000000-0008-0000-1600-00002C000000}"/>
            </a:ext>
          </a:extLst>
        </xdr:cNvPr>
        <xdr:cNvSpPr>
          <a:spLocks noChangeArrowheads="1"/>
        </xdr:cNvSpPr>
      </xdr:nvSpPr>
      <xdr:spPr bwMode="auto">
        <a:xfrm>
          <a:off x="4895850" y="1138237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45" name="Line 283">
          <a:extLst>
            <a:ext uri="{FF2B5EF4-FFF2-40B4-BE49-F238E27FC236}">
              <a16:creationId xmlns:a16="http://schemas.microsoft.com/office/drawing/2014/main" id="{00000000-0008-0000-1600-00002D000000}"/>
            </a:ext>
          </a:extLst>
        </xdr:cNvPr>
        <xdr:cNvSpPr>
          <a:spLocks noChangeShapeType="1"/>
        </xdr:cNvSpPr>
      </xdr:nvSpPr>
      <xdr:spPr bwMode="auto">
        <a:xfrm>
          <a:off x="4772025" y="11249025"/>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46" name="Oval 2164">
          <a:extLst>
            <a:ext uri="{FF2B5EF4-FFF2-40B4-BE49-F238E27FC236}">
              <a16:creationId xmlns:a16="http://schemas.microsoft.com/office/drawing/2014/main" id="{00000000-0008-0000-1600-00002E000000}"/>
            </a:ext>
          </a:extLst>
        </xdr:cNvPr>
        <xdr:cNvSpPr>
          <a:spLocks noChangeArrowheads="1"/>
        </xdr:cNvSpPr>
      </xdr:nvSpPr>
      <xdr:spPr bwMode="auto">
        <a:xfrm>
          <a:off x="7248525"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47" name="Line 283">
          <a:extLst>
            <a:ext uri="{FF2B5EF4-FFF2-40B4-BE49-F238E27FC236}">
              <a16:creationId xmlns:a16="http://schemas.microsoft.com/office/drawing/2014/main" id="{00000000-0008-0000-1600-00002F000000}"/>
            </a:ext>
          </a:extLst>
        </xdr:cNvPr>
        <xdr:cNvSpPr>
          <a:spLocks noChangeShapeType="1"/>
        </xdr:cNvSpPr>
      </xdr:nvSpPr>
      <xdr:spPr bwMode="auto">
        <a:xfrm>
          <a:off x="7086600" y="11420474"/>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oneCellAnchor>
    <xdr:from>
      <xdr:col>22</xdr:col>
      <xdr:colOff>95250</xdr:colOff>
      <xdr:row>142</xdr:row>
      <xdr:rowOff>33750</xdr:rowOff>
    </xdr:from>
    <xdr:ext cx="252000" cy="252000"/>
    <xdr:sp macro="[0]!Court" textlink="">
      <xdr:nvSpPr>
        <xdr:cNvPr id="48" name="Down Arrow 44">
          <a:extLst>
            <a:ext uri="{FF2B5EF4-FFF2-40B4-BE49-F238E27FC236}">
              <a16:creationId xmlns:a16="http://schemas.microsoft.com/office/drawing/2014/main" id="{00000000-0008-0000-1600-000030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175</xdr:row>
      <xdr:rowOff>33750</xdr:rowOff>
    </xdr:from>
    <xdr:to>
      <xdr:col>22</xdr:col>
      <xdr:colOff>347250</xdr:colOff>
      <xdr:row>176</xdr:row>
      <xdr:rowOff>95250</xdr:rowOff>
    </xdr:to>
    <xdr:sp macro="[0]!Court" textlink="">
      <xdr:nvSpPr>
        <xdr:cNvPr id="49" name="Down Arrow 48">
          <a:extLst>
            <a:ext uri="{FF2B5EF4-FFF2-40B4-BE49-F238E27FC236}">
              <a16:creationId xmlns:a16="http://schemas.microsoft.com/office/drawing/2014/main" id="{00000000-0008-0000-1600-000031000000}"/>
            </a:ext>
          </a:extLst>
        </xdr:cNvPr>
        <xdr:cNvSpPr/>
      </xdr:nvSpPr>
      <xdr:spPr>
        <a:xfrm flipV="1">
          <a:off x="9286875" y="13178250"/>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145</xdr:row>
      <xdr:rowOff>1</xdr:rowOff>
    </xdr:from>
    <xdr:to>
      <xdr:col>11</xdr:col>
      <xdr:colOff>1</xdr:colOff>
      <xdr:row>174</xdr:row>
      <xdr:rowOff>0</xdr:rowOff>
    </xdr:to>
    <xdr:graphicFrame macro="">
      <xdr:nvGraphicFramePr>
        <xdr:cNvPr id="50" name="Chart 13">
          <a:extLst>
            <a:ext uri="{FF2B5EF4-FFF2-40B4-BE49-F238E27FC236}">
              <a16:creationId xmlns:a16="http://schemas.microsoft.com/office/drawing/2014/main" id="{00000000-0008-0000-16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1</xdr:colOff>
      <xdr:row>171</xdr:row>
      <xdr:rowOff>0</xdr:rowOff>
    </xdr:from>
    <xdr:to>
      <xdr:col>21</xdr:col>
      <xdr:colOff>1</xdr:colOff>
      <xdr:row>174</xdr:row>
      <xdr:rowOff>0</xdr:rowOff>
    </xdr:to>
    <xdr:graphicFrame macro="">
      <xdr:nvGraphicFramePr>
        <xdr:cNvPr id="51" name="Chart 13">
          <a:extLst>
            <a:ext uri="{FF2B5EF4-FFF2-40B4-BE49-F238E27FC236}">
              <a16:creationId xmlns:a16="http://schemas.microsoft.com/office/drawing/2014/main" id="{00000000-0008-0000-16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210</xdr:row>
      <xdr:rowOff>33750</xdr:rowOff>
    </xdr:from>
    <xdr:ext cx="252000" cy="252000"/>
    <xdr:sp macro="[0]!Court" textlink="">
      <xdr:nvSpPr>
        <xdr:cNvPr id="52" name="Down Arrow 44">
          <a:extLst>
            <a:ext uri="{FF2B5EF4-FFF2-40B4-BE49-F238E27FC236}">
              <a16:creationId xmlns:a16="http://schemas.microsoft.com/office/drawing/2014/main" id="{00000000-0008-0000-1600-000034000000}"/>
            </a:ext>
          </a:extLst>
        </xdr:cNvPr>
        <xdr:cNvSpPr>
          <a:spLocks noChangeArrowheads="1"/>
        </xdr:cNvSpPr>
      </xdr:nvSpPr>
      <xdr:spPr bwMode="auto">
        <a:xfrm flipV="1">
          <a:off x="9286875" y="199219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178</xdr:row>
      <xdr:rowOff>0</xdr:rowOff>
    </xdr:from>
    <xdr:to>
      <xdr:col>21</xdr:col>
      <xdr:colOff>0</xdr:colOff>
      <xdr:row>209</xdr:row>
      <xdr:rowOff>0</xdr:rowOff>
    </xdr:to>
    <xdr:graphicFrame macro="">
      <xdr:nvGraphicFramePr>
        <xdr:cNvPr id="53" name="Chart 176">
          <a:extLst>
            <a:ext uri="{FF2B5EF4-FFF2-40B4-BE49-F238E27FC236}">
              <a16:creationId xmlns:a16="http://schemas.microsoft.com/office/drawing/2014/main" id="{00000000-0008-0000-16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178</xdr:row>
      <xdr:rowOff>0</xdr:rowOff>
    </xdr:from>
    <xdr:to>
      <xdr:col>10</xdr:col>
      <xdr:colOff>121650</xdr:colOff>
      <xdr:row>209</xdr:row>
      <xdr:rowOff>0</xdr:rowOff>
    </xdr:to>
    <xdr:graphicFrame macro="">
      <xdr:nvGraphicFramePr>
        <xdr:cNvPr id="54" name="Chart 764">
          <a:extLst>
            <a:ext uri="{FF2B5EF4-FFF2-40B4-BE49-F238E27FC236}">
              <a16:creationId xmlns:a16="http://schemas.microsoft.com/office/drawing/2014/main" id="{00000000-0008-0000-16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0</xdr:colOff>
      <xdr:row>145</xdr:row>
      <xdr:rowOff>0</xdr:rowOff>
    </xdr:from>
    <xdr:to>
      <xdr:col>21</xdr:col>
      <xdr:colOff>0</xdr:colOff>
      <xdr:row>169</xdr:row>
      <xdr:rowOff>0</xdr:rowOff>
    </xdr:to>
    <xdr:graphicFrame macro="">
      <xdr:nvGraphicFramePr>
        <xdr:cNvPr id="57" name="Chart 176">
          <a:extLst>
            <a:ext uri="{FF2B5EF4-FFF2-40B4-BE49-F238E27FC236}">
              <a16:creationId xmlns:a16="http://schemas.microsoft.com/office/drawing/2014/main" id="{00000000-0008-0000-16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180975</xdr:colOff>
      <xdr:row>170</xdr:row>
      <xdr:rowOff>47625</xdr:rowOff>
    </xdr:from>
    <xdr:to>
      <xdr:col>11</xdr:col>
      <xdr:colOff>257175</xdr:colOff>
      <xdr:row>170</xdr:row>
      <xdr:rowOff>123825</xdr:rowOff>
    </xdr:to>
    <xdr:sp macro="" textlink="">
      <xdr:nvSpPr>
        <xdr:cNvPr id="58" name="Oval 2165">
          <a:extLst>
            <a:ext uri="{FF2B5EF4-FFF2-40B4-BE49-F238E27FC236}">
              <a16:creationId xmlns:a16="http://schemas.microsoft.com/office/drawing/2014/main" id="{00000000-0008-0000-1600-00003A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169</xdr:row>
      <xdr:rowOff>85725</xdr:rowOff>
    </xdr:from>
    <xdr:to>
      <xdr:col>11</xdr:col>
      <xdr:colOff>417150</xdr:colOff>
      <xdr:row>169</xdr:row>
      <xdr:rowOff>85725</xdr:rowOff>
    </xdr:to>
    <xdr:sp macro="" textlink="">
      <xdr:nvSpPr>
        <xdr:cNvPr id="59" name="Line 283">
          <a:extLst>
            <a:ext uri="{FF2B5EF4-FFF2-40B4-BE49-F238E27FC236}">
              <a16:creationId xmlns:a16="http://schemas.microsoft.com/office/drawing/2014/main" id="{00000000-0008-0000-1600-00003B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169</xdr:row>
      <xdr:rowOff>47625</xdr:rowOff>
    </xdr:from>
    <xdr:to>
      <xdr:col>16</xdr:col>
      <xdr:colOff>304800</xdr:colOff>
      <xdr:row>169</xdr:row>
      <xdr:rowOff>123825</xdr:rowOff>
    </xdr:to>
    <xdr:sp macro="" textlink="">
      <xdr:nvSpPr>
        <xdr:cNvPr id="60" name="Oval 2164">
          <a:extLst>
            <a:ext uri="{FF2B5EF4-FFF2-40B4-BE49-F238E27FC236}">
              <a16:creationId xmlns:a16="http://schemas.microsoft.com/office/drawing/2014/main" id="{00000000-0008-0000-1600-00003C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170</xdr:row>
      <xdr:rowOff>85724</xdr:rowOff>
    </xdr:from>
    <xdr:to>
      <xdr:col>16</xdr:col>
      <xdr:colOff>426675</xdr:colOff>
      <xdr:row>170</xdr:row>
      <xdr:rowOff>85724</xdr:rowOff>
    </xdr:to>
    <xdr:sp macro="" textlink="">
      <xdr:nvSpPr>
        <xdr:cNvPr id="61" name="Line 283">
          <a:extLst>
            <a:ext uri="{FF2B5EF4-FFF2-40B4-BE49-F238E27FC236}">
              <a16:creationId xmlns:a16="http://schemas.microsoft.com/office/drawing/2014/main" id="{00000000-0008-0000-1600-00003D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419098</xdr:colOff>
      <xdr:row>106</xdr:row>
      <xdr:rowOff>85725</xdr:rowOff>
    </xdr:from>
    <xdr:to>
      <xdr:col>21</xdr:col>
      <xdr:colOff>64498</xdr:colOff>
      <xdr:row>108</xdr:row>
      <xdr:rowOff>149475</xdr:rowOff>
    </xdr:to>
    <xdr:sp macro="" textlink="">
      <xdr:nvSpPr>
        <xdr:cNvPr id="62" name="AutoShape 32">
          <a:extLst>
            <a:ext uri="{FF2B5EF4-FFF2-40B4-BE49-F238E27FC236}">
              <a16:creationId xmlns:a16="http://schemas.microsoft.com/office/drawing/2014/main" id="{00000000-0008-0000-1600-00003E000000}"/>
            </a:ext>
          </a:extLst>
        </xdr:cNvPr>
        <xdr:cNvSpPr>
          <a:spLocks noChangeArrowheads="1"/>
        </xdr:cNvSpPr>
      </xdr:nvSpPr>
      <xdr:spPr bwMode="auto">
        <a:xfrm>
          <a:off x="6962773" y="203168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347250</xdr:colOff>
      <xdr:row>37</xdr:row>
      <xdr:rowOff>95250</xdr:rowOff>
    </xdr:to>
    <xdr:sp macro="[0]!LAC" textlink="">
      <xdr:nvSpPr>
        <xdr:cNvPr id="2" name="Down Arrow 44">
          <a:extLst>
            <a:ext uri="{FF2B5EF4-FFF2-40B4-BE49-F238E27FC236}">
              <a16:creationId xmlns:a16="http://schemas.microsoft.com/office/drawing/2014/main" id="{00000000-0008-0000-1700-000002000000}"/>
            </a:ext>
          </a:extLst>
        </xdr:cNvPr>
        <xdr:cNvSpPr>
          <a:spLocks noChangeArrowheads="1"/>
        </xdr:cNvSpPr>
      </xdr:nvSpPr>
      <xdr:spPr bwMode="auto">
        <a:xfrm flipV="1">
          <a:off x="926782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LAC" textlink="">
      <xdr:nvSpPr>
        <xdr:cNvPr id="3" name="Down Arrow 2">
          <a:extLst>
            <a:ext uri="{FF2B5EF4-FFF2-40B4-BE49-F238E27FC236}">
              <a16:creationId xmlns:a16="http://schemas.microsoft.com/office/drawing/2014/main" id="{00000000-0008-0000-1700-000003000000}"/>
            </a:ext>
          </a:extLst>
        </xdr:cNvPr>
        <xdr:cNvSpPr/>
      </xdr:nvSpPr>
      <xdr:spPr>
        <a:xfrm flipV="1">
          <a:off x="9267825"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419099</xdr:colOff>
      <xdr:row>0</xdr:row>
      <xdr:rowOff>85725</xdr:rowOff>
    </xdr:from>
    <xdr:to>
      <xdr:col>21</xdr:col>
      <xdr:colOff>64499</xdr:colOff>
      <xdr:row>2</xdr:row>
      <xdr:rowOff>149475</xdr:rowOff>
    </xdr:to>
    <xdr:sp macro="" textlink="">
      <xdr:nvSpPr>
        <xdr:cNvPr id="8" name="AutoShape 32">
          <a:extLst>
            <a:ext uri="{FF2B5EF4-FFF2-40B4-BE49-F238E27FC236}">
              <a16:creationId xmlns:a16="http://schemas.microsoft.com/office/drawing/2014/main" id="{00000000-0008-0000-1700-000008000000}"/>
            </a:ext>
          </a:extLst>
        </xdr:cNvPr>
        <xdr:cNvSpPr>
          <a:spLocks noChangeArrowheads="1"/>
        </xdr:cNvSpPr>
      </xdr:nvSpPr>
      <xdr:spPr bwMode="auto">
        <a:xfrm>
          <a:off x="696277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9" name="Chart 13">
          <a:extLst>
            <a:ext uri="{FF2B5EF4-FFF2-40B4-BE49-F238E27FC236}">
              <a16:creationId xmlns:a16="http://schemas.microsoft.com/office/drawing/2014/main" id="{00000000-0008-0000-17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28575</xdr:rowOff>
        </xdr:from>
        <xdr:to>
          <xdr:col>36</xdr:col>
          <xdr:colOff>47625</xdr:colOff>
          <xdr:row>41</xdr:row>
          <xdr:rowOff>9525</xdr:rowOff>
        </xdr:to>
        <xdr:sp macro="" textlink="">
          <xdr:nvSpPr>
            <xdr:cNvPr id="105473" name="Check Box 1" hidden="1">
              <a:extLst>
                <a:ext uri="{63B3BB69-23CF-44E3-9099-C40C66FF867C}">
                  <a14:compatExt spid="_x0000_s105473"/>
                </a:ext>
                <a:ext uri="{FF2B5EF4-FFF2-40B4-BE49-F238E27FC236}">
                  <a16:creationId xmlns:a16="http://schemas.microsoft.com/office/drawing/2014/main" id="{00000000-0008-0000-1700-00000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105474" name="Check Box 2" hidden="1">
              <a:extLst>
                <a:ext uri="{63B3BB69-23CF-44E3-9099-C40C66FF867C}">
                  <a14:compatExt spid="_x0000_s105474"/>
                </a:ext>
                <a:ext uri="{FF2B5EF4-FFF2-40B4-BE49-F238E27FC236}">
                  <a16:creationId xmlns:a16="http://schemas.microsoft.com/office/drawing/2014/main" id="{00000000-0008-0000-1700-00000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105475" name="Check Box 3" hidden="1">
              <a:extLst>
                <a:ext uri="{63B3BB69-23CF-44E3-9099-C40C66FF867C}">
                  <a14:compatExt spid="_x0000_s105475"/>
                </a:ext>
                <a:ext uri="{FF2B5EF4-FFF2-40B4-BE49-F238E27FC236}">
                  <a16:creationId xmlns:a16="http://schemas.microsoft.com/office/drawing/2014/main" id="{00000000-0008-0000-1700-00000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105476" name="Check Box 4" hidden="1">
              <a:extLst>
                <a:ext uri="{63B3BB69-23CF-44E3-9099-C40C66FF867C}">
                  <a14:compatExt spid="_x0000_s105476"/>
                </a:ext>
                <a:ext uri="{FF2B5EF4-FFF2-40B4-BE49-F238E27FC236}">
                  <a16:creationId xmlns:a16="http://schemas.microsoft.com/office/drawing/2014/main" id="{00000000-0008-0000-1700-00000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105477" name="Check Box 5" hidden="1">
              <a:extLst>
                <a:ext uri="{63B3BB69-23CF-44E3-9099-C40C66FF867C}">
                  <a14:compatExt spid="_x0000_s105477"/>
                </a:ext>
                <a:ext uri="{FF2B5EF4-FFF2-40B4-BE49-F238E27FC236}">
                  <a16:creationId xmlns:a16="http://schemas.microsoft.com/office/drawing/2014/main" id="{00000000-0008-0000-1700-00000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105478" name="Check Box 6" hidden="1">
              <a:extLst>
                <a:ext uri="{63B3BB69-23CF-44E3-9099-C40C66FF867C}">
                  <a14:compatExt spid="_x0000_s105478"/>
                </a:ext>
                <a:ext uri="{FF2B5EF4-FFF2-40B4-BE49-F238E27FC236}">
                  <a16:creationId xmlns:a16="http://schemas.microsoft.com/office/drawing/2014/main" id="{00000000-0008-0000-1700-00000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105479" name="Check Box 7" hidden="1">
              <a:extLst>
                <a:ext uri="{63B3BB69-23CF-44E3-9099-C40C66FF867C}">
                  <a14:compatExt spid="_x0000_s105479"/>
                </a:ext>
                <a:ext uri="{FF2B5EF4-FFF2-40B4-BE49-F238E27FC236}">
                  <a16:creationId xmlns:a16="http://schemas.microsoft.com/office/drawing/2014/main" id="{00000000-0008-0000-1700-00000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105480" name="Check Box 8" hidden="1">
              <a:extLst>
                <a:ext uri="{63B3BB69-23CF-44E3-9099-C40C66FF867C}">
                  <a14:compatExt spid="_x0000_s105480"/>
                </a:ext>
                <a:ext uri="{FF2B5EF4-FFF2-40B4-BE49-F238E27FC236}">
                  <a16:creationId xmlns:a16="http://schemas.microsoft.com/office/drawing/2014/main" id="{00000000-0008-0000-1700-00000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105481" name="Check Box 9" hidden="1">
              <a:extLst>
                <a:ext uri="{63B3BB69-23CF-44E3-9099-C40C66FF867C}">
                  <a14:compatExt spid="_x0000_s105481"/>
                </a:ext>
                <a:ext uri="{FF2B5EF4-FFF2-40B4-BE49-F238E27FC236}">
                  <a16:creationId xmlns:a16="http://schemas.microsoft.com/office/drawing/2014/main" id="{00000000-0008-0000-1700-000009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105482" name="Check Box 10" hidden="1">
              <a:extLst>
                <a:ext uri="{63B3BB69-23CF-44E3-9099-C40C66FF867C}">
                  <a14:compatExt spid="_x0000_s105482"/>
                </a:ext>
                <a:ext uri="{FF2B5EF4-FFF2-40B4-BE49-F238E27FC236}">
                  <a16:creationId xmlns:a16="http://schemas.microsoft.com/office/drawing/2014/main" id="{00000000-0008-0000-1700-00000A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105483" name="Check Box 11" hidden="1">
              <a:extLst>
                <a:ext uri="{63B3BB69-23CF-44E3-9099-C40C66FF867C}">
                  <a14:compatExt spid="_x0000_s105483"/>
                </a:ext>
                <a:ext uri="{FF2B5EF4-FFF2-40B4-BE49-F238E27FC236}">
                  <a16:creationId xmlns:a16="http://schemas.microsoft.com/office/drawing/2014/main" id="{00000000-0008-0000-1700-00000B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105484" name="Check Box 12" hidden="1">
              <a:extLst>
                <a:ext uri="{63B3BB69-23CF-44E3-9099-C40C66FF867C}">
                  <a14:compatExt spid="_x0000_s105484"/>
                </a:ext>
                <a:ext uri="{FF2B5EF4-FFF2-40B4-BE49-F238E27FC236}">
                  <a16:creationId xmlns:a16="http://schemas.microsoft.com/office/drawing/2014/main" id="{00000000-0008-0000-1700-00000C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105485" name="Check Box 13" hidden="1">
              <a:extLst>
                <a:ext uri="{63B3BB69-23CF-44E3-9099-C40C66FF867C}">
                  <a14:compatExt spid="_x0000_s105485"/>
                </a:ext>
                <a:ext uri="{FF2B5EF4-FFF2-40B4-BE49-F238E27FC236}">
                  <a16:creationId xmlns:a16="http://schemas.microsoft.com/office/drawing/2014/main" id="{00000000-0008-0000-1700-00000D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105486" name="Check Box 14" hidden="1">
              <a:extLst>
                <a:ext uri="{63B3BB69-23CF-44E3-9099-C40C66FF867C}">
                  <a14:compatExt spid="_x0000_s105486"/>
                </a:ext>
                <a:ext uri="{FF2B5EF4-FFF2-40B4-BE49-F238E27FC236}">
                  <a16:creationId xmlns:a16="http://schemas.microsoft.com/office/drawing/2014/main" id="{00000000-0008-0000-1700-00000E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105487" name="Check Box 15" hidden="1">
              <a:extLst>
                <a:ext uri="{63B3BB69-23CF-44E3-9099-C40C66FF867C}">
                  <a14:compatExt spid="_x0000_s105487"/>
                </a:ext>
                <a:ext uri="{FF2B5EF4-FFF2-40B4-BE49-F238E27FC236}">
                  <a16:creationId xmlns:a16="http://schemas.microsoft.com/office/drawing/2014/main" id="{00000000-0008-0000-1700-00000F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105488" name="Check Box 16" hidden="1">
              <a:extLst>
                <a:ext uri="{63B3BB69-23CF-44E3-9099-C40C66FF867C}">
                  <a14:compatExt spid="_x0000_s105488"/>
                </a:ext>
                <a:ext uri="{FF2B5EF4-FFF2-40B4-BE49-F238E27FC236}">
                  <a16:creationId xmlns:a16="http://schemas.microsoft.com/office/drawing/2014/main" id="{00000000-0008-0000-1700-000010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105489" name="Check Box 17" hidden="1">
              <a:extLst>
                <a:ext uri="{63B3BB69-23CF-44E3-9099-C40C66FF867C}">
                  <a14:compatExt spid="_x0000_s105489"/>
                </a:ext>
                <a:ext uri="{FF2B5EF4-FFF2-40B4-BE49-F238E27FC236}">
                  <a16:creationId xmlns:a16="http://schemas.microsoft.com/office/drawing/2014/main" id="{00000000-0008-0000-1700-000011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105490" name="Check Box 18" hidden="1">
              <a:extLst>
                <a:ext uri="{63B3BB69-23CF-44E3-9099-C40C66FF867C}">
                  <a14:compatExt spid="_x0000_s105490"/>
                </a:ext>
                <a:ext uri="{FF2B5EF4-FFF2-40B4-BE49-F238E27FC236}">
                  <a16:creationId xmlns:a16="http://schemas.microsoft.com/office/drawing/2014/main" id="{00000000-0008-0000-1700-000012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105491" name="Check Box 19" hidden="1">
              <a:extLst>
                <a:ext uri="{63B3BB69-23CF-44E3-9099-C40C66FF867C}">
                  <a14:compatExt spid="_x0000_s105491"/>
                </a:ext>
                <a:ext uri="{FF2B5EF4-FFF2-40B4-BE49-F238E27FC236}">
                  <a16:creationId xmlns:a16="http://schemas.microsoft.com/office/drawing/2014/main" id="{00000000-0008-0000-1700-000013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105492" name="Check Box 20" hidden="1">
              <a:extLst>
                <a:ext uri="{63B3BB69-23CF-44E3-9099-C40C66FF867C}">
                  <a14:compatExt spid="_x0000_s105492"/>
                </a:ext>
                <a:ext uri="{FF2B5EF4-FFF2-40B4-BE49-F238E27FC236}">
                  <a16:creationId xmlns:a16="http://schemas.microsoft.com/office/drawing/2014/main" id="{00000000-0008-0000-1700-000014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152400</xdr:rowOff>
        </xdr:from>
        <xdr:to>
          <xdr:col>36</xdr:col>
          <xdr:colOff>47625</xdr:colOff>
          <xdr:row>63</xdr:row>
          <xdr:rowOff>9525</xdr:rowOff>
        </xdr:to>
        <xdr:sp macro="" textlink="">
          <xdr:nvSpPr>
            <xdr:cNvPr id="105493" name="Check Box 21" hidden="1">
              <a:extLst>
                <a:ext uri="{63B3BB69-23CF-44E3-9099-C40C66FF867C}">
                  <a14:compatExt spid="_x0000_s105493"/>
                </a:ext>
                <a:ext uri="{FF2B5EF4-FFF2-40B4-BE49-F238E27FC236}">
                  <a16:creationId xmlns:a16="http://schemas.microsoft.com/office/drawing/2014/main" id="{00000000-0008-0000-1700-000015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176</xdr:row>
      <xdr:rowOff>33750</xdr:rowOff>
    </xdr:from>
    <xdr:ext cx="252000" cy="252000"/>
    <xdr:sp macro="[0]!LAC" textlink="">
      <xdr:nvSpPr>
        <xdr:cNvPr id="31" name="Down Arrow 44">
          <a:extLst>
            <a:ext uri="{FF2B5EF4-FFF2-40B4-BE49-F238E27FC236}">
              <a16:creationId xmlns:a16="http://schemas.microsoft.com/office/drawing/2014/main" id="{00000000-0008-0000-1700-00001F000000}"/>
            </a:ext>
          </a:extLst>
        </xdr:cNvPr>
        <xdr:cNvSpPr>
          <a:spLocks noChangeArrowheads="1"/>
        </xdr:cNvSpPr>
      </xdr:nvSpPr>
      <xdr:spPr bwMode="auto">
        <a:xfrm flipV="1">
          <a:off x="9267825"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172</xdr:row>
      <xdr:rowOff>0</xdr:rowOff>
    </xdr:from>
    <xdr:to>
      <xdr:col>8</xdr:col>
      <xdr:colOff>0</xdr:colOff>
      <xdr:row>175</xdr:row>
      <xdr:rowOff>0</xdr:rowOff>
    </xdr:to>
    <xdr:graphicFrame macro="">
      <xdr:nvGraphicFramePr>
        <xdr:cNvPr id="32" name="Chart 13">
          <a:extLst>
            <a:ext uri="{FF2B5EF4-FFF2-40B4-BE49-F238E27FC236}">
              <a16:creationId xmlns:a16="http://schemas.microsoft.com/office/drawing/2014/main" id="{00000000-0008-0000-17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105494" name="Check Box 22" hidden="1">
              <a:extLst>
                <a:ext uri="{63B3BB69-23CF-44E3-9099-C40C66FF867C}">
                  <a14:compatExt spid="_x0000_s105494"/>
                </a:ext>
                <a:ext uri="{FF2B5EF4-FFF2-40B4-BE49-F238E27FC236}">
                  <a16:creationId xmlns:a16="http://schemas.microsoft.com/office/drawing/2014/main" id="{00000000-0008-0000-1700-000016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105495" name="Check Box 23" hidden="1">
              <a:extLst>
                <a:ext uri="{63B3BB69-23CF-44E3-9099-C40C66FF867C}">
                  <a14:compatExt spid="_x0000_s105495"/>
                </a:ext>
                <a:ext uri="{FF2B5EF4-FFF2-40B4-BE49-F238E27FC236}">
                  <a16:creationId xmlns:a16="http://schemas.microsoft.com/office/drawing/2014/main" id="{00000000-0008-0000-1700-000017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143</xdr:row>
      <xdr:rowOff>95250</xdr:rowOff>
    </xdr:from>
    <xdr:to>
      <xdr:col>20</xdr:col>
      <xdr:colOff>514349</xdr:colOff>
      <xdr:row>174</xdr:row>
      <xdr:rowOff>533399</xdr:rowOff>
    </xdr:to>
    <xdr:graphicFrame macro="">
      <xdr:nvGraphicFramePr>
        <xdr:cNvPr id="35" name="Chart 13">
          <a:extLst>
            <a:ext uri="{FF2B5EF4-FFF2-40B4-BE49-F238E27FC236}">
              <a16:creationId xmlns:a16="http://schemas.microsoft.com/office/drawing/2014/main" id="{00000000-0008-0000-17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152400</xdr:rowOff>
        </xdr:from>
        <xdr:to>
          <xdr:col>36</xdr:col>
          <xdr:colOff>47625</xdr:colOff>
          <xdr:row>64</xdr:row>
          <xdr:rowOff>9525</xdr:rowOff>
        </xdr:to>
        <xdr:sp macro="" textlink="">
          <xdr:nvSpPr>
            <xdr:cNvPr id="105496" name="Check Box 24" hidden="1">
              <a:extLst>
                <a:ext uri="{63B3BB69-23CF-44E3-9099-C40C66FF867C}">
                  <a14:compatExt spid="_x0000_s105496"/>
                </a:ext>
                <a:ext uri="{FF2B5EF4-FFF2-40B4-BE49-F238E27FC236}">
                  <a16:creationId xmlns:a16="http://schemas.microsoft.com/office/drawing/2014/main" id="{00000000-0008-0000-1700-0000189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LAC" textlink="">
      <xdr:nvSpPr>
        <xdr:cNvPr id="37" name="Down Arrow 44">
          <a:extLst>
            <a:ext uri="{FF2B5EF4-FFF2-40B4-BE49-F238E27FC236}">
              <a16:creationId xmlns:a16="http://schemas.microsoft.com/office/drawing/2014/main" id="{00000000-0008-0000-1700-000025000000}"/>
            </a:ext>
          </a:extLst>
        </xdr:cNvPr>
        <xdr:cNvSpPr>
          <a:spLocks noChangeArrowheads="1"/>
        </xdr:cNvSpPr>
      </xdr:nvSpPr>
      <xdr:spPr bwMode="auto">
        <a:xfrm flipV="1">
          <a:off x="9267825"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38" name="Chart 176">
          <a:extLst>
            <a:ext uri="{FF2B5EF4-FFF2-40B4-BE49-F238E27FC236}">
              <a16:creationId xmlns:a16="http://schemas.microsoft.com/office/drawing/2014/main" id="{00000000-0008-0000-17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39" name="Chart 764">
          <a:extLst>
            <a:ext uri="{FF2B5EF4-FFF2-40B4-BE49-F238E27FC236}">
              <a16:creationId xmlns:a16="http://schemas.microsoft.com/office/drawing/2014/main" id="{00000000-0008-0000-17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22</xdr:col>
      <xdr:colOff>95250</xdr:colOff>
      <xdr:row>140</xdr:row>
      <xdr:rowOff>33750</xdr:rowOff>
    </xdr:from>
    <xdr:ext cx="252000" cy="252000"/>
    <xdr:sp macro="[0]!LAC" textlink="">
      <xdr:nvSpPr>
        <xdr:cNvPr id="42" name="Down Arrow 44">
          <a:extLst>
            <a:ext uri="{FF2B5EF4-FFF2-40B4-BE49-F238E27FC236}">
              <a16:creationId xmlns:a16="http://schemas.microsoft.com/office/drawing/2014/main" id="{00000000-0008-0000-1700-00002A000000}"/>
            </a:ext>
          </a:extLst>
        </xdr:cNvPr>
        <xdr:cNvSpPr>
          <a:spLocks noChangeArrowheads="1"/>
        </xdr:cNvSpPr>
      </xdr:nvSpPr>
      <xdr:spPr bwMode="auto">
        <a:xfrm flipV="1">
          <a:off x="9267825"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135</xdr:row>
      <xdr:rowOff>76199</xdr:rowOff>
    </xdr:from>
    <xdr:to>
      <xdr:col>8</xdr:col>
      <xdr:colOff>0</xdr:colOff>
      <xdr:row>139</xdr:row>
      <xdr:rowOff>0</xdr:rowOff>
    </xdr:to>
    <xdr:graphicFrame macro="">
      <xdr:nvGraphicFramePr>
        <xdr:cNvPr id="43" name="Chart 13">
          <a:extLst>
            <a:ext uri="{FF2B5EF4-FFF2-40B4-BE49-F238E27FC236}">
              <a16:creationId xmlns:a16="http://schemas.microsoft.com/office/drawing/2014/main" id="{00000000-0008-0000-17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107</xdr:row>
      <xdr:rowOff>95251</xdr:rowOff>
    </xdr:from>
    <xdr:to>
      <xdr:col>21</xdr:col>
      <xdr:colOff>0</xdr:colOff>
      <xdr:row>139</xdr:row>
      <xdr:rowOff>0</xdr:rowOff>
    </xdr:to>
    <xdr:graphicFrame macro="">
      <xdr:nvGraphicFramePr>
        <xdr:cNvPr id="44" name="Chart 13">
          <a:extLst>
            <a:ext uri="{FF2B5EF4-FFF2-40B4-BE49-F238E27FC236}">
              <a16:creationId xmlns:a16="http://schemas.microsoft.com/office/drawing/2014/main" id="{00000000-0008-0000-17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22</xdr:col>
      <xdr:colOff>95250</xdr:colOff>
      <xdr:row>212</xdr:row>
      <xdr:rowOff>33750</xdr:rowOff>
    </xdr:from>
    <xdr:ext cx="252000" cy="252000"/>
    <xdr:sp macro="[0]!LAC" textlink="">
      <xdr:nvSpPr>
        <xdr:cNvPr id="45" name="Down Arrow 44">
          <a:extLst>
            <a:ext uri="{FF2B5EF4-FFF2-40B4-BE49-F238E27FC236}">
              <a16:creationId xmlns:a16="http://schemas.microsoft.com/office/drawing/2014/main" id="{00000000-0008-0000-1700-00002D000000}"/>
            </a:ext>
          </a:extLst>
        </xdr:cNvPr>
        <xdr:cNvSpPr>
          <a:spLocks noChangeArrowheads="1"/>
        </xdr:cNvSpPr>
      </xdr:nvSpPr>
      <xdr:spPr bwMode="auto">
        <a:xfrm flipV="1">
          <a:off x="9267825" y="40162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208</xdr:row>
      <xdr:rowOff>1</xdr:rowOff>
    </xdr:from>
    <xdr:to>
      <xdr:col>8</xdr:col>
      <xdr:colOff>0</xdr:colOff>
      <xdr:row>211</xdr:row>
      <xdr:rowOff>1</xdr:rowOff>
    </xdr:to>
    <xdr:graphicFrame macro="">
      <xdr:nvGraphicFramePr>
        <xdr:cNvPr id="46" name="Chart 13">
          <a:extLst>
            <a:ext uri="{FF2B5EF4-FFF2-40B4-BE49-F238E27FC236}">
              <a16:creationId xmlns:a16="http://schemas.microsoft.com/office/drawing/2014/main" id="{00000000-0008-0000-17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495299</xdr:colOff>
      <xdr:row>179</xdr:row>
      <xdr:rowOff>95250</xdr:rowOff>
    </xdr:from>
    <xdr:to>
      <xdr:col>20</xdr:col>
      <xdr:colOff>514349</xdr:colOff>
      <xdr:row>210</xdr:row>
      <xdr:rowOff>485774</xdr:rowOff>
    </xdr:to>
    <xdr:graphicFrame macro="">
      <xdr:nvGraphicFramePr>
        <xdr:cNvPr id="47" name="Chart 13">
          <a:extLst>
            <a:ext uri="{FF2B5EF4-FFF2-40B4-BE49-F238E27FC236}">
              <a16:creationId xmlns:a16="http://schemas.microsoft.com/office/drawing/2014/main" id="{00000000-0008-0000-17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22</xdr:col>
      <xdr:colOff>95250</xdr:colOff>
      <xdr:row>319</xdr:row>
      <xdr:rowOff>33750</xdr:rowOff>
    </xdr:from>
    <xdr:to>
      <xdr:col>22</xdr:col>
      <xdr:colOff>347250</xdr:colOff>
      <xdr:row>320</xdr:row>
      <xdr:rowOff>95250</xdr:rowOff>
    </xdr:to>
    <xdr:sp macro="[0]!LAC" textlink="">
      <xdr:nvSpPr>
        <xdr:cNvPr id="48" name="Down Arrow 47">
          <a:extLst>
            <a:ext uri="{FF2B5EF4-FFF2-40B4-BE49-F238E27FC236}">
              <a16:creationId xmlns:a16="http://schemas.microsoft.com/office/drawing/2014/main" id="{00000000-0008-0000-1700-000030000000}"/>
            </a:ext>
          </a:extLst>
        </xdr:cNvPr>
        <xdr:cNvSpPr>
          <a:spLocks noChangeArrowheads="1"/>
        </xdr:cNvSpPr>
      </xdr:nvSpPr>
      <xdr:spPr bwMode="auto">
        <a:xfrm flipV="1">
          <a:off x="9267825" y="604032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14</xdr:col>
      <xdr:colOff>3175</xdr:colOff>
      <xdr:row>288</xdr:row>
      <xdr:rowOff>0</xdr:rowOff>
    </xdr:from>
    <xdr:to>
      <xdr:col>21</xdr:col>
      <xdr:colOff>0</xdr:colOff>
      <xdr:row>318</xdr:row>
      <xdr:rowOff>0</xdr:rowOff>
    </xdr:to>
    <xdr:graphicFrame macro="">
      <xdr:nvGraphicFramePr>
        <xdr:cNvPr id="54" name="Chart 170">
          <a:extLst>
            <a:ext uri="{FF2B5EF4-FFF2-40B4-BE49-F238E27FC236}">
              <a16:creationId xmlns:a16="http://schemas.microsoft.com/office/drawing/2014/main" id="{00000000-0008-0000-17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22</xdr:col>
      <xdr:colOff>95250</xdr:colOff>
      <xdr:row>354</xdr:row>
      <xdr:rowOff>33750</xdr:rowOff>
    </xdr:from>
    <xdr:to>
      <xdr:col>22</xdr:col>
      <xdr:colOff>347250</xdr:colOff>
      <xdr:row>355</xdr:row>
      <xdr:rowOff>95250</xdr:rowOff>
    </xdr:to>
    <xdr:sp macro="[0]!LAC" textlink="">
      <xdr:nvSpPr>
        <xdr:cNvPr id="50" name="Down Arrow 49">
          <a:extLst>
            <a:ext uri="{FF2B5EF4-FFF2-40B4-BE49-F238E27FC236}">
              <a16:creationId xmlns:a16="http://schemas.microsoft.com/office/drawing/2014/main" id="{00000000-0008-0000-1700-000032000000}"/>
            </a:ext>
          </a:extLst>
        </xdr:cNvPr>
        <xdr:cNvSpPr>
          <a:spLocks noChangeArrowheads="1"/>
        </xdr:cNvSpPr>
      </xdr:nvSpPr>
      <xdr:spPr bwMode="auto">
        <a:xfrm flipV="1">
          <a:off x="9267825" y="6715642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fLocksWithSheet="0"/>
  </xdr:twoCellAnchor>
  <xdr:twoCellAnchor>
    <xdr:from>
      <xdr:col>7</xdr:col>
      <xdr:colOff>447675</xdr:colOff>
      <xdr:row>324</xdr:row>
      <xdr:rowOff>0</xdr:rowOff>
    </xdr:from>
    <xdr:to>
      <xdr:col>11</xdr:col>
      <xdr:colOff>15525</xdr:colOff>
      <xdr:row>351</xdr:row>
      <xdr:rowOff>0</xdr:rowOff>
    </xdr:to>
    <xdr:graphicFrame macro="">
      <xdr:nvGraphicFramePr>
        <xdr:cNvPr id="52" name="Chart 170">
          <a:extLst>
            <a:ext uri="{FF2B5EF4-FFF2-40B4-BE49-F238E27FC236}">
              <a16:creationId xmlns:a16="http://schemas.microsoft.com/office/drawing/2014/main" id="{00000000-0008-0000-17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28576</xdr:colOff>
      <xdr:row>324</xdr:row>
      <xdr:rowOff>0</xdr:rowOff>
    </xdr:from>
    <xdr:to>
      <xdr:col>13</xdr:col>
      <xdr:colOff>186976</xdr:colOff>
      <xdr:row>351</xdr:row>
      <xdr:rowOff>0</xdr:rowOff>
    </xdr:to>
    <xdr:graphicFrame macro="">
      <xdr:nvGraphicFramePr>
        <xdr:cNvPr id="53" name="Chart 170">
          <a:extLst>
            <a:ext uri="{FF2B5EF4-FFF2-40B4-BE49-F238E27FC236}">
              <a16:creationId xmlns:a16="http://schemas.microsoft.com/office/drawing/2014/main" id="{00000000-0008-0000-17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197094</xdr:colOff>
      <xdr:row>324</xdr:row>
      <xdr:rowOff>1</xdr:rowOff>
    </xdr:from>
    <xdr:to>
      <xdr:col>15</xdr:col>
      <xdr:colOff>355494</xdr:colOff>
      <xdr:row>351</xdr:row>
      <xdr:rowOff>0</xdr:rowOff>
    </xdr:to>
    <xdr:graphicFrame macro="">
      <xdr:nvGraphicFramePr>
        <xdr:cNvPr id="55" name="Chart 170">
          <a:extLst>
            <a:ext uri="{FF2B5EF4-FFF2-40B4-BE49-F238E27FC236}">
              <a16:creationId xmlns:a16="http://schemas.microsoft.com/office/drawing/2014/main" id="{00000000-0008-0000-17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359505</xdr:colOff>
      <xdr:row>324</xdr:row>
      <xdr:rowOff>0</xdr:rowOff>
    </xdr:from>
    <xdr:to>
      <xdr:col>18</xdr:col>
      <xdr:colOff>365505</xdr:colOff>
      <xdr:row>351</xdr:row>
      <xdr:rowOff>0</xdr:rowOff>
    </xdr:to>
    <xdr:graphicFrame macro="">
      <xdr:nvGraphicFramePr>
        <xdr:cNvPr id="56" name="Chart 170">
          <a:extLst>
            <a:ext uri="{FF2B5EF4-FFF2-40B4-BE49-F238E27FC236}">
              <a16:creationId xmlns:a16="http://schemas.microsoft.com/office/drawing/2014/main" id="{00000000-0008-0000-17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18</xdr:col>
      <xdr:colOff>367322</xdr:colOff>
      <xdr:row>324</xdr:row>
      <xdr:rowOff>1</xdr:rowOff>
    </xdr:from>
    <xdr:to>
      <xdr:col>20</xdr:col>
      <xdr:colOff>506672</xdr:colOff>
      <xdr:row>351</xdr:row>
      <xdr:rowOff>0</xdr:rowOff>
    </xdr:to>
    <xdr:graphicFrame macro="">
      <xdr:nvGraphicFramePr>
        <xdr:cNvPr id="57" name="Chart 170">
          <a:extLst>
            <a:ext uri="{FF2B5EF4-FFF2-40B4-BE49-F238E27FC236}">
              <a16:creationId xmlns:a16="http://schemas.microsoft.com/office/drawing/2014/main" id="{00000000-0008-0000-17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22</xdr:col>
      <xdr:colOff>95250</xdr:colOff>
      <xdr:row>284</xdr:row>
      <xdr:rowOff>33750</xdr:rowOff>
    </xdr:from>
    <xdr:ext cx="252000" cy="252000"/>
    <xdr:sp macro="[0]!LAC" textlink="">
      <xdr:nvSpPr>
        <xdr:cNvPr id="58" name="Down Arrow 57">
          <a:extLst>
            <a:ext uri="{FF2B5EF4-FFF2-40B4-BE49-F238E27FC236}">
              <a16:creationId xmlns:a16="http://schemas.microsoft.com/office/drawing/2014/main" id="{00000000-0008-0000-1700-00003A000000}"/>
            </a:ext>
          </a:extLst>
        </xdr:cNvPr>
        <xdr:cNvSpPr>
          <a:spLocks noChangeArrowheads="1"/>
        </xdr:cNvSpPr>
      </xdr:nvSpPr>
      <xdr:spPr bwMode="auto">
        <a:xfrm flipV="1">
          <a:off x="9267825" y="536499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279</xdr:row>
      <xdr:rowOff>76199</xdr:rowOff>
    </xdr:from>
    <xdr:to>
      <xdr:col>8</xdr:col>
      <xdr:colOff>0</xdr:colOff>
      <xdr:row>283</xdr:row>
      <xdr:rowOff>0</xdr:rowOff>
    </xdr:to>
    <xdr:graphicFrame macro="">
      <xdr:nvGraphicFramePr>
        <xdr:cNvPr id="59" name="Chart 13">
          <a:extLst>
            <a:ext uri="{FF2B5EF4-FFF2-40B4-BE49-F238E27FC236}">
              <a16:creationId xmlns:a16="http://schemas.microsoft.com/office/drawing/2014/main" id="{00000000-0008-0000-17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514349</xdr:colOff>
      <xdr:row>251</xdr:row>
      <xdr:rowOff>95250</xdr:rowOff>
    </xdr:from>
    <xdr:to>
      <xdr:col>20</xdr:col>
      <xdr:colOff>514349</xdr:colOff>
      <xdr:row>282</xdr:row>
      <xdr:rowOff>533399</xdr:rowOff>
    </xdr:to>
    <xdr:graphicFrame macro="">
      <xdr:nvGraphicFramePr>
        <xdr:cNvPr id="60" name="Chart 13">
          <a:extLst>
            <a:ext uri="{FF2B5EF4-FFF2-40B4-BE49-F238E27FC236}">
              <a16:creationId xmlns:a16="http://schemas.microsoft.com/office/drawing/2014/main" id="{00000000-0008-0000-17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22</xdr:col>
      <xdr:colOff>95250</xdr:colOff>
      <xdr:row>248</xdr:row>
      <xdr:rowOff>33750</xdr:rowOff>
    </xdr:from>
    <xdr:to>
      <xdr:col>22</xdr:col>
      <xdr:colOff>347250</xdr:colOff>
      <xdr:row>249</xdr:row>
      <xdr:rowOff>95250</xdr:rowOff>
    </xdr:to>
    <xdr:sp macro="[0]!LAC" textlink="">
      <xdr:nvSpPr>
        <xdr:cNvPr id="61" name="Down Arrow 60">
          <a:extLst>
            <a:ext uri="{FF2B5EF4-FFF2-40B4-BE49-F238E27FC236}">
              <a16:creationId xmlns:a16="http://schemas.microsoft.com/office/drawing/2014/main" id="{00000000-0008-0000-1700-00003D000000}"/>
            </a:ext>
          </a:extLst>
        </xdr:cNvPr>
        <xdr:cNvSpPr>
          <a:spLocks noChangeArrowheads="1"/>
        </xdr:cNvSpPr>
      </xdr:nvSpPr>
      <xdr:spPr bwMode="auto">
        <a:xfrm flipV="1">
          <a:off x="9267825" y="469062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1</xdr:col>
      <xdr:colOff>0</xdr:colOff>
      <xdr:row>243</xdr:row>
      <xdr:rowOff>76199</xdr:rowOff>
    </xdr:from>
    <xdr:to>
      <xdr:col>8</xdr:col>
      <xdr:colOff>0</xdr:colOff>
      <xdr:row>247</xdr:row>
      <xdr:rowOff>0</xdr:rowOff>
    </xdr:to>
    <xdr:graphicFrame macro="">
      <xdr:nvGraphicFramePr>
        <xdr:cNvPr id="62" name="Chart 13">
          <a:extLst>
            <a:ext uri="{FF2B5EF4-FFF2-40B4-BE49-F238E27FC236}">
              <a16:creationId xmlns:a16="http://schemas.microsoft.com/office/drawing/2014/main" id="{00000000-0008-0000-17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8</xdr:col>
      <xdr:colOff>514349</xdr:colOff>
      <xdr:row>215</xdr:row>
      <xdr:rowOff>95250</xdr:rowOff>
    </xdr:from>
    <xdr:to>
      <xdr:col>20</xdr:col>
      <xdr:colOff>514349</xdr:colOff>
      <xdr:row>246</xdr:row>
      <xdr:rowOff>533399</xdr:rowOff>
    </xdr:to>
    <xdr:graphicFrame macro="">
      <xdr:nvGraphicFramePr>
        <xdr:cNvPr id="63" name="Chart 13">
          <a:extLst>
            <a:ext uri="{FF2B5EF4-FFF2-40B4-BE49-F238E27FC236}">
              <a16:creationId xmlns:a16="http://schemas.microsoft.com/office/drawing/2014/main" id="{00000000-0008-0000-17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65" name="Picture 64">
          <a:extLst>
            <a:ext uri="{FF2B5EF4-FFF2-40B4-BE49-F238E27FC236}">
              <a16:creationId xmlns:a16="http://schemas.microsoft.com/office/drawing/2014/main" id="{00000000-0008-0000-1700-000041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Court" textlink="">
      <xdr:nvSpPr>
        <xdr:cNvPr id="66" name="Right Arrow 65">
          <a:extLst>
            <a:ext uri="{FF2B5EF4-FFF2-40B4-BE49-F238E27FC236}">
              <a16:creationId xmlns:a16="http://schemas.microsoft.com/office/drawing/2014/main" id="{00000000-0008-0000-1700-000042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Newlac" textlink="">
      <xdr:nvSpPr>
        <xdr:cNvPr id="67" name="Right Arrow 50">
          <a:extLst>
            <a:ext uri="{FF2B5EF4-FFF2-40B4-BE49-F238E27FC236}">
              <a16:creationId xmlns:a16="http://schemas.microsoft.com/office/drawing/2014/main" id="{00000000-0008-0000-1700-000043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180975</xdr:colOff>
      <xdr:row>64</xdr:row>
      <xdr:rowOff>47625</xdr:rowOff>
    </xdr:from>
    <xdr:to>
      <xdr:col>11</xdr:col>
      <xdr:colOff>257175</xdr:colOff>
      <xdr:row>64</xdr:row>
      <xdr:rowOff>123825</xdr:rowOff>
    </xdr:to>
    <xdr:sp macro="" textlink="">
      <xdr:nvSpPr>
        <xdr:cNvPr id="68" name="Oval 2165">
          <a:extLst>
            <a:ext uri="{FF2B5EF4-FFF2-40B4-BE49-F238E27FC236}">
              <a16:creationId xmlns:a16="http://schemas.microsoft.com/office/drawing/2014/main" id="{00000000-0008-0000-1700-000044000000}"/>
            </a:ext>
          </a:extLst>
        </xdr:cNvPr>
        <xdr:cNvSpPr>
          <a:spLocks noChangeArrowheads="1"/>
        </xdr:cNvSpPr>
      </xdr:nvSpPr>
      <xdr:spPr bwMode="auto">
        <a:xfrm>
          <a:off x="4895850" y="1138237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69" name="Line 283">
          <a:extLst>
            <a:ext uri="{FF2B5EF4-FFF2-40B4-BE49-F238E27FC236}">
              <a16:creationId xmlns:a16="http://schemas.microsoft.com/office/drawing/2014/main" id="{00000000-0008-0000-1700-000045000000}"/>
            </a:ext>
          </a:extLst>
        </xdr:cNvPr>
        <xdr:cNvSpPr>
          <a:spLocks noChangeShapeType="1"/>
        </xdr:cNvSpPr>
      </xdr:nvSpPr>
      <xdr:spPr bwMode="auto">
        <a:xfrm>
          <a:off x="4772025" y="11249025"/>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70" name="Oval 2164">
          <a:extLst>
            <a:ext uri="{FF2B5EF4-FFF2-40B4-BE49-F238E27FC236}">
              <a16:creationId xmlns:a16="http://schemas.microsoft.com/office/drawing/2014/main" id="{00000000-0008-0000-1700-000046000000}"/>
            </a:ext>
          </a:extLst>
        </xdr:cNvPr>
        <xdr:cNvSpPr>
          <a:spLocks noChangeArrowheads="1"/>
        </xdr:cNvSpPr>
      </xdr:nvSpPr>
      <xdr:spPr bwMode="auto">
        <a:xfrm>
          <a:off x="7248525" y="11210925"/>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71" name="Line 283">
          <a:extLst>
            <a:ext uri="{FF2B5EF4-FFF2-40B4-BE49-F238E27FC236}">
              <a16:creationId xmlns:a16="http://schemas.microsoft.com/office/drawing/2014/main" id="{00000000-0008-0000-1700-000047000000}"/>
            </a:ext>
          </a:extLst>
        </xdr:cNvPr>
        <xdr:cNvSpPr>
          <a:spLocks noChangeShapeType="1"/>
        </xdr:cNvSpPr>
      </xdr:nvSpPr>
      <xdr:spPr bwMode="auto">
        <a:xfrm>
          <a:off x="7086600" y="11420474"/>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39</xdr:row>
      <xdr:rowOff>0</xdr:rowOff>
    </xdr:from>
    <xdr:to>
      <xdr:col>21</xdr:col>
      <xdr:colOff>0</xdr:colOff>
      <xdr:row>63</xdr:row>
      <xdr:rowOff>0</xdr:rowOff>
    </xdr:to>
    <xdr:graphicFrame macro="">
      <xdr:nvGraphicFramePr>
        <xdr:cNvPr id="72" name="Chart 176">
          <a:extLst>
            <a:ext uri="{FF2B5EF4-FFF2-40B4-BE49-F238E27FC236}">
              <a16:creationId xmlns:a16="http://schemas.microsoft.com/office/drawing/2014/main" id="{00000000-0008-0000-17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347250</xdr:colOff>
      <xdr:row>37</xdr:row>
      <xdr:rowOff>95250</xdr:rowOff>
    </xdr:to>
    <xdr:sp macro="[0]!Newlac" textlink="">
      <xdr:nvSpPr>
        <xdr:cNvPr id="2" name="Down Arrow 44">
          <a:extLst>
            <a:ext uri="{FF2B5EF4-FFF2-40B4-BE49-F238E27FC236}">
              <a16:creationId xmlns:a16="http://schemas.microsoft.com/office/drawing/2014/main" id="{00000000-0008-0000-18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Newlac" textlink="">
      <xdr:nvSpPr>
        <xdr:cNvPr id="3" name="Down Arrow 2">
          <a:extLst>
            <a:ext uri="{FF2B5EF4-FFF2-40B4-BE49-F238E27FC236}">
              <a16:creationId xmlns:a16="http://schemas.microsoft.com/office/drawing/2014/main" id="{00000000-0008-0000-18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5" name="Chart 13">
          <a:extLst>
            <a:ext uri="{FF2B5EF4-FFF2-40B4-BE49-F238E27FC236}">
              <a16:creationId xmlns:a16="http://schemas.microsoft.com/office/drawing/2014/main" id="{00000000-0008-0000-18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7" name="AutoShape 32">
          <a:extLst>
            <a:ext uri="{FF2B5EF4-FFF2-40B4-BE49-F238E27FC236}">
              <a16:creationId xmlns:a16="http://schemas.microsoft.com/office/drawing/2014/main" id="{00000000-0008-0000-1800-000007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8" name="Chart 13">
          <a:extLst>
            <a:ext uri="{FF2B5EF4-FFF2-40B4-BE49-F238E27FC236}">
              <a16:creationId xmlns:a16="http://schemas.microsoft.com/office/drawing/2014/main" id="{00000000-0008-0000-1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28575</xdr:rowOff>
        </xdr:from>
        <xdr:to>
          <xdr:col>36</xdr:col>
          <xdr:colOff>47625</xdr:colOff>
          <xdr:row>41</xdr:row>
          <xdr:rowOff>9525</xdr:rowOff>
        </xdr:to>
        <xdr:sp macro="" textlink="">
          <xdr:nvSpPr>
            <xdr:cNvPr id="167937" name="Check Box 1" hidden="1">
              <a:extLst>
                <a:ext uri="{63B3BB69-23CF-44E3-9099-C40C66FF867C}">
                  <a14:compatExt spid="_x0000_s167937"/>
                </a:ext>
                <a:ext uri="{FF2B5EF4-FFF2-40B4-BE49-F238E27FC236}">
                  <a16:creationId xmlns:a16="http://schemas.microsoft.com/office/drawing/2014/main" id="{00000000-0008-0000-1800-000001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167938" name="Check Box 2" hidden="1">
              <a:extLst>
                <a:ext uri="{63B3BB69-23CF-44E3-9099-C40C66FF867C}">
                  <a14:compatExt spid="_x0000_s167938"/>
                </a:ext>
                <a:ext uri="{FF2B5EF4-FFF2-40B4-BE49-F238E27FC236}">
                  <a16:creationId xmlns:a16="http://schemas.microsoft.com/office/drawing/2014/main" id="{00000000-0008-0000-1800-000002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167939" name="Check Box 3" hidden="1">
              <a:extLst>
                <a:ext uri="{63B3BB69-23CF-44E3-9099-C40C66FF867C}">
                  <a14:compatExt spid="_x0000_s167939"/>
                </a:ext>
                <a:ext uri="{FF2B5EF4-FFF2-40B4-BE49-F238E27FC236}">
                  <a16:creationId xmlns:a16="http://schemas.microsoft.com/office/drawing/2014/main" id="{00000000-0008-0000-1800-000003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167940" name="Check Box 4" hidden="1">
              <a:extLst>
                <a:ext uri="{63B3BB69-23CF-44E3-9099-C40C66FF867C}">
                  <a14:compatExt spid="_x0000_s167940"/>
                </a:ext>
                <a:ext uri="{FF2B5EF4-FFF2-40B4-BE49-F238E27FC236}">
                  <a16:creationId xmlns:a16="http://schemas.microsoft.com/office/drawing/2014/main" id="{00000000-0008-0000-1800-000004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167941" name="Check Box 5" hidden="1">
              <a:extLst>
                <a:ext uri="{63B3BB69-23CF-44E3-9099-C40C66FF867C}">
                  <a14:compatExt spid="_x0000_s167941"/>
                </a:ext>
                <a:ext uri="{FF2B5EF4-FFF2-40B4-BE49-F238E27FC236}">
                  <a16:creationId xmlns:a16="http://schemas.microsoft.com/office/drawing/2014/main" id="{00000000-0008-0000-1800-000005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167942" name="Check Box 6" hidden="1">
              <a:extLst>
                <a:ext uri="{63B3BB69-23CF-44E3-9099-C40C66FF867C}">
                  <a14:compatExt spid="_x0000_s167942"/>
                </a:ext>
                <a:ext uri="{FF2B5EF4-FFF2-40B4-BE49-F238E27FC236}">
                  <a16:creationId xmlns:a16="http://schemas.microsoft.com/office/drawing/2014/main" id="{00000000-0008-0000-1800-000006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167943" name="Check Box 7" hidden="1">
              <a:extLst>
                <a:ext uri="{63B3BB69-23CF-44E3-9099-C40C66FF867C}">
                  <a14:compatExt spid="_x0000_s167943"/>
                </a:ext>
                <a:ext uri="{FF2B5EF4-FFF2-40B4-BE49-F238E27FC236}">
                  <a16:creationId xmlns:a16="http://schemas.microsoft.com/office/drawing/2014/main" id="{00000000-0008-0000-1800-000007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167944" name="Check Box 8" hidden="1">
              <a:extLst>
                <a:ext uri="{63B3BB69-23CF-44E3-9099-C40C66FF867C}">
                  <a14:compatExt spid="_x0000_s167944"/>
                </a:ext>
                <a:ext uri="{FF2B5EF4-FFF2-40B4-BE49-F238E27FC236}">
                  <a16:creationId xmlns:a16="http://schemas.microsoft.com/office/drawing/2014/main" id="{00000000-0008-0000-1800-000008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167945" name="Check Box 9" hidden="1">
              <a:extLst>
                <a:ext uri="{63B3BB69-23CF-44E3-9099-C40C66FF867C}">
                  <a14:compatExt spid="_x0000_s167945"/>
                </a:ext>
                <a:ext uri="{FF2B5EF4-FFF2-40B4-BE49-F238E27FC236}">
                  <a16:creationId xmlns:a16="http://schemas.microsoft.com/office/drawing/2014/main" id="{00000000-0008-0000-1800-000009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167946" name="Check Box 10" hidden="1">
              <a:extLst>
                <a:ext uri="{63B3BB69-23CF-44E3-9099-C40C66FF867C}">
                  <a14:compatExt spid="_x0000_s167946"/>
                </a:ext>
                <a:ext uri="{FF2B5EF4-FFF2-40B4-BE49-F238E27FC236}">
                  <a16:creationId xmlns:a16="http://schemas.microsoft.com/office/drawing/2014/main" id="{00000000-0008-0000-1800-00000A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167947" name="Check Box 11" hidden="1">
              <a:extLst>
                <a:ext uri="{63B3BB69-23CF-44E3-9099-C40C66FF867C}">
                  <a14:compatExt spid="_x0000_s167947"/>
                </a:ext>
                <a:ext uri="{FF2B5EF4-FFF2-40B4-BE49-F238E27FC236}">
                  <a16:creationId xmlns:a16="http://schemas.microsoft.com/office/drawing/2014/main" id="{00000000-0008-0000-1800-00000B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167948" name="Check Box 12" hidden="1">
              <a:extLst>
                <a:ext uri="{63B3BB69-23CF-44E3-9099-C40C66FF867C}">
                  <a14:compatExt spid="_x0000_s167948"/>
                </a:ext>
                <a:ext uri="{FF2B5EF4-FFF2-40B4-BE49-F238E27FC236}">
                  <a16:creationId xmlns:a16="http://schemas.microsoft.com/office/drawing/2014/main" id="{00000000-0008-0000-1800-00000C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167949" name="Check Box 13" hidden="1">
              <a:extLst>
                <a:ext uri="{63B3BB69-23CF-44E3-9099-C40C66FF867C}">
                  <a14:compatExt spid="_x0000_s167949"/>
                </a:ext>
                <a:ext uri="{FF2B5EF4-FFF2-40B4-BE49-F238E27FC236}">
                  <a16:creationId xmlns:a16="http://schemas.microsoft.com/office/drawing/2014/main" id="{00000000-0008-0000-1800-00000D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167950" name="Check Box 14" hidden="1">
              <a:extLst>
                <a:ext uri="{63B3BB69-23CF-44E3-9099-C40C66FF867C}">
                  <a14:compatExt spid="_x0000_s167950"/>
                </a:ext>
                <a:ext uri="{FF2B5EF4-FFF2-40B4-BE49-F238E27FC236}">
                  <a16:creationId xmlns:a16="http://schemas.microsoft.com/office/drawing/2014/main" id="{00000000-0008-0000-1800-00000E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167951" name="Check Box 15" hidden="1">
              <a:extLst>
                <a:ext uri="{63B3BB69-23CF-44E3-9099-C40C66FF867C}">
                  <a14:compatExt spid="_x0000_s167951"/>
                </a:ext>
                <a:ext uri="{FF2B5EF4-FFF2-40B4-BE49-F238E27FC236}">
                  <a16:creationId xmlns:a16="http://schemas.microsoft.com/office/drawing/2014/main" id="{00000000-0008-0000-1800-00000F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167952" name="Check Box 16" hidden="1">
              <a:extLst>
                <a:ext uri="{63B3BB69-23CF-44E3-9099-C40C66FF867C}">
                  <a14:compatExt spid="_x0000_s167952"/>
                </a:ext>
                <a:ext uri="{FF2B5EF4-FFF2-40B4-BE49-F238E27FC236}">
                  <a16:creationId xmlns:a16="http://schemas.microsoft.com/office/drawing/2014/main" id="{00000000-0008-0000-1800-000010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167953" name="Check Box 17" hidden="1">
              <a:extLst>
                <a:ext uri="{63B3BB69-23CF-44E3-9099-C40C66FF867C}">
                  <a14:compatExt spid="_x0000_s167953"/>
                </a:ext>
                <a:ext uri="{FF2B5EF4-FFF2-40B4-BE49-F238E27FC236}">
                  <a16:creationId xmlns:a16="http://schemas.microsoft.com/office/drawing/2014/main" id="{00000000-0008-0000-1800-000011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167954" name="Check Box 18" hidden="1">
              <a:extLst>
                <a:ext uri="{63B3BB69-23CF-44E3-9099-C40C66FF867C}">
                  <a14:compatExt spid="_x0000_s167954"/>
                </a:ext>
                <a:ext uri="{FF2B5EF4-FFF2-40B4-BE49-F238E27FC236}">
                  <a16:creationId xmlns:a16="http://schemas.microsoft.com/office/drawing/2014/main" id="{00000000-0008-0000-1800-000012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167955" name="Check Box 19" hidden="1">
              <a:extLst>
                <a:ext uri="{63B3BB69-23CF-44E3-9099-C40C66FF867C}">
                  <a14:compatExt spid="_x0000_s167955"/>
                </a:ext>
                <a:ext uri="{FF2B5EF4-FFF2-40B4-BE49-F238E27FC236}">
                  <a16:creationId xmlns:a16="http://schemas.microsoft.com/office/drawing/2014/main" id="{00000000-0008-0000-1800-000013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167956" name="Check Box 20" hidden="1">
              <a:extLst>
                <a:ext uri="{63B3BB69-23CF-44E3-9099-C40C66FF867C}">
                  <a14:compatExt spid="_x0000_s167956"/>
                </a:ext>
                <a:ext uri="{FF2B5EF4-FFF2-40B4-BE49-F238E27FC236}">
                  <a16:creationId xmlns:a16="http://schemas.microsoft.com/office/drawing/2014/main" id="{00000000-0008-0000-1800-000014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152400</xdr:rowOff>
        </xdr:from>
        <xdr:to>
          <xdr:col>36</xdr:col>
          <xdr:colOff>47625</xdr:colOff>
          <xdr:row>63</xdr:row>
          <xdr:rowOff>9525</xdr:rowOff>
        </xdr:to>
        <xdr:sp macro="" textlink="">
          <xdr:nvSpPr>
            <xdr:cNvPr id="167957" name="Check Box 21" hidden="1">
              <a:extLst>
                <a:ext uri="{63B3BB69-23CF-44E3-9099-C40C66FF867C}">
                  <a14:compatExt spid="_x0000_s167957"/>
                </a:ext>
                <a:ext uri="{FF2B5EF4-FFF2-40B4-BE49-F238E27FC236}">
                  <a16:creationId xmlns:a16="http://schemas.microsoft.com/office/drawing/2014/main" id="{00000000-0008-0000-1800-000015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105</xdr:row>
      <xdr:rowOff>33750</xdr:rowOff>
    </xdr:from>
    <xdr:ext cx="252000" cy="252000"/>
    <xdr:sp macro="[0]!Newlac" textlink="">
      <xdr:nvSpPr>
        <xdr:cNvPr id="30" name="Down Arrow 44">
          <a:extLst>
            <a:ext uri="{FF2B5EF4-FFF2-40B4-BE49-F238E27FC236}">
              <a16:creationId xmlns:a16="http://schemas.microsoft.com/office/drawing/2014/main" id="{00000000-0008-0000-1800-00001E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101</xdr:row>
      <xdr:rowOff>0</xdr:rowOff>
    </xdr:from>
    <xdr:to>
      <xdr:col>8</xdr:col>
      <xdr:colOff>0</xdr:colOff>
      <xdr:row>104</xdr:row>
      <xdr:rowOff>0</xdr:rowOff>
    </xdr:to>
    <xdr:graphicFrame macro="">
      <xdr:nvGraphicFramePr>
        <xdr:cNvPr id="31" name="Chart 13">
          <a:extLst>
            <a:ext uri="{FF2B5EF4-FFF2-40B4-BE49-F238E27FC236}">
              <a16:creationId xmlns:a16="http://schemas.microsoft.com/office/drawing/2014/main" id="{00000000-0008-0000-18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167958" name="Check Box 22" hidden="1">
              <a:extLst>
                <a:ext uri="{63B3BB69-23CF-44E3-9099-C40C66FF867C}">
                  <a14:compatExt spid="_x0000_s167958"/>
                </a:ext>
                <a:ext uri="{FF2B5EF4-FFF2-40B4-BE49-F238E27FC236}">
                  <a16:creationId xmlns:a16="http://schemas.microsoft.com/office/drawing/2014/main" id="{00000000-0008-0000-1800-000016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167959" name="Check Box 23" hidden="1">
              <a:extLst>
                <a:ext uri="{63B3BB69-23CF-44E3-9099-C40C66FF867C}">
                  <a14:compatExt spid="_x0000_s167959"/>
                </a:ext>
                <a:ext uri="{FF2B5EF4-FFF2-40B4-BE49-F238E27FC236}">
                  <a16:creationId xmlns:a16="http://schemas.microsoft.com/office/drawing/2014/main" id="{00000000-0008-0000-1800-000017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72</xdr:row>
      <xdr:rowOff>95250</xdr:rowOff>
    </xdr:from>
    <xdr:to>
      <xdr:col>20</xdr:col>
      <xdr:colOff>514349</xdr:colOff>
      <xdr:row>103</xdr:row>
      <xdr:rowOff>533399</xdr:rowOff>
    </xdr:to>
    <xdr:graphicFrame macro="">
      <xdr:nvGraphicFramePr>
        <xdr:cNvPr id="34" name="Chart 13">
          <a:extLst>
            <a:ext uri="{FF2B5EF4-FFF2-40B4-BE49-F238E27FC236}">
              <a16:creationId xmlns:a16="http://schemas.microsoft.com/office/drawing/2014/main" id="{00000000-0008-0000-18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152400</xdr:rowOff>
        </xdr:from>
        <xdr:to>
          <xdr:col>36</xdr:col>
          <xdr:colOff>47625</xdr:colOff>
          <xdr:row>64</xdr:row>
          <xdr:rowOff>9525</xdr:rowOff>
        </xdr:to>
        <xdr:sp macro="" textlink="">
          <xdr:nvSpPr>
            <xdr:cNvPr id="167960" name="Check Box 24" hidden="1">
              <a:extLst>
                <a:ext uri="{63B3BB69-23CF-44E3-9099-C40C66FF867C}">
                  <a14:compatExt spid="_x0000_s167960"/>
                </a:ext>
                <a:ext uri="{FF2B5EF4-FFF2-40B4-BE49-F238E27FC236}">
                  <a16:creationId xmlns:a16="http://schemas.microsoft.com/office/drawing/2014/main" id="{00000000-0008-0000-1800-00001890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22</xdr:col>
      <xdr:colOff>66675</xdr:colOff>
      <xdr:row>0</xdr:row>
      <xdr:rowOff>193416</xdr:rowOff>
    </xdr:from>
    <xdr:to>
      <xdr:col>22</xdr:col>
      <xdr:colOff>371475</xdr:colOff>
      <xdr:row>2</xdr:row>
      <xdr:rowOff>47625</xdr:rowOff>
    </xdr:to>
    <xdr:pic macro="[0]!Home">
      <xdr:nvPicPr>
        <xdr:cNvPr id="62" name="Picture 61">
          <a:extLst>
            <a:ext uri="{FF2B5EF4-FFF2-40B4-BE49-F238E27FC236}">
              <a16:creationId xmlns:a16="http://schemas.microsoft.com/office/drawing/2014/main" id="{00000000-0008-0000-1800-00003E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LAC" textlink="">
      <xdr:nvSpPr>
        <xdr:cNvPr id="63" name="Right Arrow 62">
          <a:extLst>
            <a:ext uri="{FF2B5EF4-FFF2-40B4-BE49-F238E27FC236}">
              <a16:creationId xmlns:a16="http://schemas.microsoft.com/office/drawing/2014/main" id="{00000000-0008-0000-1800-00003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7</xdr:row>
      <xdr:rowOff>0</xdr:rowOff>
    </xdr:to>
    <xdr:sp macro="[0]!Careleavers" textlink="">
      <xdr:nvSpPr>
        <xdr:cNvPr id="64" name="Right Arrow 50">
          <a:extLst>
            <a:ext uri="{FF2B5EF4-FFF2-40B4-BE49-F238E27FC236}">
              <a16:creationId xmlns:a16="http://schemas.microsoft.com/office/drawing/2014/main" id="{00000000-0008-0000-1800-00004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22</xdr:col>
      <xdr:colOff>95250</xdr:colOff>
      <xdr:row>143</xdr:row>
      <xdr:rowOff>33750</xdr:rowOff>
    </xdr:from>
    <xdr:ext cx="252000" cy="252000"/>
    <xdr:sp macro="[0]!Newlac" textlink="">
      <xdr:nvSpPr>
        <xdr:cNvPr id="65" name="Down Arrow 44">
          <a:extLst>
            <a:ext uri="{FF2B5EF4-FFF2-40B4-BE49-F238E27FC236}">
              <a16:creationId xmlns:a16="http://schemas.microsoft.com/office/drawing/2014/main" id="{00000000-0008-0000-1800-000041000000}"/>
            </a:ext>
          </a:extLst>
        </xdr:cNvPr>
        <xdr:cNvSpPr>
          <a:spLocks noChangeArrowheads="1"/>
        </xdr:cNvSpPr>
      </xdr:nvSpPr>
      <xdr:spPr bwMode="auto">
        <a:xfrm flipV="1">
          <a:off x="9377795" y="6493432"/>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176</xdr:row>
      <xdr:rowOff>33750</xdr:rowOff>
    </xdr:from>
    <xdr:to>
      <xdr:col>22</xdr:col>
      <xdr:colOff>347250</xdr:colOff>
      <xdr:row>177</xdr:row>
      <xdr:rowOff>95250</xdr:rowOff>
    </xdr:to>
    <xdr:sp macro="[0]!Newlac" textlink="">
      <xdr:nvSpPr>
        <xdr:cNvPr id="66" name="Down Arrow 65">
          <a:extLst>
            <a:ext uri="{FF2B5EF4-FFF2-40B4-BE49-F238E27FC236}">
              <a16:creationId xmlns:a16="http://schemas.microsoft.com/office/drawing/2014/main" id="{00000000-0008-0000-1800-000042000000}"/>
            </a:ext>
          </a:extLst>
        </xdr:cNvPr>
        <xdr:cNvSpPr/>
      </xdr:nvSpPr>
      <xdr:spPr>
        <a:xfrm flipV="1">
          <a:off x="9377795" y="13057023"/>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146</xdr:row>
      <xdr:rowOff>1</xdr:rowOff>
    </xdr:from>
    <xdr:to>
      <xdr:col>11</xdr:col>
      <xdr:colOff>1</xdr:colOff>
      <xdr:row>175</xdr:row>
      <xdr:rowOff>0</xdr:rowOff>
    </xdr:to>
    <xdr:graphicFrame macro="">
      <xdr:nvGraphicFramePr>
        <xdr:cNvPr id="68" name="Chart 13">
          <a:extLst>
            <a:ext uri="{FF2B5EF4-FFF2-40B4-BE49-F238E27FC236}">
              <a16:creationId xmlns:a16="http://schemas.microsoft.com/office/drawing/2014/main" id="{00000000-0008-0000-1800-00004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1</xdr:colOff>
      <xdr:row>172</xdr:row>
      <xdr:rowOff>0</xdr:rowOff>
    </xdr:from>
    <xdr:to>
      <xdr:col>21</xdr:col>
      <xdr:colOff>1</xdr:colOff>
      <xdr:row>175</xdr:row>
      <xdr:rowOff>0</xdr:rowOff>
    </xdr:to>
    <xdr:graphicFrame macro="">
      <xdr:nvGraphicFramePr>
        <xdr:cNvPr id="70" name="Chart 13">
          <a:extLst>
            <a:ext uri="{FF2B5EF4-FFF2-40B4-BE49-F238E27FC236}">
              <a16:creationId xmlns:a16="http://schemas.microsoft.com/office/drawing/2014/main" id="{00000000-0008-0000-1800-00004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208</xdr:row>
      <xdr:rowOff>0</xdr:rowOff>
    </xdr:from>
    <xdr:to>
      <xdr:col>8</xdr:col>
      <xdr:colOff>0</xdr:colOff>
      <xdr:row>211</xdr:row>
      <xdr:rowOff>0</xdr:rowOff>
    </xdr:to>
    <xdr:graphicFrame macro="">
      <xdr:nvGraphicFramePr>
        <xdr:cNvPr id="77" name="Chart 13">
          <a:extLst>
            <a:ext uri="{FF2B5EF4-FFF2-40B4-BE49-F238E27FC236}">
              <a16:creationId xmlns:a16="http://schemas.microsoft.com/office/drawing/2014/main" id="{00000000-0008-0000-1800-00004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0</xdr:colOff>
      <xdr:row>179</xdr:row>
      <xdr:rowOff>95251</xdr:rowOff>
    </xdr:from>
    <xdr:to>
      <xdr:col>21</xdr:col>
      <xdr:colOff>0</xdr:colOff>
      <xdr:row>211</xdr:row>
      <xdr:rowOff>0</xdr:rowOff>
    </xdr:to>
    <xdr:graphicFrame macro="">
      <xdr:nvGraphicFramePr>
        <xdr:cNvPr id="78" name="Chart 13">
          <a:extLst>
            <a:ext uri="{FF2B5EF4-FFF2-40B4-BE49-F238E27FC236}">
              <a16:creationId xmlns:a16="http://schemas.microsoft.com/office/drawing/2014/main" id="{00000000-0008-0000-1800-00004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0</xdr:colOff>
      <xdr:row>39</xdr:row>
      <xdr:rowOff>0</xdr:rowOff>
    </xdr:from>
    <xdr:to>
      <xdr:col>21</xdr:col>
      <xdr:colOff>0</xdr:colOff>
      <xdr:row>63</xdr:row>
      <xdr:rowOff>0</xdr:rowOff>
    </xdr:to>
    <xdr:graphicFrame macro="">
      <xdr:nvGraphicFramePr>
        <xdr:cNvPr id="58" name="Chart 176">
          <a:extLst>
            <a:ext uri="{FF2B5EF4-FFF2-40B4-BE49-F238E27FC236}">
              <a16:creationId xmlns:a16="http://schemas.microsoft.com/office/drawing/2014/main" id="{00000000-0008-0000-18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59" name="Oval 2165">
          <a:extLst>
            <a:ext uri="{FF2B5EF4-FFF2-40B4-BE49-F238E27FC236}">
              <a16:creationId xmlns:a16="http://schemas.microsoft.com/office/drawing/2014/main" id="{00000000-0008-0000-1800-00003B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60" name="Line 283">
          <a:extLst>
            <a:ext uri="{FF2B5EF4-FFF2-40B4-BE49-F238E27FC236}">
              <a16:creationId xmlns:a16="http://schemas.microsoft.com/office/drawing/2014/main" id="{00000000-0008-0000-1800-00003C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74" name="Oval 2164">
          <a:extLst>
            <a:ext uri="{FF2B5EF4-FFF2-40B4-BE49-F238E27FC236}">
              <a16:creationId xmlns:a16="http://schemas.microsoft.com/office/drawing/2014/main" id="{00000000-0008-0000-1800-00004A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75" name="Line 283">
          <a:extLst>
            <a:ext uri="{FF2B5EF4-FFF2-40B4-BE49-F238E27FC236}">
              <a16:creationId xmlns:a16="http://schemas.microsoft.com/office/drawing/2014/main" id="{00000000-0008-0000-1800-00004B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180975</xdr:colOff>
      <xdr:row>171</xdr:row>
      <xdr:rowOff>47625</xdr:rowOff>
    </xdr:from>
    <xdr:to>
      <xdr:col>11</xdr:col>
      <xdr:colOff>257175</xdr:colOff>
      <xdr:row>171</xdr:row>
      <xdr:rowOff>123825</xdr:rowOff>
    </xdr:to>
    <xdr:sp macro="" textlink="">
      <xdr:nvSpPr>
        <xdr:cNvPr id="79" name="Oval 2165">
          <a:extLst>
            <a:ext uri="{FF2B5EF4-FFF2-40B4-BE49-F238E27FC236}">
              <a16:creationId xmlns:a16="http://schemas.microsoft.com/office/drawing/2014/main" id="{00000000-0008-0000-1800-00004F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170</xdr:row>
      <xdr:rowOff>85725</xdr:rowOff>
    </xdr:from>
    <xdr:to>
      <xdr:col>11</xdr:col>
      <xdr:colOff>417150</xdr:colOff>
      <xdr:row>170</xdr:row>
      <xdr:rowOff>85725</xdr:rowOff>
    </xdr:to>
    <xdr:sp macro="" textlink="">
      <xdr:nvSpPr>
        <xdr:cNvPr id="80" name="Line 283">
          <a:extLst>
            <a:ext uri="{FF2B5EF4-FFF2-40B4-BE49-F238E27FC236}">
              <a16:creationId xmlns:a16="http://schemas.microsoft.com/office/drawing/2014/main" id="{00000000-0008-0000-1800-000050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170</xdr:row>
      <xdr:rowOff>47625</xdr:rowOff>
    </xdr:from>
    <xdr:to>
      <xdr:col>16</xdr:col>
      <xdr:colOff>304800</xdr:colOff>
      <xdr:row>170</xdr:row>
      <xdr:rowOff>123825</xdr:rowOff>
    </xdr:to>
    <xdr:sp macro="" textlink="">
      <xdr:nvSpPr>
        <xdr:cNvPr id="81" name="Oval 2164">
          <a:extLst>
            <a:ext uri="{FF2B5EF4-FFF2-40B4-BE49-F238E27FC236}">
              <a16:creationId xmlns:a16="http://schemas.microsoft.com/office/drawing/2014/main" id="{00000000-0008-0000-1800-000051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171</xdr:row>
      <xdr:rowOff>85724</xdr:rowOff>
    </xdr:from>
    <xdr:to>
      <xdr:col>16</xdr:col>
      <xdr:colOff>426675</xdr:colOff>
      <xdr:row>171</xdr:row>
      <xdr:rowOff>85724</xdr:rowOff>
    </xdr:to>
    <xdr:sp macro="" textlink="">
      <xdr:nvSpPr>
        <xdr:cNvPr id="82" name="Line 283">
          <a:extLst>
            <a:ext uri="{FF2B5EF4-FFF2-40B4-BE49-F238E27FC236}">
              <a16:creationId xmlns:a16="http://schemas.microsoft.com/office/drawing/2014/main" id="{00000000-0008-0000-1800-000052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146</xdr:row>
      <xdr:rowOff>0</xdr:rowOff>
    </xdr:from>
    <xdr:to>
      <xdr:col>21</xdr:col>
      <xdr:colOff>0</xdr:colOff>
      <xdr:row>170</xdr:row>
      <xdr:rowOff>0</xdr:rowOff>
    </xdr:to>
    <xdr:graphicFrame macro="">
      <xdr:nvGraphicFramePr>
        <xdr:cNvPr id="83" name="Chart 176">
          <a:extLst>
            <a:ext uri="{FF2B5EF4-FFF2-40B4-BE49-F238E27FC236}">
              <a16:creationId xmlns:a16="http://schemas.microsoft.com/office/drawing/2014/main" id="{00000000-0008-0000-1800-00005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22</xdr:col>
      <xdr:colOff>95250</xdr:colOff>
      <xdr:row>322</xdr:row>
      <xdr:rowOff>33750</xdr:rowOff>
    </xdr:from>
    <xdr:ext cx="252000" cy="252000"/>
    <xdr:sp macro="[0]!Newlac" textlink="">
      <xdr:nvSpPr>
        <xdr:cNvPr id="61" name="Down Arrow 44">
          <a:extLst>
            <a:ext uri="{FF2B5EF4-FFF2-40B4-BE49-F238E27FC236}">
              <a16:creationId xmlns:a16="http://schemas.microsoft.com/office/drawing/2014/main" id="{00000000-0008-0000-1800-00003D000000}"/>
            </a:ext>
          </a:extLst>
        </xdr:cNvPr>
        <xdr:cNvSpPr>
          <a:spLocks noChangeArrowheads="1"/>
        </xdr:cNvSpPr>
      </xdr:nvSpPr>
      <xdr:spPr bwMode="auto">
        <a:xfrm flipV="1">
          <a:off x="9286875"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22</xdr:col>
      <xdr:colOff>95250</xdr:colOff>
      <xdr:row>355</xdr:row>
      <xdr:rowOff>33750</xdr:rowOff>
    </xdr:from>
    <xdr:to>
      <xdr:col>22</xdr:col>
      <xdr:colOff>347250</xdr:colOff>
      <xdr:row>356</xdr:row>
      <xdr:rowOff>95250</xdr:rowOff>
    </xdr:to>
    <xdr:sp macro="[0]!Newlac" textlink="">
      <xdr:nvSpPr>
        <xdr:cNvPr id="67" name="Down Arrow 66">
          <a:extLst>
            <a:ext uri="{FF2B5EF4-FFF2-40B4-BE49-F238E27FC236}">
              <a16:creationId xmlns:a16="http://schemas.microsoft.com/office/drawing/2014/main" id="{00000000-0008-0000-1800-000043000000}"/>
            </a:ext>
          </a:extLst>
        </xdr:cNvPr>
        <xdr:cNvSpPr/>
      </xdr:nvSpPr>
      <xdr:spPr>
        <a:xfrm flipV="1">
          <a:off x="9286875" y="401625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325</xdr:row>
      <xdr:rowOff>1</xdr:rowOff>
    </xdr:from>
    <xdr:to>
      <xdr:col>11</xdr:col>
      <xdr:colOff>1</xdr:colOff>
      <xdr:row>354</xdr:row>
      <xdr:rowOff>0</xdr:rowOff>
    </xdr:to>
    <xdr:graphicFrame macro="">
      <xdr:nvGraphicFramePr>
        <xdr:cNvPr id="69" name="Chart 13">
          <a:extLst>
            <a:ext uri="{FF2B5EF4-FFF2-40B4-BE49-F238E27FC236}">
              <a16:creationId xmlns:a16="http://schemas.microsoft.com/office/drawing/2014/main" id="{00000000-0008-0000-18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xdr:colOff>
      <xdr:row>351</xdr:row>
      <xdr:rowOff>0</xdr:rowOff>
    </xdr:from>
    <xdr:to>
      <xdr:col>21</xdr:col>
      <xdr:colOff>1</xdr:colOff>
      <xdr:row>354</xdr:row>
      <xdr:rowOff>0</xdr:rowOff>
    </xdr:to>
    <xdr:graphicFrame macro="">
      <xdr:nvGraphicFramePr>
        <xdr:cNvPr id="71" name="Chart 13">
          <a:extLst>
            <a:ext uri="{FF2B5EF4-FFF2-40B4-BE49-F238E27FC236}">
              <a16:creationId xmlns:a16="http://schemas.microsoft.com/office/drawing/2014/main" id="{00000000-0008-0000-1800-00004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180975</xdr:colOff>
      <xdr:row>350</xdr:row>
      <xdr:rowOff>47625</xdr:rowOff>
    </xdr:from>
    <xdr:to>
      <xdr:col>11</xdr:col>
      <xdr:colOff>257175</xdr:colOff>
      <xdr:row>350</xdr:row>
      <xdr:rowOff>123825</xdr:rowOff>
    </xdr:to>
    <xdr:sp macro="" textlink="">
      <xdr:nvSpPr>
        <xdr:cNvPr id="72" name="Oval 2165">
          <a:extLst>
            <a:ext uri="{FF2B5EF4-FFF2-40B4-BE49-F238E27FC236}">
              <a16:creationId xmlns:a16="http://schemas.microsoft.com/office/drawing/2014/main" id="{00000000-0008-0000-1800-000048000000}"/>
            </a:ext>
          </a:extLst>
        </xdr:cNvPr>
        <xdr:cNvSpPr>
          <a:spLocks noChangeArrowheads="1"/>
        </xdr:cNvSpPr>
      </xdr:nvSpPr>
      <xdr:spPr bwMode="auto">
        <a:xfrm>
          <a:off x="4895850" y="383095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349</xdr:row>
      <xdr:rowOff>85725</xdr:rowOff>
    </xdr:from>
    <xdr:to>
      <xdr:col>11</xdr:col>
      <xdr:colOff>417150</xdr:colOff>
      <xdr:row>349</xdr:row>
      <xdr:rowOff>85725</xdr:rowOff>
    </xdr:to>
    <xdr:sp macro="" textlink="">
      <xdr:nvSpPr>
        <xdr:cNvPr id="73" name="Line 283">
          <a:extLst>
            <a:ext uri="{FF2B5EF4-FFF2-40B4-BE49-F238E27FC236}">
              <a16:creationId xmlns:a16="http://schemas.microsoft.com/office/drawing/2014/main" id="{00000000-0008-0000-1800-000049000000}"/>
            </a:ext>
          </a:extLst>
        </xdr:cNvPr>
        <xdr:cNvSpPr>
          <a:spLocks noChangeShapeType="1"/>
        </xdr:cNvSpPr>
      </xdr:nvSpPr>
      <xdr:spPr bwMode="auto">
        <a:xfrm>
          <a:off x="4772025" y="381762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349</xdr:row>
      <xdr:rowOff>47625</xdr:rowOff>
    </xdr:from>
    <xdr:to>
      <xdr:col>16</xdr:col>
      <xdr:colOff>304800</xdr:colOff>
      <xdr:row>349</xdr:row>
      <xdr:rowOff>123825</xdr:rowOff>
    </xdr:to>
    <xdr:sp macro="" textlink="">
      <xdr:nvSpPr>
        <xdr:cNvPr id="84" name="Oval 2164">
          <a:extLst>
            <a:ext uri="{FF2B5EF4-FFF2-40B4-BE49-F238E27FC236}">
              <a16:creationId xmlns:a16="http://schemas.microsoft.com/office/drawing/2014/main" id="{00000000-0008-0000-1800-000054000000}"/>
            </a:ext>
          </a:extLst>
        </xdr:cNvPr>
        <xdr:cNvSpPr>
          <a:spLocks noChangeArrowheads="1"/>
        </xdr:cNvSpPr>
      </xdr:nvSpPr>
      <xdr:spPr bwMode="auto">
        <a:xfrm>
          <a:off x="7248525" y="381381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350</xdr:row>
      <xdr:rowOff>85724</xdr:rowOff>
    </xdr:from>
    <xdr:to>
      <xdr:col>16</xdr:col>
      <xdr:colOff>426675</xdr:colOff>
      <xdr:row>350</xdr:row>
      <xdr:rowOff>85724</xdr:rowOff>
    </xdr:to>
    <xdr:sp macro="" textlink="">
      <xdr:nvSpPr>
        <xdr:cNvPr id="85" name="Line 283">
          <a:extLst>
            <a:ext uri="{FF2B5EF4-FFF2-40B4-BE49-F238E27FC236}">
              <a16:creationId xmlns:a16="http://schemas.microsoft.com/office/drawing/2014/main" id="{00000000-0008-0000-1800-000055000000}"/>
            </a:ext>
          </a:extLst>
        </xdr:cNvPr>
        <xdr:cNvSpPr>
          <a:spLocks noChangeShapeType="1"/>
        </xdr:cNvSpPr>
      </xdr:nvSpPr>
      <xdr:spPr bwMode="auto">
        <a:xfrm>
          <a:off x="7086600" y="383476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325</xdr:row>
      <xdr:rowOff>0</xdr:rowOff>
    </xdr:from>
    <xdr:to>
      <xdr:col>21</xdr:col>
      <xdr:colOff>0</xdr:colOff>
      <xdr:row>349</xdr:row>
      <xdr:rowOff>0</xdr:rowOff>
    </xdr:to>
    <xdr:graphicFrame macro="">
      <xdr:nvGraphicFramePr>
        <xdr:cNvPr id="86" name="Chart 176">
          <a:extLst>
            <a:ext uri="{FF2B5EF4-FFF2-40B4-BE49-F238E27FC236}">
              <a16:creationId xmlns:a16="http://schemas.microsoft.com/office/drawing/2014/main" id="{00000000-0008-0000-1800-00005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15</xdr:col>
      <xdr:colOff>409573</xdr:colOff>
      <xdr:row>107</xdr:row>
      <xdr:rowOff>85725</xdr:rowOff>
    </xdr:from>
    <xdr:to>
      <xdr:col>21</xdr:col>
      <xdr:colOff>64498</xdr:colOff>
      <xdr:row>109</xdr:row>
      <xdr:rowOff>149475</xdr:rowOff>
    </xdr:to>
    <xdr:sp macro="" textlink="">
      <xdr:nvSpPr>
        <xdr:cNvPr id="87" name="AutoShape 32">
          <a:extLst>
            <a:ext uri="{FF2B5EF4-FFF2-40B4-BE49-F238E27FC236}">
              <a16:creationId xmlns:a16="http://schemas.microsoft.com/office/drawing/2014/main" id="{00000000-0008-0000-1800-000057000000}"/>
            </a:ext>
          </a:extLst>
        </xdr:cNvPr>
        <xdr:cNvSpPr>
          <a:spLocks noChangeArrowheads="1"/>
        </xdr:cNvSpPr>
      </xdr:nvSpPr>
      <xdr:spPr bwMode="auto">
        <a:xfrm>
          <a:off x="6953248" y="26822400"/>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15</xdr:col>
      <xdr:colOff>419098</xdr:colOff>
      <xdr:row>286</xdr:row>
      <xdr:rowOff>85725</xdr:rowOff>
    </xdr:from>
    <xdr:to>
      <xdr:col>21</xdr:col>
      <xdr:colOff>64498</xdr:colOff>
      <xdr:row>288</xdr:row>
      <xdr:rowOff>149475</xdr:rowOff>
    </xdr:to>
    <xdr:sp macro="" textlink="">
      <xdr:nvSpPr>
        <xdr:cNvPr id="89" name="AutoShape 32">
          <a:extLst>
            <a:ext uri="{FF2B5EF4-FFF2-40B4-BE49-F238E27FC236}">
              <a16:creationId xmlns:a16="http://schemas.microsoft.com/office/drawing/2014/main" id="{00000000-0008-0000-1800-000059000000}"/>
            </a:ext>
          </a:extLst>
        </xdr:cNvPr>
        <xdr:cNvSpPr>
          <a:spLocks noChangeArrowheads="1"/>
        </xdr:cNvSpPr>
      </xdr:nvSpPr>
      <xdr:spPr bwMode="auto">
        <a:xfrm>
          <a:off x="6962773" y="472916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xdr:col>
      <xdr:colOff>0</xdr:colOff>
      <xdr:row>243</xdr:row>
      <xdr:rowOff>76199</xdr:rowOff>
    </xdr:from>
    <xdr:to>
      <xdr:col>8</xdr:col>
      <xdr:colOff>0</xdr:colOff>
      <xdr:row>247</xdr:row>
      <xdr:rowOff>0</xdr:rowOff>
    </xdr:to>
    <xdr:graphicFrame macro="">
      <xdr:nvGraphicFramePr>
        <xdr:cNvPr id="91" name="Chart 13">
          <a:extLst>
            <a:ext uri="{FF2B5EF4-FFF2-40B4-BE49-F238E27FC236}">
              <a16:creationId xmlns:a16="http://schemas.microsoft.com/office/drawing/2014/main" id="{00000000-0008-0000-1800-00005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9</xdr:col>
      <xdr:colOff>0</xdr:colOff>
      <xdr:row>215</xdr:row>
      <xdr:rowOff>95250</xdr:rowOff>
    </xdr:from>
    <xdr:to>
      <xdr:col>21</xdr:col>
      <xdr:colOff>0</xdr:colOff>
      <xdr:row>247</xdr:row>
      <xdr:rowOff>0</xdr:rowOff>
    </xdr:to>
    <xdr:graphicFrame macro="">
      <xdr:nvGraphicFramePr>
        <xdr:cNvPr id="92" name="Chart 13">
          <a:extLst>
            <a:ext uri="{FF2B5EF4-FFF2-40B4-BE49-F238E27FC236}">
              <a16:creationId xmlns:a16="http://schemas.microsoft.com/office/drawing/2014/main" id="{00000000-0008-0000-1800-00005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0</xdr:colOff>
      <xdr:row>279</xdr:row>
      <xdr:rowOff>76199</xdr:rowOff>
    </xdr:from>
    <xdr:to>
      <xdr:col>8</xdr:col>
      <xdr:colOff>0</xdr:colOff>
      <xdr:row>283</xdr:row>
      <xdr:rowOff>0</xdr:rowOff>
    </xdr:to>
    <xdr:graphicFrame macro="">
      <xdr:nvGraphicFramePr>
        <xdr:cNvPr id="94" name="Chart 13">
          <a:extLst>
            <a:ext uri="{FF2B5EF4-FFF2-40B4-BE49-F238E27FC236}">
              <a16:creationId xmlns:a16="http://schemas.microsoft.com/office/drawing/2014/main" id="{00000000-0008-0000-1800-00005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9</xdr:col>
      <xdr:colOff>0</xdr:colOff>
      <xdr:row>251</xdr:row>
      <xdr:rowOff>95250</xdr:rowOff>
    </xdr:from>
    <xdr:to>
      <xdr:col>21</xdr:col>
      <xdr:colOff>0</xdr:colOff>
      <xdr:row>283</xdr:row>
      <xdr:rowOff>0</xdr:rowOff>
    </xdr:to>
    <xdr:graphicFrame macro="">
      <xdr:nvGraphicFramePr>
        <xdr:cNvPr id="95" name="Chart 13">
          <a:extLst>
            <a:ext uri="{FF2B5EF4-FFF2-40B4-BE49-F238E27FC236}">
              <a16:creationId xmlns:a16="http://schemas.microsoft.com/office/drawing/2014/main" id="{00000000-0008-0000-1800-00005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21</xdr:col>
      <xdr:colOff>95250</xdr:colOff>
      <xdr:row>36</xdr:row>
      <xdr:rowOff>33750</xdr:rowOff>
    </xdr:from>
    <xdr:to>
      <xdr:col>21</xdr:col>
      <xdr:colOff>347250</xdr:colOff>
      <xdr:row>37</xdr:row>
      <xdr:rowOff>95250</xdr:rowOff>
    </xdr:to>
    <xdr:sp macro="[0]!Careleavers" textlink="">
      <xdr:nvSpPr>
        <xdr:cNvPr id="2" name="Down Arrow 44">
          <a:extLst>
            <a:ext uri="{FF2B5EF4-FFF2-40B4-BE49-F238E27FC236}">
              <a16:creationId xmlns:a16="http://schemas.microsoft.com/office/drawing/2014/main" id="{00000000-0008-0000-19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69</xdr:row>
      <xdr:rowOff>33750</xdr:rowOff>
    </xdr:from>
    <xdr:to>
      <xdr:col>21</xdr:col>
      <xdr:colOff>347250</xdr:colOff>
      <xdr:row>70</xdr:row>
      <xdr:rowOff>95250</xdr:rowOff>
    </xdr:to>
    <xdr:sp macro="[0]!Careleavers" textlink="">
      <xdr:nvSpPr>
        <xdr:cNvPr id="3" name="Down Arrow 2">
          <a:extLst>
            <a:ext uri="{FF2B5EF4-FFF2-40B4-BE49-F238E27FC236}">
              <a16:creationId xmlns:a16="http://schemas.microsoft.com/office/drawing/2014/main" id="{00000000-0008-0000-19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0</xdr:colOff>
      <xdr:row>68</xdr:row>
      <xdr:rowOff>0</xdr:rowOff>
    </xdr:to>
    <xdr:graphicFrame macro="">
      <xdr:nvGraphicFramePr>
        <xdr:cNvPr id="5" name="Chart 13">
          <a:extLst>
            <a:ext uri="{FF2B5EF4-FFF2-40B4-BE49-F238E27FC236}">
              <a16:creationId xmlns:a16="http://schemas.microsoft.com/office/drawing/2014/main" id="{00000000-0008-0000-1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64</xdr:row>
      <xdr:rowOff>38100</xdr:rowOff>
    </xdr:from>
    <xdr:to>
      <xdr:col>11</xdr:col>
      <xdr:colOff>295275</xdr:colOff>
      <xdr:row>64</xdr:row>
      <xdr:rowOff>114300</xdr:rowOff>
    </xdr:to>
    <xdr:sp macro="" textlink="">
      <xdr:nvSpPr>
        <xdr:cNvPr id="6" name="Oval 2165">
          <a:extLst>
            <a:ext uri="{FF2B5EF4-FFF2-40B4-BE49-F238E27FC236}">
              <a16:creationId xmlns:a16="http://schemas.microsoft.com/office/drawing/2014/main" id="{00000000-0008-0000-1900-000006000000}"/>
            </a:ext>
          </a:extLst>
        </xdr:cNvPr>
        <xdr:cNvSpPr>
          <a:spLocks noChangeArrowheads="1"/>
        </xdr:cNvSpPr>
      </xdr:nvSpPr>
      <xdr:spPr bwMode="auto">
        <a:xfrm>
          <a:off x="5181600" y="113633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19048</xdr:colOff>
      <xdr:row>0</xdr:row>
      <xdr:rowOff>85725</xdr:rowOff>
    </xdr:from>
    <xdr:to>
      <xdr:col>20</xdr:col>
      <xdr:colOff>64498</xdr:colOff>
      <xdr:row>2</xdr:row>
      <xdr:rowOff>149475</xdr:rowOff>
    </xdr:to>
    <xdr:sp macro="" textlink="">
      <xdr:nvSpPr>
        <xdr:cNvPr id="7" name="AutoShape 32">
          <a:extLst>
            <a:ext uri="{FF2B5EF4-FFF2-40B4-BE49-F238E27FC236}">
              <a16:creationId xmlns:a16="http://schemas.microsoft.com/office/drawing/2014/main" id="{00000000-0008-0000-1900-000007000000}"/>
            </a:ext>
          </a:extLst>
        </xdr:cNvPr>
        <xdr:cNvSpPr>
          <a:spLocks noChangeArrowheads="1"/>
        </xdr:cNvSpPr>
      </xdr:nvSpPr>
      <xdr:spPr bwMode="auto">
        <a:xfrm>
          <a:off x="694372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0</xdr:colOff>
      <xdr:row>65</xdr:row>
      <xdr:rowOff>0</xdr:rowOff>
    </xdr:from>
    <xdr:to>
      <xdr:col>20</xdr:col>
      <xdr:colOff>1</xdr:colOff>
      <xdr:row>68</xdr:row>
      <xdr:rowOff>0</xdr:rowOff>
    </xdr:to>
    <xdr:graphicFrame macro="">
      <xdr:nvGraphicFramePr>
        <xdr:cNvPr id="8" name="Chart 13">
          <a:extLst>
            <a:ext uri="{FF2B5EF4-FFF2-40B4-BE49-F238E27FC236}">
              <a16:creationId xmlns:a16="http://schemas.microsoft.com/office/drawing/2014/main" id="{00000000-0008-0000-1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39</xdr:row>
          <xdr:rowOff>19050</xdr:rowOff>
        </xdr:from>
        <xdr:to>
          <xdr:col>35</xdr:col>
          <xdr:colOff>66675</xdr:colOff>
          <xdr:row>41</xdr:row>
          <xdr:rowOff>9525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19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40</xdr:row>
          <xdr:rowOff>142875</xdr:rowOff>
        </xdr:from>
        <xdr:to>
          <xdr:col>35</xdr:col>
          <xdr:colOff>66675</xdr:colOff>
          <xdr:row>42</xdr:row>
          <xdr:rowOff>9525</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19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41</xdr:row>
          <xdr:rowOff>142875</xdr:rowOff>
        </xdr:from>
        <xdr:to>
          <xdr:col>35</xdr:col>
          <xdr:colOff>66675</xdr:colOff>
          <xdr:row>43</xdr:row>
          <xdr:rowOff>9525</xdr:rowOff>
        </xdr:to>
        <xdr:sp macro="" textlink="">
          <xdr:nvSpPr>
            <xdr:cNvPr id="168963" name="Check Box 3" hidden="1">
              <a:extLst>
                <a:ext uri="{63B3BB69-23CF-44E3-9099-C40C66FF867C}">
                  <a14:compatExt spid="_x0000_s168963"/>
                </a:ext>
                <a:ext uri="{FF2B5EF4-FFF2-40B4-BE49-F238E27FC236}">
                  <a16:creationId xmlns:a16="http://schemas.microsoft.com/office/drawing/2014/main" id="{00000000-0008-0000-1900-000003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42</xdr:row>
          <xdr:rowOff>142875</xdr:rowOff>
        </xdr:from>
        <xdr:to>
          <xdr:col>35</xdr:col>
          <xdr:colOff>66675</xdr:colOff>
          <xdr:row>44</xdr:row>
          <xdr:rowOff>9525</xdr:rowOff>
        </xdr:to>
        <xdr:sp macro="" textlink="">
          <xdr:nvSpPr>
            <xdr:cNvPr id="168964" name="Check Box 4" hidden="1">
              <a:extLst>
                <a:ext uri="{63B3BB69-23CF-44E3-9099-C40C66FF867C}">
                  <a14:compatExt spid="_x0000_s168964"/>
                </a:ext>
                <a:ext uri="{FF2B5EF4-FFF2-40B4-BE49-F238E27FC236}">
                  <a16:creationId xmlns:a16="http://schemas.microsoft.com/office/drawing/2014/main" id="{00000000-0008-0000-1900-000004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43</xdr:row>
          <xdr:rowOff>142875</xdr:rowOff>
        </xdr:from>
        <xdr:to>
          <xdr:col>35</xdr:col>
          <xdr:colOff>66675</xdr:colOff>
          <xdr:row>45</xdr:row>
          <xdr:rowOff>9525</xdr:rowOff>
        </xdr:to>
        <xdr:sp macro="" textlink="">
          <xdr:nvSpPr>
            <xdr:cNvPr id="168965" name="Check Box 5" hidden="1">
              <a:extLst>
                <a:ext uri="{63B3BB69-23CF-44E3-9099-C40C66FF867C}">
                  <a14:compatExt spid="_x0000_s168965"/>
                </a:ext>
                <a:ext uri="{FF2B5EF4-FFF2-40B4-BE49-F238E27FC236}">
                  <a16:creationId xmlns:a16="http://schemas.microsoft.com/office/drawing/2014/main" id="{00000000-0008-0000-1900-000005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44</xdr:row>
          <xdr:rowOff>142875</xdr:rowOff>
        </xdr:from>
        <xdr:to>
          <xdr:col>35</xdr:col>
          <xdr:colOff>66675</xdr:colOff>
          <xdr:row>46</xdr:row>
          <xdr:rowOff>9525</xdr:rowOff>
        </xdr:to>
        <xdr:sp macro="" textlink="">
          <xdr:nvSpPr>
            <xdr:cNvPr id="168966" name="Check Box 6" hidden="1">
              <a:extLst>
                <a:ext uri="{63B3BB69-23CF-44E3-9099-C40C66FF867C}">
                  <a14:compatExt spid="_x0000_s168966"/>
                </a:ext>
                <a:ext uri="{FF2B5EF4-FFF2-40B4-BE49-F238E27FC236}">
                  <a16:creationId xmlns:a16="http://schemas.microsoft.com/office/drawing/2014/main" id="{00000000-0008-0000-1900-000006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45</xdr:row>
          <xdr:rowOff>142875</xdr:rowOff>
        </xdr:from>
        <xdr:to>
          <xdr:col>35</xdr:col>
          <xdr:colOff>66675</xdr:colOff>
          <xdr:row>47</xdr:row>
          <xdr:rowOff>9525</xdr:rowOff>
        </xdr:to>
        <xdr:sp macro="" textlink="">
          <xdr:nvSpPr>
            <xdr:cNvPr id="168967" name="Check Box 7" hidden="1">
              <a:extLst>
                <a:ext uri="{63B3BB69-23CF-44E3-9099-C40C66FF867C}">
                  <a14:compatExt spid="_x0000_s168967"/>
                </a:ext>
                <a:ext uri="{FF2B5EF4-FFF2-40B4-BE49-F238E27FC236}">
                  <a16:creationId xmlns:a16="http://schemas.microsoft.com/office/drawing/2014/main" id="{00000000-0008-0000-1900-000007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46</xdr:row>
          <xdr:rowOff>142875</xdr:rowOff>
        </xdr:from>
        <xdr:to>
          <xdr:col>35</xdr:col>
          <xdr:colOff>66675</xdr:colOff>
          <xdr:row>48</xdr:row>
          <xdr:rowOff>9525</xdr:rowOff>
        </xdr:to>
        <xdr:sp macro="" textlink="">
          <xdr:nvSpPr>
            <xdr:cNvPr id="168968" name="Check Box 8" hidden="1">
              <a:extLst>
                <a:ext uri="{63B3BB69-23CF-44E3-9099-C40C66FF867C}">
                  <a14:compatExt spid="_x0000_s168968"/>
                </a:ext>
                <a:ext uri="{FF2B5EF4-FFF2-40B4-BE49-F238E27FC236}">
                  <a16:creationId xmlns:a16="http://schemas.microsoft.com/office/drawing/2014/main" id="{00000000-0008-0000-1900-000008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47</xdr:row>
          <xdr:rowOff>142875</xdr:rowOff>
        </xdr:from>
        <xdr:to>
          <xdr:col>35</xdr:col>
          <xdr:colOff>66675</xdr:colOff>
          <xdr:row>49</xdr:row>
          <xdr:rowOff>9525</xdr:rowOff>
        </xdr:to>
        <xdr:sp macro="" textlink="">
          <xdr:nvSpPr>
            <xdr:cNvPr id="168969" name="Check Box 9" hidden="1">
              <a:extLst>
                <a:ext uri="{63B3BB69-23CF-44E3-9099-C40C66FF867C}">
                  <a14:compatExt spid="_x0000_s168969"/>
                </a:ext>
                <a:ext uri="{FF2B5EF4-FFF2-40B4-BE49-F238E27FC236}">
                  <a16:creationId xmlns:a16="http://schemas.microsoft.com/office/drawing/2014/main" id="{00000000-0008-0000-1900-000009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48</xdr:row>
          <xdr:rowOff>142875</xdr:rowOff>
        </xdr:from>
        <xdr:to>
          <xdr:col>35</xdr:col>
          <xdr:colOff>66675</xdr:colOff>
          <xdr:row>50</xdr:row>
          <xdr:rowOff>9525</xdr:rowOff>
        </xdr:to>
        <xdr:sp macro="" textlink="">
          <xdr:nvSpPr>
            <xdr:cNvPr id="168970" name="Check Box 10" hidden="1">
              <a:extLst>
                <a:ext uri="{63B3BB69-23CF-44E3-9099-C40C66FF867C}">
                  <a14:compatExt spid="_x0000_s168970"/>
                </a:ext>
                <a:ext uri="{FF2B5EF4-FFF2-40B4-BE49-F238E27FC236}">
                  <a16:creationId xmlns:a16="http://schemas.microsoft.com/office/drawing/2014/main" id="{00000000-0008-0000-1900-00000A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142875</xdr:rowOff>
        </xdr:from>
        <xdr:to>
          <xdr:col>35</xdr:col>
          <xdr:colOff>66675</xdr:colOff>
          <xdr:row>51</xdr:row>
          <xdr:rowOff>9525</xdr:rowOff>
        </xdr:to>
        <xdr:sp macro="" textlink="">
          <xdr:nvSpPr>
            <xdr:cNvPr id="168971" name="Check Box 11" hidden="1">
              <a:extLst>
                <a:ext uri="{63B3BB69-23CF-44E3-9099-C40C66FF867C}">
                  <a14:compatExt spid="_x0000_s168971"/>
                </a:ext>
                <a:ext uri="{FF2B5EF4-FFF2-40B4-BE49-F238E27FC236}">
                  <a16:creationId xmlns:a16="http://schemas.microsoft.com/office/drawing/2014/main" id="{00000000-0008-0000-1900-00000B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142875</xdr:rowOff>
        </xdr:from>
        <xdr:to>
          <xdr:col>35</xdr:col>
          <xdr:colOff>66675</xdr:colOff>
          <xdr:row>52</xdr:row>
          <xdr:rowOff>9525</xdr:rowOff>
        </xdr:to>
        <xdr:sp macro="" textlink="">
          <xdr:nvSpPr>
            <xdr:cNvPr id="168972" name="Check Box 12" hidden="1">
              <a:extLst>
                <a:ext uri="{63B3BB69-23CF-44E3-9099-C40C66FF867C}">
                  <a14:compatExt spid="_x0000_s168972"/>
                </a:ext>
                <a:ext uri="{FF2B5EF4-FFF2-40B4-BE49-F238E27FC236}">
                  <a16:creationId xmlns:a16="http://schemas.microsoft.com/office/drawing/2014/main" id="{00000000-0008-0000-1900-00000C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51</xdr:row>
          <xdr:rowOff>142875</xdr:rowOff>
        </xdr:from>
        <xdr:to>
          <xdr:col>35</xdr:col>
          <xdr:colOff>66675</xdr:colOff>
          <xdr:row>53</xdr:row>
          <xdr:rowOff>9525</xdr:rowOff>
        </xdr:to>
        <xdr:sp macro="" textlink="">
          <xdr:nvSpPr>
            <xdr:cNvPr id="168973" name="Check Box 13" hidden="1">
              <a:extLst>
                <a:ext uri="{63B3BB69-23CF-44E3-9099-C40C66FF867C}">
                  <a14:compatExt spid="_x0000_s168973"/>
                </a:ext>
                <a:ext uri="{FF2B5EF4-FFF2-40B4-BE49-F238E27FC236}">
                  <a16:creationId xmlns:a16="http://schemas.microsoft.com/office/drawing/2014/main" id="{00000000-0008-0000-1900-00000D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142875</xdr:rowOff>
        </xdr:from>
        <xdr:to>
          <xdr:col>35</xdr:col>
          <xdr:colOff>66675</xdr:colOff>
          <xdr:row>54</xdr:row>
          <xdr:rowOff>9525</xdr:rowOff>
        </xdr:to>
        <xdr:sp macro="" textlink="">
          <xdr:nvSpPr>
            <xdr:cNvPr id="168974" name="Check Box 14" hidden="1">
              <a:extLst>
                <a:ext uri="{63B3BB69-23CF-44E3-9099-C40C66FF867C}">
                  <a14:compatExt spid="_x0000_s168974"/>
                </a:ext>
                <a:ext uri="{FF2B5EF4-FFF2-40B4-BE49-F238E27FC236}">
                  <a16:creationId xmlns:a16="http://schemas.microsoft.com/office/drawing/2014/main" id="{00000000-0008-0000-1900-00000E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142875</xdr:rowOff>
        </xdr:from>
        <xdr:to>
          <xdr:col>35</xdr:col>
          <xdr:colOff>66675</xdr:colOff>
          <xdr:row>55</xdr:row>
          <xdr:rowOff>9525</xdr:rowOff>
        </xdr:to>
        <xdr:sp macro="" textlink="">
          <xdr:nvSpPr>
            <xdr:cNvPr id="168975" name="Check Box 15" hidden="1">
              <a:extLst>
                <a:ext uri="{63B3BB69-23CF-44E3-9099-C40C66FF867C}">
                  <a14:compatExt spid="_x0000_s168975"/>
                </a:ext>
                <a:ext uri="{FF2B5EF4-FFF2-40B4-BE49-F238E27FC236}">
                  <a16:creationId xmlns:a16="http://schemas.microsoft.com/office/drawing/2014/main" id="{00000000-0008-0000-1900-00000F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54</xdr:row>
          <xdr:rowOff>142875</xdr:rowOff>
        </xdr:from>
        <xdr:to>
          <xdr:col>35</xdr:col>
          <xdr:colOff>66675</xdr:colOff>
          <xdr:row>56</xdr:row>
          <xdr:rowOff>9525</xdr:rowOff>
        </xdr:to>
        <xdr:sp macro="" textlink="">
          <xdr:nvSpPr>
            <xdr:cNvPr id="168976" name="Check Box 16" hidden="1">
              <a:extLst>
                <a:ext uri="{63B3BB69-23CF-44E3-9099-C40C66FF867C}">
                  <a14:compatExt spid="_x0000_s168976"/>
                </a:ext>
                <a:ext uri="{FF2B5EF4-FFF2-40B4-BE49-F238E27FC236}">
                  <a16:creationId xmlns:a16="http://schemas.microsoft.com/office/drawing/2014/main" id="{00000000-0008-0000-1900-000010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142875</xdr:rowOff>
        </xdr:from>
        <xdr:to>
          <xdr:col>35</xdr:col>
          <xdr:colOff>66675</xdr:colOff>
          <xdr:row>59</xdr:row>
          <xdr:rowOff>9525</xdr:rowOff>
        </xdr:to>
        <xdr:sp macro="" textlink="">
          <xdr:nvSpPr>
            <xdr:cNvPr id="168977" name="Check Box 17" hidden="1">
              <a:extLst>
                <a:ext uri="{63B3BB69-23CF-44E3-9099-C40C66FF867C}">
                  <a14:compatExt spid="_x0000_s168977"/>
                </a:ext>
                <a:ext uri="{FF2B5EF4-FFF2-40B4-BE49-F238E27FC236}">
                  <a16:creationId xmlns:a16="http://schemas.microsoft.com/office/drawing/2014/main" id="{00000000-0008-0000-1900-00001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142875</xdr:rowOff>
        </xdr:from>
        <xdr:to>
          <xdr:col>35</xdr:col>
          <xdr:colOff>66675</xdr:colOff>
          <xdr:row>60</xdr:row>
          <xdr:rowOff>9525</xdr:rowOff>
        </xdr:to>
        <xdr:sp macro="" textlink="">
          <xdr:nvSpPr>
            <xdr:cNvPr id="168978" name="Check Box 18" hidden="1">
              <a:extLst>
                <a:ext uri="{63B3BB69-23CF-44E3-9099-C40C66FF867C}">
                  <a14:compatExt spid="_x0000_s168978"/>
                </a:ext>
                <a:ext uri="{FF2B5EF4-FFF2-40B4-BE49-F238E27FC236}">
                  <a16:creationId xmlns:a16="http://schemas.microsoft.com/office/drawing/2014/main" id="{00000000-0008-0000-1900-00001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142875</xdr:rowOff>
        </xdr:from>
        <xdr:to>
          <xdr:col>35</xdr:col>
          <xdr:colOff>66675</xdr:colOff>
          <xdr:row>61</xdr:row>
          <xdr:rowOff>9525</xdr:rowOff>
        </xdr:to>
        <xdr:sp macro="" textlink="">
          <xdr:nvSpPr>
            <xdr:cNvPr id="168979" name="Check Box 19" hidden="1">
              <a:extLst>
                <a:ext uri="{63B3BB69-23CF-44E3-9099-C40C66FF867C}">
                  <a14:compatExt spid="_x0000_s168979"/>
                </a:ext>
                <a:ext uri="{FF2B5EF4-FFF2-40B4-BE49-F238E27FC236}">
                  <a16:creationId xmlns:a16="http://schemas.microsoft.com/office/drawing/2014/main" id="{00000000-0008-0000-1900-000013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60</xdr:row>
          <xdr:rowOff>142875</xdr:rowOff>
        </xdr:from>
        <xdr:to>
          <xdr:col>35</xdr:col>
          <xdr:colOff>66675</xdr:colOff>
          <xdr:row>62</xdr:row>
          <xdr:rowOff>9525</xdr:rowOff>
        </xdr:to>
        <xdr:sp macro="" textlink="">
          <xdr:nvSpPr>
            <xdr:cNvPr id="168980" name="Check Box 20" hidden="1">
              <a:extLst>
                <a:ext uri="{63B3BB69-23CF-44E3-9099-C40C66FF867C}">
                  <a14:compatExt spid="_x0000_s168980"/>
                </a:ext>
                <a:ext uri="{FF2B5EF4-FFF2-40B4-BE49-F238E27FC236}">
                  <a16:creationId xmlns:a16="http://schemas.microsoft.com/office/drawing/2014/main" id="{00000000-0008-0000-1900-000014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61</xdr:row>
          <xdr:rowOff>142875</xdr:rowOff>
        </xdr:from>
        <xdr:to>
          <xdr:col>35</xdr:col>
          <xdr:colOff>66675</xdr:colOff>
          <xdr:row>63</xdr:row>
          <xdr:rowOff>9525</xdr:rowOff>
        </xdr:to>
        <xdr:sp macro="" textlink="">
          <xdr:nvSpPr>
            <xdr:cNvPr id="168981" name="Check Box 21" hidden="1">
              <a:extLst>
                <a:ext uri="{63B3BB69-23CF-44E3-9099-C40C66FF867C}">
                  <a14:compatExt spid="_x0000_s168981"/>
                </a:ext>
                <a:ext uri="{FF2B5EF4-FFF2-40B4-BE49-F238E27FC236}">
                  <a16:creationId xmlns:a16="http://schemas.microsoft.com/office/drawing/2014/main" id="{00000000-0008-0000-1900-000015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141</xdr:row>
      <xdr:rowOff>33750</xdr:rowOff>
    </xdr:from>
    <xdr:ext cx="252000" cy="252000"/>
    <xdr:sp macro="[0]!Careleavers" textlink="">
      <xdr:nvSpPr>
        <xdr:cNvPr id="30" name="Down Arrow 44">
          <a:extLst>
            <a:ext uri="{FF2B5EF4-FFF2-40B4-BE49-F238E27FC236}">
              <a16:creationId xmlns:a16="http://schemas.microsoft.com/office/drawing/2014/main" id="{00000000-0008-0000-1900-00001E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137</xdr:row>
      <xdr:rowOff>0</xdr:rowOff>
    </xdr:from>
    <xdr:to>
      <xdr:col>8</xdr:col>
      <xdr:colOff>0</xdr:colOff>
      <xdr:row>140</xdr:row>
      <xdr:rowOff>0</xdr:rowOff>
    </xdr:to>
    <xdr:graphicFrame macro="">
      <xdr:nvGraphicFramePr>
        <xdr:cNvPr id="31" name="Chart 13">
          <a:extLst>
            <a:ext uri="{FF2B5EF4-FFF2-40B4-BE49-F238E27FC236}">
              <a16:creationId xmlns:a16="http://schemas.microsoft.com/office/drawing/2014/main" id="{00000000-0008-0000-19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55</xdr:row>
          <xdr:rowOff>142875</xdr:rowOff>
        </xdr:from>
        <xdr:to>
          <xdr:col>35</xdr:col>
          <xdr:colOff>66675</xdr:colOff>
          <xdr:row>57</xdr:row>
          <xdr:rowOff>9525</xdr:rowOff>
        </xdr:to>
        <xdr:sp macro="" textlink="">
          <xdr:nvSpPr>
            <xdr:cNvPr id="168982" name="Check Box 22" hidden="1">
              <a:extLst>
                <a:ext uri="{63B3BB69-23CF-44E3-9099-C40C66FF867C}">
                  <a14:compatExt spid="_x0000_s168982"/>
                </a:ext>
                <a:ext uri="{FF2B5EF4-FFF2-40B4-BE49-F238E27FC236}">
                  <a16:creationId xmlns:a16="http://schemas.microsoft.com/office/drawing/2014/main" id="{00000000-0008-0000-1900-000016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56</xdr:row>
          <xdr:rowOff>142875</xdr:rowOff>
        </xdr:from>
        <xdr:to>
          <xdr:col>35</xdr:col>
          <xdr:colOff>66675</xdr:colOff>
          <xdr:row>58</xdr:row>
          <xdr:rowOff>9525</xdr:rowOff>
        </xdr:to>
        <xdr:sp macro="" textlink="">
          <xdr:nvSpPr>
            <xdr:cNvPr id="168983" name="Check Box 23" hidden="1">
              <a:extLst>
                <a:ext uri="{63B3BB69-23CF-44E3-9099-C40C66FF867C}">
                  <a14:compatExt spid="_x0000_s168983"/>
                </a:ext>
                <a:ext uri="{FF2B5EF4-FFF2-40B4-BE49-F238E27FC236}">
                  <a16:creationId xmlns:a16="http://schemas.microsoft.com/office/drawing/2014/main" id="{00000000-0008-0000-1900-000017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108</xdr:row>
      <xdr:rowOff>95400</xdr:rowOff>
    </xdr:from>
    <xdr:to>
      <xdr:col>20</xdr:col>
      <xdr:colOff>0</xdr:colOff>
      <xdr:row>140</xdr:row>
      <xdr:rowOff>0</xdr:rowOff>
    </xdr:to>
    <xdr:graphicFrame macro="">
      <xdr:nvGraphicFramePr>
        <xdr:cNvPr id="34" name="Chart 13">
          <a:extLst>
            <a:ext uri="{FF2B5EF4-FFF2-40B4-BE49-F238E27FC236}">
              <a16:creationId xmlns:a16="http://schemas.microsoft.com/office/drawing/2014/main" id="{00000000-0008-0000-19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57150</xdr:colOff>
      <xdr:row>63</xdr:row>
      <xdr:rowOff>76200</xdr:rowOff>
    </xdr:from>
    <xdr:to>
      <xdr:col>11</xdr:col>
      <xdr:colOff>428625</xdr:colOff>
      <xdr:row>63</xdr:row>
      <xdr:rowOff>76200</xdr:rowOff>
    </xdr:to>
    <xdr:sp macro="" textlink="">
      <xdr:nvSpPr>
        <xdr:cNvPr id="39" name="Line 283">
          <a:extLst>
            <a:ext uri="{FF2B5EF4-FFF2-40B4-BE49-F238E27FC236}">
              <a16:creationId xmlns:a16="http://schemas.microsoft.com/office/drawing/2014/main" id="{00000000-0008-0000-1900-000027000000}"/>
            </a:ext>
          </a:extLst>
        </xdr:cNvPr>
        <xdr:cNvSpPr>
          <a:spLocks noChangeShapeType="1"/>
        </xdr:cNvSpPr>
      </xdr:nvSpPr>
      <xdr:spPr bwMode="auto">
        <a:xfrm>
          <a:off x="4772025" y="111918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63</xdr:row>
      <xdr:rowOff>38100</xdr:rowOff>
    </xdr:from>
    <xdr:to>
      <xdr:col>15</xdr:col>
      <xdr:colOff>304800</xdr:colOff>
      <xdr:row>63</xdr:row>
      <xdr:rowOff>114300</xdr:rowOff>
    </xdr:to>
    <xdr:sp macro="" textlink="">
      <xdr:nvSpPr>
        <xdr:cNvPr id="40" name="Oval 2164">
          <a:extLst>
            <a:ext uri="{FF2B5EF4-FFF2-40B4-BE49-F238E27FC236}">
              <a16:creationId xmlns:a16="http://schemas.microsoft.com/office/drawing/2014/main" id="{00000000-0008-0000-1900-000028000000}"/>
            </a:ext>
          </a:extLst>
        </xdr:cNvPr>
        <xdr:cNvSpPr>
          <a:spLocks noChangeArrowheads="1"/>
        </xdr:cNvSpPr>
      </xdr:nvSpPr>
      <xdr:spPr bwMode="auto">
        <a:xfrm>
          <a:off x="7172325" y="111823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oneCellAnchor>
    <xdr:from>
      <xdr:col>21</xdr:col>
      <xdr:colOff>95250</xdr:colOff>
      <xdr:row>105</xdr:row>
      <xdr:rowOff>33750</xdr:rowOff>
    </xdr:from>
    <xdr:ext cx="252000" cy="252000"/>
    <xdr:sp macro="[0]!Careleavers" textlink="">
      <xdr:nvSpPr>
        <xdr:cNvPr id="41" name="Down Arrow 44">
          <a:extLst>
            <a:ext uri="{FF2B5EF4-FFF2-40B4-BE49-F238E27FC236}">
              <a16:creationId xmlns:a16="http://schemas.microsoft.com/office/drawing/2014/main" id="{00000000-0008-0000-1900-000029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100</xdr:row>
      <xdr:rowOff>76199</xdr:rowOff>
    </xdr:from>
    <xdr:to>
      <xdr:col>8</xdr:col>
      <xdr:colOff>0</xdr:colOff>
      <xdr:row>104</xdr:row>
      <xdr:rowOff>0</xdr:rowOff>
    </xdr:to>
    <xdr:graphicFrame macro="">
      <xdr:nvGraphicFramePr>
        <xdr:cNvPr id="42" name="Chart 13">
          <a:extLst>
            <a:ext uri="{FF2B5EF4-FFF2-40B4-BE49-F238E27FC236}">
              <a16:creationId xmlns:a16="http://schemas.microsoft.com/office/drawing/2014/main" id="{00000000-0008-0000-19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72</xdr:row>
      <xdr:rowOff>95251</xdr:rowOff>
    </xdr:from>
    <xdr:to>
      <xdr:col>20</xdr:col>
      <xdr:colOff>0</xdr:colOff>
      <xdr:row>104</xdr:row>
      <xdr:rowOff>0</xdr:rowOff>
    </xdr:to>
    <xdr:graphicFrame macro="">
      <xdr:nvGraphicFramePr>
        <xdr:cNvPr id="43" name="Chart 13">
          <a:extLst>
            <a:ext uri="{FF2B5EF4-FFF2-40B4-BE49-F238E27FC236}">
              <a16:creationId xmlns:a16="http://schemas.microsoft.com/office/drawing/2014/main" id="{00000000-0008-0000-19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21</xdr:col>
      <xdr:colOff>95250</xdr:colOff>
      <xdr:row>177</xdr:row>
      <xdr:rowOff>33750</xdr:rowOff>
    </xdr:from>
    <xdr:ext cx="252000" cy="252000"/>
    <xdr:sp macro="[0]!Careleavers" textlink="">
      <xdr:nvSpPr>
        <xdr:cNvPr id="44" name="Down Arrow 43">
          <a:extLst>
            <a:ext uri="{FF2B5EF4-FFF2-40B4-BE49-F238E27FC236}">
              <a16:creationId xmlns:a16="http://schemas.microsoft.com/office/drawing/2014/main" id="{00000000-0008-0000-1900-00002C000000}"/>
            </a:ext>
          </a:extLst>
        </xdr:cNvPr>
        <xdr:cNvSpPr>
          <a:spLocks noChangeArrowheads="1"/>
        </xdr:cNvSpPr>
      </xdr:nvSpPr>
      <xdr:spPr bwMode="auto">
        <a:xfrm flipV="1">
          <a:off x="9277350" y="401625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173</xdr:row>
      <xdr:rowOff>1</xdr:rowOff>
    </xdr:from>
    <xdr:to>
      <xdr:col>8</xdr:col>
      <xdr:colOff>0</xdr:colOff>
      <xdr:row>176</xdr:row>
      <xdr:rowOff>1</xdr:rowOff>
    </xdr:to>
    <xdr:graphicFrame macro="">
      <xdr:nvGraphicFramePr>
        <xdr:cNvPr id="45" name="Chart 13">
          <a:extLst>
            <a:ext uri="{FF2B5EF4-FFF2-40B4-BE49-F238E27FC236}">
              <a16:creationId xmlns:a16="http://schemas.microsoft.com/office/drawing/2014/main" id="{00000000-0008-0000-19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0</xdr:colOff>
      <xdr:row>144</xdr:row>
      <xdr:rowOff>95250</xdr:rowOff>
    </xdr:from>
    <xdr:to>
      <xdr:col>20</xdr:col>
      <xdr:colOff>0</xdr:colOff>
      <xdr:row>175</xdr:row>
      <xdr:rowOff>514349</xdr:rowOff>
    </xdr:to>
    <xdr:graphicFrame macro="">
      <xdr:nvGraphicFramePr>
        <xdr:cNvPr id="46" name="Chart 13">
          <a:extLst>
            <a:ext uri="{FF2B5EF4-FFF2-40B4-BE49-F238E27FC236}">
              <a16:creationId xmlns:a16="http://schemas.microsoft.com/office/drawing/2014/main" id="{00000000-0008-0000-19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21</xdr:col>
      <xdr:colOff>66675</xdr:colOff>
      <xdr:row>0</xdr:row>
      <xdr:rowOff>193416</xdr:rowOff>
    </xdr:from>
    <xdr:to>
      <xdr:col>21</xdr:col>
      <xdr:colOff>371475</xdr:colOff>
      <xdr:row>2</xdr:row>
      <xdr:rowOff>47625</xdr:rowOff>
    </xdr:to>
    <xdr:pic macro="[0]!Home">
      <xdr:nvPicPr>
        <xdr:cNvPr id="62" name="Picture 61">
          <a:extLst>
            <a:ext uri="{FF2B5EF4-FFF2-40B4-BE49-F238E27FC236}">
              <a16:creationId xmlns:a16="http://schemas.microsoft.com/office/drawing/2014/main" id="{00000000-0008-0000-1900-00003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Newlac" textlink="">
      <xdr:nvSpPr>
        <xdr:cNvPr id="63" name="Right Arrow 62">
          <a:extLst>
            <a:ext uri="{FF2B5EF4-FFF2-40B4-BE49-F238E27FC236}">
              <a16:creationId xmlns:a16="http://schemas.microsoft.com/office/drawing/2014/main" id="{00000000-0008-0000-1900-00003F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46650</xdr:rowOff>
    </xdr:from>
    <xdr:to>
      <xdr:col>21</xdr:col>
      <xdr:colOff>381000</xdr:colOff>
      <xdr:row>6</xdr:row>
      <xdr:rowOff>152400</xdr:rowOff>
    </xdr:to>
    <xdr:sp macro="[0]!Adoption" textlink="">
      <xdr:nvSpPr>
        <xdr:cNvPr id="64" name="Right Arrow 50">
          <a:extLst>
            <a:ext uri="{FF2B5EF4-FFF2-40B4-BE49-F238E27FC236}">
              <a16:creationId xmlns:a16="http://schemas.microsoft.com/office/drawing/2014/main" id="{00000000-0008-0000-1900-000040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xdr:colOff>
      <xdr:row>39</xdr:row>
      <xdr:rowOff>0</xdr:rowOff>
    </xdr:from>
    <xdr:to>
      <xdr:col>20</xdr:col>
      <xdr:colOff>1</xdr:colOff>
      <xdr:row>63</xdr:row>
      <xdr:rowOff>0</xdr:rowOff>
    </xdr:to>
    <xdr:graphicFrame macro="">
      <xdr:nvGraphicFramePr>
        <xdr:cNvPr id="49" name="Chart 176">
          <a:extLst>
            <a:ext uri="{FF2B5EF4-FFF2-40B4-BE49-F238E27FC236}">
              <a16:creationId xmlns:a16="http://schemas.microsoft.com/office/drawing/2014/main" id="{00000000-0008-0000-19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21</xdr:col>
      <xdr:colOff>95250</xdr:colOff>
      <xdr:row>37</xdr:row>
      <xdr:rowOff>33750</xdr:rowOff>
    </xdr:from>
    <xdr:to>
      <xdr:col>21</xdr:col>
      <xdr:colOff>347250</xdr:colOff>
      <xdr:row>38</xdr:row>
      <xdr:rowOff>95250</xdr:rowOff>
    </xdr:to>
    <xdr:sp macro="[0]!Adoption" textlink="">
      <xdr:nvSpPr>
        <xdr:cNvPr id="2" name="Down Arrow 44">
          <a:extLst>
            <a:ext uri="{FF2B5EF4-FFF2-40B4-BE49-F238E27FC236}">
              <a16:creationId xmlns:a16="http://schemas.microsoft.com/office/drawing/2014/main" id="{00000000-0008-0000-1A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21</xdr:col>
      <xdr:colOff>95250</xdr:colOff>
      <xdr:row>70</xdr:row>
      <xdr:rowOff>33750</xdr:rowOff>
    </xdr:from>
    <xdr:to>
      <xdr:col>21</xdr:col>
      <xdr:colOff>347250</xdr:colOff>
      <xdr:row>71</xdr:row>
      <xdr:rowOff>95250</xdr:rowOff>
    </xdr:to>
    <xdr:sp macro="[0]!Adoption" textlink="">
      <xdr:nvSpPr>
        <xdr:cNvPr id="3" name="Down Arrow 2">
          <a:extLst>
            <a:ext uri="{FF2B5EF4-FFF2-40B4-BE49-F238E27FC236}">
              <a16:creationId xmlns:a16="http://schemas.microsoft.com/office/drawing/2014/main" id="{00000000-0008-0000-1A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40</xdr:row>
      <xdr:rowOff>1</xdr:rowOff>
    </xdr:from>
    <xdr:to>
      <xdr:col>11</xdr:col>
      <xdr:colOff>0</xdr:colOff>
      <xdr:row>69</xdr:row>
      <xdr:rowOff>0</xdr:rowOff>
    </xdr:to>
    <xdr:graphicFrame macro="">
      <xdr:nvGraphicFramePr>
        <xdr:cNvPr id="6" name="Chart 13">
          <a:extLst>
            <a:ext uri="{FF2B5EF4-FFF2-40B4-BE49-F238E27FC236}">
              <a16:creationId xmlns:a16="http://schemas.microsoft.com/office/drawing/2014/main" id="{00000000-0008-0000-1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219075</xdr:colOff>
      <xdr:row>65</xdr:row>
      <xdr:rowOff>47625</xdr:rowOff>
    </xdr:from>
    <xdr:to>
      <xdr:col>11</xdr:col>
      <xdr:colOff>295275</xdr:colOff>
      <xdr:row>65</xdr:row>
      <xdr:rowOff>123825</xdr:rowOff>
    </xdr:to>
    <xdr:sp macro="" textlink="">
      <xdr:nvSpPr>
        <xdr:cNvPr id="7" name="Oval 2165">
          <a:extLst>
            <a:ext uri="{FF2B5EF4-FFF2-40B4-BE49-F238E27FC236}">
              <a16:creationId xmlns:a16="http://schemas.microsoft.com/office/drawing/2014/main" id="{00000000-0008-0000-1A00-000007000000}"/>
            </a:ext>
          </a:extLst>
        </xdr:cNvPr>
        <xdr:cNvSpPr>
          <a:spLocks noChangeArrowheads="1"/>
        </xdr:cNvSpPr>
      </xdr:nvSpPr>
      <xdr:spPr bwMode="auto">
        <a:xfrm>
          <a:off x="5095875" y="11325225"/>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editAs="absolute">
    <xdr:from>
      <xdr:col>15</xdr:col>
      <xdr:colOff>22222</xdr:colOff>
      <xdr:row>0</xdr:row>
      <xdr:rowOff>85725</xdr:rowOff>
    </xdr:from>
    <xdr:to>
      <xdr:col>20</xdr:col>
      <xdr:colOff>67672</xdr:colOff>
      <xdr:row>2</xdr:row>
      <xdr:rowOff>149475</xdr:rowOff>
    </xdr:to>
    <xdr:sp macro="" textlink="">
      <xdr:nvSpPr>
        <xdr:cNvPr id="8" name="AutoShape 32">
          <a:extLst>
            <a:ext uri="{FF2B5EF4-FFF2-40B4-BE49-F238E27FC236}">
              <a16:creationId xmlns:a16="http://schemas.microsoft.com/office/drawing/2014/main" id="{00000000-0008-0000-1A00-000008000000}"/>
            </a:ext>
          </a:extLst>
        </xdr:cNvPr>
        <xdr:cNvSpPr>
          <a:spLocks noChangeArrowheads="1"/>
        </xdr:cNvSpPr>
      </xdr:nvSpPr>
      <xdr:spPr bwMode="auto">
        <a:xfrm>
          <a:off x="6946897"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66</xdr:row>
      <xdr:rowOff>0</xdr:rowOff>
    </xdr:from>
    <xdr:to>
      <xdr:col>20</xdr:col>
      <xdr:colOff>1</xdr:colOff>
      <xdr:row>69</xdr:row>
      <xdr:rowOff>0</xdr:rowOff>
    </xdr:to>
    <xdr:graphicFrame macro="">
      <xdr:nvGraphicFramePr>
        <xdr:cNvPr id="9" name="Chart 13">
          <a:extLst>
            <a:ext uri="{FF2B5EF4-FFF2-40B4-BE49-F238E27FC236}">
              <a16:creationId xmlns:a16="http://schemas.microsoft.com/office/drawing/2014/main" id="{00000000-0008-0000-1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40</xdr:row>
          <xdr:rowOff>28575</xdr:rowOff>
        </xdr:from>
        <xdr:to>
          <xdr:col>39</xdr:col>
          <xdr:colOff>66675</xdr:colOff>
          <xdr:row>42</xdr:row>
          <xdr:rowOff>9525</xdr:rowOff>
        </xdr:to>
        <xdr:sp macro="" textlink="">
          <xdr:nvSpPr>
            <xdr:cNvPr id="108545" name="Check Box 1" hidden="1">
              <a:extLst>
                <a:ext uri="{63B3BB69-23CF-44E3-9099-C40C66FF867C}">
                  <a14:compatExt spid="_x0000_s108545"/>
                </a:ext>
                <a:ext uri="{FF2B5EF4-FFF2-40B4-BE49-F238E27FC236}">
                  <a16:creationId xmlns:a16="http://schemas.microsoft.com/office/drawing/2014/main" id="{00000000-0008-0000-1A00-00000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41</xdr:row>
          <xdr:rowOff>152400</xdr:rowOff>
        </xdr:from>
        <xdr:to>
          <xdr:col>39</xdr:col>
          <xdr:colOff>66675</xdr:colOff>
          <xdr:row>43</xdr:row>
          <xdr:rowOff>9525</xdr:rowOff>
        </xdr:to>
        <xdr:sp macro="" textlink="">
          <xdr:nvSpPr>
            <xdr:cNvPr id="108546" name="Check Box 2" hidden="1">
              <a:extLst>
                <a:ext uri="{63B3BB69-23CF-44E3-9099-C40C66FF867C}">
                  <a14:compatExt spid="_x0000_s108546"/>
                </a:ext>
                <a:ext uri="{FF2B5EF4-FFF2-40B4-BE49-F238E27FC236}">
                  <a16:creationId xmlns:a16="http://schemas.microsoft.com/office/drawing/2014/main" id="{00000000-0008-0000-1A00-00000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42</xdr:row>
          <xdr:rowOff>152400</xdr:rowOff>
        </xdr:from>
        <xdr:to>
          <xdr:col>39</xdr:col>
          <xdr:colOff>66675</xdr:colOff>
          <xdr:row>44</xdr:row>
          <xdr:rowOff>9525</xdr:rowOff>
        </xdr:to>
        <xdr:sp macro="" textlink="">
          <xdr:nvSpPr>
            <xdr:cNvPr id="108547" name="Check Box 3" hidden="1">
              <a:extLst>
                <a:ext uri="{63B3BB69-23CF-44E3-9099-C40C66FF867C}">
                  <a14:compatExt spid="_x0000_s108547"/>
                </a:ext>
                <a:ext uri="{FF2B5EF4-FFF2-40B4-BE49-F238E27FC236}">
                  <a16:creationId xmlns:a16="http://schemas.microsoft.com/office/drawing/2014/main" id="{00000000-0008-0000-1A00-00000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43</xdr:row>
          <xdr:rowOff>152400</xdr:rowOff>
        </xdr:from>
        <xdr:to>
          <xdr:col>39</xdr:col>
          <xdr:colOff>66675</xdr:colOff>
          <xdr:row>45</xdr:row>
          <xdr:rowOff>9525</xdr:rowOff>
        </xdr:to>
        <xdr:sp macro="" textlink="">
          <xdr:nvSpPr>
            <xdr:cNvPr id="108548" name="Check Box 4" hidden="1">
              <a:extLst>
                <a:ext uri="{63B3BB69-23CF-44E3-9099-C40C66FF867C}">
                  <a14:compatExt spid="_x0000_s108548"/>
                </a:ext>
                <a:ext uri="{FF2B5EF4-FFF2-40B4-BE49-F238E27FC236}">
                  <a16:creationId xmlns:a16="http://schemas.microsoft.com/office/drawing/2014/main" id="{00000000-0008-0000-1A00-00000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44</xdr:row>
          <xdr:rowOff>152400</xdr:rowOff>
        </xdr:from>
        <xdr:to>
          <xdr:col>39</xdr:col>
          <xdr:colOff>66675</xdr:colOff>
          <xdr:row>46</xdr:row>
          <xdr:rowOff>9525</xdr:rowOff>
        </xdr:to>
        <xdr:sp macro="" textlink="">
          <xdr:nvSpPr>
            <xdr:cNvPr id="108549" name="Check Box 5" hidden="1">
              <a:extLst>
                <a:ext uri="{63B3BB69-23CF-44E3-9099-C40C66FF867C}">
                  <a14:compatExt spid="_x0000_s108549"/>
                </a:ext>
                <a:ext uri="{FF2B5EF4-FFF2-40B4-BE49-F238E27FC236}">
                  <a16:creationId xmlns:a16="http://schemas.microsoft.com/office/drawing/2014/main" id="{00000000-0008-0000-1A00-00000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45</xdr:row>
          <xdr:rowOff>152400</xdr:rowOff>
        </xdr:from>
        <xdr:to>
          <xdr:col>39</xdr:col>
          <xdr:colOff>66675</xdr:colOff>
          <xdr:row>47</xdr:row>
          <xdr:rowOff>9525</xdr:rowOff>
        </xdr:to>
        <xdr:sp macro="" textlink="">
          <xdr:nvSpPr>
            <xdr:cNvPr id="108550" name="Check Box 6" hidden="1">
              <a:extLst>
                <a:ext uri="{63B3BB69-23CF-44E3-9099-C40C66FF867C}">
                  <a14:compatExt spid="_x0000_s108550"/>
                </a:ext>
                <a:ext uri="{FF2B5EF4-FFF2-40B4-BE49-F238E27FC236}">
                  <a16:creationId xmlns:a16="http://schemas.microsoft.com/office/drawing/2014/main" id="{00000000-0008-0000-1A00-00000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46</xdr:row>
          <xdr:rowOff>152400</xdr:rowOff>
        </xdr:from>
        <xdr:to>
          <xdr:col>39</xdr:col>
          <xdr:colOff>66675</xdr:colOff>
          <xdr:row>48</xdr:row>
          <xdr:rowOff>9525</xdr:rowOff>
        </xdr:to>
        <xdr:sp macro="" textlink="">
          <xdr:nvSpPr>
            <xdr:cNvPr id="108551" name="Check Box 7" hidden="1">
              <a:extLst>
                <a:ext uri="{63B3BB69-23CF-44E3-9099-C40C66FF867C}">
                  <a14:compatExt spid="_x0000_s108551"/>
                </a:ext>
                <a:ext uri="{FF2B5EF4-FFF2-40B4-BE49-F238E27FC236}">
                  <a16:creationId xmlns:a16="http://schemas.microsoft.com/office/drawing/2014/main" id="{00000000-0008-0000-1A00-00000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47</xdr:row>
          <xdr:rowOff>152400</xdr:rowOff>
        </xdr:from>
        <xdr:to>
          <xdr:col>39</xdr:col>
          <xdr:colOff>66675</xdr:colOff>
          <xdr:row>49</xdr:row>
          <xdr:rowOff>9525</xdr:rowOff>
        </xdr:to>
        <xdr:sp macro="" textlink="">
          <xdr:nvSpPr>
            <xdr:cNvPr id="108552" name="Check Box 8" hidden="1">
              <a:extLst>
                <a:ext uri="{63B3BB69-23CF-44E3-9099-C40C66FF867C}">
                  <a14:compatExt spid="_x0000_s108552"/>
                </a:ext>
                <a:ext uri="{FF2B5EF4-FFF2-40B4-BE49-F238E27FC236}">
                  <a16:creationId xmlns:a16="http://schemas.microsoft.com/office/drawing/2014/main" id="{00000000-0008-0000-1A00-00000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48</xdr:row>
          <xdr:rowOff>152400</xdr:rowOff>
        </xdr:from>
        <xdr:to>
          <xdr:col>39</xdr:col>
          <xdr:colOff>66675</xdr:colOff>
          <xdr:row>50</xdr:row>
          <xdr:rowOff>9525</xdr:rowOff>
        </xdr:to>
        <xdr:sp macro="" textlink="">
          <xdr:nvSpPr>
            <xdr:cNvPr id="108553" name="Check Box 9" hidden="1">
              <a:extLst>
                <a:ext uri="{63B3BB69-23CF-44E3-9099-C40C66FF867C}">
                  <a14:compatExt spid="_x0000_s108553"/>
                </a:ext>
                <a:ext uri="{FF2B5EF4-FFF2-40B4-BE49-F238E27FC236}">
                  <a16:creationId xmlns:a16="http://schemas.microsoft.com/office/drawing/2014/main" id="{00000000-0008-0000-1A00-000009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49</xdr:row>
          <xdr:rowOff>152400</xdr:rowOff>
        </xdr:from>
        <xdr:to>
          <xdr:col>39</xdr:col>
          <xdr:colOff>66675</xdr:colOff>
          <xdr:row>51</xdr:row>
          <xdr:rowOff>9525</xdr:rowOff>
        </xdr:to>
        <xdr:sp macro="" textlink="">
          <xdr:nvSpPr>
            <xdr:cNvPr id="108554" name="Check Box 10" hidden="1">
              <a:extLst>
                <a:ext uri="{63B3BB69-23CF-44E3-9099-C40C66FF867C}">
                  <a14:compatExt spid="_x0000_s108554"/>
                </a:ext>
                <a:ext uri="{FF2B5EF4-FFF2-40B4-BE49-F238E27FC236}">
                  <a16:creationId xmlns:a16="http://schemas.microsoft.com/office/drawing/2014/main" id="{00000000-0008-0000-1A00-00000A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50</xdr:row>
          <xdr:rowOff>152400</xdr:rowOff>
        </xdr:from>
        <xdr:to>
          <xdr:col>39</xdr:col>
          <xdr:colOff>66675</xdr:colOff>
          <xdr:row>52</xdr:row>
          <xdr:rowOff>9525</xdr:rowOff>
        </xdr:to>
        <xdr:sp macro="" textlink="">
          <xdr:nvSpPr>
            <xdr:cNvPr id="108555" name="Check Box 11" hidden="1">
              <a:extLst>
                <a:ext uri="{63B3BB69-23CF-44E3-9099-C40C66FF867C}">
                  <a14:compatExt spid="_x0000_s108555"/>
                </a:ext>
                <a:ext uri="{FF2B5EF4-FFF2-40B4-BE49-F238E27FC236}">
                  <a16:creationId xmlns:a16="http://schemas.microsoft.com/office/drawing/2014/main" id="{00000000-0008-0000-1A00-00000B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51</xdr:row>
          <xdr:rowOff>152400</xdr:rowOff>
        </xdr:from>
        <xdr:to>
          <xdr:col>39</xdr:col>
          <xdr:colOff>66675</xdr:colOff>
          <xdr:row>53</xdr:row>
          <xdr:rowOff>9525</xdr:rowOff>
        </xdr:to>
        <xdr:sp macro="" textlink="">
          <xdr:nvSpPr>
            <xdr:cNvPr id="108556" name="Check Box 12" hidden="1">
              <a:extLst>
                <a:ext uri="{63B3BB69-23CF-44E3-9099-C40C66FF867C}">
                  <a14:compatExt spid="_x0000_s108556"/>
                </a:ext>
                <a:ext uri="{FF2B5EF4-FFF2-40B4-BE49-F238E27FC236}">
                  <a16:creationId xmlns:a16="http://schemas.microsoft.com/office/drawing/2014/main" id="{00000000-0008-0000-1A00-00000C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52</xdr:row>
          <xdr:rowOff>152400</xdr:rowOff>
        </xdr:from>
        <xdr:to>
          <xdr:col>39</xdr:col>
          <xdr:colOff>66675</xdr:colOff>
          <xdr:row>54</xdr:row>
          <xdr:rowOff>9525</xdr:rowOff>
        </xdr:to>
        <xdr:sp macro="" textlink="">
          <xdr:nvSpPr>
            <xdr:cNvPr id="108557" name="Check Box 13" hidden="1">
              <a:extLst>
                <a:ext uri="{63B3BB69-23CF-44E3-9099-C40C66FF867C}">
                  <a14:compatExt spid="_x0000_s108557"/>
                </a:ext>
                <a:ext uri="{FF2B5EF4-FFF2-40B4-BE49-F238E27FC236}">
                  <a16:creationId xmlns:a16="http://schemas.microsoft.com/office/drawing/2014/main" id="{00000000-0008-0000-1A00-00000D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53</xdr:row>
          <xdr:rowOff>152400</xdr:rowOff>
        </xdr:from>
        <xdr:to>
          <xdr:col>39</xdr:col>
          <xdr:colOff>66675</xdr:colOff>
          <xdr:row>55</xdr:row>
          <xdr:rowOff>9525</xdr:rowOff>
        </xdr:to>
        <xdr:sp macro="" textlink="">
          <xdr:nvSpPr>
            <xdr:cNvPr id="108558" name="Check Box 14" hidden="1">
              <a:extLst>
                <a:ext uri="{63B3BB69-23CF-44E3-9099-C40C66FF867C}">
                  <a14:compatExt spid="_x0000_s108558"/>
                </a:ext>
                <a:ext uri="{FF2B5EF4-FFF2-40B4-BE49-F238E27FC236}">
                  <a16:creationId xmlns:a16="http://schemas.microsoft.com/office/drawing/2014/main" id="{00000000-0008-0000-1A00-00000E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54</xdr:row>
          <xdr:rowOff>152400</xdr:rowOff>
        </xdr:from>
        <xdr:to>
          <xdr:col>39</xdr:col>
          <xdr:colOff>66675</xdr:colOff>
          <xdr:row>56</xdr:row>
          <xdr:rowOff>9525</xdr:rowOff>
        </xdr:to>
        <xdr:sp macro="" textlink="">
          <xdr:nvSpPr>
            <xdr:cNvPr id="108559" name="Check Box 15" hidden="1">
              <a:extLst>
                <a:ext uri="{63B3BB69-23CF-44E3-9099-C40C66FF867C}">
                  <a14:compatExt spid="_x0000_s108559"/>
                </a:ext>
                <a:ext uri="{FF2B5EF4-FFF2-40B4-BE49-F238E27FC236}">
                  <a16:creationId xmlns:a16="http://schemas.microsoft.com/office/drawing/2014/main" id="{00000000-0008-0000-1A00-00000F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55</xdr:row>
          <xdr:rowOff>152400</xdr:rowOff>
        </xdr:from>
        <xdr:to>
          <xdr:col>39</xdr:col>
          <xdr:colOff>66675</xdr:colOff>
          <xdr:row>57</xdr:row>
          <xdr:rowOff>9525</xdr:rowOff>
        </xdr:to>
        <xdr:sp macro="" textlink="">
          <xdr:nvSpPr>
            <xdr:cNvPr id="108560" name="Check Box 16" hidden="1">
              <a:extLst>
                <a:ext uri="{63B3BB69-23CF-44E3-9099-C40C66FF867C}">
                  <a14:compatExt spid="_x0000_s108560"/>
                </a:ext>
                <a:ext uri="{FF2B5EF4-FFF2-40B4-BE49-F238E27FC236}">
                  <a16:creationId xmlns:a16="http://schemas.microsoft.com/office/drawing/2014/main" id="{00000000-0008-0000-1A00-000010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58</xdr:row>
          <xdr:rowOff>152400</xdr:rowOff>
        </xdr:from>
        <xdr:to>
          <xdr:col>39</xdr:col>
          <xdr:colOff>66675</xdr:colOff>
          <xdr:row>60</xdr:row>
          <xdr:rowOff>9525</xdr:rowOff>
        </xdr:to>
        <xdr:sp macro="" textlink="">
          <xdr:nvSpPr>
            <xdr:cNvPr id="108561" name="Check Box 17" hidden="1">
              <a:extLst>
                <a:ext uri="{63B3BB69-23CF-44E3-9099-C40C66FF867C}">
                  <a14:compatExt spid="_x0000_s108561"/>
                </a:ext>
                <a:ext uri="{FF2B5EF4-FFF2-40B4-BE49-F238E27FC236}">
                  <a16:creationId xmlns:a16="http://schemas.microsoft.com/office/drawing/2014/main" id="{00000000-0008-0000-1A00-000011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59</xdr:row>
          <xdr:rowOff>152400</xdr:rowOff>
        </xdr:from>
        <xdr:to>
          <xdr:col>39</xdr:col>
          <xdr:colOff>66675</xdr:colOff>
          <xdr:row>61</xdr:row>
          <xdr:rowOff>9525</xdr:rowOff>
        </xdr:to>
        <xdr:sp macro="" textlink="">
          <xdr:nvSpPr>
            <xdr:cNvPr id="108562" name="Check Box 18" hidden="1">
              <a:extLst>
                <a:ext uri="{63B3BB69-23CF-44E3-9099-C40C66FF867C}">
                  <a14:compatExt spid="_x0000_s108562"/>
                </a:ext>
                <a:ext uri="{FF2B5EF4-FFF2-40B4-BE49-F238E27FC236}">
                  <a16:creationId xmlns:a16="http://schemas.microsoft.com/office/drawing/2014/main" id="{00000000-0008-0000-1A00-000012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60</xdr:row>
          <xdr:rowOff>152400</xdr:rowOff>
        </xdr:from>
        <xdr:to>
          <xdr:col>39</xdr:col>
          <xdr:colOff>66675</xdr:colOff>
          <xdr:row>62</xdr:row>
          <xdr:rowOff>9525</xdr:rowOff>
        </xdr:to>
        <xdr:sp macro="" textlink="">
          <xdr:nvSpPr>
            <xdr:cNvPr id="108563" name="Check Box 19" hidden="1">
              <a:extLst>
                <a:ext uri="{63B3BB69-23CF-44E3-9099-C40C66FF867C}">
                  <a14:compatExt spid="_x0000_s108563"/>
                </a:ext>
                <a:ext uri="{FF2B5EF4-FFF2-40B4-BE49-F238E27FC236}">
                  <a16:creationId xmlns:a16="http://schemas.microsoft.com/office/drawing/2014/main" id="{00000000-0008-0000-1A00-000013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61</xdr:row>
          <xdr:rowOff>152400</xdr:rowOff>
        </xdr:from>
        <xdr:to>
          <xdr:col>39</xdr:col>
          <xdr:colOff>66675</xdr:colOff>
          <xdr:row>63</xdr:row>
          <xdr:rowOff>9525</xdr:rowOff>
        </xdr:to>
        <xdr:sp macro="" textlink="">
          <xdr:nvSpPr>
            <xdr:cNvPr id="108564" name="Check Box 20" hidden="1">
              <a:extLst>
                <a:ext uri="{63B3BB69-23CF-44E3-9099-C40C66FF867C}">
                  <a14:compatExt spid="_x0000_s108564"/>
                </a:ext>
                <a:ext uri="{FF2B5EF4-FFF2-40B4-BE49-F238E27FC236}">
                  <a16:creationId xmlns:a16="http://schemas.microsoft.com/office/drawing/2014/main" id="{00000000-0008-0000-1A00-000014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62</xdr:row>
          <xdr:rowOff>152400</xdr:rowOff>
        </xdr:from>
        <xdr:to>
          <xdr:col>39</xdr:col>
          <xdr:colOff>66675</xdr:colOff>
          <xdr:row>64</xdr:row>
          <xdr:rowOff>9525</xdr:rowOff>
        </xdr:to>
        <xdr:sp macro="" textlink="">
          <xdr:nvSpPr>
            <xdr:cNvPr id="108565" name="Check Box 21" hidden="1">
              <a:extLst>
                <a:ext uri="{63B3BB69-23CF-44E3-9099-C40C66FF867C}">
                  <a14:compatExt spid="_x0000_s108565"/>
                </a:ext>
                <a:ext uri="{FF2B5EF4-FFF2-40B4-BE49-F238E27FC236}">
                  <a16:creationId xmlns:a16="http://schemas.microsoft.com/office/drawing/2014/main" id="{00000000-0008-0000-1A00-000015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21</xdr:col>
      <xdr:colOff>95250</xdr:colOff>
      <xdr:row>106</xdr:row>
      <xdr:rowOff>33750</xdr:rowOff>
    </xdr:from>
    <xdr:ext cx="252000" cy="252000"/>
    <xdr:sp macro="[0]!Adoption" textlink="">
      <xdr:nvSpPr>
        <xdr:cNvPr id="31" name="Down Arrow 44">
          <a:extLst>
            <a:ext uri="{FF2B5EF4-FFF2-40B4-BE49-F238E27FC236}">
              <a16:creationId xmlns:a16="http://schemas.microsoft.com/office/drawing/2014/main" id="{00000000-0008-0000-1A00-00001F000000}"/>
            </a:ext>
          </a:extLst>
        </xdr:cNvPr>
        <xdr:cNvSpPr>
          <a:spLocks noChangeArrowheads="1"/>
        </xdr:cNvSpPr>
      </xdr:nvSpPr>
      <xdr:spPr bwMode="auto">
        <a:xfrm flipV="1">
          <a:off x="9277350" y="334284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102</xdr:row>
      <xdr:rowOff>0</xdr:rowOff>
    </xdr:from>
    <xdr:to>
      <xdr:col>8</xdr:col>
      <xdr:colOff>0</xdr:colOff>
      <xdr:row>105</xdr:row>
      <xdr:rowOff>0</xdr:rowOff>
    </xdr:to>
    <xdr:graphicFrame macro="">
      <xdr:nvGraphicFramePr>
        <xdr:cNvPr id="32" name="Chart 13">
          <a:extLst>
            <a:ext uri="{FF2B5EF4-FFF2-40B4-BE49-F238E27FC236}">
              <a16:creationId xmlns:a16="http://schemas.microsoft.com/office/drawing/2014/main" id="{00000000-0008-0000-1A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56</xdr:row>
          <xdr:rowOff>152400</xdr:rowOff>
        </xdr:from>
        <xdr:to>
          <xdr:col>39</xdr:col>
          <xdr:colOff>66675</xdr:colOff>
          <xdr:row>58</xdr:row>
          <xdr:rowOff>9525</xdr:rowOff>
        </xdr:to>
        <xdr:sp macro="" textlink="">
          <xdr:nvSpPr>
            <xdr:cNvPr id="108566" name="Check Box 22" hidden="1">
              <a:extLst>
                <a:ext uri="{63B3BB69-23CF-44E3-9099-C40C66FF867C}">
                  <a14:compatExt spid="_x0000_s108566"/>
                </a:ext>
                <a:ext uri="{FF2B5EF4-FFF2-40B4-BE49-F238E27FC236}">
                  <a16:creationId xmlns:a16="http://schemas.microsoft.com/office/drawing/2014/main" id="{00000000-0008-0000-1A00-000016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22</xdr:col>
          <xdr:colOff>95250</xdr:colOff>
          <xdr:row>57</xdr:row>
          <xdr:rowOff>152400</xdr:rowOff>
        </xdr:from>
        <xdr:to>
          <xdr:col>39</xdr:col>
          <xdr:colOff>66675</xdr:colOff>
          <xdr:row>59</xdr:row>
          <xdr:rowOff>9525</xdr:rowOff>
        </xdr:to>
        <xdr:sp macro="" textlink="">
          <xdr:nvSpPr>
            <xdr:cNvPr id="108567" name="Check Box 23" hidden="1">
              <a:extLst>
                <a:ext uri="{63B3BB69-23CF-44E3-9099-C40C66FF867C}">
                  <a14:compatExt spid="_x0000_s108567"/>
                </a:ext>
                <a:ext uri="{FF2B5EF4-FFF2-40B4-BE49-F238E27FC236}">
                  <a16:creationId xmlns:a16="http://schemas.microsoft.com/office/drawing/2014/main" id="{00000000-0008-0000-1A00-000017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73</xdr:row>
      <xdr:rowOff>95250</xdr:rowOff>
    </xdr:from>
    <xdr:to>
      <xdr:col>20</xdr:col>
      <xdr:colOff>0</xdr:colOff>
      <xdr:row>104</xdr:row>
      <xdr:rowOff>485774</xdr:rowOff>
    </xdr:to>
    <xdr:graphicFrame macro="">
      <xdr:nvGraphicFramePr>
        <xdr:cNvPr id="35" name="Chart 13">
          <a:extLst>
            <a:ext uri="{FF2B5EF4-FFF2-40B4-BE49-F238E27FC236}">
              <a16:creationId xmlns:a16="http://schemas.microsoft.com/office/drawing/2014/main" id="{00000000-0008-0000-1A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22</xdr:col>
          <xdr:colOff>95250</xdr:colOff>
          <xdr:row>63</xdr:row>
          <xdr:rowOff>152400</xdr:rowOff>
        </xdr:from>
        <xdr:to>
          <xdr:col>39</xdr:col>
          <xdr:colOff>66675</xdr:colOff>
          <xdr:row>65</xdr:row>
          <xdr:rowOff>9525</xdr:rowOff>
        </xdr:to>
        <xdr:sp macro="" textlink="">
          <xdr:nvSpPr>
            <xdr:cNvPr id="108568" name="Check Box 24" hidden="1">
              <a:extLst>
                <a:ext uri="{63B3BB69-23CF-44E3-9099-C40C66FF867C}">
                  <a14:compatExt spid="_x0000_s108568"/>
                </a:ext>
                <a:ext uri="{FF2B5EF4-FFF2-40B4-BE49-F238E27FC236}">
                  <a16:creationId xmlns:a16="http://schemas.microsoft.com/office/drawing/2014/main" id="{00000000-0008-0000-1A00-000018A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66675</xdr:colOff>
      <xdr:row>64</xdr:row>
      <xdr:rowOff>76200</xdr:rowOff>
    </xdr:from>
    <xdr:to>
      <xdr:col>11</xdr:col>
      <xdr:colOff>438150</xdr:colOff>
      <xdr:row>64</xdr:row>
      <xdr:rowOff>76200</xdr:rowOff>
    </xdr:to>
    <xdr:sp macro="" textlink="">
      <xdr:nvSpPr>
        <xdr:cNvPr id="40" name="Line 283">
          <a:extLst>
            <a:ext uri="{FF2B5EF4-FFF2-40B4-BE49-F238E27FC236}">
              <a16:creationId xmlns:a16="http://schemas.microsoft.com/office/drawing/2014/main" id="{00000000-0008-0000-1A00-000028000000}"/>
            </a:ext>
          </a:extLst>
        </xdr:cNvPr>
        <xdr:cNvSpPr>
          <a:spLocks noChangeShapeType="1"/>
        </xdr:cNvSpPr>
      </xdr:nvSpPr>
      <xdr:spPr bwMode="auto">
        <a:xfrm>
          <a:off x="5029200" y="11229975"/>
          <a:ext cx="371475"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228600</xdr:colOff>
      <xdr:row>64</xdr:row>
      <xdr:rowOff>47625</xdr:rowOff>
    </xdr:from>
    <xdr:to>
      <xdr:col>15</xdr:col>
      <xdr:colOff>304800</xdr:colOff>
      <xdr:row>64</xdr:row>
      <xdr:rowOff>123825</xdr:rowOff>
    </xdr:to>
    <xdr:sp macro="" textlink="">
      <xdr:nvSpPr>
        <xdr:cNvPr id="41" name="Oval 2164">
          <a:extLst>
            <a:ext uri="{FF2B5EF4-FFF2-40B4-BE49-F238E27FC236}">
              <a16:creationId xmlns:a16="http://schemas.microsoft.com/office/drawing/2014/main" id="{00000000-0008-0000-1A00-000029000000}"/>
            </a:ext>
          </a:extLst>
        </xdr:cNvPr>
        <xdr:cNvSpPr>
          <a:spLocks noChangeArrowheads="1"/>
        </xdr:cNvSpPr>
      </xdr:nvSpPr>
      <xdr:spPr bwMode="auto">
        <a:xfrm>
          <a:off x="7048500" y="1114425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editAs="oneCell">
    <xdr:from>
      <xdr:col>21</xdr:col>
      <xdr:colOff>66675</xdr:colOff>
      <xdr:row>0</xdr:row>
      <xdr:rowOff>193416</xdr:rowOff>
    </xdr:from>
    <xdr:to>
      <xdr:col>21</xdr:col>
      <xdr:colOff>372675</xdr:colOff>
      <xdr:row>2</xdr:row>
      <xdr:rowOff>47625</xdr:rowOff>
    </xdr:to>
    <xdr:pic macro="[0]!Home">
      <xdr:nvPicPr>
        <xdr:cNvPr id="52" name="Picture 51">
          <a:extLst>
            <a:ext uri="{FF2B5EF4-FFF2-40B4-BE49-F238E27FC236}">
              <a16:creationId xmlns:a16="http://schemas.microsoft.com/office/drawing/2014/main" id="{00000000-0008-0000-1A00-000034000000}"/>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248775" y="193416"/>
          <a:ext cx="30600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133350</xdr:rowOff>
    </xdr:to>
    <xdr:sp macro="[0]!Careleavers" textlink="">
      <xdr:nvSpPr>
        <xdr:cNvPr id="45" name="Right Arrow 44">
          <a:extLst>
            <a:ext uri="{FF2B5EF4-FFF2-40B4-BE49-F238E27FC236}">
              <a16:creationId xmlns:a16="http://schemas.microsoft.com/office/drawing/2014/main" id="{00000000-0008-0000-1A00-00002D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0</xdr:colOff>
      <xdr:row>40</xdr:row>
      <xdr:rowOff>0</xdr:rowOff>
    </xdr:from>
    <xdr:to>
      <xdr:col>20</xdr:col>
      <xdr:colOff>0</xdr:colOff>
      <xdr:row>64</xdr:row>
      <xdr:rowOff>0</xdr:rowOff>
    </xdr:to>
    <xdr:graphicFrame macro="">
      <xdr:nvGraphicFramePr>
        <xdr:cNvPr id="47" name="Chart 176">
          <a:extLst>
            <a:ext uri="{FF2B5EF4-FFF2-40B4-BE49-F238E27FC236}">
              <a16:creationId xmlns:a16="http://schemas.microsoft.com/office/drawing/2014/main" id="{00000000-0008-0000-1A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absolute">
    <xdr:from>
      <xdr:col>20</xdr:col>
      <xdr:colOff>238126</xdr:colOff>
      <xdr:row>0</xdr:row>
      <xdr:rowOff>85724</xdr:rowOff>
    </xdr:from>
    <xdr:to>
      <xdr:col>27</xdr:col>
      <xdr:colOff>64501</xdr:colOff>
      <xdr:row>2</xdr:row>
      <xdr:rowOff>149474</xdr:rowOff>
    </xdr:to>
    <xdr:sp macro="" textlink="">
      <xdr:nvSpPr>
        <xdr:cNvPr id="4" name="AutoShape 32">
          <a:extLst>
            <a:ext uri="{FF2B5EF4-FFF2-40B4-BE49-F238E27FC236}">
              <a16:creationId xmlns:a16="http://schemas.microsoft.com/office/drawing/2014/main" id="{00000000-0008-0000-0900-000004000000}"/>
            </a:ext>
          </a:extLst>
        </xdr:cNvPr>
        <xdr:cNvSpPr>
          <a:spLocks noChangeArrowheads="1"/>
        </xdr:cNvSpPr>
      </xdr:nvSpPr>
      <xdr:spPr bwMode="auto">
        <a:xfrm>
          <a:off x="9953626" y="85724"/>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0</xdr:col>
      <xdr:colOff>95251</xdr:colOff>
      <xdr:row>0</xdr:row>
      <xdr:rowOff>66675</xdr:rowOff>
    </xdr:from>
    <xdr:to>
      <xdr:col>1</xdr:col>
      <xdr:colOff>521780</xdr:colOff>
      <xdr:row>2</xdr:row>
      <xdr:rowOff>171450</xdr:rowOff>
    </xdr:to>
    <xdr:pic macro="[0]!Home">
      <xdr:nvPicPr>
        <xdr:cNvPr id="6" name="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66675"/>
          <a:ext cx="569404" cy="581025"/>
        </a:xfrm>
        <a:prstGeom prst="rect">
          <a:avLst/>
        </a:prstGeom>
      </xdr:spPr>
    </xdr:pic>
    <xdr:clientData/>
  </xdr:twoCellAnchor>
  <xdr:twoCellAnchor editAs="oneCell">
    <xdr:from>
      <xdr:col>2</xdr:col>
      <xdr:colOff>400050</xdr:colOff>
      <xdr:row>11</xdr:row>
      <xdr:rowOff>352425</xdr:rowOff>
    </xdr:from>
    <xdr:to>
      <xdr:col>2</xdr:col>
      <xdr:colOff>1904812</xdr:colOff>
      <xdr:row>11</xdr:row>
      <xdr:rowOff>657187</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tretch>
          <a:fillRect/>
        </a:stretch>
      </xdr:blipFill>
      <xdr:spPr>
        <a:xfrm>
          <a:off x="1266825" y="1428750"/>
          <a:ext cx="1504762" cy="304762"/>
        </a:xfrm>
        <a:prstGeom prst="rect">
          <a:avLst/>
        </a:prstGeom>
      </xdr:spPr>
    </xdr:pic>
    <xdr:clientData/>
  </xdr:twoCellAnchor>
  <xdr:oneCellAnchor>
    <xdr:from>
      <xdr:col>2</xdr:col>
      <xdr:colOff>400050</xdr:colOff>
      <xdr:row>41</xdr:row>
      <xdr:rowOff>352425</xdr:rowOff>
    </xdr:from>
    <xdr:ext cx="1504762" cy="304762"/>
    <xdr:pic>
      <xdr:nvPicPr>
        <xdr:cNvPr id="8" name="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2"/>
        <a:stretch>
          <a:fillRect/>
        </a:stretch>
      </xdr:blipFill>
      <xdr:spPr>
        <a:xfrm>
          <a:off x="1266825" y="1428750"/>
          <a:ext cx="1504762" cy="304762"/>
        </a:xfrm>
        <a:prstGeom prst="rect">
          <a:avLst/>
        </a:prstGeom>
      </xdr:spPr>
    </xdr:pic>
    <xdr:clientData/>
  </xdr:oneCellAnchor>
  <xdr:oneCellAnchor>
    <xdr:from>
      <xdr:col>29</xdr:col>
      <xdr:colOff>85725</xdr:colOff>
      <xdr:row>39</xdr:row>
      <xdr:rowOff>0</xdr:rowOff>
    </xdr:from>
    <xdr:ext cx="247650" cy="285751"/>
    <xdr:sp macro="[0]!Home" textlink="">
      <xdr:nvSpPr>
        <xdr:cNvPr id="9" name="Down Arrow 44">
          <a:hlinkClick xmlns:r="http://schemas.openxmlformats.org/officeDocument/2006/relationships" r:id="rId3"/>
          <a:extLst>
            <a:ext uri="{FF2B5EF4-FFF2-40B4-BE49-F238E27FC236}">
              <a16:creationId xmlns:a16="http://schemas.microsoft.com/office/drawing/2014/main" id="{00000000-0008-0000-0900-000009000000}"/>
            </a:ext>
          </a:extLst>
        </xdr:cNvPr>
        <xdr:cNvSpPr>
          <a:spLocks noChangeArrowheads="1"/>
        </xdr:cNvSpPr>
      </xdr:nvSpPr>
      <xdr:spPr bwMode="auto">
        <a:xfrm flipV="1">
          <a:off x="12268200" y="8696323"/>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29</xdr:col>
      <xdr:colOff>66675</xdr:colOff>
      <xdr:row>3</xdr:row>
      <xdr:rowOff>19050</xdr:rowOff>
    </xdr:from>
    <xdr:to>
      <xdr:col>29</xdr:col>
      <xdr:colOff>314325</xdr:colOff>
      <xdr:row>4</xdr:row>
      <xdr:rowOff>152400</xdr:rowOff>
    </xdr:to>
    <xdr:sp macro="[0]!Frontpage" textlink="">
      <xdr:nvSpPr>
        <xdr:cNvPr id="10" name="Right Arrow 50">
          <a:extLst>
            <a:ext uri="{FF2B5EF4-FFF2-40B4-BE49-F238E27FC236}">
              <a16:creationId xmlns:a16="http://schemas.microsoft.com/office/drawing/2014/main" id="{00000000-0008-0000-0900-00000A000000}"/>
            </a:ext>
          </a:extLst>
        </xdr:cNvPr>
        <xdr:cNvSpPr>
          <a:spLocks noChangeArrowheads="1"/>
        </xdr:cNvSpPr>
      </xdr:nvSpPr>
      <xdr:spPr bwMode="auto">
        <a:xfrm flipH="1">
          <a:off x="12277725" y="73342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xdr:col>
      <xdr:colOff>2295525</xdr:colOff>
      <xdr:row>5</xdr:row>
      <xdr:rowOff>19049</xdr:rowOff>
    </xdr:from>
    <xdr:to>
      <xdr:col>2</xdr:col>
      <xdr:colOff>2543175</xdr:colOff>
      <xdr:row>5</xdr:row>
      <xdr:rowOff>190498</xdr:rowOff>
    </xdr:to>
    <xdr:sp macro="[0]!Coverage" textlink="">
      <xdr:nvSpPr>
        <xdr:cNvPr id="11" name="Right Arrow 50">
          <a:extLst>
            <a:ext uri="{FF2B5EF4-FFF2-40B4-BE49-F238E27FC236}">
              <a16:creationId xmlns:a16="http://schemas.microsoft.com/office/drawing/2014/main" id="{00000000-0008-0000-0900-00000B000000}"/>
            </a:ext>
          </a:extLst>
        </xdr:cNvPr>
        <xdr:cNvSpPr>
          <a:spLocks noChangeArrowheads="1"/>
        </xdr:cNvSpPr>
      </xdr:nvSpPr>
      <xdr:spPr bwMode="auto">
        <a:xfrm rot="10800000" flipH="1">
          <a:off x="3171825" y="106679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29</xdr:col>
      <xdr:colOff>114300</xdr:colOff>
      <xdr:row>5</xdr:row>
      <xdr:rowOff>113325</xdr:rowOff>
    </xdr:from>
    <xdr:to>
      <xdr:col>29</xdr:col>
      <xdr:colOff>361950</xdr:colOff>
      <xdr:row>6</xdr:row>
      <xdr:rowOff>180975</xdr:rowOff>
    </xdr:to>
    <xdr:sp macro="[0]!Indicators" textlink="">
      <xdr:nvSpPr>
        <xdr:cNvPr id="12" name="Right Arrow 50">
          <a:extLst>
            <a:ext uri="{FF2B5EF4-FFF2-40B4-BE49-F238E27FC236}">
              <a16:creationId xmlns:a16="http://schemas.microsoft.com/office/drawing/2014/main" id="{00000000-0008-0000-0900-00000C000000}"/>
            </a:ext>
          </a:extLst>
        </xdr:cNvPr>
        <xdr:cNvSpPr>
          <a:spLocks noChangeArrowheads="1"/>
        </xdr:cNvSpPr>
      </xdr:nvSpPr>
      <xdr:spPr bwMode="auto">
        <a:xfrm rot="10800000" flipH="1">
          <a:off x="12325350" y="116107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5</xdr:col>
      <xdr:colOff>209550</xdr:colOff>
      <xdr:row>6</xdr:row>
      <xdr:rowOff>19049</xdr:rowOff>
    </xdr:from>
    <xdr:to>
      <xdr:col>6</xdr:col>
      <xdr:colOff>123825</xdr:colOff>
      <xdr:row>6</xdr:row>
      <xdr:rowOff>190498</xdr:rowOff>
    </xdr:to>
    <xdr:sp macro="[0]!IDACI" textlink="">
      <xdr:nvSpPr>
        <xdr:cNvPr id="13" name="Right Arrow 50">
          <a:extLst>
            <a:ext uri="{FF2B5EF4-FFF2-40B4-BE49-F238E27FC236}">
              <a16:creationId xmlns:a16="http://schemas.microsoft.com/office/drawing/2014/main" id="{00000000-0008-0000-0900-00000D000000}"/>
            </a:ext>
          </a:extLst>
        </xdr:cNvPr>
        <xdr:cNvSpPr>
          <a:spLocks noChangeArrowheads="1"/>
        </xdr:cNvSpPr>
      </xdr:nvSpPr>
      <xdr:spPr bwMode="auto">
        <a:xfrm rot="10800000" flipH="1">
          <a:off x="4933950" y="127634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3</xdr:col>
      <xdr:colOff>314325</xdr:colOff>
      <xdr:row>7</xdr:row>
      <xdr:rowOff>19049</xdr:rowOff>
    </xdr:from>
    <xdr:to>
      <xdr:col>4</xdr:col>
      <xdr:colOff>228600</xdr:colOff>
      <xdr:row>7</xdr:row>
      <xdr:rowOff>190498</xdr:rowOff>
    </xdr:to>
    <xdr:sp macro="[0]!Population" textlink="">
      <xdr:nvSpPr>
        <xdr:cNvPr id="14" name="Right Arrow 50">
          <a:extLst>
            <a:ext uri="{FF2B5EF4-FFF2-40B4-BE49-F238E27FC236}">
              <a16:creationId xmlns:a16="http://schemas.microsoft.com/office/drawing/2014/main" id="{00000000-0008-0000-0900-00000E000000}"/>
            </a:ext>
          </a:extLst>
        </xdr:cNvPr>
        <xdr:cNvSpPr>
          <a:spLocks noChangeArrowheads="1"/>
        </xdr:cNvSpPr>
      </xdr:nvSpPr>
      <xdr:spPr bwMode="auto">
        <a:xfrm rot="10800000" flipH="1">
          <a:off x="4371975" y="1485899"/>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xdr:col>
      <xdr:colOff>400050</xdr:colOff>
      <xdr:row>71</xdr:row>
      <xdr:rowOff>352425</xdr:rowOff>
    </xdr:from>
    <xdr:ext cx="1504762" cy="304762"/>
    <xdr:pic>
      <xdr:nvPicPr>
        <xdr:cNvPr id="15" name="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2"/>
        <a:stretch>
          <a:fillRect/>
        </a:stretch>
      </xdr:blipFill>
      <xdr:spPr>
        <a:xfrm>
          <a:off x="1276350" y="9496425"/>
          <a:ext cx="1504762" cy="304762"/>
        </a:xfrm>
        <a:prstGeom prst="rect">
          <a:avLst/>
        </a:prstGeom>
      </xdr:spPr>
    </xdr:pic>
    <xdr:clientData/>
  </xdr:oneCellAnchor>
  <xdr:oneCellAnchor>
    <xdr:from>
      <xdr:col>29</xdr:col>
      <xdr:colOff>85725</xdr:colOff>
      <xdr:row>68</xdr:row>
      <xdr:rowOff>28575</xdr:rowOff>
    </xdr:from>
    <xdr:ext cx="247650" cy="285751"/>
    <xdr:sp macro="[0]!Home" textlink="">
      <xdr:nvSpPr>
        <xdr:cNvPr id="16" name="Down Arrow 44">
          <a:hlinkClick xmlns:r="http://schemas.openxmlformats.org/officeDocument/2006/relationships" r:id="rId3"/>
          <a:extLst>
            <a:ext uri="{FF2B5EF4-FFF2-40B4-BE49-F238E27FC236}">
              <a16:creationId xmlns:a16="http://schemas.microsoft.com/office/drawing/2014/main" id="{00000000-0008-0000-0900-000010000000}"/>
            </a:ext>
          </a:extLst>
        </xdr:cNvPr>
        <xdr:cNvSpPr>
          <a:spLocks noChangeArrowheads="1"/>
        </xdr:cNvSpPr>
      </xdr:nvSpPr>
      <xdr:spPr bwMode="auto">
        <a:xfrm flipV="1">
          <a:off x="12296775" y="16992600"/>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11</xdr:col>
      <xdr:colOff>323850</xdr:colOff>
      <xdr:row>4</xdr:row>
      <xdr:rowOff>9524</xdr:rowOff>
    </xdr:from>
    <xdr:to>
      <xdr:col>12</xdr:col>
      <xdr:colOff>238125</xdr:colOff>
      <xdr:row>4</xdr:row>
      <xdr:rowOff>180973</xdr:rowOff>
    </xdr:to>
    <xdr:sp macro="[0]!Indicators" textlink="">
      <xdr:nvSpPr>
        <xdr:cNvPr id="18" name="Right Arrow 50">
          <a:extLst>
            <a:ext uri="{FF2B5EF4-FFF2-40B4-BE49-F238E27FC236}">
              <a16:creationId xmlns:a16="http://schemas.microsoft.com/office/drawing/2014/main" id="{00000000-0008-0000-0900-000012000000}"/>
            </a:ext>
          </a:extLst>
        </xdr:cNvPr>
        <xdr:cNvSpPr>
          <a:spLocks noChangeArrowheads="1"/>
        </xdr:cNvSpPr>
      </xdr:nvSpPr>
      <xdr:spPr bwMode="auto">
        <a:xfrm rot="10800000" flipH="1">
          <a:off x="7048500" y="866774"/>
          <a:ext cx="247650" cy="171449"/>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oneCellAnchor>
    <xdr:from>
      <xdr:col>29</xdr:col>
      <xdr:colOff>76200</xdr:colOff>
      <xdr:row>78</xdr:row>
      <xdr:rowOff>695325</xdr:rowOff>
    </xdr:from>
    <xdr:ext cx="247650" cy="285751"/>
    <xdr:sp macro="[0]!Home" textlink="">
      <xdr:nvSpPr>
        <xdr:cNvPr id="19" name="Down Arrow 44">
          <a:hlinkClick xmlns:r="http://schemas.openxmlformats.org/officeDocument/2006/relationships" r:id="rId3"/>
          <a:extLst>
            <a:ext uri="{FF2B5EF4-FFF2-40B4-BE49-F238E27FC236}">
              <a16:creationId xmlns:a16="http://schemas.microsoft.com/office/drawing/2014/main" id="{00000000-0008-0000-0900-000013000000}"/>
            </a:ext>
          </a:extLst>
        </xdr:cNvPr>
        <xdr:cNvSpPr>
          <a:spLocks noChangeArrowheads="1"/>
        </xdr:cNvSpPr>
      </xdr:nvSpPr>
      <xdr:spPr bwMode="auto">
        <a:xfrm flipV="1">
          <a:off x="12277725" y="25365075"/>
          <a:ext cx="247650" cy="285751"/>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2543171</xdr:colOff>
      <xdr:row>0</xdr:row>
      <xdr:rowOff>85725</xdr:rowOff>
    </xdr:from>
    <xdr:to>
      <xdr:col>4</xdr:col>
      <xdr:colOff>64496</xdr:colOff>
      <xdr:row>2</xdr:row>
      <xdr:rowOff>149475</xdr:rowOff>
    </xdr:to>
    <xdr:sp macro="" textlink="">
      <xdr:nvSpPr>
        <xdr:cNvPr id="2" name="AutoShape 32">
          <a:extLst>
            <a:ext uri="{FF2B5EF4-FFF2-40B4-BE49-F238E27FC236}">
              <a16:creationId xmlns:a16="http://schemas.microsoft.com/office/drawing/2014/main" id="{00000000-0008-0000-0A00-000002000000}"/>
            </a:ext>
          </a:extLst>
        </xdr:cNvPr>
        <xdr:cNvSpPr>
          <a:spLocks noChangeArrowheads="1"/>
        </xdr:cNvSpPr>
      </xdr:nvSpPr>
      <xdr:spPr bwMode="auto">
        <a:xfrm>
          <a:off x="6943721"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5</xdr:col>
      <xdr:colOff>57150</xdr:colOff>
      <xdr:row>0</xdr:row>
      <xdr:rowOff>193416</xdr:rowOff>
    </xdr:from>
    <xdr:to>
      <xdr:col>5</xdr:col>
      <xdr:colOff>381000</xdr:colOff>
      <xdr:row>2</xdr:row>
      <xdr:rowOff>47625</xdr:rowOff>
    </xdr:to>
    <xdr:pic macro="[0]!Home">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5</xdr:col>
      <xdr:colOff>57150</xdr:colOff>
      <xdr:row>3</xdr:row>
      <xdr:rowOff>0</xdr:rowOff>
    </xdr:from>
    <xdr:to>
      <xdr:col>5</xdr:col>
      <xdr:colOff>304800</xdr:colOff>
      <xdr:row>4</xdr:row>
      <xdr:rowOff>133350</xdr:rowOff>
    </xdr:to>
    <xdr:sp macro="[0]!Home" textlink="">
      <xdr:nvSpPr>
        <xdr:cNvPr id="4" name="Right Arrow 50">
          <a:extLst>
            <a:ext uri="{FF2B5EF4-FFF2-40B4-BE49-F238E27FC236}">
              <a16:creationId xmlns:a16="http://schemas.microsoft.com/office/drawing/2014/main" id="{00000000-0008-0000-0A00-000004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5</xdr:col>
      <xdr:colOff>133350</xdr:colOff>
      <xdr:row>5</xdr:row>
      <xdr:rowOff>75225</xdr:rowOff>
    </xdr:from>
    <xdr:to>
      <xdr:col>5</xdr:col>
      <xdr:colOff>381000</xdr:colOff>
      <xdr:row>15</xdr:row>
      <xdr:rowOff>124800</xdr:rowOff>
    </xdr:to>
    <xdr:sp macro="[0]!Coverage" textlink="">
      <xdr:nvSpPr>
        <xdr:cNvPr id="5" name="Right Arrow 50">
          <a:extLst>
            <a:ext uri="{FF2B5EF4-FFF2-40B4-BE49-F238E27FC236}">
              <a16:creationId xmlns:a16="http://schemas.microsoft.com/office/drawing/2014/main" id="{00000000-0008-0000-0A00-000005000000}"/>
            </a:ext>
          </a:extLst>
        </xdr:cNvPr>
        <xdr:cNvSpPr>
          <a:spLocks noChangeArrowheads="1"/>
        </xdr:cNvSpPr>
      </xdr:nvSpPr>
      <xdr:spPr bwMode="auto">
        <a:xfrm rot="10800000" flipH="1">
          <a:off x="9324975"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5</xdr:col>
      <xdr:colOff>85725</xdr:colOff>
      <xdr:row>34</xdr:row>
      <xdr:rowOff>95250</xdr:rowOff>
    </xdr:from>
    <xdr:to>
      <xdr:col>5</xdr:col>
      <xdr:colOff>337725</xdr:colOff>
      <xdr:row>34</xdr:row>
      <xdr:rowOff>347250</xdr:rowOff>
    </xdr:to>
    <xdr:sp macro="[0]!Indicators" textlink="">
      <xdr:nvSpPr>
        <xdr:cNvPr id="11" name="Down Arrow 44">
          <a:extLst>
            <a:ext uri="{FF2B5EF4-FFF2-40B4-BE49-F238E27FC236}">
              <a16:creationId xmlns:a16="http://schemas.microsoft.com/office/drawing/2014/main" id="{00000000-0008-0000-0A00-00000B000000}"/>
            </a:ext>
          </a:extLst>
        </xdr:cNvPr>
        <xdr:cNvSpPr>
          <a:spLocks noChangeArrowheads="1"/>
        </xdr:cNvSpPr>
      </xdr:nvSpPr>
      <xdr:spPr bwMode="auto">
        <a:xfrm flipV="1">
          <a:off x="9277350" y="6467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oneCellAnchor>
    <xdr:from>
      <xdr:col>5</xdr:col>
      <xdr:colOff>85725</xdr:colOff>
      <xdr:row>54</xdr:row>
      <xdr:rowOff>95250</xdr:rowOff>
    </xdr:from>
    <xdr:ext cx="252000" cy="252000"/>
    <xdr:sp macro="[0]!Indicators" textlink="">
      <xdr:nvSpPr>
        <xdr:cNvPr id="12" name="Down Arrow 44">
          <a:extLst>
            <a:ext uri="{FF2B5EF4-FFF2-40B4-BE49-F238E27FC236}">
              <a16:creationId xmlns:a16="http://schemas.microsoft.com/office/drawing/2014/main" id="{00000000-0008-0000-0A00-00000C000000}"/>
            </a:ext>
          </a:extLst>
        </xdr:cNvPr>
        <xdr:cNvSpPr>
          <a:spLocks noChangeArrowheads="1"/>
        </xdr:cNvSpPr>
      </xdr:nvSpPr>
      <xdr:spPr bwMode="auto">
        <a:xfrm flipV="1">
          <a:off x="9277350" y="6467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5</xdr:col>
      <xdr:colOff>85725</xdr:colOff>
      <xdr:row>68</xdr:row>
      <xdr:rowOff>828675</xdr:rowOff>
    </xdr:from>
    <xdr:ext cx="252000" cy="252000"/>
    <xdr:sp macro="[0]!Indicators" textlink="">
      <xdr:nvSpPr>
        <xdr:cNvPr id="13" name="Down Arrow 44">
          <a:extLst>
            <a:ext uri="{FF2B5EF4-FFF2-40B4-BE49-F238E27FC236}">
              <a16:creationId xmlns:a16="http://schemas.microsoft.com/office/drawing/2014/main" id="{00000000-0008-0000-0A00-00000D000000}"/>
            </a:ext>
          </a:extLst>
        </xdr:cNvPr>
        <xdr:cNvSpPr>
          <a:spLocks noChangeArrowheads="1"/>
        </xdr:cNvSpPr>
      </xdr:nvSpPr>
      <xdr:spPr bwMode="auto">
        <a:xfrm flipV="1">
          <a:off x="9267825" y="1855470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4.xml><?xml version="1.0" encoding="utf-8"?>
<xdr:wsDr xmlns:xdr="http://schemas.openxmlformats.org/drawingml/2006/spreadsheetDrawing" xmlns:a="http://schemas.openxmlformats.org/drawingml/2006/main">
  <xdr:twoCellAnchor>
    <xdr:from>
      <xdr:col>18</xdr:col>
      <xdr:colOff>47623</xdr:colOff>
      <xdr:row>0</xdr:row>
      <xdr:rowOff>85725</xdr:rowOff>
    </xdr:from>
    <xdr:to>
      <xdr:col>27</xdr:col>
      <xdr:colOff>64498</xdr:colOff>
      <xdr:row>2</xdr:row>
      <xdr:rowOff>149475</xdr:rowOff>
    </xdr:to>
    <xdr:sp macro="" textlink="">
      <xdr:nvSpPr>
        <xdr:cNvPr id="6" name="AutoShape 32">
          <a:extLst>
            <a:ext uri="{FF2B5EF4-FFF2-40B4-BE49-F238E27FC236}">
              <a16:creationId xmlns:a16="http://schemas.microsoft.com/office/drawing/2014/main" id="{00000000-0008-0000-0B00-000006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28</xdr:col>
      <xdr:colOff>57150</xdr:colOff>
      <xdr:row>0</xdr:row>
      <xdr:rowOff>193416</xdr:rowOff>
    </xdr:from>
    <xdr:to>
      <xdr:col>28</xdr:col>
      <xdr:colOff>381000</xdr:colOff>
      <xdr:row>2</xdr:row>
      <xdr:rowOff>47625</xdr:rowOff>
    </xdr:to>
    <xdr:pic macro="[0]!Home">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28</xdr:col>
      <xdr:colOff>57150</xdr:colOff>
      <xdr:row>3</xdr:row>
      <xdr:rowOff>9525</xdr:rowOff>
    </xdr:from>
    <xdr:to>
      <xdr:col>28</xdr:col>
      <xdr:colOff>304800</xdr:colOff>
      <xdr:row>4</xdr:row>
      <xdr:rowOff>142875</xdr:rowOff>
    </xdr:to>
    <xdr:sp macro="[0]!Indicators" textlink="">
      <xdr:nvSpPr>
        <xdr:cNvPr id="5" name="Right Arrow 50">
          <a:extLst>
            <a:ext uri="{FF2B5EF4-FFF2-40B4-BE49-F238E27FC236}">
              <a16:creationId xmlns:a16="http://schemas.microsoft.com/office/drawing/2014/main" id="{00000000-0008-0000-0B00-000005000000}"/>
            </a:ext>
          </a:extLst>
        </xdr:cNvPr>
        <xdr:cNvSpPr>
          <a:spLocks noChangeArrowheads="1"/>
        </xdr:cNvSpPr>
      </xdr:nvSpPr>
      <xdr:spPr bwMode="auto">
        <a:xfrm flipH="1">
          <a:off x="9258300" y="72390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28</xdr:col>
      <xdr:colOff>133350</xdr:colOff>
      <xdr:row>5</xdr:row>
      <xdr:rowOff>56175</xdr:rowOff>
    </xdr:from>
    <xdr:to>
      <xdr:col>28</xdr:col>
      <xdr:colOff>381000</xdr:colOff>
      <xdr:row>6</xdr:row>
      <xdr:rowOff>76200</xdr:rowOff>
    </xdr:to>
    <xdr:sp macro="[0]!IDACI" textlink="">
      <xdr:nvSpPr>
        <xdr:cNvPr id="7" name="Right Arrow 50">
          <a:extLst>
            <a:ext uri="{FF2B5EF4-FFF2-40B4-BE49-F238E27FC236}">
              <a16:creationId xmlns:a16="http://schemas.microsoft.com/office/drawing/2014/main" id="{00000000-0008-0000-0B00-000007000000}"/>
            </a:ext>
          </a:extLst>
        </xdr:cNvPr>
        <xdr:cNvSpPr>
          <a:spLocks noChangeArrowheads="1"/>
        </xdr:cNvSpPr>
      </xdr:nvSpPr>
      <xdr:spPr bwMode="auto">
        <a:xfrm rot="10800000" flipH="1">
          <a:off x="9334500"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66675</xdr:colOff>
      <xdr:row>7</xdr:row>
      <xdr:rowOff>1</xdr:rowOff>
    </xdr:from>
    <xdr:to>
      <xdr:col>16</xdr:col>
      <xdr:colOff>0</xdr:colOff>
      <xdr:row>32</xdr:row>
      <xdr:rowOff>0</xdr:rowOff>
    </xdr:to>
    <xdr:graphicFrame macro="">
      <xdr:nvGraphicFramePr>
        <xdr:cNvPr id="863362" name="Chart 4">
          <a:extLst>
            <a:ext uri="{FF2B5EF4-FFF2-40B4-BE49-F238E27FC236}">
              <a16:creationId xmlns:a16="http://schemas.microsoft.com/office/drawing/2014/main" id="{00000000-0008-0000-0C00-0000822C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123824</xdr:colOff>
      <xdr:row>0</xdr:row>
      <xdr:rowOff>85725</xdr:rowOff>
    </xdr:from>
    <xdr:to>
      <xdr:col>16</xdr:col>
      <xdr:colOff>64499</xdr:colOff>
      <xdr:row>2</xdr:row>
      <xdr:rowOff>149475</xdr:rowOff>
    </xdr:to>
    <xdr:sp macro="" textlink="">
      <xdr:nvSpPr>
        <xdr:cNvPr id="7" name="AutoShape 32">
          <a:extLst>
            <a:ext uri="{FF2B5EF4-FFF2-40B4-BE49-F238E27FC236}">
              <a16:creationId xmlns:a16="http://schemas.microsoft.com/office/drawing/2014/main" id="{00000000-0008-0000-0C00-000007000000}"/>
            </a:ext>
          </a:extLst>
        </xdr:cNvPr>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17</xdr:col>
      <xdr:colOff>57150</xdr:colOff>
      <xdr:row>0</xdr:row>
      <xdr:rowOff>193416</xdr:rowOff>
    </xdr:from>
    <xdr:to>
      <xdr:col>17</xdr:col>
      <xdr:colOff>381000</xdr:colOff>
      <xdr:row>2</xdr:row>
      <xdr:rowOff>47625</xdr:rowOff>
    </xdr:to>
    <xdr:pic macro="[0]!Home">
      <xdr:nvPicPr>
        <xdr:cNvPr id="5" name="Picture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17</xdr:col>
      <xdr:colOff>47625</xdr:colOff>
      <xdr:row>3</xdr:row>
      <xdr:rowOff>9525</xdr:rowOff>
    </xdr:from>
    <xdr:to>
      <xdr:col>17</xdr:col>
      <xdr:colOff>295275</xdr:colOff>
      <xdr:row>4</xdr:row>
      <xdr:rowOff>142875</xdr:rowOff>
    </xdr:to>
    <xdr:sp macro="[0]!Coverage" textlink="">
      <xdr:nvSpPr>
        <xdr:cNvPr id="6" name="Right Arrow 50">
          <a:extLst>
            <a:ext uri="{FF2B5EF4-FFF2-40B4-BE49-F238E27FC236}">
              <a16:creationId xmlns:a16="http://schemas.microsoft.com/office/drawing/2014/main" id="{00000000-0008-0000-0C00-000006000000}"/>
            </a:ext>
          </a:extLst>
        </xdr:cNvPr>
        <xdr:cNvSpPr>
          <a:spLocks noChangeArrowheads="1"/>
        </xdr:cNvSpPr>
      </xdr:nvSpPr>
      <xdr:spPr bwMode="auto">
        <a:xfrm flipH="1">
          <a:off x="9239250" y="723900"/>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17</xdr:col>
      <xdr:colOff>123825</xdr:colOff>
      <xdr:row>5</xdr:row>
      <xdr:rowOff>8550</xdr:rowOff>
    </xdr:from>
    <xdr:to>
      <xdr:col>17</xdr:col>
      <xdr:colOff>371475</xdr:colOff>
      <xdr:row>5</xdr:row>
      <xdr:rowOff>285750</xdr:rowOff>
    </xdr:to>
    <xdr:sp macro="[0]!Population" textlink="">
      <xdr:nvSpPr>
        <xdr:cNvPr id="8" name="Right Arrow 50">
          <a:extLst>
            <a:ext uri="{FF2B5EF4-FFF2-40B4-BE49-F238E27FC236}">
              <a16:creationId xmlns:a16="http://schemas.microsoft.com/office/drawing/2014/main" id="{00000000-0008-0000-0C00-000008000000}"/>
            </a:ext>
          </a:extLst>
        </xdr:cNvPr>
        <xdr:cNvSpPr>
          <a:spLocks noChangeArrowheads="1"/>
        </xdr:cNvSpPr>
      </xdr:nvSpPr>
      <xdr:spPr bwMode="auto">
        <a:xfrm rot="10800000" flipH="1">
          <a:off x="9315450" y="1103925"/>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419099</xdr:colOff>
      <xdr:row>0</xdr:row>
      <xdr:rowOff>85725</xdr:rowOff>
    </xdr:from>
    <xdr:to>
      <xdr:col>20</xdr:col>
      <xdr:colOff>64499</xdr:colOff>
      <xdr:row>2</xdr:row>
      <xdr:rowOff>149475</xdr:rowOff>
    </xdr:to>
    <xdr:sp macro="" textlink="">
      <xdr:nvSpPr>
        <xdr:cNvPr id="9" name="AutoShape 32">
          <a:extLst>
            <a:ext uri="{FF2B5EF4-FFF2-40B4-BE49-F238E27FC236}">
              <a16:creationId xmlns:a16="http://schemas.microsoft.com/office/drawing/2014/main" id="{00000000-0008-0000-0D00-000009000000}"/>
            </a:ext>
          </a:extLst>
        </xdr:cNvPr>
        <xdr:cNvSpPr>
          <a:spLocks noChangeArrowheads="1"/>
        </xdr:cNvSpPr>
      </xdr:nvSpPr>
      <xdr:spPr bwMode="auto">
        <a:xfrm>
          <a:off x="6953249"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editAs="oneCell">
    <xdr:from>
      <xdr:col>21</xdr:col>
      <xdr:colOff>57150</xdr:colOff>
      <xdr:row>0</xdr:row>
      <xdr:rowOff>193416</xdr:rowOff>
    </xdr:from>
    <xdr:to>
      <xdr:col>21</xdr:col>
      <xdr:colOff>381000</xdr:colOff>
      <xdr:row>2</xdr:row>
      <xdr:rowOff>47625</xdr:rowOff>
    </xdr:to>
    <xdr:pic macro="[0]!Home">
      <xdr:nvPicPr>
        <xdr:cNvPr id="6" name="Picture 5">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23850" cy="330459"/>
        </a:xfrm>
        <a:prstGeom prst="rect">
          <a:avLst/>
        </a:prstGeom>
      </xdr:spPr>
    </xdr:pic>
    <xdr:clientData/>
  </xdr:twoCellAnchor>
  <xdr:twoCellAnchor editAs="oneCell">
    <xdr:from>
      <xdr:col>21</xdr:col>
      <xdr:colOff>57150</xdr:colOff>
      <xdr:row>3</xdr:row>
      <xdr:rowOff>0</xdr:rowOff>
    </xdr:from>
    <xdr:to>
      <xdr:col>21</xdr:col>
      <xdr:colOff>304800</xdr:colOff>
      <xdr:row>4</xdr:row>
      <xdr:rowOff>104775</xdr:rowOff>
    </xdr:to>
    <xdr:sp macro="[0]!IDACI" textlink="">
      <xdr:nvSpPr>
        <xdr:cNvPr id="12" name="Right Arrow 50">
          <a:extLst>
            <a:ext uri="{FF2B5EF4-FFF2-40B4-BE49-F238E27FC236}">
              <a16:creationId xmlns:a16="http://schemas.microsoft.com/office/drawing/2014/main" id="{00000000-0008-0000-0D00-00000C000000}"/>
            </a:ext>
          </a:extLst>
        </xdr:cNvPr>
        <xdr:cNvSpPr>
          <a:spLocks noChangeArrowheads="1"/>
        </xdr:cNvSpPr>
      </xdr:nvSpPr>
      <xdr:spPr bwMode="auto">
        <a:xfrm flipH="1">
          <a:off x="9248775"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133350</xdr:colOff>
      <xdr:row>5</xdr:row>
      <xdr:rowOff>18075</xdr:rowOff>
    </xdr:from>
    <xdr:to>
      <xdr:col>21</xdr:col>
      <xdr:colOff>381000</xdr:colOff>
      <xdr:row>6</xdr:row>
      <xdr:rowOff>123825</xdr:rowOff>
    </xdr:to>
    <xdr:sp macro="[0]!Referrals" textlink="">
      <xdr:nvSpPr>
        <xdr:cNvPr id="13" name="Right Arrow 50">
          <a:extLst>
            <a:ext uri="{FF2B5EF4-FFF2-40B4-BE49-F238E27FC236}">
              <a16:creationId xmlns:a16="http://schemas.microsoft.com/office/drawing/2014/main" id="{00000000-0008-0000-0D00-00000D000000}"/>
            </a:ext>
          </a:extLst>
        </xdr:cNvPr>
        <xdr:cNvSpPr>
          <a:spLocks noChangeArrowheads="1"/>
        </xdr:cNvSpPr>
      </xdr:nvSpPr>
      <xdr:spPr bwMode="auto">
        <a:xfrm rot="10800000" flipH="1">
          <a:off x="9324975"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21</xdr:col>
      <xdr:colOff>95250</xdr:colOff>
      <xdr:row>70</xdr:row>
      <xdr:rowOff>33750</xdr:rowOff>
    </xdr:from>
    <xdr:to>
      <xdr:col>21</xdr:col>
      <xdr:colOff>347250</xdr:colOff>
      <xdr:row>71</xdr:row>
      <xdr:rowOff>95250</xdr:rowOff>
    </xdr:to>
    <xdr:sp macro="[0]!Population" textlink="">
      <xdr:nvSpPr>
        <xdr:cNvPr id="7" name="Down Arrow 44">
          <a:extLst>
            <a:ext uri="{FF2B5EF4-FFF2-40B4-BE49-F238E27FC236}">
              <a16:creationId xmlns:a16="http://schemas.microsoft.com/office/drawing/2014/main" id="{00000000-0008-0000-0D00-000007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editAs="oneCell">
    <xdr:from>
      <xdr:col>21</xdr:col>
      <xdr:colOff>95250</xdr:colOff>
      <xdr:row>35</xdr:row>
      <xdr:rowOff>33750</xdr:rowOff>
    </xdr:from>
    <xdr:to>
      <xdr:col>21</xdr:col>
      <xdr:colOff>347250</xdr:colOff>
      <xdr:row>36</xdr:row>
      <xdr:rowOff>95250</xdr:rowOff>
    </xdr:to>
    <xdr:sp macro="[0]!Population" textlink="">
      <xdr:nvSpPr>
        <xdr:cNvPr id="8" name="Down Arrow 44">
          <a:extLst>
            <a:ext uri="{FF2B5EF4-FFF2-40B4-BE49-F238E27FC236}">
              <a16:creationId xmlns:a16="http://schemas.microsoft.com/office/drawing/2014/main" id="{00000000-0008-0000-0D00-000008000000}"/>
            </a:ext>
          </a:extLst>
        </xdr:cNvPr>
        <xdr:cNvSpPr>
          <a:spLocks noChangeArrowheads="1"/>
        </xdr:cNvSpPr>
      </xdr:nvSpPr>
      <xdr:spPr bwMode="auto">
        <a:xfrm flipV="1">
          <a:off x="9286875"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347250</xdr:colOff>
      <xdr:row>37</xdr:row>
      <xdr:rowOff>95250</xdr:rowOff>
    </xdr:to>
    <xdr:sp macro="[0]!Referrals" textlink="">
      <xdr:nvSpPr>
        <xdr:cNvPr id="2" name="Down Arrow 44">
          <a:extLst>
            <a:ext uri="{FF2B5EF4-FFF2-40B4-BE49-F238E27FC236}">
              <a16:creationId xmlns:a16="http://schemas.microsoft.com/office/drawing/2014/main" id="{00000000-0008-0000-0E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Referrals" textlink="">
      <xdr:nvSpPr>
        <xdr:cNvPr id="3" name="Down Arrow 2">
          <a:extLst>
            <a:ext uri="{FF2B5EF4-FFF2-40B4-BE49-F238E27FC236}">
              <a16:creationId xmlns:a16="http://schemas.microsoft.com/office/drawing/2014/main" id="{00000000-0008-0000-0E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9" name="Oval 2165">
          <a:extLst>
            <a:ext uri="{FF2B5EF4-FFF2-40B4-BE49-F238E27FC236}">
              <a16:creationId xmlns:a16="http://schemas.microsoft.com/office/drawing/2014/main" id="{00000000-0008-0000-0E00-000009000000}"/>
            </a:ext>
          </a:extLst>
        </xdr:cNvPr>
        <xdr:cNvSpPr>
          <a:spLocks noChangeArrowheads="1"/>
        </xdr:cNvSpPr>
      </xdr:nvSpPr>
      <xdr:spPr bwMode="auto">
        <a:xfrm>
          <a:off x="4895850" y="113728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0E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11" name="Chart 13">
          <a:extLst>
            <a:ext uri="{FF2B5EF4-FFF2-40B4-BE49-F238E27FC236}">
              <a16:creationId xmlns:a16="http://schemas.microsoft.com/office/drawing/2014/main" id="{00000000-0008-0000-0E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28575</xdr:rowOff>
        </xdr:from>
        <xdr:to>
          <xdr:col>36</xdr:col>
          <xdr:colOff>47625</xdr:colOff>
          <xdr:row>41</xdr:row>
          <xdr:rowOff>9525</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0E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0E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34819" name="Check Box 3" hidden="1">
              <a:extLst>
                <a:ext uri="{63B3BB69-23CF-44E3-9099-C40C66FF867C}">
                  <a14:compatExt spid="_x0000_s34819"/>
                </a:ext>
                <a:ext uri="{FF2B5EF4-FFF2-40B4-BE49-F238E27FC236}">
                  <a16:creationId xmlns:a16="http://schemas.microsoft.com/office/drawing/2014/main" id="{00000000-0008-0000-0E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E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E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E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E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E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E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E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E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0E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34829" name="Check Box 13" hidden="1">
              <a:extLst>
                <a:ext uri="{63B3BB69-23CF-44E3-9099-C40C66FF867C}">
                  <a14:compatExt spid="_x0000_s34829"/>
                </a:ext>
                <a:ext uri="{FF2B5EF4-FFF2-40B4-BE49-F238E27FC236}">
                  <a16:creationId xmlns:a16="http://schemas.microsoft.com/office/drawing/2014/main" id="{00000000-0008-0000-0E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34830" name="Check Box 14" hidden="1">
              <a:extLst>
                <a:ext uri="{63B3BB69-23CF-44E3-9099-C40C66FF867C}">
                  <a14:compatExt spid="_x0000_s34830"/>
                </a:ext>
                <a:ext uri="{FF2B5EF4-FFF2-40B4-BE49-F238E27FC236}">
                  <a16:creationId xmlns:a16="http://schemas.microsoft.com/office/drawing/2014/main" id="{00000000-0008-0000-0E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34831" name="Check Box 15" hidden="1">
              <a:extLst>
                <a:ext uri="{63B3BB69-23CF-44E3-9099-C40C66FF867C}">
                  <a14:compatExt spid="_x0000_s34831"/>
                </a:ext>
                <a:ext uri="{FF2B5EF4-FFF2-40B4-BE49-F238E27FC236}">
                  <a16:creationId xmlns:a16="http://schemas.microsoft.com/office/drawing/2014/main" id="{00000000-0008-0000-0E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34832" name="Check Box 16" hidden="1">
              <a:extLst>
                <a:ext uri="{63B3BB69-23CF-44E3-9099-C40C66FF867C}">
                  <a14:compatExt spid="_x0000_s34832"/>
                </a:ext>
                <a:ext uri="{FF2B5EF4-FFF2-40B4-BE49-F238E27FC236}">
                  <a16:creationId xmlns:a16="http://schemas.microsoft.com/office/drawing/2014/main" id="{00000000-0008-0000-0E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34833" name="Check Box 17" hidden="1">
              <a:extLst>
                <a:ext uri="{63B3BB69-23CF-44E3-9099-C40C66FF867C}">
                  <a14:compatExt spid="_x0000_s34833"/>
                </a:ext>
                <a:ext uri="{FF2B5EF4-FFF2-40B4-BE49-F238E27FC236}">
                  <a16:creationId xmlns:a16="http://schemas.microsoft.com/office/drawing/2014/main" id="{00000000-0008-0000-0E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34834" name="Check Box 18" hidden="1">
              <a:extLst>
                <a:ext uri="{63B3BB69-23CF-44E3-9099-C40C66FF867C}">
                  <a14:compatExt spid="_x0000_s34834"/>
                </a:ext>
                <a:ext uri="{FF2B5EF4-FFF2-40B4-BE49-F238E27FC236}">
                  <a16:creationId xmlns:a16="http://schemas.microsoft.com/office/drawing/2014/main" id="{00000000-0008-0000-0E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34835" name="Check Box 19" hidden="1">
              <a:extLst>
                <a:ext uri="{63B3BB69-23CF-44E3-9099-C40C66FF867C}">
                  <a14:compatExt spid="_x0000_s34835"/>
                </a:ext>
                <a:ext uri="{FF2B5EF4-FFF2-40B4-BE49-F238E27FC236}">
                  <a16:creationId xmlns:a16="http://schemas.microsoft.com/office/drawing/2014/main" id="{00000000-0008-0000-0E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34836" name="Check Box 20" hidden="1">
              <a:extLst>
                <a:ext uri="{63B3BB69-23CF-44E3-9099-C40C66FF867C}">
                  <a14:compatExt spid="_x0000_s34836"/>
                </a:ext>
                <a:ext uri="{FF2B5EF4-FFF2-40B4-BE49-F238E27FC236}">
                  <a16:creationId xmlns:a16="http://schemas.microsoft.com/office/drawing/2014/main" id="{00000000-0008-0000-0E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152400</xdr:rowOff>
        </xdr:from>
        <xdr:to>
          <xdr:col>36</xdr:col>
          <xdr:colOff>47625</xdr:colOff>
          <xdr:row>63</xdr:row>
          <xdr:rowOff>9525</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0E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176</xdr:row>
      <xdr:rowOff>33750</xdr:rowOff>
    </xdr:from>
    <xdr:ext cx="252000" cy="252000"/>
    <xdr:sp macro="[0]!Referrals" textlink="">
      <xdr:nvSpPr>
        <xdr:cNvPr id="33" name="Down Arrow 44">
          <a:extLst>
            <a:ext uri="{FF2B5EF4-FFF2-40B4-BE49-F238E27FC236}">
              <a16:creationId xmlns:a16="http://schemas.microsoft.com/office/drawing/2014/main" id="{00000000-0008-0000-0E00-000021000000}"/>
            </a:ext>
          </a:extLst>
        </xdr:cNvPr>
        <xdr:cNvSpPr>
          <a:spLocks noChangeArrowheads="1"/>
        </xdr:cNvSpPr>
      </xdr:nvSpPr>
      <xdr:spPr bwMode="auto">
        <a:xfrm flipV="1">
          <a:off x="9277350" y="334188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172</xdr:row>
      <xdr:rowOff>0</xdr:rowOff>
    </xdr:from>
    <xdr:to>
      <xdr:col>8</xdr:col>
      <xdr:colOff>0</xdr:colOff>
      <xdr:row>175</xdr:row>
      <xdr:rowOff>0</xdr:rowOff>
    </xdr:to>
    <xdr:graphicFrame macro="">
      <xdr:nvGraphicFramePr>
        <xdr:cNvPr id="38" name="Chart 13">
          <a:extLst>
            <a:ext uri="{FF2B5EF4-FFF2-40B4-BE49-F238E27FC236}">
              <a16:creationId xmlns:a16="http://schemas.microsoft.com/office/drawing/2014/main" id="{00000000-0008-0000-0E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0E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34839" name="Check Box 23" hidden="1">
              <a:extLst>
                <a:ext uri="{63B3BB69-23CF-44E3-9099-C40C66FF867C}">
                  <a14:compatExt spid="_x0000_s34839"/>
                </a:ext>
                <a:ext uri="{FF2B5EF4-FFF2-40B4-BE49-F238E27FC236}">
                  <a16:creationId xmlns:a16="http://schemas.microsoft.com/office/drawing/2014/main" id="{00000000-0008-0000-0E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143</xdr:row>
      <xdr:rowOff>95250</xdr:rowOff>
    </xdr:from>
    <xdr:to>
      <xdr:col>20</xdr:col>
      <xdr:colOff>514349</xdr:colOff>
      <xdr:row>174</xdr:row>
      <xdr:rowOff>533399</xdr:rowOff>
    </xdr:to>
    <xdr:graphicFrame macro="">
      <xdr:nvGraphicFramePr>
        <xdr:cNvPr id="39" name="Chart 13">
          <a:extLst>
            <a:ext uri="{FF2B5EF4-FFF2-40B4-BE49-F238E27FC236}">
              <a16:creationId xmlns:a16="http://schemas.microsoft.com/office/drawing/2014/main" id="{00000000-0008-0000-0E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152400</xdr:rowOff>
        </xdr:from>
        <xdr:to>
          <xdr:col>36</xdr:col>
          <xdr:colOff>47625</xdr:colOff>
          <xdr:row>64</xdr:row>
          <xdr:rowOff>9525</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E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Referrals" textlink="">
      <xdr:nvSpPr>
        <xdr:cNvPr id="40" name="Down Arrow 44">
          <a:extLst>
            <a:ext uri="{FF2B5EF4-FFF2-40B4-BE49-F238E27FC236}">
              <a16:creationId xmlns:a16="http://schemas.microsoft.com/office/drawing/2014/main" id="{00000000-0008-0000-0E00-000028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11</xdr:col>
      <xdr:colOff>0</xdr:colOff>
      <xdr:row>72</xdr:row>
      <xdr:rowOff>0</xdr:rowOff>
    </xdr:from>
    <xdr:to>
      <xdr:col>21</xdr:col>
      <xdr:colOff>0</xdr:colOff>
      <xdr:row>103</xdr:row>
      <xdr:rowOff>0</xdr:rowOff>
    </xdr:to>
    <xdr:graphicFrame macro="">
      <xdr:nvGraphicFramePr>
        <xdr:cNvPr id="44" name="Chart 176">
          <a:extLst>
            <a:ext uri="{FF2B5EF4-FFF2-40B4-BE49-F238E27FC236}">
              <a16:creationId xmlns:a16="http://schemas.microsoft.com/office/drawing/2014/main" id="{00000000-0008-0000-0E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11</xdr:col>
      <xdr:colOff>0</xdr:colOff>
      <xdr:row>103</xdr:row>
      <xdr:rowOff>0</xdr:rowOff>
    </xdr:to>
    <xdr:graphicFrame macro="">
      <xdr:nvGraphicFramePr>
        <xdr:cNvPr id="45" name="Chart 764">
          <a:extLst>
            <a:ext uri="{FF2B5EF4-FFF2-40B4-BE49-F238E27FC236}">
              <a16:creationId xmlns:a16="http://schemas.microsoft.com/office/drawing/2014/main" id="{00000000-0008-0000-0E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57150</xdr:colOff>
      <xdr:row>63</xdr:row>
      <xdr:rowOff>85725</xdr:rowOff>
    </xdr:from>
    <xdr:to>
      <xdr:col>11</xdr:col>
      <xdr:colOff>417150</xdr:colOff>
      <xdr:row>63</xdr:row>
      <xdr:rowOff>85725</xdr:rowOff>
    </xdr:to>
    <xdr:sp macro="" textlink="">
      <xdr:nvSpPr>
        <xdr:cNvPr id="42" name="Line 283">
          <a:extLst>
            <a:ext uri="{FF2B5EF4-FFF2-40B4-BE49-F238E27FC236}">
              <a16:creationId xmlns:a16="http://schemas.microsoft.com/office/drawing/2014/main" id="{00000000-0008-0000-0E00-00002A000000}"/>
            </a:ext>
          </a:extLst>
        </xdr:cNvPr>
        <xdr:cNvSpPr>
          <a:spLocks noChangeShapeType="1"/>
        </xdr:cNvSpPr>
      </xdr:nvSpPr>
      <xdr:spPr bwMode="auto">
        <a:xfrm>
          <a:off x="4772025" y="112395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43" name="Oval 2164">
          <a:extLst>
            <a:ext uri="{FF2B5EF4-FFF2-40B4-BE49-F238E27FC236}">
              <a16:creationId xmlns:a16="http://schemas.microsoft.com/office/drawing/2014/main" id="{00000000-0008-0000-0E00-00002B000000}"/>
            </a:ext>
          </a:extLst>
        </xdr:cNvPr>
        <xdr:cNvSpPr>
          <a:spLocks noChangeArrowheads="1"/>
        </xdr:cNvSpPr>
      </xdr:nvSpPr>
      <xdr:spPr bwMode="auto">
        <a:xfrm>
          <a:off x="7248525" y="112014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46" name="Line 283">
          <a:extLst>
            <a:ext uri="{FF2B5EF4-FFF2-40B4-BE49-F238E27FC236}">
              <a16:creationId xmlns:a16="http://schemas.microsoft.com/office/drawing/2014/main" id="{00000000-0008-0000-0E00-00002E000000}"/>
            </a:ext>
          </a:extLst>
        </xdr:cNvPr>
        <xdr:cNvSpPr>
          <a:spLocks noChangeShapeType="1"/>
        </xdr:cNvSpPr>
      </xdr:nvSpPr>
      <xdr:spPr bwMode="auto">
        <a:xfrm>
          <a:off x="7086600" y="114109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oneCellAnchor>
    <xdr:from>
      <xdr:col>22</xdr:col>
      <xdr:colOff>95250</xdr:colOff>
      <xdr:row>140</xdr:row>
      <xdr:rowOff>33750</xdr:rowOff>
    </xdr:from>
    <xdr:ext cx="252000" cy="252000"/>
    <xdr:sp macro="[0]!Referrals" textlink="">
      <xdr:nvSpPr>
        <xdr:cNvPr id="47" name="Down Arrow 44">
          <a:extLst>
            <a:ext uri="{FF2B5EF4-FFF2-40B4-BE49-F238E27FC236}">
              <a16:creationId xmlns:a16="http://schemas.microsoft.com/office/drawing/2014/main" id="{00000000-0008-0000-0E00-00002F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136</xdr:row>
      <xdr:rowOff>0</xdr:rowOff>
    </xdr:from>
    <xdr:to>
      <xdr:col>8</xdr:col>
      <xdr:colOff>0</xdr:colOff>
      <xdr:row>139</xdr:row>
      <xdr:rowOff>0</xdr:rowOff>
    </xdr:to>
    <xdr:graphicFrame macro="">
      <xdr:nvGraphicFramePr>
        <xdr:cNvPr id="48" name="Chart 13">
          <a:extLst>
            <a:ext uri="{FF2B5EF4-FFF2-40B4-BE49-F238E27FC236}">
              <a16:creationId xmlns:a16="http://schemas.microsoft.com/office/drawing/2014/main" id="{00000000-0008-0000-0E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514349</xdr:colOff>
      <xdr:row>107</xdr:row>
      <xdr:rowOff>95250</xdr:rowOff>
    </xdr:from>
    <xdr:to>
      <xdr:col>20</xdr:col>
      <xdr:colOff>514349</xdr:colOff>
      <xdr:row>138</xdr:row>
      <xdr:rowOff>533399</xdr:rowOff>
    </xdr:to>
    <xdr:graphicFrame macro="">
      <xdr:nvGraphicFramePr>
        <xdr:cNvPr id="49" name="Chart 13">
          <a:extLst>
            <a:ext uri="{FF2B5EF4-FFF2-40B4-BE49-F238E27FC236}">
              <a16:creationId xmlns:a16="http://schemas.microsoft.com/office/drawing/2014/main" id="{00000000-0008-0000-0E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22</xdr:col>
      <xdr:colOff>57150</xdr:colOff>
      <xdr:row>0</xdr:row>
      <xdr:rowOff>193416</xdr:rowOff>
    </xdr:from>
    <xdr:to>
      <xdr:col>22</xdr:col>
      <xdr:colOff>381000</xdr:colOff>
      <xdr:row>2</xdr:row>
      <xdr:rowOff>47625</xdr:rowOff>
    </xdr:to>
    <xdr:pic macro="[0]!Home">
      <xdr:nvPicPr>
        <xdr:cNvPr id="50" name="Picture 49">
          <a:extLst>
            <a:ext uri="{FF2B5EF4-FFF2-40B4-BE49-F238E27FC236}">
              <a16:creationId xmlns:a16="http://schemas.microsoft.com/office/drawing/2014/main" id="{00000000-0008-0000-0E00-000032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248775" y="193416"/>
          <a:ext cx="32385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Population" textlink="">
      <xdr:nvSpPr>
        <xdr:cNvPr id="51" name="Right Arrow 50">
          <a:extLst>
            <a:ext uri="{FF2B5EF4-FFF2-40B4-BE49-F238E27FC236}">
              <a16:creationId xmlns:a16="http://schemas.microsoft.com/office/drawing/2014/main" id="{00000000-0008-0000-0E00-000033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Referral_Source" textlink="">
      <xdr:nvSpPr>
        <xdr:cNvPr id="52" name="Right Arrow 50">
          <a:extLst>
            <a:ext uri="{FF2B5EF4-FFF2-40B4-BE49-F238E27FC236}">
              <a16:creationId xmlns:a16="http://schemas.microsoft.com/office/drawing/2014/main" id="{00000000-0008-0000-0E00-000034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10</xdr:col>
      <xdr:colOff>457199</xdr:colOff>
      <xdr:row>39</xdr:row>
      <xdr:rowOff>0</xdr:rowOff>
    </xdr:from>
    <xdr:to>
      <xdr:col>20</xdr:col>
      <xdr:colOff>514349</xdr:colOff>
      <xdr:row>63</xdr:row>
      <xdr:rowOff>1</xdr:rowOff>
    </xdr:to>
    <xdr:graphicFrame macro="">
      <xdr:nvGraphicFramePr>
        <xdr:cNvPr id="53" name="Chart 176">
          <a:extLst>
            <a:ext uri="{FF2B5EF4-FFF2-40B4-BE49-F238E27FC236}">
              <a16:creationId xmlns:a16="http://schemas.microsoft.com/office/drawing/2014/main" id="{00000000-0008-0000-0E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absolute">
    <xdr:from>
      <xdr:col>18</xdr:col>
      <xdr:colOff>47624</xdr:colOff>
      <xdr:row>0</xdr:row>
      <xdr:rowOff>85725</xdr:rowOff>
    </xdr:from>
    <xdr:to>
      <xdr:col>24</xdr:col>
      <xdr:colOff>64499</xdr:colOff>
      <xdr:row>2</xdr:row>
      <xdr:rowOff>149475</xdr:rowOff>
    </xdr:to>
    <xdr:sp macro="" textlink="">
      <xdr:nvSpPr>
        <xdr:cNvPr id="10" name="AutoShape 32">
          <a:extLst>
            <a:ext uri="{FF2B5EF4-FFF2-40B4-BE49-F238E27FC236}">
              <a16:creationId xmlns:a16="http://schemas.microsoft.com/office/drawing/2014/main" id="{00000000-0008-0000-0F00-00000A000000}"/>
            </a:ext>
          </a:extLst>
        </xdr:cNvPr>
        <xdr:cNvSpPr>
          <a:spLocks noChangeArrowheads="1"/>
        </xdr:cNvSpPr>
      </xdr:nvSpPr>
      <xdr:spPr bwMode="auto">
        <a:xfrm>
          <a:off x="6943724"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oneCellAnchor>
    <xdr:from>
      <xdr:col>25</xdr:col>
      <xdr:colOff>95250</xdr:colOff>
      <xdr:row>68</xdr:row>
      <xdr:rowOff>33750</xdr:rowOff>
    </xdr:from>
    <xdr:ext cx="252000" cy="252000"/>
    <xdr:sp macro="[0]!Referral_Source" textlink="">
      <xdr:nvSpPr>
        <xdr:cNvPr id="21" name="Down Arrow 44">
          <a:extLst>
            <a:ext uri="{FF2B5EF4-FFF2-40B4-BE49-F238E27FC236}">
              <a16:creationId xmlns:a16="http://schemas.microsoft.com/office/drawing/2014/main" id="{00000000-0008-0000-0F00-000015000000}"/>
            </a:ext>
          </a:extLst>
        </xdr:cNvPr>
        <xdr:cNvSpPr>
          <a:spLocks noChangeArrowheads="1"/>
        </xdr:cNvSpPr>
      </xdr:nvSpPr>
      <xdr:spPr bwMode="auto">
        <a:xfrm flipV="1">
          <a:off x="9229725" y="131877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oneCellAnchor>
    <xdr:from>
      <xdr:col>25</xdr:col>
      <xdr:colOff>85725</xdr:colOff>
      <xdr:row>103</xdr:row>
      <xdr:rowOff>62325</xdr:rowOff>
    </xdr:from>
    <xdr:ext cx="252000" cy="252000"/>
    <xdr:sp macro="[0]!Referral_Source" textlink="">
      <xdr:nvSpPr>
        <xdr:cNvPr id="22" name="Down Arrow 44">
          <a:extLst>
            <a:ext uri="{FF2B5EF4-FFF2-40B4-BE49-F238E27FC236}">
              <a16:creationId xmlns:a16="http://schemas.microsoft.com/office/drawing/2014/main" id="{00000000-0008-0000-0F00-000016000000}"/>
            </a:ext>
          </a:extLst>
        </xdr:cNvPr>
        <xdr:cNvSpPr>
          <a:spLocks noChangeArrowheads="1"/>
        </xdr:cNvSpPr>
      </xdr:nvSpPr>
      <xdr:spPr bwMode="auto">
        <a:xfrm flipV="1">
          <a:off x="9277350" y="19960050"/>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editAs="oneCell">
    <xdr:from>
      <xdr:col>25</xdr:col>
      <xdr:colOff>66675</xdr:colOff>
      <xdr:row>0</xdr:row>
      <xdr:rowOff>193416</xdr:rowOff>
    </xdr:from>
    <xdr:to>
      <xdr:col>25</xdr:col>
      <xdr:colOff>371475</xdr:colOff>
      <xdr:row>2</xdr:row>
      <xdr:rowOff>47625</xdr:rowOff>
    </xdr:to>
    <xdr:pic macro="[0]!Home">
      <xdr:nvPicPr>
        <xdr:cNvPr id="23" name="Picture 22">
          <a:extLst>
            <a:ext uri="{FF2B5EF4-FFF2-40B4-BE49-F238E27FC236}">
              <a16:creationId xmlns:a16="http://schemas.microsoft.com/office/drawing/2014/main" id="{00000000-0008-0000-0F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58300" y="193416"/>
          <a:ext cx="304800" cy="330459"/>
        </a:xfrm>
        <a:prstGeom prst="rect">
          <a:avLst/>
        </a:prstGeom>
      </xdr:spPr>
    </xdr:pic>
    <xdr:clientData/>
  </xdr:twoCellAnchor>
  <xdr:twoCellAnchor editAs="oneCell">
    <xdr:from>
      <xdr:col>25</xdr:col>
      <xdr:colOff>57150</xdr:colOff>
      <xdr:row>35</xdr:row>
      <xdr:rowOff>85725</xdr:rowOff>
    </xdr:from>
    <xdr:to>
      <xdr:col>25</xdr:col>
      <xdr:colOff>304800</xdr:colOff>
      <xdr:row>37</xdr:row>
      <xdr:rowOff>0</xdr:rowOff>
    </xdr:to>
    <xdr:sp macro="[0]!Referrals" textlink="">
      <xdr:nvSpPr>
        <xdr:cNvPr id="29" name="Right Arrow 28">
          <a:extLst>
            <a:ext uri="{FF2B5EF4-FFF2-40B4-BE49-F238E27FC236}">
              <a16:creationId xmlns:a16="http://schemas.microsoft.com/office/drawing/2014/main" id="{00000000-0008-0000-0F00-00001D000000}"/>
            </a:ext>
          </a:extLst>
        </xdr:cNvPr>
        <xdr:cNvSpPr>
          <a:spLocks noChangeArrowheads="1"/>
        </xdr:cNvSpPr>
      </xdr:nvSpPr>
      <xdr:spPr bwMode="auto">
        <a:xfrm flipH="1">
          <a:off x="9239250" y="682942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25</xdr:col>
      <xdr:colOff>133350</xdr:colOff>
      <xdr:row>37</xdr:row>
      <xdr:rowOff>103800</xdr:rowOff>
    </xdr:from>
    <xdr:to>
      <xdr:col>25</xdr:col>
      <xdr:colOff>381000</xdr:colOff>
      <xdr:row>39</xdr:row>
      <xdr:rowOff>47625</xdr:rowOff>
    </xdr:to>
    <xdr:sp macro="[0]!Re_referrals" textlink="">
      <xdr:nvSpPr>
        <xdr:cNvPr id="30" name="Right Arrow 50">
          <a:extLst>
            <a:ext uri="{FF2B5EF4-FFF2-40B4-BE49-F238E27FC236}">
              <a16:creationId xmlns:a16="http://schemas.microsoft.com/office/drawing/2014/main" id="{00000000-0008-0000-0F00-00001E000000}"/>
            </a:ext>
          </a:extLst>
        </xdr:cNvPr>
        <xdr:cNvSpPr>
          <a:spLocks noChangeArrowheads="1"/>
        </xdr:cNvSpPr>
      </xdr:nvSpPr>
      <xdr:spPr bwMode="auto">
        <a:xfrm rot="10800000" flipH="1">
          <a:off x="9315450" y="720945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3</xdr:col>
      <xdr:colOff>9525</xdr:colOff>
      <xdr:row>75</xdr:row>
      <xdr:rowOff>0</xdr:rowOff>
    </xdr:from>
    <xdr:to>
      <xdr:col>5</xdr:col>
      <xdr:colOff>0</xdr:colOff>
      <xdr:row>99</xdr:row>
      <xdr:rowOff>0</xdr:rowOff>
    </xdr:to>
    <xdr:graphicFrame macro="">
      <xdr:nvGraphicFramePr>
        <xdr:cNvPr id="4" name="Chart 3">
          <a:extLst>
            <a:ext uri="{FF2B5EF4-FFF2-40B4-BE49-F238E27FC236}">
              <a16:creationId xmlns:a16="http://schemas.microsoft.com/office/drawing/2014/main" id="{00000000-0008-0000-0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xdr:colOff>
      <xdr:row>75</xdr:row>
      <xdr:rowOff>0</xdr:rowOff>
    </xdr:from>
    <xdr:to>
      <xdr:col>7</xdr:col>
      <xdr:colOff>0</xdr:colOff>
      <xdr:row>99</xdr:row>
      <xdr:rowOff>0</xdr:rowOff>
    </xdr:to>
    <xdr:graphicFrame macro="">
      <xdr:nvGraphicFramePr>
        <xdr:cNvPr id="41" name="Chart 40">
          <a:extLst>
            <a:ext uri="{FF2B5EF4-FFF2-40B4-BE49-F238E27FC236}">
              <a16:creationId xmlns:a16="http://schemas.microsoft.com/office/drawing/2014/main" id="{00000000-0008-0000-0F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9525</xdr:colOff>
      <xdr:row>75</xdr:row>
      <xdr:rowOff>0</xdr:rowOff>
    </xdr:from>
    <xdr:to>
      <xdr:col>9</xdr:col>
      <xdr:colOff>0</xdr:colOff>
      <xdr:row>99</xdr:row>
      <xdr:rowOff>0</xdr:rowOff>
    </xdr:to>
    <xdr:graphicFrame macro="">
      <xdr:nvGraphicFramePr>
        <xdr:cNvPr id="42" name="Chart 41">
          <a:extLst>
            <a:ext uri="{FF2B5EF4-FFF2-40B4-BE49-F238E27FC236}">
              <a16:creationId xmlns:a16="http://schemas.microsoft.com/office/drawing/2014/main" id="{00000000-0008-0000-0F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9525</xdr:colOff>
      <xdr:row>75</xdr:row>
      <xdr:rowOff>0</xdr:rowOff>
    </xdr:from>
    <xdr:to>
      <xdr:col>11</xdr:col>
      <xdr:colOff>9525</xdr:colOff>
      <xdr:row>99</xdr:row>
      <xdr:rowOff>0</xdr:rowOff>
    </xdr:to>
    <xdr:graphicFrame macro="">
      <xdr:nvGraphicFramePr>
        <xdr:cNvPr id="43" name="Chart 42">
          <a:extLst>
            <a:ext uri="{FF2B5EF4-FFF2-40B4-BE49-F238E27FC236}">
              <a16:creationId xmlns:a16="http://schemas.microsoft.com/office/drawing/2014/main" id="{00000000-0008-0000-0F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9525</xdr:colOff>
      <xdr:row>75</xdr:row>
      <xdr:rowOff>0</xdr:rowOff>
    </xdr:from>
    <xdr:to>
      <xdr:col>13</xdr:col>
      <xdr:colOff>0</xdr:colOff>
      <xdr:row>99</xdr:row>
      <xdr:rowOff>0</xdr:rowOff>
    </xdr:to>
    <xdr:graphicFrame macro="">
      <xdr:nvGraphicFramePr>
        <xdr:cNvPr id="44" name="Chart 43">
          <a:extLst>
            <a:ext uri="{FF2B5EF4-FFF2-40B4-BE49-F238E27FC236}">
              <a16:creationId xmlns:a16="http://schemas.microsoft.com/office/drawing/2014/main" id="{00000000-0008-0000-0F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9525</xdr:colOff>
      <xdr:row>75</xdr:row>
      <xdr:rowOff>0</xdr:rowOff>
    </xdr:from>
    <xdr:to>
      <xdr:col>15</xdr:col>
      <xdr:colOff>0</xdr:colOff>
      <xdr:row>99</xdr:row>
      <xdr:rowOff>0</xdr:rowOff>
    </xdr:to>
    <xdr:graphicFrame macro="">
      <xdr:nvGraphicFramePr>
        <xdr:cNvPr id="45" name="Chart 44">
          <a:extLst>
            <a:ext uri="{FF2B5EF4-FFF2-40B4-BE49-F238E27FC236}">
              <a16:creationId xmlns:a16="http://schemas.microsoft.com/office/drawing/2014/main" id="{00000000-0008-0000-0F00-00002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9525</xdr:colOff>
      <xdr:row>75</xdr:row>
      <xdr:rowOff>0</xdr:rowOff>
    </xdr:from>
    <xdr:to>
      <xdr:col>17</xdr:col>
      <xdr:colOff>9525</xdr:colOff>
      <xdr:row>99</xdr:row>
      <xdr:rowOff>0</xdr:rowOff>
    </xdr:to>
    <xdr:graphicFrame macro="">
      <xdr:nvGraphicFramePr>
        <xdr:cNvPr id="46" name="Chart 45">
          <a:extLst>
            <a:ext uri="{FF2B5EF4-FFF2-40B4-BE49-F238E27FC236}">
              <a16:creationId xmlns:a16="http://schemas.microsoft.com/office/drawing/2014/main" id="{00000000-0008-0000-0F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9525</xdr:colOff>
      <xdr:row>75</xdr:row>
      <xdr:rowOff>0</xdr:rowOff>
    </xdr:from>
    <xdr:to>
      <xdr:col>19</xdr:col>
      <xdr:colOff>0</xdr:colOff>
      <xdr:row>99</xdr:row>
      <xdr:rowOff>0</xdr:rowOff>
    </xdr:to>
    <xdr:graphicFrame macro="">
      <xdr:nvGraphicFramePr>
        <xdr:cNvPr id="47" name="Chart 46">
          <a:extLst>
            <a:ext uri="{FF2B5EF4-FFF2-40B4-BE49-F238E27FC236}">
              <a16:creationId xmlns:a16="http://schemas.microsoft.com/office/drawing/2014/main" id="{00000000-0008-0000-0F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9525</xdr:colOff>
      <xdr:row>75</xdr:row>
      <xdr:rowOff>0</xdr:rowOff>
    </xdr:from>
    <xdr:to>
      <xdr:col>21</xdr:col>
      <xdr:colOff>0</xdr:colOff>
      <xdr:row>99</xdr:row>
      <xdr:rowOff>0</xdr:rowOff>
    </xdr:to>
    <xdr:graphicFrame macro="">
      <xdr:nvGraphicFramePr>
        <xdr:cNvPr id="48" name="Chart 47">
          <a:extLst>
            <a:ext uri="{FF2B5EF4-FFF2-40B4-BE49-F238E27FC236}">
              <a16:creationId xmlns:a16="http://schemas.microsoft.com/office/drawing/2014/main" id="{00000000-0008-0000-0F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21</xdr:col>
      <xdr:colOff>9525</xdr:colOff>
      <xdr:row>75</xdr:row>
      <xdr:rowOff>0</xdr:rowOff>
    </xdr:from>
    <xdr:to>
      <xdr:col>23</xdr:col>
      <xdr:colOff>9525</xdr:colOff>
      <xdr:row>99</xdr:row>
      <xdr:rowOff>0</xdr:rowOff>
    </xdr:to>
    <xdr:graphicFrame macro="">
      <xdr:nvGraphicFramePr>
        <xdr:cNvPr id="49" name="Chart 48">
          <a:extLst>
            <a:ext uri="{FF2B5EF4-FFF2-40B4-BE49-F238E27FC236}">
              <a16:creationId xmlns:a16="http://schemas.microsoft.com/office/drawing/2014/main" id="{00000000-0008-0000-0F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oneCellAnchor>
    <xdr:from>
      <xdr:col>25</xdr:col>
      <xdr:colOff>76200</xdr:colOff>
      <xdr:row>138</xdr:row>
      <xdr:rowOff>24225</xdr:rowOff>
    </xdr:from>
    <xdr:ext cx="252000" cy="252000"/>
    <xdr:sp macro="[0]!Referral_Source" textlink="">
      <xdr:nvSpPr>
        <xdr:cNvPr id="50" name="Down Arrow 44">
          <a:extLst>
            <a:ext uri="{FF2B5EF4-FFF2-40B4-BE49-F238E27FC236}">
              <a16:creationId xmlns:a16="http://schemas.microsoft.com/office/drawing/2014/main" id="{00000000-0008-0000-0F00-000032000000}"/>
            </a:ext>
          </a:extLst>
        </xdr:cNvPr>
        <xdr:cNvSpPr>
          <a:spLocks noChangeArrowheads="1"/>
        </xdr:cNvSpPr>
      </xdr:nvSpPr>
      <xdr:spPr bwMode="auto">
        <a:xfrm flipV="1">
          <a:off x="9267825" y="269037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22</xdr:col>
      <xdr:colOff>95250</xdr:colOff>
      <xdr:row>36</xdr:row>
      <xdr:rowOff>33750</xdr:rowOff>
    </xdr:from>
    <xdr:to>
      <xdr:col>22</xdr:col>
      <xdr:colOff>347250</xdr:colOff>
      <xdr:row>37</xdr:row>
      <xdr:rowOff>95250</xdr:rowOff>
    </xdr:to>
    <xdr:sp macro="[0]!Re_referrals" textlink="">
      <xdr:nvSpPr>
        <xdr:cNvPr id="2" name="Down Arrow 44">
          <a:extLst>
            <a:ext uri="{FF2B5EF4-FFF2-40B4-BE49-F238E27FC236}">
              <a16:creationId xmlns:a16="http://schemas.microsoft.com/office/drawing/2014/main" id="{00000000-0008-0000-1000-000002000000}"/>
            </a:ext>
          </a:extLst>
        </xdr:cNvPr>
        <xdr:cNvSpPr>
          <a:spLocks noChangeArrowheads="1"/>
        </xdr:cNvSpPr>
      </xdr:nvSpPr>
      <xdr:spPr bwMode="auto">
        <a:xfrm flipV="1">
          <a:off x="9277350" y="64440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twoCellAnchor>
  <xdr:twoCellAnchor>
    <xdr:from>
      <xdr:col>22</xdr:col>
      <xdr:colOff>95250</xdr:colOff>
      <xdr:row>69</xdr:row>
      <xdr:rowOff>33750</xdr:rowOff>
    </xdr:from>
    <xdr:to>
      <xdr:col>22</xdr:col>
      <xdr:colOff>347250</xdr:colOff>
      <xdr:row>70</xdr:row>
      <xdr:rowOff>95250</xdr:rowOff>
    </xdr:to>
    <xdr:sp macro="[0]!Re_referrals" textlink="">
      <xdr:nvSpPr>
        <xdr:cNvPr id="3" name="Down Arrow 2">
          <a:extLst>
            <a:ext uri="{FF2B5EF4-FFF2-40B4-BE49-F238E27FC236}">
              <a16:creationId xmlns:a16="http://schemas.microsoft.com/office/drawing/2014/main" id="{00000000-0008-0000-1000-000003000000}"/>
            </a:ext>
          </a:extLst>
        </xdr:cNvPr>
        <xdr:cNvSpPr/>
      </xdr:nvSpPr>
      <xdr:spPr>
        <a:xfrm flipV="1">
          <a:off x="9277350" y="13187775"/>
          <a:ext cx="252000" cy="252000"/>
        </a:xfrm>
        <a:prstGeom prst="downArrow">
          <a:avLst/>
        </a:prstGeom>
        <a:solidFill>
          <a:schemeClr val="accent6">
            <a:lumMod val="75000"/>
          </a:schemeClr>
        </a:solidFill>
        <a:ln>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GB"/>
        </a:p>
      </xdr:txBody>
    </xdr:sp>
    <xdr:clientData/>
  </xdr:twoCellAnchor>
  <xdr:twoCellAnchor>
    <xdr:from>
      <xdr:col>1</xdr:col>
      <xdr:colOff>1</xdr:colOff>
      <xdr:row>39</xdr:row>
      <xdr:rowOff>1</xdr:rowOff>
    </xdr:from>
    <xdr:to>
      <xdr:col>11</xdr:col>
      <xdr:colOff>1</xdr:colOff>
      <xdr:row>68</xdr:row>
      <xdr:rowOff>0</xdr:rowOff>
    </xdr:to>
    <xdr:graphicFrame macro="">
      <xdr:nvGraphicFramePr>
        <xdr:cNvPr id="6" name="Chart 13">
          <a:extLst>
            <a:ext uri="{FF2B5EF4-FFF2-40B4-BE49-F238E27FC236}">
              <a16:creationId xmlns:a16="http://schemas.microsoft.com/office/drawing/2014/main" id="{00000000-0008-0000-1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419098</xdr:colOff>
      <xdr:row>0</xdr:row>
      <xdr:rowOff>85725</xdr:rowOff>
    </xdr:from>
    <xdr:to>
      <xdr:col>21</xdr:col>
      <xdr:colOff>64498</xdr:colOff>
      <xdr:row>2</xdr:row>
      <xdr:rowOff>149475</xdr:rowOff>
    </xdr:to>
    <xdr:sp macro="" textlink="">
      <xdr:nvSpPr>
        <xdr:cNvPr id="10" name="AutoShape 32">
          <a:extLst>
            <a:ext uri="{FF2B5EF4-FFF2-40B4-BE49-F238E27FC236}">
              <a16:creationId xmlns:a16="http://schemas.microsoft.com/office/drawing/2014/main" id="{00000000-0008-0000-1000-00000A000000}"/>
            </a:ext>
          </a:extLst>
        </xdr:cNvPr>
        <xdr:cNvSpPr>
          <a:spLocks noChangeArrowheads="1"/>
        </xdr:cNvSpPr>
      </xdr:nvSpPr>
      <xdr:spPr bwMode="auto">
        <a:xfrm>
          <a:off x="6962773" y="85725"/>
          <a:ext cx="2160000" cy="540000"/>
        </a:xfrm>
        <a:prstGeom prst="roundRect">
          <a:avLst>
            <a:gd name="adj" fmla="val 16667"/>
          </a:avLst>
        </a:prstGeom>
        <a:solidFill>
          <a:srgbClr val="C85100"/>
        </a:solidFill>
        <a:ln w="19050">
          <a:solidFill>
            <a:srgbClr val="C85100"/>
          </a:solidFill>
          <a:round/>
          <a:headEnd/>
          <a:tailEnd/>
        </a:ln>
      </xdr:spPr>
      <xdr:txBody>
        <a:bodyPr vertOverflow="clip" wrap="square" lIns="27432" tIns="22860" rIns="27432" bIns="0" anchor="ctr" upright="1"/>
        <a:lstStyle/>
        <a:p>
          <a:pPr algn="ctr" rtl="0">
            <a:defRPr sz="1000"/>
          </a:pPr>
          <a:r>
            <a:rPr lang="en-GB" sz="1200" b="1" i="0" u="none" strike="noStrike" baseline="0">
              <a:solidFill>
                <a:srgbClr val="FFFFFF"/>
              </a:solidFill>
              <a:latin typeface="Arial"/>
              <a:cs typeface="Arial"/>
            </a:rPr>
            <a:t>Children's Social Care </a:t>
          </a:r>
        </a:p>
        <a:p>
          <a:pPr algn="ctr" rtl="0">
            <a:defRPr sz="1000"/>
          </a:pPr>
          <a:r>
            <a:rPr lang="en-GB" sz="1200" b="1" i="0" u="none" strike="noStrike" baseline="0">
              <a:solidFill>
                <a:srgbClr val="FFFFFF"/>
              </a:solidFill>
              <a:latin typeface="Arial"/>
              <a:cs typeface="Arial"/>
            </a:rPr>
            <a:t>Benchmarking</a:t>
          </a:r>
        </a:p>
      </xdr:txBody>
    </xdr:sp>
    <xdr:clientData/>
  </xdr:twoCellAnchor>
  <xdr:twoCellAnchor>
    <xdr:from>
      <xdr:col>11</xdr:col>
      <xdr:colOff>1</xdr:colOff>
      <xdr:row>65</xdr:row>
      <xdr:rowOff>0</xdr:rowOff>
    </xdr:from>
    <xdr:to>
      <xdr:col>21</xdr:col>
      <xdr:colOff>1</xdr:colOff>
      <xdr:row>68</xdr:row>
      <xdr:rowOff>0</xdr:rowOff>
    </xdr:to>
    <xdr:graphicFrame macro="">
      <xdr:nvGraphicFramePr>
        <xdr:cNvPr id="11" name="Chart 13">
          <a:extLst>
            <a:ext uri="{FF2B5EF4-FFF2-40B4-BE49-F238E27FC236}">
              <a16:creationId xmlns:a16="http://schemas.microsoft.com/office/drawing/2014/main" id="{00000000-0008-0000-1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39</xdr:row>
          <xdr:rowOff>28575</xdr:rowOff>
        </xdr:from>
        <xdr:to>
          <xdr:col>36</xdr:col>
          <xdr:colOff>47625</xdr:colOff>
          <xdr:row>41</xdr:row>
          <xdr:rowOff>9525</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1000-00000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40</xdr:row>
          <xdr:rowOff>152400</xdr:rowOff>
        </xdr:from>
        <xdr:to>
          <xdr:col>36</xdr:col>
          <xdr:colOff>47625</xdr:colOff>
          <xdr:row>42</xdr:row>
          <xdr:rowOff>9525</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1000-00000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41</xdr:row>
          <xdr:rowOff>152400</xdr:rowOff>
        </xdr:from>
        <xdr:to>
          <xdr:col>36</xdr:col>
          <xdr:colOff>47625</xdr:colOff>
          <xdr:row>43</xdr:row>
          <xdr:rowOff>9525</xdr:rowOff>
        </xdr:to>
        <xdr:sp macro="" textlink="">
          <xdr:nvSpPr>
            <xdr:cNvPr id="86019" name="Check Box 3" hidden="1">
              <a:extLst>
                <a:ext uri="{63B3BB69-23CF-44E3-9099-C40C66FF867C}">
                  <a14:compatExt spid="_x0000_s86019"/>
                </a:ext>
                <a:ext uri="{FF2B5EF4-FFF2-40B4-BE49-F238E27FC236}">
                  <a16:creationId xmlns:a16="http://schemas.microsoft.com/office/drawing/2014/main" id="{00000000-0008-0000-1000-00000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42</xdr:row>
          <xdr:rowOff>152400</xdr:rowOff>
        </xdr:from>
        <xdr:to>
          <xdr:col>36</xdr:col>
          <xdr:colOff>47625</xdr:colOff>
          <xdr:row>44</xdr:row>
          <xdr:rowOff>9525</xdr:rowOff>
        </xdr:to>
        <xdr:sp macro="" textlink="">
          <xdr:nvSpPr>
            <xdr:cNvPr id="86020" name="Check Box 4" hidden="1">
              <a:extLst>
                <a:ext uri="{63B3BB69-23CF-44E3-9099-C40C66FF867C}">
                  <a14:compatExt spid="_x0000_s86020"/>
                </a:ext>
                <a:ext uri="{FF2B5EF4-FFF2-40B4-BE49-F238E27FC236}">
                  <a16:creationId xmlns:a16="http://schemas.microsoft.com/office/drawing/2014/main" id="{00000000-0008-0000-1000-00000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43</xdr:row>
          <xdr:rowOff>152400</xdr:rowOff>
        </xdr:from>
        <xdr:to>
          <xdr:col>36</xdr:col>
          <xdr:colOff>47625</xdr:colOff>
          <xdr:row>45</xdr:row>
          <xdr:rowOff>9525</xdr:rowOff>
        </xdr:to>
        <xdr:sp macro="" textlink="">
          <xdr:nvSpPr>
            <xdr:cNvPr id="86021" name="Check Box 5" hidden="1">
              <a:extLst>
                <a:ext uri="{63B3BB69-23CF-44E3-9099-C40C66FF867C}">
                  <a14:compatExt spid="_x0000_s86021"/>
                </a:ext>
                <a:ext uri="{FF2B5EF4-FFF2-40B4-BE49-F238E27FC236}">
                  <a16:creationId xmlns:a16="http://schemas.microsoft.com/office/drawing/2014/main" id="{00000000-0008-0000-1000-00000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44</xdr:row>
          <xdr:rowOff>152400</xdr:rowOff>
        </xdr:from>
        <xdr:to>
          <xdr:col>36</xdr:col>
          <xdr:colOff>47625</xdr:colOff>
          <xdr:row>46</xdr:row>
          <xdr:rowOff>9525</xdr:rowOff>
        </xdr:to>
        <xdr:sp macro="" textlink="">
          <xdr:nvSpPr>
            <xdr:cNvPr id="86022" name="Check Box 6" hidden="1">
              <a:extLst>
                <a:ext uri="{63B3BB69-23CF-44E3-9099-C40C66FF867C}">
                  <a14:compatExt spid="_x0000_s86022"/>
                </a:ext>
                <a:ext uri="{FF2B5EF4-FFF2-40B4-BE49-F238E27FC236}">
                  <a16:creationId xmlns:a16="http://schemas.microsoft.com/office/drawing/2014/main" id="{00000000-0008-0000-1000-00000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45</xdr:row>
          <xdr:rowOff>152400</xdr:rowOff>
        </xdr:from>
        <xdr:to>
          <xdr:col>36</xdr:col>
          <xdr:colOff>47625</xdr:colOff>
          <xdr:row>47</xdr:row>
          <xdr:rowOff>9525</xdr:rowOff>
        </xdr:to>
        <xdr:sp macro="" textlink="">
          <xdr:nvSpPr>
            <xdr:cNvPr id="86023" name="Check Box 7" hidden="1">
              <a:extLst>
                <a:ext uri="{63B3BB69-23CF-44E3-9099-C40C66FF867C}">
                  <a14:compatExt spid="_x0000_s86023"/>
                </a:ext>
                <a:ext uri="{FF2B5EF4-FFF2-40B4-BE49-F238E27FC236}">
                  <a16:creationId xmlns:a16="http://schemas.microsoft.com/office/drawing/2014/main" id="{00000000-0008-0000-1000-00000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46</xdr:row>
          <xdr:rowOff>152400</xdr:rowOff>
        </xdr:from>
        <xdr:to>
          <xdr:col>36</xdr:col>
          <xdr:colOff>47625</xdr:colOff>
          <xdr:row>48</xdr:row>
          <xdr:rowOff>9525</xdr:rowOff>
        </xdr:to>
        <xdr:sp macro="" textlink="">
          <xdr:nvSpPr>
            <xdr:cNvPr id="86024" name="Check Box 8" hidden="1">
              <a:extLst>
                <a:ext uri="{63B3BB69-23CF-44E3-9099-C40C66FF867C}">
                  <a14:compatExt spid="_x0000_s86024"/>
                </a:ext>
                <a:ext uri="{FF2B5EF4-FFF2-40B4-BE49-F238E27FC236}">
                  <a16:creationId xmlns:a16="http://schemas.microsoft.com/office/drawing/2014/main" id="{00000000-0008-0000-1000-00000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47</xdr:row>
          <xdr:rowOff>152400</xdr:rowOff>
        </xdr:from>
        <xdr:to>
          <xdr:col>36</xdr:col>
          <xdr:colOff>47625</xdr:colOff>
          <xdr:row>49</xdr:row>
          <xdr:rowOff>9525</xdr:rowOff>
        </xdr:to>
        <xdr:sp macro="" textlink="">
          <xdr:nvSpPr>
            <xdr:cNvPr id="86025" name="Check Box 9" hidden="1">
              <a:extLst>
                <a:ext uri="{63B3BB69-23CF-44E3-9099-C40C66FF867C}">
                  <a14:compatExt spid="_x0000_s86025"/>
                </a:ext>
                <a:ext uri="{FF2B5EF4-FFF2-40B4-BE49-F238E27FC236}">
                  <a16:creationId xmlns:a16="http://schemas.microsoft.com/office/drawing/2014/main" id="{00000000-0008-0000-1000-000009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48</xdr:row>
          <xdr:rowOff>152400</xdr:rowOff>
        </xdr:from>
        <xdr:to>
          <xdr:col>36</xdr:col>
          <xdr:colOff>47625</xdr:colOff>
          <xdr:row>50</xdr:row>
          <xdr:rowOff>9525</xdr:rowOff>
        </xdr:to>
        <xdr:sp macro="" textlink="">
          <xdr:nvSpPr>
            <xdr:cNvPr id="86026" name="Check Box 10" hidden="1">
              <a:extLst>
                <a:ext uri="{63B3BB69-23CF-44E3-9099-C40C66FF867C}">
                  <a14:compatExt spid="_x0000_s86026"/>
                </a:ext>
                <a:ext uri="{FF2B5EF4-FFF2-40B4-BE49-F238E27FC236}">
                  <a16:creationId xmlns:a16="http://schemas.microsoft.com/office/drawing/2014/main" id="{00000000-0008-0000-1000-00000A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49</xdr:row>
          <xdr:rowOff>152400</xdr:rowOff>
        </xdr:from>
        <xdr:to>
          <xdr:col>36</xdr:col>
          <xdr:colOff>47625</xdr:colOff>
          <xdr:row>51</xdr:row>
          <xdr:rowOff>9525</xdr:rowOff>
        </xdr:to>
        <xdr:sp macro="" textlink="">
          <xdr:nvSpPr>
            <xdr:cNvPr id="86027" name="Check Box 11" hidden="1">
              <a:extLst>
                <a:ext uri="{63B3BB69-23CF-44E3-9099-C40C66FF867C}">
                  <a14:compatExt spid="_x0000_s86027"/>
                </a:ext>
                <a:ext uri="{FF2B5EF4-FFF2-40B4-BE49-F238E27FC236}">
                  <a16:creationId xmlns:a16="http://schemas.microsoft.com/office/drawing/2014/main" id="{00000000-0008-0000-1000-00000B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50</xdr:row>
          <xdr:rowOff>152400</xdr:rowOff>
        </xdr:from>
        <xdr:to>
          <xdr:col>36</xdr:col>
          <xdr:colOff>47625</xdr:colOff>
          <xdr:row>52</xdr:row>
          <xdr:rowOff>9525</xdr:rowOff>
        </xdr:to>
        <xdr:sp macro="" textlink="">
          <xdr:nvSpPr>
            <xdr:cNvPr id="86028" name="Check Box 12" hidden="1">
              <a:extLst>
                <a:ext uri="{63B3BB69-23CF-44E3-9099-C40C66FF867C}">
                  <a14:compatExt spid="_x0000_s86028"/>
                </a:ext>
                <a:ext uri="{FF2B5EF4-FFF2-40B4-BE49-F238E27FC236}">
                  <a16:creationId xmlns:a16="http://schemas.microsoft.com/office/drawing/2014/main" id="{00000000-0008-0000-1000-00000C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51</xdr:row>
          <xdr:rowOff>152400</xdr:rowOff>
        </xdr:from>
        <xdr:to>
          <xdr:col>36</xdr:col>
          <xdr:colOff>47625</xdr:colOff>
          <xdr:row>53</xdr:row>
          <xdr:rowOff>9525</xdr:rowOff>
        </xdr:to>
        <xdr:sp macro="" textlink="">
          <xdr:nvSpPr>
            <xdr:cNvPr id="86029" name="Check Box 13" hidden="1">
              <a:extLst>
                <a:ext uri="{63B3BB69-23CF-44E3-9099-C40C66FF867C}">
                  <a14:compatExt spid="_x0000_s86029"/>
                </a:ext>
                <a:ext uri="{FF2B5EF4-FFF2-40B4-BE49-F238E27FC236}">
                  <a16:creationId xmlns:a16="http://schemas.microsoft.com/office/drawing/2014/main" id="{00000000-0008-0000-1000-00000D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52</xdr:row>
          <xdr:rowOff>152400</xdr:rowOff>
        </xdr:from>
        <xdr:to>
          <xdr:col>36</xdr:col>
          <xdr:colOff>47625</xdr:colOff>
          <xdr:row>54</xdr:row>
          <xdr:rowOff>9525</xdr:rowOff>
        </xdr:to>
        <xdr:sp macro="" textlink="">
          <xdr:nvSpPr>
            <xdr:cNvPr id="86030" name="Check Box 14" hidden="1">
              <a:extLst>
                <a:ext uri="{63B3BB69-23CF-44E3-9099-C40C66FF867C}">
                  <a14:compatExt spid="_x0000_s86030"/>
                </a:ext>
                <a:ext uri="{FF2B5EF4-FFF2-40B4-BE49-F238E27FC236}">
                  <a16:creationId xmlns:a16="http://schemas.microsoft.com/office/drawing/2014/main" id="{00000000-0008-0000-1000-00000E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53</xdr:row>
          <xdr:rowOff>152400</xdr:rowOff>
        </xdr:from>
        <xdr:to>
          <xdr:col>36</xdr:col>
          <xdr:colOff>47625</xdr:colOff>
          <xdr:row>55</xdr:row>
          <xdr:rowOff>9525</xdr:rowOff>
        </xdr:to>
        <xdr:sp macro="" textlink="">
          <xdr:nvSpPr>
            <xdr:cNvPr id="86031" name="Check Box 15" hidden="1">
              <a:extLst>
                <a:ext uri="{63B3BB69-23CF-44E3-9099-C40C66FF867C}">
                  <a14:compatExt spid="_x0000_s86031"/>
                </a:ext>
                <a:ext uri="{FF2B5EF4-FFF2-40B4-BE49-F238E27FC236}">
                  <a16:creationId xmlns:a16="http://schemas.microsoft.com/office/drawing/2014/main" id="{00000000-0008-0000-1000-00000F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54</xdr:row>
          <xdr:rowOff>152400</xdr:rowOff>
        </xdr:from>
        <xdr:to>
          <xdr:col>36</xdr:col>
          <xdr:colOff>47625</xdr:colOff>
          <xdr:row>56</xdr:row>
          <xdr:rowOff>9525</xdr:rowOff>
        </xdr:to>
        <xdr:sp macro="" textlink="">
          <xdr:nvSpPr>
            <xdr:cNvPr id="86032" name="Check Box 16" hidden="1">
              <a:extLst>
                <a:ext uri="{63B3BB69-23CF-44E3-9099-C40C66FF867C}">
                  <a14:compatExt spid="_x0000_s86032"/>
                </a:ext>
                <a:ext uri="{FF2B5EF4-FFF2-40B4-BE49-F238E27FC236}">
                  <a16:creationId xmlns:a16="http://schemas.microsoft.com/office/drawing/2014/main" id="{00000000-0008-0000-1000-000010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57</xdr:row>
          <xdr:rowOff>152400</xdr:rowOff>
        </xdr:from>
        <xdr:to>
          <xdr:col>36</xdr:col>
          <xdr:colOff>47625</xdr:colOff>
          <xdr:row>59</xdr:row>
          <xdr:rowOff>9525</xdr:rowOff>
        </xdr:to>
        <xdr:sp macro="" textlink="">
          <xdr:nvSpPr>
            <xdr:cNvPr id="86033" name="Check Box 17" hidden="1">
              <a:extLst>
                <a:ext uri="{63B3BB69-23CF-44E3-9099-C40C66FF867C}">
                  <a14:compatExt spid="_x0000_s86033"/>
                </a:ext>
                <a:ext uri="{FF2B5EF4-FFF2-40B4-BE49-F238E27FC236}">
                  <a16:creationId xmlns:a16="http://schemas.microsoft.com/office/drawing/2014/main" id="{00000000-0008-0000-1000-000011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58</xdr:row>
          <xdr:rowOff>152400</xdr:rowOff>
        </xdr:from>
        <xdr:to>
          <xdr:col>36</xdr:col>
          <xdr:colOff>47625</xdr:colOff>
          <xdr:row>60</xdr:row>
          <xdr:rowOff>9525</xdr:rowOff>
        </xdr:to>
        <xdr:sp macro="" textlink="">
          <xdr:nvSpPr>
            <xdr:cNvPr id="86034" name="Check Box 18" hidden="1">
              <a:extLst>
                <a:ext uri="{63B3BB69-23CF-44E3-9099-C40C66FF867C}">
                  <a14:compatExt spid="_x0000_s86034"/>
                </a:ext>
                <a:ext uri="{FF2B5EF4-FFF2-40B4-BE49-F238E27FC236}">
                  <a16:creationId xmlns:a16="http://schemas.microsoft.com/office/drawing/2014/main" id="{00000000-0008-0000-1000-000012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59</xdr:row>
          <xdr:rowOff>152400</xdr:rowOff>
        </xdr:from>
        <xdr:to>
          <xdr:col>36</xdr:col>
          <xdr:colOff>47625</xdr:colOff>
          <xdr:row>61</xdr:row>
          <xdr:rowOff>9525</xdr:rowOff>
        </xdr:to>
        <xdr:sp macro="" textlink="">
          <xdr:nvSpPr>
            <xdr:cNvPr id="86035" name="Check Box 19" hidden="1">
              <a:extLst>
                <a:ext uri="{63B3BB69-23CF-44E3-9099-C40C66FF867C}">
                  <a14:compatExt spid="_x0000_s86035"/>
                </a:ext>
                <a:ext uri="{FF2B5EF4-FFF2-40B4-BE49-F238E27FC236}">
                  <a16:creationId xmlns:a16="http://schemas.microsoft.com/office/drawing/2014/main" id="{00000000-0008-0000-1000-000013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60</xdr:row>
          <xdr:rowOff>152400</xdr:rowOff>
        </xdr:from>
        <xdr:to>
          <xdr:col>36</xdr:col>
          <xdr:colOff>47625</xdr:colOff>
          <xdr:row>62</xdr:row>
          <xdr:rowOff>9525</xdr:rowOff>
        </xdr:to>
        <xdr:sp macro="" textlink="">
          <xdr:nvSpPr>
            <xdr:cNvPr id="86036" name="Check Box 20" hidden="1">
              <a:extLst>
                <a:ext uri="{63B3BB69-23CF-44E3-9099-C40C66FF867C}">
                  <a14:compatExt spid="_x0000_s86036"/>
                </a:ext>
                <a:ext uri="{FF2B5EF4-FFF2-40B4-BE49-F238E27FC236}">
                  <a16:creationId xmlns:a16="http://schemas.microsoft.com/office/drawing/2014/main" id="{00000000-0008-0000-1000-000014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61</xdr:row>
          <xdr:rowOff>152400</xdr:rowOff>
        </xdr:from>
        <xdr:to>
          <xdr:col>36</xdr:col>
          <xdr:colOff>47625</xdr:colOff>
          <xdr:row>63</xdr:row>
          <xdr:rowOff>9525</xdr:rowOff>
        </xdr:to>
        <xdr:sp macro="" textlink="">
          <xdr:nvSpPr>
            <xdr:cNvPr id="86037" name="Check Box 21" hidden="1">
              <a:extLst>
                <a:ext uri="{63B3BB69-23CF-44E3-9099-C40C66FF867C}">
                  <a14:compatExt spid="_x0000_s86037"/>
                </a:ext>
                <a:ext uri="{FF2B5EF4-FFF2-40B4-BE49-F238E27FC236}">
                  <a16:creationId xmlns:a16="http://schemas.microsoft.com/office/drawing/2014/main" id="{00000000-0008-0000-1000-000015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140</xdr:row>
      <xdr:rowOff>33750</xdr:rowOff>
    </xdr:from>
    <xdr:ext cx="252000" cy="252000"/>
    <xdr:sp macro="[0]!Re_referrals" textlink="">
      <xdr:nvSpPr>
        <xdr:cNvPr id="33" name="Down Arrow 44">
          <a:extLst>
            <a:ext uri="{FF2B5EF4-FFF2-40B4-BE49-F238E27FC236}">
              <a16:creationId xmlns:a16="http://schemas.microsoft.com/office/drawing/2014/main" id="{00000000-0008-0000-1000-000021000000}"/>
            </a:ext>
          </a:extLst>
        </xdr:cNvPr>
        <xdr:cNvSpPr>
          <a:spLocks noChangeArrowheads="1"/>
        </xdr:cNvSpPr>
      </xdr:nvSpPr>
      <xdr:spPr bwMode="auto">
        <a:xfrm flipV="1">
          <a:off x="9277350" y="266751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xdr:col>
      <xdr:colOff>0</xdr:colOff>
      <xdr:row>136</xdr:row>
      <xdr:rowOff>0</xdr:rowOff>
    </xdr:from>
    <xdr:to>
      <xdr:col>8</xdr:col>
      <xdr:colOff>0</xdr:colOff>
      <xdr:row>139</xdr:row>
      <xdr:rowOff>0</xdr:rowOff>
    </xdr:to>
    <xdr:graphicFrame macro="">
      <xdr:nvGraphicFramePr>
        <xdr:cNvPr id="34" name="Chart 13">
          <a:extLst>
            <a:ext uri="{FF2B5EF4-FFF2-40B4-BE49-F238E27FC236}">
              <a16:creationId xmlns:a16="http://schemas.microsoft.com/office/drawing/2014/main" id="{00000000-0008-0000-1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55</xdr:row>
          <xdr:rowOff>152400</xdr:rowOff>
        </xdr:from>
        <xdr:to>
          <xdr:col>36</xdr:col>
          <xdr:colOff>47625</xdr:colOff>
          <xdr:row>57</xdr:row>
          <xdr:rowOff>9525</xdr:rowOff>
        </xdr:to>
        <xdr:sp macro="" textlink="">
          <xdr:nvSpPr>
            <xdr:cNvPr id="86038" name="Check Box 22" hidden="1">
              <a:extLst>
                <a:ext uri="{63B3BB69-23CF-44E3-9099-C40C66FF867C}">
                  <a14:compatExt spid="_x0000_s86038"/>
                </a:ext>
                <a:ext uri="{FF2B5EF4-FFF2-40B4-BE49-F238E27FC236}">
                  <a16:creationId xmlns:a16="http://schemas.microsoft.com/office/drawing/2014/main" id="{00000000-0008-0000-1000-000016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76200</xdr:colOff>
          <xdr:row>56</xdr:row>
          <xdr:rowOff>152400</xdr:rowOff>
        </xdr:from>
        <xdr:to>
          <xdr:col>36</xdr:col>
          <xdr:colOff>47625</xdr:colOff>
          <xdr:row>58</xdr:row>
          <xdr:rowOff>9525</xdr:rowOff>
        </xdr:to>
        <xdr:sp macro="" textlink="">
          <xdr:nvSpPr>
            <xdr:cNvPr id="86039" name="Check Box 23" hidden="1">
              <a:extLst>
                <a:ext uri="{63B3BB69-23CF-44E3-9099-C40C66FF867C}">
                  <a14:compatExt spid="_x0000_s86039"/>
                </a:ext>
                <a:ext uri="{FF2B5EF4-FFF2-40B4-BE49-F238E27FC236}">
                  <a16:creationId xmlns:a16="http://schemas.microsoft.com/office/drawing/2014/main" id="{00000000-0008-0000-1000-000017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514349</xdr:colOff>
      <xdr:row>107</xdr:row>
      <xdr:rowOff>95250</xdr:rowOff>
    </xdr:from>
    <xdr:to>
      <xdr:col>20</xdr:col>
      <xdr:colOff>514349</xdr:colOff>
      <xdr:row>138</xdr:row>
      <xdr:rowOff>533399</xdr:rowOff>
    </xdr:to>
    <xdr:graphicFrame macro="">
      <xdr:nvGraphicFramePr>
        <xdr:cNvPr id="37" name="Chart 13">
          <a:extLst>
            <a:ext uri="{FF2B5EF4-FFF2-40B4-BE49-F238E27FC236}">
              <a16:creationId xmlns:a16="http://schemas.microsoft.com/office/drawing/2014/main" id="{00000000-0008-0000-1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absolute">
        <xdr:from>
          <xdr:col>23</xdr:col>
          <xdr:colOff>76200</xdr:colOff>
          <xdr:row>62</xdr:row>
          <xdr:rowOff>152400</xdr:rowOff>
        </xdr:from>
        <xdr:to>
          <xdr:col>36</xdr:col>
          <xdr:colOff>47625</xdr:colOff>
          <xdr:row>64</xdr:row>
          <xdr:rowOff>9525</xdr:rowOff>
        </xdr:to>
        <xdr:sp macro="" textlink="">
          <xdr:nvSpPr>
            <xdr:cNvPr id="86040" name="Check Box 24" hidden="1">
              <a:extLst>
                <a:ext uri="{63B3BB69-23CF-44E3-9099-C40C66FF867C}">
                  <a14:compatExt spid="_x0000_s86040"/>
                </a:ext>
                <a:ext uri="{FF2B5EF4-FFF2-40B4-BE49-F238E27FC236}">
                  <a16:creationId xmlns:a16="http://schemas.microsoft.com/office/drawing/2014/main" id="{00000000-0008-0000-1000-0000185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95250</xdr:colOff>
      <xdr:row>104</xdr:row>
      <xdr:rowOff>33750</xdr:rowOff>
    </xdr:from>
    <xdr:ext cx="252000" cy="252000"/>
    <xdr:sp macro="[0]!Re_referrals" textlink="">
      <xdr:nvSpPr>
        <xdr:cNvPr id="39" name="Down Arrow 44">
          <a:extLst>
            <a:ext uri="{FF2B5EF4-FFF2-40B4-BE49-F238E27FC236}">
              <a16:creationId xmlns:a16="http://schemas.microsoft.com/office/drawing/2014/main" id="{00000000-0008-0000-1000-000027000000}"/>
            </a:ext>
          </a:extLst>
        </xdr:cNvPr>
        <xdr:cNvSpPr>
          <a:spLocks noChangeArrowheads="1"/>
        </xdr:cNvSpPr>
      </xdr:nvSpPr>
      <xdr:spPr bwMode="auto">
        <a:xfrm flipV="1">
          <a:off x="9277350" y="19931475"/>
          <a:ext cx="252000" cy="252000"/>
        </a:xfrm>
        <a:prstGeom prst="downArrow">
          <a:avLst>
            <a:gd name="adj1" fmla="val 50000"/>
            <a:gd name="adj2" fmla="val 50000"/>
          </a:avLst>
        </a:prstGeom>
        <a:solidFill>
          <a:srgbClr val="E46C0A"/>
        </a:solidFill>
        <a:ln w="25400" algn="ctr">
          <a:solidFill>
            <a:srgbClr val="984807"/>
          </a:solidFill>
          <a:miter lim="800000"/>
          <a:headEnd/>
          <a:tailEnd/>
        </a:ln>
      </xdr:spPr>
    </xdr:sp>
    <xdr:clientData/>
  </xdr:oneCellAnchor>
  <xdr:twoCellAnchor>
    <xdr:from>
      <xdr:col>10</xdr:col>
      <xdr:colOff>126000</xdr:colOff>
      <xdr:row>72</xdr:row>
      <xdr:rowOff>0</xdr:rowOff>
    </xdr:from>
    <xdr:to>
      <xdr:col>21</xdr:col>
      <xdr:colOff>0</xdr:colOff>
      <xdr:row>103</xdr:row>
      <xdr:rowOff>0</xdr:rowOff>
    </xdr:to>
    <xdr:graphicFrame macro="">
      <xdr:nvGraphicFramePr>
        <xdr:cNvPr id="40" name="Chart 176">
          <a:extLst>
            <a:ext uri="{FF2B5EF4-FFF2-40B4-BE49-F238E27FC236}">
              <a16:creationId xmlns:a16="http://schemas.microsoft.com/office/drawing/2014/main" id="{00000000-0008-0000-1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72</xdr:row>
      <xdr:rowOff>0</xdr:rowOff>
    </xdr:from>
    <xdr:to>
      <xdr:col>10</xdr:col>
      <xdr:colOff>121650</xdr:colOff>
      <xdr:row>103</xdr:row>
      <xdr:rowOff>0</xdr:rowOff>
    </xdr:to>
    <xdr:graphicFrame macro="">
      <xdr:nvGraphicFramePr>
        <xdr:cNvPr id="41" name="Chart 764">
          <a:extLst>
            <a:ext uri="{FF2B5EF4-FFF2-40B4-BE49-F238E27FC236}">
              <a16:creationId xmlns:a16="http://schemas.microsoft.com/office/drawing/2014/main" id="{00000000-0008-0000-10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66675</xdr:colOff>
      <xdr:row>0</xdr:row>
      <xdr:rowOff>193416</xdr:rowOff>
    </xdr:from>
    <xdr:to>
      <xdr:col>22</xdr:col>
      <xdr:colOff>371475</xdr:colOff>
      <xdr:row>2</xdr:row>
      <xdr:rowOff>47625</xdr:rowOff>
    </xdr:to>
    <xdr:pic macro="[0]!Home">
      <xdr:nvPicPr>
        <xdr:cNvPr id="45" name="Picture 44">
          <a:extLst>
            <a:ext uri="{FF2B5EF4-FFF2-40B4-BE49-F238E27FC236}">
              <a16:creationId xmlns:a16="http://schemas.microsoft.com/office/drawing/2014/main" id="{00000000-0008-0000-1000-00002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48775" y="193416"/>
          <a:ext cx="304800" cy="330459"/>
        </a:xfrm>
        <a:prstGeom prst="rect">
          <a:avLst/>
        </a:prstGeom>
      </xdr:spPr>
    </xdr:pic>
    <xdr:clientData/>
  </xdr:twoCellAnchor>
  <xdr:twoCellAnchor editAs="oneCell">
    <xdr:from>
      <xdr:col>22</xdr:col>
      <xdr:colOff>57150</xdr:colOff>
      <xdr:row>3</xdr:row>
      <xdr:rowOff>0</xdr:rowOff>
    </xdr:from>
    <xdr:to>
      <xdr:col>22</xdr:col>
      <xdr:colOff>304800</xdr:colOff>
      <xdr:row>4</xdr:row>
      <xdr:rowOff>133350</xdr:rowOff>
    </xdr:to>
    <xdr:sp macro="[0]!Referral_Source" textlink="">
      <xdr:nvSpPr>
        <xdr:cNvPr id="46" name="Right Arrow 45">
          <a:extLst>
            <a:ext uri="{FF2B5EF4-FFF2-40B4-BE49-F238E27FC236}">
              <a16:creationId xmlns:a16="http://schemas.microsoft.com/office/drawing/2014/main" id="{00000000-0008-0000-1000-00002E000000}"/>
            </a:ext>
          </a:extLst>
        </xdr:cNvPr>
        <xdr:cNvSpPr>
          <a:spLocks noChangeArrowheads="1"/>
        </xdr:cNvSpPr>
      </xdr:nvSpPr>
      <xdr:spPr bwMode="auto">
        <a:xfrm flipH="1">
          <a:off x="9239250" y="714375"/>
          <a:ext cx="247650" cy="276225"/>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editAs="oneCell">
    <xdr:from>
      <xdr:col>22</xdr:col>
      <xdr:colOff>133350</xdr:colOff>
      <xdr:row>5</xdr:row>
      <xdr:rowOff>46650</xdr:rowOff>
    </xdr:from>
    <xdr:to>
      <xdr:col>22</xdr:col>
      <xdr:colOff>381000</xdr:colOff>
      <xdr:row>6</xdr:row>
      <xdr:rowOff>152400</xdr:rowOff>
    </xdr:to>
    <xdr:sp macro="[0]!Assessments" textlink="">
      <xdr:nvSpPr>
        <xdr:cNvPr id="47" name="Right Arrow 50">
          <a:extLst>
            <a:ext uri="{FF2B5EF4-FFF2-40B4-BE49-F238E27FC236}">
              <a16:creationId xmlns:a16="http://schemas.microsoft.com/office/drawing/2014/main" id="{00000000-0008-0000-1000-00002F000000}"/>
            </a:ext>
          </a:extLst>
        </xdr:cNvPr>
        <xdr:cNvSpPr>
          <a:spLocks noChangeArrowheads="1"/>
        </xdr:cNvSpPr>
      </xdr:nvSpPr>
      <xdr:spPr bwMode="auto">
        <a:xfrm rot="10800000" flipH="1">
          <a:off x="9315450" y="1094400"/>
          <a:ext cx="247650" cy="277200"/>
        </a:xfrm>
        <a:prstGeom prst="rightArrow">
          <a:avLst>
            <a:gd name="adj1" fmla="val 50000"/>
            <a:gd name="adj2" fmla="val 50001"/>
          </a:avLst>
        </a:prstGeom>
        <a:solidFill>
          <a:srgbClr val="993300"/>
        </a:solidFill>
        <a:ln w="25400" algn="ctr">
          <a:solidFill>
            <a:srgbClr val="FB994F"/>
          </a:solidFill>
          <a:miter lim="800000"/>
          <a:headEnd/>
          <a:tailEnd/>
        </a:ln>
      </xdr:spPr>
    </xdr:sp>
    <xdr:clientData/>
  </xdr:twoCellAnchor>
  <xdr:twoCellAnchor>
    <xdr:from>
      <xdr:col>11</xdr:col>
      <xdr:colOff>1</xdr:colOff>
      <xdr:row>39</xdr:row>
      <xdr:rowOff>0</xdr:rowOff>
    </xdr:from>
    <xdr:to>
      <xdr:col>21</xdr:col>
      <xdr:colOff>1</xdr:colOff>
      <xdr:row>63</xdr:row>
      <xdr:rowOff>9526</xdr:rowOff>
    </xdr:to>
    <xdr:graphicFrame macro="">
      <xdr:nvGraphicFramePr>
        <xdr:cNvPr id="49" name="Chart 176">
          <a:extLst>
            <a:ext uri="{FF2B5EF4-FFF2-40B4-BE49-F238E27FC236}">
              <a16:creationId xmlns:a16="http://schemas.microsoft.com/office/drawing/2014/main" id="{00000000-0008-0000-1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180975</xdr:colOff>
      <xdr:row>64</xdr:row>
      <xdr:rowOff>47625</xdr:rowOff>
    </xdr:from>
    <xdr:to>
      <xdr:col>11</xdr:col>
      <xdr:colOff>257175</xdr:colOff>
      <xdr:row>64</xdr:row>
      <xdr:rowOff>123825</xdr:rowOff>
    </xdr:to>
    <xdr:sp macro="" textlink="">
      <xdr:nvSpPr>
        <xdr:cNvPr id="48" name="Oval 2165">
          <a:extLst>
            <a:ext uri="{FF2B5EF4-FFF2-40B4-BE49-F238E27FC236}">
              <a16:creationId xmlns:a16="http://schemas.microsoft.com/office/drawing/2014/main" id="{00000000-0008-0000-1000-000030000000}"/>
            </a:ext>
          </a:extLst>
        </xdr:cNvPr>
        <xdr:cNvSpPr>
          <a:spLocks noChangeArrowheads="1"/>
        </xdr:cNvSpPr>
      </xdr:nvSpPr>
      <xdr:spPr bwMode="auto">
        <a:xfrm>
          <a:off x="4895850" y="11334750"/>
          <a:ext cx="76200" cy="76200"/>
        </a:xfrm>
        <a:prstGeom prst="ellipse">
          <a:avLst/>
        </a:prstGeom>
        <a:solidFill>
          <a:srgbClr xmlns:mc="http://schemas.openxmlformats.org/markup-compatibility/2006" xmlns:a14="http://schemas.microsoft.com/office/drawing/2010/main" val="6FEB8D" mc:Ignorable="a14" a14:legacySpreadsheetColorIndex="11"/>
        </a:solidFill>
        <a:ln w="1270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11</xdr:col>
      <xdr:colOff>57150</xdr:colOff>
      <xdr:row>63</xdr:row>
      <xdr:rowOff>85725</xdr:rowOff>
    </xdr:from>
    <xdr:to>
      <xdr:col>11</xdr:col>
      <xdr:colOff>417150</xdr:colOff>
      <xdr:row>63</xdr:row>
      <xdr:rowOff>85725</xdr:rowOff>
    </xdr:to>
    <xdr:sp macro="" textlink="">
      <xdr:nvSpPr>
        <xdr:cNvPr id="50" name="Line 283">
          <a:extLst>
            <a:ext uri="{FF2B5EF4-FFF2-40B4-BE49-F238E27FC236}">
              <a16:creationId xmlns:a16="http://schemas.microsoft.com/office/drawing/2014/main" id="{00000000-0008-0000-1000-000032000000}"/>
            </a:ext>
          </a:extLst>
        </xdr:cNvPr>
        <xdr:cNvSpPr>
          <a:spLocks noChangeShapeType="1"/>
        </xdr:cNvSpPr>
      </xdr:nvSpPr>
      <xdr:spPr bwMode="auto">
        <a:xfrm>
          <a:off x="4772025" y="11201400"/>
          <a:ext cx="360000" cy="0"/>
        </a:xfrm>
        <a:prstGeom prst="line">
          <a:avLst/>
        </a:prstGeom>
        <a:noFill/>
        <a:ln w="15875">
          <a:solidFill>
            <a:srgbClr xmlns:mc="http://schemas.openxmlformats.org/markup-compatibility/2006" xmlns:a14="http://schemas.microsoft.com/office/drawing/2010/main" val="BA1400" mc:Ignorable="a14" a14:legacySpreadsheetColorIndex="37"/>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228600</xdr:colOff>
      <xdr:row>63</xdr:row>
      <xdr:rowOff>47625</xdr:rowOff>
    </xdr:from>
    <xdr:to>
      <xdr:col>16</xdr:col>
      <xdr:colOff>304800</xdr:colOff>
      <xdr:row>63</xdr:row>
      <xdr:rowOff>123825</xdr:rowOff>
    </xdr:to>
    <xdr:sp macro="" textlink="">
      <xdr:nvSpPr>
        <xdr:cNvPr id="51" name="Oval 2164">
          <a:extLst>
            <a:ext uri="{FF2B5EF4-FFF2-40B4-BE49-F238E27FC236}">
              <a16:creationId xmlns:a16="http://schemas.microsoft.com/office/drawing/2014/main" id="{00000000-0008-0000-1000-000033000000}"/>
            </a:ext>
          </a:extLst>
        </xdr:cNvPr>
        <xdr:cNvSpPr>
          <a:spLocks noChangeArrowheads="1"/>
        </xdr:cNvSpPr>
      </xdr:nvSpPr>
      <xdr:spPr bwMode="auto">
        <a:xfrm>
          <a:off x="7248525" y="11163300"/>
          <a:ext cx="76200" cy="76200"/>
        </a:xfrm>
        <a:prstGeom prst="ellipse">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BA1400" mc:Ignorable="a14" a14:legacySpreadsheetColorIndex="37"/>
          </a:solidFill>
          <a:round/>
          <a:headEnd/>
          <a:tailEnd/>
        </a:ln>
      </xdr:spPr>
    </xdr:sp>
    <xdr:clientData/>
  </xdr:twoCellAnchor>
  <xdr:twoCellAnchor>
    <xdr:from>
      <xdr:col>16</xdr:col>
      <xdr:colOff>66675</xdr:colOff>
      <xdr:row>64</xdr:row>
      <xdr:rowOff>85724</xdr:rowOff>
    </xdr:from>
    <xdr:to>
      <xdr:col>16</xdr:col>
      <xdr:colOff>426675</xdr:colOff>
      <xdr:row>64</xdr:row>
      <xdr:rowOff>85724</xdr:rowOff>
    </xdr:to>
    <xdr:sp macro="" textlink="">
      <xdr:nvSpPr>
        <xdr:cNvPr id="52" name="Line 283">
          <a:extLst>
            <a:ext uri="{FF2B5EF4-FFF2-40B4-BE49-F238E27FC236}">
              <a16:creationId xmlns:a16="http://schemas.microsoft.com/office/drawing/2014/main" id="{00000000-0008-0000-1000-000034000000}"/>
            </a:ext>
          </a:extLst>
        </xdr:cNvPr>
        <xdr:cNvSpPr>
          <a:spLocks noChangeShapeType="1"/>
        </xdr:cNvSpPr>
      </xdr:nvSpPr>
      <xdr:spPr bwMode="auto">
        <a:xfrm>
          <a:off x="7086600" y="11372849"/>
          <a:ext cx="360000" cy="0"/>
        </a:xfrm>
        <a:prstGeom prst="line">
          <a:avLst/>
        </a:prstGeom>
        <a:noFill/>
        <a:ln w="15875">
          <a:solidFill>
            <a:schemeClr val="tx1">
              <a:lumMod val="75000"/>
              <a:lumOff val="25000"/>
            </a:schemeClr>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hildren's%20Social%20Care\2.%20LA%20Benchmarking\2.%20Children's%20Social%20Care\Benchmarking%20Reports%20(working%20files)\Quarterly%20Reports\2017-18%20Q1\(Restricted)%20Quarterly%20Benchmarking%20Report%202017-18%20Q1%20S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ildren's%20Social%20Care/2.%20LA%20Benchmarking/3.%20SEND/Report%20Working/2019%2010-%20SEN2/2019-10%20SEND%20Benchmarking%20Repor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hildren's%20Social%20Care/2.%20LA%20Benchmarking/2.%20Children's%20Social%20Care/1.%20CSC%20Benchmarking%20Reports/Quarterly%20Reports/2019-20%20Q2/(Restricted)%20Quarterly%20Benchmarking%20Report%202019-20%20Q2%20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page"/>
      <sheetName val="Home"/>
      <sheetName val="Coverage"/>
      <sheetName val="IDACI"/>
      <sheetName val="Population"/>
      <sheetName val="EH_Referrals"/>
      <sheetName val="EH_Assessments"/>
      <sheetName val="EH_Clients"/>
      <sheetName val="Sheet1"/>
      <sheetName val="Referrals"/>
      <sheetName val="Referral_Source"/>
      <sheetName val="Re-referrals"/>
      <sheetName val="Assessments"/>
      <sheetName val="Children in Need"/>
      <sheetName val="Section 47 Enquiries"/>
      <sheetName val="Initial CP Conferences"/>
      <sheetName val="Child Protection Plans"/>
      <sheetName val="Court Applications"/>
      <sheetName val="Looked After Children"/>
      <sheetName val="Adoption"/>
      <sheetName val="ROSGO"/>
    </sheetNames>
    <sheetDataSet>
      <sheetData sheetId="0"/>
      <sheetData sheetId="1">
        <row r="15">
          <cell r="J15" t="str">
            <v>Bracknell Forest</v>
          </cell>
        </row>
        <row r="16">
          <cell r="J16" t="str">
            <v>Brighton &amp; Hove</v>
          </cell>
        </row>
        <row r="17">
          <cell r="J17" t="str">
            <v>Buckinghamshire</v>
          </cell>
        </row>
        <row r="18">
          <cell r="J18" t="str">
            <v>East Sussex</v>
          </cell>
        </row>
        <row r="19">
          <cell r="J19" t="str">
            <v>Hampshire</v>
          </cell>
        </row>
        <row r="20">
          <cell r="J20" t="str">
            <v>Isle of Wight</v>
          </cell>
        </row>
        <row r="21">
          <cell r="J21" t="str">
            <v>Kent</v>
          </cell>
        </row>
        <row r="22">
          <cell r="J22" t="str">
            <v>Medway</v>
          </cell>
        </row>
        <row r="23">
          <cell r="J23" t="str">
            <v>Milton Keynes</v>
          </cell>
        </row>
        <row r="24">
          <cell r="J24" t="str">
            <v>Oxfordshire</v>
          </cell>
        </row>
        <row r="25">
          <cell r="J25" t="str">
            <v>Portsmouth</v>
          </cell>
        </row>
        <row r="26">
          <cell r="J26" t="str">
            <v>Reading</v>
          </cell>
        </row>
        <row r="27">
          <cell r="J27" t="str">
            <v>Slough</v>
          </cell>
        </row>
        <row r="28">
          <cell r="J28" t="str">
            <v>Somerset</v>
          </cell>
        </row>
        <row r="29">
          <cell r="J29" t="str">
            <v>Southampton</v>
          </cell>
        </row>
        <row r="30">
          <cell r="J30" t="str">
            <v>Surrey</v>
          </cell>
        </row>
        <row r="31">
          <cell r="J31" t="str">
            <v>Swindon</v>
          </cell>
        </row>
        <row r="32">
          <cell r="J32" t="str">
            <v>Torbay</v>
          </cell>
        </row>
        <row r="33">
          <cell r="J33" t="str">
            <v>West Berkshire</v>
          </cell>
        </row>
        <row r="34">
          <cell r="J34" t="str">
            <v>West Sussex</v>
          </cell>
        </row>
        <row r="35">
          <cell r="J35" t="str">
            <v>Windsor &amp; Maidenhead</v>
          </cell>
        </row>
        <row r="36">
          <cell r="J36" t="str">
            <v>Wokingham</v>
          </cell>
        </row>
        <row r="37">
          <cell r="J37" t="str">
            <v>(None)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Year4"/>
      <sheetName val="Year5"/>
      <sheetName val="SESLIPWarn"/>
      <sheetName val="Frontpage"/>
      <sheetName val="Home"/>
      <sheetName val="MaintainedPlans"/>
      <sheetName val="PersonalBudgets"/>
      <sheetName val="HNB"/>
      <sheetName val="PrimaryNeed"/>
      <sheetName val="GenderRate"/>
      <sheetName val="GenderVsPrimaryNeed"/>
      <sheetName val="Ethnicity"/>
      <sheetName val="EthVsPrimaryNeed"/>
      <sheetName val="AgeRate"/>
      <sheetName val="AgeVsPrimaryNeed"/>
      <sheetName val="SocialCare"/>
      <sheetName val="SocialCareVsPrimaryNeed"/>
      <sheetName val="Placement"/>
      <sheetName val="EducatedOutOfYear"/>
      <sheetName val="AllRequests"/>
      <sheetName val="RepeatRequests6m"/>
      <sheetName val="RequestSource"/>
      <sheetName val="NewPlans"/>
      <sheetName val="ActivitySummary"/>
      <sheetName val="Appendix"/>
      <sheetName val="2019-10 SEND Benchmarking Repor"/>
    </sheetNames>
    <sheetDataSet>
      <sheetData sheetId="0" refreshError="1"/>
      <sheetData sheetId="1">
        <row r="2">
          <cell r="F2">
            <v>775</v>
          </cell>
          <cell r="G2">
            <v>1486</v>
          </cell>
          <cell r="H2">
            <v>4054</v>
          </cell>
          <cell r="I2">
            <v>3434</v>
          </cell>
          <cell r="J2">
            <v>8271</v>
          </cell>
          <cell r="K2">
            <v>1056</v>
          </cell>
          <cell r="L2">
            <v>11763</v>
          </cell>
          <cell r="M2">
            <v>2126</v>
          </cell>
          <cell r="N2">
            <v>1807</v>
          </cell>
          <cell r="O2">
            <v>3554</v>
          </cell>
          <cell r="P2">
            <v>1513</v>
          </cell>
          <cell r="Q2">
            <v>1282</v>
          </cell>
          <cell r="R2">
            <v>1350</v>
          </cell>
          <cell r="S2">
            <v>1522</v>
          </cell>
          <cell r="T2">
            <v>8732</v>
          </cell>
          <cell r="U2">
            <v>971</v>
          </cell>
          <cell r="V2">
            <v>5297</v>
          </cell>
          <cell r="W2">
            <v>933</v>
          </cell>
          <cell r="X2">
            <v>934</v>
          </cell>
          <cell r="Y2">
            <v>60860</v>
          </cell>
          <cell r="Z2">
            <v>353995</v>
          </cell>
        </row>
        <row r="3">
          <cell r="F3">
            <v>0</v>
          </cell>
          <cell r="H3">
            <v>0</v>
          </cell>
          <cell r="I3">
            <v>0</v>
          </cell>
          <cell r="J3">
            <v>1</v>
          </cell>
          <cell r="K3">
            <v>0</v>
          </cell>
          <cell r="L3">
            <v>0</v>
          </cell>
          <cell r="M3">
            <v>0</v>
          </cell>
          <cell r="N3">
            <v>0</v>
          </cell>
          <cell r="P3">
            <v>0</v>
          </cell>
          <cell r="Q3">
            <v>0</v>
          </cell>
          <cell r="T3">
            <v>1</v>
          </cell>
          <cell r="U3">
            <v>0</v>
          </cell>
          <cell r="X3">
            <v>0</v>
          </cell>
          <cell r="Y3">
            <v>2</v>
          </cell>
        </row>
        <row r="4">
          <cell r="H4">
            <v>1787</v>
          </cell>
          <cell r="I4">
            <v>1455</v>
          </cell>
          <cell r="J4">
            <v>3758</v>
          </cell>
          <cell r="K4">
            <v>610</v>
          </cell>
          <cell r="L4">
            <v>11763</v>
          </cell>
          <cell r="M4">
            <v>2126</v>
          </cell>
          <cell r="N4">
            <v>735</v>
          </cell>
          <cell r="P4">
            <v>813</v>
          </cell>
          <cell r="Q4">
            <v>623</v>
          </cell>
          <cell r="T4">
            <v>3998</v>
          </cell>
          <cell r="U4">
            <v>424</v>
          </cell>
          <cell r="Y4">
            <v>28092</v>
          </cell>
        </row>
        <row r="5">
          <cell r="H5">
            <v>2267</v>
          </cell>
          <cell r="I5">
            <v>1979</v>
          </cell>
          <cell r="J5">
            <v>4512</v>
          </cell>
          <cell r="K5">
            <v>446</v>
          </cell>
          <cell r="L5">
            <v>0</v>
          </cell>
          <cell r="N5">
            <v>1075</v>
          </cell>
          <cell r="P5">
            <v>700</v>
          </cell>
          <cell r="Q5">
            <v>659</v>
          </cell>
          <cell r="T5">
            <v>4733</v>
          </cell>
          <cell r="U5">
            <v>544</v>
          </cell>
          <cell r="Y5">
            <v>16915</v>
          </cell>
        </row>
        <row r="6">
          <cell r="F6">
            <v>21</v>
          </cell>
          <cell r="G6">
            <v>6</v>
          </cell>
          <cell r="H6">
            <v>15</v>
          </cell>
          <cell r="I6">
            <v>160</v>
          </cell>
          <cell r="J6">
            <v>31</v>
          </cell>
          <cell r="K6">
            <v>25</v>
          </cell>
          <cell r="L6">
            <v>16</v>
          </cell>
          <cell r="M6">
            <v>136</v>
          </cell>
          <cell r="N6">
            <v>158</v>
          </cell>
          <cell r="O6">
            <v>235</v>
          </cell>
          <cell r="P6">
            <v>102</v>
          </cell>
          <cell r="Q6">
            <v>0</v>
          </cell>
          <cell r="R6">
            <v>6</v>
          </cell>
          <cell r="S6">
            <v>99</v>
          </cell>
          <cell r="T6">
            <v>29</v>
          </cell>
          <cell r="U6">
            <v>75</v>
          </cell>
          <cell r="V6">
            <v>15</v>
          </cell>
          <cell r="W6">
            <v>69</v>
          </cell>
          <cell r="X6">
            <v>77</v>
          </cell>
          <cell r="Y6">
            <v>1275</v>
          </cell>
          <cell r="Z6">
            <v>15712</v>
          </cell>
        </row>
        <row r="7">
          <cell r="H7">
            <v>3724</v>
          </cell>
          <cell r="I7">
            <v>2979</v>
          </cell>
          <cell r="J7">
            <v>8271</v>
          </cell>
          <cell r="K7">
            <v>1056</v>
          </cell>
          <cell r="M7">
            <v>1438</v>
          </cell>
          <cell r="N7">
            <v>1810</v>
          </cell>
          <cell r="Q7">
            <v>1066</v>
          </cell>
          <cell r="T7">
            <v>5009</v>
          </cell>
          <cell r="U7">
            <v>968</v>
          </cell>
          <cell r="Y7">
            <v>26321</v>
          </cell>
        </row>
        <row r="8">
          <cell r="F8">
            <v>128</v>
          </cell>
          <cell r="H8">
            <v>559</v>
          </cell>
          <cell r="I8">
            <v>605</v>
          </cell>
          <cell r="J8">
            <v>1672</v>
          </cell>
          <cell r="K8">
            <v>97</v>
          </cell>
          <cell r="L8">
            <v>2091</v>
          </cell>
          <cell r="M8">
            <v>318</v>
          </cell>
          <cell r="N8">
            <v>246</v>
          </cell>
          <cell r="P8">
            <v>322</v>
          </cell>
          <cell r="Q8">
            <v>242</v>
          </cell>
          <cell r="T8">
            <v>1248</v>
          </cell>
          <cell r="U8">
            <v>125</v>
          </cell>
          <cell r="X8">
            <v>170</v>
          </cell>
          <cell r="Y8">
            <v>7823</v>
          </cell>
        </row>
        <row r="9">
          <cell r="F9">
            <v>285</v>
          </cell>
          <cell r="H9">
            <v>1142</v>
          </cell>
          <cell r="I9">
            <v>967</v>
          </cell>
          <cell r="J9">
            <v>1197</v>
          </cell>
          <cell r="K9">
            <v>121</v>
          </cell>
          <cell r="L9">
            <v>4741</v>
          </cell>
          <cell r="M9">
            <v>646</v>
          </cell>
          <cell r="N9">
            <v>634</v>
          </cell>
          <cell r="P9">
            <v>284</v>
          </cell>
          <cell r="Q9">
            <v>445</v>
          </cell>
          <cell r="T9">
            <v>2964</v>
          </cell>
          <cell r="U9">
            <v>438</v>
          </cell>
          <cell r="X9">
            <v>374</v>
          </cell>
          <cell r="Y9">
            <v>14238</v>
          </cell>
        </row>
        <row r="10">
          <cell r="F10">
            <v>90</v>
          </cell>
          <cell r="H10">
            <v>859</v>
          </cell>
          <cell r="I10">
            <v>682</v>
          </cell>
          <cell r="J10">
            <v>1257</v>
          </cell>
          <cell r="K10">
            <v>228</v>
          </cell>
          <cell r="L10">
            <v>1809</v>
          </cell>
          <cell r="M10">
            <v>240</v>
          </cell>
          <cell r="N10">
            <v>233</v>
          </cell>
          <cell r="P10">
            <v>364</v>
          </cell>
          <cell r="Q10">
            <v>161</v>
          </cell>
          <cell r="T10">
            <v>1592</v>
          </cell>
          <cell r="U10">
            <v>55</v>
          </cell>
          <cell r="X10">
            <v>69</v>
          </cell>
          <cell r="Y10">
            <v>7639</v>
          </cell>
        </row>
        <row r="11">
          <cell r="F11">
            <v>20</v>
          </cell>
          <cell r="H11">
            <v>134</v>
          </cell>
          <cell r="I11">
            <v>172</v>
          </cell>
          <cell r="J11">
            <v>209</v>
          </cell>
          <cell r="K11">
            <v>11</v>
          </cell>
          <cell r="L11">
            <v>194</v>
          </cell>
          <cell r="M11">
            <v>80</v>
          </cell>
          <cell r="N11">
            <v>12</v>
          </cell>
          <cell r="P11">
            <v>52</v>
          </cell>
          <cell r="Q11">
            <v>11</v>
          </cell>
          <cell r="T11">
            <v>349</v>
          </cell>
          <cell r="U11">
            <v>38</v>
          </cell>
          <cell r="X11">
            <v>21</v>
          </cell>
          <cell r="Y11">
            <v>1303</v>
          </cell>
        </row>
        <row r="12">
          <cell r="F12">
            <v>133</v>
          </cell>
          <cell r="H12">
            <v>701</v>
          </cell>
          <cell r="I12">
            <v>473</v>
          </cell>
          <cell r="J12">
            <v>2334</v>
          </cell>
          <cell r="K12">
            <v>88</v>
          </cell>
          <cell r="L12">
            <v>823</v>
          </cell>
          <cell r="M12">
            <v>421</v>
          </cell>
          <cell r="N12">
            <v>349</v>
          </cell>
          <cell r="P12">
            <v>244</v>
          </cell>
          <cell r="Q12">
            <v>190</v>
          </cell>
          <cell r="T12">
            <v>1305</v>
          </cell>
          <cell r="U12">
            <v>147</v>
          </cell>
          <cell r="X12">
            <v>91</v>
          </cell>
          <cell r="Y12">
            <v>7299</v>
          </cell>
        </row>
        <row r="13">
          <cell r="F13">
            <v>46</v>
          </cell>
          <cell r="H13">
            <v>153</v>
          </cell>
          <cell r="I13">
            <v>142</v>
          </cell>
          <cell r="J13">
            <v>597</v>
          </cell>
          <cell r="K13">
            <v>24</v>
          </cell>
          <cell r="L13">
            <v>889</v>
          </cell>
          <cell r="M13">
            <v>161</v>
          </cell>
          <cell r="N13">
            <v>76</v>
          </cell>
          <cell r="P13">
            <v>71</v>
          </cell>
          <cell r="Q13">
            <v>44</v>
          </cell>
          <cell r="T13">
            <v>461</v>
          </cell>
          <cell r="U13">
            <v>17</v>
          </cell>
          <cell r="X13">
            <v>89</v>
          </cell>
          <cell r="Y13">
            <v>2770</v>
          </cell>
        </row>
        <row r="14">
          <cell r="F14">
            <v>9</v>
          </cell>
          <cell r="H14">
            <v>51</v>
          </cell>
          <cell r="I14">
            <v>89</v>
          </cell>
          <cell r="J14">
            <v>130</v>
          </cell>
          <cell r="K14">
            <v>7</v>
          </cell>
          <cell r="L14">
            <v>359</v>
          </cell>
          <cell r="M14">
            <v>15</v>
          </cell>
          <cell r="N14">
            <v>28</v>
          </cell>
          <cell r="P14">
            <v>32</v>
          </cell>
          <cell r="Q14">
            <v>59</v>
          </cell>
          <cell r="T14">
            <v>101</v>
          </cell>
          <cell r="U14">
            <v>19</v>
          </cell>
          <cell r="X14">
            <v>35</v>
          </cell>
          <cell r="Y14">
            <v>934</v>
          </cell>
        </row>
        <row r="15">
          <cell r="F15">
            <v>43</v>
          </cell>
          <cell r="H15">
            <v>274</v>
          </cell>
          <cell r="I15">
            <v>213</v>
          </cell>
          <cell r="J15">
            <v>493</v>
          </cell>
          <cell r="K15">
            <v>23</v>
          </cell>
          <cell r="L15">
            <v>559</v>
          </cell>
          <cell r="M15">
            <v>76</v>
          </cell>
          <cell r="N15">
            <v>104</v>
          </cell>
          <cell r="P15">
            <v>78</v>
          </cell>
          <cell r="Q15">
            <v>66</v>
          </cell>
          <cell r="T15">
            <v>319</v>
          </cell>
          <cell r="U15">
            <v>78</v>
          </cell>
          <cell r="X15">
            <v>54</v>
          </cell>
          <cell r="Y15">
            <v>2380</v>
          </cell>
        </row>
        <row r="16">
          <cell r="F16">
            <v>9</v>
          </cell>
          <cell r="H16">
            <v>93</v>
          </cell>
          <cell r="I16">
            <v>58</v>
          </cell>
          <cell r="J16">
            <v>155</v>
          </cell>
          <cell r="K16">
            <v>15</v>
          </cell>
          <cell r="L16">
            <v>182</v>
          </cell>
          <cell r="M16">
            <v>48</v>
          </cell>
          <cell r="N16">
            <v>53</v>
          </cell>
          <cell r="P16">
            <v>24</v>
          </cell>
          <cell r="Q16">
            <v>33</v>
          </cell>
          <cell r="T16">
            <v>135</v>
          </cell>
          <cell r="U16">
            <v>41</v>
          </cell>
          <cell r="X16">
            <v>26</v>
          </cell>
          <cell r="Y16">
            <v>872</v>
          </cell>
        </row>
        <row r="17">
          <cell r="F17">
            <v>8</v>
          </cell>
          <cell r="H17">
            <v>65</v>
          </cell>
          <cell r="I17">
            <v>27</v>
          </cell>
          <cell r="J17">
            <v>130</v>
          </cell>
          <cell r="K17">
            <v>21</v>
          </cell>
          <cell r="L17">
            <v>97</v>
          </cell>
          <cell r="M17">
            <v>26</v>
          </cell>
          <cell r="N17">
            <v>28</v>
          </cell>
          <cell r="P17">
            <v>41</v>
          </cell>
          <cell r="Q17">
            <v>31</v>
          </cell>
          <cell r="T17">
            <v>92</v>
          </cell>
          <cell r="U17">
            <v>9</v>
          </cell>
          <cell r="X17">
            <v>3</v>
          </cell>
          <cell r="Y17">
            <v>578</v>
          </cell>
        </row>
        <row r="18">
          <cell r="F18">
            <v>2</v>
          </cell>
          <cell r="H18">
            <v>20</v>
          </cell>
          <cell r="I18">
            <v>6</v>
          </cell>
          <cell r="J18">
            <v>2</v>
          </cell>
          <cell r="L18">
            <v>6</v>
          </cell>
          <cell r="M18">
            <v>3</v>
          </cell>
          <cell r="N18">
            <v>8</v>
          </cell>
          <cell r="P18">
            <v>1</v>
          </cell>
          <cell r="Q18">
            <v>0</v>
          </cell>
          <cell r="T18">
            <v>31</v>
          </cell>
          <cell r="U18">
            <v>1</v>
          </cell>
          <cell r="X18">
            <v>2</v>
          </cell>
          <cell r="Y18">
            <v>82</v>
          </cell>
        </row>
        <row r="19">
          <cell r="F19">
            <v>0</v>
          </cell>
          <cell r="H19">
            <v>1</v>
          </cell>
          <cell r="I19">
            <v>0</v>
          </cell>
          <cell r="J19">
            <v>0</v>
          </cell>
          <cell r="K19">
            <v>0</v>
          </cell>
          <cell r="L19">
            <v>11</v>
          </cell>
          <cell r="M19">
            <v>22</v>
          </cell>
          <cell r="N19">
            <v>33</v>
          </cell>
          <cell r="P19">
            <v>0</v>
          </cell>
          <cell r="Q19">
            <v>0</v>
          </cell>
          <cell r="T19">
            <v>135</v>
          </cell>
          <cell r="Y19">
            <v>202</v>
          </cell>
        </row>
        <row r="20">
          <cell r="F20">
            <v>209</v>
          </cell>
          <cell r="H20">
            <v>1146</v>
          </cell>
          <cell r="I20">
            <v>914</v>
          </cell>
          <cell r="J20">
            <v>2225</v>
          </cell>
          <cell r="K20">
            <v>284</v>
          </cell>
          <cell r="L20">
            <v>3056</v>
          </cell>
          <cell r="M20">
            <v>620</v>
          </cell>
          <cell r="N20">
            <v>454</v>
          </cell>
          <cell r="P20">
            <v>396</v>
          </cell>
          <cell r="Q20">
            <v>349</v>
          </cell>
          <cell r="T20">
            <v>2326</v>
          </cell>
          <cell r="U20">
            <v>243</v>
          </cell>
          <cell r="X20">
            <v>258</v>
          </cell>
          <cell r="Y20">
            <v>12480</v>
          </cell>
        </row>
        <row r="21">
          <cell r="F21">
            <v>566</v>
          </cell>
          <cell r="H21">
            <v>2908</v>
          </cell>
          <cell r="I21">
            <v>2520</v>
          </cell>
          <cell r="J21">
            <v>6045</v>
          </cell>
          <cell r="K21">
            <v>772</v>
          </cell>
          <cell r="L21">
            <v>8705</v>
          </cell>
          <cell r="M21">
            <v>1506</v>
          </cell>
          <cell r="N21">
            <v>1356</v>
          </cell>
          <cell r="P21">
            <v>1117</v>
          </cell>
          <cell r="Q21">
            <v>933</v>
          </cell>
          <cell r="T21">
            <v>6406</v>
          </cell>
          <cell r="U21">
            <v>725</v>
          </cell>
          <cell r="X21">
            <v>676</v>
          </cell>
          <cell r="Y21">
            <v>34235</v>
          </cell>
        </row>
        <row r="22">
          <cell r="F22">
            <v>0</v>
          </cell>
          <cell r="H22">
            <v>0</v>
          </cell>
          <cell r="I22">
            <v>0</v>
          </cell>
          <cell r="J22">
            <v>1</v>
          </cell>
          <cell r="N22">
            <v>0</v>
          </cell>
          <cell r="P22">
            <v>0</v>
          </cell>
          <cell r="Q22">
            <v>0</v>
          </cell>
          <cell r="T22">
            <v>0</v>
          </cell>
          <cell r="Y22">
            <v>1</v>
          </cell>
        </row>
        <row r="23">
          <cell r="F23">
            <v>19</v>
          </cell>
          <cell r="H23">
            <v>108</v>
          </cell>
          <cell r="I23">
            <v>103</v>
          </cell>
          <cell r="J23">
            <v>282</v>
          </cell>
          <cell r="K23">
            <v>14</v>
          </cell>
          <cell r="L23">
            <v>412</v>
          </cell>
          <cell r="M23">
            <v>76</v>
          </cell>
          <cell r="N23">
            <v>46</v>
          </cell>
          <cell r="P23">
            <v>59</v>
          </cell>
          <cell r="Q23">
            <v>49</v>
          </cell>
          <cell r="T23">
            <v>268</v>
          </cell>
          <cell r="U23">
            <v>20</v>
          </cell>
          <cell r="X23">
            <v>32</v>
          </cell>
          <cell r="Y23">
            <v>1488</v>
          </cell>
        </row>
        <row r="24">
          <cell r="F24">
            <v>48</v>
          </cell>
          <cell r="H24">
            <v>201</v>
          </cell>
          <cell r="I24">
            <v>144</v>
          </cell>
          <cell r="J24">
            <v>186</v>
          </cell>
          <cell r="K24">
            <v>26</v>
          </cell>
          <cell r="L24">
            <v>879</v>
          </cell>
          <cell r="M24">
            <v>131</v>
          </cell>
          <cell r="N24">
            <v>92</v>
          </cell>
          <cell r="P24">
            <v>36</v>
          </cell>
          <cell r="Q24">
            <v>89</v>
          </cell>
          <cell r="T24">
            <v>512</v>
          </cell>
          <cell r="U24">
            <v>55</v>
          </cell>
          <cell r="X24">
            <v>63</v>
          </cell>
          <cell r="Y24">
            <v>2462</v>
          </cell>
        </row>
        <row r="25">
          <cell r="F25">
            <v>29</v>
          </cell>
          <cell r="H25">
            <v>253</v>
          </cell>
          <cell r="I25">
            <v>192</v>
          </cell>
          <cell r="J25">
            <v>303</v>
          </cell>
          <cell r="K25">
            <v>53</v>
          </cell>
          <cell r="L25">
            <v>523</v>
          </cell>
          <cell r="M25">
            <v>60</v>
          </cell>
          <cell r="N25">
            <v>60</v>
          </cell>
          <cell r="P25">
            <v>91</v>
          </cell>
          <cell r="Q25">
            <v>40</v>
          </cell>
          <cell r="T25">
            <v>449</v>
          </cell>
          <cell r="U25">
            <v>14</v>
          </cell>
          <cell r="X25">
            <v>18</v>
          </cell>
          <cell r="Y25">
            <v>2085</v>
          </cell>
        </row>
        <row r="26">
          <cell r="F26">
            <v>6</v>
          </cell>
          <cell r="H26">
            <v>32</v>
          </cell>
          <cell r="I26">
            <v>48</v>
          </cell>
          <cell r="J26">
            <v>45</v>
          </cell>
          <cell r="K26">
            <v>4</v>
          </cell>
          <cell r="L26">
            <v>47</v>
          </cell>
          <cell r="M26">
            <v>29</v>
          </cell>
          <cell r="N26">
            <v>3</v>
          </cell>
          <cell r="P26">
            <v>13</v>
          </cell>
          <cell r="Q26">
            <v>3</v>
          </cell>
          <cell r="T26">
            <v>81</v>
          </cell>
          <cell r="U26">
            <v>12</v>
          </cell>
          <cell r="X26">
            <v>6</v>
          </cell>
          <cell r="Y26">
            <v>329</v>
          </cell>
        </row>
        <row r="27">
          <cell r="F27">
            <v>61</v>
          </cell>
          <cell r="H27">
            <v>283</v>
          </cell>
          <cell r="I27">
            <v>198</v>
          </cell>
          <cell r="J27">
            <v>796</v>
          </cell>
          <cell r="K27">
            <v>32</v>
          </cell>
          <cell r="L27">
            <v>318</v>
          </cell>
          <cell r="M27">
            <v>170</v>
          </cell>
          <cell r="N27">
            <v>123</v>
          </cell>
          <cell r="P27">
            <v>97</v>
          </cell>
          <cell r="Q27">
            <v>71</v>
          </cell>
          <cell r="T27">
            <v>500</v>
          </cell>
          <cell r="U27">
            <v>59</v>
          </cell>
          <cell r="X27">
            <v>38</v>
          </cell>
          <cell r="Y27">
            <v>2746</v>
          </cell>
        </row>
        <row r="28">
          <cell r="F28">
            <v>23</v>
          </cell>
          <cell r="H28">
            <v>68</v>
          </cell>
          <cell r="I28">
            <v>65</v>
          </cell>
          <cell r="J28">
            <v>197</v>
          </cell>
          <cell r="K28">
            <v>11</v>
          </cell>
          <cell r="L28">
            <v>380</v>
          </cell>
          <cell r="M28">
            <v>52</v>
          </cell>
          <cell r="N28">
            <v>25</v>
          </cell>
          <cell r="P28">
            <v>30</v>
          </cell>
          <cell r="Q28">
            <v>21</v>
          </cell>
          <cell r="T28">
            <v>181</v>
          </cell>
          <cell r="U28">
            <v>8</v>
          </cell>
          <cell r="X28">
            <v>37</v>
          </cell>
          <cell r="Y28">
            <v>1098</v>
          </cell>
        </row>
        <row r="29">
          <cell r="F29">
            <v>5</v>
          </cell>
          <cell r="H29">
            <v>22</v>
          </cell>
          <cell r="I29">
            <v>46</v>
          </cell>
          <cell r="J29">
            <v>65</v>
          </cell>
          <cell r="K29">
            <v>4</v>
          </cell>
          <cell r="L29">
            <v>153</v>
          </cell>
          <cell r="M29">
            <v>7</v>
          </cell>
          <cell r="N29">
            <v>11</v>
          </cell>
          <cell r="P29">
            <v>14</v>
          </cell>
          <cell r="Q29">
            <v>27</v>
          </cell>
          <cell r="T29">
            <v>44</v>
          </cell>
          <cell r="U29">
            <v>11</v>
          </cell>
          <cell r="X29">
            <v>22</v>
          </cell>
          <cell r="Y29">
            <v>431</v>
          </cell>
        </row>
        <row r="30">
          <cell r="F30">
            <v>10</v>
          </cell>
          <cell r="H30">
            <v>116</v>
          </cell>
          <cell r="I30">
            <v>83</v>
          </cell>
          <cell r="J30">
            <v>192</v>
          </cell>
          <cell r="K30">
            <v>10</v>
          </cell>
          <cell r="L30">
            <v>213</v>
          </cell>
          <cell r="M30">
            <v>35</v>
          </cell>
          <cell r="N30">
            <v>41</v>
          </cell>
          <cell r="P30">
            <v>31</v>
          </cell>
          <cell r="Q30">
            <v>24</v>
          </cell>
          <cell r="T30">
            <v>131</v>
          </cell>
          <cell r="U30">
            <v>41</v>
          </cell>
          <cell r="X30">
            <v>27</v>
          </cell>
          <cell r="Y30">
            <v>954</v>
          </cell>
        </row>
        <row r="31">
          <cell r="F31">
            <v>3</v>
          </cell>
          <cell r="H31">
            <v>39</v>
          </cell>
          <cell r="I31">
            <v>25</v>
          </cell>
          <cell r="J31">
            <v>71</v>
          </cell>
          <cell r="K31">
            <v>9</v>
          </cell>
          <cell r="L31">
            <v>74</v>
          </cell>
          <cell r="M31">
            <v>18</v>
          </cell>
          <cell r="N31">
            <v>19</v>
          </cell>
          <cell r="P31">
            <v>8</v>
          </cell>
          <cell r="Q31">
            <v>12</v>
          </cell>
          <cell r="T31">
            <v>55</v>
          </cell>
          <cell r="U31">
            <v>16</v>
          </cell>
          <cell r="X31">
            <v>14</v>
          </cell>
          <cell r="Y31">
            <v>363</v>
          </cell>
        </row>
        <row r="32">
          <cell r="F32">
            <v>3</v>
          </cell>
          <cell r="H32">
            <v>17</v>
          </cell>
          <cell r="I32">
            <v>9</v>
          </cell>
          <cell r="J32">
            <v>58</v>
          </cell>
          <cell r="K32">
            <v>10</v>
          </cell>
          <cell r="L32">
            <v>47</v>
          </cell>
          <cell r="M32">
            <v>15</v>
          </cell>
          <cell r="N32">
            <v>10</v>
          </cell>
          <cell r="P32">
            <v>16</v>
          </cell>
          <cell r="Q32">
            <v>13</v>
          </cell>
          <cell r="T32">
            <v>48</v>
          </cell>
          <cell r="U32">
            <v>6</v>
          </cell>
          <cell r="Y32">
            <v>252</v>
          </cell>
        </row>
        <row r="33">
          <cell r="F33">
            <v>0</v>
          </cell>
          <cell r="H33">
            <v>5</v>
          </cell>
          <cell r="I33">
            <v>1</v>
          </cell>
          <cell r="J33">
            <v>1</v>
          </cell>
          <cell r="L33">
            <v>4</v>
          </cell>
          <cell r="N33">
            <v>5</v>
          </cell>
          <cell r="P33">
            <v>1</v>
          </cell>
          <cell r="T33">
            <v>15</v>
          </cell>
          <cell r="U33">
            <v>1</v>
          </cell>
          <cell r="X33">
            <v>1</v>
          </cell>
          <cell r="Y33">
            <v>34</v>
          </cell>
        </row>
        <row r="34">
          <cell r="F34">
            <v>2</v>
          </cell>
          <cell r="H34">
            <v>2</v>
          </cell>
          <cell r="I34">
            <v>0</v>
          </cell>
          <cell r="J34">
            <v>29</v>
          </cell>
          <cell r="L34">
            <v>6</v>
          </cell>
          <cell r="M34">
            <v>10</v>
          </cell>
          <cell r="N34">
            <v>19</v>
          </cell>
          <cell r="P34">
            <v>0</v>
          </cell>
          <cell r="T34">
            <v>42</v>
          </cell>
          <cell r="Y34">
            <v>110</v>
          </cell>
        </row>
        <row r="35">
          <cell r="F35">
            <v>109</v>
          </cell>
          <cell r="H35">
            <v>451</v>
          </cell>
          <cell r="I35">
            <v>502</v>
          </cell>
          <cell r="J35">
            <v>1390</v>
          </cell>
          <cell r="K35">
            <v>83</v>
          </cell>
          <cell r="L35">
            <v>1679</v>
          </cell>
          <cell r="M35">
            <v>242</v>
          </cell>
          <cell r="N35">
            <v>200</v>
          </cell>
          <cell r="P35">
            <v>263</v>
          </cell>
          <cell r="Q35">
            <v>193</v>
          </cell>
          <cell r="T35">
            <v>980</v>
          </cell>
          <cell r="U35">
            <v>105</v>
          </cell>
          <cell r="X35">
            <v>138</v>
          </cell>
          <cell r="Y35">
            <v>6335</v>
          </cell>
        </row>
        <row r="36">
          <cell r="F36">
            <v>237</v>
          </cell>
          <cell r="H36">
            <v>941</v>
          </cell>
          <cell r="I36">
            <v>823</v>
          </cell>
          <cell r="J36">
            <v>1011</v>
          </cell>
          <cell r="K36">
            <v>95</v>
          </cell>
          <cell r="L36">
            <v>3862</v>
          </cell>
          <cell r="M36">
            <v>515</v>
          </cell>
          <cell r="N36">
            <v>542</v>
          </cell>
          <cell r="P36">
            <v>248</v>
          </cell>
          <cell r="Q36">
            <v>356</v>
          </cell>
          <cell r="T36">
            <v>2452</v>
          </cell>
          <cell r="U36">
            <v>383</v>
          </cell>
          <cell r="X36">
            <v>311</v>
          </cell>
          <cell r="Y36">
            <v>11776</v>
          </cell>
        </row>
        <row r="37">
          <cell r="F37">
            <v>61</v>
          </cell>
          <cell r="H37">
            <v>606</v>
          </cell>
          <cell r="I37">
            <v>490</v>
          </cell>
          <cell r="J37">
            <v>954</v>
          </cell>
          <cell r="K37">
            <v>175</v>
          </cell>
          <cell r="L37">
            <v>1286</v>
          </cell>
          <cell r="M37">
            <v>180</v>
          </cell>
          <cell r="N37">
            <v>173</v>
          </cell>
          <cell r="P37">
            <v>273</v>
          </cell>
          <cell r="Q37">
            <v>121</v>
          </cell>
          <cell r="T37">
            <v>1143</v>
          </cell>
          <cell r="U37">
            <v>41</v>
          </cell>
          <cell r="X37">
            <v>51</v>
          </cell>
          <cell r="Y37">
            <v>5554</v>
          </cell>
        </row>
        <row r="38">
          <cell r="F38">
            <v>14</v>
          </cell>
          <cell r="H38">
            <v>102</v>
          </cell>
          <cell r="I38">
            <v>124</v>
          </cell>
          <cell r="J38">
            <v>164</v>
          </cell>
          <cell r="K38">
            <v>7</v>
          </cell>
          <cell r="L38">
            <v>147</v>
          </cell>
          <cell r="M38">
            <v>51</v>
          </cell>
          <cell r="N38">
            <v>9</v>
          </cell>
          <cell r="P38">
            <v>39</v>
          </cell>
          <cell r="Q38">
            <v>8</v>
          </cell>
          <cell r="T38">
            <v>268</v>
          </cell>
          <cell r="U38">
            <v>26</v>
          </cell>
          <cell r="X38">
            <v>15</v>
          </cell>
          <cell r="Y38">
            <v>974</v>
          </cell>
        </row>
        <row r="39">
          <cell r="F39">
            <v>72</v>
          </cell>
          <cell r="H39">
            <v>418</v>
          </cell>
          <cell r="I39">
            <v>275</v>
          </cell>
          <cell r="J39">
            <v>1538</v>
          </cell>
          <cell r="K39">
            <v>56</v>
          </cell>
          <cell r="L39">
            <v>505</v>
          </cell>
          <cell r="M39">
            <v>251</v>
          </cell>
          <cell r="N39">
            <v>226</v>
          </cell>
          <cell r="P39">
            <v>147</v>
          </cell>
          <cell r="Q39">
            <v>119</v>
          </cell>
          <cell r="T39">
            <v>805</v>
          </cell>
          <cell r="U39">
            <v>88</v>
          </cell>
          <cell r="X39">
            <v>53</v>
          </cell>
          <cell r="Y39">
            <v>4553</v>
          </cell>
        </row>
        <row r="40">
          <cell r="F40">
            <v>23</v>
          </cell>
          <cell r="H40">
            <v>85</v>
          </cell>
          <cell r="I40">
            <v>77</v>
          </cell>
          <cell r="J40">
            <v>400</v>
          </cell>
          <cell r="K40">
            <v>13</v>
          </cell>
          <cell r="L40">
            <v>509</v>
          </cell>
          <cell r="M40">
            <v>109</v>
          </cell>
          <cell r="N40">
            <v>51</v>
          </cell>
          <cell r="P40">
            <v>41</v>
          </cell>
          <cell r="Q40">
            <v>23</v>
          </cell>
          <cell r="T40">
            <v>280</v>
          </cell>
          <cell r="U40">
            <v>9</v>
          </cell>
          <cell r="X40">
            <v>52</v>
          </cell>
          <cell r="Y40">
            <v>1672</v>
          </cell>
        </row>
        <row r="41">
          <cell r="F41">
            <v>4</v>
          </cell>
          <cell r="H41">
            <v>29</v>
          </cell>
          <cell r="I41">
            <v>43</v>
          </cell>
          <cell r="J41">
            <v>65</v>
          </cell>
          <cell r="K41">
            <v>3</v>
          </cell>
          <cell r="L41">
            <v>206</v>
          </cell>
          <cell r="M41">
            <v>8</v>
          </cell>
          <cell r="N41">
            <v>17</v>
          </cell>
          <cell r="P41">
            <v>18</v>
          </cell>
          <cell r="Q41">
            <v>32</v>
          </cell>
          <cell r="T41">
            <v>57</v>
          </cell>
          <cell r="U41">
            <v>8</v>
          </cell>
          <cell r="X41">
            <v>13</v>
          </cell>
          <cell r="Y41">
            <v>503</v>
          </cell>
        </row>
        <row r="42">
          <cell r="F42">
            <v>33</v>
          </cell>
          <cell r="H42">
            <v>158</v>
          </cell>
          <cell r="I42">
            <v>130</v>
          </cell>
          <cell r="J42">
            <v>301</v>
          </cell>
          <cell r="K42">
            <v>13</v>
          </cell>
          <cell r="L42">
            <v>346</v>
          </cell>
          <cell r="M42">
            <v>41</v>
          </cell>
          <cell r="N42">
            <v>63</v>
          </cell>
          <cell r="P42">
            <v>47</v>
          </cell>
          <cell r="Q42">
            <v>42</v>
          </cell>
          <cell r="T42">
            <v>188</v>
          </cell>
          <cell r="U42">
            <v>37</v>
          </cell>
          <cell r="X42">
            <v>27</v>
          </cell>
          <cell r="Y42">
            <v>1426</v>
          </cell>
        </row>
        <row r="43">
          <cell r="F43">
            <v>6</v>
          </cell>
          <cell r="H43">
            <v>54</v>
          </cell>
          <cell r="I43">
            <v>33</v>
          </cell>
          <cell r="J43">
            <v>84</v>
          </cell>
          <cell r="K43">
            <v>6</v>
          </cell>
          <cell r="L43">
            <v>108</v>
          </cell>
          <cell r="M43">
            <v>30</v>
          </cell>
          <cell r="N43">
            <v>34</v>
          </cell>
          <cell r="P43">
            <v>16</v>
          </cell>
          <cell r="Q43">
            <v>21</v>
          </cell>
          <cell r="T43">
            <v>80</v>
          </cell>
          <cell r="U43">
            <v>25</v>
          </cell>
          <cell r="X43">
            <v>12</v>
          </cell>
          <cell r="Y43">
            <v>509</v>
          </cell>
        </row>
        <row r="44">
          <cell r="F44">
            <v>5</v>
          </cell>
          <cell r="H44">
            <v>48</v>
          </cell>
          <cell r="I44">
            <v>18</v>
          </cell>
          <cell r="J44">
            <v>72</v>
          </cell>
          <cell r="K44">
            <v>11</v>
          </cell>
          <cell r="L44">
            <v>50</v>
          </cell>
          <cell r="M44">
            <v>11</v>
          </cell>
          <cell r="N44">
            <v>18</v>
          </cell>
          <cell r="P44">
            <v>25</v>
          </cell>
          <cell r="Q44">
            <v>18</v>
          </cell>
          <cell r="T44">
            <v>44</v>
          </cell>
          <cell r="U44">
            <v>3</v>
          </cell>
          <cell r="X44">
            <v>3</v>
          </cell>
          <cell r="Y44">
            <v>326</v>
          </cell>
        </row>
        <row r="45">
          <cell r="F45">
            <v>2</v>
          </cell>
          <cell r="H45">
            <v>15</v>
          </cell>
          <cell r="I45">
            <v>5</v>
          </cell>
          <cell r="J45">
            <v>1</v>
          </cell>
          <cell r="L45">
            <v>2</v>
          </cell>
          <cell r="M45">
            <v>3</v>
          </cell>
          <cell r="N45">
            <v>3</v>
          </cell>
          <cell r="P45">
            <v>0</v>
          </cell>
          <cell r="T45">
            <v>16</v>
          </cell>
          <cell r="X45">
            <v>1</v>
          </cell>
          <cell r="Y45">
            <v>48</v>
          </cell>
        </row>
        <row r="46">
          <cell r="F46">
            <v>0</v>
          </cell>
          <cell r="H46">
            <v>1</v>
          </cell>
          <cell r="I46">
            <v>0</v>
          </cell>
          <cell r="J46">
            <v>65</v>
          </cell>
          <cell r="L46">
            <v>5</v>
          </cell>
          <cell r="M46">
            <v>12</v>
          </cell>
          <cell r="N46">
            <v>20</v>
          </cell>
          <cell r="P46">
            <v>0</v>
          </cell>
          <cell r="T46">
            <v>93</v>
          </cell>
          <cell r="Y46">
            <v>196</v>
          </cell>
        </row>
        <row r="47">
          <cell r="F47">
            <v>567</v>
          </cell>
          <cell r="H47">
            <v>2620</v>
          </cell>
          <cell r="I47">
            <v>2759</v>
          </cell>
          <cell r="J47">
            <v>6747</v>
          </cell>
          <cell r="K47">
            <v>922</v>
          </cell>
          <cell r="L47">
            <v>5460</v>
          </cell>
          <cell r="M47">
            <v>1264</v>
          </cell>
          <cell r="N47">
            <v>7</v>
          </cell>
          <cell r="P47">
            <v>1227</v>
          </cell>
          <cell r="Q47">
            <v>702</v>
          </cell>
          <cell r="T47">
            <v>6477</v>
          </cell>
          <cell r="U47">
            <v>769</v>
          </cell>
          <cell r="X47">
            <v>640</v>
          </cell>
          <cell r="Y47">
            <v>30161</v>
          </cell>
        </row>
        <row r="48">
          <cell r="F48">
            <v>3</v>
          </cell>
          <cell r="H48">
            <v>10</v>
          </cell>
          <cell r="I48">
            <v>9</v>
          </cell>
          <cell r="J48">
            <v>13</v>
          </cell>
          <cell r="L48">
            <v>11</v>
          </cell>
          <cell r="M48">
            <v>2</v>
          </cell>
          <cell r="N48">
            <v>1</v>
          </cell>
          <cell r="P48">
            <v>2</v>
          </cell>
          <cell r="Q48">
            <v>4</v>
          </cell>
          <cell r="T48">
            <v>25</v>
          </cell>
          <cell r="U48">
            <v>1</v>
          </cell>
          <cell r="X48">
            <v>2</v>
          </cell>
          <cell r="Y48">
            <v>83</v>
          </cell>
        </row>
        <row r="49">
          <cell r="H49">
            <v>14</v>
          </cell>
          <cell r="I49">
            <v>3</v>
          </cell>
          <cell r="J49">
            <v>4</v>
          </cell>
          <cell r="L49">
            <v>6</v>
          </cell>
          <cell r="N49">
            <v>2</v>
          </cell>
          <cell r="P49">
            <v>0</v>
          </cell>
          <cell r="Q49">
            <v>1</v>
          </cell>
          <cell r="T49">
            <v>21</v>
          </cell>
          <cell r="U49">
            <v>2</v>
          </cell>
          <cell r="X49">
            <v>1</v>
          </cell>
          <cell r="Y49">
            <v>54</v>
          </cell>
        </row>
        <row r="50">
          <cell r="F50">
            <v>4</v>
          </cell>
          <cell r="H50">
            <v>20</v>
          </cell>
          <cell r="I50">
            <v>29</v>
          </cell>
          <cell r="J50">
            <v>32</v>
          </cell>
          <cell r="L50">
            <v>55</v>
          </cell>
          <cell r="M50">
            <v>11</v>
          </cell>
          <cell r="P50">
            <v>2</v>
          </cell>
          <cell r="T50">
            <v>114</v>
          </cell>
          <cell r="U50">
            <v>13</v>
          </cell>
          <cell r="X50">
            <v>7</v>
          </cell>
          <cell r="Y50">
            <v>287</v>
          </cell>
        </row>
        <row r="51">
          <cell r="F51">
            <v>34</v>
          </cell>
          <cell r="H51">
            <v>127</v>
          </cell>
          <cell r="I51">
            <v>87</v>
          </cell>
          <cell r="J51">
            <v>194</v>
          </cell>
          <cell r="K51">
            <v>12</v>
          </cell>
          <cell r="L51">
            <v>278</v>
          </cell>
          <cell r="M51">
            <v>67</v>
          </cell>
          <cell r="P51">
            <v>46</v>
          </cell>
          <cell r="Q51">
            <v>68</v>
          </cell>
          <cell r="T51">
            <v>419</v>
          </cell>
          <cell r="U51">
            <v>23</v>
          </cell>
          <cell r="X51">
            <v>28</v>
          </cell>
          <cell r="Y51">
            <v>1383</v>
          </cell>
        </row>
        <row r="52">
          <cell r="F52">
            <v>12</v>
          </cell>
          <cell r="H52">
            <v>135</v>
          </cell>
          <cell r="I52">
            <v>37</v>
          </cell>
          <cell r="J52">
            <v>54</v>
          </cell>
          <cell r="K52">
            <v>8</v>
          </cell>
          <cell r="L52">
            <v>65</v>
          </cell>
          <cell r="M52">
            <v>32</v>
          </cell>
          <cell r="N52">
            <v>26</v>
          </cell>
          <cell r="P52">
            <v>8</v>
          </cell>
          <cell r="Q52">
            <v>83</v>
          </cell>
          <cell r="T52">
            <v>109</v>
          </cell>
          <cell r="U52">
            <v>10</v>
          </cell>
          <cell r="X52">
            <v>15</v>
          </cell>
          <cell r="Y52">
            <v>594</v>
          </cell>
        </row>
        <row r="53">
          <cell r="F53">
            <v>5</v>
          </cell>
          <cell r="H53">
            <v>32</v>
          </cell>
          <cell r="I53">
            <v>26</v>
          </cell>
          <cell r="J53">
            <v>37</v>
          </cell>
          <cell r="K53">
            <v>3</v>
          </cell>
          <cell r="L53">
            <v>24</v>
          </cell>
          <cell r="M53">
            <v>13</v>
          </cell>
          <cell r="N53">
            <v>24</v>
          </cell>
          <cell r="P53">
            <v>15</v>
          </cell>
          <cell r="Q53">
            <v>16</v>
          </cell>
          <cell r="T53">
            <v>74</v>
          </cell>
          <cell r="U53">
            <v>4</v>
          </cell>
          <cell r="X53">
            <v>11</v>
          </cell>
          <cell r="Y53">
            <v>284</v>
          </cell>
        </row>
        <row r="54">
          <cell r="F54">
            <v>7</v>
          </cell>
          <cell r="H54">
            <v>61</v>
          </cell>
          <cell r="I54">
            <v>20</v>
          </cell>
          <cell r="J54">
            <v>117</v>
          </cell>
          <cell r="K54">
            <v>3</v>
          </cell>
          <cell r="L54">
            <v>35</v>
          </cell>
          <cell r="M54">
            <v>20</v>
          </cell>
          <cell r="P54">
            <v>6</v>
          </cell>
          <cell r="Q54">
            <v>20</v>
          </cell>
          <cell r="T54">
            <v>146</v>
          </cell>
          <cell r="U54">
            <v>11</v>
          </cell>
          <cell r="X54">
            <v>16</v>
          </cell>
          <cell r="Y54">
            <v>462</v>
          </cell>
        </row>
        <row r="55">
          <cell r="F55">
            <v>10</v>
          </cell>
          <cell r="H55">
            <v>79</v>
          </cell>
          <cell r="I55">
            <v>57</v>
          </cell>
          <cell r="J55">
            <v>63</v>
          </cell>
          <cell r="K55">
            <v>10</v>
          </cell>
          <cell r="L55">
            <v>107</v>
          </cell>
          <cell r="M55">
            <v>22</v>
          </cell>
          <cell r="P55">
            <v>12</v>
          </cell>
          <cell r="Q55">
            <v>45</v>
          </cell>
          <cell r="T55">
            <v>152</v>
          </cell>
          <cell r="U55">
            <v>8</v>
          </cell>
          <cell r="X55">
            <v>15</v>
          </cell>
          <cell r="Y55">
            <v>580</v>
          </cell>
        </row>
        <row r="56">
          <cell r="F56">
            <v>10</v>
          </cell>
          <cell r="H56">
            <v>81</v>
          </cell>
          <cell r="I56">
            <v>9</v>
          </cell>
          <cell r="J56">
            <v>48</v>
          </cell>
          <cell r="L56">
            <v>46</v>
          </cell>
          <cell r="M56">
            <v>18</v>
          </cell>
          <cell r="N56">
            <v>34</v>
          </cell>
          <cell r="P56">
            <v>3</v>
          </cell>
          <cell r="Q56">
            <v>30</v>
          </cell>
          <cell r="T56">
            <v>107</v>
          </cell>
          <cell r="U56">
            <v>9</v>
          </cell>
          <cell r="X56">
            <v>42</v>
          </cell>
          <cell r="Y56">
            <v>437</v>
          </cell>
        </row>
        <row r="57">
          <cell r="F57">
            <v>3</v>
          </cell>
          <cell r="H57">
            <v>475</v>
          </cell>
          <cell r="I57">
            <v>2</v>
          </cell>
          <cell r="J57">
            <v>20</v>
          </cell>
          <cell r="L57">
            <v>12</v>
          </cell>
          <cell r="M57">
            <v>8</v>
          </cell>
          <cell r="N57">
            <v>1</v>
          </cell>
          <cell r="P57">
            <v>1</v>
          </cell>
          <cell r="Q57">
            <v>92</v>
          </cell>
          <cell r="T57">
            <v>179</v>
          </cell>
          <cell r="X57">
            <v>44</v>
          </cell>
          <cell r="Y57">
            <v>837</v>
          </cell>
        </row>
        <row r="58">
          <cell r="F58">
            <v>2</v>
          </cell>
          <cell r="H58">
            <v>21</v>
          </cell>
          <cell r="I58">
            <v>12</v>
          </cell>
          <cell r="J58">
            <v>26</v>
          </cell>
          <cell r="K58">
            <v>3</v>
          </cell>
          <cell r="L58">
            <v>22</v>
          </cell>
          <cell r="M58">
            <v>17</v>
          </cell>
          <cell r="N58">
            <v>21</v>
          </cell>
          <cell r="P58">
            <v>39</v>
          </cell>
          <cell r="Q58">
            <v>15</v>
          </cell>
          <cell r="T58">
            <v>75</v>
          </cell>
          <cell r="U58">
            <v>3</v>
          </cell>
          <cell r="X58">
            <v>2</v>
          </cell>
          <cell r="Y58">
            <v>258</v>
          </cell>
        </row>
        <row r="59">
          <cell r="F59">
            <v>18</v>
          </cell>
          <cell r="H59">
            <v>60</v>
          </cell>
          <cell r="I59">
            <v>22</v>
          </cell>
          <cell r="J59">
            <v>104</v>
          </cell>
          <cell r="K59">
            <v>7</v>
          </cell>
          <cell r="L59">
            <v>43</v>
          </cell>
          <cell r="M59">
            <v>18</v>
          </cell>
          <cell r="P59">
            <v>24</v>
          </cell>
          <cell r="Q59">
            <v>40</v>
          </cell>
          <cell r="T59">
            <v>155</v>
          </cell>
          <cell r="U59">
            <v>1</v>
          </cell>
          <cell r="X59">
            <v>9</v>
          </cell>
          <cell r="Y59">
            <v>501</v>
          </cell>
        </row>
        <row r="60">
          <cell r="F60">
            <v>1</v>
          </cell>
          <cell r="H60">
            <v>42</v>
          </cell>
          <cell r="I60">
            <v>4</v>
          </cell>
          <cell r="J60">
            <v>10</v>
          </cell>
          <cell r="K60">
            <v>1</v>
          </cell>
          <cell r="L60">
            <v>16</v>
          </cell>
          <cell r="M60">
            <v>5</v>
          </cell>
          <cell r="N60">
            <v>12</v>
          </cell>
          <cell r="P60">
            <v>3</v>
          </cell>
          <cell r="Q60">
            <v>37</v>
          </cell>
          <cell r="T60">
            <v>27</v>
          </cell>
          <cell r="U60">
            <v>2</v>
          </cell>
          <cell r="X60">
            <v>18</v>
          </cell>
          <cell r="Y60">
            <v>178</v>
          </cell>
        </row>
        <row r="61">
          <cell r="F61">
            <v>18</v>
          </cell>
          <cell r="H61">
            <v>45</v>
          </cell>
          <cell r="I61">
            <v>18</v>
          </cell>
          <cell r="J61">
            <v>56</v>
          </cell>
          <cell r="K61">
            <v>1</v>
          </cell>
          <cell r="L61">
            <v>68</v>
          </cell>
          <cell r="M61">
            <v>54</v>
          </cell>
          <cell r="N61">
            <v>4</v>
          </cell>
          <cell r="P61">
            <v>50</v>
          </cell>
          <cell r="Q61">
            <v>71</v>
          </cell>
          <cell r="T61">
            <v>92</v>
          </cell>
          <cell r="U61">
            <v>4</v>
          </cell>
          <cell r="X61">
            <v>4</v>
          </cell>
          <cell r="Y61">
            <v>485</v>
          </cell>
        </row>
        <row r="62">
          <cell r="F62">
            <v>5</v>
          </cell>
          <cell r="H62">
            <v>9</v>
          </cell>
          <cell r="I62">
            <v>4</v>
          </cell>
          <cell r="J62">
            <v>31</v>
          </cell>
          <cell r="L62">
            <v>4</v>
          </cell>
          <cell r="M62">
            <v>11</v>
          </cell>
          <cell r="P62">
            <v>7</v>
          </cell>
          <cell r="Q62">
            <v>19</v>
          </cell>
          <cell r="T62">
            <v>29</v>
          </cell>
          <cell r="X62">
            <v>5</v>
          </cell>
          <cell r="Y62">
            <v>124</v>
          </cell>
        </row>
        <row r="63">
          <cell r="F63">
            <v>1</v>
          </cell>
          <cell r="H63">
            <v>12</v>
          </cell>
          <cell r="I63">
            <v>4</v>
          </cell>
          <cell r="J63">
            <v>25</v>
          </cell>
          <cell r="L63">
            <v>15</v>
          </cell>
          <cell r="M63">
            <v>3</v>
          </cell>
          <cell r="P63">
            <v>5</v>
          </cell>
          <cell r="Q63">
            <v>2</v>
          </cell>
          <cell r="T63">
            <v>33</v>
          </cell>
          <cell r="U63">
            <v>2</v>
          </cell>
          <cell r="X63">
            <v>8</v>
          </cell>
          <cell r="Y63">
            <v>110</v>
          </cell>
        </row>
        <row r="64">
          <cell r="F64">
            <v>5</v>
          </cell>
          <cell r="H64">
            <v>21</v>
          </cell>
          <cell r="I64">
            <v>19</v>
          </cell>
          <cell r="J64">
            <v>29</v>
          </cell>
          <cell r="K64">
            <v>1</v>
          </cell>
          <cell r="L64">
            <v>43</v>
          </cell>
          <cell r="M64">
            <v>6</v>
          </cell>
          <cell r="P64">
            <v>21</v>
          </cell>
          <cell r="Q64">
            <v>9</v>
          </cell>
          <cell r="T64">
            <v>60</v>
          </cell>
          <cell r="U64">
            <v>11</v>
          </cell>
          <cell r="X64">
            <v>3</v>
          </cell>
          <cell r="Y64">
            <v>228</v>
          </cell>
        </row>
        <row r="65">
          <cell r="H65">
            <v>36</v>
          </cell>
          <cell r="I65">
            <v>291</v>
          </cell>
          <cell r="J65">
            <v>46</v>
          </cell>
          <cell r="K65">
            <v>8</v>
          </cell>
          <cell r="L65">
            <v>31</v>
          </cell>
          <cell r="M65">
            <v>10</v>
          </cell>
          <cell r="N65">
            <v>11</v>
          </cell>
          <cell r="P65">
            <v>42</v>
          </cell>
          <cell r="Q65">
            <v>10</v>
          </cell>
          <cell r="T65">
            <v>62</v>
          </cell>
          <cell r="U65">
            <v>9</v>
          </cell>
          <cell r="X65">
            <v>4</v>
          </cell>
          <cell r="Y65">
            <v>560</v>
          </cell>
        </row>
        <row r="66">
          <cell r="F66">
            <v>70</v>
          </cell>
          <cell r="H66">
            <v>154</v>
          </cell>
          <cell r="I66">
            <v>22</v>
          </cell>
          <cell r="J66">
            <v>615</v>
          </cell>
          <cell r="K66">
            <v>77</v>
          </cell>
          <cell r="L66">
            <v>5420</v>
          </cell>
          <cell r="M66">
            <v>545</v>
          </cell>
          <cell r="N66">
            <v>1667</v>
          </cell>
          <cell r="Q66">
            <v>18</v>
          </cell>
          <cell r="T66">
            <v>376</v>
          </cell>
          <cell r="U66">
            <v>86</v>
          </cell>
          <cell r="X66">
            <v>60</v>
          </cell>
          <cell r="Y66">
            <v>9110</v>
          </cell>
        </row>
        <row r="67">
          <cell r="F67">
            <v>99</v>
          </cell>
          <cell r="H67">
            <v>402</v>
          </cell>
          <cell r="I67">
            <v>489</v>
          </cell>
          <cell r="J67">
            <v>1465</v>
          </cell>
          <cell r="K67">
            <v>90</v>
          </cell>
          <cell r="L67">
            <v>1152</v>
          </cell>
          <cell r="M67">
            <v>156</v>
          </cell>
          <cell r="N67">
            <v>4</v>
          </cell>
          <cell r="P67">
            <v>299</v>
          </cell>
          <cell r="Q67">
            <v>170</v>
          </cell>
          <cell r="T67">
            <v>1014</v>
          </cell>
          <cell r="U67">
            <v>101</v>
          </cell>
          <cell r="X67">
            <v>135</v>
          </cell>
          <cell r="Y67">
            <v>5576</v>
          </cell>
        </row>
        <row r="68">
          <cell r="F68">
            <v>212</v>
          </cell>
          <cell r="H68">
            <v>798</v>
          </cell>
          <cell r="I68">
            <v>744</v>
          </cell>
          <cell r="J68">
            <v>935</v>
          </cell>
          <cell r="K68">
            <v>105</v>
          </cell>
          <cell r="L68">
            <v>2213</v>
          </cell>
          <cell r="M68">
            <v>401</v>
          </cell>
          <cell r="P68">
            <v>226</v>
          </cell>
          <cell r="Q68">
            <v>228</v>
          </cell>
          <cell r="T68">
            <v>2157</v>
          </cell>
          <cell r="U68">
            <v>350</v>
          </cell>
          <cell r="X68">
            <v>262</v>
          </cell>
          <cell r="Y68">
            <v>8631</v>
          </cell>
        </row>
        <row r="69">
          <cell r="F69">
            <v>59</v>
          </cell>
          <cell r="H69">
            <v>521</v>
          </cell>
          <cell r="I69">
            <v>568</v>
          </cell>
          <cell r="J69">
            <v>962</v>
          </cell>
          <cell r="K69">
            <v>202</v>
          </cell>
          <cell r="L69">
            <v>758</v>
          </cell>
          <cell r="M69">
            <v>148</v>
          </cell>
          <cell r="N69">
            <v>1</v>
          </cell>
          <cell r="P69">
            <v>279</v>
          </cell>
          <cell r="Q69">
            <v>70</v>
          </cell>
          <cell r="T69">
            <v>1099</v>
          </cell>
          <cell r="U69">
            <v>42</v>
          </cell>
          <cell r="X69">
            <v>50</v>
          </cell>
          <cell r="Y69">
            <v>4759</v>
          </cell>
        </row>
        <row r="70">
          <cell r="F70">
            <v>19</v>
          </cell>
          <cell r="H70">
            <v>109</v>
          </cell>
          <cell r="I70">
            <v>148</v>
          </cell>
          <cell r="J70">
            <v>177</v>
          </cell>
          <cell r="K70">
            <v>10</v>
          </cell>
          <cell r="L70">
            <v>112</v>
          </cell>
          <cell r="M70">
            <v>46</v>
          </cell>
          <cell r="P70">
            <v>48</v>
          </cell>
          <cell r="Q70">
            <v>7</v>
          </cell>
          <cell r="T70">
            <v>293</v>
          </cell>
          <cell r="U70">
            <v>37</v>
          </cell>
          <cell r="X70">
            <v>19</v>
          </cell>
          <cell r="Y70">
            <v>1025</v>
          </cell>
        </row>
        <row r="71">
          <cell r="F71">
            <v>104</v>
          </cell>
          <cell r="H71">
            <v>419</v>
          </cell>
          <cell r="I71">
            <v>401</v>
          </cell>
          <cell r="J71">
            <v>1994</v>
          </cell>
          <cell r="K71">
            <v>73</v>
          </cell>
          <cell r="L71">
            <v>406</v>
          </cell>
          <cell r="M71">
            <v>274</v>
          </cell>
          <cell r="N71">
            <v>1</v>
          </cell>
          <cell r="P71">
            <v>189</v>
          </cell>
          <cell r="Q71">
            <v>113</v>
          </cell>
          <cell r="T71">
            <v>1010</v>
          </cell>
          <cell r="U71">
            <v>123</v>
          </cell>
          <cell r="X71">
            <v>60</v>
          </cell>
          <cell r="Y71">
            <v>5167</v>
          </cell>
        </row>
        <row r="72">
          <cell r="F72">
            <v>38</v>
          </cell>
          <cell r="H72">
            <v>73</v>
          </cell>
          <cell r="I72">
            <v>110</v>
          </cell>
          <cell r="J72">
            <v>436</v>
          </cell>
          <cell r="K72">
            <v>19</v>
          </cell>
          <cell r="L72">
            <v>379</v>
          </cell>
          <cell r="M72">
            <v>93</v>
          </cell>
          <cell r="P72">
            <v>51</v>
          </cell>
          <cell r="Q72">
            <v>23</v>
          </cell>
          <cell r="T72">
            <v>299</v>
          </cell>
          <cell r="U72">
            <v>13</v>
          </cell>
          <cell r="X72">
            <v>44</v>
          </cell>
          <cell r="Y72">
            <v>1578</v>
          </cell>
        </row>
        <row r="73">
          <cell r="F73">
            <v>4</v>
          </cell>
          <cell r="H73">
            <v>21</v>
          </cell>
          <cell r="I73">
            <v>55</v>
          </cell>
          <cell r="J73">
            <v>86</v>
          </cell>
          <cell r="K73">
            <v>4</v>
          </cell>
          <cell r="L73">
            <v>93</v>
          </cell>
          <cell r="M73">
            <v>10</v>
          </cell>
          <cell r="P73">
            <v>20</v>
          </cell>
          <cell r="Q73">
            <v>29</v>
          </cell>
          <cell r="T73">
            <v>71</v>
          </cell>
          <cell r="U73">
            <v>12</v>
          </cell>
          <cell r="X73">
            <v>14</v>
          </cell>
          <cell r="Y73">
            <v>419</v>
          </cell>
        </row>
        <row r="74">
          <cell r="F74">
            <v>21</v>
          </cell>
          <cell r="H74">
            <v>173</v>
          </cell>
          <cell r="I74">
            <v>179</v>
          </cell>
          <cell r="J74">
            <v>407</v>
          </cell>
          <cell r="K74">
            <v>22</v>
          </cell>
          <cell r="L74">
            <v>237</v>
          </cell>
          <cell r="M74">
            <v>56</v>
          </cell>
          <cell r="N74">
            <v>1</v>
          </cell>
          <cell r="P74">
            <v>64</v>
          </cell>
          <cell r="Q74">
            <v>34</v>
          </cell>
          <cell r="T74">
            <v>244</v>
          </cell>
          <cell r="U74">
            <v>60</v>
          </cell>
          <cell r="X74">
            <v>37</v>
          </cell>
          <cell r="Y74">
            <v>1535</v>
          </cell>
        </row>
        <row r="75">
          <cell r="F75">
            <v>6</v>
          </cell>
          <cell r="H75">
            <v>51</v>
          </cell>
          <cell r="I75">
            <v>42</v>
          </cell>
          <cell r="J75">
            <v>110</v>
          </cell>
          <cell r="K75">
            <v>12</v>
          </cell>
          <cell r="L75">
            <v>59</v>
          </cell>
          <cell r="M75">
            <v>16</v>
          </cell>
          <cell r="P75">
            <v>20</v>
          </cell>
          <cell r="Q75">
            <v>17</v>
          </cell>
          <cell r="T75">
            <v>101</v>
          </cell>
          <cell r="U75">
            <v>23</v>
          </cell>
          <cell r="X75">
            <v>15</v>
          </cell>
          <cell r="Y75">
            <v>472</v>
          </cell>
        </row>
        <row r="76">
          <cell r="F76">
            <v>4</v>
          </cell>
          <cell r="H76">
            <v>35</v>
          </cell>
          <cell r="I76">
            <v>19</v>
          </cell>
          <cell r="J76">
            <v>108</v>
          </cell>
          <cell r="K76">
            <v>19</v>
          </cell>
          <cell r="L76">
            <v>42</v>
          </cell>
          <cell r="M76">
            <v>13</v>
          </cell>
          <cell r="P76">
            <v>30</v>
          </cell>
          <cell r="Q76">
            <v>11</v>
          </cell>
          <cell r="T76">
            <v>64</v>
          </cell>
          <cell r="U76">
            <v>7</v>
          </cell>
          <cell r="X76">
            <v>2</v>
          </cell>
          <cell r="Y76">
            <v>354</v>
          </cell>
        </row>
        <row r="77">
          <cell r="F77">
            <v>1</v>
          </cell>
          <cell r="H77">
            <v>16</v>
          </cell>
          <cell r="I77">
            <v>4</v>
          </cell>
          <cell r="J77">
            <v>2</v>
          </cell>
          <cell r="L77">
            <v>3</v>
          </cell>
          <cell r="M77">
            <v>2</v>
          </cell>
          <cell r="P77">
            <v>1</v>
          </cell>
          <cell r="T77">
            <v>21</v>
          </cell>
          <cell r="U77">
            <v>1</v>
          </cell>
          <cell r="X77">
            <v>2</v>
          </cell>
          <cell r="Y77">
            <v>53</v>
          </cell>
        </row>
        <row r="78">
          <cell r="F78">
            <v>4</v>
          </cell>
          <cell r="H78">
            <v>17</v>
          </cell>
          <cell r="I78">
            <v>16</v>
          </cell>
          <cell r="J78">
            <v>45</v>
          </cell>
          <cell r="L78">
            <v>43</v>
          </cell>
          <cell r="M78">
            <v>6</v>
          </cell>
          <cell r="P78">
            <v>3</v>
          </cell>
          <cell r="Q78">
            <v>3</v>
          </cell>
          <cell r="T78">
            <v>77</v>
          </cell>
          <cell r="U78">
            <v>6</v>
          </cell>
          <cell r="X78">
            <v>5</v>
          </cell>
          <cell r="Y78">
            <v>225</v>
          </cell>
        </row>
        <row r="79">
          <cell r="F79">
            <v>15</v>
          </cell>
          <cell r="H79">
            <v>54</v>
          </cell>
          <cell r="I79">
            <v>33</v>
          </cell>
          <cell r="J79">
            <v>43</v>
          </cell>
          <cell r="K79">
            <v>2</v>
          </cell>
          <cell r="L79">
            <v>155</v>
          </cell>
          <cell r="M79">
            <v>16</v>
          </cell>
          <cell r="P79">
            <v>12</v>
          </cell>
          <cell r="Q79">
            <v>30</v>
          </cell>
          <cell r="T79">
            <v>167</v>
          </cell>
          <cell r="U79">
            <v>19</v>
          </cell>
          <cell r="X79">
            <v>13</v>
          </cell>
          <cell r="Y79">
            <v>559</v>
          </cell>
        </row>
        <row r="80">
          <cell r="F80">
            <v>8</v>
          </cell>
          <cell r="H80">
            <v>39</v>
          </cell>
          <cell r="I80">
            <v>34</v>
          </cell>
          <cell r="J80">
            <v>49</v>
          </cell>
          <cell r="K80">
            <v>5</v>
          </cell>
          <cell r="L80">
            <v>50</v>
          </cell>
          <cell r="M80">
            <v>18</v>
          </cell>
          <cell r="P80">
            <v>16</v>
          </cell>
          <cell r="Q80">
            <v>15</v>
          </cell>
          <cell r="T80">
            <v>135</v>
          </cell>
          <cell r="U80">
            <v>2</v>
          </cell>
          <cell r="X80">
            <v>2</v>
          </cell>
          <cell r="Y80">
            <v>373</v>
          </cell>
        </row>
        <row r="81">
          <cell r="H81">
            <v>4</v>
          </cell>
          <cell r="I81">
            <v>6</v>
          </cell>
          <cell r="J81">
            <v>3</v>
          </cell>
          <cell r="L81">
            <v>6</v>
          </cell>
          <cell r="M81">
            <v>1</v>
          </cell>
          <cell r="P81">
            <v>1</v>
          </cell>
          <cell r="T81">
            <v>23</v>
          </cell>
          <cell r="X81">
            <v>1</v>
          </cell>
          <cell r="Y81">
            <v>45</v>
          </cell>
        </row>
        <row r="82">
          <cell r="F82">
            <v>8</v>
          </cell>
          <cell r="H82">
            <v>24</v>
          </cell>
          <cell r="I82">
            <v>18</v>
          </cell>
          <cell r="J82">
            <v>55</v>
          </cell>
          <cell r="K82">
            <v>2</v>
          </cell>
          <cell r="L82">
            <v>24</v>
          </cell>
          <cell r="M82">
            <v>21</v>
          </cell>
          <cell r="N82">
            <v>3</v>
          </cell>
          <cell r="P82">
            <v>8</v>
          </cell>
          <cell r="Q82">
            <v>11</v>
          </cell>
          <cell r="T82">
            <v>88</v>
          </cell>
          <cell r="U82">
            <v>7</v>
          </cell>
          <cell r="X82">
            <v>6</v>
          </cell>
          <cell r="Y82">
            <v>275</v>
          </cell>
        </row>
        <row r="83">
          <cell r="F83">
            <v>1</v>
          </cell>
          <cell r="H83">
            <v>11</v>
          </cell>
          <cell r="I83">
            <v>3</v>
          </cell>
          <cell r="J83">
            <v>14</v>
          </cell>
          <cell r="L83">
            <v>35</v>
          </cell>
          <cell r="M83">
            <v>5</v>
          </cell>
          <cell r="P83">
            <v>3</v>
          </cell>
          <cell r="Q83">
            <v>3</v>
          </cell>
          <cell r="T83">
            <v>42</v>
          </cell>
          <cell r="U83">
            <v>1</v>
          </cell>
          <cell r="X83">
            <v>4</v>
          </cell>
          <cell r="Y83">
            <v>122</v>
          </cell>
        </row>
        <row r="84">
          <cell r="H84">
            <v>4</v>
          </cell>
          <cell r="I84">
            <v>4</v>
          </cell>
          <cell r="J84">
            <v>4</v>
          </cell>
          <cell r="L84">
            <v>17</v>
          </cell>
          <cell r="P84">
            <v>3</v>
          </cell>
          <cell r="Q84">
            <v>4</v>
          </cell>
          <cell r="T84">
            <v>7</v>
          </cell>
          <cell r="U84">
            <v>1</v>
          </cell>
          <cell r="X84">
            <v>1</v>
          </cell>
          <cell r="Y84">
            <v>45</v>
          </cell>
        </row>
        <row r="85">
          <cell r="F85">
            <v>3</v>
          </cell>
          <cell r="H85">
            <v>12</v>
          </cell>
          <cell r="I85">
            <v>6</v>
          </cell>
          <cell r="J85">
            <v>15</v>
          </cell>
          <cell r="L85">
            <v>9</v>
          </cell>
          <cell r="M85">
            <v>2</v>
          </cell>
          <cell r="P85">
            <v>3</v>
          </cell>
          <cell r="Q85">
            <v>3</v>
          </cell>
          <cell r="T85">
            <v>17</v>
          </cell>
          <cell r="U85">
            <v>2</v>
          </cell>
          <cell r="X85">
            <v>6</v>
          </cell>
          <cell r="Y85">
            <v>78</v>
          </cell>
        </row>
        <row r="86">
          <cell r="F86">
            <v>1</v>
          </cell>
          <cell r="H86">
            <v>5</v>
          </cell>
          <cell r="I86">
            <v>4</v>
          </cell>
          <cell r="J86">
            <v>7</v>
          </cell>
          <cell r="L86">
            <v>7</v>
          </cell>
          <cell r="M86">
            <v>2</v>
          </cell>
          <cell r="P86">
            <v>0</v>
          </cell>
          <cell r="Q86">
            <v>3</v>
          </cell>
          <cell r="T86">
            <v>4</v>
          </cell>
          <cell r="U86">
            <v>1</v>
          </cell>
          <cell r="Y86">
            <v>34</v>
          </cell>
        </row>
        <row r="87">
          <cell r="F87">
            <v>1</v>
          </cell>
          <cell r="H87">
            <v>1</v>
          </cell>
          <cell r="I87">
            <v>2</v>
          </cell>
          <cell r="J87">
            <v>6</v>
          </cell>
          <cell r="L87">
            <v>4</v>
          </cell>
          <cell r="M87">
            <v>5</v>
          </cell>
          <cell r="P87">
            <v>1</v>
          </cell>
          <cell r="Q87">
            <v>1</v>
          </cell>
          <cell r="T87">
            <v>7</v>
          </cell>
          <cell r="Y87">
            <v>28</v>
          </cell>
        </row>
        <row r="88">
          <cell r="I88">
            <v>2</v>
          </cell>
          <cell r="P88">
            <v>0</v>
          </cell>
          <cell r="T88">
            <v>4</v>
          </cell>
          <cell r="Y88">
            <v>6</v>
          </cell>
        </row>
        <row r="89">
          <cell r="F89">
            <v>11</v>
          </cell>
          <cell r="H89">
            <v>70</v>
          </cell>
          <cell r="I89">
            <v>30</v>
          </cell>
          <cell r="J89">
            <v>50</v>
          </cell>
          <cell r="K89">
            <v>2</v>
          </cell>
          <cell r="L89">
            <v>50</v>
          </cell>
          <cell r="M89">
            <v>11</v>
          </cell>
          <cell r="N89">
            <v>6</v>
          </cell>
          <cell r="P89">
            <v>11</v>
          </cell>
          <cell r="Q89">
            <v>47</v>
          </cell>
          <cell r="T89">
            <v>63</v>
          </cell>
          <cell r="U89">
            <v>6</v>
          </cell>
          <cell r="X89">
            <v>15</v>
          </cell>
          <cell r="Y89">
            <v>372</v>
          </cell>
        </row>
        <row r="90">
          <cell r="F90">
            <v>8</v>
          </cell>
          <cell r="H90">
            <v>81</v>
          </cell>
          <cell r="I90">
            <v>45</v>
          </cell>
          <cell r="J90">
            <v>51</v>
          </cell>
          <cell r="K90">
            <v>5</v>
          </cell>
          <cell r="L90">
            <v>102</v>
          </cell>
          <cell r="M90">
            <v>27</v>
          </cell>
          <cell r="N90">
            <v>21</v>
          </cell>
          <cell r="P90">
            <v>4</v>
          </cell>
          <cell r="Q90">
            <v>61</v>
          </cell>
          <cell r="T90">
            <v>212</v>
          </cell>
          <cell r="U90">
            <v>16</v>
          </cell>
          <cell r="X90">
            <v>22</v>
          </cell>
          <cell r="Y90">
            <v>655</v>
          </cell>
        </row>
        <row r="91">
          <cell r="F91">
            <v>5</v>
          </cell>
          <cell r="H91">
            <v>69</v>
          </cell>
          <cell r="I91">
            <v>19</v>
          </cell>
          <cell r="J91">
            <v>64</v>
          </cell>
          <cell r="K91">
            <v>7</v>
          </cell>
          <cell r="L91">
            <v>30</v>
          </cell>
          <cell r="M91">
            <v>7</v>
          </cell>
          <cell r="N91">
            <v>6</v>
          </cell>
          <cell r="P91">
            <v>11</v>
          </cell>
          <cell r="Q91">
            <v>19</v>
          </cell>
          <cell r="T91">
            <v>84</v>
          </cell>
          <cell r="U91">
            <v>2</v>
          </cell>
          <cell r="X91">
            <v>2</v>
          </cell>
          <cell r="Y91">
            <v>325</v>
          </cell>
        </row>
        <row r="92">
          <cell r="F92">
            <v>1</v>
          </cell>
          <cell r="H92">
            <v>9</v>
          </cell>
          <cell r="I92">
            <v>4</v>
          </cell>
          <cell r="J92">
            <v>4</v>
          </cell>
          <cell r="L92">
            <v>4</v>
          </cell>
          <cell r="M92">
            <v>1</v>
          </cell>
          <cell r="P92">
            <v>1</v>
          </cell>
          <cell r="Q92">
            <v>2</v>
          </cell>
          <cell r="T92">
            <v>15</v>
          </cell>
          <cell r="Y92">
            <v>41</v>
          </cell>
        </row>
        <row r="93">
          <cell r="F93">
            <v>3</v>
          </cell>
          <cell r="H93">
            <v>36</v>
          </cell>
          <cell r="I93">
            <v>14</v>
          </cell>
          <cell r="J93">
            <v>59</v>
          </cell>
          <cell r="K93">
            <v>4</v>
          </cell>
          <cell r="L93">
            <v>17</v>
          </cell>
          <cell r="M93">
            <v>24</v>
          </cell>
          <cell r="N93">
            <v>9</v>
          </cell>
          <cell r="P93">
            <v>4</v>
          </cell>
          <cell r="Q93">
            <v>13</v>
          </cell>
          <cell r="T93">
            <v>52</v>
          </cell>
          <cell r="U93">
            <v>2</v>
          </cell>
          <cell r="X93">
            <v>2</v>
          </cell>
          <cell r="Y93">
            <v>239</v>
          </cell>
        </row>
        <row r="94">
          <cell r="F94">
            <v>1</v>
          </cell>
          <cell r="H94">
            <v>7</v>
          </cell>
          <cell r="I94">
            <v>9</v>
          </cell>
          <cell r="J94">
            <v>21</v>
          </cell>
          <cell r="K94">
            <v>1</v>
          </cell>
          <cell r="L94">
            <v>10</v>
          </cell>
          <cell r="M94">
            <v>5</v>
          </cell>
          <cell r="N94">
            <v>3</v>
          </cell>
          <cell r="P94">
            <v>2</v>
          </cell>
          <cell r="Q94">
            <v>1</v>
          </cell>
          <cell r="T94">
            <v>24</v>
          </cell>
          <cell r="U94">
            <v>1</v>
          </cell>
          <cell r="X94">
            <v>7</v>
          </cell>
          <cell r="Y94">
            <v>92</v>
          </cell>
        </row>
        <row r="95">
          <cell r="F95">
            <v>1</v>
          </cell>
          <cell r="H95">
            <v>5</v>
          </cell>
          <cell r="I95">
            <v>6</v>
          </cell>
          <cell r="J95">
            <v>6</v>
          </cell>
          <cell r="L95">
            <v>6</v>
          </cell>
          <cell r="M95">
            <v>1</v>
          </cell>
          <cell r="P95">
            <v>2</v>
          </cell>
          <cell r="Q95">
            <v>8</v>
          </cell>
          <cell r="T95">
            <v>3</v>
          </cell>
          <cell r="X95">
            <v>6</v>
          </cell>
          <cell r="Y95">
            <v>44</v>
          </cell>
        </row>
        <row r="96">
          <cell r="F96">
            <v>4</v>
          </cell>
          <cell r="H96">
            <v>20</v>
          </cell>
          <cell r="I96">
            <v>6</v>
          </cell>
          <cell r="J96">
            <v>7</v>
          </cell>
          <cell r="L96">
            <v>7</v>
          </cell>
          <cell r="M96">
            <v>3</v>
          </cell>
          <cell r="P96">
            <v>4</v>
          </cell>
          <cell r="Q96">
            <v>9</v>
          </cell>
          <cell r="T96">
            <v>9</v>
          </cell>
          <cell r="U96">
            <v>4</v>
          </cell>
          <cell r="X96">
            <v>3</v>
          </cell>
          <cell r="Y96">
            <v>76</v>
          </cell>
        </row>
        <row r="97">
          <cell r="H97">
            <v>5</v>
          </cell>
          <cell r="I97">
            <v>4</v>
          </cell>
          <cell r="J97">
            <v>3</v>
          </cell>
          <cell r="L97">
            <v>3</v>
          </cell>
          <cell r="M97">
            <v>4</v>
          </cell>
          <cell r="N97">
            <v>1</v>
          </cell>
          <cell r="P97">
            <v>1</v>
          </cell>
          <cell r="Q97">
            <v>3</v>
          </cell>
          <cell r="T97">
            <v>6</v>
          </cell>
          <cell r="U97">
            <v>1</v>
          </cell>
          <cell r="Y97">
            <v>31</v>
          </cell>
        </row>
        <row r="98">
          <cell r="H98">
            <v>3</v>
          </cell>
          <cell r="I98">
            <v>3</v>
          </cell>
          <cell r="J98">
            <v>2</v>
          </cell>
          <cell r="L98">
            <v>2</v>
          </cell>
          <cell r="N98">
            <v>1</v>
          </cell>
          <cell r="P98">
            <v>1</v>
          </cell>
          <cell r="Q98">
            <v>1</v>
          </cell>
          <cell r="T98">
            <v>5</v>
          </cell>
          <cell r="U98">
            <v>1</v>
          </cell>
          <cell r="Y98">
            <v>19</v>
          </cell>
        </row>
        <row r="99">
          <cell r="H99">
            <v>2</v>
          </cell>
          <cell r="P99">
            <v>0</v>
          </cell>
          <cell r="T99">
            <v>1</v>
          </cell>
          <cell r="Y99">
            <v>3</v>
          </cell>
        </row>
        <row r="100">
          <cell r="H100">
            <v>20</v>
          </cell>
          <cell r="I100">
            <v>1</v>
          </cell>
          <cell r="J100">
            <v>6</v>
          </cell>
          <cell r="L100">
            <v>4</v>
          </cell>
          <cell r="M100">
            <v>1</v>
          </cell>
          <cell r="N100">
            <v>1</v>
          </cell>
          <cell r="P100">
            <v>2</v>
          </cell>
          <cell r="Q100">
            <v>2</v>
          </cell>
          <cell r="T100">
            <v>15</v>
          </cell>
          <cell r="X100">
            <v>3</v>
          </cell>
          <cell r="Y100">
            <v>55</v>
          </cell>
        </row>
        <row r="101">
          <cell r="F101">
            <v>15</v>
          </cell>
          <cell r="H101">
            <v>118</v>
          </cell>
          <cell r="I101">
            <v>19</v>
          </cell>
          <cell r="J101">
            <v>39</v>
          </cell>
          <cell r="K101">
            <v>1</v>
          </cell>
          <cell r="L101">
            <v>43</v>
          </cell>
          <cell r="M101">
            <v>11</v>
          </cell>
          <cell r="N101">
            <v>24</v>
          </cell>
          <cell r="P101">
            <v>14</v>
          </cell>
          <cell r="Q101">
            <v>68</v>
          </cell>
          <cell r="T101">
            <v>182</v>
          </cell>
          <cell r="U101">
            <v>4</v>
          </cell>
          <cell r="X101">
            <v>34</v>
          </cell>
          <cell r="Y101">
            <v>572</v>
          </cell>
        </row>
        <row r="102">
          <cell r="F102">
            <v>7</v>
          </cell>
          <cell r="H102">
            <v>161</v>
          </cell>
          <cell r="I102">
            <v>12</v>
          </cell>
          <cell r="J102">
            <v>51</v>
          </cell>
          <cell r="K102">
            <v>2</v>
          </cell>
          <cell r="L102">
            <v>29</v>
          </cell>
          <cell r="M102">
            <v>17</v>
          </cell>
          <cell r="N102">
            <v>12</v>
          </cell>
          <cell r="P102">
            <v>23</v>
          </cell>
          <cell r="Q102">
            <v>25</v>
          </cell>
          <cell r="T102">
            <v>117</v>
          </cell>
          <cell r="U102">
            <v>3</v>
          </cell>
          <cell r="X102">
            <v>11</v>
          </cell>
          <cell r="Y102">
            <v>470</v>
          </cell>
        </row>
        <row r="103">
          <cell r="H103">
            <v>8</v>
          </cell>
          <cell r="I103">
            <v>1</v>
          </cell>
          <cell r="J103">
            <v>1</v>
          </cell>
          <cell r="P103">
            <v>1</v>
          </cell>
          <cell r="Q103">
            <v>1</v>
          </cell>
          <cell r="T103">
            <v>5</v>
          </cell>
          <cell r="Y103">
            <v>17</v>
          </cell>
        </row>
        <row r="104">
          <cell r="F104">
            <v>5</v>
          </cell>
          <cell r="H104">
            <v>178</v>
          </cell>
          <cell r="I104">
            <v>6</v>
          </cell>
          <cell r="J104">
            <v>48</v>
          </cell>
          <cell r="K104">
            <v>1</v>
          </cell>
          <cell r="L104">
            <v>13</v>
          </cell>
          <cell r="M104">
            <v>15</v>
          </cell>
          <cell r="N104">
            <v>9</v>
          </cell>
          <cell r="P104">
            <v>11</v>
          </cell>
          <cell r="Q104">
            <v>31</v>
          </cell>
          <cell r="T104">
            <v>83</v>
          </cell>
          <cell r="U104">
            <v>1</v>
          </cell>
          <cell r="X104">
            <v>9</v>
          </cell>
          <cell r="Y104">
            <v>410</v>
          </cell>
        </row>
        <row r="105">
          <cell r="F105">
            <v>3</v>
          </cell>
          <cell r="H105">
            <v>41</v>
          </cell>
          <cell r="I105">
            <v>2</v>
          </cell>
          <cell r="J105">
            <v>32</v>
          </cell>
          <cell r="K105">
            <v>2</v>
          </cell>
          <cell r="L105">
            <v>18</v>
          </cell>
          <cell r="M105">
            <v>12</v>
          </cell>
          <cell r="N105">
            <v>2</v>
          </cell>
          <cell r="P105">
            <v>8</v>
          </cell>
          <cell r="Q105">
            <v>11</v>
          </cell>
          <cell r="T105">
            <v>59</v>
          </cell>
          <cell r="U105">
            <v>2</v>
          </cell>
          <cell r="X105">
            <v>20</v>
          </cell>
          <cell r="Y105">
            <v>212</v>
          </cell>
        </row>
        <row r="106">
          <cell r="H106">
            <v>15</v>
          </cell>
          <cell r="I106">
            <v>2</v>
          </cell>
          <cell r="J106">
            <v>7</v>
          </cell>
          <cell r="L106">
            <v>8</v>
          </cell>
          <cell r="N106">
            <v>1</v>
          </cell>
          <cell r="P106">
            <v>2</v>
          </cell>
          <cell r="Q106">
            <v>9</v>
          </cell>
          <cell r="T106">
            <v>6</v>
          </cell>
          <cell r="U106">
            <v>1</v>
          </cell>
          <cell r="X106">
            <v>8</v>
          </cell>
          <cell r="Y106">
            <v>59</v>
          </cell>
        </row>
        <row r="107">
          <cell r="F107">
            <v>3</v>
          </cell>
          <cell r="H107">
            <v>47</v>
          </cell>
          <cell r="I107">
            <v>2</v>
          </cell>
          <cell r="J107">
            <v>4</v>
          </cell>
          <cell r="K107">
            <v>1</v>
          </cell>
          <cell r="L107">
            <v>3</v>
          </cell>
          <cell r="M107">
            <v>1</v>
          </cell>
          <cell r="N107">
            <v>2</v>
          </cell>
          <cell r="P107">
            <v>1</v>
          </cell>
          <cell r="Q107">
            <v>11</v>
          </cell>
          <cell r="T107">
            <v>18</v>
          </cell>
          <cell r="X107">
            <v>4</v>
          </cell>
          <cell r="Y107">
            <v>97</v>
          </cell>
        </row>
        <row r="108">
          <cell r="H108">
            <v>28</v>
          </cell>
          <cell r="J108">
            <v>5</v>
          </cell>
          <cell r="L108">
            <v>3</v>
          </cell>
          <cell r="M108">
            <v>2</v>
          </cell>
          <cell r="N108">
            <v>4</v>
          </cell>
          <cell r="P108">
            <v>1</v>
          </cell>
          <cell r="Q108">
            <v>6</v>
          </cell>
          <cell r="T108">
            <v>11</v>
          </cell>
          <cell r="U108">
            <v>2</v>
          </cell>
          <cell r="X108">
            <v>7</v>
          </cell>
          <cell r="Y108">
            <v>69</v>
          </cell>
        </row>
        <row r="109">
          <cell r="H109">
            <v>19</v>
          </cell>
          <cell r="J109">
            <v>2</v>
          </cell>
          <cell r="L109">
            <v>2</v>
          </cell>
          <cell r="P109">
            <v>4</v>
          </cell>
          <cell r="Q109">
            <v>13</v>
          </cell>
          <cell r="T109">
            <v>10</v>
          </cell>
          <cell r="X109">
            <v>1</v>
          </cell>
          <cell r="Y109">
            <v>51</v>
          </cell>
        </row>
        <row r="110">
          <cell r="H110">
            <v>2</v>
          </cell>
          <cell r="N110">
            <v>1</v>
          </cell>
          <cell r="P110">
            <v>0</v>
          </cell>
          <cell r="T110">
            <v>3</v>
          </cell>
          <cell r="Y110">
            <v>6</v>
          </cell>
        </row>
        <row r="111">
          <cell r="F111">
            <v>2</v>
          </cell>
          <cell r="H111">
            <v>16</v>
          </cell>
          <cell r="I111">
            <v>2</v>
          </cell>
          <cell r="J111">
            <v>9</v>
          </cell>
          <cell r="K111">
            <v>1</v>
          </cell>
          <cell r="L111">
            <v>8</v>
          </cell>
          <cell r="M111">
            <v>4</v>
          </cell>
          <cell r="N111">
            <v>3</v>
          </cell>
          <cell r="P111">
            <v>1</v>
          </cell>
          <cell r="Q111">
            <v>19</v>
          </cell>
          <cell r="T111">
            <v>14</v>
          </cell>
          <cell r="X111">
            <v>2</v>
          </cell>
          <cell r="Y111">
            <v>81</v>
          </cell>
        </row>
        <row r="112">
          <cell r="F112">
            <v>9</v>
          </cell>
          <cell r="H112">
            <v>30</v>
          </cell>
          <cell r="I112">
            <v>16</v>
          </cell>
          <cell r="J112">
            <v>18</v>
          </cell>
          <cell r="L112">
            <v>38</v>
          </cell>
          <cell r="M112">
            <v>22</v>
          </cell>
          <cell r="N112">
            <v>3</v>
          </cell>
          <cell r="P112">
            <v>11</v>
          </cell>
          <cell r="Q112">
            <v>42</v>
          </cell>
          <cell r="T112">
            <v>54</v>
          </cell>
          <cell r="U112">
            <v>4</v>
          </cell>
          <cell r="X112">
            <v>12</v>
          </cell>
          <cell r="Y112">
            <v>259</v>
          </cell>
        </row>
        <row r="113">
          <cell r="F113">
            <v>6</v>
          </cell>
          <cell r="H113">
            <v>20</v>
          </cell>
          <cell r="I113">
            <v>5</v>
          </cell>
          <cell r="J113">
            <v>24</v>
          </cell>
          <cell r="L113">
            <v>19</v>
          </cell>
          <cell r="M113">
            <v>14</v>
          </cell>
          <cell r="P113">
            <v>19</v>
          </cell>
          <cell r="Q113">
            <v>21</v>
          </cell>
          <cell r="T113">
            <v>38</v>
          </cell>
          <cell r="X113">
            <v>1</v>
          </cell>
          <cell r="Y113">
            <v>167</v>
          </cell>
        </row>
        <row r="114">
          <cell r="J114">
            <v>2</v>
          </cell>
          <cell r="M114">
            <v>2</v>
          </cell>
          <cell r="P114">
            <v>0</v>
          </cell>
          <cell r="Q114">
            <v>1</v>
          </cell>
          <cell r="T114">
            <v>4</v>
          </cell>
          <cell r="Y114">
            <v>9</v>
          </cell>
        </row>
        <row r="115">
          <cell r="F115">
            <v>3</v>
          </cell>
          <cell r="H115">
            <v>16</v>
          </cell>
          <cell r="I115">
            <v>1</v>
          </cell>
          <cell r="J115">
            <v>21</v>
          </cell>
          <cell r="L115">
            <v>7</v>
          </cell>
          <cell r="M115">
            <v>14</v>
          </cell>
          <cell r="N115">
            <v>6</v>
          </cell>
          <cell r="P115">
            <v>17</v>
          </cell>
          <cell r="Q115">
            <v>20</v>
          </cell>
          <cell r="T115">
            <v>17</v>
          </cell>
          <cell r="U115">
            <v>2</v>
          </cell>
          <cell r="X115">
            <v>4</v>
          </cell>
          <cell r="Y115">
            <v>128</v>
          </cell>
        </row>
        <row r="116">
          <cell r="F116">
            <v>3</v>
          </cell>
          <cell r="H116">
            <v>8</v>
          </cell>
          <cell r="I116">
            <v>1</v>
          </cell>
          <cell r="J116">
            <v>17</v>
          </cell>
          <cell r="L116">
            <v>10</v>
          </cell>
          <cell r="M116">
            <v>9</v>
          </cell>
          <cell r="N116">
            <v>1</v>
          </cell>
          <cell r="P116">
            <v>4</v>
          </cell>
          <cell r="Q116">
            <v>3</v>
          </cell>
          <cell r="T116">
            <v>10</v>
          </cell>
          <cell r="X116">
            <v>5</v>
          </cell>
          <cell r="Y116">
            <v>71</v>
          </cell>
        </row>
        <row r="117">
          <cell r="H117">
            <v>1</v>
          </cell>
          <cell r="I117">
            <v>1</v>
          </cell>
          <cell r="K117">
            <v>1</v>
          </cell>
          <cell r="L117">
            <v>2</v>
          </cell>
          <cell r="P117">
            <v>2</v>
          </cell>
          <cell r="Q117">
            <v>8</v>
          </cell>
          <cell r="T117">
            <v>4</v>
          </cell>
          <cell r="X117">
            <v>1</v>
          </cell>
          <cell r="Y117">
            <v>20</v>
          </cell>
        </row>
        <row r="118">
          <cell r="F118">
            <v>1</v>
          </cell>
          <cell r="H118">
            <v>5</v>
          </cell>
          <cell r="J118">
            <v>3</v>
          </cell>
          <cell r="L118">
            <v>1</v>
          </cell>
          <cell r="M118">
            <v>2</v>
          </cell>
          <cell r="N118">
            <v>1</v>
          </cell>
          <cell r="P118">
            <v>2</v>
          </cell>
          <cell r="Q118">
            <v>6</v>
          </cell>
          <cell r="T118">
            <v>4</v>
          </cell>
          <cell r="X118">
            <v>2</v>
          </cell>
          <cell r="Y118">
            <v>27</v>
          </cell>
        </row>
        <row r="119">
          <cell r="L119">
            <v>3</v>
          </cell>
          <cell r="N119">
            <v>1</v>
          </cell>
          <cell r="P119">
            <v>1</v>
          </cell>
          <cell r="Q119">
            <v>2</v>
          </cell>
          <cell r="Y119">
            <v>7</v>
          </cell>
        </row>
        <row r="120">
          <cell r="J120">
            <v>3</v>
          </cell>
          <cell r="M120">
            <v>1</v>
          </cell>
          <cell r="N120">
            <v>1</v>
          </cell>
          <cell r="P120">
            <v>3</v>
          </cell>
          <cell r="Q120">
            <v>5</v>
          </cell>
          <cell r="T120">
            <v>1</v>
          </cell>
          <cell r="Y120">
            <v>14</v>
          </cell>
        </row>
        <row r="121">
          <cell r="P121">
            <v>0</v>
          </cell>
          <cell r="Y121">
            <v>0</v>
          </cell>
        </row>
        <row r="122">
          <cell r="I122">
            <v>3</v>
          </cell>
          <cell r="J122">
            <v>1</v>
          </cell>
          <cell r="L122">
            <v>6</v>
          </cell>
          <cell r="M122">
            <v>1</v>
          </cell>
          <cell r="P122">
            <v>1</v>
          </cell>
          <cell r="T122">
            <v>7</v>
          </cell>
          <cell r="Y122">
            <v>19</v>
          </cell>
        </row>
        <row r="123">
          <cell r="F123">
            <v>4</v>
          </cell>
          <cell r="H123">
            <v>7</v>
          </cell>
          <cell r="I123">
            <v>7</v>
          </cell>
          <cell r="J123">
            <v>9</v>
          </cell>
          <cell r="L123">
            <v>21</v>
          </cell>
          <cell r="M123">
            <v>1</v>
          </cell>
          <cell r="P123">
            <v>6</v>
          </cell>
          <cell r="Q123">
            <v>4</v>
          </cell>
          <cell r="T123">
            <v>39</v>
          </cell>
          <cell r="U123">
            <v>8</v>
          </cell>
          <cell r="X123">
            <v>4</v>
          </cell>
          <cell r="Y123">
            <v>110</v>
          </cell>
        </row>
        <row r="124">
          <cell r="F124">
            <v>1</v>
          </cell>
          <cell r="H124">
            <v>14</v>
          </cell>
          <cell r="I124">
            <v>7</v>
          </cell>
          <cell r="J124">
            <v>15</v>
          </cell>
          <cell r="L124">
            <v>13</v>
          </cell>
          <cell r="M124">
            <v>3</v>
          </cell>
          <cell r="P124">
            <v>10</v>
          </cell>
          <cell r="Q124">
            <v>3</v>
          </cell>
          <cell r="T124">
            <v>27</v>
          </cell>
          <cell r="U124">
            <v>2</v>
          </cell>
          <cell r="X124">
            <v>2</v>
          </cell>
          <cell r="Y124">
            <v>97</v>
          </cell>
        </row>
        <row r="125">
          <cell r="L125">
            <v>1</v>
          </cell>
          <cell r="M125">
            <v>1</v>
          </cell>
          <cell r="P125">
            <v>0</v>
          </cell>
          <cell r="Y125">
            <v>2</v>
          </cell>
        </row>
        <row r="126">
          <cell r="H126">
            <v>3</v>
          </cell>
          <cell r="I126">
            <v>3</v>
          </cell>
          <cell r="J126">
            <v>12</v>
          </cell>
          <cell r="L126">
            <v>3</v>
          </cell>
          <cell r="M126">
            <v>1</v>
          </cell>
          <cell r="P126">
            <v>4</v>
          </cell>
          <cell r="T126">
            <v>10</v>
          </cell>
          <cell r="U126">
            <v>1</v>
          </cell>
          <cell r="X126">
            <v>2</v>
          </cell>
          <cell r="Y126">
            <v>39</v>
          </cell>
        </row>
        <row r="127">
          <cell r="H127">
            <v>6</v>
          </cell>
          <cell r="I127">
            <v>1</v>
          </cell>
          <cell r="J127">
            <v>12</v>
          </cell>
          <cell r="L127">
            <v>3</v>
          </cell>
          <cell r="M127">
            <v>1</v>
          </cell>
          <cell r="P127">
            <v>1</v>
          </cell>
          <cell r="Q127">
            <v>1</v>
          </cell>
          <cell r="T127">
            <v>3</v>
          </cell>
          <cell r="Y127">
            <v>28</v>
          </cell>
        </row>
        <row r="128">
          <cell r="J128">
            <v>1</v>
          </cell>
          <cell r="L128">
            <v>1</v>
          </cell>
          <cell r="P128">
            <v>3</v>
          </cell>
          <cell r="T128">
            <v>1</v>
          </cell>
          <cell r="U128">
            <v>1</v>
          </cell>
          <cell r="X128">
            <v>1</v>
          </cell>
          <cell r="Y128">
            <v>8</v>
          </cell>
        </row>
        <row r="129">
          <cell r="H129">
            <v>3</v>
          </cell>
          <cell r="I129">
            <v>1</v>
          </cell>
          <cell r="J129">
            <v>2</v>
          </cell>
          <cell r="L129">
            <v>6</v>
          </cell>
          <cell r="P129">
            <v>0</v>
          </cell>
          <cell r="Q129">
            <v>1</v>
          </cell>
          <cell r="T129">
            <v>2</v>
          </cell>
          <cell r="U129">
            <v>1</v>
          </cell>
          <cell r="Y129">
            <v>16</v>
          </cell>
        </row>
        <row r="130">
          <cell r="J130">
            <v>2</v>
          </cell>
          <cell r="L130">
            <v>4</v>
          </cell>
          <cell r="P130">
            <v>0</v>
          </cell>
          <cell r="Q130">
            <v>2</v>
          </cell>
          <cell r="T130">
            <v>2</v>
          </cell>
          <cell r="X130">
            <v>2</v>
          </cell>
          <cell r="Y130">
            <v>12</v>
          </cell>
        </row>
        <row r="131">
          <cell r="F131">
            <v>1</v>
          </cell>
          <cell r="I131">
            <v>1</v>
          </cell>
          <cell r="M131">
            <v>1</v>
          </cell>
          <cell r="P131">
            <v>1</v>
          </cell>
          <cell r="T131">
            <v>2</v>
          </cell>
          <cell r="Y131">
            <v>6</v>
          </cell>
        </row>
        <row r="132">
          <cell r="P132">
            <v>0</v>
          </cell>
          <cell r="Y132">
            <v>0</v>
          </cell>
        </row>
        <row r="133">
          <cell r="F133">
            <v>26</v>
          </cell>
          <cell r="G133">
            <v>61</v>
          </cell>
          <cell r="H133">
            <v>178</v>
          </cell>
          <cell r="I133">
            <v>92</v>
          </cell>
          <cell r="J133">
            <v>309</v>
          </cell>
          <cell r="K133">
            <v>46</v>
          </cell>
          <cell r="L133">
            <v>431</v>
          </cell>
          <cell r="M133">
            <v>72</v>
          </cell>
          <cell r="N133">
            <v>54</v>
          </cell>
          <cell r="O133">
            <v>132</v>
          </cell>
          <cell r="P133">
            <v>43</v>
          </cell>
          <cell r="Q133">
            <v>48</v>
          </cell>
          <cell r="R133">
            <v>97</v>
          </cell>
          <cell r="S133">
            <v>77</v>
          </cell>
          <cell r="T133">
            <v>389</v>
          </cell>
          <cell r="U133">
            <v>24</v>
          </cell>
          <cell r="V133">
            <v>252</v>
          </cell>
          <cell r="W133">
            <v>37</v>
          </cell>
          <cell r="X133">
            <v>27</v>
          </cell>
          <cell r="Y133">
            <v>2395</v>
          </cell>
          <cell r="Z133">
            <v>14094</v>
          </cell>
        </row>
        <row r="134">
          <cell r="F134">
            <v>242</v>
          </cell>
          <cell r="G134">
            <v>449</v>
          </cell>
          <cell r="H134">
            <v>1440</v>
          </cell>
          <cell r="I134">
            <v>989</v>
          </cell>
          <cell r="J134">
            <v>2702</v>
          </cell>
          <cell r="K134">
            <v>313</v>
          </cell>
          <cell r="L134">
            <v>3503</v>
          </cell>
          <cell r="M134">
            <v>620</v>
          </cell>
          <cell r="N134">
            <v>637</v>
          </cell>
          <cell r="O134">
            <v>1096</v>
          </cell>
          <cell r="P134">
            <v>534</v>
          </cell>
          <cell r="Q134">
            <v>416</v>
          </cell>
          <cell r="R134">
            <v>521</v>
          </cell>
          <cell r="S134">
            <v>643</v>
          </cell>
          <cell r="T134">
            <v>3203</v>
          </cell>
          <cell r="U134">
            <v>285</v>
          </cell>
          <cell r="V134">
            <v>1813</v>
          </cell>
          <cell r="W134">
            <v>294</v>
          </cell>
          <cell r="X134">
            <v>277</v>
          </cell>
          <cell r="Y134">
            <v>19977</v>
          </cell>
          <cell r="Z134">
            <v>117222</v>
          </cell>
        </row>
        <row r="135">
          <cell r="F135">
            <v>301</v>
          </cell>
          <cell r="G135">
            <v>577</v>
          </cell>
          <cell r="H135">
            <v>1540</v>
          </cell>
          <cell r="I135">
            <v>1320</v>
          </cell>
          <cell r="J135">
            <v>2995</v>
          </cell>
          <cell r="K135">
            <v>371</v>
          </cell>
          <cell r="L135">
            <v>4127</v>
          </cell>
          <cell r="M135">
            <v>796</v>
          </cell>
          <cell r="N135">
            <v>642</v>
          </cell>
          <cell r="O135">
            <v>1326</v>
          </cell>
          <cell r="P135">
            <v>513</v>
          </cell>
          <cell r="Q135">
            <v>477</v>
          </cell>
          <cell r="R135">
            <v>430</v>
          </cell>
          <cell r="S135">
            <v>495</v>
          </cell>
          <cell r="T135">
            <v>3077</v>
          </cell>
          <cell r="U135">
            <v>389</v>
          </cell>
          <cell r="V135">
            <v>1796</v>
          </cell>
          <cell r="W135">
            <v>325</v>
          </cell>
          <cell r="X135">
            <v>342</v>
          </cell>
          <cell r="Y135">
            <v>21839</v>
          </cell>
          <cell r="Z135">
            <v>126332</v>
          </cell>
        </row>
        <row r="136">
          <cell r="F136">
            <v>164</v>
          </cell>
          <cell r="G136">
            <v>313</v>
          </cell>
          <cell r="H136">
            <v>766</v>
          </cell>
          <cell r="I136">
            <v>857</v>
          </cell>
          <cell r="J136">
            <v>1818</v>
          </cell>
          <cell r="K136">
            <v>227</v>
          </cell>
          <cell r="L136">
            <v>2786</v>
          </cell>
          <cell r="M136">
            <v>529</v>
          </cell>
          <cell r="N136">
            <v>399</v>
          </cell>
          <cell r="O136">
            <v>774</v>
          </cell>
          <cell r="P136">
            <v>361</v>
          </cell>
          <cell r="Q136">
            <v>264</v>
          </cell>
          <cell r="R136">
            <v>242</v>
          </cell>
          <cell r="S136">
            <v>249</v>
          </cell>
          <cell r="T136">
            <v>1714</v>
          </cell>
          <cell r="U136">
            <v>228</v>
          </cell>
          <cell r="V136">
            <v>1165</v>
          </cell>
          <cell r="W136">
            <v>212</v>
          </cell>
          <cell r="X136">
            <v>238</v>
          </cell>
          <cell r="Y136">
            <v>13306</v>
          </cell>
          <cell r="Z136">
            <v>77587</v>
          </cell>
        </row>
        <row r="137">
          <cell r="F137">
            <v>42</v>
          </cell>
          <cell r="G137">
            <v>86</v>
          </cell>
          <cell r="H137">
            <v>130</v>
          </cell>
          <cell r="I137">
            <v>176</v>
          </cell>
          <cell r="J137">
            <v>447</v>
          </cell>
          <cell r="K137">
            <v>99</v>
          </cell>
          <cell r="L137">
            <v>916</v>
          </cell>
          <cell r="M137">
            <v>109</v>
          </cell>
          <cell r="N137">
            <v>75</v>
          </cell>
          <cell r="O137">
            <v>226</v>
          </cell>
          <cell r="P137">
            <v>62</v>
          </cell>
          <cell r="Q137">
            <v>77</v>
          </cell>
          <cell r="R137">
            <v>60</v>
          </cell>
          <cell r="S137">
            <v>58</v>
          </cell>
          <cell r="T137">
            <v>349</v>
          </cell>
          <cell r="U137">
            <v>45</v>
          </cell>
          <cell r="V137">
            <v>271</v>
          </cell>
          <cell r="W137">
            <v>65</v>
          </cell>
          <cell r="X137">
            <v>50</v>
          </cell>
          <cell r="Y137">
            <v>3343</v>
          </cell>
          <cell r="Z137">
            <v>18760</v>
          </cell>
        </row>
        <row r="138">
          <cell r="H138">
            <v>3</v>
          </cell>
          <cell r="I138">
            <v>2</v>
          </cell>
          <cell r="J138">
            <v>2</v>
          </cell>
          <cell r="L138">
            <v>6</v>
          </cell>
          <cell r="P138">
            <v>1</v>
          </cell>
          <cell r="Q138">
            <v>1</v>
          </cell>
          <cell r="T138">
            <v>3</v>
          </cell>
          <cell r="Y138">
            <v>18</v>
          </cell>
        </row>
        <row r="139">
          <cell r="F139">
            <v>9</v>
          </cell>
          <cell r="H139">
            <v>42</v>
          </cell>
          <cell r="I139">
            <v>24</v>
          </cell>
          <cell r="J139">
            <v>40</v>
          </cell>
          <cell r="K139">
            <v>1</v>
          </cell>
          <cell r="L139">
            <v>85</v>
          </cell>
          <cell r="M139">
            <v>5</v>
          </cell>
          <cell r="N139">
            <v>16</v>
          </cell>
          <cell r="P139">
            <v>13</v>
          </cell>
          <cell r="Q139">
            <v>8</v>
          </cell>
          <cell r="T139">
            <v>90</v>
          </cell>
          <cell r="U139">
            <v>5</v>
          </cell>
          <cell r="X139">
            <v>5</v>
          </cell>
          <cell r="Y139">
            <v>343</v>
          </cell>
        </row>
        <row r="140">
          <cell r="F140">
            <v>2</v>
          </cell>
          <cell r="H140">
            <v>29</v>
          </cell>
          <cell r="I140">
            <v>6</v>
          </cell>
          <cell r="J140">
            <v>51</v>
          </cell>
          <cell r="K140">
            <v>4</v>
          </cell>
          <cell r="L140">
            <v>89</v>
          </cell>
          <cell r="M140">
            <v>9</v>
          </cell>
          <cell r="N140">
            <v>3</v>
          </cell>
          <cell r="P140">
            <v>10</v>
          </cell>
          <cell r="Q140">
            <v>12</v>
          </cell>
          <cell r="T140">
            <v>81</v>
          </cell>
          <cell r="U140">
            <v>1</v>
          </cell>
          <cell r="X140">
            <v>5</v>
          </cell>
          <cell r="Y140">
            <v>302</v>
          </cell>
        </row>
        <row r="141">
          <cell r="H141">
            <v>3</v>
          </cell>
          <cell r="L141">
            <v>2</v>
          </cell>
          <cell r="P141">
            <v>0</v>
          </cell>
          <cell r="Y141">
            <v>5</v>
          </cell>
        </row>
        <row r="142">
          <cell r="F142">
            <v>3</v>
          </cell>
          <cell r="H142">
            <v>20</v>
          </cell>
          <cell r="I142">
            <v>9</v>
          </cell>
          <cell r="J142">
            <v>31</v>
          </cell>
          <cell r="L142">
            <v>37</v>
          </cell>
          <cell r="M142">
            <v>4</v>
          </cell>
          <cell r="N142">
            <v>3</v>
          </cell>
          <cell r="P142">
            <v>4</v>
          </cell>
          <cell r="Q142">
            <v>4</v>
          </cell>
          <cell r="T142">
            <v>26</v>
          </cell>
          <cell r="U142">
            <v>2</v>
          </cell>
          <cell r="Y142">
            <v>143</v>
          </cell>
        </row>
        <row r="143">
          <cell r="F143">
            <v>2</v>
          </cell>
          <cell r="H143">
            <v>7</v>
          </cell>
          <cell r="I143">
            <v>3</v>
          </cell>
          <cell r="J143">
            <v>26</v>
          </cell>
          <cell r="L143">
            <v>23</v>
          </cell>
          <cell r="M143">
            <v>10</v>
          </cell>
          <cell r="N143">
            <v>2</v>
          </cell>
          <cell r="P143">
            <v>5</v>
          </cell>
          <cell r="Q143">
            <v>2</v>
          </cell>
          <cell r="T143">
            <v>25</v>
          </cell>
          <cell r="X143">
            <v>2</v>
          </cell>
          <cell r="Y143">
            <v>107</v>
          </cell>
        </row>
        <row r="144">
          <cell r="H144">
            <v>3</v>
          </cell>
          <cell r="I144">
            <v>3</v>
          </cell>
          <cell r="J144">
            <v>7</v>
          </cell>
          <cell r="K144">
            <v>3</v>
          </cell>
          <cell r="L144">
            <v>15</v>
          </cell>
          <cell r="N144">
            <v>1</v>
          </cell>
          <cell r="P144">
            <v>4</v>
          </cell>
          <cell r="Q144">
            <v>1</v>
          </cell>
          <cell r="T144">
            <v>5</v>
          </cell>
          <cell r="Y144">
            <v>42</v>
          </cell>
        </row>
        <row r="145">
          <cell r="F145">
            <v>4</v>
          </cell>
          <cell r="H145">
            <v>19</v>
          </cell>
          <cell r="I145">
            <v>3</v>
          </cell>
          <cell r="J145">
            <v>11</v>
          </cell>
          <cell r="L145">
            <v>23</v>
          </cell>
          <cell r="M145">
            <v>6</v>
          </cell>
          <cell r="N145">
            <v>9</v>
          </cell>
          <cell r="P145">
            <v>6</v>
          </cell>
          <cell r="Q145">
            <v>3</v>
          </cell>
          <cell r="T145">
            <v>8</v>
          </cell>
          <cell r="U145">
            <v>1</v>
          </cell>
          <cell r="Y145">
            <v>93</v>
          </cell>
        </row>
        <row r="146">
          <cell r="H146">
            <v>4</v>
          </cell>
          <cell r="I146">
            <v>1</v>
          </cell>
          <cell r="J146">
            <v>7</v>
          </cell>
          <cell r="K146">
            <v>1</v>
          </cell>
          <cell r="L146">
            <v>9</v>
          </cell>
          <cell r="M146">
            <v>1</v>
          </cell>
          <cell r="P146">
            <v>0</v>
          </cell>
          <cell r="T146">
            <v>9</v>
          </cell>
          <cell r="U146">
            <v>2</v>
          </cell>
          <cell r="Y146">
            <v>34</v>
          </cell>
        </row>
        <row r="147">
          <cell r="H147">
            <v>2</v>
          </cell>
          <cell r="J147">
            <v>4</v>
          </cell>
          <cell r="L147">
            <v>2</v>
          </cell>
          <cell r="M147">
            <v>1</v>
          </cell>
          <cell r="P147">
            <v>0</v>
          </cell>
          <cell r="T147">
            <v>4</v>
          </cell>
          <cell r="U147">
            <v>1</v>
          </cell>
          <cell r="Y147">
            <v>14</v>
          </cell>
        </row>
        <row r="148">
          <cell r="H148">
            <v>1</v>
          </cell>
          <cell r="M148">
            <v>1</v>
          </cell>
          <cell r="P148">
            <v>0</v>
          </cell>
          <cell r="T148">
            <v>1</v>
          </cell>
          <cell r="U148">
            <v>1</v>
          </cell>
          <cell r="Y148">
            <v>4</v>
          </cell>
        </row>
        <row r="149">
          <cell r="F149">
            <v>44</v>
          </cell>
          <cell r="H149">
            <v>167</v>
          </cell>
          <cell r="I149">
            <v>106</v>
          </cell>
          <cell r="J149">
            <v>400</v>
          </cell>
          <cell r="K149">
            <v>30</v>
          </cell>
          <cell r="L149">
            <v>411</v>
          </cell>
          <cell r="M149">
            <v>62</v>
          </cell>
          <cell r="N149">
            <v>58</v>
          </cell>
          <cell r="P149">
            <v>89</v>
          </cell>
          <cell r="Q149">
            <v>45</v>
          </cell>
          <cell r="T149">
            <v>379</v>
          </cell>
          <cell r="U149">
            <v>27</v>
          </cell>
          <cell r="X149">
            <v>30</v>
          </cell>
          <cell r="Y149">
            <v>1848</v>
          </cell>
        </row>
        <row r="150">
          <cell r="F150">
            <v>102</v>
          </cell>
          <cell r="H150">
            <v>395</v>
          </cell>
          <cell r="I150">
            <v>333</v>
          </cell>
          <cell r="J150">
            <v>475</v>
          </cell>
          <cell r="K150">
            <v>42</v>
          </cell>
          <cell r="L150">
            <v>1380</v>
          </cell>
          <cell r="M150">
            <v>167</v>
          </cell>
          <cell r="N150">
            <v>257</v>
          </cell>
          <cell r="P150">
            <v>128</v>
          </cell>
          <cell r="Q150">
            <v>155</v>
          </cell>
          <cell r="T150">
            <v>1114</v>
          </cell>
          <cell r="U150">
            <v>128</v>
          </cell>
          <cell r="X150">
            <v>117</v>
          </cell>
          <cell r="Y150">
            <v>4793</v>
          </cell>
        </row>
        <row r="151">
          <cell r="F151">
            <v>28</v>
          </cell>
          <cell r="H151">
            <v>358</v>
          </cell>
          <cell r="I151">
            <v>195</v>
          </cell>
          <cell r="J151">
            <v>526</v>
          </cell>
          <cell r="K151">
            <v>66</v>
          </cell>
          <cell r="L151">
            <v>728</v>
          </cell>
          <cell r="M151">
            <v>109</v>
          </cell>
          <cell r="N151">
            <v>101</v>
          </cell>
          <cell r="P151">
            <v>161</v>
          </cell>
          <cell r="Q151">
            <v>69</v>
          </cell>
          <cell r="T151">
            <v>662</v>
          </cell>
          <cell r="U151">
            <v>25</v>
          </cell>
          <cell r="X151">
            <v>28</v>
          </cell>
          <cell r="Y151">
            <v>3056</v>
          </cell>
        </row>
        <row r="152">
          <cell r="F152">
            <v>2</v>
          </cell>
          <cell r="H152">
            <v>33</v>
          </cell>
          <cell r="I152">
            <v>11</v>
          </cell>
          <cell r="J152">
            <v>25</v>
          </cell>
          <cell r="K152">
            <v>1</v>
          </cell>
          <cell r="L152">
            <v>23</v>
          </cell>
          <cell r="M152">
            <v>7</v>
          </cell>
          <cell r="P152">
            <v>9</v>
          </cell>
          <cell r="T152">
            <v>81</v>
          </cell>
          <cell r="U152">
            <v>1</v>
          </cell>
          <cell r="X152">
            <v>2</v>
          </cell>
          <cell r="Y152">
            <v>195</v>
          </cell>
        </row>
        <row r="153">
          <cell r="F153">
            <v>26</v>
          </cell>
          <cell r="H153">
            <v>201</v>
          </cell>
          <cell r="I153">
            <v>113</v>
          </cell>
          <cell r="J153">
            <v>592</v>
          </cell>
          <cell r="K153">
            <v>37</v>
          </cell>
          <cell r="L153">
            <v>169</v>
          </cell>
          <cell r="M153">
            <v>89</v>
          </cell>
          <cell r="N153">
            <v>62</v>
          </cell>
          <cell r="P153">
            <v>76</v>
          </cell>
          <cell r="Q153">
            <v>47</v>
          </cell>
          <cell r="T153">
            <v>405</v>
          </cell>
          <cell r="U153">
            <v>41</v>
          </cell>
          <cell r="X153">
            <v>19</v>
          </cell>
          <cell r="Y153">
            <v>1877</v>
          </cell>
        </row>
        <row r="154">
          <cell r="F154">
            <v>10</v>
          </cell>
          <cell r="H154">
            <v>48</v>
          </cell>
          <cell r="I154">
            <v>34</v>
          </cell>
          <cell r="J154">
            <v>218</v>
          </cell>
          <cell r="K154">
            <v>13</v>
          </cell>
          <cell r="L154">
            <v>279</v>
          </cell>
          <cell r="M154">
            <v>57</v>
          </cell>
          <cell r="N154">
            <v>21</v>
          </cell>
          <cell r="P154">
            <v>18</v>
          </cell>
          <cell r="Q154">
            <v>12</v>
          </cell>
          <cell r="T154">
            <v>156</v>
          </cell>
          <cell r="U154">
            <v>3</v>
          </cell>
          <cell r="X154">
            <v>32</v>
          </cell>
          <cell r="Y154">
            <v>901</v>
          </cell>
        </row>
        <row r="155">
          <cell r="F155">
            <v>2</v>
          </cell>
          <cell r="H155">
            <v>23</v>
          </cell>
          <cell r="I155">
            <v>61</v>
          </cell>
          <cell r="J155">
            <v>39</v>
          </cell>
          <cell r="K155">
            <v>3</v>
          </cell>
          <cell r="L155">
            <v>148</v>
          </cell>
          <cell r="M155">
            <v>7</v>
          </cell>
          <cell r="N155">
            <v>18</v>
          </cell>
          <cell r="P155">
            <v>9</v>
          </cell>
          <cell r="Q155">
            <v>24</v>
          </cell>
          <cell r="T155">
            <v>38</v>
          </cell>
          <cell r="U155">
            <v>7</v>
          </cell>
          <cell r="X155">
            <v>19</v>
          </cell>
          <cell r="Y155">
            <v>398</v>
          </cell>
        </row>
        <row r="156">
          <cell r="F156">
            <v>14</v>
          </cell>
          <cell r="H156">
            <v>88</v>
          </cell>
          <cell r="I156">
            <v>66</v>
          </cell>
          <cell r="J156">
            <v>199</v>
          </cell>
          <cell r="K156">
            <v>10</v>
          </cell>
          <cell r="L156">
            <v>150</v>
          </cell>
          <cell r="M156">
            <v>29</v>
          </cell>
          <cell r="N156">
            <v>46</v>
          </cell>
          <cell r="P156">
            <v>24</v>
          </cell>
          <cell r="Q156">
            <v>22</v>
          </cell>
          <cell r="T156">
            <v>121</v>
          </cell>
          <cell r="U156">
            <v>28</v>
          </cell>
          <cell r="X156">
            <v>20</v>
          </cell>
          <cell r="Y156">
            <v>817</v>
          </cell>
        </row>
        <row r="157">
          <cell r="F157">
            <v>3</v>
          </cell>
          <cell r="H157">
            <v>33</v>
          </cell>
          <cell r="I157">
            <v>24</v>
          </cell>
          <cell r="J157">
            <v>48</v>
          </cell>
          <cell r="K157">
            <v>9</v>
          </cell>
          <cell r="L157">
            <v>60</v>
          </cell>
          <cell r="M157">
            <v>15</v>
          </cell>
          <cell r="N157">
            <v>13</v>
          </cell>
          <cell r="P157">
            <v>9</v>
          </cell>
          <cell r="Q157">
            <v>10</v>
          </cell>
          <cell r="T157">
            <v>50</v>
          </cell>
          <cell r="U157">
            <v>9</v>
          </cell>
          <cell r="X157">
            <v>7</v>
          </cell>
          <cell r="Y157">
            <v>290</v>
          </cell>
        </row>
        <row r="158">
          <cell r="F158">
            <v>1</v>
          </cell>
          <cell r="H158">
            <v>24</v>
          </cell>
          <cell r="I158">
            <v>5</v>
          </cell>
          <cell r="J158">
            <v>51</v>
          </cell>
          <cell r="K158">
            <v>8</v>
          </cell>
          <cell r="L158">
            <v>23</v>
          </cell>
          <cell r="M158">
            <v>8</v>
          </cell>
          <cell r="N158">
            <v>10</v>
          </cell>
          <cell r="P158">
            <v>11</v>
          </cell>
          <cell r="Q158">
            <v>14</v>
          </cell>
          <cell r="T158">
            <v>27</v>
          </cell>
          <cell r="U158">
            <v>2</v>
          </cell>
          <cell r="Y158">
            <v>184</v>
          </cell>
        </row>
        <row r="159">
          <cell r="H159">
            <v>10</v>
          </cell>
          <cell r="J159">
            <v>1</v>
          </cell>
          <cell r="L159">
            <v>2</v>
          </cell>
          <cell r="M159">
            <v>2</v>
          </cell>
          <cell r="N159">
            <v>5</v>
          </cell>
          <cell r="P159">
            <v>0</v>
          </cell>
          <cell r="T159">
            <v>14</v>
          </cell>
          <cell r="X159">
            <v>2</v>
          </cell>
          <cell r="Y159">
            <v>36</v>
          </cell>
        </row>
        <row r="160">
          <cell r="F160">
            <v>54</v>
          </cell>
          <cell r="H160">
            <v>267</v>
          </cell>
          <cell r="I160">
            <v>298</v>
          </cell>
          <cell r="J160">
            <v>764</v>
          </cell>
          <cell r="K160">
            <v>42</v>
          </cell>
          <cell r="L160">
            <v>864</v>
          </cell>
          <cell r="M160">
            <v>135</v>
          </cell>
          <cell r="N160">
            <v>110</v>
          </cell>
          <cell r="P160">
            <v>124</v>
          </cell>
          <cell r="Q160">
            <v>129</v>
          </cell>
          <cell r="T160">
            <v>530</v>
          </cell>
          <cell r="U160">
            <v>60</v>
          </cell>
          <cell r="X160">
            <v>84</v>
          </cell>
          <cell r="Y160">
            <v>3461</v>
          </cell>
        </row>
        <row r="161">
          <cell r="F161">
            <v>102</v>
          </cell>
          <cell r="H161">
            <v>399</v>
          </cell>
          <cell r="I161">
            <v>334</v>
          </cell>
          <cell r="J161">
            <v>408</v>
          </cell>
          <cell r="K161">
            <v>43</v>
          </cell>
          <cell r="L161">
            <v>1734</v>
          </cell>
          <cell r="M161">
            <v>260</v>
          </cell>
          <cell r="N161">
            <v>227</v>
          </cell>
          <cell r="P161">
            <v>83</v>
          </cell>
          <cell r="Q161">
            <v>158</v>
          </cell>
          <cell r="T161">
            <v>1027</v>
          </cell>
          <cell r="U161">
            <v>174</v>
          </cell>
          <cell r="X161">
            <v>128</v>
          </cell>
          <cell r="Y161">
            <v>5077</v>
          </cell>
        </row>
        <row r="162">
          <cell r="F162">
            <v>31</v>
          </cell>
          <cell r="H162">
            <v>333</v>
          </cell>
          <cell r="I162">
            <v>287</v>
          </cell>
          <cell r="J162">
            <v>382</v>
          </cell>
          <cell r="K162">
            <v>86</v>
          </cell>
          <cell r="L162">
            <v>506</v>
          </cell>
          <cell r="M162">
            <v>68</v>
          </cell>
          <cell r="N162">
            <v>72</v>
          </cell>
          <cell r="P162">
            <v>116</v>
          </cell>
          <cell r="Q162">
            <v>34</v>
          </cell>
          <cell r="T162">
            <v>498</v>
          </cell>
          <cell r="U162">
            <v>15</v>
          </cell>
          <cell r="X162">
            <v>15</v>
          </cell>
          <cell r="Y162">
            <v>2443</v>
          </cell>
        </row>
        <row r="163">
          <cell r="F163">
            <v>8</v>
          </cell>
          <cell r="H163">
            <v>59</v>
          </cell>
          <cell r="I163">
            <v>52</v>
          </cell>
          <cell r="J163">
            <v>107</v>
          </cell>
          <cell r="K163">
            <v>5</v>
          </cell>
          <cell r="L163">
            <v>79</v>
          </cell>
          <cell r="M163">
            <v>35</v>
          </cell>
          <cell r="N163">
            <v>6</v>
          </cell>
          <cell r="P163">
            <v>18</v>
          </cell>
          <cell r="Q163">
            <v>1</v>
          </cell>
          <cell r="T163">
            <v>153</v>
          </cell>
          <cell r="U163">
            <v>29</v>
          </cell>
          <cell r="X163">
            <v>10</v>
          </cell>
          <cell r="Y163">
            <v>562</v>
          </cell>
        </row>
        <row r="164">
          <cell r="F164">
            <v>63</v>
          </cell>
          <cell r="H164">
            <v>268</v>
          </cell>
          <cell r="I164">
            <v>176</v>
          </cell>
          <cell r="J164">
            <v>871</v>
          </cell>
          <cell r="K164">
            <v>35</v>
          </cell>
          <cell r="L164">
            <v>273</v>
          </cell>
          <cell r="M164">
            <v>156</v>
          </cell>
          <cell r="N164">
            <v>123</v>
          </cell>
          <cell r="P164">
            <v>83</v>
          </cell>
          <cell r="Q164">
            <v>66</v>
          </cell>
          <cell r="T164">
            <v>465</v>
          </cell>
          <cell r="U164">
            <v>59</v>
          </cell>
          <cell r="X164">
            <v>34</v>
          </cell>
          <cell r="Y164">
            <v>2672</v>
          </cell>
        </row>
        <row r="165">
          <cell r="F165">
            <v>13</v>
          </cell>
          <cell r="H165">
            <v>42</v>
          </cell>
          <cell r="I165">
            <v>33</v>
          </cell>
          <cell r="J165">
            <v>143</v>
          </cell>
          <cell r="K165">
            <v>6</v>
          </cell>
          <cell r="L165">
            <v>264</v>
          </cell>
          <cell r="M165">
            <v>47</v>
          </cell>
          <cell r="N165">
            <v>33</v>
          </cell>
          <cell r="P165">
            <v>25</v>
          </cell>
          <cell r="Q165">
            <v>13</v>
          </cell>
          <cell r="T165">
            <v>150</v>
          </cell>
          <cell r="U165">
            <v>5</v>
          </cell>
          <cell r="X165">
            <v>26</v>
          </cell>
          <cell r="Y165">
            <v>800</v>
          </cell>
        </row>
        <row r="166">
          <cell r="F166">
            <v>2</v>
          </cell>
          <cell r="H166">
            <v>16</v>
          </cell>
          <cell r="I166">
            <v>14</v>
          </cell>
          <cell r="J166">
            <v>48</v>
          </cell>
          <cell r="K166">
            <v>1</v>
          </cell>
          <cell r="L166">
            <v>106</v>
          </cell>
          <cell r="M166">
            <v>2</v>
          </cell>
          <cell r="N166">
            <v>5</v>
          </cell>
          <cell r="P166">
            <v>14</v>
          </cell>
          <cell r="Q166">
            <v>24</v>
          </cell>
          <cell r="T166">
            <v>32</v>
          </cell>
          <cell r="U166">
            <v>5</v>
          </cell>
          <cell r="X166">
            <v>8</v>
          </cell>
          <cell r="Y166">
            <v>277</v>
          </cell>
        </row>
        <row r="167">
          <cell r="F167">
            <v>9</v>
          </cell>
          <cell r="H167">
            <v>96</v>
          </cell>
          <cell r="I167">
            <v>67</v>
          </cell>
          <cell r="J167">
            <v>157</v>
          </cell>
          <cell r="K167">
            <v>7</v>
          </cell>
          <cell r="L167">
            <v>188</v>
          </cell>
          <cell r="M167">
            <v>26</v>
          </cell>
          <cell r="N167">
            <v>28</v>
          </cell>
          <cell r="P167">
            <v>30</v>
          </cell>
          <cell r="Q167">
            <v>18</v>
          </cell>
          <cell r="T167">
            <v>117</v>
          </cell>
          <cell r="U167">
            <v>23</v>
          </cell>
          <cell r="X167">
            <v>14</v>
          </cell>
          <cell r="Y167">
            <v>780</v>
          </cell>
        </row>
        <row r="168">
          <cell r="F168">
            <v>5</v>
          </cell>
          <cell r="H168">
            <v>31</v>
          </cell>
          <cell r="I168">
            <v>20</v>
          </cell>
          <cell r="J168">
            <v>52</v>
          </cell>
          <cell r="K168">
            <v>2</v>
          </cell>
          <cell r="L168">
            <v>60</v>
          </cell>
          <cell r="M168">
            <v>18</v>
          </cell>
          <cell r="N168">
            <v>22</v>
          </cell>
          <cell r="P168">
            <v>4</v>
          </cell>
          <cell r="Q168">
            <v>12</v>
          </cell>
          <cell r="T168">
            <v>38</v>
          </cell>
          <cell r="U168">
            <v>18</v>
          </cell>
          <cell r="X168">
            <v>11</v>
          </cell>
          <cell r="Y168">
            <v>293</v>
          </cell>
        </row>
        <row r="169">
          <cell r="F169">
            <v>5</v>
          </cell>
          <cell r="H169">
            <v>27</v>
          </cell>
          <cell r="I169">
            <v>12</v>
          </cell>
          <cell r="J169">
            <v>44</v>
          </cell>
          <cell r="K169">
            <v>6</v>
          </cell>
          <cell r="L169">
            <v>35</v>
          </cell>
          <cell r="M169">
            <v>6</v>
          </cell>
          <cell r="N169">
            <v>10</v>
          </cell>
          <cell r="P169">
            <v>15</v>
          </cell>
          <cell r="Q169">
            <v>11</v>
          </cell>
          <cell r="T169">
            <v>43</v>
          </cell>
          <cell r="U169">
            <v>2</v>
          </cell>
          <cell r="X169">
            <v>2</v>
          </cell>
          <cell r="Y169">
            <v>218</v>
          </cell>
        </row>
        <row r="170">
          <cell r="F170">
            <v>1</v>
          </cell>
          <cell r="H170">
            <v>8</v>
          </cell>
          <cell r="I170">
            <v>4</v>
          </cell>
          <cell r="J170">
            <v>1</v>
          </cell>
          <cell r="L170">
            <v>3</v>
          </cell>
          <cell r="N170">
            <v>2</v>
          </cell>
          <cell r="P170">
            <v>1</v>
          </cell>
          <cell r="T170">
            <v>7</v>
          </cell>
          <cell r="Y170">
            <v>27</v>
          </cell>
        </row>
        <row r="171">
          <cell r="F171">
            <v>29</v>
          </cell>
          <cell r="H171">
            <v>115</v>
          </cell>
          <cell r="I171">
            <v>186</v>
          </cell>
          <cell r="J171">
            <v>451</v>
          </cell>
          <cell r="K171">
            <v>23</v>
          </cell>
          <cell r="L171">
            <v>685</v>
          </cell>
          <cell r="M171">
            <v>108</v>
          </cell>
          <cell r="N171">
            <v>74</v>
          </cell>
          <cell r="P171">
            <v>104</v>
          </cell>
          <cell r="Q171">
            <v>62</v>
          </cell>
          <cell r="T171">
            <v>313</v>
          </cell>
          <cell r="U171">
            <v>37</v>
          </cell>
          <cell r="X171">
            <v>48</v>
          </cell>
          <cell r="Y171">
            <v>2235</v>
          </cell>
        </row>
        <row r="172">
          <cell r="F172">
            <v>52</v>
          </cell>
          <cell r="H172">
            <v>247</v>
          </cell>
          <cell r="I172">
            <v>218</v>
          </cell>
          <cell r="J172">
            <v>191</v>
          </cell>
          <cell r="K172">
            <v>25</v>
          </cell>
          <cell r="L172">
            <v>1112</v>
          </cell>
          <cell r="M172">
            <v>166</v>
          </cell>
          <cell r="N172">
            <v>106</v>
          </cell>
          <cell r="P172">
            <v>45</v>
          </cell>
          <cell r="Q172">
            <v>97</v>
          </cell>
          <cell r="T172">
            <v>575</v>
          </cell>
          <cell r="U172">
            <v>107</v>
          </cell>
          <cell r="X172">
            <v>99</v>
          </cell>
          <cell r="Y172">
            <v>3040</v>
          </cell>
        </row>
        <row r="173">
          <cell r="F173">
            <v>29</v>
          </cell>
          <cell r="H173">
            <v>126</v>
          </cell>
          <cell r="I173">
            <v>159</v>
          </cell>
          <cell r="J173">
            <v>236</v>
          </cell>
          <cell r="K173">
            <v>50</v>
          </cell>
          <cell r="L173">
            <v>361</v>
          </cell>
          <cell r="M173">
            <v>41</v>
          </cell>
          <cell r="N173">
            <v>45</v>
          </cell>
          <cell r="P173">
            <v>68</v>
          </cell>
          <cell r="Q173">
            <v>42</v>
          </cell>
          <cell r="T173">
            <v>277</v>
          </cell>
          <cell r="U173">
            <v>11</v>
          </cell>
          <cell r="X173">
            <v>18</v>
          </cell>
          <cell r="Y173">
            <v>1463</v>
          </cell>
        </row>
        <row r="174">
          <cell r="F174">
            <v>10</v>
          </cell>
          <cell r="H174">
            <v>38</v>
          </cell>
          <cell r="I174">
            <v>100</v>
          </cell>
          <cell r="J174">
            <v>72</v>
          </cell>
          <cell r="K174">
            <v>3</v>
          </cell>
          <cell r="L174">
            <v>78</v>
          </cell>
          <cell r="M174">
            <v>28</v>
          </cell>
          <cell r="N174">
            <v>6</v>
          </cell>
          <cell r="P174">
            <v>22</v>
          </cell>
          <cell r="Q174">
            <v>8</v>
          </cell>
          <cell r="T174">
            <v>106</v>
          </cell>
          <cell r="U174">
            <v>7</v>
          </cell>
          <cell r="X174">
            <v>9</v>
          </cell>
          <cell r="Y174">
            <v>487</v>
          </cell>
        </row>
        <row r="175">
          <cell r="F175">
            <v>32</v>
          </cell>
          <cell r="H175">
            <v>176</v>
          </cell>
          <cell r="I175">
            <v>112</v>
          </cell>
          <cell r="J175">
            <v>637</v>
          </cell>
          <cell r="K175">
            <v>8</v>
          </cell>
          <cell r="L175">
            <v>194</v>
          </cell>
          <cell r="M175">
            <v>126</v>
          </cell>
          <cell r="N175">
            <v>120</v>
          </cell>
          <cell r="P175">
            <v>64</v>
          </cell>
          <cell r="Q175">
            <v>45</v>
          </cell>
          <cell r="T175">
            <v>313</v>
          </cell>
          <cell r="U175">
            <v>32</v>
          </cell>
          <cell r="X175">
            <v>25</v>
          </cell>
          <cell r="Y175">
            <v>1884</v>
          </cell>
        </row>
        <row r="176">
          <cell r="F176">
            <v>12</v>
          </cell>
          <cell r="H176">
            <v>41</v>
          </cell>
          <cell r="I176">
            <v>50</v>
          </cell>
          <cell r="J176">
            <v>135</v>
          </cell>
          <cell r="K176">
            <v>1</v>
          </cell>
          <cell r="L176">
            <v>186</v>
          </cell>
          <cell r="M176">
            <v>33</v>
          </cell>
          <cell r="N176">
            <v>16</v>
          </cell>
          <cell r="P176">
            <v>16</v>
          </cell>
          <cell r="Q176">
            <v>10</v>
          </cell>
          <cell r="T176">
            <v>92</v>
          </cell>
          <cell r="U176">
            <v>6</v>
          </cell>
          <cell r="X176">
            <v>20</v>
          </cell>
          <cell r="Y176">
            <v>618</v>
          </cell>
        </row>
        <row r="177">
          <cell r="F177">
            <v>2</v>
          </cell>
          <cell r="H177">
            <v>9</v>
          </cell>
          <cell r="I177">
            <v>8</v>
          </cell>
          <cell r="J177">
            <v>28</v>
          </cell>
          <cell r="L177">
            <v>70</v>
          </cell>
          <cell r="M177">
            <v>5</v>
          </cell>
          <cell r="N177">
            <v>3</v>
          </cell>
          <cell r="P177">
            <v>4</v>
          </cell>
          <cell r="Q177">
            <v>5</v>
          </cell>
          <cell r="T177">
            <v>21</v>
          </cell>
          <cell r="U177">
            <v>5</v>
          </cell>
          <cell r="X177">
            <v>7</v>
          </cell>
          <cell r="Y177">
            <v>167</v>
          </cell>
        </row>
        <row r="178">
          <cell r="F178">
            <v>12</v>
          </cell>
          <cell r="H178">
            <v>54</v>
          </cell>
          <cell r="I178">
            <v>54</v>
          </cell>
          <cell r="J178">
            <v>80</v>
          </cell>
          <cell r="K178">
            <v>5</v>
          </cell>
          <cell r="L178">
            <v>121</v>
          </cell>
          <cell r="M178">
            <v>12</v>
          </cell>
          <cell r="N178">
            <v>16</v>
          </cell>
          <cell r="P178">
            <v>16</v>
          </cell>
          <cell r="Q178">
            <v>14</v>
          </cell>
          <cell r="T178">
            <v>60</v>
          </cell>
          <cell r="U178">
            <v>19</v>
          </cell>
          <cell r="X178">
            <v>16</v>
          </cell>
          <cell r="Y178">
            <v>479</v>
          </cell>
        </row>
        <row r="179">
          <cell r="H179">
            <v>19</v>
          </cell>
          <cell r="I179">
            <v>9</v>
          </cell>
          <cell r="J179">
            <v>39</v>
          </cell>
          <cell r="K179">
            <v>2</v>
          </cell>
          <cell r="L179">
            <v>36</v>
          </cell>
          <cell r="M179">
            <v>10</v>
          </cell>
          <cell r="N179">
            <v>15</v>
          </cell>
          <cell r="P179">
            <v>10</v>
          </cell>
          <cell r="Q179">
            <v>8</v>
          </cell>
          <cell r="T179">
            <v>30</v>
          </cell>
          <cell r="U179">
            <v>9</v>
          </cell>
          <cell r="X179">
            <v>6</v>
          </cell>
          <cell r="Y179">
            <v>193</v>
          </cell>
        </row>
        <row r="180">
          <cell r="F180">
            <v>1</v>
          </cell>
          <cell r="H180">
            <v>12</v>
          </cell>
          <cell r="I180">
            <v>10</v>
          </cell>
          <cell r="J180">
            <v>26</v>
          </cell>
          <cell r="K180">
            <v>7</v>
          </cell>
          <cell r="L180">
            <v>21</v>
          </cell>
          <cell r="M180">
            <v>10</v>
          </cell>
          <cell r="N180">
            <v>6</v>
          </cell>
          <cell r="P180">
            <v>12</v>
          </cell>
          <cell r="Q180">
            <v>5</v>
          </cell>
          <cell r="T180">
            <v>15</v>
          </cell>
          <cell r="U180">
            <v>3</v>
          </cell>
          <cell r="X180">
            <v>1</v>
          </cell>
          <cell r="Y180">
            <v>129</v>
          </cell>
        </row>
        <row r="181">
          <cell r="F181">
            <v>1</v>
          </cell>
          <cell r="H181">
            <v>1</v>
          </cell>
          <cell r="I181">
            <v>2</v>
          </cell>
          <cell r="L181">
            <v>1</v>
          </cell>
          <cell r="N181">
            <v>1</v>
          </cell>
          <cell r="P181">
            <v>0</v>
          </cell>
          <cell r="T181">
            <v>7</v>
          </cell>
          <cell r="Y181">
            <v>13</v>
          </cell>
        </row>
        <row r="182">
          <cell r="F182">
            <v>1</v>
          </cell>
          <cell r="H182">
            <v>7</v>
          </cell>
          <cell r="I182">
            <v>13</v>
          </cell>
          <cell r="J182">
            <v>55</v>
          </cell>
          <cell r="K182">
            <v>2</v>
          </cell>
          <cell r="L182">
            <v>125</v>
          </cell>
          <cell r="M182">
            <v>13</v>
          </cell>
          <cell r="N182">
            <v>4</v>
          </cell>
          <cell r="P182">
            <v>4</v>
          </cell>
          <cell r="Q182">
            <v>5</v>
          </cell>
          <cell r="T182">
            <v>23</v>
          </cell>
          <cell r="U182">
            <v>1</v>
          </cell>
          <cell r="X182">
            <v>8</v>
          </cell>
          <cell r="Y182">
            <v>261</v>
          </cell>
        </row>
        <row r="183">
          <cell r="F183">
            <v>20</v>
          </cell>
          <cell r="H183">
            <v>59</v>
          </cell>
          <cell r="I183">
            <v>58</v>
          </cell>
          <cell r="J183">
            <v>83</v>
          </cell>
          <cell r="K183">
            <v>10</v>
          </cell>
          <cell r="L183">
            <v>430</v>
          </cell>
          <cell r="M183">
            <v>48</v>
          </cell>
          <cell r="N183">
            <v>28</v>
          </cell>
          <cell r="P183">
            <v>15</v>
          </cell>
          <cell r="Q183">
            <v>27</v>
          </cell>
          <cell r="T183">
            <v>158</v>
          </cell>
          <cell r="U183">
            <v>24</v>
          </cell>
          <cell r="X183">
            <v>25</v>
          </cell>
          <cell r="Y183">
            <v>985</v>
          </cell>
        </row>
        <row r="184">
          <cell r="H184">
            <v>13</v>
          </cell>
          <cell r="I184">
            <v>35</v>
          </cell>
          <cell r="J184">
            <v>62</v>
          </cell>
          <cell r="K184">
            <v>22</v>
          </cell>
          <cell r="L184">
            <v>125</v>
          </cell>
          <cell r="M184">
            <v>13</v>
          </cell>
          <cell r="N184">
            <v>12</v>
          </cell>
          <cell r="P184">
            <v>9</v>
          </cell>
          <cell r="Q184">
            <v>4</v>
          </cell>
          <cell r="T184">
            <v>74</v>
          </cell>
          <cell r="U184">
            <v>3</v>
          </cell>
          <cell r="X184">
            <v>3</v>
          </cell>
          <cell r="Y184">
            <v>375</v>
          </cell>
        </row>
        <row r="185">
          <cell r="H185">
            <v>1</v>
          </cell>
          <cell r="I185">
            <v>9</v>
          </cell>
          <cell r="J185">
            <v>5</v>
          </cell>
          <cell r="K185">
            <v>2</v>
          </cell>
          <cell r="L185">
            <v>12</v>
          </cell>
          <cell r="M185">
            <v>10</v>
          </cell>
          <cell r="P185">
            <v>3</v>
          </cell>
          <cell r="Q185">
            <v>2</v>
          </cell>
          <cell r="T185">
            <v>9</v>
          </cell>
          <cell r="U185">
            <v>1</v>
          </cell>
          <cell r="Y185">
            <v>54</v>
          </cell>
        </row>
        <row r="186">
          <cell r="F186">
            <v>9</v>
          </cell>
          <cell r="H186">
            <v>36</v>
          </cell>
          <cell r="I186">
            <v>63</v>
          </cell>
          <cell r="J186">
            <v>203</v>
          </cell>
          <cell r="K186">
            <v>8</v>
          </cell>
          <cell r="L186">
            <v>150</v>
          </cell>
          <cell r="M186">
            <v>46</v>
          </cell>
          <cell r="N186">
            <v>41</v>
          </cell>
          <cell r="P186">
            <v>17</v>
          </cell>
          <cell r="Q186">
            <v>28</v>
          </cell>
          <cell r="T186">
            <v>96</v>
          </cell>
          <cell r="U186">
            <v>13</v>
          </cell>
          <cell r="X186">
            <v>13</v>
          </cell>
          <cell r="Y186">
            <v>723</v>
          </cell>
        </row>
        <row r="187">
          <cell r="F187">
            <v>9</v>
          </cell>
          <cell r="H187">
            <v>15</v>
          </cell>
          <cell r="I187">
            <v>22</v>
          </cell>
          <cell r="J187">
            <v>75</v>
          </cell>
          <cell r="K187">
            <v>4</v>
          </cell>
          <cell r="L187">
            <v>137</v>
          </cell>
          <cell r="M187">
            <v>14</v>
          </cell>
          <cell r="N187">
            <v>4</v>
          </cell>
          <cell r="P187">
            <v>7</v>
          </cell>
          <cell r="Q187">
            <v>7</v>
          </cell>
          <cell r="T187">
            <v>38</v>
          </cell>
          <cell r="U187">
            <v>3</v>
          </cell>
          <cell r="X187">
            <v>9</v>
          </cell>
          <cell r="Y187">
            <v>344</v>
          </cell>
        </row>
        <row r="188">
          <cell r="F188">
            <v>3</v>
          </cell>
          <cell r="I188">
            <v>3</v>
          </cell>
          <cell r="J188">
            <v>8</v>
          </cell>
          <cell r="L188">
            <v>20</v>
          </cell>
          <cell r="M188">
            <v>1</v>
          </cell>
          <cell r="N188">
            <v>1</v>
          </cell>
          <cell r="P188">
            <v>1</v>
          </cell>
          <cell r="Q188">
            <v>5</v>
          </cell>
          <cell r="T188">
            <v>5</v>
          </cell>
          <cell r="U188">
            <v>2</v>
          </cell>
          <cell r="X188">
            <v>1</v>
          </cell>
          <cell r="Y188">
            <v>50</v>
          </cell>
        </row>
        <row r="189">
          <cell r="F189">
            <v>4</v>
          </cell>
          <cell r="H189">
            <v>17</v>
          </cell>
          <cell r="I189">
            <v>23</v>
          </cell>
          <cell r="J189">
            <v>46</v>
          </cell>
          <cell r="K189">
            <v>1</v>
          </cell>
          <cell r="L189">
            <v>77</v>
          </cell>
          <cell r="M189">
            <v>3</v>
          </cell>
          <cell r="N189">
            <v>5</v>
          </cell>
          <cell r="P189">
            <v>2</v>
          </cell>
          <cell r="Q189">
            <v>9</v>
          </cell>
          <cell r="T189">
            <v>13</v>
          </cell>
          <cell r="U189">
            <v>7</v>
          </cell>
          <cell r="X189">
            <v>4</v>
          </cell>
          <cell r="Y189">
            <v>211</v>
          </cell>
        </row>
        <row r="190">
          <cell r="F190">
            <v>1</v>
          </cell>
          <cell r="H190">
            <v>6</v>
          </cell>
          <cell r="I190">
            <v>4</v>
          </cell>
          <cell r="J190">
            <v>9</v>
          </cell>
          <cell r="K190">
            <v>1</v>
          </cell>
          <cell r="L190">
            <v>17</v>
          </cell>
          <cell r="M190">
            <v>4</v>
          </cell>
          <cell r="N190">
            <v>3</v>
          </cell>
          <cell r="P190">
            <v>1</v>
          </cell>
          <cell r="Q190">
            <v>3</v>
          </cell>
          <cell r="T190">
            <v>8</v>
          </cell>
          <cell r="U190">
            <v>3</v>
          </cell>
          <cell r="X190">
            <v>2</v>
          </cell>
          <cell r="Y190">
            <v>62</v>
          </cell>
        </row>
        <row r="191">
          <cell r="F191">
            <v>1</v>
          </cell>
          <cell r="J191">
            <v>5</v>
          </cell>
          <cell r="L191">
            <v>16</v>
          </cell>
          <cell r="M191">
            <v>1</v>
          </cell>
          <cell r="N191">
            <v>2</v>
          </cell>
          <cell r="P191">
            <v>3</v>
          </cell>
          <cell r="Q191">
            <v>1</v>
          </cell>
          <cell r="T191">
            <v>3</v>
          </cell>
          <cell r="U191">
            <v>1</v>
          </cell>
          <cell r="Y191">
            <v>33</v>
          </cell>
        </row>
        <row r="192">
          <cell r="P192">
            <v>0</v>
          </cell>
          <cell r="T192">
            <v>2</v>
          </cell>
          <cell r="Y192">
            <v>2</v>
          </cell>
        </row>
        <row r="193">
          <cell r="H193">
            <v>63</v>
          </cell>
          <cell r="I193">
            <v>94</v>
          </cell>
          <cell r="J193">
            <v>199</v>
          </cell>
          <cell r="K193">
            <v>24</v>
          </cell>
          <cell r="L193">
            <v>298</v>
          </cell>
          <cell r="M193">
            <v>121</v>
          </cell>
          <cell r="N193">
            <v>30</v>
          </cell>
          <cell r="P193">
            <v>57</v>
          </cell>
          <cell r="Q193">
            <v>21</v>
          </cell>
          <cell r="T193">
            <v>105</v>
          </cell>
          <cell r="U193">
            <v>0</v>
          </cell>
          <cell r="Y193">
            <v>1012</v>
          </cell>
        </row>
        <row r="194">
          <cell r="F194">
            <v>129</v>
          </cell>
          <cell r="H194">
            <v>543</v>
          </cell>
          <cell r="I194">
            <v>233</v>
          </cell>
          <cell r="J194">
            <v>1395</v>
          </cell>
          <cell r="K194">
            <v>202</v>
          </cell>
          <cell r="L194">
            <v>1192</v>
          </cell>
          <cell r="M194">
            <v>213</v>
          </cell>
          <cell r="N194">
            <v>429</v>
          </cell>
          <cell r="P194">
            <v>206</v>
          </cell>
          <cell r="Q194">
            <v>123</v>
          </cell>
          <cell r="T194">
            <v>959</v>
          </cell>
          <cell r="U194">
            <v>178</v>
          </cell>
          <cell r="Y194">
            <v>5802</v>
          </cell>
        </row>
        <row r="195">
          <cell r="F195">
            <v>6</v>
          </cell>
          <cell r="H195">
            <v>38</v>
          </cell>
          <cell r="I195">
            <v>35</v>
          </cell>
          <cell r="J195">
            <v>79</v>
          </cell>
          <cell r="K195">
            <v>8</v>
          </cell>
          <cell r="L195">
            <v>64</v>
          </cell>
          <cell r="M195">
            <v>11</v>
          </cell>
          <cell r="N195">
            <v>6</v>
          </cell>
          <cell r="P195">
            <v>11</v>
          </cell>
          <cell r="Q195">
            <v>21</v>
          </cell>
          <cell r="T195">
            <v>100</v>
          </cell>
          <cell r="U195">
            <v>12</v>
          </cell>
          <cell r="Y195">
            <v>391</v>
          </cell>
        </row>
        <row r="196">
          <cell r="F196">
            <v>26</v>
          </cell>
          <cell r="H196">
            <v>81</v>
          </cell>
          <cell r="I196">
            <v>116</v>
          </cell>
          <cell r="J196">
            <v>242</v>
          </cell>
          <cell r="K196">
            <v>37</v>
          </cell>
          <cell r="L196">
            <v>343</v>
          </cell>
          <cell r="M196">
            <v>140</v>
          </cell>
          <cell r="N196">
            <v>88</v>
          </cell>
          <cell r="P196">
            <v>64</v>
          </cell>
          <cell r="Q196">
            <v>64</v>
          </cell>
          <cell r="T196">
            <v>298</v>
          </cell>
          <cell r="U196">
            <v>20</v>
          </cell>
          <cell r="X196">
            <v>25</v>
          </cell>
          <cell r="Y196">
            <v>1544</v>
          </cell>
        </row>
        <row r="197">
          <cell r="H197">
            <v>34</v>
          </cell>
          <cell r="I197">
            <v>20</v>
          </cell>
          <cell r="J197">
            <v>72</v>
          </cell>
          <cell r="K197">
            <v>4</v>
          </cell>
          <cell r="M197">
            <v>40</v>
          </cell>
          <cell r="N197">
            <v>35</v>
          </cell>
          <cell r="P197">
            <v>11</v>
          </cell>
          <cell r="Q197">
            <v>13</v>
          </cell>
          <cell r="T197">
            <v>76</v>
          </cell>
          <cell r="U197">
            <v>7</v>
          </cell>
          <cell r="Y197">
            <v>312</v>
          </cell>
        </row>
        <row r="198">
          <cell r="H198">
            <v>16</v>
          </cell>
          <cell r="I198">
            <v>48</v>
          </cell>
          <cell r="J198">
            <v>99</v>
          </cell>
          <cell r="K198">
            <v>14</v>
          </cell>
          <cell r="L198">
            <v>96</v>
          </cell>
          <cell r="M198">
            <v>19</v>
          </cell>
          <cell r="N198">
            <v>0</v>
          </cell>
          <cell r="P198">
            <v>7</v>
          </cell>
          <cell r="Q198">
            <v>16</v>
          </cell>
          <cell r="T198">
            <v>62</v>
          </cell>
          <cell r="U198">
            <v>7</v>
          </cell>
          <cell r="Y198">
            <v>384</v>
          </cell>
        </row>
        <row r="199">
          <cell r="H199">
            <v>21</v>
          </cell>
          <cell r="I199">
            <v>24</v>
          </cell>
          <cell r="J199">
            <v>98</v>
          </cell>
          <cell r="K199">
            <v>1</v>
          </cell>
          <cell r="L199">
            <v>101</v>
          </cell>
          <cell r="M199">
            <v>35</v>
          </cell>
          <cell r="N199">
            <v>9</v>
          </cell>
          <cell r="P199">
            <v>22</v>
          </cell>
          <cell r="Q199">
            <v>10</v>
          </cell>
          <cell r="T199">
            <v>51</v>
          </cell>
          <cell r="Y199">
            <v>372</v>
          </cell>
        </row>
        <row r="200">
          <cell r="H200">
            <v>11</v>
          </cell>
          <cell r="I200">
            <v>19</v>
          </cell>
          <cell r="J200">
            <v>18</v>
          </cell>
          <cell r="K200">
            <v>2</v>
          </cell>
          <cell r="L200">
            <v>111</v>
          </cell>
          <cell r="M200">
            <v>42</v>
          </cell>
          <cell r="N200">
            <v>11</v>
          </cell>
          <cell r="P200">
            <v>4</v>
          </cell>
          <cell r="Q200">
            <v>3</v>
          </cell>
          <cell r="T200">
            <v>22</v>
          </cell>
          <cell r="Y200">
            <v>243</v>
          </cell>
        </row>
        <row r="201">
          <cell r="H201">
            <v>15</v>
          </cell>
          <cell r="I201">
            <v>25</v>
          </cell>
          <cell r="J201">
            <v>17</v>
          </cell>
          <cell r="K201">
            <v>6</v>
          </cell>
          <cell r="L201">
            <v>41</v>
          </cell>
          <cell r="M201">
            <v>7</v>
          </cell>
          <cell r="N201">
            <v>4</v>
          </cell>
          <cell r="P201">
            <v>13</v>
          </cell>
          <cell r="Q201">
            <v>2</v>
          </cell>
          <cell r="T201">
            <v>10</v>
          </cell>
          <cell r="Y201">
            <v>140</v>
          </cell>
        </row>
        <row r="202">
          <cell r="H202">
            <v>2</v>
          </cell>
          <cell r="I202">
            <v>5</v>
          </cell>
          <cell r="J202">
            <v>2</v>
          </cell>
          <cell r="L202">
            <v>3</v>
          </cell>
          <cell r="M202">
            <v>5</v>
          </cell>
          <cell r="P202">
            <v>2</v>
          </cell>
          <cell r="T202">
            <v>2</v>
          </cell>
          <cell r="Y202">
            <v>21</v>
          </cell>
        </row>
        <row r="203">
          <cell r="H203">
            <v>8</v>
          </cell>
          <cell r="I203">
            <v>15</v>
          </cell>
          <cell r="J203">
            <v>54</v>
          </cell>
          <cell r="K203">
            <v>4</v>
          </cell>
          <cell r="L203">
            <v>14</v>
          </cell>
          <cell r="M203">
            <v>14</v>
          </cell>
          <cell r="N203">
            <v>3</v>
          </cell>
          <cell r="P203">
            <v>13</v>
          </cell>
          <cell r="Q203">
            <v>5</v>
          </cell>
          <cell r="T203">
            <v>15</v>
          </cell>
          <cell r="Y203">
            <v>145</v>
          </cell>
        </row>
        <row r="204">
          <cell r="I204">
            <v>2</v>
          </cell>
          <cell r="J204">
            <v>3</v>
          </cell>
          <cell r="L204">
            <v>17</v>
          </cell>
          <cell r="M204">
            <v>4</v>
          </cell>
          <cell r="P204">
            <v>0</v>
          </cell>
          <cell r="T204">
            <v>1</v>
          </cell>
          <cell r="Y204">
            <v>27</v>
          </cell>
        </row>
        <row r="205">
          <cell r="I205">
            <v>2</v>
          </cell>
          <cell r="L205">
            <v>4</v>
          </cell>
          <cell r="P205">
            <v>0</v>
          </cell>
          <cell r="Y205">
            <v>6</v>
          </cell>
        </row>
        <row r="206">
          <cell r="H206">
            <v>2</v>
          </cell>
          <cell r="I206">
            <v>1</v>
          </cell>
          <cell r="J206">
            <v>4</v>
          </cell>
          <cell r="L206">
            <v>4</v>
          </cell>
          <cell r="M206">
            <v>1</v>
          </cell>
          <cell r="N206">
            <v>2</v>
          </cell>
          <cell r="P206">
            <v>2</v>
          </cell>
          <cell r="Q206">
            <v>1</v>
          </cell>
          <cell r="T206">
            <v>2</v>
          </cell>
          <cell r="Y206">
            <v>19</v>
          </cell>
        </row>
        <row r="207">
          <cell r="H207">
            <v>2</v>
          </cell>
          <cell r="J207">
            <v>2</v>
          </cell>
          <cell r="L207">
            <v>2</v>
          </cell>
          <cell r="M207">
            <v>3</v>
          </cell>
          <cell r="N207">
            <v>1</v>
          </cell>
          <cell r="P207">
            <v>1</v>
          </cell>
          <cell r="T207">
            <v>2</v>
          </cell>
          <cell r="Y207">
            <v>13</v>
          </cell>
        </row>
        <row r="208">
          <cell r="H208">
            <v>1</v>
          </cell>
          <cell r="I208">
            <v>1</v>
          </cell>
          <cell r="L208">
            <v>1</v>
          </cell>
          <cell r="P208">
            <v>0</v>
          </cell>
          <cell r="Y208">
            <v>3</v>
          </cell>
        </row>
        <row r="209">
          <cell r="H209">
            <v>1</v>
          </cell>
          <cell r="M209">
            <v>1</v>
          </cell>
          <cell r="P209">
            <v>0</v>
          </cell>
          <cell r="Y209">
            <v>2</v>
          </cell>
        </row>
        <row r="210">
          <cell r="F210">
            <v>25</v>
          </cell>
          <cell r="H210">
            <v>90</v>
          </cell>
          <cell r="I210">
            <v>32</v>
          </cell>
          <cell r="J210">
            <v>299</v>
          </cell>
          <cell r="K210">
            <v>23</v>
          </cell>
          <cell r="L210">
            <v>110</v>
          </cell>
          <cell r="N210">
            <v>66</v>
          </cell>
          <cell r="P210">
            <v>72</v>
          </cell>
          <cell r="Q210">
            <v>21</v>
          </cell>
          <cell r="T210">
            <v>144</v>
          </cell>
          <cell r="U210">
            <v>10</v>
          </cell>
          <cell r="Y210">
            <v>892</v>
          </cell>
        </row>
        <row r="211">
          <cell r="F211">
            <v>44</v>
          </cell>
          <cell r="H211">
            <v>129</v>
          </cell>
          <cell r="I211">
            <v>50</v>
          </cell>
          <cell r="J211">
            <v>143</v>
          </cell>
          <cell r="K211">
            <v>27</v>
          </cell>
          <cell r="L211">
            <v>475</v>
          </cell>
          <cell r="M211" t="str">
            <v>No</v>
          </cell>
          <cell r="N211">
            <v>180</v>
          </cell>
          <cell r="P211">
            <v>31</v>
          </cell>
          <cell r="Q211">
            <v>49</v>
          </cell>
          <cell r="T211">
            <v>312</v>
          </cell>
          <cell r="U211">
            <v>58</v>
          </cell>
          <cell r="Y211">
            <v>1498</v>
          </cell>
        </row>
        <row r="212">
          <cell r="F212">
            <v>14</v>
          </cell>
          <cell r="H212">
            <v>57</v>
          </cell>
          <cell r="I212">
            <v>28</v>
          </cell>
          <cell r="J212">
            <v>84</v>
          </cell>
          <cell r="K212">
            <v>45</v>
          </cell>
          <cell r="L212">
            <v>62</v>
          </cell>
          <cell r="M212" t="str">
            <v>Yes</v>
          </cell>
          <cell r="N212">
            <v>20</v>
          </cell>
          <cell r="P212">
            <v>20</v>
          </cell>
          <cell r="Q212">
            <v>3</v>
          </cell>
          <cell r="T212">
            <v>81</v>
          </cell>
          <cell r="U212">
            <v>6</v>
          </cell>
          <cell r="Y212">
            <v>420</v>
          </cell>
        </row>
        <row r="213">
          <cell r="F213">
            <v>1</v>
          </cell>
          <cell r="H213">
            <v>7</v>
          </cell>
          <cell r="I213">
            <v>5</v>
          </cell>
          <cell r="J213">
            <v>10</v>
          </cell>
          <cell r="L213">
            <v>4</v>
          </cell>
          <cell r="P213">
            <v>1</v>
          </cell>
          <cell r="T213">
            <v>15</v>
          </cell>
          <cell r="U213">
            <v>6</v>
          </cell>
          <cell r="Y213">
            <v>49</v>
          </cell>
        </row>
        <row r="214">
          <cell r="F214">
            <v>20</v>
          </cell>
          <cell r="H214">
            <v>86</v>
          </cell>
          <cell r="I214">
            <v>22</v>
          </cell>
          <cell r="J214">
            <v>339</v>
          </cell>
          <cell r="K214">
            <v>10</v>
          </cell>
          <cell r="L214">
            <v>38</v>
          </cell>
          <cell r="M214" t="str">
            <v>No</v>
          </cell>
          <cell r="N214">
            <v>50</v>
          </cell>
          <cell r="P214">
            <v>30</v>
          </cell>
          <cell r="Q214">
            <v>12</v>
          </cell>
          <cell r="T214">
            <v>100</v>
          </cell>
          <cell r="U214">
            <v>34</v>
          </cell>
          <cell r="Y214">
            <v>741</v>
          </cell>
        </row>
        <row r="215">
          <cell r="F215">
            <v>8</v>
          </cell>
          <cell r="H215">
            <v>48</v>
          </cell>
          <cell r="I215">
            <v>36</v>
          </cell>
          <cell r="J215">
            <v>239</v>
          </cell>
          <cell r="K215">
            <v>5</v>
          </cell>
          <cell r="L215">
            <v>172</v>
          </cell>
          <cell r="N215">
            <v>49</v>
          </cell>
          <cell r="P215">
            <v>18</v>
          </cell>
          <cell r="Q215">
            <v>8</v>
          </cell>
          <cell r="T215">
            <v>173</v>
          </cell>
          <cell r="U215">
            <v>9</v>
          </cell>
          <cell r="Y215">
            <v>765</v>
          </cell>
        </row>
        <row r="216">
          <cell r="F216">
            <v>1</v>
          </cell>
          <cell r="H216">
            <v>28</v>
          </cell>
          <cell r="I216">
            <v>33</v>
          </cell>
          <cell r="J216">
            <v>89</v>
          </cell>
          <cell r="K216">
            <v>2</v>
          </cell>
          <cell r="L216">
            <v>160</v>
          </cell>
          <cell r="M216" t="str">
            <v>No</v>
          </cell>
          <cell r="N216">
            <v>20</v>
          </cell>
          <cell r="P216">
            <v>12</v>
          </cell>
          <cell r="Q216">
            <v>20</v>
          </cell>
          <cell r="T216">
            <v>36</v>
          </cell>
          <cell r="U216">
            <v>13</v>
          </cell>
          <cell r="Y216">
            <v>414</v>
          </cell>
        </row>
        <row r="217">
          <cell r="F217">
            <v>11</v>
          </cell>
          <cell r="H217">
            <v>73</v>
          </cell>
          <cell r="I217">
            <v>25</v>
          </cell>
          <cell r="J217">
            <v>149</v>
          </cell>
          <cell r="K217">
            <v>6</v>
          </cell>
          <cell r="L217">
            <v>135</v>
          </cell>
          <cell r="N217">
            <v>28</v>
          </cell>
          <cell r="P217">
            <v>14</v>
          </cell>
          <cell r="Q217">
            <v>7</v>
          </cell>
          <cell r="T217">
            <v>80</v>
          </cell>
          <cell r="U217">
            <v>36</v>
          </cell>
          <cell r="Y217">
            <v>564</v>
          </cell>
        </row>
        <row r="218">
          <cell r="F218">
            <v>4</v>
          </cell>
          <cell r="H218">
            <v>6</v>
          </cell>
          <cell r="I218">
            <v>1</v>
          </cell>
          <cell r="J218">
            <v>12</v>
          </cell>
          <cell r="K218">
            <v>2</v>
          </cell>
          <cell r="L218">
            <v>19</v>
          </cell>
          <cell r="M218" t="str">
            <v>No</v>
          </cell>
          <cell r="N218">
            <v>6</v>
          </cell>
          <cell r="P218">
            <v>1</v>
          </cell>
          <cell r="T218">
            <v>7</v>
          </cell>
          <cell r="U218">
            <v>4</v>
          </cell>
          <cell r="Y218">
            <v>62</v>
          </cell>
        </row>
        <row r="219">
          <cell r="F219">
            <v>1</v>
          </cell>
          <cell r="H219">
            <v>14</v>
          </cell>
          <cell r="I219">
            <v>1</v>
          </cell>
          <cell r="J219">
            <v>13</v>
          </cell>
          <cell r="K219">
            <v>7</v>
          </cell>
          <cell r="L219">
            <v>14</v>
          </cell>
          <cell r="M219" t="str">
            <v>Yes</v>
          </cell>
          <cell r="N219">
            <v>2</v>
          </cell>
          <cell r="P219">
            <v>6</v>
          </cell>
          <cell r="Q219">
            <v>3</v>
          </cell>
          <cell r="T219">
            <v>7</v>
          </cell>
          <cell r="U219">
            <v>1</v>
          </cell>
          <cell r="Y219">
            <v>69</v>
          </cell>
        </row>
        <row r="220">
          <cell r="H220">
            <v>5</v>
          </cell>
          <cell r="J220">
            <v>1</v>
          </cell>
          <cell r="L220">
            <v>2</v>
          </cell>
          <cell r="N220">
            <v>1</v>
          </cell>
          <cell r="P220">
            <v>1</v>
          </cell>
          <cell r="T220">
            <v>4</v>
          </cell>
          <cell r="U220">
            <v>1</v>
          </cell>
          <cell r="Y220">
            <v>15</v>
          </cell>
        </row>
        <row r="221">
          <cell r="F221">
            <v>1</v>
          </cell>
          <cell r="H221">
            <v>13</v>
          </cell>
          <cell r="I221">
            <v>11</v>
          </cell>
          <cell r="J221">
            <v>31</v>
          </cell>
          <cell r="L221">
            <v>20</v>
          </cell>
          <cell r="M221">
            <v>4</v>
          </cell>
          <cell r="N221">
            <v>4</v>
          </cell>
          <cell r="P221">
            <v>5</v>
          </cell>
          <cell r="Q221">
            <v>10</v>
          </cell>
          <cell r="T221">
            <v>45</v>
          </cell>
          <cell r="U221">
            <v>5</v>
          </cell>
          <cell r="Y221">
            <v>149</v>
          </cell>
        </row>
        <row r="222">
          <cell r="F222">
            <v>2</v>
          </cell>
          <cell r="H222">
            <v>7</v>
          </cell>
          <cell r="I222">
            <v>5</v>
          </cell>
          <cell r="J222">
            <v>6</v>
          </cell>
          <cell r="L222">
            <v>17</v>
          </cell>
          <cell r="M222">
            <v>1</v>
          </cell>
          <cell r="N222">
            <v>1</v>
          </cell>
          <cell r="P222">
            <v>1</v>
          </cell>
          <cell r="Q222">
            <v>5</v>
          </cell>
          <cell r="T222">
            <v>23</v>
          </cell>
          <cell r="U222">
            <v>4</v>
          </cell>
          <cell r="Y222">
            <v>72</v>
          </cell>
        </row>
        <row r="223">
          <cell r="H223">
            <v>3</v>
          </cell>
          <cell r="I223">
            <v>10</v>
          </cell>
          <cell r="J223">
            <v>10</v>
          </cell>
          <cell r="K223">
            <v>2</v>
          </cell>
          <cell r="L223">
            <v>8</v>
          </cell>
          <cell r="P223">
            <v>1</v>
          </cell>
          <cell r="Q223">
            <v>2</v>
          </cell>
          <cell r="T223">
            <v>10</v>
          </cell>
          <cell r="Y223">
            <v>46</v>
          </cell>
        </row>
        <row r="224">
          <cell r="H224">
            <v>1</v>
          </cell>
          <cell r="J224">
            <v>1</v>
          </cell>
          <cell r="P224">
            <v>0</v>
          </cell>
          <cell r="T224">
            <v>2</v>
          </cell>
          <cell r="Y224">
            <v>4</v>
          </cell>
        </row>
        <row r="225">
          <cell r="F225">
            <v>2</v>
          </cell>
          <cell r="H225">
            <v>9</v>
          </cell>
          <cell r="I225">
            <v>4</v>
          </cell>
          <cell r="J225">
            <v>20</v>
          </cell>
          <cell r="K225">
            <v>2</v>
          </cell>
          <cell r="L225">
            <v>6</v>
          </cell>
          <cell r="M225">
            <v>1</v>
          </cell>
          <cell r="N225">
            <v>1</v>
          </cell>
          <cell r="P225">
            <v>3</v>
          </cell>
          <cell r="Q225">
            <v>2</v>
          </cell>
          <cell r="T225">
            <v>15</v>
          </cell>
          <cell r="U225">
            <v>3</v>
          </cell>
          <cell r="Y225">
            <v>68</v>
          </cell>
        </row>
        <row r="226">
          <cell r="I226">
            <v>1</v>
          </cell>
          <cell r="J226">
            <v>3</v>
          </cell>
          <cell r="L226">
            <v>7</v>
          </cell>
          <cell r="M226">
            <v>2</v>
          </cell>
          <cell r="P226">
            <v>0</v>
          </cell>
          <cell r="Q226">
            <v>1</v>
          </cell>
          <cell r="T226">
            <v>2</v>
          </cell>
          <cell r="Y226">
            <v>16</v>
          </cell>
        </row>
        <row r="227">
          <cell r="H227">
            <v>1</v>
          </cell>
          <cell r="I227">
            <v>1</v>
          </cell>
          <cell r="J227">
            <v>1</v>
          </cell>
          <cell r="L227">
            <v>2</v>
          </cell>
          <cell r="M227">
            <v>1</v>
          </cell>
          <cell r="P227">
            <v>0</v>
          </cell>
          <cell r="T227">
            <v>1</v>
          </cell>
          <cell r="Y227">
            <v>7</v>
          </cell>
        </row>
        <row r="228">
          <cell r="H228">
            <v>4</v>
          </cell>
          <cell r="I228">
            <v>2</v>
          </cell>
          <cell r="J228">
            <v>4</v>
          </cell>
          <cell r="L228">
            <v>2</v>
          </cell>
          <cell r="M228">
            <v>1</v>
          </cell>
          <cell r="P228">
            <v>0</v>
          </cell>
          <cell r="Q228">
            <v>1</v>
          </cell>
          <cell r="T228">
            <v>2</v>
          </cell>
          <cell r="Y228">
            <v>16</v>
          </cell>
        </row>
        <row r="229">
          <cell r="F229">
            <v>1</v>
          </cell>
          <cell r="I229">
            <v>1</v>
          </cell>
          <cell r="L229">
            <v>2</v>
          </cell>
          <cell r="P229">
            <v>0</v>
          </cell>
          <cell r="Y229">
            <v>4</v>
          </cell>
        </row>
        <row r="230">
          <cell r="J230">
            <v>2</v>
          </cell>
          <cell r="P230">
            <v>1</v>
          </cell>
          <cell r="Y230">
            <v>3</v>
          </cell>
        </row>
        <row r="231">
          <cell r="P231">
            <v>0</v>
          </cell>
          <cell r="Y231">
            <v>0</v>
          </cell>
        </row>
        <row r="232">
          <cell r="F232">
            <v>10</v>
          </cell>
          <cell r="H232">
            <v>26</v>
          </cell>
          <cell r="I232">
            <v>57</v>
          </cell>
          <cell r="J232">
            <v>102</v>
          </cell>
          <cell r="K232">
            <v>8</v>
          </cell>
          <cell r="L232">
            <v>136</v>
          </cell>
          <cell r="M232">
            <v>61</v>
          </cell>
          <cell r="N232">
            <v>39</v>
          </cell>
          <cell r="P232">
            <v>41</v>
          </cell>
          <cell r="Q232">
            <v>30</v>
          </cell>
          <cell r="T232">
            <v>112</v>
          </cell>
          <cell r="U232">
            <v>8</v>
          </cell>
          <cell r="X232">
            <v>18</v>
          </cell>
          <cell r="Y232">
            <v>648</v>
          </cell>
        </row>
        <row r="233">
          <cell r="F233">
            <v>9</v>
          </cell>
          <cell r="H233">
            <v>14</v>
          </cell>
          <cell r="I233">
            <v>14</v>
          </cell>
          <cell r="J233">
            <v>21</v>
          </cell>
          <cell r="K233">
            <v>1</v>
          </cell>
          <cell r="L233">
            <v>104</v>
          </cell>
          <cell r="M233">
            <v>17</v>
          </cell>
          <cell r="N233">
            <v>22</v>
          </cell>
          <cell r="P233">
            <v>4</v>
          </cell>
          <cell r="Q233">
            <v>16</v>
          </cell>
          <cell r="T233">
            <v>70</v>
          </cell>
          <cell r="U233">
            <v>7</v>
          </cell>
          <cell r="X233">
            <v>3</v>
          </cell>
          <cell r="Y233">
            <v>302</v>
          </cell>
        </row>
        <row r="234">
          <cell r="F234">
            <v>1</v>
          </cell>
          <cell r="H234">
            <v>13</v>
          </cell>
          <cell r="I234">
            <v>12</v>
          </cell>
          <cell r="J234">
            <v>10</v>
          </cell>
          <cell r="K234">
            <v>6</v>
          </cell>
          <cell r="L234">
            <v>38</v>
          </cell>
          <cell r="M234">
            <v>10</v>
          </cell>
          <cell r="N234">
            <v>2</v>
          </cell>
          <cell r="P234">
            <v>4</v>
          </cell>
          <cell r="Q234">
            <v>4</v>
          </cell>
          <cell r="T234">
            <v>15</v>
          </cell>
          <cell r="Y234">
            <v>115</v>
          </cell>
        </row>
        <row r="235">
          <cell r="F235">
            <v>1</v>
          </cell>
          <cell r="H235">
            <v>3</v>
          </cell>
          <cell r="I235">
            <v>3</v>
          </cell>
          <cell r="M235">
            <v>1</v>
          </cell>
          <cell r="P235">
            <v>1</v>
          </cell>
          <cell r="T235">
            <v>5</v>
          </cell>
          <cell r="U235">
            <v>1</v>
          </cell>
          <cell r="Y235">
            <v>15</v>
          </cell>
        </row>
        <row r="236">
          <cell r="F236">
            <v>2</v>
          </cell>
          <cell r="H236">
            <v>7</v>
          </cell>
          <cell r="I236">
            <v>18</v>
          </cell>
          <cell r="J236">
            <v>77</v>
          </cell>
          <cell r="L236">
            <v>17</v>
          </cell>
          <cell r="M236">
            <v>26</v>
          </cell>
          <cell r="N236">
            <v>12</v>
          </cell>
          <cell r="P236">
            <v>8</v>
          </cell>
          <cell r="Q236">
            <v>5</v>
          </cell>
          <cell r="T236">
            <v>39</v>
          </cell>
          <cell r="U236">
            <v>2</v>
          </cell>
          <cell r="X236">
            <v>2</v>
          </cell>
          <cell r="Y236">
            <v>215</v>
          </cell>
        </row>
        <row r="237">
          <cell r="F237">
            <v>1</v>
          </cell>
          <cell r="H237">
            <v>9</v>
          </cell>
          <cell r="I237">
            <v>7</v>
          </cell>
          <cell r="J237">
            <v>14</v>
          </cell>
          <cell r="K237">
            <v>1</v>
          </cell>
          <cell r="L237">
            <v>21</v>
          </cell>
          <cell r="M237">
            <v>10</v>
          </cell>
          <cell r="N237">
            <v>7</v>
          </cell>
          <cell r="P237">
            <v>2</v>
          </cell>
          <cell r="Q237">
            <v>3</v>
          </cell>
          <cell r="T237">
            <v>31</v>
          </cell>
          <cell r="U237">
            <v>1</v>
          </cell>
          <cell r="X237">
            <v>1</v>
          </cell>
          <cell r="Y237">
            <v>108</v>
          </cell>
        </row>
        <row r="238">
          <cell r="H238">
            <v>3</v>
          </cell>
          <cell r="I238">
            <v>3</v>
          </cell>
          <cell r="J238">
            <v>6</v>
          </cell>
          <cell r="L238">
            <v>18</v>
          </cell>
          <cell r="M238">
            <v>2</v>
          </cell>
          <cell r="P238">
            <v>2</v>
          </cell>
          <cell r="Q238">
            <v>3</v>
          </cell>
          <cell r="T238">
            <v>18</v>
          </cell>
          <cell r="U238">
            <v>1</v>
          </cell>
          <cell r="X238">
            <v>1</v>
          </cell>
          <cell r="Y238">
            <v>57</v>
          </cell>
        </row>
        <row r="239">
          <cell r="F239">
            <v>1</v>
          </cell>
          <cell r="H239">
            <v>4</v>
          </cell>
          <cell r="I239">
            <v>2</v>
          </cell>
          <cell r="J239">
            <v>4</v>
          </cell>
          <cell r="K239">
            <v>1</v>
          </cell>
          <cell r="L239">
            <v>8</v>
          </cell>
          <cell r="M239">
            <v>3</v>
          </cell>
          <cell r="N239">
            <v>3</v>
          </cell>
          <cell r="P239">
            <v>0</v>
          </cell>
          <cell r="Q239">
            <v>2</v>
          </cell>
          <cell r="T239">
            <v>3</v>
          </cell>
          <cell r="Y239">
            <v>31</v>
          </cell>
        </row>
        <row r="240">
          <cell r="F240">
            <v>1</v>
          </cell>
          <cell r="H240">
            <v>1</v>
          </cell>
          <cell r="J240">
            <v>2</v>
          </cell>
          <cell r="M240">
            <v>1</v>
          </cell>
          <cell r="N240">
            <v>1</v>
          </cell>
          <cell r="P240">
            <v>0</v>
          </cell>
          <cell r="Q240">
            <v>1</v>
          </cell>
          <cell r="T240">
            <v>1</v>
          </cell>
          <cell r="Y240">
            <v>8</v>
          </cell>
        </row>
        <row r="241">
          <cell r="J241">
            <v>3</v>
          </cell>
          <cell r="K241">
            <v>2</v>
          </cell>
          <cell r="M241">
            <v>1</v>
          </cell>
          <cell r="N241">
            <v>2</v>
          </cell>
          <cell r="P241">
            <v>2</v>
          </cell>
          <cell r="T241">
            <v>2</v>
          </cell>
          <cell r="Y241">
            <v>12</v>
          </cell>
        </row>
        <row r="242">
          <cell r="H242">
            <v>1</v>
          </cell>
          <cell r="L242">
            <v>1</v>
          </cell>
          <cell r="P242">
            <v>0</v>
          </cell>
          <cell r="T242">
            <v>2</v>
          </cell>
          <cell r="Y242">
            <v>4</v>
          </cell>
        </row>
        <row r="243">
          <cell r="H243">
            <v>5</v>
          </cell>
          <cell r="I243">
            <v>7</v>
          </cell>
          <cell r="J243">
            <v>22</v>
          </cell>
          <cell r="K243">
            <v>1</v>
          </cell>
          <cell r="M243">
            <v>18</v>
          </cell>
          <cell r="N243">
            <v>12</v>
          </cell>
          <cell r="P243">
            <v>7</v>
          </cell>
          <cell r="Q243">
            <v>3</v>
          </cell>
          <cell r="T243">
            <v>12</v>
          </cell>
          <cell r="U243">
            <v>2</v>
          </cell>
          <cell r="Y243">
            <v>89</v>
          </cell>
        </row>
        <row r="244">
          <cell r="H244">
            <v>12</v>
          </cell>
          <cell r="I244">
            <v>7</v>
          </cell>
          <cell r="J244">
            <v>13</v>
          </cell>
          <cell r="K244">
            <v>1</v>
          </cell>
          <cell r="M244">
            <v>8</v>
          </cell>
          <cell r="N244">
            <v>14</v>
          </cell>
          <cell r="P244">
            <v>2</v>
          </cell>
          <cell r="Q244">
            <v>8</v>
          </cell>
          <cell r="T244">
            <v>30</v>
          </cell>
          <cell r="U244">
            <v>3</v>
          </cell>
          <cell r="Y244">
            <v>98</v>
          </cell>
        </row>
        <row r="245">
          <cell r="H245">
            <v>1</v>
          </cell>
          <cell r="J245">
            <v>2</v>
          </cell>
          <cell r="K245">
            <v>2</v>
          </cell>
          <cell r="M245">
            <v>3</v>
          </cell>
          <cell r="P245">
            <v>0</v>
          </cell>
          <cell r="T245">
            <v>2</v>
          </cell>
          <cell r="Y245">
            <v>10</v>
          </cell>
        </row>
        <row r="246">
          <cell r="P246">
            <v>0</v>
          </cell>
          <cell r="T246">
            <v>1</v>
          </cell>
          <cell r="Y246">
            <v>1</v>
          </cell>
        </row>
        <row r="247">
          <cell r="H247">
            <v>2</v>
          </cell>
          <cell r="I247">
            <v>1</v>
          </cell>
          <cell r="J247">
            <v>16</v>
          </cell>
          <cell r="M247">
            <v>3</v>
          </cell>
          <cell r="N247">
            <v>3</v>
          </cell>
          <cell r="P247">
            <v>0</v>
          </cell>
          <cell r="T247">
            <v>3</v>
          </cell>
          <cell r="U247">
            <v>1</v>
          </cell>
          <cell r="Y247">
            <v>29</v>
          </cell>
        </row>
        <row r="248">
          <cell r="H248">
            <v>8</v>
          </cell>
          <cell r="I248">
            <v>4</v>
          </cell>
          <cell r="J248">
            <v>8</v>
          </cell>
          <cell r="M248">
            <v>6</v>
          </cell>
          <cell r="N248">
            <v>4</v>
          </cell>
          <cell r="P248">
            <v>2</v>
          </cell>
          <cell r="T248">
            <v>15</v>
          </cell>
          <cell r="Y248">
            <v>47</v>
          </cell>
        </row>
        <row r="249">
          <cell r="H249">
            <v>3</v>
          </cell>
          <cell r="J249">
            <v>5</v>
          </cell>
          <cell r="M249">
            <v>1</v>
          </cell>
          <cell r="P249">
            <v>0</v>
          </cell>
          <cell r="Q249">
            <v>2</v>
          </cell>
          <cell r="T249">
            <v>10</v>
          </cell>
          <cell r="U249">
            <v>1</v>
          </cell>
          <cell r="Y249">
            <v>22</v>
          </cell>
        </row>
        <row r="250">
          <cell r="H250">
            <v>2</v>
          </cell>
          <cell r="I250">
            <v>1</v>
          </cell>
          <cell r="J250">
            <v>2</v>
          </cell>
          <cell r="M250">
            <v>1</v>
          </cell>
          <cell r="P250">
            <v>0</v>
          </cell>
          <cell r="T250">
            <v>1</v>
          </cell>
          <cell r="Y250">
            <v>7</v>
          </cell>
        </row>
        <row r="251">
          <cell r="J251">
            <v>2</v>
          </cell>
          <cell r="N251">
            <v>1</v>
          </cell>
          <cell r="P251">
            <v>0</v>
          </cell>
          <cell r="T251">
            <v>1</v>
          </cell>
          <cell r="Y251">
            <v>4</v>
          </cell>
        </row>
        <row r="252">
          <cell r="J252">
            <v>2</v>
          </cell>
          <cell r="N252">
            <v>1</v>
          </cell>
          <cell r="P252">
            <v>0</v>
          </cell>
          <cell r="T252">
            <v>1</v>
          </cell>
          <cell r="Y252">
            <v>4</v>
          </cell>
        </row>
        <row r="253">
          <cell r="H253">
            <v>1</v>
          </cell>
          <cell r="P253">
            <v>0</v>
          </cell>
          <cell r="Y253">
            <v>1</v>
          </cell>
        </row>
        <row r="254">
          <cell r="H254">
            <v>7</v>
          </cell>
          <cell r="I254">
            <v>32</v>
          </cell>
          <cell r="J254">
            <v>28</v>
          </cell>
          <cell r="K254">
            <v>1</v>
          </cell>
          <cell r="L254">
            <v>58</v>
          </cell>
          <cell r="M254">
            <v>6</v>
          </cell>
          <cell r="P254">
            <v>7</v>
          </cell>
          <cell r="Q254">
            <v>7</v>
          </cell>
          <cell r="T254">
            <v>19</v>
          </cell>
          <cell r="U254">
            <v>3</v>
          </cell>
          <cell r="Y254">
            <v>168</v>
          </cell>
        </row>
        <row r="255">
          <cell r="H255">
            <v>5</v>
          </cell>
          <cell r="I255">
            <v>2</v>
          </cell>
          <cell r="J255">
            <v>8</v>
          </cell>
          <cell r="K255">
            <v>2</v>
          </cell>
          <cell r="L255">
            <v>18</v>
          </cell>
          <cell r="M255">
            <v>2</v>
          </cell>
          <cell r="P255">
            <v>0</v>
          </cell>
          <cell r="Q255">
            <v>4</v>
          </cell>
          <cell r="T255">
            <v>21</v>
          </cell>
          <cell r="U255">
            <v>1</v>
          </cell>
          <cell r="Y255">
            <v>63</v>
          </cell>
        </row>
        <row r="256">
          <cell r="H256">
            <v>1</v>
          </cell>
          <cell r="I256">
            <v>6</v>
          </cell>
          <cell r="J256">
            <v>9</v>
          </cell>
          <cell r="K256">
            <v>3</v>
          </cell>
          <cell r="L256">
            <v>7</v>
          </cell>
          <cell r="M256">
            <v>1</v>
          </cell>
          <cell r="P256">
            <v>0</v>
          </cell>
          <cell r="T256">
            <v>1</v>
          </cell>
          <cell r="Y256">
            <v>28</v>
          </cell>
        </row>
        <row r="257">
          <cell r="I257">
            <v>3</v>
          </cell>
          <cell r="J257">
            <v>1</v>
          </cell>
          <cell r="P257">
            <v>0</v>
          </cell>
          <cell r="T257">
            <v>1</v>
          </cell>
          <cell r="U257">
            <v>1</v>
          </cell>
          <cell r="Y257">
            <v>6</v>
          </cell>
        </row>
        <row r="258">
          <cell r="H258">
            <v>3</v>
          </cell>
          <cell r="I258">
            <v>5</v>
          </cell>
          <cell r="J258">
            <v>21</v>
          </cell>
          <cell r="L258">
            <v>9</v>
          </cell>
          <cell r="M258">
            <v>6</v>
          </cell>
          <cell r="P258">
            <v>0</v>
          </cell>
          <cell r="Q258">
            <v>1</v>
          </cell>
          <cell r="T258">
            <v>7</v>
          </cell>
          <cell r="U258">
            <v>1</v>
          </cell>
          <cell r="Y258">
            <v>53</v>
          </cell>
        </row>
        <row r="259">
          <cell r="J259">
            <v>19</v>
          </cell>
          <cell r="L259">
            <v>4</v>
          </cell>
          <cell r="M259">
            <v>4</v>
          </cell>
          <cell r="P259">
            <v>0</v>
          </cell>
          <cell r="Q259">
            <v>1</v>
          </cell>
          <cell r="T259">
            <v>9</v>
          </cell>
          <cell r="U259">
            <v>1</v>
          </cell>
          <cell r="Y259">
            <v>38</v>
          </cell>
        </row>
        <row r="260">
          <cell r="J260">
            <v>7</v>
          </cell>
          <cell r="P260">
            <v>0</v>
          </cell>
          <cell r="Q260">
            <v>1</v>
          </cell>
          <cell r="T260">
            <v>3</v>
          </cell>
          <cell r="Y260">
            <v>11</v>
          </cell>
        </row>
        <row r="261">
          <cell r="J261">
            <v>3</v>
          </cell>
          <cell r="P261">
            <v>0</v>
          </cell>
          <cell r="Q261">
            <v>1</v>
          </cell>
          <cell r="Y261">
            <v>4</v>
          </cell>
        </row>
        <row r="262">
          <cell r="J262">
            <v>1</v>
          </cell>
          <cell r="P262">
            <v>0</v>
          </cell>
          <cell r="Q262">
            <v>1</v>
          </cell>
          <cell r="Y262">
            <v>2</v>
          </cell>
        </row>
        <row r="263">
          <cell r="K263">
            <v>1</v>
          </cell>
          <cell r="P263">
            <v>0</v>
          </cell>
          <cell r="Y263">
            <v>1</v>
          </cell>
        </row>
        <row r="264">
          <cell r="P264">
            <v>0</v>
          </cell>
          <cell r="T264">
            <v>1</v>
          </cell>
          <cell r="Y264">
            <v>1</v>
          </cell>
        </row>
        <row r="265">
          <cell r="F265">
            <v>3</v>
          </cell>
          <cell r="G265">
            <v>1</v>
          </cell>
          <cell r="H265">
            <v>46</v>
          </cell>
          <cell r="I265">
            <v>4</v>
          </cell>
          <cell r="J265">
            <v>13</v>
          </cell>
          <cell r="K265">
            <v>10</v>
          </cell>
          <cell r="L265">
            <v>37</v>
          </cell>
          <cell r="M265">
            <v>8</v>
          </cell>
          <cell r="N265">
            <v>6</v>
          </cell>
          <cell r="O265">
            <v>15</v>
          </cell>
          <cell r="P265">
            <v>2</v>
          </cell>
          <cell r="Q265">
            <v>11</v>
          </cell>
          <cell r="R265">
            <v>2</v>
          </cell>
          <cell r="S265">
            <v>8</v>
          </cell>
          <cell r="T265">
            <v>33</v>
          </cell>
          <cell r="U265">
            <v>4</v>
          </cell>
          <cell r="V265">
            <v>63</v>
          </cell>
          <cell r="W265">
            <v>6</v>
          </cell>
          <cell r="X265">
            <v>3</v>
          </cell>
          <cell r="Y265">
            <v>275</v>
          </cell>
          <cell r="Z265">
            <v>1708</v>
          </cell>
        </row>
        <row r="266">
          <cell r="F266">
            <v>143</v>
          </cell>
          <cell r="G266">
            <v>476</v>
          </cell>
          <cell r="H266">
            <v>757</v>
          </cell>
          <cell r="I266">
            <v>574</v>
          </cell>
          <cell r="J266">
            <v>1876</v>
          </cell>
          <cell r="K266">
            <v>305</v>
          </cell>
          <cell r="L266">
            <v>1085</v>
          </cell>
          <cell r="M266">
            <v>97</v>
          </cell>
          <cell r="N266">
            <v>217</v>
          </cell>
          <cell r="O266">
            <v>392</v>
          </cell>
          <cell r="P266">
            <v>255</v>
          </cell>
          <cell r="Q266">
            <v>244</v>
          </cell>
          <cell r="R266">
            <v>259</v>
          </cell>
          <cell r="S266">
            <v>366</v>
          </cell>
          <cell r="T266">
            <v>1283</v>
          </cell>
          <cell r="U266">
            <v>192</v>
          </cell>
          <cell r="V266">
            <v>987</v>
          </cell>
          <cell r="W266">
            <v>129</v>
          </cell>
          <cell r="X266">
            <v>138</v>
          </cell>
          <cell r="Y266">
            <v>9775</v>
          </cell>
          <cell r="Z266">
            <v>64450</v>
          </cell>
        </row>
        <row r="267">
          <cell r="F267">
            <v>0</v>
          </cell>
          <cell r="G267">
            <v>36</v>
          </cell>
          <cell r="H267">
            <v>24</v>
          </cell>
          <cell r="I267">
            <v>17</v>
          </cell>
          <cell r="J267">
            <v>0</v>
          </cell>
          <cell r="K267">
            <v>0</v>
          </cell>
          <cell r="L267">
            <v>556</v>
          </cell>
          <cell r="M267">
            <v>6</v>
          </cell>
          <cell r="N267">
            <v>23</v>
          </cell>
          <cell r="O267">
            <v>0</v>
          </cell>
          <cell r="P267">
            <v>52</v>
          </cell>
          <cell r="Q267">
            <v>0</v>
          </cell>
          <cell r="R267">
            <v>0</v>
          </cell>
          <cell r="S267">
            <v>0</v>
          </cell>
          <cell r="T267">
            <v>234</v>
          </cell>
          <cell r="U267">
            <v>0</v>
          </cell>
          <cell r="V267">
            <v>0</v>
          </cell>
          <cell r="W267">
            <v>0</v>
          </cell>
          <cell r="X267">
            <v>0</v>
          </cell>
          <cell r="Y267">
            <v>948</v>
          </cell>
          <cell r="Z267">
            <v>3486</v>
          </cell>
        </row>
        <row r="268">
          <cell r="F268">
            <v>27</v>
          </cell>
          <cell r="G268">
            <v>36</v>
          </cell>
          <cell r="H268">
            <v>97</v>
          </cell>
          <cell r="I268">
            <v>67</v>
          </cell>
          <cell r="J268">
            <v>386</v>
          </cell>
          <cell r="K268">
            <v>16</v>
          </cell>
          <cell r="L268">
            <v>0</v>
          </cell>
          <cell r="M268">
            <v>0</v>
          </cell>
          <cell r="N268">
            <v>43</v>
          </cell>
          <cell r="O268">
            <v>14</v>
          </cell>
          <cell r="P268">
            <v>0</v>
          </cell>
          <cell r="Q268">
            <v>65</v>
          </cell>
          <cell r="R268">
            <v>113</v>
          </cell>
          <cell r="S268">
            <v>7</v>
          </cell>
          <cell r="T268">
            <v>35</v>
          </cell>
          <cell r="U268">
            <v>24</v>
          </cell>
          <cell r="V268">
            <v>210</v>
          </cell>
          <cell r="W268">
            <v>44</v>
          </cell>
          <cell r="X268">
            <v>45</v>
          </cell>
          <cell r="Y268">
            <v>1229</v>
          </cell>
          <cell r="Z268">
            <v>6214</v>
          </cell>
        </row>
        <row r="269">
          <cell r="F269">
            <v>96</v>
          </cell>
          <cell r="G269">
            <v>44</v>
          </cell>
          <cell r="H269">
            <v>617</v>
          </cell>
          <cell r="I269">
            <v>410</v>
          </cell>
          <cell r="J269">
            <v>460</v>
          </cell>
          <cell r="K269">
            <v>88</v>
          </cell>
          <cell r="L269">
            <v>1534</v>
          </cell>
          <cell r="M269">
            <v>251</v>
          </cell>
          <cell r="N269">
            <v>277</v>
          </cell>
          <cell r="O269">
            <v>752</v>
          </cell>
          <cell r="P269">
            <v>243</v>
          </cell>
          <cell r="Q269">
            <v>118</v>
          </cell>
          <cell r="R269">
            <v>301</v>
          </cell>
          <cell r="S269">
            <v>206</v>
          </cell>
          <cell r="T269">
            <v>1438</v>
          </cell>
          <cell r="U269">
            <v>112</v>
          </cell>
          <cell r="V269">
            <v>520</v>
          </cell>
          <cell r="W269">
            <v>183</v>
          </cell>
          <cell r="X269">
            <v>151</v>
          </cell>
          <cell r="Y269">
            <v>7801</v>
          </cell>
          <cell r="Z269">
            <v>51194</v>
          </cell>
        </row>
        <row r="270">
          <cell r="F270">
            <v>0</v>
          </cell>
          <cell r="G270">
            <v>18</v>
          </cell>
          <cell r="H270">
            <v>20</v>
          </cell>
          <cell r="I270">
            <v>18</v>
          </cell>
          <cell r="J270">
            <v>0</v>
          </cell>
          <cell r="K270">
            <v>4</v>
          </cell>
          <cell r="L270">
            <v>441</v>
          </cell>
          <cell r="M270">
            <v>335</v>
          </cell>
          <cell r="N270">
            <v>0</v>
          </cell>
          <cell r="O270">
            <v>15</v>
          </cell>
          <cell r="P270">
            <v>33</v>
          </cell>
          <cell r="Q270">
            <v>0</v>
          </cell>
          <cell r="R270">
            <v>0</v>
          </cell>
          <cell r="S270">
            <v>0</v>
          </cell>
          <cell r="T270">
            <v>392</v>
          </cell>
          <cell r="U270">
            <v>0</v>
          </cell>
          <cell r="V270">
            <v>0</v>
          </cell>
          <cell r="W270">
            <v>0</v>
          </cell>
          <cell r="X270">
            <v>0</v>
          </cell>
          <cell r="Y270">
            <v>1276</v>
          </cell>
          <cell r="Z270">
            <v>2984</v>
          </cell>
        </row>
        <row r="271">
          <cell r="F271">
            <v>4</v>
          </cell>
          <cell r="G271">
            <v>0</v>
          </cell>
          <cell r="H271">
            <v>76</v>
          </cell>
          <cell r="I271">
            <v>70</v>
          </cell>
          <cell r="J271">
            <v>44</v>
          </cell>
          <cell r="K271">
            <v>0</v>
          </cell>
          <cell r="L271">
            <v>1</v>
          </cell>
          <cell r="M271">
            <v>0</v>
          </cell>
          <cell r="N271">
            <v>42</v>
          </cell>
          <cell r="O271">
            <v>97</v>
          </cell>
          <cell r="P271">
            <v>0</v>
          </cell>
          <cell r="Q271">
            <v>38</v>
          </cell>
          <cell r="R271">
            <v>59</v>
          </cell>
          <cell r="S271">
            <v>13</v>
          </cell>
          <cell r="T271">
            <v>2</v>
          </cell>
          <cell r="U271">
            <v>81</v>
          </cell>
          <cell r="V271">
            <v>148</v>
          </cell>
          <cell r="W271">
            <v>0</v>
          </cell>
          <cell r="X271">
            <v>9</v>
          </cell>
          <cell r="Y271">
            <v>684</v>
          </cell>
          <cell r="Z271">
            <v>4885</v>
          </cell>
        </row>
        <row r="272">
          <cell r="F272">
            <v>1</v>
          </cell>
          <cell r="G272">
            <v>9</v>
          </cell>
          <cell r="H272">
            <v>19</v>
          </cell>
          <cell r="I272">
            <v>32</v>
          </cell>
          <cell r="J272">
            <v>5</v>
          </cell>
          <cell r="K272">
            <v>14</v>
          </cell>
          <cell r="L272">
            <v>94</v>
          </cell>
          <cell r="M272">
            <v>0</v>
          </cell>
          <cell r="N272">
            <v>1</v>
          </cell>
          <cell r="O272">
            <v>19</v>
          </cell>
          <cell r="P272">
            <v>0</v>
          </cell>
          <cell r="Q272">
            <v>37</v>
          </cell>
          <cell r="R272">
            <v>15</v>
          </cell>
          <cell r="S272">
            <v>2</v>
          </cell>
          <cell r="T272">
            <v>53</v>
          </cell>
          <cell r="U272">
            <v>1</v>
          </cell>
          <cell r="V272">
            <v>21</v>
          </cell>
          <cell r="W272">
            <v>24</v>
          </cell>
          <cell r="X272">
            <v>14</v>
          </cell>
          <cell r="Y272">
            <v>361</v>
          </cell>
          <cell r="Z272">
            <v>1799</v>
          </cell>
        </row>
        <row r="273">
          <cell r="F273">
            <v>11</v>
          </cell>
          <cell r="G273">
            <v>23</v>
          </cell>
          <cell r="H273">
            <v>54</v>
          </cell>
          <cell r="I273">
            <v>20</v>
          </cell>
          <cell r="J273">
            <v>107</v>
          </cell>
          <cell r="K273">
            <v>4</v>
          </cell>
          <cell r="L273">
            <v>94</v>
          </cell>
          <cell r="M273">
            <v>9</v>
          </cell>
          <cell r="N273">
            <v>8</v>
          </cell>
          <cell r="O273">
            <v>57</v>
          </cell>
          <cell r="P273">
            <v>2</v>
          </cell>
          <cell r="Q273">
            <v>0</v>
          </cell>
          <cell r="R273">
            <v>2</v>
          </cell>
          <cell r="S273">
            <v>3</v>
          </cell>
          <cell r="T273">
            <v>186</v>
          </cell>
          <cell r="U273">
            <v>4</v>
          </cell>
          <cell r="V273">
            <v>87</v>
          </cell>
          <cell r="W273">
            <v>38</v>
          </cell>
          <cell r="X273">
            <v>12</v>
          </cell>
          <cell r="Y273">
            <v>721</v>
          </cell>
          <cell r="Z273">
            <v>3618</v>
          </cell>
        </row>
        <row r="274">
          <cell r="F274">
            <v>193</v>
          </cell>
          <cell r="G274">
            <v>427</v>
          </cell>
          <cell r="H274">
            <v>1152</v>
          </cell>
          <cell r="I274">
            <v>172</v>
          </cell>
          <cell r="J274">
            <v>2462</v>
          </cell>
          <cell r="K274">
            <v>265</v>
          </cell>
          <cell r="L274">
            <v>4064</v>
          </cell>
          <cell r="M274">
            <v>207</v>
          </cell>
          <cell r="N274">
            <v>737</v>
          </cell>
          <cell r="O274">
            <v>678</v>
          </cell>
          <cell r="P274">
            <v>152</v>
          </cell>
          <cell r="Q274">
            <v>375</v>
          </cell>
          <cell r="R274">
            <v>301</v>
          </cell>
          <cell r="S274">
            <v>366</v>
          </cell>
          <cell r="T274">
            <v>1375</v>
          </cell>
          <cell r="U274">
            <v>269</v>
          </cell>
          <cell r="V274">
            <v>1651</v>
          </cell>
          <cell r="W274">
            <v>194</v>
          </cell>
          <cell r="X274">
            <v>202</v>
          </cell>
          <cell r="Y274">
            <v>15242</v>
          </cell>
          <cell r="Z274">
            <v>83934</v>
          </cell>
        </row>
        <row r="275">
          <cell r="F275">
            <v>35</v>
          </cell>
          <cell r="G275">
            <v>1</v>
          </cell>
          <cell r="H275">
            <v>306</v>
          </cell>
          <cell r="I275">
            <v>892</v>
          </cell>
          <cell r="J275">
            <v>487</v>
          </cell>
          <cell r="K275">
            <v>0</v>
          </cell>
          <cell r="L275">
            <v>44</v>
          </cell>
          <cell r="M275">
            <v>628</v>
          </cell>
          <cell r="N275">
            <v>79</v>
          </cell>
          <cell r="O275">
            <v>479</v>
          </cell>
          <cell r="P275">
            <v>379</v>
          </cell>
          <cell r="Q275">
            <v>39</v>
          </cell>
          <cell r="R275">
            <v>47</v>
          </cell>
          <cell r="S275">
            <v>230</v>
          </cell>
          <cell r="T275">
            <v>924</v>
          </cell>
          <cell r="U275">
            <v>18</v>
          </cell>
          <cell r="V275">
            <v>87</v>
          </cell>
          <cell r="W275">
            <v>43</v>
          </cell>
          <cell r="X275">
            <v>62</v>
          </cell>
          <cell r="Y275">
            <v>4780</v>
          </cell>
          <cell r="Z275">
            <v>35065</v>
          </cell>
        </row>
        <row r="276">
          <cell r="F276">
            <v>35</v>
          </cell>
          <cell r="G276">
            <v>13</v>
          </cell>
          <cell r="H276">
            <v>58</v>
          </cell>
          <cell r="I276">
            <v>101</v>
          </cell>
          <cell r="J276">
            <v>83</v>
          </cell>
          <cell r="K276">
            <v>30</v>
          </cell>
          <cell r="L276">
            <v>109</v>
          </cell>
          <cell r="M276">
            <v>28</v>
          </cell>
          <cell r="N276">
            <v>6</v>
          </cell>
          <cell r="O276">
            <v>30</v>
          </cell>
          <cell r="P276">
            <v>10</v>
          </cell>
          <cell r="Q276">
            <v>21</v>
          </cell>
          <cell r="R276">
            <v>10</v>
          </cell>
          <cell r="S276">
            <v>9</v>
          </cell>
          <cell r="T276">
            <v>280</v>
          </cell>
          <cell r="U276">
            <v>20</v>
          </cell>
          <cell r="V276">
            <v>155</v>
          </cell>
          <cell r="W276">
            <v>37</v>
          </cell>
          <cell r="X276">
            <v>31</v>
          </cell>
          <cell r="Y276">
            <v>1066</v>
          </cell>
          <cell r="Z276">
            <v>3788</v>
          </cell>
        </row>
        <row r="277">
          <cell r="F277">
            <v>48</v>
          </cell>
          <cell r="G277">
            <v>36</v>
          </cell>
          <cell r="H277">
            <v>100</v>
          </cell>
          <cell r="I277">
            <v>118</v>
          </cell>
          <cell r="J277">
            <v>300</v>
          </cell>
          <cell r="K277">
            <v>10</v>
          </cell>
          <cell r="L277">
            <v>782</v>
          </cell>
          <cell r="M277">
            <v>150</v>
          </cell>
          <cell r="N277">
            <v>42</v>
          </cell>
          <cell r="O277">
            <v>186</v>
          </cell>
          <cell r="P277">
            <v>26</v>
          </cell>
          <cell r="Q277">
            <v>37</v>
          </cell>
          <cell r="R277">
            <v>21</v>
          </cell>
          <cell r="S277">
            <v>56</v>
          </cell>
          <cell r="T277">
            <v>654</v>
          </cell>
          <cell r="U277">
            <v>42</v>
          </cell>
          <cell r="V277">
            <v>213</v>
          </cell>
          <cell r="W277">
            <v>21</v>
          </cell>
          <cell r="X277">
            <v>41</v>
          </cell>
          <cell r="Y277">
            <v>2883</v>
          </cell>
          <cell r="Z277">
            <v>13744</v>
          </cell>
        </row>
        <row r="278">
          <cell r="F278">
            <v>4</v>
          </cell>
          <cell r="G278">
            <v>16</v>
          </cell>
          <cell r="H278">
            <v>16</v>
          </cell>
          <cell r="I278">
            <v>0</v>
          </cell>
          <cell r="J278">
            <v>8</v>
          </cell>
          <cell r="K278">
            <v>6</v>
          </cell>
          <cell r="L278">
            <v>3</v>
          </cell>
          <cell r="M278">
            <v>0</v>
          </cell>
          <cell r="N278">
            <v>1</v>
          </cell>
          <cell r="O278">
            <v>0</v>
          </cell>
          <cell r="P278">
            <v>0</v>
          </cell>
          <cell r="Q278">
            <v>20</v>
          </cell>
          <cell r="R278">
            <v>0</v>
          </cell>
          <cell r="S278">
            <v>12</v>
          </cell>
          <cell r="T278">
            <v>22</v>
          </cell>
          <cell r="U278">
            <v>15</v>
          </cell>
          <cell r="V278">
            <v>19</v>
          </cell>
          <cell r="W278">
            <v>3</v>
          </cell>
          <cell r="X278">
            <v>3</v>
          </cell>
          <cell r="Y278">
            <v>148</v>
          </cell>
          <cell r="Z278">
            <v>1865</v>
          </cell>
        </row>
        <row r="279">
          <cell r="F279">
            <v>1</v>
          </cell>
          <cell r="G279">
            <v>0</v>
          </cell>
          <cell r="H279">
            <v>27</v>
          </cell>
          <cell r="I279">
            <v>12</v>
          </cell>
          <cell r="J279">
            <v>3</v>
          </cell>
          <cell r="K279">
            <v>0</v>
          </cell>
          <cell r="L279">
            <v>0</v>
          </cell>
          <cell r="M279">
            <v>5</v>
          </cell>
          <cell r="N279">
            <v>0</v>
          </cell>
          <cell r="O279">
            <v>5</v>
          </cell>
          <cell r="P279">
            <v>0</v>
          </cell>
          <cell r="Q279">
            <v>0</v>
          </cell>
          <cell r="R279">
            <v>61</v>
          </cell>
          <cell r="S279">
            <v>0</v>
          </cell>
          <cell r="T279">
            <v>1</v>
          </cell>
          <cell r="U279">
            <v>0</v>
          </cell>
          <cell r="V279">
            <v>0</v>
          </cell>
          <cell r="W279">
            <v>10</v>
          </cell>
          <cell r="X279">
            <v>0</v>
          </cell>
          <cell r="Y279">
            <v>125</v>
          </cell>
          <cell r="Z279">
            <v>866</v>
          </cell>
        </row>
        <row r="280">
          <cell r="F280">
            <v>0</v>
          </cell>
          <cell r="G280">
            <v>0</v>
          </cell>
          <cell r="H280">
            <v>1</v>
          </cell>
          <cell r="I280">
            <v>0</v>
          </cell>
          <cell r="J280">
            <v>0</v>
          </cell>
          <cell r="K280">
            <v>0</v>
          </cell>
          <cell r="L280">
            <v>0</v>
          </cell>
          <cell r="M280">
            <v>0</v>
          </cell>
          <cell r="N280">
            <v>1</v>
          </cell>
          <cell r="O280">
            <v>0</v>
          </cell>
          <cell r="P280">
            <v>0</v>
          </cell>
          <cell r="Q280">
            <v>0</v>
          </cell>
          <cell r="R280">
            <v>0</v>
          </cell>
          <cell r="S280">
            <v>0</v>
          </cell>
          <cell r="T280">
            <v>1</v>
          </cell>
          <cell r="U280">
            <v>0</v>
          </cell>
          <cell r="V280">
            <v>0</v>
          </cell>
          <cell r="W280">
            <v>0</v>
          </cell>
          <cell r="X280">
            <v>0</v>
          </cell>
          <cell r="Y280">
            <v>3</v>
          </cell>
          <cell r="Z280">
            <v>99</v>
          </cell>
        </row>
        <row r="281">
          <cell r="F281">
            <v>130</v>
          </cell>
          <cell r="G281">
            <v>194</v>
          </cell>
          <cell r="H281">
            <v>436</v>
          </cell>
          <cell r="I281">
            <v>671</v>
          </cell>
          <cell r="J281">
            <v>1135</v>
          </cell>
          <cell r="K281">
            <v>238</v>
          </cell>
          <cell r="L281">
            <v>1823</v>
          </cell>
          <cell r="M281">
            <v>234</v>
          </cell>
          <cell r="N281">
            <v>199</v>
          </cell>
          <cell r="O281">
            <v>591</v>
          </cell>
          <cell r="P281">
            <v>186</v>
          </cell>
          <cell r="Q281">
            <v>243</v>
          </cell>
          <cell r="R281">
            <v>103</v>
          </cell>
          <cell r="S281">
            <v>103</v>
          </cell>
          <cell r="T281">
            <v>1173</v>
          </cell>
          <cell r="U281">
            <v>119</v>
          </cell>
          <cell r="V281">
            <v>977</v>
          </cell>
          <cell r="W281">
            <v>133</v>
          </cell>
          <cell r="X281">
            <v>155</v>
          </cell>
          <cell r="Y281">
            <v>8843</v>
          </cell>
          <cell r="Z281">
            <v>46786</v>
          </cell>
        </row>
        <row r="282">
          <cell r="F282">
            <v>0</v>
          </cell>
          <cell r="G282">
            <v>29</v>
          </cell>
          <cell r="H282">
            <v>0</v>
          </cell>
          <cell r="I282">
            <v>1</v>
          </cell>
          <cell r="J282">
            <v>0</v>
          </cell>
          <cell r="K282">
            <v>0</v>
          </cell>
          <cell r="L282">
            <v>0</v>
          </cell>
          <cell r="M282">
            <v>0</v>
          </cell>
          <cell r="N282">
            <v>24</v>
          </cell>
          <cell r="O282">
            <v>29</v>
          </cell>
          <cell r="P282">
            <v>15</v>
          </cell>
          <cell r="Q282">
            <v>0</v>
          </cell>
          <cell r="R282">
            <v>0</v>
          </cell>
          <cell r="S282">
            <v>14</v>
          </cell>
          <cell r="T282">
            <v>2</v>
          </cell>
          <cell r="U282">
            <v>0</v>
          </cell>
          <cell r="V282">
            <v>5</v>
          </cell>
          <cell r="W282">
            <v>2</v>
          </cell>
          <cell r="X282">
            <v>0</v>
          </cell>
          <cell r="Y282">
            <v>121</v>
          </cell>
          <cell r="Z282">
            <v>3173</v>
          </cell>
        </row>
        <row r="283">
          <cell r="F283">
            <v>0</v>
          </cell>
          <cell r="G283">
            <v>16</v>
          </cell>
          <cell r="H283">
            <v>9</v>
          </cell>
          <cell r="I283">
            <v>60</v>
          </cell>
          <cell r="J283">
            <v>425</v>
          </cell>
          <cell r="K283">
            <v>0</v>
          </cell>
          <cell r="L283">
            <v>0</v>
          </cell>
          <cell r="M283">
            <v>0</v>
          </cell>
          <cell r="N283">
            <v>0</v>
          </cell>
          <cell r="O283">
            <v>0</v>
          </cell>
          <cell r="P283">
            <v>89</v>
          </cell>
          <cell r="Q283">
            <v>0</v>
          </cell>
          <cell r="R283">
            <v>0</v>
          </cell>
          <cell r="S283">
            <v>19</v>
          </cell>
          <cell r="T283">
            <v>84</v>
          </cell>
          <cell r="U283">
            <v>0</v>
          </cell>
          <cell r="V283">
            <v>0</v>
          </cell>
          <cell r="W283">
            <v>0</v>
          </cell>
          <cell r="X283">
            <v>0</v>
          </cell>
          <cell r="Y283">
            <v>702</v>
          </cell>
          <cell r="Z283">
            <v>2276</v>
          </cell>
        </row>
        <row r="284">
          <cell r="F284">
            <v>4</v>
          </cell>
          <cell r="G284">
            <v>37</v>
          </cell>
          <cell r="H284">
            <v>34</v>
          </cell>
          <cell r="I284">
            <v>6</v>
          </cell>
          <cell r="J284">
            <v>41</v>
          </cell>
          <cell r="K284">
            <v>4</v>
          </cell>
          <cell r="L284">
            <v>189</v>
          </cell>
          <cell r="M284">
            <v>33</v>
          </cell>
          <cell r="N284">
            <v>5</v>
          </cell>
          <cell r="O284">
            <v>36</v>
          </cell>
          <cell r="P284">
            <v>0</v>
          </cell>
          <cell r="Q284">
            <v>0</v>
          </cell>
          <cell r="R284">
            <v>4</v>
          </cell>
          <cell r="S284">
            <v>40</v>
          </cell>
          <cell r="T284">
            <v>75</v>
          </cell>
          <cell r="U284">
            <v>11</v>
          </cell>
          <cell r="V284">
            <v>60</v>
          </cell>
          <cell r="W284">
            <v>13</v>
          </cell>
          <cell r="X284">
            <v>11</v>
          </cell>
          <cell r="Y284">
            <v>603</v>
          </cell>
          <cell r="Z284">
            <v>4956</v>
          </cell>
        </row>
        <row r="285">
          <cell r="F285">
            <v>2</v>
          </cell>
          <cell r="H285">
            <v>40</v>
          </cell>
          <cell r="I285">
            <v>9</v>
          </cell>
          <cell r="J285">
            <v>67</v>
          </cell>
          <cell r="K285">
            <v>21</v>
          </cell>
          <cell r="L285">
            <v>146</v>
          </cell>
          <cell r="M285">
            <v>69</v>
          </cell>
          <cell r="P285">
            <v>2</v>
          </cell>
          <cell r="Q285">
            <v>7</v>
          </cell>
          <cell r="T285">
            <v>86</v>
          </cell>
          <cell r="X285">
            <v>4</v>
          </cell>
          <cell r="Y285">
            <v>453</v>
          </cell>
        </row>
        <row r="286">
          <cell r="F286">
            <v>5</v>
          </cell>
          <cell r="H286">
            <v>95</v>
          </cell>
          <cell r="I286">
            <v>40</v>
          </cell>
          <cell r="J286">
            <v>72</v>
          </cell>
          <cell r="K286">
            <v>23</v>
          </cell>
          <cell r="L286">
            <v>100</v>
          </cell>
          <cell r="M286">
            <v>17</v>
          </cell>
          <cell r="N286">
            <v>42</v>
          </cell>
          <cell r="P286">
            <v>11</v>
          </cell>
          <cell r="Q286">
            <v>4</v>
          </cell>
          <cell r="T286">
            <v>71</v>
          </cell>
          <cell r="X286">
            <v>5</v>
          </cell>
          <cell r="Y286">
            <v>485</v>
          </cell>
        </row>
        <row r="287">
          <cell r="I287">
            <v>2</v>
          </cell>
          <cell r="P287">
            <v>0</v>
          </cell>
          <cell r="Y287">
            <v>2</v>
          </cell>
        </row>
        <row r="288">
          <cell r="F288">
            <v>11</v>
          </cell>
          <cell r="H288">
            <v>41</v>
          </cell>
          <cell r="I288">
            <v>50</v>
          </cell>
          <cell r="J288">
            <v>133</v>
          </cell>
          <cell r="K288">
            <v>7</v>
          </cell>
          <cell r="L288">
            <v>607</v>
          </cell>
          <cell r="M288">
            <v>35</v>
          </cell>
          <cell r="N288">
            <v>3</v>
          </cell>
          <cell r="P288">
            <v>0</v>
          </cell>
          <cell r="Q288">
            <v>22</v>
          </cell>
          <cell r="T288">
            <v>146</v>
          </cell>
          <cell r="X288">
            <v>3</v>
          </cell>
          <cell r="Y288">
            <v>1058</v>
          </cell>
        </row>
        <row r="289">
          <cell r="F289">
            <v>13</v>
          </cell>
          <cell r="G289">
            <v>36</v>
          </cell>
          <cell r="H289">
            <v>11</v>
          </cell>
          <cell r="I289">
            <v>69</v>
          </cell>
          <cell r="J289">
            <v>164</v>
          </cell>
          <cell r="K289">
            <v>11</v>
          </cell>
          <cell r="L289">
            <v>65</v>
          </cell>
          <cell r="M289">
            <v>2</v>
          </cell>
          <cell r="N289">
            <v>30</v>
          </cell>
          <cell r="O289">
            <v>94</v>
          </cell>
          <cell r="P289">
            <v>56</v>
          </cell>
          <cell r="Q289">
            <v>0</v>
          </cell>
          <cell r="R289">
            <v>27</v>
          </cell>
          <cell r="S289">
            <v>35</v>
          </cell>
          <cell r="T289">
            <v>155</v>
          </cell>
          <cell r="U289">
            <v>51</v>
          </cell>
          <cell r="V289">
            <v>8</v>
          </cell>
          <cell r="W289">
            <v>11</v>
          </cell>
          <cell r="X289">
            <v>40</v>
          </cell>
          <cell r="Y289">
            <v>878</v>
          </cell>
          <cell r="Z289">
            <v>5876</v>
          </cell>
        </row>
        <row r="290">
          <cell r="F290">
            <v>2</v>
          </cell>
          <cell r="G290">
            <v>6</v>
          </cell>
          <cell r="H290">
            <v>18</v>
          </cell>
          <cell r="I290">
            <v>19</v>
          </cell>
          <cell r="J290">
            <v>0</v>
          </cell>
          <cell r="K290">
            <v>0</v>
          </cell>
          <cell r="L290">
            <v>15</v>
          </cell>
          <cell r="M290">
            <v>39</v>
          </cell>
          <cell r="N290">
            <v>0</v>
          </cell>
          <cell r="O290">
            <v>0</v>
          </cell>
          <cell r="P290">
            <v>0</v>
          </cell>
          <cell r="Q290">
            <v>1</v>
          </cell>
          <cell r="R290">
            <v>7</v>
          </cell>
          <cell r="S290">
            <v>0</v>
          </cell>
          <cell r="T290">
            <v>23</v>
          </cell>
          <cell r="U290">
            <v>0</v>
          </cell>
          <cell r="V290">
            <v>0</v>
          </cell>
          <cell r="W290">
            <v>3</v>
          </cell>
          <cell r="X290">
            <v>5</v>
          </cell>
          <cell r="Y290">
            <v>138</v>
          </cell>
          <cell r="Z290">
            <v>1902</v>
          </cell>
        </row>
        <row r="291">
          <cell r="F291">
            <v>3</v>
          </cell>
          <cell r="G291">
            <v>2</v>
          </cell>
          <cell r="H291">
            <v>3</v>
          </cell>
          <cell r="I291">
            <v>21</v>
          </cell>
          <cell r="J291">
            <v>0</v>
          </cell>
          <cell r="K291">
            <v>1</v>
          </cell>
          <cell r="L291">
            <v>47</v>
          </cell>
          <cell r="M291">
            <v>11</v>
          </cell>
          <cell r="N291">
            <v>12</v>
          </cell>
          <cell r="O291">
            <v>0</v>
          </cell>
          <cell r="P291">
            <v>4</v>
          </cell>
          <cell r="Q291">
            <v>1</v>
          </cell>
          <cell r="R291">
            <v>0</v>
          </cell>
          <cell r="S291">
            <v>2</v>
          </cell>
          <cell r="T291">
            <v>18</v>
          </cell>
          <cell r="U291">
            <v>2</v>
          </cell>
          <cell r="V291">
            <v>16</v>
          </cell>
          <cell r="W291">
            <v>18</v>
          </cell>
          <cell r="X291">
            <v>4</v>
          </cell>
          <cell r="Y291">
            <v>165</v>
          </cell>
          <cell r="Z291">
            <v>708</v>
          </cell>
        </row>
        <row r="292">
          <cell r="F292">
            <v>0</v>
          </cell>
          <cell r="G292">
            <v>0</v>
          </cell>
          <cell r="H292">
            <v>1</v>
          </cell>
          <cell r="I292">
            <v>6</v>
          </cell>
          <cell r="J292">
            <v>2</v>
          </cell>
          <cell r="K292">
            <v>0</v>
          </cell>
          <cell r="L292">
            <v>3</v>
          </cell>
          <cell r="M292">
            <v>14</v>
          </cell>
          <cell r="N292">
            <v>9</v>
          </cell>
          <cell r="O292">
            <v>17</v>
          </cell>
          <cell r="P292">
            <v>0</v>
          </cell>
          <cell r="Q292">
            <v>0</v>
          </cell>
          <cell r="R292">
            <v>0</v>
          </cell>
          <cell r="S292">
            <v>2</v>
          </cell>
          <cell r="T292">
            <v>0</v>
          </cell>
          <cell r="U292">
            <v>0</v>
          </cell>
          <cell r="V292">
            <v>0</v>
          </cell>
          <cell r="W292">
            <v>0</v>
          </cell>
          <cell r="X292">
            <v>1</v>
          </cell>
          <cell r="Y292">
            <v>55</v>
          </cell>
          <cell r="Z292">
            <v>584</v>
          </cell>
        </row>
        <row r="293">
          <cell r="F293">
            <v>3</v>
          </cell>
          <cell r="G293">
            <v>19</v>
          </cell>
          <cell r="H293">
            <v>1</v>
          </cell>
          <cell r="I293">
            <v>16</v>
          </cell>
          <cell r="J293">
            <v>35</v>
          </cell>
          <cell r="K293">
            <v>16</v>
          </cell>
          <cell r="L293">
            <v>8</v>
          </cell>
          <cell r="M293">
            <v>0</v>
          </cell>
          <cell r="N293">
            <v>4</v>
          </cell>
          <cell r="O293">
            <v>30</v>
          </cell>
          <cell r="P293">
            <v>6</v>
          </cell>
          <cell r="Q293">
            <v>0</v>
          </cell>
          <cell r="R293">
            <v>3</v>
          </cell>
          <cell r="S293">
            <v>8</v>
          </cell>
          <cell r="T293">
            <v>9</v>
          </cell>
          <cell r="U293">
            <v>2</v>
          </cell>
          <cell r="V293">
            <v>9</v>
          </cell>
          <cell r="W293">
            <v>0</v>
          </cell>
          <cell r="X293">
            <v>0</v>
          </cell>
          <cell r="Y293">
            <v>169</v>
          </cell>
          <cell r="Z293">
            <v>1646</v>
          </cell>
        </row>
        <row r="294">
          <cell r="F294">
            <v>485</v>
          </cell>
          <cell r="H294">
            <v>3300</v>
          </cell>
          <cell r="I294">
            <v>3037</v>
          </cell>
          <cell r="J294">
            <v>7181</v>
          </cell>
          <cell r="K294">
            <v>1024</v>
          </cell>
          <cell r="L294">
            <v>9945</v>
          </cell>
          <cell r="M294">
            <v>1744</v>
          </cell>
          <cell r="N294">
            <v>1616</v>
          </cell>
          <cell r="P294">
            <v>1254</v>
          </cell>
          <cell r="Q294">
            <v>871</v>
          </cell>
          <cell r="T294">
            <v>7507</v>
          </cell>
          <cell r="U294">
            <v>754</v>
          </cell>
          <cell r="X294">
            <v>537</v>
          </cell>
          <cell r="Y294">
            <v>39255</v>
          </cell>
        </row>
        <row r="295">
          <cell r="F295">
            <v>159</v>
          </cell>
          <cell r="H295">
            <v>467</v>
          </cell>
          <cell r="I295">
            <v>213</v>
          </cell>
          <cell r="J295">
            <v>822</v>
          </cell>
          <cell r="K295">
            <v>9</v>
          </cell>
          <cell r="L295">
            <v>616</v>
          </cell>
          <cell r="M295">
            <v>231</v>
          </cell>
          <cell r="N295">
            <v>103</v>
          </cell>
          <cell r="P295">
            <v>180</v>
          </cell>
          <cell r="Q295">
            <v>322</v>
          </cell>
          <cell r="T295">
            <v>821</v>
          </cell>
          <cell r="U295">
            <v>113</v>
          </cell>
          <cell r="X295">
            <v>227</v>
          </cell>
          <cell r="Y295">
            <v>4283</v>
          </cell>
        </row>
        <row r="296">
          <cell r="F296">
            <v>80</v>
          </cell>
          <cell r="H296">
            <v>179</v>
          </cell>
          <cell r="I296">
            <v>82</v>
          </cell>
          <cell r="J296">
            <v>100</v>
          </cell>
          <cell r="K296">
            <v>7</v>
          </cell>
          <cell r="L296">
            <v>119</v>
          </cell>
          <cell r="M296">
            <v>61</v>
          </cell>
          <cell r="N296">
            <v>30</v>
          </cell>
          <cell r="P296">
            <v>23</v>
          </cell>
          <cell r="Q296">
            <v>82</v>
          </cell>
          <cell r="T296">
            <v>234</v>
          </cell>
          <cell r="U296">
            <v>23</v>
          </cell>
          <cell r="X296">
            <v>106</v>
          </cell>
          <cell r="Y296">
            <v>1126</v>
          </cell>
        </row>
        <row r="297">
          <cell r="H297">
            <v>3</v>
          </cell>
          <cell r="L297">
            <v>1</v>
          </cell>
          <cell r="P297">
            <v>1</v>
          </cell>
          <cell r="U297">
            <v>1</v>
          </cell>
          <cell r="Y297">
            <v>6</v>
          </cell>
        </row>
        <row r="298">
          <cell r="F298">
            <v>10</v>
          </cell>
          <cell r="H298">
            <v>22</v>
          </cell>
          <cell r="I298">
            <v>16</v>
          </cell>
          <cell r="J298">
            <v>75</v>
          </cell>
          <cell r="L298">
            <v>35</v>
          </cell>
          <cell r="M298">
            <v>26</v>
          </cell>
          <cell r="N298">
            <v>12</v>
          </cell>
          <cell r="P298">
            <v>40</v>
          </cell>
          <cell r="Q298">
            <v>56</v>
          </cell>
          <cell r="T298">
            <v>77</v>
          </cell>
          <cell r="U298">
            <v>12</v>
          </cell>
          <cell r="X298">
            <v>7</v>
          </cell>
          <cell r="Y298">
            <v>388</v>
          </cell>
        </row>
        <row r="299">
          <cell r="H299">
            <v>1</v>
          </cell>
          <cell r="I299">
            <v>1</v>
          </cell>
          <cell r="M299">
            <v>2</v>
          </cell>
          <cell r="P299">
            <v>1</v>
          </cell>
          <cell r="T299">
            <v>2</v>
          </cell>
          <cell r="Y299">
            <v>7</v>
          </cell>
        </row>
        <row r="300">
          <cell r="F300">
            <v>1</v>
          </cell>
          <cell r="H300">
            <v>1</v>
          </cell>
          <cell r="I300">
            <v>2</v>
          </cell>
          <cell r="J300">
            <v>3</v>
          </cell>
          <cell r="P300">
            <v>0</v>
          </cell>
          <cell r="Q300">
            <v>14</v>
          </cell>
          <cell r="U300">
            <v>1</v>
          </cell>
          <cell r="X300">
            <v>11</v>
          </cell>
          <cell r="Y300">
            <v>33</v>
          </cell>
        </row>
        <row r="301">
          <cell r="F301">
            <v>12</v>
          </cell>
          <cell r="H301">
            <v>69</v>
          </cell>
          <cell r="I301">
            <v>11</v>
          </cell>
          <cell r="J301">
            <v>36</v>
          </cell>
          <cell r="L301">
            <v>27</v>
          </cell>
          <cell r="M301">
            <v>11</v>
          </cell>
          <cell r="N301">
            <v>10</v>
          </cell>
          <cell r="P301">
            <v>13</v>
          </cell>
          <cell r="Q301">
            <v>39</v>
          </cell>
          <cell r="T301">
            <v>51</v>
          </cell>
          <cell r="U301">
            <v>6</v>
          </cell>
          <cell r="X301">
            <v>14</v>
          </cell>
          <cell r="Y301">
            <v>299</v>
          </cell>
        </row>
        <row r="302">
          <cell r="I302">
            <v>1</v>
          </cell>
          <cell r="L302">
            <v>7</v>
          </cell>
          <cell r="M302">
            <v>10</v>
          </cell>
          <cell r="P302">
            <v>0</v>
          </cell>
          <cell r="T302">
            <v>2</v>
          </cell>
          <cell r="Y302">
            <v>20</v>
          </cell>
        </row>
        <row r="303">
          <cell r="F303">
            <v>3</v>
          </cell>
          <cell r="H303">
            <v>6</v>
          </cell>
          <cell r="I303">
            <v>4</v>
          </cell>
          <cell r="P303">
            <v>0</v>
          </cell>
          <cell r="Q303">
            <v>6</v>
          </cell>
          <cell r="U303">
            <v>5</v>
          </cell>
          <cell r="X303">
            <v>1</v>
          </cell>
          <cell r="Y303">
            <v>25</v>
          </cell>
        </row>
        <row r="304">
          <cell r="H304">
            <v>2</v>
          </cell>
          <cell r="I304">
            <v>2</v>
          </cell>
          <cell r="J304">
            <v>5</v>
          </cell>
          <cell r="L304">
            <v>1</v>
          </cell>
          <cell r="N304">
            <v>1</v>
          </cell>
          <cell r="P304">
            <v>0</v>
          </cell>
          <cell r="Q304">
            <v>7</v>
          </cell>
          <cell r="T304">
            <v>5</v>
          </cell>
          <cell r="U304">
            <v>1</v>
          </cell>
          <cell r="X304">
            <v>2</v>
          </cell>
          <cell r="Y304">
            <v>26</v>
          </cell>
        </row>
        <row r="305">
          <cell r="F305">
            <v>10</v>
          </cell>
          <cell r="H305">
            <v>48</v>
          </cell>
          <cell r="I305">
            <v>8</v>
          </cell>
          <cell r="J305">
            <v>26</v>
          </cell>
          <cell r="L305">
            <v>13</v>
          </cell>
          <cell r="M305">
            <v>5</v>
          </cell>
          <cell r="N305">
            <v>12</v>
          </cell>
          <cell r="P305">
            <v>0</v>
          </cell>
          <cell r="T305">
            <v>66</v>
          </cell>
          <cell r="U305">
            <v>2</v>
          </cell>
          <cell r="X305">
            <v>8</v>
          </cell>
          <cell r="Y305">
            <v>198</v>
          </cell>
        </row>
        <row r="306">
          <cell r="F306">
            <v>36</v>
          </cell>
          <cell r="H306">
            <v>75</v>
          </cell>
          <cell r="I306">
            <v>59</v>
          </cell>
          <cell r="J306">
            <v>107</v>
          </cell>
          <cell r="L306">
            <v>71</v>
          </cell>
          <cell r="M306">
            <v>30</v>
          </cell>
          <cell r="N306">
            <v>19</v>
          </cell>
          <cell r="P306">
            <v>25</v>
          </cell>
          <cell r="Q306">
            <v>174</v>
          </cell>
          <cell r="T306">
            <v>107</v>
          </cell>
          <cell r="U306">
            <v>18</v>
          </cell>
          <cell r="X306">
            <v>24</v>
          </cell>
          <cell r="Y306">
            <v>745</v>
          </cell>
        </row>
        <row r="307">
          <cell r="F307">
            <v>33</v>
          </cell>
          <cell r="H307">
            <v>49</v>
          </cell>
          <cell r="J307">
            <v>157</v>
          </cell>
          <cell r="L307">
            <v>30</v>
          </cell>
          <cell r="M307">
            <v>5</v>
          </cell>
          <cell r="N307">
            <v>6</v>
          </cell>
          <cell r="P307">
            <v>0</v>
          </cell>
          <cell r="Q307">
            <v>15</v>
          </cell>
          <cell r="T307">
            <v>72</v>
          </cell>
          <cell r="U307">
            <v>18</v>
          </cell>
          <cell r="X307">
            <v>31</v>
          </cell>
          <cell r="Y307">
            <v>416</v>
          </cell>
        </row>
        <row r="308">
          <cell r="F308">
            <v>32</v>
          </cell>
          <cell r="H308">
            <v>58</v>
          </cell>
          <cell r="I308">
            <v>34</v>
          </cell>
          <cell r="J308">
            <v>56</v>
          </cell>
          <cell r="L308">
            <v>62</v>
          </cell>
          <cell r="M308">
            <v>26</v>
          </cell>
          <cell r="N308">
            <v>6</v>
          </cell>
          <cell r="P308">
            <v>10</v>
          </cell>
          <cell r="Q308">
            <v>20</v>
          </cell>
          <cell r="T308">
            <v>132</v>
          </cell>
          <cell r="U308">
            <v>7</v>
          </cell>
          <cell r="X308">
            <v>26</v>
          </cell>
          <cell r="Y308">
            <v>469</v>
          </cell>
        </row>
        <row r="309">
          <cell r="F309">
            <v>41</v>
          </cell>
          <cell r="H309">
            <v>69</v>
          </cell>
          <cell r="I309">
            <v>21</v>
          </cell>
          <cell r="J309">
            <v>183</v>
          </cell>
          <cell r="K309">
            <v>9</v>
          </cell>
          <cell r="L309">
            <v>164</v>
          </cell>
          <cell r="M309">
            <v>51</v>
          </cell>
          <cell r="N309">
            <v>28</v>
          </cell>
          <cell r="P309">
            <v>26</v>
          </cell>
          <cell r="Q309">
            <v>26</v>
          </cell>
          <cell r="T309">
            <v>257</v>
          </cell>
          <cell r="U309">
            <v>16</v>
          </cell>
          <cell r="X309">
            <v>40</v>
          </cell>
          <cell r="Y309">
            <v>931</v>
          </cell>
        </row>
        <row r="310">
          <cell r="H310">
            <v>1</v>
          </cell>
          <cell r="P310">
            <v>0</v>
          </cell>
          <cell r="Q310">
            <v>1</v>
          </cell>
          <cell r="T310">
            <v>5</v>
          </cell>
          <cell r="U310">
            <v>1</v>
          </cell>
          <cell r="X310">
            <v>2</v>
          </cell>
          <cell r="Y310">
            <v>10</v>
          </cell>
        </row>
        <row r="311">
          <cell r="F311">
            <v>1</v>
          </cell>
          <cell r="H311">
            <v>4</v>
          </cell>
          <cell r="P311">
            <v>0</v>
          </cell>
          <cell r="T311">
            <v>1</v>
          </cell>
          <cell r="Y311">
            <v>6</v>
          </cell>
        </row>
        <row r="312">
          <cell r="H312">
            <v>1</v>
          </cell>
          <cell r="N312">
            <v>1</v>
          </cell>
          <cell r="P312">
            <v>0</v>
          </cell>
          <cell r="T312">
            <v>1</v>
          </cell>
          <cell r="Y312">
            <v>3</v>
          </cell>
        </row>
        <row r="313">
          <cell r="F313">
            <v>55</v>
          </cell>
          <cell r="H313">
            <v>125</v>
          </cell>
          <cell r="I313">
            <v>85</v>
          </cell>
          <cell r="J313">
            <v>201</v>
          </cell>
          <cell r="K313">
            <v>2</v>
          </cell>
          <cell r="L313">
            <v>248</v>
          </cell>
          <cell r="M313">
            <v>75</v>
          </cell>
          <cell r="N313">
            <v>25</v>
          </cell>
          <cell r="P313">
            <v>66</v>
          </cell>
          <cell r="Q313">
            <v>44</v>
          </cell>
          <cell r="T313">
            <v>209</v>
          </cell>
          <cell r="U313">
            <v>39</v>
          </cell>
          <cell r="X313">
            <v>152</v>
          </cell>
          <cell r="Y313">
            <v>1326</v>
          </cell>
        </row>
        <row r="314">
          <cell r="N314">
            <v>7</v>
          </cell>
          <cell r="P314">
            <v>0</v>
          </cell>
          <cell r="T314">
            <v>1</v>
          </cell>
          <cell r="Y314">
            <v>8</v>
          </cell>
        </row>
        <row r="315">
          <cell r="H315">
            <v>9</v>
          </cell>
          <cell r="I315">
            <v>2</v>
          </cell>
          <cell r="J315">
            <v>33</v>
          </cell>
          <cell r="P315">
            <v>16</v>
          </cell>
          <cell r="T315">
            <v>2</v>
          </cell>
          <cell r="Y315">
            <v>62</v>
          </cell>
        </row>
        <row r="316">
          <cell r="F316">
            <v>4</v>
          </cell>
          <cell r="H316">
            <v>33</v>
          </cell>
          <cell r="I316">
            <v>6</v>
          </cell>
          <cell r="J316">
            <v>32</v>
          </cell>
          <cell r="K316">
            <v>4</v>
          </cell>
          <cell r="L316">
            <v>69</v>
          </cell>
          <cell r="M316">
            <v>18</v>
          </cell>
          <cell r="N316">
            <v>5</v>
          </cell>
          <cell r="P316">
            <v>0</v>
          </cell>
          <cell r="T316">
            <v>49</v>
          </cell>
          <cell r="U316">
            <v>9</v>
          </cell>
          <cell r="X316">
            <v>8</v>
          </cell>
          <cell r="Y316">
            <v>237</v>
          </cell>
        </row>
        <row r="317">
          <cell r="F317">
            <v>1</v>
          </cell>
          <cell r="H317">
            <v>24</v>
          </cell>
          <cell r="I317">
            <v>2</v>
          </cell>
          <cell r="J317">
            <v>1</v>
          </cell>
          <cell r="L317">
            <v>1</v>
          </cell>
          <cell r="M317">
            <v>33</v>
          </cell>
          <cell r="P317">
            <v>2</v>
          </cell>
          <cell r="Q317">
            <v>1</v>
          </cell>
          <cell r="T317">
            <v>5</v>
          </cell>
          <cell r="X317">
            <v>1</v>
          </cell>
          <cell r="Y317">
            <v>71</v>
          </cell>
        </row>
        <row r="318">
          <cell r="H318">
            <v>46</v>
          </cell>
          <cell r="N318">
            <v>1</v>
          </cell>
          <cell r="P318">
            <v>0</v>
          </cell>
          <cell r="Y318">
            <v>47</v>
          </cell>
        </row>
        <row r="319">
          <cell r="P319">
            <v>0</v>
          </cell>
          <cell r="Y319">
            <v>0</v>
          </cell>
        </row>
        <row r="320">
          <cell r="I320">
            <v>11</v>
          </cell>
          <cell r="J320">
            <v>7</v>
          </cell>
          <cell r="P320">
            <v>0</v>
          </cell>
          <cell r="Q320">
            <v>1</v>
          </cell>
          <cell r="T320">
            <v>7</v>
          </cell>
          <cell r="Y320">
            <v>26</v>
          </cell>
        </row>
        <row r="321">
          <cell r="I321">
            <v>12</v>
          </cell>
          <cell r="K321">
            <v>1</v>
          </cell>
          <cell r="L321">
            <v>6</v>
          </cell>
          <cell r="P321">
            <v>0</v>
          </cell>
          <cell r="T321">
            <v>2</v>
          </cell>
          <cell r="X321">
            <v>1</v>
          </cell>
          <cell r="Y321">
            <v>22</v>
          </cell>
        </row>
        <row r="322">
          <cell r="I322">
            <v>18</v>
          </cell>
          <cell r="P322">
            <v>0</v>
          </cell>
          <cell r="T322">
            <v>2</v>
          </cell>
          <cell r="X322">
            <v>5</v>
          </cell>
          <cell r="Y322">
            <v>25</v>
          </cell>
        </row>
        <row r="323">
          <cell r="H323">
            <v>115</v>
          </cell>
          <cell r="I323">
            <v>19</v>
          </cell>
          <cell r="J323">
            <v>117</v>
          </cell>
          <cell r="M323">
            <v>33</v>
          </cell>
          <cell r="N323">
            <v>17</v>
          </cell>
          <cell r="P323">
            <v>13</v>
          </cell>
          <cell r="Q323">
            <v>12</v>
          </cell>
          <cell r="T323">
            <v>102</v>
          </cell>
          <cell r="U323">
            <v>12</v>
          </cell>
          <cell r="X323">
            <v>28</v>
          </cell>
          <cell r="Y323">
            <v>468</v>
          </cell>
        </row>
        <row r="324">
          <cell r="H324">
            <v>26</v>
          </cell>
          <cell r="I324">
            <v>10</v>
          </cell>
          <cell r="J324">
            <v>42</v>
          </cell>
          <cell r="M324">
            <v>33</v>
          </cell>
          <cell r="N324">
            <v>12</v>
          </cell>
          <cell r="P324">
            <v>9</v>
          </cell>
          <cell r="Q324">
            <v>11</v>
          </cell>
          <cell r="T324">
            <v>29</v>
          </cell>
          <cell r="U324">
            <v>6</v>
          </cell>
          <cell r="X324">
            <v>6</v>
          </cell>
          <cell r="Y324">
            <v>184</v>
          </cell>
        </row>
        <row r="325">
          <cell r="F325">
            <v>0</v>
          </cell>
          <cell r="H325">
            <v>1</v>
          </cell>
          <cell r="I325">
            <v>0</v>
          </cell>
          <cell r="J325">
            <v>2</v>
          </cell>
          <cell r="K325">
            <v>2</v>
          </cell>
          <cell r="L325">
            <v>14</v>
          </cell>
          <cell r="M325">
            <v>4</v>
          </cell>
          <cell r="N325">
            <v>4</v>
          </cell>
          <cell r="P325">
            <v>0</v>
          </cell>
          <cell r="Q325">
            <v>0</v>
          </cell>
          <cell r="T325">
            <v>2</v>
          </cell>
          <cell r="X325">
            <v>1</v>
          </cell>
          <cell r="Y325">
            <v>30</v>
          </cell>
        </row>
        <row r="326">
          <cell r="F326">
            <v>8</v>
          </cell>
          <cell r="H326">
            <v>198</v>
          </cell>
          <cell r="I326">
            <v>49</v>
          </cell>
          <cell r="J326">
            <v>260</v>
          </cell>
          <cell r="K326">
            <v>51</v>
          </cell>
          <cell r="L326">
            <v>94</v>
          </cell>
          <cell r="M326">
            <v>9</v>
          </cell>
          <cell r="N326">
            <v>22</v>
          </cell>
          <cell r="P326">
            <v>16</v>
          </cell>
          <cell r="Q326">
            <v>29</v>
          </cell>
          <cell r="T326">
            <v>215</v>
          </cell>
          <cell r="U326">
            <v>34</v>
          </cell>
          <cell r="X326">
            <v>20</v>
          </cell>
          <cell r="Y326">
            <v>1005</v>
          </cell>
        </row>
        <row r="327">
          <cell r="F327">
            <v>218</v>
          </cell>
          <cell r="G327">
            <v>351</v>
          </cell>
          <cell r="H327">
            <v>888</v>
          </cell>
          <cell r="I327">
            <v>500</v>
          </cell>
          <cell r="J327">
            <v>1791</v>
          </cell>
          <cell r="K327">
            <v>276</v>
          </cell>
          <cell r="L327">
            <v>2868</v>
          </cell>
          <cell r="M327">
            <v>471</v>
          </cell>
          <cell r="N327">
            <v>336</v>
          </cell>
          <cell r="O327">
            <v>772</v>
          </cell>
          <cell r="P327">
            <v>246</v>
          </cell>
          <cell r="Q327">
            <v>262</v>
          </cell>
          <cell r="R327">
            <v>265</v>
          </cell>
          <cell r="S327">
            <v>317</v>
          </cell>
          <cell r="T327">
            <v>2033</v>
          </cell>
          <cell r="U327">
            <v>231</v>
          </cell>
          <cell r="V327">
            <v>728</v>
          </cell>
          <cell r="W327">
            <v>131</v>
          </cell>
          <cell r="X327">
            <v>176</v>
          </cell>
          <cell r="Y327">
            <v>12860</v>
          </cell>
          <cell r="Z327">
            <v>72423</v>
          </cell>
        </row>
        <row r="328">
          <cell r="F328">
            <v>167</v>
          </cell>
          <cell r="H328">
            <v>671</v>
          </cell>
          <cell r="I328">
            <v>376</v>
          </cell>
          <cell r="J328">
            <v>1058</v>
          </cell>
          <cell r="K328">
            <v>174</v>
          </cell>
          <cell r="L328">
            <v>1766</v>
          </cell>
          <cell r="M328">
            <v>326</v>
          </cell>
          <cell r="N328">
            <v>237</v>
          </cell>
          <cell r="P328">
            <v>210</v>
          </cell>
          <cell r="T328">
            <v>1494</v>
          </cell>
          <cell r="U328">
            <v>136</v>
          </cell>
          <cell r="Y328">
            <v>6615</v>
          </cell>
        </row>
        <row r="329">
          <cell r="F329">
            <v>51</v>
          </cell>
          <cell r="G329">
            <v>117</v>
          </cell>
          <cell r="H329">
            <v>171</v>
          </cell>
          <cell r="I329">
            <v>158</v>
          </cell>
          <cell r="J329">
            <v>428</v>
          </cell>
          <cell r="K329">
            <v>132</v>
          </cell>
          <cell r="L329">
            <v>1067</v>
          </cell>
          <cell r="M329">
            <v>118</v>
          </cell>
          <cell r="N329">
            <v>94</v>
          </cell>
          <cell r="O329">
            <v>162</v>
          </cell>
          <cell r="P329">
            <v>33</v>
          </cell>
          <cell r="Q329">
            <v>52</v>
          </cell>
          <cell r="R329">
            <v>37</v>
          </cell>
          <cell r="S329">
            <v>132</v>
          </cell>
          <cell r="T329">
            <v>471</v>
          </cell>
          <cell r="U329">
            <v>91</v>
          </cell>
          <cell r="V329">
            <v>362</v>
          </cell>
          <cell r="W329">
            <v>37</v>
          </cell>
          <cell r="X329">
            <v>29</v>
          </cell>
          <cell r="Y329">
            <v>3742</v>
          </cell>
          <cell r="Z329">
            <v>17890</v>
          </cell>
        </row>
        <row r="330">
          <cell r="F330">
            <v>148</v>
          </cell>
          <cell r="H330">
            <v>466</v>
          </cell>
          <cell r="I330">
            <v>301</v>
          </cell>
          <cell r="J330">
            <v>745</v>
          </cell>
          <cell r="K330">
            <v>89</v>
          </cell>
          <cell r="L330">
            <v>959</v>
          </cell>
          <cell r="M330">
            <v>15</v>
          </cell>
          <cell r="N330">
            <v>163</v>
          </cell>
          <cell r="P330">
            <v>161</v>
          </cell>
          <cell r="T330">
            <v>1063</v>
          </cell>
          <cell r="U330">
            <v>117</v>
          </cell>
          <cell r="Y330">
            <v>4227</v>
          </cell>
        </row>
        <row r="331">
          <cell r="F331">
            <v>1</v>
          </cell>
          <cell r="H331">
            <v>8</v>
          </cell>
          <cell r="I331">
            <v>73</v>
          </cell>
          <cell r="J331">
            <v>22</v>
          </cell>
          <cell r="K331">
            <v>22</v>
          </cell>
          <cell r="L331">
            <v>125</v>
          </cell>
          <cell r="M331">
            <v>46</v>
          </cell>
          <cell r="N331">
            <v>5</v>
          </cell>
          <cell r="P331">
            <v>4</v>
          </cell>
          <cell r="Q331">
            <v>6</v>
          </cell>
          <cell r="T331">
            <v>82</v>
          </cell>
          <cell r="U331">
            <v>3</v>
          </cell>
          <cell r="X331">
            <v>3</v>
          </cell>
          <cell r="Y331">
            <v>400</v>
          </cell>
        </row>
        <row r="332">
          <cell r="F332">
            <v>20</v>
          </cell>
          <cell r="H332">
            <v>275</v>
          </cell>
          <cell r="I332">
            <v>2</v>
          </cell>
          <cell r="J332">
            <v>315</v>
          </cell>
          <cell r="K332">
            <v>48</v>
          </cell>
          <cell r="L332">
            <v>738</v>
          </cell>
          <cell r="M332">
            <v>68</v>
          </cell>
          <cell r="N332">
            <v>70</v>
          </cell>
          <cell r="P332">
            <v>45</v>
          </cell>
          <cell r="Q332">
            <v>61</v>
          </cell>
          <cell r="T332">
            <v>534</v>
          </cell>
          <cell r="U332">
            <v>16</v>
          </cell>
          <cell r="X332">
            <v>60</v>
          </cell>
          <cell r="Y332">
            <v>2252</v>
          </cell>
        </row>
        <row r="333">
          <cell r="H333">
            <v>87</v>
          </cell>
          <cell r="I333">
            <v>75</v>
          </cell>
          <cell r="J333">
            <v>31</v>
          </cell>
          <cell r="K333">
            <v>37</v>
          </cell>
          <cell r="L333">
            <v>35</v>
          </cell>
          <cell r="M333">
            <v>46</v>
          </cell>
          <cell r="N333">
            <v>29</v>
          </cell>
          <cell r="P333">
            <v>3</v>
          </cell>
          <cell r="Q333">
            <v>29</v>
          </cell>
          <cell r="T333">
            <v>626</v>
          </cell>
          <cell r="Y333">
            <v>998</v>
          </cell>
        </row>
        <row r="334">
          <cell r="F334">
            <v>149</v>
          </cell>
          <cell r="H334">
            <v>671</v>
          </cell>
          <cell r="I334">
            <v>303</v>
          </cell>
          <cell r="J334">
            <v>1262</v>
          </cell>
          <cell r="K334">
            <v>153</v>
          </cell>
          <cell r="L334">
            <v>886</v>
          </cell>
          <cell r="M334">
            <v>269</v>
          </cell>
          <cell r="N334">
            <v>208</v>
          </cell>
          <cell r="P334">
            <v>208</v>
          </cell>
          <cell r="Q334">
            <v>209</v>
          </cell>
          <cell r="T334">
            <v>1665</v>
          </cell>
          <cell r="U334">
            <v>120</v>
          </cell>
          <cell r="X334">
            <v>87</v>
          </cell>
          <cell r="Y334">
            <v>6190</v>
          </cell>
        </row>
        <row r="335">
          <cell r="F335">
            <v>68</v>
          </cell>
          <cell r="H335">
            <v>212</v>
          </cell>
          <cell r="I335">
            <v>143</v>
          </cell>
          <cell r="J335">
            <v>495</v>
          </cell>
          <cell r="K335">
            <v>90</v>
          </cell>
          <cell r="L335">
            <v>1628</v>
          </cell>
          <cell r="M335">
            <v>183</v>
          </cell>
          <cell r="N335">
            <v>114</v>
          </cell>
          <cell r="P335">
            <v>37</v>
          </cell>
          <cell r="Q335">
            <v>32</v>
          </cell>
          <cell r="T335">
            <v>358</v>
          </cell>
          <cell r="U335">
            <v>16</v>
          </cell>
          <cell r="X335">
            <v>83</v>
          </cell>
          <cell r="Y335">
            <v>3459</v>
          </cell>
        </row>
        <row r="336">
          <cell r="F336">
            <v>0</v>
          </cell>
          <cell r="H336">
            <v>0</v>
          </cell>
          <cell r="I336">
            <v>4</v>
          </cell>
          <cell r="J336">
            <v>19</v>
          </cell>
          <cell r="K336">
            <v>11</v>
          </cell>
          <cell r="L336">
            <v>23</v>
          </cell>
          <cell r="M336">
            <v>3</v>
          </cell>
          <cell r="N336">
            <v>2</v>
          </cell>
          <cell r="P336">
            <v>0</v>
          </cell>
          <cell r="Q336">
            <v>1</v>
          </cell>
          <cell r="T336">
            <v>2</v>
          </cell>
          <cell r="U336">
            <v>0</v>
          </cell>
          <cell r="X336">
            <v>6</v>
          </cell>
          <cell r="Y336">
            <v>71</v>
          </cell>
        </row>
        <row r="337">
          <cell r="F337">
            <v>1</v>
          </cell>
          <cell r="H337">
            <v>5</v>
          </cell>
          <cell r="I337">
            <v>125</v>
          </cell>
          <cell r="J337">
            <v>16</v>
          </cell>
          <cell r="K337">
            <v>23</v>
          </cell>
          <cell r="L337">
            <v>331</v>
          </cell>
          <cell r="M337">
            <v>20</v>
          </cell>
          <cell r="N337">
            <v>15</v>
          </cell>
          <cell r="P337">
            <v>1</v>
          </cell>
          <cell r="Q337">
            <v>20</v>
          </cell>
          <cell r="T337">
            <v>8</v>
          </cell>
          <cell r="U337">
            <v>0</v>
          </cell>
          <cell r="X337">
            <v>0</v>
          </cell>
          <cell r="Y337">
            <v>565</v>
          </cell>
        </row>
        <row r="338">
          <cell r="F338">
            <v>148</v>
          </cell>
          <cell r="G338">
            <v>245</v>
          </cell>
          <cell r="H338">
            <v>625</v>
          </cell>
          <cell r="I338">
            <v>331</v>
          </cell>
          <cell r="J338">
            <v>1105</v>
          </cell>
          <cell r="K338">
            <v>155</v>
          </cell>
          <cell r="L338">
            <v>1654</v>
          </cell>
          <cell r="M338">
            <v>258</v>
          </cell>
          <cell r="N338">
            <v>167</v>
          </cell>
          <cell r="O338">
            <v>559</v>
          </cell>
          <cell r="P338">
            <v>189</v>
          </cell>
          <cell r="Q338">
            <v>201</v>
          </cell>
          <cell r="R338">
            <v>167</v>
          </cell>
          <cell r="S338">
            <v>185</v>
          </cell>
          <cell r="T338">
            <v>1382</v>
          </cell>
          <cell r="U338">
            <v>115</v>
          </cell>
          <cell r="V338">
            <v>615</v>
          </cell>
          <cell r="W338">
            <v>116</v>
          </cell>
          <cell r="X338">
            <v>107</v>
          </cell>
          <cell r="Y338">
            <v>615</v>
          </cell>
          <cell r="Z338">
            <v>48543</v>
          </cell>
        </row>
        <row r="339">
          <cell r="F339">
            <v>128</v>
          </cell>
          <cell r="G339">
            <v>160.99999999999997</v>
          </cell>
          <cell r="H339">
            <v>193</v>
          </cell>
          <cell r="I339">
            <v>201</v>
          </cell>
          <cell r="J339">
            <v>605</v>
          </cell>
          <cell r="K339">
            <v>64</v>
          </cell>
          <cell r="L339">
            <v>471</v>
          </cell>
          <cell r="M339">
            <v>58</v>
          </cell>
          <cell r="N339">
            <v>111</v>
          </cell>
          <cell r="O339">
            <v>264</v>
          </cell>
          <cell r="P339">
            <v>184</v>
          </cell>
          <cell r="Q339">
            <v>143</v>
          </cell>
          <cell r="R339">
            <v>96</v>
          </cell>
          <cell r="S339">
            <v>52</v>
          </cell>
          <cell r="T339">
            <v>929</v>
          </cell>
          <cell r="U339">
            <v>97</v>
          </cell>
          <cell r="V339">
            <v>268</v>
          </cell>
          <cell r="W339">
            <v>114</v>
          </cell>
          <cell r="X339">
            <v>32</v>
          </cell>
          <cell r="Y339">
            <v>268</v>
          </cell>
          <cell r="Z339">
            <v>28178</v>
          </cell>
        </row>
        <row r="340">
          <cell r="F340">
            <v>148</v>
          </cell>
          <cell r="G340">
            <v>228</v>
          </cell>
          <cell r="H340">
            <v>572</v>
          </cell>
          <cell r="I340">
            <v>261</v>
          </cell>
          <cell r="J340">
            <v>1074</v>
          </cell>
          <cell r="K340">
            <v>150</v>
          </cell>
          <cell r="L340">
            <v>1618</v>
          </cell>
          <cell r="M340">
            <v>205</v>
          </cell>
          <cell r="N340">
            <v>137</v>
          </cell>
          <cell r="O340">
            <v>552</v>
          </cell>
          <cell r="P340">
            <v>182</v>
          </cell>
          <cell r="Q340">
            <v>193</v>
          </cell>
          <cell r="R340">
            <v>131</v>
          </cell>
          <cell r="S340">
            <v>141</v>
          </cell>
          <cell r="T340">
            <v>1375</v>
          </cell>
          <cell r="U340">
            <v>102</v>
          </cell>
          <cell r="V340">
            <v>595</v>
          </cell>
          <cell r="W340">
            <v>114</v>
          </cell>
          <cell r="X340">
            <v>104</v>
          </cell>
          <cell r="Y340">
            <v>595</v>
          </cell>
          <cell r="Z340">
            <v>45145</v>
          </cell>
        </row>
        <row r="341">
          <cell r="F341">
            <v>128</v>
          </cell>
          <cell r="G341">
            <v>152.00000000000003</v>
          </cell>
          <cell r="H341">
            <v>187</v>
          </cell>
          <cell r="I341">
            <v>174</v>
          </cell>
          <cell r="J341">
            <v>591</v>
          </cell>
          <cell r="K341">
            <v>64</v>
          </cell>
          <cell r="L341">
            <v>468</v>
          </cell>
          <cell r="M341">
            <v>54</v>
          </cell>
          <cell r="N341">
            <v>104</v>
          </cell>
          <cell r="O341">
            <v>261</v>
          </cell>
          <cell r="P341">
            <v>181</v>
          </cell>
          <cell r="Q341">
            <v>142.99999999999997</v>
          </cell>
          <cell r="R341">
            <v>91</v>
          </cell>
          <cell r="S341">
            <v>8</v>
          </cell>
          <cell r="T341">
            <v>927</v>
          </cell>
          <cell r="U341">
            <v>96</v>
          </cell>
          <cell r="V341">
            <v>248</v>
          </cell>
          <cell r="W341">
            <v>113</v>
          </cell>
          <cell r="X341">
            <v>31</v>
          </cell>
          <cell r="Y341">
            <v>248</v>
          </cell>
          <cell r="Z341">
            <v>27111</v>
          </cell>
        </row>
        <row r="342">
          <cell r="F342">
            <v>724</v>
          </cell>
          <cell r="G342">
            <v>0</v>
          </cell>
          <cell r="H342">
            <v>3946</v>
          </cell>
          <cell r="I342">
            <v>3332</v>
          </cell>
          <cell r="J342">
            <v>8103</v>
          </cell>
          <cell r="K342">
            <v>1040</v>
          </cell>
          <cell r="L342">
            <v>10680</v>
          </cell>
          <cell r="M342">
            <v>2036</v>
          </cell>
          <cell r="N342">
            <v>1749</v>
          </cell>
          <cell r="O342">
            <v>0</v>
          </cell>
          <cell r="P342">
            <v>1457</v>
          </cell>
          <cell r="Q342">
            <v>1275</v>
          </cell>
          <cell r="S342">
            <v>0</v>
          </cell>
          <cell r="T342">
            <v>0</v>
          </cell>
          <cell r="U342">
            <v>890</v>
          </cell>
          <cell r="V342">
            <v>0</v>
          </cell>
          <cell r="W342">
            <v>0</v>
          </cell>
          <cell r="X342">
            <v>870</v>
          </cell>
          <cell r="Y342">
            <v>36102</v>
          </cell>
        </row>
        <row r="344">
          <cell r="F344">
            <v>19</v>
          </cell>
          <cell r="G344">
            <v>43</v>
          </cell>
          <cell r="H344">
            <v>64</v>
          </cell>
          <cell r="I344">
            <v>45</v>
          </cell>
          <cell r="J344">
            <v>254</v>
          </cell>
          <cell r="K344">
            <v>26</v>
          </cell>
          <cell r="L344">
            <v>62</v>
          </cell>
          <cell r="M344">
            <v>110</v>
          </cell>
          <cell r="N344">
            <v>49</v>
          </cell>
          <cell r="O344">
            <v>115</v>
          </cell>
          <cell r="P344">
            <v>16</v>
          </cell>
          <cell r="Q344">
            <v>35</v>
          </cell>
          <cell r="R344">
            <v>28</v>
          </cell>
          <cell r="S344">
            <v>10</v>
          </cell>
          <cell r="T344">
            <v>13</v>
          </cell>
          <cell r="U344">
            <v>3</v>
          </cell>
          <cell r="V344">
            <v>101</v>
          </cell>
          <cell r="W344">
            <v>8</v>
          </cell>
          <cell r="X344">
            <v>21</v>
          </cell>
          <cell r="Y344">
            <v>1022</v>
          </cell>
        </row>
        <row r="346">
          <cell r="F346">
            <v>0</v>
          </cell>
          <cell r="G346">
            <v>4</v>
          </cell>
          <cell r="H346">
            <v>71</v>
          </cell>
          <cell r="I346">
            <v>6</v>
          </cell>
          <cell r="J346">
            <v>87</v>
          </cell>
          <cell r="K346">
            <v>12</v>
          </cell>
          <cell r="L346">
            <v>4</v>
          </cell>
          <cell r="M346">
            <v>116</v>
          </cell>
          <cell r="N346">
            <v>40</v>
          </cell>
          <cell r="O346">
            <v>78</v>
          </cell>
          <cell r="P346">
            <v>1</v>
          </cell>
          <cell r="Q346">
            <v>29</v>
          </cell>
          <cell r="R346">
            <v>1</v>
          </cell>
          <cell r="S346">
            <v>0</v>
          </cell>
          <cell r="T346">
            <v>0</v>
          </cell>
          <cell r="U346">
            <v>6</v>
          </cell>
          <cell r="V346">
            <v>186</v>
          </cell>
          <cell r="W346">
            <v>0</v>
          </cell>
          <cell r="X346">
            <v>19</v>
          </cell>
          <cell r="Y346">
            <v>660</v>
          </cell>
        </row>
        <row r="348">
          <cell r="F348">
            <v>1</v>
          </cell>
          <cell r="G348">
            <v>8</v>
          </cell>
          <cell r="H348">
            <v>4</v>
          </cell>
          <cell r="I348">
            <v>14</v>
          </cell>
          <cell r="J348">
            <v>9</v>
          </cell>
          <cell r="K348">
            <v>8</v>
          </cell>
          <cell r="L348">
            <v>0</v>
          </cell>
          <cell r="M348">
            <v>8</v>
          </cell>
          <cell r="N348">
            <v>1</v>
          </cell>
          <cell r="O348">
            <v>8</v>
          </cell>
          <cell r="P348">
            <v>1</v>
          </cell>
          <cell r="Q348">
            <v>0</v>
          </cell>
          <cell r="R348">
            <v>0</v>
          </cell>
          <cell r="S348">
            <v>2</v>
          </cell>
          <cell r="T348">
            <v>11</v>
          </cell>
          <cell r="U348">
            <v>1</v>
          </cell>
          <cell r="V348">
            <v>14</v>
          </cell>
          <cell r="W348">
            <v>5</v>
          </cell>
          <cell r="X348">
            <v>0</v>
          </cell>
          <cell r="Y348">
            <v>95</v>
          </cell>
        </row>
        <row r="350">
          <cell r="F350">
            <v>2</v>
          </cell>
          <cell r="G350">
            <v>3</v>
          </cell>
          <cell r="H350">
            <v>6</v>
          </cell>
          <cell r="I350">
            <v>1</v>
          </cell>
          <cell r="J350">
            <v>4</v>
          </cell>
          <cell r="K350">
            <v>4</v>
          </cell>
          <cell r="L350">
            <v>0</v>
          </cell>
          <cell r="M350">
            <v>1</v>
          </cell>
          <cell r="N350">
            <v>1</v>
          </cell>
          <cell r="O350">
            <v>3</v>
          </cell>
          <cell r="P350">
            <v>0</v>
          </cell>
          <cell r="Q350">
            <v>0</v>
          </cell>
          <cell r="R350">
            <v>1</v>
          </cell>
          <cell r="S350">
            <v>0</v>
          </cell>
          <cell r="T350">
            <v>1</v>
          </cell>
          <cell r="U350">
            <v>0</v>
          </cell>
          <cell r="V350">
            <v>0</v>
          </cell>
          <cell r="W350">
            <v>0</v>
          </cell>
          <cell r="X350">
            <v>0</v>
          </cell>
          <cell r="Y350">
            <v>27</v>
          </cell>
        </row>
        <row r="352">
          <cell r="F352">
            <v>14</v>
          </cell>
          <cell r="G352">
            <v>29</v>
          </cell>
          <cell r="H352">
            <v>65</v>
          </cell>
          <cell r="I352">
            <v>32</v>
          </cell>
          <cell r="J352">
            <v>95</v>
          </cell>
          <cell r="K352">
            <v>6</v>
          </cell>
          <cell r="L352">
            <v>211</v>
          </cell>
          <cell r="M352">
            <v>31</v>
          </cell>
          <cell r="N352">
            <v>49</v>
          </cell>
          <cell r="O352">
            <v>13</v>
          </cell>
          <cell r="P352">
            <v>36</v>
          </cell>
          <cell r="Q352">
            <v>0</v>
          </cell>
          <cell r="R352">
            <v>25</v>
          </cell>
          <cell r="S352">
            <v>0</v>
          </cell>
          <cell r="T352">
            <v>106</v>
          </cell>
          <cell r="U352">
            <v>26</v>
          </cell>
          <cell r="V352">
            <v>46</v>
          </cell>
          <cell r="W352">
            <v>27</v>
          </cell>
          <cell r="X352">
            <v>17</v>
          </cell>
          <cell r="Y352">
            <v>828</v>
          </cell>
        </row>
        <row r="354">
          <cell r="F354">
            <v>3</v>
          </cell>
          <cell r="G354">
            <v>5</v>
          </cell>
          <cell r="H354">
            <v>2</v>
          </cell>
          <cell r="I354">
            <v>16</v>
          </cell>
          <cell r="J354">
            <v>19</v>
          </cell>
          <cell r="K354">
            <v>0</v>
          </cell>
          <cell r="L354">
            <v>28</v>
          </cell>
          <cell r="M354">
            <v>0</v>
          </cell>
          <cell r="N354">
            <v>11</v>
          </cell>
          <cell r="O354">
            <v>19</v>
          </cell>
          <cell r="P354">
            <v>30</v>
          </cell>
          <cell r="Q354">
            <v>0</v>
          </cell>
          <cell r="R354">
            <v>0</v>
          </cell>
          <cell r="S354">
            <v>2</v>
          </cell>
          <cell r="T354">
            <v>8</v>
          </cell>
          <cell r="U354">
            <v>7</v>
          </cell>
          <cell r="V354">
            <v>6</v>
          </cell>
          <cell r="W354">
            <v>4</v>
          </cell>
          <cell r="X354">
            <v>2</v>
          </cell>
          <cell r="Y354">
            <v>162</v>
          </cell>
        </row>
        <row r="356">
          <cell r="F356">
            <v>1</v>
          </cell>
          <cell r="G356">
            <v>4</v>
          </cell>
          <cell r="H356">
            <v>4</v>
          </cell>
          <cell r="I356">
            <v>0</v>
          </cell>
          <cell r="J356">
            <v>6</v>
          </cell>
          <cell r="K356">
            <v>13</v>
          </cell>
          <cell r="L356">
            <v>28</v>
          </cell>
          <cell r="M356">
            <v>25</v>
          </cell>
          <cell r="N356">
            <v>6</v>
          </cell>
          <cell r="O356">
            <v>5</v>
          </cell>
          <cell r="P356">
            <v>1</v>
          </cell>
          <cell r="Q356">
            <v>4</v>
          </cell>
          <cell r="R356">
            <v>7</v>
          </cell>
          <cell r="S356">
            <v>0</v>
          </cell>
          <cell r="T356">
            <v>10</v>
          </cell>
          <cell r="U356">
            <v>1</v>
          </cell>
          <cell r="V356">
            <v>1</v>
          </cell>
          <cell r="W356">
            <v>6</v>
          </cell>
          <cell r="X356">
            <v>1</v>
          </cell>
          <cell r="Y356">
            <v>123</v>
          </cell>
        </row>
        <row r="358">
          <cell r="F358">
            <v>84</v>
          </cell>
          <cell r="G358">
            <v>61</v>
          </cell>
          <cell r="H358">
            <v>193</v>
          </cell>
          <cell r="I358">
            <v>276</v>
          </cell>
          <cell r="J358">
            <v>74</v>
          </cell>
          <cell r="K358">
            <v>31</v>
          </cell>
          <cell r="L358">
            <v>175</v>
          </cell>
          <cell r="M358">
            <v>32</v>
          </cell>
          <cell r="N358">
            <v>40</v>
          </cell>
          <cell r="O358">
            <v>34</v>
          </cell>
          <cell r="P358">
            <v>0</v>
          </cell>
          <cell r="Q358">
            <v>52</v>
          </cell>
          <cell r="R358">
            <v>21</v>
          </cell>
          <cell r="S358">
            <v>67</v>
          </cell>
          <cell r="T358">
            <v>324</v>
          </cell>
          <cell r="U358">
            <v>44</v>
          </cell>
          <cell r="V358">
            <v>124</v>
          </cell>
          <cell r="W358">
            <v>70</v>
          </cell>
          <cell r="X358">
            <v>3</v>
          </cell>
          <cell r="Y358">
            <v>1705</v>
          </cell>
        </row>
        <row r="359">
          <cell r="F359">
            <v>2</v>
          </cell>
          <cell r="H359">
            <v>636</v>
          </cell>
          <cell r="I359">
            <v>423</v>
          </cell>
          <cell r="J359">
            <v>526</v>
          </cell>
          <cell r="K359">
            <v>160</v>
          </cell>
          <cell r="L359">
            <v>244</v>
          </cell>
          <cell r="M359">
            <v>207</v>
          </cell>
          <cell r="N359">
            <v>68</v>
          </cell>
          <cell r="P359">
            <v>144</v>
          </cell>
          <cell r="Q359">
            <v>0</v>
          </cell>
          <cell r="T359">
            <v>614</v>
          </cell>
          <cell r="U359">
            <v>40</v>
          </cell>
          <cell r="X359">
            <v>93</v>
          </cell>
          <cell r="Y359">
            <v>3157</v>
          </cell>
        </row>
        <row r="360">
          <cell r="F360">
            <v>0</v>
          </cell>
          <cell r="H360">
            <v>11</v>
          </cell>
          <cell r="I360">
            <v>16</v>
          </cell>
          <cell r="J360">
            <v>20</v>
          </cell>
          <cell r="K360">
            <v>2</v>
          </cell>
          <cell r="L360">
            <v>0</v>
          </cell>
          <cell r="M360">
            <v>0</v>
          </cell>
          <cell r="N360">
            <v>5</v>
          </cell>
          <cell r="P360">
            <v>0</v>
          </cell>
          <cell r="Q360">
            <v>0</v>
          </cell>
          <cell r="T360">
            <v>0</v>
          </cell>
          <cell r="U360">
            <v>0</v>
          </cell>
          <cell r="X360">
            <v>3</v>
          </cell>
          <cell r="Y360">
            <v>57</v>
          </cell>
        </row>
        <row r="361">
          <cell r="F361">
            <v>21</v>
          </cell>
          <cell r="G361">
            <v>6</v>
          </cell>
          <cell r="H361">
            <v>15</v>
          </cell>
          <cell r="I361">
            <v>160</v>
          </cell>
          <cell r="J361">
            <v>31</v>
          </cell>
          <cell r="K361">
            <v>25</v>
          </cell>
          <cell r="L361">
            <v>16</v>
          </cell>
          <cell r="M361">
            <v>136</v>
          </cell>
          <cell r="N361">
            <v>158</v>
          </cell>
          <cell r="O361">
            <v>235</v>
          </cell>
          <cell r="P361">
            <v>102</v>
          </cell>
          <cell r="Q361">
            <v>0</v>
          </cell>
          <cell r="R361">
            <v>6</v>
          </cell>
          <cell r="S361">
            <v>99</v>
          </cell>
          <cell r="T361">
            <v>29</v>
          </cell>
          <cell r="U361">
            <v>75</v>
          </cell>
          <cell r="V361">
            <v>15</v>
          </cell>
          <cell r="W361">
            <v>69</v>
          </cell>
          <cell r="X361">
            <v>77</v>
          </cell>
          <cell r="Y361">
            <v>1275</v>
          </cell>
          <cell r="Z361">
            <v>15712</v>
          </cell>
        </row>
        <row r="362">
          <cell r="F362">
            <v>0</v>
          </cell>
          <cell r="G362">
            <v>0</v>
          </cell>
          <cell r="H362">
            <v>0</v>
          </cell>
          <cell r="I362">
            <v>41</v>
          </cell>
          <cell r="J362">
            <v>24</v>
          </cell>
          <cell r="K362">
            <v>15</v>
          </cell>
          <cell r="L362">
            <v>8</v>
          </cell>
          <cell r="M362">
            <v>0</v>
          </cell>
          <cell r="N362">
            <v>0</v>
          </cell>
          <cell r="O362">
            <v>0</v>
          </cell>
          <cell r="P362">
            <v>47</v>
          </cell>
          <cell r="Q362">
            <v>0</v>
          </cell>
          <cell r="R362">
            <v>2</v>
          </cell>
          <cell r="S362">
            <v>0</v>
          </cell>
          <cell r="T362">
            <v>3</v>
          </cell>
          <cell r="U362">
            <v>0</v>
          </cell>
          <cell r="V362">
            <v>1</v>
          </cell>
          <cell r="W362">
            <v>69</v>
          </cell>
          <cell r="X362">
            <v>3</v>
          </cell>
          <cell r="Y362">
            <v>213</v>
          </cell>
          <cell r="Z362">
            <v>2990</v>
          </cell>
        </row>
        <row r="363">
          <cell r="F363">
            <v>21</v>
          </cell>
          <cell r="G363">
            <v>6</v>
          </cell>
          <cell r="H363">
            <v>15</v>
          </cell>
          <cell r="I363">
            <v>119</v>
          </cell>
          <cell r="J363">
            <v>15</v>
          </cell>
          <cell r="K363">
            <v>10</v>
          </cell>
          <cell r="L363">
            <v>8</v>
          </cell>
          <cell r="M363">
            <v>136</v>
          </cell>
          <cell r="N363">
            <v>161</v>
          </cell>
          <cell r="O363">
            <v>247</v>
          </cell>
          <cell r="P363">
            <v>58</v>
          </cell>
          <cell r="Q363">
            <v>0</v>
          </cell>
          <cell r="R363">
            <v>5</v>
          </cell>
          <cell r="S363">
            <v>99</v>
          </cell>
          <cell r="T363">
            <v>26</v>
          </cell>
          <cell r="U363">
            <v>75</v>
          </cell>
          <cell r="V363">
            <v>15</v>
          </cell>
          <cell r="W363">
            <v>69</v>
          </cell>
          <cell r="X363">
            <v>74</v>
          </cell>
          <cell r="Y363">
            <v>1159</v>
          </cell>
          <cell r="Z363">
            <v>14234</v>
          </cell>
        </row>
        <row r="364">
          <cell r="F364">
            <v>0</v>
          </cell>
          <cell r="G364">
            <v>6</v>
          </cell>
          <cell r="H364">
            <v>15</v>
          </cell>
          <cell r="I364">
            <v>2</v>
          </cell>
          <cell r="J364">
            <v>15</v>
          </cell>
          <cell r="K364">
            <v>10</v>
          </cell>
          <cell r="L364">
            <v>8</v>
          </cell>
          <cell r="M364">
            <v>5</v>
          </cell>
          <cell r="N364">
            <v>7</v>
          </cell>
          <cell r="O364">
            <v>7</v>
          </cell>
          <cell r="P364">
            <v>27</v>
          </cell>
          <cell r="Q364">
            <v>0</v>
          </cell>
          <cell r="R364">
            <v>1</v>
          </cell>
          <cell r="S364">
            <v>1</v>
          </cell>
          <cell r="T364">
            <v>24</v>
          </cell>
          <cell r="U364">
            <v>3</v>
          </cell>
          <cell r="V364">
            <v>15</v>
          </cell>
          <cell r="W364">
            <v>3</v>
          </cell>
          <cell r="X364">
            <v>2</v>
          </cell>
          <cell r="Y364">
            <v>151</v>
          </cell>
          <cell r="Z364">
            <v>960</v>
          </cell>
        </row>
        <row r="365">
          <cell r="F365">
            <v>10</v>
          </cell>
          <cell r="G365">
            <v>0</v>
          </cell>
          <cell r="H365">
            <v>0</v>
          </cell>
          <cell r="I365">
            <v>115</v>
          </cell>
          <cell r="J365">
            <v>0</v>
          </cell>
          <cell r="K365">
            <v>0</v>
          </cell>
          <cell r="L365">
            <v>0</v>
          </cell>
          <cell r="M365">
            <v>130</v>
          </cell>
          <cell r="N365">
            <v>150</v>
          </cell>
          <cell r="O365">
            <v>228</v>
          </cell>
          <cell r="P365">
            <v>31</v>
          </cell>
          <cell r="Q365">
            <v>0</v>
          </cell>
          <cell r="R365">
            <v>3</v>
          </cell>
          <cell r="S365">
            <v>98</v>
          </cell>
          <cell r="T365">
            <v>0</v>
          </cell>
          <cell r="U365">
            <v>69</v>
          </cell>
          <cell r="V365">
            <v>0</v>
          </cell>
          <cell r="W365">
            <v>66</v>
          </cell>
          <cell r="X365">
            <v>72</v>
          </cell>
          <cell r="Y365">
            <v>972</v>
          </cell>
          <cell r="Z365">
            <v>12480</v>
          </cell>
        </row>
        <row r="366">
          <cell r="F366">
            <v>11</v>
          </cell>
          <cell r="G366">
            <v>0</v>
          </cell>
          <cell r="H366">
            <v>0</v>
          </cell>
          <cell r="I366">
            <v>0</v>
          </cell>
          <cell r="J366">
            <v>0</v>
          </cell>
          <cell r="K366">
            <v>0</v>
          </cell>
          <cell r="L366">
            <v>0</v>
          </cell>
          <cell r="M366">
            <v>0</v>
          </cell>
          <cell r="N366">
            <v>4</v>
          </cell>
          <cell r="O366">
            <v>6</v>
          </cell>
          <cell r="P366">
            <v>0</v>
          </cell>
          <cell r="Q366">
            <v>0</v>
          </cell>
          <cell r="R366">
            <v>1</v>
          </cell>
          <cell r="S366">
            <v>0</v>
          </cell>
          <cell r="T366">
            <v>0</v>
          </cell>
          <cell r="U366">
            <v>0</v>
          </cell>
          <cell r="V366">
            <v>0</v>
          </cell>
          <cell r="W366">
            <v>0</v>
          </cell>
          <cell r="X366">
            <v>0</v>
          </cell>
          <cell r="Y366">
            <v>22</v>
          </cell>
          <cell r="Z366">
            <v>317</v>
          </cell>
        </row>
        <row r="367">
          <cell r="F367">
            <v>0</v>
          </cell>
          <cell r="G367">
            <v>0</v>
          </cell>
          <cell r="H367">
            <v>0</v>
          </cell>
          <cell r="I367">
            <v>2</v>
          </cell>
          <cell r="J367">
            <v>0</v>
          </cell>
          <cell r="K367">
            <v>0</v>
          </cell>
          <cell r="L367">
            <v>0</v>
          </cell>
          <cell r="M367">
            <v>1</v>
          </cell>
          <cell r="N367">
            <v>0</v>
          </cell>
          <cell r="O367">
            <v>6</v>
          </cell>
          <cell r="P367">
            <v>0</v>
          </cell>
          <cell r="Q367">
            <v>0</v>
          </cell>
          <cell r="R367">
            <v>0</v>
          </cell>
          <cell r="S367">
            <v>0</v>
          </cell>
          <cell r="T367">
            <v>2</v>
          </cell>
          <cell r="U367">
            <v>3</v>
          </cell>
          <cell r="V367">
            <v>0</v>
          </cell>
          <cell r="W367">
            <v>0</v>
          </cell>
          <cell r="X367">
            <v>0</v>
          </cell>
          <cell r="Y367">
            <v>14</v>
          </cell>
          <cell r="Z367">
            <v>477</v>
          </cell>
        </row>
        <row r="368">
          <cell r="F368">
            <v>4</v>
          </cell>
          <cell r="G368">
            <v>15</v>
          </cell>
          <cell r="H368">
            <v>30</v>
          </cell>
          <cell r="I368">
            <v>32</v>
          </cell>
          <cell r="J368">
            <v>109</v>
          </cell>
          <cell r="K368">
            <v>26</v>
          </cell>
          <cell r="L368">
            <v>36</v>
          </cell>
          <cell r="M368">
            <v>10</v>
          </cell>
          <cell r="N368">
            <v>2</v>
          </cell>
          <cell r="O368">
            <v>5</v>
          </cell>
          <cell r="P368">
            <v>5</v>
          </cell>
          <cell r="Q368">
            <v>4</v>
          </cell>
          <cell r="R368">
            <v>5</v>
          </cell>
          <cell r="S368">
            <v>4</v>
          </cell>
          <cell r="T368">
            <v>23</v>
          </cell>
          <cell r="U368">
            <v>8</v>
          </cell>
          <cell r="V368">
            <v>31</v>
          </cell>
          <cell r="W368">
            <v>9</v>
          </cell>
          <cell r="X368">
            <v>10</v>
          </cell>
          <cell r="Y368">
            <v>368</v>
          </cell>
          <cell r="Z368">
            <v>3202</v>
          </cell>
        </row>
        <row r="369">
          <cell r="F369">
            <v>0</v>
          </cell>
          <cell r="G369">
            <v>8</v>
          </cell>
          <cell r="H369">
            <v>10</v>
          </cell>
          <cell r="I369">
            <v>18</v>
          </cell>
          <cell r="J369">
            <v>33</v>
          </cell>
          <cell r="K369">
            <v>8</v>
          </cell>
          <cell r="L369">
            <v>17</v>
          </cell>
          <cell r="M369">
            <v>2</v>
          </cell>
          <cell r="N369">
            <v>0</v>
          </cell>
          <cell r="O369">
            <v>4</v>
          </cell>
          <cell r="P369">
            <v>2</v>
          </cell>
          <cell r="Q369">
            <v>4</v>
          </cell>
          <cell r="R369">
            <v>4</v>
          </cell>
          <cell r="S369">
            <v>1</v>
          </cell>
          <cell r="T369">
            <v>5</v>
          </cell>
          <cell r="U369">
            <v>1</v>
          </cell>
          <cell r="V369">
            <v>9</v>
          </cell>
          <cell r="W369">
            <v>6</v>
          </cell>
          <cell r="X369">
            <v>0</v>
          </cell>
          <cell r="Y369">
            <v>132</v>
          </cell>
          <cell r="Z369">
            <v>845</v>
          </cell>
        </row>
        <row r="370">
          <cell r="F370">
            <v>0</v>
          </cell>
          <cell r="H370">
            <v>56</v>
          </cell>
          <cell r="I370">
            <v>140</v>
          </cell>
          <cell r="J370">
            <v>226</v>
          </cell>
          <cell r="M370">
            <v>46</v>
          </cell>
          <cell r="N370">
            <v>21</v>
          </cell>
          <cell r="P370">
            <v>8</v>
          </cell>
          <cell r="T370">
            <v>212</v>
          </cell>
          <cell r="U370">
            <v>13</v>
          </cell>
          <cell r="Y370">
            <v>722</v>
          </cell>
        </row>
        <row r="371">
          <cell r="F371">
            <v>0</v>
          </cell>
          <cell r="H371">
            <v>10</v>
          </cell>
          <cell r="I371">
            <v>39</v>
          </cell>
          <cell r="J371">
            <v>46</v>
          </cell>
          <cell r="M371">
            <v>12</v>
          </cell>
          <cell r="N371">
            <v>12</v>
          </cell>
          <cell r="P371">
            <v>1</v>
          </cell>
          <cell r="T371">
            <v>32</v>
          </cell>
          <cell r="U371">
            <v>6</v>
          </cell>
          <cell r="Y371">
            <v>158</v>
          </cell>
        </row>
        <row r="372">
          <cell r="F372">
            <v>0</v>
          </cell>
          <cell r="H372">
            <v>3</v>
          </cell>
          <cell r="I372">
            <v>18</v>
          </cell>
          <cell r="J372">
            <v>9</v>
          </cell>
          <cell r="M372">
            <v>12</v>
          </cell>
          <cell r="N372">
            <v>1</v>
          </cell>
          <cell r="P372">
            <v>1</v>
          </cell>
          <cell r="T372">
            <v>19</v>
          </cell>
          <cell r="Y372">
            <v>63</v>
          </cell>
        </row>
        <row r="373">
          <cell r="F373">
            <v>0</v>
          </cell>
          <cell r="H373">
            <v>0</v>
          </cell>
          <cell r="I373">
            <v>0</v>
          </cell>
          <cell r="J373">
            <v>2</v>
          </cell>
          <cell r="M373">
            <v>0</v>
          </cell>
          <cell r="N373">
            <v>0</v>
          </cell>
          <cell r="P373">
            <v>0</v>
          </cell>
          <cell r="T373">
            <v>0</v>
          </cell>
          <cell r="Y373">
            <v>2</v>
          </cell>
        </row>
        <row r="374">
          <cell r="F374">
            <v>0</v>
          </cell>
          <cell r="H374">
            <v>1</v>
          </cell>
          <cell r="I374">
            <v>6</v>
          </cell>
          <cell r="J374">
            <v>2</v>
          </cell>
          <cell r="M374">
            <v>0</v>
          </cell>
          <cell r="N374">
            <v>0</v>
          </cell>
          <cell r="P374">
            <v>1</v>
          </cell>
          <cell r="T374">
            <v>2</v>
          </cell>
          <cell r="Y374">
            <v>12</v>
          </cell>
        </row>
        <row r="375">
          <cell r="F375">
            <v>0</v>
          </cell>
          <cell r="H375">
            <v>7</v>
          </cell>
          <cell r="I375">
            <v>12</v>
          </cell>
          <cell r="J375">
            <v>41</v>
          </cell>
          <cell r="M375">
            <v>4</v>
          </cell>
          <cell r="N375">
            <v>3</v>
          </cell>
          <cell r="P375">
            <v>1</v>
          </cell>
          <cell r="T375">
            <v>21</v>
          </cell>
          <cell r="U375">
            <v>1</v>
          </cell>
          <cell r="Y375">
            <v>90</v>
          </cell>
        </row>
        <row r="376">
          <cell r="F376">
            <v>0</v>
          </cell>
          <cell r="H376">
            <v>30</v>
          </cell>
          <cell r="I376">
            <v>49</v>
          </cell>
          <cell r="J376">
            <v>90</v>
          </cell>
          <cell r="M376">
            <v>8</v>
          </cell>
          <cell r="N376">
            <v>0</v>
          </cell>
          <cell r="P376">
            <v>0</v>
          </cell>
          <cell r="T376">
            <v>101</v>
          </cell>
          <cell r="U376">
            <v>3</v>
          </cell>
          <cell r="Y376">
            <v>281</v>
          </cell>
        </row>
        <row r="377">
          <cell r="F377">
            <v>0</v>
          </cell>
          <cell r="H377">
            <v>4</v>
          </cell>
          <cell r="I377">
            <v>15</v>
          </cell>
          <cell r="J377">
            <v>36</v>
          </cell>
          <cell r="M377">
            <v>10</v>
          </cell>
          <cell r="N377">
            <v>5</v>
          </cell>
          <cell r="P377">
            <v>4</v>
          </cell>
          <cell r="T377">
            <v>33</v>
          </cell>
          <cell r="U377">
            <v>3</v>
          </cell>
          <cell r="Y377">
            <v>110</v>
          </cell>
        </row>
        <row r="378">
          <cell r="F378">
            <v>0</v>
          </cell>
          <cell r="H378">
            <v>1</v>
          </cell>
          <cell r="I378">
            <v>0</v>
          </cell>
          <cell r="J378">
            <v>0</v>
          </cell>
          <cell r="M378">
            <v>0</v>
          </cell>
          <cell r="N378">
            <v>0</v>
          </cell>
          <cell r="P378">
            <v>0</v>
          </cell>
          <cell r="T378">
            <v>0</v>
          </cell>
          <cell r="Y378">
            <v>1</v>
          </cell>
        </row>
        <row r="379">
          <cell r="F379">
            <v>0</v>
          </cell>
          <cell r="H379">
            <v>0</v>
          </cell>
          <cell r="I379">
            <v>1</v>
          </cell>
          <cell r="J379">
            <v>0</v>
          </cell>
          <cell r="M379">
            <v>0</v>
          </cell>
          <cell r="N379">
            <v>0</v>
          </cell>
          <cell r="P379">
            <v>0</v>
          </cell>
          <cell r="T379">
            <v>4</v>
          </cell>
          <cell r="Y379">
            <v>5</v>
          </cell>
        </row>
        <row r="380">
          <cell r="F380">
            <v>0</v>
          </cell>
          <cell r="H380">
            <v>10</v>
          </cell>
          <cell r="I380">
            <v>34</v>
          </cell>
          <cell r="J380">
            <v>25</v>
          </cell>
          <cell r="M380">
            <v>6</v>
          </cell>
          <cell r="N380">
            <v>1</v>
          </cell>
          <cell r="P380">
            <v>3</v>
          </cell>
          <cell r="T380">
            <v>24</v>
          </cell>
          <cell r="U380">
            <v>2</v>
          </cell>
          <cell r="Y380">
            <v>105</v>
          </cell>
        </row>
        <row r="381">
          <cell r="F381">
            <v>0</v>
          </cell>
          <cell r="H381">
            <v>0</v>
          </cell>
          <cell r="I381">
            <v>6</v>
          </cell>
          <cell r="J381">
            <v>4</v>
          </cell>
          <cell r="M381">
            <v>1</v>
          </cell>
          <cell r="N381">
            <v>0</v>
          </cell>
          <cell r="P381">
            <v>1</v>
          </cell>
          <cell r="T381">
            <v>2</v>
          </cell>
          <cell r="U381">
            <v>1</v>
          </cell>
          <cell r="Y381">
            <v>15</v>
          </cell>
        </row>
        <row r="382">
          <cell r="F382">
            <v>0</v>
          </cell>
          <cell r="H382">
            <v>1</v>
          </cell>
          <cell r="I382">
            <v>0</v>
          </cell>
          <cell r="J382">
            <v>0</v>
          </cell>
          <cell r="M382">
            <v>0</v>
          </cell>
          <cell r="N382">
            <v>0</v>
          </cell>
          <cell r="P382">
            <v>0</v>
          </cell>
          <cell r="T382">
            <v>0</v>
          </cell>
          <cell r="Y382">
            <v>1</v>
          </cell>
        </row>
        <row r="383">
          <cell r="F383">
            <v>0</v>
          </cell>
          <cell r="H383">
            <v>36</v>
          </cell>
          <cell r="I383">
            <v>63</v>
          </cell>
          <cell r="J383">
            <v>126</v>
          </cell>
          <cell r="M383">
            <v>28</v>
          </cell>
          <cell r="N383">
            <v>20</v>
          </cell>
          <cell r="P383">
            <v>3</v>
          </cell>
          <cell r="T383">
            <v>146</v>
          </cell>
          <cell r="U383">
            <v>10</v>
          </cell>
          <cell r="Y383">
            <v>432</v>
          </cell>
        </row>
        <row r="384">
          <cell r="F384">
            <v>0</v>
          </cell>
          <cell r="H384">
            <v>0</v>
          </cell>
          <cell r="I384">
            <v>1</v>
          </cell>
          <cell r="J384">
            <v>2</v>
          </cell>
          <cell r="M384">
            <v>0</v>
          </cell>
          <cell r="N384">
            <v>0</v>
          </cell>
          <cell r="P384">
            <v>0</v>
          </cell>
          <cell r="T384">
            <v>0</v>
          </cell>
          <cell r="Y384">
            <v>3</v>
          </cell>
        </row>
        <row r="385">
          <cell r="F385">
            <v>0</v>
          </cell>
          <cell r="H385">
            <v>9</v>
          </cell>
          <cell r="I385">
            <v>36</v>
          </cell>
          <cell r="J385">
            <v>69</v>
          </cell>
          <cell r="M385">
            <v>11</v>
          </cell>
          <cell r="N385">
            <v>0</v>
          </cell>
          <cell r="P385">
            <v>1</v>
          </cell>
          <cell r="T385">
            <v>40</v>
          </cell>
          <cell r="Y385">
            <v>166</v>
          </cell>
        </row>
        <row r="386">
          <cell r="F386">
            <v>724</v>
          </cell>
          <cell r="G386" t="str">
            <v/>
          </cell>
          <cell r="H386">
            <v>3946</v>
          </cell>
          <cell r="I386">
            <v>3332</v>
          </cell>
          <cell r="J386">
            <v>8103</v>
          </cell>
          <cell r="K386">
            <v>1040</v>
          </cell>
          <cell r="L386">
            <v>10680</v>
          </cell>
          <cell r="M386">
            <v>2036</v>
          </cell>
          <cell r="N386">
            <v>1749</v>
          </cell>
          <cell r="O386" t="str">
            <v/>
          </cell>
          <cell r="P386">
            <v>1457</v>
          </cell>
          <cell r="Q386">
            <v>1275</v>
          </cell>
          <cell r="R386" t="str">
            <v/>
          </cell>
          <cell r="S386" t="str">
            <v/>
          </cell>
          <cell r="T386">
            <v>8562</v>
          </cell>
          <cell r="U386">
            <v>890</v>
          </cell>
          <cell r="V386" t="str">
            <v/>
          </cell>
          <cell r="W386" t="str">
            <v/>
          </cell>
          <cell r="X386">
            <v>870</v>
          </cell>
          <cell r="Y386">
            <v>44664</v>
          </cell>
          <cell r="Z386" t="str">
            <v/>
          </cell>
        </row>
      </sheetData>
      <sheetData sheetId="2">
        <row r="2">
          <cell r="F2">
            <v>853</v>
          </cell>
          <cell r="G2">
            <v>1663</v>
          </cell>
          <cell r="H2">
            <v>4529</v>
          </cell>
          <cell r="I2">
            <v>3520</v>
          </cell>
          <cell r="J2">
            <v>8809</v>
          </cell>
          <cell r="K2">
            <v>1170</v>
          </cell>
          <cell r="M2">
            <v>2322</v>
          </cell>
          <cell r="O2">
            <v>3922</v>
          </cell>
          <cell r="P2">
            <v>1596</v>
          </cell>
          <cell r="S2">
            <v>1713</v>
          </cell>
          <cell r="T2">
            <v>9585</v>
          </cell>
          <cell r="U2">
            <v>1021</v>
          </cell>
          <cell r="Y2">
            <v>40703</v>
          </cell>
        </row>
        <row r="6">
          <cell r="F6">
            <v>21</v>
          </cell>
          <cell r="G6">
            <v>8</v>
          </cell>
          <cell r="I6">
            <v>145</v>
          </cell>
          <cell r="J6">
            <v>32</v>
          </cell>
          <cell r="K6">
            <v>15</v>
          </cell>
          <cell r="M6">
            <v>5</v>
          </cell>
          <cell r="O6">
            <v>9</v>
          </cell>
          <cell r="P6">
            <v>25</v>
          </cell>
          <cell r="T6">
            <v>37</v>
          </cell>
          <cell r="U6">
            <v>12</v>
          </cell>
          <cell r="Y6">
            <v>309</v>
          </cell>
        </row>
        <row r="7">
          <cell r="F7">
            <v>801</v>
          </cell>
          <cell r="G7">
            <v>1239</v>
          </cell>
          <cell r="I7">
            <v>2095</v>
          </cell>
          <cell r="J7">
            <v>8809</v>
          </cell>
          <cell r="K7">
            <v>266</v>
          </cell>
          <cell r="M7">
            <v>1686</v>
          </cell>
          <cell r="O7">
            <v>1580</v>
          </cell>
          <cell r="T7">
            <v>7868</v>
          </cell>
          <cell r="U7">
            <v>1021</v>
          </cell>
          <cell r="Y7">
            <v>25365</v>
          </cell>
        </row>
        <row r="8">
          <cell r="F8">
            <v>163</v>
          </cell>
          <cell r="G8">
            <v>329</v>
          </cell>
          <cell r="H8">
            <v>643</v>
          </cell>
          <cell r="I8">
            <v>624</v>
          </cell>
          <cell r="J8">
            <v>1776</v>
          </cell>
          <cell r="K8">
            <v>147</v>
          </cell>
          <cell r="M8">
            <v>346</v>
          </cell>
          <cell r="O8">
            <v>734</v>
          </cell>
          <cell r="P8">
            <v>328</v>
          </cell>
          <cell r="S8">
            <v>318</v>
          </cell>
          <cell r="T8">
            <v>1397</v>
          </cell>
          <cell r="U8">
            <v>155</v>
          </cell>
          <cell r="Y8">
            <v>6960</v>
          </cell>
        </row>
        <row r="9">
          <cell r="F9">
            <v>319</v>
          </cell>
          <cell r="G9">
            <v>375</v>
          </cell>
          <cell r="H9">
            <v>1288</v>
          </cell>
          <cell r="I9">
            <v>1041</v>
          </cell>
          <cell r="J9">
            <v>1358</v>
          </cell>
          <cell r="K9">
            <v>148</v>
          </cell>
          <cell r="M9">
            <v>719</v>
          </cell>
          <cell r="O9">
            <v>1333</v>
          </cell>
          <cell r="P9">
            <v>328</v>
          </cell>
          <cell r="S9">
            <v>402</v>
          </cell>
          <cell r="T9">
            <v>3262</v>
          </cell>
          <cell r="U9">
            <v>459</v>
          </cell>
          <cell r="Y9">
            <v>11032</v>
          </cell>
        </row>
        <row r="10">
          <cell r="F10">
            <v>88</v>
          </cell>
          <cell r="G10">
            <v>274</v>
          </cell>
          <cell r="H10">
            <v>955</v>
          </cell>
          <cell r="I10">
            <v>704</v>
          </cell>
          <cell r="J10">
            <v>1306</v>
          </cell>
          <cell r="K10">
            <v>253</v>
          </cell>
          <cell r="M10">
            <v>283</v>
          </cell>
          <cell r="O10">
            <v>429</v>
          </cell>
          <cell r="P10">
            <v>386</v>
          </cell>
          <cell r="S10">
            <v>205</v>
          </cell>
          <cell r="T10">
            <v>1720</v>
          </cell>
          <cell r="U10">
            <v>62</v>
          </cell>
          <cell r="Y10">
            <v>6665</v>
          </cell>
        </row>
        <row r="11">
          <cell r="F11">
            <v>16</v>
          </cell>
          <cell r="G11">
            <v>99</v>
          </cell>
          <cell r="H11">
            <v>160</v>
          </cell>
          <cell r="I11">
            <v>163</v>
          </cell>
          <cell r="J11">
            <v>212</v>
          </cell>
          <cell r="K11">
            <v>13</v>
          </cell>
          <cell r="M11">
            <v>86</v>
          </cell>
          <cell r="O11">
            <v>89</v>
          </cell>
          <cell r="P11">
            <v>56</v>
          </cell>
          <cell r="S11">
            <v>68</v>
          </cell>
          <cell r="T11">
            <v>378</v>
          </cell>
          <cell r="U11">
            <v>49</v>
          </cell>
          <cell r="Y11">
            <v>1389</v>
          </cell>
        </row>
        <row r="12">
          <cell r="F12">
            <v>141</v>
          </cell>
          <cell r="G12">
            <v>189</v>
          </cell>
          <cell r="H12">
            <v>766</v>
          </cell>
          <cell r="I12">
            <v>459</v>
          </cell>
          <cell r="J12">
            <v>2438</v>
          </cell>
          <cell r="K12">
            <v>119</v>
          </cell>
          <cell r="M12">
            <v>417</v>
          </cell>
          <cell r="O12">
            <v>566</v>
          </cell>
          <cell r="P12">
            <v>230</v>
          </cell>
          <cell r="S12">
            <v>283</v>
          </cell>
          <cell r="T12">
            <v>1412</v>
          </cell>
          <cell r="U12">
            <v>147</v>
          </cell>
          <cell r="Y12">
            <v>7167</v>
          </cell>
        </row>
        <row r="13">
          <cell r="F13">
            <v>51</v>
          </cell>
          <cell r="G13">
            <v>166</v>
          </cell>
          <cell r="H13">
            <v>165</v>
          </cell>
          <cell r="I13">
            <v>125</v>
          </cell>
          <cell r="J13">
            <v>623</v>
          </cell>
          <cell r="K13">
            <v>35</v>
          </cell>
          <cell r="M13">
            <v>152</v>
          </cell>
          <cell r="O13">
            <v>316</v>
          </cell>
          <cell r="P13">
            <v>80</v>
          </cell>
          <cell r="S13">
            <v>163</v>
          </cell>
          <cell r="T13">
            <v>491</v>
          </cell>
          <cell r="U13">
            <v>22</v>
          </cell>
          <cell r="Y13">
            <v>2389</v>
          </cell>
        </row>
        <row r="14">
          <cell r="F14">
            <v>6</v>
          </cell>
          <cell r="G14">
            <v>35</v>
          </cell>
          <cell r="H14">
            <v>55</v>
          </cell>
          <cell r="I14">
            <v>99</v>
          </cell>
          <cell r="J14">
            <v>123</v>
          </cell>
          <cell r="K14">
            <v>11</v>
          </cell>
          <cell r="M14">
            <v>14</v>
          </cell>
          <cell r="O14">
            <v>77</v>
          </cell>
          <cell r="P14">
            <v>37</v>
          </cell>
          <cell r="S14">
            <v>35</v>
          </cell>
          <cell r="T14">
            <v>106</v>
          </cell>
          <cell r="U14">
            <v>20</v>
          </cell>
          <cell r="Y14">
            <v>618</v>
          </cell>
        </row>
        <row r="15">
          <cell r="F15">
            <v>41</v>
          </cell>
          <cell r="G15">
            <v>121</v>
          </cell>
          <cell r="H15">
            <v>292</v>
          </cell>
          <cell r="I15">
            <v>206</v>
          </cell>
          <cell r="J15">
            <v>508</v>
          </cell>
          <cell r="K15">
            <v>24</v>
          </cell>
          <cell r="M15">
            <v>58</v>
          </cell>
          <cell r="O15">
            <v>236</v>
          </cell>
          <cell r="P15">
            <v>75</v>
          </cell>
          <cell r="S15">
            <v>105</v>
          </cell>
          <cell r="T15">
            <v>338</v>
          </cell>
          <cell r="U15">
            <v>43</v>
          </cell>
          <cell r="Y15">
            <v>2047</v>
          </cell>
        </row>
        <row r="16">
          <cell r="F16">
            <v>9</v>
          </cell>
          <cell r="G16">
            <v>42</v>
          </cell>
          <cell r="H16">
            <v>98</v>
          </cell>
          <cell r="I16">
            <v>64</v>
          </cell>
          <cell r="J16">
            <v>166</v>
          </cell>
          <cell r="K16">
            <v>17</v>
          </cell>
          <cell r="M16">
            <v>56</v>
          </cell>
          <cell r="O16">
            <v>63</v>
          </cell>
          <cell r="P16">
            <v>22</v>
          </cell>
          <cell r="S16">
            <v>42</v>
          </cell>
          <cell r="T16">
            <v>142</v>
          </cell>
          <cell r="U16">
            <v>39</v>
          </cell>
          <cell r="Y16">
            <v>760</v>
          </cell>
        </row>
        <row r="17">
          <cell r="F17">
            <v>9</v>
          </cell>
          <cell r="G17">
            <v>31</v>
          </cell>
          <cell r="H17">
            <v>70</v>
          </cell>
          <cell r="I17">
            <v>28</v>
          </cell>
          <cell r="J17">
            <v>130</v>
          </cell>
          <cell r="K17">
            <v>19</v>
          </cell>
          <cell r="M17">
            <v>25</v>
          </cell>
          <cell r="O17">
            <v>34</v>
          </cell>
          <cell r="P17">
            <v>42</v>
          </cell>
          <cell r="S17">
            <v>21</v>
          </cell>
          <cell r="T17">
            <v>103</v>
          </cell>
          <cell r="U17">
            <v>10</v>
          </cell>
          <cell r="Y17">
            <v>522</v>
          </cell>
        </row>
        <row r="18">
          <cell r="F18">
            <v>2</v>
          </cell>
          <cell r="G18">
            <v>0</v>
          </cell>
          <cell r="H18">
            <v>24</v>
          </cell>
          <cell r="I18">
            <v>7</v>
          </cell>
          <cell r="J18">
            <v>2</v>
          </cell>
          <cell r="K18">
            <v>0</v>
          </cell>
          <cell r="M18">
            <v>3</v>
          </cell>
          <cell r="O18">
            <v>2</v>
          </cell>
          <cell r="P18">
            <v>1</v>
          </cell>
          <cell r="S18">
            <v>7</v>
          </cell>
          <cell r="T18">
            <v>34</v>
          </cell>
          <cell r="U18">
            <v>0</v>
          </cell>
          <cell r="Y18">
            <v>82</v>
          </cell>
        </row>
        <row r="19">
          <cell r="F19">
            <v>8</v>
          </cell>
          <cell r="G19">
            <v>2</v>
          </cell>
          <cell r="H19">
            <v>13</v>
          </cell>
          <cell r="J19">
            <v>167</v>
          </cell>
          <cell r="K19">
            <v>384</v>
          </cell>
          <cell r="M19">
            <v>163</v>
          </cell>
          <cell r="O19">
            <v>43</v>
          </cell>
          <cell r="P19">
            <v>11</v>
          </cell>
          <cell r="S19">
            <v>64</v>
          </cell>
          <cell r="T19">
            <v>172</v>
          </cell>
          <cell r="U19">
            <v>15</v>
          </cell>
          <cell r="Y19">
            <v>1042</v>
          </cell>
        </row>
        <row r="20">
          <cell r="F20">
            <v>222</v>
          </cell>
          <cell r="G20">
            <v>472</v>
          </cell>
          <cell r="H20">
            <v>1287</v>
          </cell>
          <cell r="I20">
            <v>929</v>
          </cell>
          <cell r="J20">
            <v>2364</v>
          </cell>
          <cell r="K20">
            <v>314</v>
          </cell>
          <cell r="M20">
            <v>686</v>
          </cell>
          <cell r="O20">
            <v>1059</v>
          </cell>
          <cell r="P20">
            <v>410</v>
          </cell>
          <cell r="S20">
            <v>389</v>
          </cell>
          <cell r="T20">
            <v>2540</v>
          </cell>
          <cell r="U20">
            <v>252</v>
          </cell>
          <cell r="Y20">
            <v>10924</v>
          </cell>
        </row>
        <row r="21">
          <cell r="F21">
            <v>631</v>
          </cell>
          <cell r="G21">
            <v>1189</v>
          </cell>
          <cell r="H21">
            <v>3242</v>
          </cell>
          <cell r="I21">
            <v>2591</v>
          </cell>
          <cell r="J21">
            <v>6444</v>
          </cell>
          <cell r="K21">
            <v>856</v>
          </cell>
          <cell r="M21">
            <v>1636</v>
          </cell>
          <cell r="O21">
            <v>2863</v>
          </cell>
          <cell r="P21">
            <v>1186</v>
          </cell>
          <cell r="S21">
            <v>1324</v>
          </cell>
          <cell r="T21">
            <v>7044</v>
          </cell>
          <cell r="U21">
            <v>769</v>
          </cell>
          <cell r="Y21">
            <v>29775</v>
          </cell>
        </row>
        <row r="22">
          <cell r="F22">
            <v>0</v>
          </cell>
          <cell r="G22">
            <v>2</v>
          </cell>
          <cell r="H22">
            <v>0</v>
          </cell>
          <cell r="J22">
            <v>1</v>
          </cell>
          <cell r="K22">
            <v>0</v>
          </cell>
          <cell r="M22">
            <v>0</v>
          </cell>
          <cell r="O22">
            <v>0</v>
          </cell>
          <cell r="P22">
            <v>0</v>
          </cell>
          <cell r="T22">
            <v>1</v>
          </cell>
          <cell r="U22">
            <v>0</v>
          </cell>
          <cell r="Y22">
            <v>4</v>
          </cell>
        </row>
        <row r="23">
          <cell r="F23">
            <v>24</v>
          </cell>
          <cell r="G23">
            <v>71</v>
          </cell>
          <cell r="H23">
            <v>127</v>
          </cell>
          <cell r="I23">
            <v>109</v>
          </cell>
          <cell r="J23">
            <v>295</v>
          </cell>
          <cell r="K23">
            <v>26</v>
          </cell>
          <cell r="M23">
            <v>83</v>
          </cell>
          <cell r="O23">
            <v>150</v>
          </cell>
          <cell r="P23">
            <v>57</v>
          </cell>
          <cell r="S23">
            <v>46</v>
          </cell>
          <cell r="T23">
            <v>295</v>
          </cell>
          <cell r="U23">
            <v>27</v>
          </cell>
          <cell r="Y23">
            <v>1310</v>
          </cell>
        </row>
        <row r="24">
          <cell r="F24">
            <v>47</v>
          </cell>
          <cell r="G24">
            <v>61</v>
          </cell>
          <cell r="H24">
            <v>238</v>
          </cell>
          <cell r="I24">
            <v>160</v>
          </cell>
          <cell r="J24">
            <v>217</v>
          </cell>
          <cell r="K24">
            <v>32</v>
          </cell>
          <cell r="M24">
            <v>146</v>
          </cell>
          <cell r="O24">
            <v>257</v>
          </cell>
          <cell r="P24">
            <v>45</v>
          </cell>
          <cell r="S24">
            <v>70</v>
          </cell>
          <cell r="T24">
            <v>571</v>
          </cell>
          <cell r="U24">
            <v>61</v>
          </cell>
          <cell r="Y24">
            <v>1905</v>
          </cell>
        </row>
        <row r="25">
          <cell r="F25">
            <v>29</v>
          </cell>
          <cell r="G25">
            <v>70</v>
          </cell>
          <cell r="H25">
            <v>283</v>
          </cell>
          <cell r="I25">
            <v>198</v>
          </cell>
          <cell r="J25">
            <v>309</v>
          </cell>
          <cell r="K25">
            <v>55</v>
          </cell>
          <cell r="M25">
            <v>82</v>
          </cell>
          <cell r="O25">
            <v>114</v>
          </cell>
          <cell r="P25">
            <v>95</v>
          </cell>
          <cell r="S25">
            <v>46</v>
          </cell>
          <cell r="T25">
            <v>477</v>
          </cell>
          <cell r="U25">
            <v>16</v>
          </cell>
          <cell r="Y25">
            <v>1774</v>
          </cell>
        </row>
        <row r="26">
          <cell r="F26">
            <v>6</v>
          </cell>
          <cell r="G26">
            <v>28</v>
          </cell>
          <cell r="H26">
            <v>44</v>
          </cell>
          <cell r="I26">
            <v>47</v>
          </cell>
          <cell r="J26">
            <v>50</v>
          </cell>
          <cell r="K26">
            <v>6</v>
          </cell>
          <cell r="M26">
            <v>31</v>
          </cell>
          <cell r="O26">
            <v>28</v>
          </cell>
          <cell r="P26">
            <v>13</v>
          </cell>
          <cell r="S26">
            <v>14</v>
          </cell>
          <cell r="T26">
            <v>89</v>
          </cell>
          <cell r="U26">
            <v>15</v>
          </cell>
          <cell r="Y26">
            <v>371</v>
          </cell>
        </row>
        <row r="27">
          <cell r="F27">
            <v>68</v>
          </cell>
          <cell r="G27">
            <v>84</v>
          </cell>
          <cell r="H27">
            <v>303</v>
          </cell>
          <cell r="I27">
            <v>189</v>
          </cell>
          <cell r="J27">
            <v>839</v>
          </cell>
          <cell r="K27">
            <v>44</v>
          </cell>
          <cell r="M27">
            <v>169</v>
          </cell>
          <cell r="O27">
            <v>198</v>
          </cell>
          <cell r="P27">
            <v>95</v>
          </cell>
          <cell r="S27">
            <v>65</v>
          </cell>
          <cell r="T27">
            <v>534</v>
          </cell>
          <cell r="U27">
            <v>62</v>
          </cell>
          <cell r="Y27">
            <v>2650</v>
          </cell>
        </row>
        <row r="28">
          <cell r="F28">
            <v>25</v>
          </cell>
          <cell r="G28">
            <v>59</v>
          </cell>
          <cell r="H28">
            <v>72</v>
          </cell>
          <cell r="I28">
            <v>57</v>
          </cell>
          <cell r="J28">
            <v>205</v>
          </cell>
          <cell r="K28">
            <v>15</v>
          </cell>
          <cell r="M28">
            <v>50</v>
          </cell>
          <cell r="O28">
            <v>116</v>
          </cell>
          <cell r="P28">
            <v>32</v>
          </cell>
          <cell r="S28">
            <v>46</v>
          </cell>
          <cell r="T28">
            <v>195</v>
          </cell>
          <cell r="U28">
            <v>10</v>
          </cell>
          <cell r="Y28">
            <v>882</v>
          </cell>
        </row>
        <row r="29">
          <cell r="F29">
            <v>3</v>
          </cell>
          <cell r="G29">
            <v>15</v>
          </cell>
          <cell r="H29">
            <v>24</v>
          </cell>
          <cell r="I29">
            <v>51</v>
          </cell>
          <cell r="J29">
            <v>60</v>
          </cell>
          <cell r="K29">
            <v>6</v>
          </cell>
          <cell r="M29">
            <v>6</v>
          </cell>
          <cell r="O29">
            <v>29</v>
          </cell>
          <cell r="P29">
            <v>19</v>
          </cell>
          <cell r="S29">
            <v>12</v>
          </cell>
          <cell r="T29">
            <v>47</v>
          </cell>
          <cell r="U29">
            <v>10</v>
          </cell>
          <cell r="Y29">
            <v>282</v>
          </cell>
        </row>
        <row r="30">
          <cell r="F30">
            <v>9</v>
          </cell>
          <cell r="G30">
            <v>44</v>
          </cell>
          <cell r="H30">
            <v>123</v>
          </cell>
          <cell r="I30">
            <v>79</v>
          </cell>
          <cell r="J30">
            <v>197</v>
          </cell>
          <cell r="K30">
            <v>10</v>
          </cell>
          <cell r="M30">
            <v>30</v>
          </cell>
          <cell r="O30">
            <v>106</v>
          </cell>
          <cell r="P30">
            <v>27</v>
          </cell>
          <cell r="S30">
            <v>37</v>
          </cell>
          <cell r="T30">
            <v>139</v>
          </cell>
          <cell r="U30">
            <v>21</v>
          </cell>
          <cell r="Y30">
            <v>822</v>
          </cell>
        </row>
        <row r="31">
          <cell r="F31">
            <v>3</v>
          </cell>
          <cell r="G31">
            <v>20</v>
          </cell>
          <cell r="H31">
            <v>42</v>
          </cell>
          <cell r="I31">
            <v>27</v>
          </cell>
          <cell r="J31">
            <v>82</v>
          </cell>
          <cell r="K31">
            <v>9</v>
          </cell>
          <cell r="M31">
            <v>21</v>
          </cell>
          <cell r="O31">
            <v>29</v>
          </cell>
          <cell r="P31">
            <v>6</v>
          </cell>
          <cell r="S31">
            <v>22</v>
          </cell>
          <cell r="T31">
            <v>59</v>
          </cell>
          <cell r="U31">
            <v>14</v>
          </cell>
          <cell r="Y31">
            <v>334</v>
          </cell>
        </row>
        <row r="32">
          <cell r="F32">
            <v>3</v>
          </cell>
          <cell r="G32">
            <v>20</v>
          </cell>
          <cell r="H32">
            <v>20</v>
          </cell>
          <cell r="I32">
            <v>9</v>
          </cell>
          <cell r="J32">
            <v>59</v>
          </cell>
          <cell r="K32">
            <v>9</v>
          </cell>
          <cell r="M32">
            <v>14</v>
          </cell>
          <cell r="O32">
            <v>19</v>
          </cell>
          <cell r="P32">
            <v>16</v>
          </cell>
          <cell r="S32">
            <v>7</v>
          </cell>
          <cell r="T32">
            <v>55</v>
          </cell>
          <cell r="U32">
            <v>8</v>
          </cell>
          <cell r="Y32">
            <v>239</v>
          </cell>
        </row>
        <row r="33">
          <cell r="F33">
            <v>0</v>
          </cell>
          <cell r="G33">
            <v>0</v>
          </cell>
          <cell r="H33">
            <v>6</v>
          </cell>
          <cell r="I33">
            <v>3</v>
          </cell>
          <cell r="J33">
            <v>1</v>
          </cell>
          <cell r="K33">
            <v>0</v>
          </cell>
          <cell r="M33">
            <v>0</v>
          </cell>
          <cell r="O33">
            <v>2</v>
          </cell>
          <cell r="P33">
            <v>1</v>
          </cell>
          <cell r="S33">
            <v>2</v>
          </cell>
          <cell r="T33">
            <v>17</v>
          </cell>
          <cell r="U33">
            <v>0</v>
          </cell>
          <cell r="Y33">
            <v>32</v>
          </cell>
        </row>
        <row r="34">
          <cell r="F34">
            <v>5</v>
          </cell>
          <cell r="G34">
            <v>0</v>
          </cell>
          <cell r="H34">
            <v>5</v>
          </cell>
          <cell r="J34">
            <v>50</v>
          </cell>
          <cell r="K34">
            <v>102</v>
          </cell>
          <cell r="M34">
            <v>54</v>
          </cell>
          <cell r="O34">
            <v>11</v>
          </cell>
          <cell r="P34">
            <v>4</v>
          </cell>
          <cell r="S34">
            <v>22</v>
          </cell>
          <cell r="T34">
            <v>53</v>
          </cell>
          <cell r="U34">
            <v>8</v>
          </cell>
          <cell r="Y34">
            <v>314</v>
          </cell>
        </row>
        <row r="35">
          <cell r="F35">
            <v>139</v>
          </cell>
          <cell r="G35">
            <v>257</v>
          </cell>
          <cell r="H35">
            <v>516</v>
          </cell>
          <cell r="I35">
            <v>515</v>
          </cell>
          <cell r="J35">
            <v>1481</v>
          </cell>
          <cell r="K35">
            <v>121</v>
          </cell>
          <cell r="M35">
            <v>263</v>
          </cell>
          <cell r="O35">
            <v>584</v>
          </cell>
          <cell r="P35">
            <v>271</v>
          </cell>
          <cell r="S35">
            <v>272</v>
          </cell>
          <cell r="T35">
            <v>1101</v>
          </cell>
          <cell r="U35">
            <v>128</v>
          </cell>
          <cell r="Y35">
            <v>5648</v>
          </cell>
        </row>
        <row r="36">
          <cell r="F36">
            <v>272</v>
          </cell>
          <cell r="G36">
            <v>314</v>
          </cell>
          <cell r="H36">
            <v>1050</v>
          </cell>
          <cell r="I36">
            <v>881</v>
          </cell>
          <cell r="J36">
            <v>1140</v>
          </cell>
          <cell r="K36">
            <v>116</v>
          </cell>
          <cell r="M36">
            <v>573</v>
          </cell>
          <cell r="O36">
            <v>1076</v>
          </cell>
          <cell r="P36">
            <v>283</v>
          </cell>
          <cell r="S36">
            <v>332</v>
          </cell>
          <cell r="T36">
            <v>2691</v>
          </cell>
          <cell r="U36">
            <v>398</v>
          </cell>
          <cell r="Y36">
            <v>9126</v>
          </cell>
        </row>
        <row r="37">
          <cell r="F37">
            <v>59</v>
          </cell>
          <cell r="G37">
            <v>204</v>
          </cell>
          <cell r="H37">
            <v>672</v>
          </cell>
          <cell r="I37">
            <v>506</v>
          </cell>
          <cell r="J37">
            <v>997</v>
          </cell>
          <cell r="K37">
            <v>198</v>
          </cell>
          <cell r="M37">
            <v>201</v>
          </cell>
          <cell r="O37">
            <v>315</v>
          </cell>
          <cell r="P37">
            <v>291</v>
          </cell>
          <cell r="S37">
            <v>159</v>
          </cell>
          <cell r="T37">
            <v>1243</v>
          </cell>
          <cell r="U37">
            <v>46</v>
          </cell>
          <cell r="Y37">
            <v>4891</v>
          </cell>
        </row>
        <row r="38">
          <cell r="F38">
            <v>10</v>
          </cell>
          <cell r="G38">
            <v>71</v>
          </cell>
          <cell r="H38">
            <v>116</v>
          </cell>
          <cell r="I38">
            <v>116</v>
          </cell>
          <cell r="J38">
            <v>162</v>
          </cell>
          <cell r="K38">
            <v>7</v>
          </cell>
          <cell r="M38">
            <v>55</v>
          </cell>
          <cell r="O38">
            <v>61</v>
          </cell>
          <cell r="P38">
            <v>43</v>
          </cell>
          <cell r="S38">
            <v>52</v>
          </cell>
          <cell r="T38">
            <v>289</v>
          </cell>
          <cell r="U38">
            <v>34</v>
          </cell>
          <cell r="Y38">
            <v>1016</v>
          </cell>
        </row>
        <row r="39">
          <cell r="F39">
            <v>73</v>
          </cell>
          <cell r="G39">
            <v>104</v>
          </cell>
          <cell r="H39">
            <v>463</v>
          </cell>
          <cell r="I39">
            <v>270</v>
          </cell>
          <cell r="J39">
            <v>1599</v>
          </cell>
          <cell r="K39">
            <v>75</v>
          </cell>
          <cell r="M39">
            <v>248</v>
          </cell>
          <cell r="O39">
            <v>368</v>
          </cell>
          <cell r="P39">
            <v>135</v>
          </cell>
          <cell r="S39">
            <v>218</v>
          </cell>
          <cell r="T39">
            <v>878</v>
          </cell>
          <cell r="U39">
            <v>85</v>
          </cell>
          <cell r="Y39">
            <v>4516</v>
          </cell>
        </row>
        <row r="40">
          <cell r="F40">
            <v>26</v>
          </cell>
          <cell r="G40">
            <v>107</v>
          </cell>
          <cell r="H40">
            <v>93</v>
          </cell>
          <cell r="I40">
            <v>68</v>
          </cell>
          <cell r="J40">
            <v>418</v>
          </cell>
          <cell r="K40">
            <v>20</v>
          </cell>
          <cell r="M40">
            <v>102</v>
          </cell>
          <cell r="O40">
            <v>200</v>
          </cell>
          <cell r="P40">
            <v>48</v>
          </cell>
          <cell r="S40">
            <v>117</v>
          </cell>
          <cell r="T40">
            <v>296</v>
          </cell>
          <cell r="U40">
            <v>12</v>
          </cell>
          <cell r="Y40">
            <v>1507</v>
          </cell>
        </row>
        <row r="41">
          <cell r="F41">
            <v>3</v>
          </cell>
          <cell r="G41">
            <v>20</v>
          </cell>
          <cell r="H41">
            <v>31</v>
          </cell>
          <cell r="I41">
            <v>48</v>
          </cell>
          <cell r="J41">
            <v>63</v>
          </cell>
          <cell r="K41">
            <v>5</v>
          </cell>
          <cell r="M41">
            <v>8</v>
          </cell>
          <cell r="O41">
            <v>48</v>
          </cell>
          <cell r="P41">
            <v>18</v>
          </cell>
          <cell r="S41">
            <v>23</v>
          </cell>
          <cell r="T41">
            <v>59</v>
          </cell>
          <cell r="U41">
            <v>10</v>
          </cell>
          <cell r="Y41">
            <v>336</v>
          </cell>
        </row>
        <row r="42">
          <cell r="F42">
            <v>32</v>
          </cell>
          <cell r="G42">
            <v>77</v>
          </cell>
          <cell r="H42">
            <v>169</v>
          </cell>
          <cell r="I42">
            <v>127</v>
          </cell>
          <cell r="J42">
            <v>311</v>
          </cell>
          <cell r="K42">
            <v>14</v>
          </cell>
          <cell r="M42">
            <v>28</v>
          </cell>
          <cell r="O42">
            <v>130</v>
          </cell>
          <cell r="P42">
            <v>48</v>
          </cell>
          <cell r="S42">
            <v>68</v>
          </cell>
          <cell r="T42">
            <v>199</v>
          </cell>
          <cell r="U42">
            <v>22</v>
          </cell>
          <cell r="Y42">
            <v>1225</v>
          </cell>
        </row>
        <row r="43">
          <cell r="F43">
            <v>6</v>
          </cell>
          <cell r="G43">
            <v>22</v>
          </cell>
          <cell r="H43">
            <v>56</v>
          </cell>
          <cell r="I43">
            <v>37</v>
          </cell>
          <cell r="J43">
            <v>84</v>
          </cell>
          <cell r="K43">
            <v>8</v>
          </cell>
          <cell r="M43">
            <v>35</v>
          </cell>
          <cell r="O43">
            <v>34</v>
          </cell>
          <cell r="P43">
            <v>16</v>
          </cell>
          <cell r="S43">
            <v>20</v>
          </cell>
          <cell r="T43">
            <v>83</v>
          </cell>
          <cell r="U43">
            <v>25</v>
          </cell>
          <cell r="Y43">
            <v>426</v>
          </cell>
        </row>
        <row r="44">
          <cell r="F44">
            <v>6</v>
          </cell>
          <cell r="G44">
            <v>11</v>
          </cell>
          <cell r="H44">
            <v>50</v>
          </cell>
          <cell r="I44">
            <v>19</v>
          </cell>
          <cell r="J44">
            <v>71</v>
          </cell>
          <cell r="K44">
            <v>10</v>
          </cell>
          <cell r="M44">
            <v>11</v>
          </cell>
          <cell r="O44">
            <v>15</v>
          </cell>
          <cell r="P44">
            <v>26</v>
          </cell>
          <cell r="S44">
            <v>14</v>
          </cell>
          <cell r="T44">
            <v>48</v>
          </cell>
          <cell r="U44">
            <v>2</v>
          </cell>
          <cell r="Y44">
            <v>283</v>
          </cell>
        </row>
        <row r="45">
          <cell r="F45">
            <v>2</v>
          </cell>
          <cell r="G45">
            <v>0</v>
          </cell>
          <cell r="H45">
            <v>18</v>
          </cell>
          <cell r="I45">
            <v>4</v>
          </cell>
          <cell r="J45">
            <v>1</v>
          </cell>
          <cell r="K45">
            <v>0</v>
          </cell>
          <cell r="M45">
            <v>3</v>
          </cell>
          <cell r="O45">
            <v>0</v>
          </cell>
          <cell r="P45">
            <v>0</v>
          </cell>
          <cell r="S45">
            <v>5</v>
          </cell>
          <cell r="T45">
            <v>17</v>
          </cell>
          <cell r="U45">
            <v>0</v>
          </cell>
          <cell r="Y45">
            <v>50</v>
          </cell>
        </row>
        <row r="46">
          <cell r="F46">
            <v>3</v>
          </cell>
          <cell r="G46">
            <v>2</v>
          </cell>
          <cell r="H46">
            <v>8</v>
          </cell>
          <cell r="J46">
            <v>117</v>
          </cell>
          <cell r="K46">
            <v>282</v>
          </cell>
          <cell r="M46">
            <v>109</v>
          </cell>
          <cell r="O46">
            <v>32</v>
          </cell>
          <cell r="P46">
            <v>7</v>
          </cell>
          <cell r="S46">
            <v>44</v>
          </cell>
          <cell r="T46">
            <v>119</v>
          </cell>
          <cell r="U46">
            <v>7</v>
          </cell>
          <cell r="Y46">
            <v>730</v>
          </cell>
        </row>
        <row r="47">
          <cell r="F47">
            <v>628</v>
          </cell>
          <cell r="G47">
            <v>1158</v>
          </cell>
          <cell r="H47">
            <v>2912</v>
          </cell>
          <cell r="I47">
            <v>2803</v>
          </cell>
          <cell r="J47">
            <v>7233</v>
          </cell>
          <cell r="K47">
            <v>1014</v>
          </cell>
          <cell r="M47">
            <v>1384</v>
          </cell>
          <cell r="P47">
            <v>1290</v>
          </cell>
          <cell r="S47">
            <v>1094</v>
          </cell>
          <cell r="T47">
            <v>7004</v>
          </cell>
          <cell r="U47">
            <v>814</v>
          </cell>
          <cell r="Y47">
            <v>27334</v>
          </cell>
        </row>
        <row r="48">
          <cell r="F48">
            <v>0</v>
          </cell>
          <cell r="G48">
            <v>11</v>
          </cell>
          <cell r="H48">
            <v>13</v>
          </cell>
          <cell r="I48">
            <v>9</v>
          </cell>
          <cell r="J48">
            <v>14</v>
          </cell>
          <cell r="K48">
            <v>1</v>
          </cell>
          <cell r="M48">
            <v>5</v>
          </cell>
          <cell r="P48">
            <v>2</v>
          </cell>
          <cell r="S48">
            <v>4</v>
          </cell>
          <cell r="T48">
            <v>28</v>
          </cell>
          <cell r="U48">
            <v>1</v>
          </cell>
          <cell r="Y48">
            <v>88</v>
          </cell>
        </row>
        <row r="49">
          <cell r="F49">
            <v>0</v>
          </cell>
          <cell r="G49">
            <v>3</v>
          </cell>
          <cell r="H49">
            <v>18</v>
          </cell>
          <cell r="I49">
            <v>3</v>
          </cell>
          <cell r="J49">
            <v>5</v>
          </cell>
          <cell r="K49">
            <v>1</v>
          </cell>
          <cell r="M49">
            <v>1</v>
          </cell>
          <cell r="P49">
            <v>1</v>
          </cell>
          <cell r="S49">
            <v>1</v>
          </cell>
          <cell r="T49">
            <v>22</v>
          </cell>
          <cell r="U49">
            <v>2</v>
          </cell>
          <cell r="Y49">
            <v>57</v>
          </cell>
        </row>
        <row r="50">
          <cell r="F50">
            <v>5</v>
          </cell>
          <cell r="G50">
            <v>1</v>
          </cell>
          <cell r="H50">
            <v>27</v>
          </cell>
          <cell r="I50">
            <v>27</v>
          </cell>
          <cell r="J50">
            <v>34</v>
          </cell>
          <cell r="K50">
            <v>0</v>
          </cell>
          <cell r="M50">
            <v>13</v>
          </cell>
          <cell r="P50">
            <v>1</v>
          </cell>
          <cell r="S50">
            <v>11</v>
          </cell>
          <cell r="T50">
            <v>125</v>
          </cell>
          <cell r="U50">
            <v>16</v>
          </cell>
          <cell r="Y50">
            <v>260</v>
          </cell>
        </row>
        <row r="51">
          <cell r="F51">
            <v>42</v>
          </cell>
          <cell r="G51">
            <v>67</v>
          </cell>
          <cell r="H51">
            <v>142</v>
          </cell>
          <cell r="I51">
            <v>88</v>
          </cell>
          <cell r="J51">
            <v>213</v>
          </cell>
          <cell r="K51">
            <v>15</v>
          </cell>
          <cell r="M51">
            <v>94</v>
          </cell>
          <cell r="P51">
            <v>55</v>
          </cell>
          <cell r="S51">
            <v>130</v>
          </cell>
          <cell r="T51">
            <v>473</v>
          </cell>
          <cell r="U51">
            <v>12</v>
          </cell>
          <cell r="Y51">
            <v>1331</v>
          </cell>
        </row>
        <row r="52">
          <cell r="F52">
            <v>14</v>
          </cell>
          <cell r="G52">
            <v>32</v>
          </cell>
          <cell r="H52">
            <v>151</v>
          </cell>
          <cell r="I52">
            <v>37</v>
          </cell>
          <cell r="J52">
            <v>66</v>
          </cell>
          <cell r="K52">
            <v>10</v>
          </cell>
          <cell r="M52">
            <v>34</v>
          </cell>
          <cell r="P52">
            <v>9</v>
          </cell>
          <cell r="S52">
            <v>43</v>
          </cell>
          <cell r="T52">
            <v>117</v>
          </cell>
          <cell r="U52">
            <v>15</v>
          </cell>
          <cell r="Y52">
            <v>528</v>
          </cell>
        </row>
        <row r="53">
          <cell r="F53">
            <v>8</v>
          </cell>
          <cell r="G53">
            <v>22</v>
          </cell>
          <cell r="H53">
            <v>37</v>
          </cell>
          <cell r="I53">
            <v>27</v>
          </cell>
          <cell r="J53">
            <v>40</v>
          </cell>
          <cell r="K53">
            <v>3</v>
          </cell>
          <cell r="M53">
            <v>16</v>
          </cell>
          <cell r="P53">
            <v>19</v>
          </cell>
          <cell r="S53">
            <v>13</v>
          </cell>
          <cell r="T53">
            <v>83</v>
          </cell>
          <cell r="U53">
            <v>5</v>
          </cell>
          <cell r="Y53">
            <v>273</v>
          </cell>
        </row>
        <row r="54">
          <cell r="F54">
            <v>8</v>
          </cell>
          <cell r="G54">
            <v>33</v>
          </cell>
          <cell r="H54">
            <v>78</v>
          </cell>
          <cell r="I54">
            <v>21</v>
          </cell>
          <cell r="J54">
            <v>68</v>
          </cell>
          <cell r="K54">
            <v>4</v>
          </cell>
          <cell r="M54">
            <v>13</v>
          </cell>
          <cell r="P54">
            <v>5</v>
          </cell>
          <cell r="S54">
            <v>25</v>
          </cell>
          <cell r="T54">
            <v>158</v>
          </cell>
          <cell r="U54">
            <v>13</v>
          </cell>
          <cell r="Y54">
            <v>426</v>
          </cell>
        </row>
        <row r="55">
          <cell r="F55">
            <v>9</v>
          </cell>
          <cell r="G55">
            <v>51</v>
          </cell>
          <cell r="H55">
            <v>88</v>
          </cell>
          <cell r="I55">
            <v>65</v>
          </cell>
          <cell r="J55">
            <v>128</v>
          </cell>
          <cell r="K55">
            <v>12</v>
          </cell>
          <cell r="M55">
            <v>34</v>
          </cell>
          <cell r="P55">
            <v>17</v>
          </cell>
          <cell r="S55">
            <v>27</v>
          </cell>
          <cell r="T55">
            <v>182</v>
          </cell>
          <cell r="U55">
            <v>9</v>
          </cell>
          <cell r="Y55">
            <v>622</v>
          </cell>
        </row>
        <row r="56">
          <cell r="F56">
            <v>11</v>
          </cell>
          <cell r="G56">
            <v>10</v>
          </cell>
          <cell r="H56">
            <v>103</v>
          </cell>
          <cell r="I56">
            <v>11</v>
          </cell>
          <cell r="J56">
            <v>54</v>
          </cell>
          <cell r="K56">
            <v>0</v>
          </cell>
          <cell r="M56">
            <v>24</v>
          </cell>
          <cell r="P56">
            <v>3</v>
          </cell>
          <cell r="S56">
            <v>32</v>
          </cell>
          <cell r="T56">
            <v>121</v>
          </cell>
          <cell r="U56">
            <v>14</v>
          </cell>
          <cell r="Y56">
            <v>383</v>
          </cell>
        </row>
        <row r="57">
          <cell r="F57">
            <v>3</v>
          </cell>
          <cell r="G57">
            <v>7</v>
          </cell>
          <cell r="H57">
            <v>507</v>
          </cell>
          <cell r="I57">
            <v>2</v>
          </cell>
          <cell r="J57">
            <v>27</v>
          </cell>
          <cell r="K57">
            <v>0</v>
          </cell>
          <cell r="M57">
            <v>7</v>
          </cell>
          <cell r="P57">
            <v>1</v>
          </cell>
          <cell r="S57">
            <v>32</v>
          </cell>
          <cell r="T57">
            <v>195</v>
          </cell>
          <cell r="U57">
            <v>0</v>
          </cell>
          <cell r="Y57">
            <v>781</v>
          </cell>
        </row>
        <row r="58">
          <cell r="F58">
            <v>3</v>
          </cell>
          <cell r="G58">
            <v>26</v>
          </cell>
          <cell r="H58">
            <v>23</v>
          </cell>
          <cell r="I58">
            <v>12</v>
          </cell>
          <cell r="J58">
            <v>25</v>
          </cell>
          <cell r="K58">
            <v>3</v>
          </cell>
          <cell r="M58">
            <v>18</v>
          </cell>
          <cell r="P58">
            <v>49</v>
          </cell>
          <cell r="S58">
            <v>26</v>
          </cell>
          <cell r="T58">
            <v>80</v>
          </cell>
          <cell r="U58">
            <v>3</v>
          </cell>
          <cell r="Y58">
            <v>268</v>
          </cell>
        </row>
        <row r="59">
          <cell r="F59">
            <v>20</v>
          </cell>
          <cell r="G59">
            <v>18</v>
          </cell>
          <cell r="H59">
            <v>63</v>
          </cell>
          <cell r="I59">
            <v>22</v>
          </cell>
          <cell r="J59">
            <v>112</v>
          </cell>
          <cell r="K59">
            <v>8</v>
          </cell>
          <cell r="M59">
            <v>13</v>
          </cell>
          <cell r="P59">
            <v>23</v>
          </cell>
          <cell r="S59">
            <v>47</v>
          </cell>
          <cell r="T59">
            <v>162</v>
          </cell>
          <cell r="U59">
            <v>3</v>
          </cell>
          <cell r="Y59">
            <v>491</v>
          </cell>
        </row>
        <row r="60">
          <cell r="F60">
            <v>0</v>
          </cell>
          <cell r="G60">
            <v>2</v>
          </cell>
          <cell r="H60">
            <v>45</v>
          </cell>
          <cell r="I60">
            <v>5</v>
          </cell>
          <cell r="J60">
            <v>10</v>
          </cell>
          <cell r="K60">
            <v>1</v>
          </cell>
          <cell r="M60">
            <v>6</v>
          </cell>
          <cell r="P60">
            <v>3</v>
          </cell>
          <cell r="S60">
            <v>3</v>
          </cell>
          <cell r="T60">
            <v>30</v>
          </cell>
          <cell r="U60">
            <v>2</v>
          </cell>
          <cell r="Y60">
            <v>107</v>
          </cell>
        </row>
        <row r="61">
          <cell r="F61">
            <v>20</v>
          </cell>
          <cell r="G61">
            <v>24</v>
          </cell>
          <cell r="H61">
            <v>52</v>
          </cell>
          <cell r="I61">
            <v>19</v>
          </cell>
          <cell r="J61">
            <v>63</v>
          </cell>
          <cell r="K61">
            <v>1</v>
          </cell>
          <cell r="M61">
            <v>58</v>
          </cell>
          <cell r="P61">
            <v>50</v>
          </cell>
          <cell r="S61">
            <v>61</v>
          </cell>
          <cell r="T61">
            <v>105</v>
          </cell>
          <cell r="U61">
            <v>3</v>
          </cell>
          <cell r="Y61">
            <v>456</v>
          </cell>
        </row>
        <row r="62">
          <cell r="F62">
            <v>8</v>
          </cell>
          <cell r="G62">
            <v>2</v>
          </cell>
          <cell r="H62">
            <v>8</v>
          </cell>
          <cell r="I62">
            <v>4</v>
          </cell>
          <cell r="J62">
            <v>28</v>
          </cell>
          <cell r="K62">
            <v>0</v>
          </cell>
          <cell r="M62">
            <v>11</v>
          </cell>
          <cell r="P62">
            <v>10</v>
          </cell>
          <cell r="S62">
            <v>6</v>
          </cell>
          <cell r="T62">
            <v>34</v>
          </cell>
          <cell r="U62">
            <v>1</v>
          </cell>
          <cell r="Y62">
            <v>112</v>
          </cell>
        </row>
        <row r="63">
          <cell r="F63">
            <v>2</v>
          </cell>
          <cell r="G63">
            <v>5</v>
          </cell>
          <cell r="H63">
            <v>14</v>
          </cell>
          <cell r="I63">
            <v>3</v>
          </cell>
          <cell r="J63">
            <v>25</v>
          </cell>
          <cell r="K63">
            <v>0</v>
          </cell>
          <cell r="M63">
            <v>2</v>
          </cell>
          <cell r="P63">
            <v>5</v>
          </cell>
          <cell r="S63">
            <v>8</v>
          </cell>
          <cell r="T63">
            <v>32</v>
          </cell>
          <cell r="U63">
            <v>3</v>
          </cell>
          <cell r="Y63">
            <v>99</v>
          </cell>
        </row>
        <row r="64">
          <cell r="F64">
            <v>6</v>
          </cell>
          <cell r="G64">
            <v>52</v>
          </cell>
          <cell r="H64">
            <v>26</v>
          </cell>
          <cell r="I64">
            <v>21</v>
          </cell>
          <cell r="J64">
            <v>28</v>
          </cell>
          <cell r="K64">
            <v>1</v>
          </cell>
          <cell r="M64">
            <v>15</v>
          </cell>
          <cell r="P64">
            <v>21</v>
          </cell>
          <cell r="S64">
            <v>16</v>
          </cell>
          <cell r="T64">
            <v>75</v>
          </cell>
          <cell r="U64">
            <v>26</v>
          </cell>
          <cell r="Y64">
            <v>287</v>
          </cell>
        </row>
        <row r="66">
          <cell r="Y66">
            <v>0</v>
          </cell>
        </row>
        <row r="67">
          <cell r="F67">
            <v>133</v>
          </cell>
          <cell r="G67">
            <v>268</v>
          </cell>
          <cell r="H67">
            <v>459</v>
          </cell>
          <cell r="I67">
            <v>510</v>
          </cell>
          <cell r="J67">
            <v>1568</v>
          </cell>
          <cell r="K67">
            <v>134</v>
          </cell>
          <cell r="M67">
            <v>180</v>
          </cell>
          <cell r="P67">
            <v>309</v>
          </cell>
          <cell r="S67">
            <v>240</v>
          </cell>
          <cell r="T67">
            <v>1113</v>
          </cell>
          <cell r="U67">
            <v>123</v>
          </cell>
          <cell r="Y67">
            <v>5037</v>
          </cell>
        </row>
        <row r="68">
          <cell r="F68">
            <v>233</v>
          </cell>
          <cell r="G68">
            <v>240</v>
          </cell>
          <cell r="H68">
            <v>900</v>
          </cell>
          <cell r="I68">
            <v>796</v>
          </cell>
          <cell r="J68">
            <v>1068</v>
          </cell>
          <cell r="K68">
            <v>127</v>
          </cell>
          <cell r="M68">
            <v>447</v>
          </cell>
          <cell r="P68">
            <v>259</v>
          </cell>
          <cell r="S68">
            <v>244</v>
          </cell>
          <cell r="T68">
            <v>2346</v>
          </cell>
          <cell r="U68">
            <v>356</v>
          </cell>
          <cell r="Y68">
            <v>7016</v>
          </cell>
        </row>
        <row r="69">
          <cell r="F69">
            <v>55</v>
          </cell>
          <cell r="G69">
            <v>165</v>
          </cell>
          <cell r="H69">
            <v>566</v>
          </cell>
          <cell r="I69">
            <v>577</v>
          </cell>
          <cell r="J69">
            <v>1009</v>
          </cell>
          <cell r="K69">
            <v>223</v>
          </cell>
          <cell r="M69">
            <v>171</v>
          </cell>
          <cell r="P69">
            <v>289</v>
          </cell>
          <cell r="S69">
            <v>118</v>
          </cell>
          <cell r="T69">
            <v>1168</v>
          </cell>
          <cell r="U69">
            <v>49</v>
          </cell>
          <cell r="Y69">
            <v>4390</v>
          </cell>
        </row>
        <row r="70">
          <cell r="F70">
            <v>16</v>
          </cell>
          <cell r="G70">
            <v>78</v>
          </cell>
          <cell r="H70">
            <v>129</v>
          </cell>
          <cell r="I70">
            <v>137</v>
          </cell>
          <cell r="J70">
            <v>182</v>
          </cell>
          <cell r="K70">
            <v>11</v>
          </cell>
          <cell r="M70">
            <v>51</v>
          </cell>
          <cell r="P70">
            <v>52</v>
          </cell>
          <cell r="S70">
            <v>39</v>
          </cell>
          <cell r="T70">
            <v>314</v>
          </cell>
          <cell r="U70">
            <v>48</v>
          </cell>
          <cell r="Y70">
            <v>1057</v>
          </cell>
        </row>
        <row r="71">
          <cell r="F71">
            <v>113</v>
          </cell>
          <cell r="G71">
            <v>143</v>
          </cell>
          <cell r="H71">
            <v>458</v>
          </cell>
          <cell r="I71">
            <v>390</v>
          </cell>
          <cell r="J71">
            <v>2091</v>
          </cell>
          <cell r="K71">
            <v>98</v>
          </cell>
          <cell r="M71">
            <v>275</v>
          </cell>
          <cell r="P71">
            <v>180</v>
          </cell>
          <cell r="S71">
            <v>192</v>
          </cell>
          <cell r="T71">
            <v>1086</v>
          </cell>
          <cell r="U71">
            <v>127</v>
          </cell>
          <cell r="Y71">
            <v>5153</v>
          </cell>
        </row>
        <row r="72">
          <cell r="F72">
            <v>40</v>
          </cell>
          <cell r="G72">
            <v>113</v>
          </cell>
          <cell r="H72">
            <v>81</v>
          </cell>
          <cell r="I72">
            <v>97</v>
          </cell>
          <cell r="J72">
            <v>455</v>
          </cell>
          <cell r="K72">
            <v>24</v>
          </cell>
          <cell r="M72">
            <v>87</v>
          </cell>
          <cell r="P72">
            <v>59</v>
          </cell>
          <cell r="S72">
            <v>102</v>
          </cell>
          <cell r="T72">
            <v>310</v>
          </cell>
          <cell r="U72">
            <v>18</v>
          </cell>
          <cell r="Y72">
            <v>1386</v>
          </cell>
        </row>
        <row r="73">
          <cell r="F73">
            <v>3</v>
          </cell>
          <cell r="G73">
            <v>24</v>
          </cell>
          <cell r="H73">
            <v>22</v>
          </cell>
          <cell r="I73">
            <v>56</v>
          </cell>
          <cell r="J73">
            <v>82</v>
          </cell>
          <cell r="K73">
            <v>6</v>
          </cell>
          <cell r="M73">
            <v>8</v>
          </cell>
          <cell r="P73">
            <v>23</v>
          </cell>
          <cell r="S73">
            <v>11</v>
          </cell>
          <cell r="T73">
            <v>73</v>
          </cell>
          <cell r="U73">
            <v>12</v>
          </cell>
          <cell r="Y73">
            <v>320</v>
          </cell>
        </row>
        <row r="74">
          <cell r="F74">
            <v>20</v>
          </cell>
          <cell r="G74">
            <v>81</v>
          </cell>
          <cell r="H74">
            <v>182</v>
          </cell>
          <cell r="I74">
            <v>171</v>
          </cell>
          <cell r="J74">
            <v>418</v>
          </cell>
          <cell r="K74">
            <v>23</v>
          </cell>
          <cell r="M74">
            <v>45</v>
          </cell>
          <cell r="P74">
            <v>62</v>
          </cell>
          <cell r="S74">
            <v>61</v>
          </cell>
          <cell r="T74">
            <v>261</v>
          </cell>
          <cell r="U74">
            <v>35</v>
          </cell>
          <cell r="Y74">
            <v>1359</v>
          </cell>
        </row>
        <row r="75">
          <cell r="F75">
            <v>6</v>
          </cell>
          <cell r="G75">
            <v>25</v>
          </cell>
          <cell r="H75">
            <v>53</v>
          </cell>
          <cell r="I75">
            <v>43</v>
          </cell>
          <cell r="J75">
            <v>121</v>
          </cell>
          <cell r="K75">
            <v>14</v>
          </cell>
          <cell r="M75">
            <v>17</v>
          </cell>
          <cell r="P75">
            <v>18</v>
          </cell>
          <cell r="S75">
            <v>29</v>
          </cell>
          <cell r="T75">
            <v>102</v>
          </cell>
          <cell r="U75">
            <v>24</v>
          </cell>
          <cell r="Y75">
            <v>452</v>
          </cell>
        </row>
        <row r="76">
          <cell r="F76">
            <v>5</v>
          </cell>
          <cell r="G76">
            <v>20</v>
          </cell>
          <cell r="H76">
            <v>36</v>
          </cell>
          <cell r="I76">
            <v>20</v>
          </cell>
          <cell r="J76">
            <v>109</v>
          </cell>
          <cell r="K76">
            <v>17</v>
          </cell>
          <cell r="M76">
            <v>13</v>
          </cell>
          <cell r="P76">
            <v>30</v>
          </cell>
          <cell r="S76">
            <v>8</v>
          </cell>
          <cell r="T76">
            <v>71</v>
          </cell>
          <cell r="U76">
            <v>8</v>
          </cell>
          <cell r="Y76">
            <v>337</v>
          </cell>
        </row>
        <row r="77">
          <cell r="F77">
            <v>1</v>
          </cell>
          <cell r="G77">
            <v>0</v>
          </cell>
          <cell r="H77">
            <v>19</v>
          </cell>
          <cell r="I77">
            <v>6</v>
          </cell>
          <cell r="J77">
            <v>2</v>
          </cell>
          <cell r="K77">
            <v>0</v>
          </cell>
          <cell r="M77">
            <v>2</v>
          </cell>
          <cell r="P77">
            <v>1</v>
          </cell>
          <cell r="S77">
            <v>6</v>
          </cell>
          <cell r="T77">
            <v>22</v>
          </cell>
          <cell r="U77">
            <v>0</v>
          </cell>
          <cell r="Y77">
            <v>59</v>
          </cell>
        </row>
        <row r="78">
          <cell r="F78">
            <v>5</v>
          </cell>
          <cell r="G78">
            <v>8</v>
          </cell>
          <cell r="H78">
            <v>19</v>
          </cell>
          <cell r="I78">
            <v>15</v>
          </cell>
          <cell r="J78">
            <v>47</v>
          </cell>
          <cell r="K78">
            <v>0</v>
          </cell>
          <cell r="M78">
            <v>8</v>
          </cell>
          <cell r="P78">
            <v>4</v>
          </cell>
          <cell r="S78">
            <v>16</v>
          </cell>
          <cell r="T78">
            <v>89</v>
          </cell>
          <cell r="U78">
            <v>7</v>
          </cell>
          <cell r="Y78">
            <v>218</v>
          </cell>
        </row>
        <row r="79">
          <cell r="F79">
            <v>16</v>
          </cell>
          <cell r="G79">
            <v>29</v>
          </cell>
          <cell r="H79">
            <v>65</v>
          </cell>
          <cell r="I79">
            <v>33</v>
          </cell>
          <cell r="J79">
            <v>45</v>
          </cell>
          <cell r="K79">
            <v>4</v>
          </cell>
          <cell r="M79">
            <v>24</v>
          </cell>
          <cell r="P79">
            <v>14</v>
          </cell>
          <cell r="S79">
            <v>45</v>
          </cell>
          <cell r="T79">
            <v>195</v>
          </cell>
          <cell r="U79">
            <v>15</v>
          </cell>
          <cell r="Y79">
            <v>485</v>
          </cell>
        </row>
        <row r="80">
          <cell r="F80">
            <v>12</v>
          </cell>
          <cell r="G80">
            <v>15</v>
          </cell>
          <cell r="H80">
            <v>44</v>
          </cell>
          <cell r="I80">
            <v>33</v>
          </cell>
          <cell r="J80">
            <v>57</v>
          </cell>
          <cell r="K80">
            <v>4</v>
          </cell>
          <cell r="M80">
            <v>24</v>
          </cell>
          <cell r="P80">
            <v>19</v>
          </cell>
          <cell r="S80">
            <v>25</v>
          </cell>
          <cell r="T80">
            <v>150</v>
          </cell>
          <cell r="U80">
            <v>1</v>
          </cell>
          <cell r="Y80">
            <v>384</v>
          </cell>
        </row>
        <row r="81">
          <cell r="F81">
            <v>0</v>
          </cell>
          <cell r="G81">
            <v>4</v>
          </cell>
          <cell r="H81">
            <v>7</v>
          </cell>
          <cell r="I81">
            <v>6</v>
          </cell>
          <cell r="J81">
            <v>3</v>
          </cell>
          <cell r="K81">
            <v>0</v>
          </cell>
          <cell r="M81">
            <v>2</v>
          </cell>
          <cell r="P81">
            <v>1</v>
          </cell>
          <cell r="S81">
            <v>5</v>
          </cell>
          <cell r="T81">
            <v>21</v>
          </cell>
          <cell r="U81">
            <v>0</v>
          </cell>
          <cell r="Y81">
            <v>49</v>
          </cell>
        </row>
        <row r="82">
          <cell r="F82">
            <v>8</v>
          </cell>
          <cell r="G82">
            <v>8</v>
          </cell>
          <cell r="H82">
            <v>26</v>
          </cell>
          <cell r="I82">
            <v>18</v>
          </cell>
          <cell r="J82">
            <v>62</v>
          </cell>
          <cell r="K82">
            <v>3</v>
          </cell>
          <cell r="M82">
            <v>29</v>
          </cell>
          <cell r="P82">
            <v>7</v>
          </cell>
          <cell r="S82">
            <v>22</v>
          </cell>
          <cell r="T82">
            <v>93</v>
          </cell>
          <cell r="U82">
            <v>4</v>
          </cell>
          <cell r="Y82">
            <v>280</v>
          </cell>
        </row>
        <row r="83">
          <cell r="F83">
            <v>1</v>
          </cell>
          <cell r="G83">
            <v>10</v>
          </cell>
          <cell r="H83">
            <v>10</v>
          </cell>
          <cell r="I83">
            <v>3</v>
          </cell>
          <cell r="J83">
            <v>16</v>
          </cell>
          <cell r="K83">
            <v>0</v>
          </cell>
          <cell r="M83">
            <v>9</v>
          </cell>
          <cell r="P83">
            <v>3</v>
          </cell>
          <cell r="S83">
            <v>13</v>
          </cell>
          <cell r="T83">
            <v>46</v>
          </cell>
          <cell r="U83">
            <v>1</v>
          </cell>
          <cell r="Y83">
            <v>112</v>
          </cell>
        </row>
        <row r="84">
          <cell r="F84">
            <v>0</v>
          </cell>
          <cell r="G84">
            <v>1</v>
          </cell>
          <cell r="H84">
            <v>3</v>
          </cell>
          <cell r="I84">
            <v>5</v>
          </cell>
          <cell r="J84">
            <v>4</v>
          </cell>
          <cell r="K84">
            <v>0</v>
          </cell>
          <cell r="M84">
            <v>1</v>
          </cell>
          <cell r="P84">
            <v>5</v>
          </cell>
          <cell r="S84">
            <v>1</v>
          </cell>
          <cell r="T84">
            <v>9</v>
          </cell>
          <cell r="U84">
            <v>0</v>
          </cell>
          <cell r="Y84">
            <v>29</v>
          </cell>
        </row>
        <row r="85">
          <cell r="F85">
            <v>3</v>
          </cell>
          <cell r="G85">
            <v>3</v>
          </cell>
          <cell r="H85">
            <v>14</v>
          </cell>
          <cell r="I85">
            <v>6</v>
          </cell>
          <cell r="J85">
            <v>16</v>
          </cell>
          <cell r="K85">
            <v>0</v>
          </cell>
          <cell r="M85">
            <v>1</v>
          </cell>
          <cell r="P85">
            <v>4</v>
          </cell>
          <cell r="S85">
            <v>11</v>
          </cell>
          <cell r="T85">
            <v>18</v>
          </cell>
          <cell r="U85">
            <v>1</v>
          </cell>
          <cell r="Y85">
            <v>77</v>
          </cell>
        </row>
        <row r="86">
          <cell r="F86">
            <v>1</v>
          </cell>
          <cell r="G86">
            <v>2</v>
          </cell>
          <cell r="H86">
            <v>8</v>
          </cell>
          <cell r="I86">
            <v>5</v>
          </cell>
          <cell r="J86">
            <v>7</v>
          </cell>
          <cell r="K86">
            <v>0</v>
          </cell>
          <cell r="M86">
            <v>3</v>
          </cell>
          <cell r="P86">
            <v>1</v>
          </cell>
          <cell r="S86">
            <v>4</v>
          </cell>
          <cell r="T86">
            <v>5</v>
          </cell>
          <cell r="U86">
            <v>1</v>
          </cell>
          <cell r="Y86">
            <v>37</v>
          </cell>
        </row>
        <row r="87">
          <cell r="F87">
            <v>1</v>
          </cell>
          <cell r="G87">
            <v>2</v>
          </cell>
          <cell r="H87">
            <v>3</v>
          </cell>
          <cell r="I87">
            <v>2</v>
          </cell>
          <cell r="J87">
            <v>6</v>
          </cell>
          <cell r="K87">
            <v>0</v>
          </cell>
          <cell r="M87">
            <v>5</v>
          </cell>
          <cell r="P87">
            <v>1</v>
          </cell>
          <cell r="S87">
            <v>1</v>
          </cell>
          <cell r="T87">
            <v>6</v>
          </cell>
          <cell r="U87">
            <v>0</v>
          </cell>
          <cell r="Y87">
            <v>27</v>
          </cell>
        </row>
        <row r="88">
          <cell r="F88">
            <v>0</v>
          </cell>
          <cell r="G88">
            <v>0</v>
          </cell>
          <cell r="H88">
            <v>0</v>
          </cell>
          <cell r="I88">
            <v>1</v>
          </cell>
          <cell r="J88">
            <v>0</v>
          </cell>
          <cell r="K88">
            <v>0</v>
          </cell>
          <cell r="M88">
            <v>0</v>
          </cell>
          <cell r="P88">
            <v>0</v>
          </cell>
          <cell r="S88">
            <v>0</v>
          </cell>
          <cell r="T88">
            <v>4</v>
          </cell>
          <cell r="U88">
            <v>0</v>
          </cell>
          <cell r="Y88">
            <v>5</v>
          </cell>
        </row>
        <row r="89">
          <cell r="F89">
            <v>15</v>
          </cell>
          <cell r="G89">
            <v>27</v>
          </cell>
          <cell r="H89">
            <v>85</v>
          </cell>
          <cell r="I89">
            <v>31</v>
          </cell>
          <cell r="J89">
            <v>56</v>
          </cell>
          <cell r="K89">
            <v>3</v>
          </cell>
          <cell r="M89">
            <v>14</v>
          </cell>
          <cell r="P89">
            <v>10</v>
          </cell>
          <cell r="S89">
            <v>22</v>
          </cell>
          <cell r="T89">
            <v>74</v>
          </cell>
          <cell r="U89">
            <v>9</v>
          </cell>
          <cell r="Y89">
            <v>346</v>
          </cell>
        </row>
        <row r="90">
          <cell r="F90">
            <v>11</v>
          </cell>
          <cell r="G90">
            <v>33</v>
          </cell>
          <cell r="H90">
            <v>90</v>
          </cell>
          <cell r="I90">
            <v>53</v>
          </cell>
          <cell r="J90">
            <v>63</v>
          </cell>
          <cell r="K90">
            <v>8</v>
          </cell>
          <cell r="M90">
            <v>32</v>
          </cell>
          <cell r="P90">
            <v>11</v>
          </cell>
          <cell r="S90">
            <v>25</v>
          </cell>
          <cell r="T90">
            <v>228</v>
          </cell>
          <cell r="U90">
            <v>22</v>
          </cell>
          <cell r="Y90">
            <v>576</v>
          </cell>
        </row>
        <row r="91">
          <cell r="F91">
            <v>4</v>
          </cell>
          <cell r="G91">
            <v>24</v>
          </cell>
          <cell r="H91">
            <v>79</v>
          </cell>
          <cell r="I91">
            <v>21</v>
          </cell>
          <cell r="J91">
            <v>63</v>
          </cell>
          <cell r="K91">
            <v>9</v>
          </cell>
          <cell r="M91">
            <v>8</v>
          </cell>
          <cell r="P91">
            <v>13</v>
          </cell>
          <cell r="S91">
            <v>18</v>
          </cell>
          <cell r="T91">
            <v>94</v>
          </cell>
          <cell r="U91">
            <v>2</v>
          </cell>
          <cell r="Y91">
            <v>335</v>
          </cell>
        </row>
        <row r="92">
          <cell r="F92">
            <v>0</v>
          </cell>
          <cell r="G92">
            <v>7</v>
          </cell>
          <cell r="H92">
            <v>11</v>
          </cell>
          <cell r="I92">
            <v>6</v>
          </cell>
          <cell r="J92">
            <v>6</v>
          </cell>
          <cell r="K92">
            <v>0</v>
          </cell>
          <cell r="M92">
            <v>1</v>
          </cell>
          <cell r="P92">
            <v>1</v>
          </cell>
          <cell r="S92">
            <v>2</v>
          </cell>
          <cell r="T92">
            <v>16</v>
          </cell>
          <cell r="U92">
            <v>0</v>
          </cell>
          <cell r="Y92">
            <v>50</v>
          </cell>
        </row>
        <row r="93">
          <cell r="F93">
            <v>3</v>
          </cell>
          <cell r="G93">
            <v>10</v>
          </cell>
          <cell r="H93">
            <v>42</v>
          </cell>
          <cell r="I93">
            <v>12</v>
          </cell>
          <cell r="J93">
            <v>67</v>
          </cell>
          <cell r="K93">
            <v>4</v>
          </cell>
          <cell r="M93">
            <v>23</v>
          </cell>
          <cell r="P93">
            <v>4</v>
          </cell>
          <cell r="S93">
            <v>16</v>
          </cell>
          <cell r="T93">
            <v>61</v>
          </cell>
          <cell r="U93">
            <v>2</v>
          </cell>
          <cell r="Y93">
            <v>244</v>
          </cell>
        </row>
        <row r="94">
          <cell r="F94">
            <v>2</v>
          </cell>
          <cell r="G94">
            <v>17</v>
          </cell>
          <cell r="H94">
            <v>9</v>
          </cell>
          <cell r="I94">
            <v>8</v>
          </cell>
          <cell r="J94">
            <v>24</v>
          </cell>
          <cell r="K94">
            <v>1</v>
          </cell>
          <cell r="M94">
            <v>5</v>
          </cell>
          <cell r="P94">
            <v>3</v>
          </cell>
          <cell r="S94">
            <v>13</v>
          </cell>
          <cell r="T94">
            <v>30</v>
          </cell>
          <cell r="U94">
            <v>1</v>
          </cell>
          <cell r="Y94">
            <v>113</v>
          </cell>
        </row>
        <row r="95">
          <cell r="F95">
            <v>0</v>
          </cell>
          <cell r="G95">
            <v>4</v>
          </cell>
          <cell r="H95">
            <v>5</v>
          </cell>
          <cell r="I95">
            <v>5</v>
          </cell>
          <cell r="J95">
            <v>6</v>
          </cell>
          <cell r="K95">
            <v>0</v>
          </cell>
          <cell r="M95">
            <v>1</v>
          </cell>
          <cell r="P95">
            <v>1</v>
          </cell>
          <cell r="S95">
            <v>0</v>
          </cell>
          <cell r="T95">
            <v>3</v>
          </cell>
          <cell r="U95">
            <v>1</v>
          </cell>
          <cell r="Y95">
            <v>26</v>
          </cell>
        </row>
        <row r="96">
          <cell r="F96">
            <v>4</v>
          </cell>
          <cell r="G96">
            <v>11</v>
          </cell>
          <cell r="H96">
            <v>21</v>
          </cell>
          <cell r="I96">
            <v>6</v>
          </cell>
          <cell r="J96">
            <v>8</v>
          </cell>
          <cell r="K96">
            <v>0</v>
          </cell>
          <cell r="M96">
            <v>2</v>
          </cell>
          <cell r="P96">
            <v>4</v>
          </cell>
          <cell r="S96">
            <v>6</v>
          </cell>
          <cell r="T96">
            <v>10</v>
          </cell>
          <cell r="U96">
            <v>3</v>
          </cell>
          <cell r="Y96">
            <v>75</v>
          </cell>
        </row>
        <row r="97">
          <cell r="F97">
            <v>0</v>
          </cell>
          <cell r="G97">
            <v>2</v>
          </cell>
          <cell r="H97">
            <v>5</v>
          </cell>
          <cell r="I97">
            <v>5</v>
          </cell>
          <cell r="J97">
            <v>2</v>
          </cell>
          <cell r="K97">
            <v>0</v>
          </cell>
          <cell r="M97">
            <v>4</v>
          </cell>
          <cell r="P97">
            <v>2</v>
          </cell>
          <cell r="S97">
            <v>1</v>
          </cell>
          <cell r="T97">
            <v>6</v>
          </cell>
          <cell r="U97">
            <v>1</v>
          </cell>
          <cell r="Y97">
            <v>28</v>
          </cell>
        </row>
        <row r="98">
          <cell r="F98">
            <v>0</v>
          </cell>
          <cell r="G98">
            <v>3</v>
          </cell>
          <cell r="H98">
            <v>3</v>
          </cell>
          <cell r="I98">
            <v>3</v>
          </cell>
          <cell r="J98">
            <v>2</v>
          </cell>
          <cell r="K98">
            <v>0</v>
          </cell>
          <cell r="M98">
            <v>0</v>
          </cell>
          <cell r="P98">
            <v>1</v>
          </cell>
          <cell r="S98">
            <v>1</v>
          </cell>
          <cell r="T98">
            <v>6</v>
          </cell>
          <cell r="U98">
            <v>1</v>
          </cell>
          <cell r="Y98">
            <v>20</v>
          </cell>
        </row>
        <row r="99">
          <cell r="F99">
            <v>0</v>
          </cell>
          <cell r="G99">
            <v>0</v>
          </cell>
          <cell r="H99">
            <v>2</v>
          </cell>
          <cell r="I99">
            <v>0</v>
          </cell>
          <cell r="J99">
            <v>0</v>
          </cell>
          <cell r="K99">
            <v>0</v>
          </cell>
          <cell r="M99">
            <v>0</v>
          </cell>
          <cell r="P99">
            <v>0</v>
          </cell>
          <cell r="S99">
            <v>0</v>
          </cell>
          <cell r="T99">
            <v>1</v>
          </cell>
          <cell r="U99">
            <v>0</v>
          </cell>
          <cell r="Y99">
            <v>3</v>
          </cell>
        </row>
        <row r="100">
          <cell r="F100">
            <v>0</v>
          </cell>
          <cell r="G100">
            <v>1</v>
          </cell>
          <cell r="H100">
            <v>23</v>
          </cell>
          <cell r="I100">
            <v>1</v>
          </cell>
          <cell r="J100">
            <v>8</v>
          </cell>
          <cell r="K100">
            <v>0</v>
          </cell>
          <cell r="M100">
            <v>1</v>
          </cell>
          <cell r="P100">
            <v>1</v>
          </cell>
          <cell r="S100">
            <v>3</v>
          </cell>
          <cell r="T100">
            <v>16</v>
          </cell>
          <cell r="U100">
            <v>0</v>
          </cell>
          <cell r="Y100">
            <v>54</v>
          </cell>
        </row>
        <row r="101">
          <cell r="F101">
            <v>21</v>
          </cell>
          <cell r="G101">
            <v>15</v>
          </cell>
          <cell r="H101">
            <v>130</v>
          </cell>
          <cell r="I101">
            <v>21</v>
          </cell>
          <cell r="J101">
            <v>43</v>
          </cell>
          <cell r="K101">
            <v>2</v>
          </cell>
          <cell r="M101">
            <v>11</v>
          </cell>
          <cell r="P101">
            <v>20</v>
          </cell>
          <cell r="S101">
            <v>38</v>
          </cell>
          <cell r="T101">
            <v>202</v>
          </cell>
          <cell r="U101">
            <v>9</v>
          </cell>
          <cell r="Y101">
            <v>512</v>
          </cell>
        </row>
        <row r="102">
          <cell r="F102">
            <v>5</v>
          </cell>
          <cell r="G102">
            <v>24</v>
          </cell>
          <cell r="H102">
            <v>185</v>
          </cell>
          <cell r="I102">
            <v>14</v>
          </cell>
          <cell r="J102">
            <v>55</v>
          </cell>
          <cell r="K102">
            <v>2</v>
          </cell>
          <cell r="M102">
            <v>17</v>
          </cell>
          <cell r="P102">
            <v>29</v>
          </cell>
          <cell r="S102">
            <v>23</v>
          </cell>
          <cell r="T102">
            <v>123</v>
          </cell>
          <cell r="U102">
            <v>4</v>
          </cell>
          <cell r="Y102">
            <v>481</v>
          </cell>
        </row>
        <row r="103">
          <cell r="F103">
            <v>0</v>
          </cell>
          <cell r="G103">
            <v>1</v>
          </cell>
          <cell r="H103">
            <v>9</v>
          </cell>
          <cell r="I103">
            <v>1</v>
          </cell>
          <cell r="J103">
            <v>1</v>
          </cell>
          <cell r="K103">
            <v>0</v>
          </cell>
          <cell r="M103">
            <v>0</v>
          </cell>
          <cell r="P103">
            <v>1</v>
          </cell>
          <cell r="S103">
            <v>9</v>
          </cell>
          <cell r="T103">
            <v>5</v>
          </cell>
          <cell r="U103">
            <v>0</v>
          </cell>
          <cell r="Y103">
            <v>27</v>
          </cell>
        </row>
        <row r="104">
          <cell r="F104">
            <v>5</v>
          </cell>
          <cell r="G104">
            <v>6</v>
          </cell>
          <cell r="H104">
            <v>190</v>
          </cell>
          <cell r="I104">
            <v>5</v>
          </cell>
          <cell r="J104">
            <v>53</v>
          </cell>
          <cell r="K104">
            <v>1</v>
          </cell>
          <cell r="M104">
            <v>13</v>
          </cell>
          <cell r="P104">
            <v>11</v>
          </cell>
          <cell r="S104">
            <v>20</v>
          </cell>
          <cell r="T104">
            <v>87</v>
          </cell>
          <cell r="U104">
            <v>1</v>
          </cell>
          <cell r="Y104">
            <v>392</v>
          </cell>
        </row>
        <row r="105">
          <cell r="F105">
            <v>3</v>
          </cell>
          <cell r="G105">
            <v>7</v>
          </cell>
          <cell r="H105">
            <v>42</v>
          </cell>
          <cell r="I105">
            <v>1</v>
          </cell>
          <cell r="J105">
            <v>36</v>
          </cell>
          <cell r="K105">
            <v>2</v>
          </cell>
          <cell r="M105">
            <v>12</v>
          </cell>
          <cell r="P105">
            <v>9</v>
          </cell>
          <cell r="S105">
            <v>17</v>
          </cell>
          <cell r="T105">
            <v>58</v>
          </cell>
          <cell r="U105">
            <v>2</v>
          </cell>
          <cell r="Y105">
            <v>189</v>
          </cell>
        </row>
        <row r="106">
          <cell r="F106">
            <v>0</v>
          </cell>
          <cell r="G106">
            <v>0</v>
          </cell>
          <cell r="H106">
            <v>16</v>
          </cell>
          <cell r="I106">
            <v>2</v>
          </cell>
          <cell r="J106">
            <v>5</v>
          </cell>
          <cell r="K106">
            <v>0</v>
          </cell>
          <cell r="M106">
            <v>0</v>
          </cell>
          <cell r="P106">
            <v>3</v>
          </cell>
          <cell r="S106">
            <v>1</v>
          </cell>
          <cell r="T106">
            <v>8</v>
          </cell>
          <cell r="U106">
            <v>1</v>
          </cell>
          <cell r="Y106">
            <v>36</v>
          </cell>
        </row>
        <row r="107">
          <cell r="F107">
            <v>3</v>
          </cell>
          <cell r="G107">
            <v>3</v>
          </cell>
          <cell r="H107">
            <v>50</v>
          </cell>
          <cell r="I107">
            <v>2</v>
          </cell>
          <cell r="J107">
            <v>4</v>
          </cell>
          <cell r="K107">
            <v>1</v>
          </cell>
          <cell r="M107">
            <v>1</v>
          </cell>
          <cell r="P107">
            <v>1</v>
          </cell>
          <cell r="S107">
            <v>12</v>
          </cell>
          <cell r="T107">
            <v>19</v>
          </cell>
          <cell r="U107">
            <v>0</v>
          </cell>
          <cell r="Y107">
            <v>96</v>
          </cell>
        </row>
        <row r="108">
          <cell r="F108">
            <v>0</v>
          </cell>
          <cell r="G108">
            <v>3</v>
          </cell>
          <cell r="H108">
            <v>28</v>
          </cell>
          <cell r="I108">
            <v>0</v>
          </cell>
          <cell r="J108">
            <v>7</v>
          </cell>
          <cell r="K108">
            <v>0</v>
          </cell>
          <cell r="M108">
            <v>3</v>
          </cell>
          <cell r="P108">
            <v>0</v>
          </cell>
          <cell r="S108">
            <v>1</v>
          </cell>
          <cell r="T108">
            <v>12</v>
          </cell>
          <cell r="U108">
            <v>2</v>
          </cell>
          <cell r="Y108">
            <v>56</v>
          </cell>
        </row>
        <row r="109">
          <cell r="F109">
            <v>0</v>
          </cell>
          <cell r="G109">
            <v>1</v>
          </cell>
          <cell r="H109">
            <v>20</v>
          </cell>
          <cell r="I109">
            <v>0</v>
          </cell>
          <cell r="J109">
            <v>1</v>
          </cell>
          <cell r="K109">
            <v>0</v>
          </cell>
          <cell r="M109">
            <v>0</v>
          </cell>
          <cell r="P109">
            <v>5</v>
          </cell>
          <cell r="S109">
            <v>6</v>
          </cell>
          <cell r="T109">
            <v>12</v>
          </cell>
          <cell r="U109">
            <v>1</v>
          </cell>
          <cell r="Y109">
            <v>46</v>
          </cell>
        </row>
        <row r="110">
          <cell r="F110">
            <v>0</v>
          </cell>
          <cell r="G110">
            <v>0</v>
          </cell>
          <cell r="H110">
            <v>2</v>
          </cell>
          <cell r="I110">
            <v>0</v>
          </cell>
          <cell r="J110">
            <v>0</v>
          </cell>
          <cell r="K110">
            <v>0</v>
          </cell>
          <cell r="M110">
            <v>0</v>
          </cell>
          <cell r="P110">
            <v>0</v>
          </cell>
          <cell r="S110">
            <v>0</v>
          </cell>
          <cell r="T110">
            <v>4</v>
          </cell>
          <cell r="U110">
            <v>0</v>
          </cell>
          <cell r="Y110">
            <v>6</v>
          </cell>
        </row>
        <row r="111">
          <cell r="F111">
            <v>2</v>
          </cell>
          <cell r="G111">
            <v>4</v>
          </cell>
          <cell r="H111">
            <v>18</v>
          </cell>
          <cell r="I111">
            <v>2</v>
          </cell>
          <cell r="J111">
            <v>8</v>
          </cell>
          <cell r="K111">
            <v>1</v>
          </cell>
          <cell r="M111">
            <v>4</v>
          </cell>
          <cell r="P111">
            <v>1</v>
          </cell>
          <cell r="S111">
            <v>7</v>
          </cell>
          <cell r="T111">
            <v>15</v>
          </cell>
          <cell r="U111">
            <v>0</v>
          </cell>
          <cell r="Y111">
            <v>62</v>
          </cell>
        </row>
        <row r="112">
          <cell r="F112">
            <v>12</v>
          </cell>
          <cell r="G112">
            <v>5</v>
          </cell>
          <cell r="H112">
            <v>33</v>
          </cell>
          <cell r="I112">
            <v>16</v>
          </cell>
          <cell r="J112">
            <v>19</v>
          </cell>
          <cell r="K112">
            <v>0</v>
          </cell>
          <cell r="M112">
            <v>24</v>
          </cell>
          <cell r="P112">
            <v>13</v>
          </cell>
          <cell r="S112">
            <v>20</v>
          </cell>
          <cell r="T112">
            <v>66</v>
          </cell>
          <cell r="U112">
            <v>4</v>
          </cell>
          <cell r="Y112">
            <v>212</v>
          </cell>
        </row>
        <row r="113">
          <cell r="F113">
            <v>7</v>
          </cell>
          <cell r="G113">
            <v>6</v>
          </cell>
          <cell r="H113">
            <v>22</v>
          </cell>
          <cell r="I113">
            <v>5</v>
          </cell>
          <cell r="J113">
            <v>23</v>
          </cell>
          <cell r="K113">
            <v>0</v>
          </cell>
          <cell r="M113">
            <v>18</v>
          </cell>
          <cell r="P113">
            <v>20</v>
          </cell>
          <cell r="S113">
            <v>11</v>
          </cell>
          <cell r="T113">
            <v>39</v>
          </cell>
          <cell r="U113">
            <v>0</v>
          </cell>
          <cell r="Y113">
            <v>151</v>
          </cell>
        </row>
        <row r="114">
          <cell r="F114">
            <v>0</v>
          </cell>
          <cell r="G114">
            <v>1</v>
          </cell>
          <cell r="H114">
            <v>1</v>
          </cell>
          <cell r="I114">
            <v>0</v>
          </cell>
          <cell r="J114">
            <v>2</v>
          </cell>
          <cell r="K114">
            <v>0</v>
          </cell>
          <cell r="M114">
            <v>2</v>
          </cell>
          <cell r="P114">
            <v>0</v>
          </cell>
          <cell r="S114">
            <v>6</v>
          </cell>
          <cell r="T114">
            <v>6</v>
          </cell>
          <cell r="U114">
            <v>0</v>
          </cell>
          <cell r="Y114">
            <v>18</v>
          </cell>
        </row>
        <row r="115">
          <cell r="F115">
            <v>3</v>
          </cell>
          <cell r="G115">
            <v>4</v>
          </cell>
          <cell r="H115">
            <v>15</v>
          </cell>
          <cell r="I115">
            <v>2</v>
          </cell>
          <cell r="J115">
            <v>22</v>
          </cell>
          <cell r="K115">
            <v>0</v>
          </cell>
          <cell r="M115">
            <v>15</v>
          </cell>
          <cell r="P115">
            <v>18</v>
          </cell>
          <cell r="S115">
            <v>10</v>
          </cell>
          <cell r="T115">
            <v>20</v>
          </cell>
          <cell r="U115">
            <v>2</v>
          </cell>
          <cell r="Y115">
            <v>111</v>
          </cell>
        </row>
        <row r="116">
          <cell r="F116">
            <v>3</v>
          </cell>
          <cell r="G116">
            <v>3</v>
          </cell>
          <cell r="H116">
            <v>9</v>
          </cell>
          <cell r="I116">
            <v>1</v>
          </cell>
          <cell r="J116">
            <v>19</v>
          </cell>
          <cell r="K116">
            <v>0</v>
          </cell>
          <cell r="M116">
            <v>9</v>
          </cell>
          <cell r="P116">
            <v>3</v>
          </cell>
          <cell r="S116">
            <v>13</v>
          </cell>
          <cell r="T116">
            <v>12</v>
          </cell>
          <cell r="U116">
            <v>0</v>
          </cell>
          <cell r="Y116">
            <v>72</v>
          </cell>
        </row>
        <row r="117">
          <cell r="F117">
            <v>0</v>
          </cell>
          <cell r="G117">
            <v>1</v>
          </cell>
          <cell r="H117">
            <v>2</v>
          </cell>
          <cell r="I117">
            <v>1</v>
          </cell>
          <cell r="J117">
            <v>0</v>
          </cell>
          <cell r="K117">
            <v>1</v>
          </cell>
          <cell r="M117">
            <v>0</v>
          </cell>
          <cell r="P117">
            <v>3</v>
          </cell>
          <cell r="S117">
            <v>0</v>
          </cell>
          <cell r="T117">
            <v>4</v>
          </cell>
          <cell r="U117">
            <v>0</v>
          </cell>
          <cell r="Y117">
            <v>12</v>
          </cell>
        </row>
        <row r="118">
          <cell r="F118">
            <v>1</v>
          </cell>
          <cell r="G118">
            <v>1</v>
          </cell>
          <cell r="H118">
            <v>5</v>
          </cell>
          <cell r="I118">
            <v>1</v>
          </cell>
          <cell r="J118">
            <v>4</v>
          </cell>
          <cell r="K118">
            <v>0</v>
          </cell>
          <cell r="M118">
            <v>1</v>
          </cell>
          <cell r="P118">
            <v>1</v>
          </cell>
          <cell r="S118">
            <v>1</v>
          </cell>
          <cell r="T118">
            <v>4</v>
          </cell>
          <cell r="U118">
            <v>0</v>
          </cell>
          <cell r="Y118">
            <v>19</v>
          </cell>
        </row>
        <row r="119">
          <cell r="F119">
            <v>0</v>
          </cell>
          <cell r="G119">
            <v>2</v>
          </cell>
          <cell r="H119">
            <v>0</v>
          </cell>
          <cell r="I119">
            <v>0</v>
          </cell>
          <cell r="J119">
            <v>0</v>
          </cell>
          <cell r="K119">
            <v>0</v>
          </cell>
          <cell r="M119">
            <v>1</v>
          </cell>
          <cell r="P119">
            <v>1</v>
          </cell>
          <cell r="S119">
            <v>0</v>
          </cell>
          <cell r="T119">
            <v>0</v>
          </cell>
          <cell r="U119">
            <v>0</v>
          </cell>
          <cell r="Y119">
            <v>4</v>
          </cell>
        </row>
        <row r="120">
          <cell r="F120">
            <v>0</v>
          </cell>
          <cell r="G120">
            <v>1</v>
          </cell>
          <cell r="H120">
            <v>0</v>
          </cell>
          <cell r="I120">
            <v>0</v>
          </cell>
          <cell r="J120">
            <v>3</v>
          </cell>
          <cell r="K120">
            <v>0</v>
          </cell>
          <cell r="M120">
            <v>0</v>
          </cell>
          <cell r="P120">
            <v>3</v>
          </cell>
          <cell r="S120">
            <v>1</v>
          </cell>
          <cell r="T120">
            <v>1</v>
          </cell>
          <cell r="U120">
            <v>0</v>
          </cell>
          <cell r="Y120">
            <v>9</v>
          </cell>
        </row>
        <row r="121">
          <cell r="F121">
            <v>0</v>
          </cell>
          <cell r="G121">
            <v>0</v>
          </cell>
          <cell r="H121">
            <v>0</v>
          </cell>
          <cell r="I121">
            <v>0</v>
          </cell>
          <cell r="J121">
            <v>0</v>
          </cell>
          <cell r="K121">
            <v>0</v>
          </cell>
          <cell r="M121">
            <v>0</v>
          </cell>
          <cell r="P121">
            <v>0</v>
          </cell>
          <cell r="S121">
            <v>0</v>
          </cell>
          <cell r="T121">
            <v>0</v>
          </cell>
          <cell r="U121">
            <v>0</v>
          </cell>
          <cell r="Y121">
            <v>0</v>
          </cell>
        </row>
        <row r="122">
          <cell r="F122">
            <v>0</v>
          </cell>
          <cell r="G122">
            <v>2</v>
          </cell>
          <cell r="H122">
            <v>0</v>
          </cell>
          <cell r="I122">
            <v>3</v>
          </cell>
          <cell r="J122">
            <v>1</v>
          </cell>
          <cell r="K122">
            <v>0</v>
          </cell>
          <cell r="M122">
            <v>2</v>
          </cell>
          <cell r="P122">
            <v>3</v>
          </cell>
          <cell r="S122">
            <v>0</v>
          </cell>
          <cell r="T122">
            <v>8</v>
          </cell>
          <cell r="U122">
            <v>2</v>
          </cell>
          <cell r="Y122">
            <v>21</v>
          </cell>
        </row>
        <row r="123">
          <cell r="F123">
            <v>3</v>
          </cell>
          <cell r="G123">
            <v>13</v>
          </cell>
          <cell r="H123">
            <v>8</v>
          </cell>
          <cell r="I123">
            <v>7</v>
          </cell>
          <cell r="J123">
            <v>11</v>
          </cell>
          <cell r="K123">
            <v>0</v>
          </cell>
          <cell r="M123">
            <v>3</v>
          </cell>
          <cell r="P123">
            <v>11</v>
          </cell>
          <cell r="S123">
            <v>10</v>
          </cell>
          <cell r="T123">
            <v>42</v>
          </cell>
          <cell r="U123">
            <v>20</v>
          </cell>
          <cell r="Y123">
            <v>128</v>
          </cell>
        </row>
        <row r="124">
          <cell r="F124">
            <v>2</v>
          </cell>
          <cell r="G124">
            <v>11</v>
          </cell>
          <cell r="H124">
            <v>17</v>
          </cell>
          <cell r="I124">
            <v>7</v>
          </cell>
          <cell r="J124">
            <v>15</v>
          </cell>
          <cell r="K124">
            <v>0</v>
          </cell>
          <cell r="M124">
            <v>6</v>
          </cell>
          <cell r="P124">
            <v>16</v>
          </cell>
          <cell r="S124">
            <v>4</v>
          </cell>
          <cell r="T124">
            <v>30</v>
          </cell>
          <cell r="U124">
            <v>2</v>
          </cell>
          <cell r="Y124">
            <v>110</v>
          </cell>
        </row>
        <row r="125">
          <cell r="F125">
            <v>0</v>
          </cell>
          <cell r="G125">
            <v>1</v>
          </cell>
          <cell r="H125">
            <v>0</v>
          </cell>
          <cell r="I125">
            <v>0</v>
          </cell>
          <cell r="J125">
            <v>0</v>
          </cell>
          <cell r="K125">
            <v>0</v>
          </cell>
          <cell r="M125">
            <v>1</v>
          </cell>
          <cell r="P125">
            <v>1</v>
          </cell>
          <cell r="S125">
            <v>0</v>
          </cell>
          <cell r="T125">
            <v>0</v>
          </cell>
          <cell r="U125">
            <v>0</v>
          </cell>
          <cell r="Y125">
            <v>3</v>
          </cell>
        </row>
        <row r="126">
          <cell r="F126">
            <v>0</v>
          </cell>
          <cell r="G126">
            <v>3</v>
          </cell>
          <cell r="H126">
            <v>7</v>
          </cell>
          <cell r="I126">
            <v>3</v>
          </cell>
          <cell r="J126">
            <v>10</v>
          </cell>
          <cell r="K126">
            <v>1</v>
          </cell>
          <cell r="M126">
            <v>2</v>
          </cell>
          <cell r="P126">
            <v>10</v>
          </cell>
          <cell r="S126">
            <v>2</v>
          </cell>
          <cell r="T126">
            <v>12</v>
          </cell>
          <cell r="U126">
            <v>3</v>
          </cell>
          <cell r="Y126">
            <v>53</v>
          </cell>
        </row>
        <row r="127">
          <cell r="F127">
            <v>1</v>
          </cell>
          <cell r="G127">
            <v>6</v>
          </cell>
          <cell r="H127">
            <v>5</v>
          </cell>
          <cell r="I127">
            <v>1</v>
          </cell>
          <cell r="J127">
            <v>10</v>
          </cell>
          <cell r="K127">
            <v>0</v>
          </cell>
          <cell r="M127">
            <v>1</v>
          </cell>
          <cell r="P127">
            <v>3</v>
          </cell>
          <cell r="S127">
            <v>2</v>
          </cell>
          <cell r="T127">
            <v>6</v>
          </cell>
          <cell r="U127">
            <v>0</v>
          </cell>
          <cell r="Y127">
            <v>35</v>
          </cell>
        </row>
        <row r="128">
          <cell r="F128">
            <v>0</v>
          </cell>
          <cell r="G128">
            <v>3</v>
          </cell>
          <cell r="H128">
            <v>0</v>
          </cell>
          <cell r="I128">
            <v>1</v>
          </cell>
          <cell r="J128">
            <v>1</v>
          </cell>
          <cell r="K128">
            <v>0</v>
          </cell>
          <cell r="M128">
            <v>0</v>
          </cell>
          <cell r="P128">
            <v>2</v>
          </cell>
          <cell r="S128">
            <v>0</v>
          </cell>
          <cell r="T128">
            <v>1</v>
          </cell>
          <cell r="U128">
            <v>2</v>
          </cell>
          <cell r="Y128">
            <v>10</v>
          </cell>
        </row>
        <row r="129">
          <cell r="F129">
            <v>0</v>
          </cell>
          <cell r="G129">
            <v>8</v>
          </cell>
          <cell r="H129">
            <v>3</v>
          </cell>
          <cell r="I129">
            <v>1</v>
          </cell>
          <cell r="J129">
            <v>2</v>
          </cell>
          <cell r="K129">
            <v>0</v>
          </cell>
          <cell r="M129">
            <v>0</v>
          </cell>
          <cell r="P129">
            <v>3</v>
          </cell>
          <cell r="S129">
            <v>2</v>
          </cell>
          <cell r="T129">
            <v>2</v>
          </cell>
          <cell r="U129">
            <v>0</v>
          </cell>
          <cell r="Y129">
            <v>21</v>
          </cell>
        </row>
        <row r="130">
          <cell r="F130">
            <v>0</v>
          </cell>
          <cell r="G130">
            <v>5</v>
          </cell>
          <cell r="H130">
            <v>0</v>
          </cell>
          <cell r="I130">
            <v>0</v>
          </cell>
          <cell r="J130">
            <v>2</v>
          </cell>
          <cell r="K130">
            <v>0</v>
          </cell>
          <cell r="M130">
            <v>0</v>
          </cell>
          <cell r="P130">
            <v>0</v>
          </cell>
          <cell r="S130">
            <v>4</v>
          </cell>
          <cell r="T130">
            <v>2</v>
          </cell>
          <cell r="U130">
            <v>0</v>
          </cell>
          <cell r="Y130">
            <v>13</v>
          </cell>
        </row>
        <row r="131">
          <cell r="F131">
            <v>1</v>
          </cell>
          <cell r="G131">
            <v>4</v>
          </cell>
          <cell r="H131">
            <v>0</v>
          </cell>
          <cell r="I131">
            <v>1</v>
          </cell>
          <cell r="J131">
            <v>1</v>
          </cell>
          <cell r="K131">
            <v>0</v>
          </cell>
          <cell r="M131">
            <v>1</v>
          </cell>
          <cell r="P131">
            <v>2</v>
          </cell>
          <cell r="S131">
            <v>0</v>
          </cell>
          <cell r="T131">
            <v>2</v>
          </cell>
          <cell r="U131">
            <v>0</v>
          </cell>
          <cell r="Y131">
            <v>12</v>
          </cell>
        </row>
        <row r="132">
          <cell r="F132">
            <v>0</v>
          </cell>
          <cell r="G132">
            <v>0</v>
          </cell>
          <cell r="H132">
            <v>0</v>
          </cell>
          <cell r="I132">
            <v>0</v>
          </cell>
          <cell r="J132">
            <v>0</v>
          </cell>
          <cell r="K132">
            <v>0</v>
          </cell>
          <cell r="M132">
            <v>0</v>
          </cell>
          <cell r="P132">
            <v>0</v>
          </cell>
          <cell r="S132">
            <v>0</v>
          </cell>
          <cell r="T132">
            <v>0</v>
          </cell>
          <cell r="U132">
            <v>0</v>
          </cell>
          <cell r="Y132">
            <v>0</v>
          </cell>
        </row>
        <row r="133">
          <cell r="F133">
            <v>32</v>
          </cell>
          <cell r="G133">
            <v>66</v>
          </cell>
          <cell r="H133">
            <v>161</v>
          </cell>
          <cell r="I133">
            <v>82</v>
          </cell>
          <cell r="J133">
            <v>236</v>
          </cell>
          <cell r="K133">
            <v>49</v>
          </cell>
          <cell r="M133">
            <v>70</v>
          </cell>
          <cell r="O133">
            <v>95</v>
          </cell>
          <cell r="P133">
            <v>49</v>
          </cell>
          <cell r="S133">
            <v>67</v>
          </cell>
          <cell r="T133">
            <v>368</v>
          </cell>
          <cell r="U133">
            <v>23</v>
          </cell>
          <cell r="Y133">
            <v>1298</v>
          </cell>
        </row>
        <row r="134">
          <cell r="F134">
            <v>264</v>
          </cell>
          <cell r="G134">
            <v>484</v>
          </cell>
          <cell r="H134">
            <v>1489</v>
          </cell>
          <cell r="I134">
            <v>961</v>
          </cell>
          <cell r="J134">
            <v>2706</v>
          </cell>
          <cell r="K134">
            <v>328</v>
          </cell>
          <cell r="M134">
            <v>659</v>
          </cell>
          <cell r="O134">
            <v>1206</v>
          </cell>
          <cell r="P134">
            <v>546</v>
          </cell>
          <cell r="S134">
            <v>568</v>
          </cell>
          <cell r="T134">
            <v>3365</v>
          </cell>
          <cell r="U134">
            <v>303</v>
          </cell>
          <cell r="Y134">
            <v>12879</v>
          </cell>
        </row>
        <row r="135">
          <cell r="F135">
            <v>334</v>
          </cell>
          <cell r="G135">
            <v>595</v>
          </cell>
          <cell r="H135">
            <v>1645</v>
          </cell>
          <cell r="I135">
            <v>1314</v>
          </cell>
          <cell r="J135">
            <v>3126</v>
          </cell>
          <cell r="K135">
            <v>394</v>
          </cell>
          <cell r="M135">
            <v>869</v>
          </cell>
          <cell r="O135">
            <v>1380</v>
          </cell>
          <cell r="P135">
            <v>538</v>
          </cell>
          <cell r="S135">
            <v>691</v>
          </cell>
          <cell r="T135">
            <v>3327</v>
          </cell>
          <cell r="U135">
            <v>395</v>
          </cell>
          <cell r="Y135">
            <v>14608</v>
          </cell>
        </row>
        <row r="136">
          <cell r="F136">
            <v>174</v>
          </cell>
          <cell r="G136">
            <v>386</v>
          </cell>
          <cell r="H136">
            <v>1012</v>
          </cell>
          <cell r="I136">
            <v>926</v>
          </cell>
          <cell r="J136">
            <v>2005</v>
          </cell>
          <cell r="K136">
            <v>259</v>
          </cell>
          <cell r="M136">
            <v>561</v>
          </cell>
          <cell r="O136">
            <v>887</v>
          </cell>
          <cell r="P136">
            <v>361</v>
          </cell>
          <cell r="S136">
            <v>283</v>
          </cell>
          <cell r="T136">
            <v>1994</v>
          </cell>
          <cell r="U136">
            <v>246</v>
          </cell>
          <cell r="Y136">
            <v>9094</v>
          </cell>
        </row>
        <row r="137">
          <cell r="F137">
            <v>49</v>
          </cell>
          <cell r="G137">
            <v>132</v>
          </cell>
          <cell r="H137">
            <v>222</v>
          </cell>
          <cell r="I137">
            <v>237</v>
          </cell>
          <cell r="J137">
            <v>736</v>
          </cell>
          <cell r="K137">
            <v>139</v>
          </cell>
          <cell r="M137">
            <v>163</v>
          </cell>
          <cell r="O137">
            <v>354</v>
          </cell>
          <cell r="P137">
            <v>102</v>
          </cell>
          <cell r="S137">
            <v>104</v>
          </cell>
          <cell r="T137">
            <v>531</v>
          </cell>
          <cell r="U137">
            <v>54</v>
          </cell>
          <cell r="Y137">
            <v>2823</v>
          </cell>
        </row>
        <row r="138">
          <cell r="F138">
            <v>0</v>
          </cell>
          <cell r="G138">
            <v>2</v>
          </cell>
          <cell r="H138">
            <v>1</v>
          </cell>
          <cell r="I138">
            <v>0</v>
          </cell>
          <cell r="J138">
            <v>7</v>
          </cell>
          <cell r="K138">
            <v>1</v>
          </cell>
          <cell r="M138">
            <v>0</v>
          </cell>
          <cell r="O138">
            <v>1</v>
          </cell>
          <cell r="P138">
            <v>2</v>
          </cell>
          <cell r="S138">
            <v>3</v>
          </cell>
          <cell r="T138">
            <v>6</v>
          </cell>
          <cell r="U138">
            <v>3</v>
          </cell>
          <cell r="Y138">
            <v>26</v>
          </cell>
        </row>
        <row r="139">
          <cell r="F139">
            <v>20</v>
          </cell>
          <cell r="G139">
            <v>19</v>
          </cell>
          <cell r="H139">
            <v>49</v>
          </cell>
          <cell r="I139">
            <v>33</v>
          </cell>
          <cell r="J139">
            <v>54</v>
          </cell>
          <cell r="K139">
            <v>3</v>
          </cell>
          <cell r="M139">
            <v>32</v>
          </cell>
          <cell r="O139">
            <v>25</v>
          </cell>
          <cell r="P139">
            <v>18</v>
          </cell>
          <cell r="S139">
            <v>29</v>
          </cell>
          <cell r="T139">
            <v>150</v>
          </cell>
          <cell r="U139">
            <v>10</v>
          </cell>
          <cell r="Y139">
            <v>442</v>
          </cell>
        </row>
        <row r="140">
          <cell r="F140">
            <v>3</v>
          </cell>
          <cell r="G140">
            <v>23</v>
          </cell>
          <cell r="H140">
            <v>36</v>
          </cell>
          <cell r="I140">
            <v>21</v>
          </cell>
          <cell r="J140">
            <v>42</v>
          </cell>
          <cell r="K140">
            <v>14</v>
          </cell>
          <cell r="M140">
            <v>12</v>
          </cell>
          <cell r="O140">
            <v>18</v>
          </cell>
          <cell r="P140">
            <v>18</v>
          </cell>
          <cell r="S140">
            <v>10</v>
          </cell>
          <cell r="T140">
            <v>91</v>
          </cell>
          <cell r="U140">
            <v>5</v>
          </cell>
          <cell r="Y140">
            <v>293</v>
          </cell>
        </row>
        <row r="141">
          <cell r="F141">
            <v>0</v>
          </cell>
          <cell r="G141">
            <v>0</v>
          </cell>
          <cell r="H141">
            <v>5</v>
          </cell>
          <cell r="I141">
            <v>2</v>
          </cell>
          <cell r="J141">
            <v>0</v>
          </cell>
          <cell r="K141">
            <v>1</v>
          </cell>
          <cell r="M141">
            <v>0</v>
          </cell>
          <cell r="O141">
            <v>2</v>
          </cell>
          <cell r="P141">
            <v>0</v>
          </cell>
          <cell r="S141">
            <v>4</v>
          </cell>
          <cell r="T141">
            <v>0</v>
          </cell>
          <cell r="U141">
            <v>0</v>
          </cell>
          <cell r="Y141">
            <v>14</v>
          </cell>
        </row>
        <row r="142">
          <cell r="F142">
            <v>1</v>
          </cell>
          <cell r="G142">
            <v>4</v>
          </cell>
          <cell r="H142">
            <v>27</v>
          </cell>
          <cell r="I142">
            <v>0</v>
          </cell>
          <cell r="J142">
            <v>46</v>
          </cell>
          <cell r="K142">
            <v>12</v>
          </cell>
          <cell r="M142">
            <v>6</v>
          </cell>
          <cell r="O142">
            <v>4</v>
          </cell>
          <cell r="P142">
            <v>1</v>
          </cell>
          <cell r="S142">
            <v>7</v>
          </cell>
          <cell r="T142">
            <v>25</v>
          </cell>
          <cell r="U142">
            <v>2</v>
          </cell>
          <cell r="Y142">
            <v>135</v>
          </cell>
        </row>
        <row r="143">
          <cell r="F143">
            <v>3</v>
          </cell>
          <cell r="G143">
            <v>9</v>
          </cell>
          <cell r="H143">
            <v>7</v>
          </cell>
          <cell r="I143">
            <v>2</v>
          </cell>
          <cell r="J143">
            <v>32</v>
          </cell>
          <cell r="K143">
            <v>6</v>
          </cell>
          <cell r="M143">
            <v>4</v>
          </cell>
          <cell r="O143">
            <v>16</v>
          </cell>
          <cell r="P143">
            <v>1</v>
          </cell>
          <cell r="S143">
            <v>2</v>
          </cell>
          <cell r="T143">
            <v>47</v>
          </cell>
          <cell r="U143">
            <v>0</v>
          </cell>
          <cell r="Y143">
            <v>129</v>
          </cell>
        </row>
        <row r="144">
          <cell r="F144">
            <v>0</v>
          </cell>
          <cell r="G144">
            <v>1</v>
          </cell>
          <cell r="H144">
            <v>4</v>
          </cell>
          <cell r="I144">
            <v>12</v>
          </cell>
          <cell r="J144">
            <v>5</v>
          </cell>
          <cell r="K144">
            <v>7</v>
          </cell>
          <cell r="M144">
            <v>0</v>
          </cell>
          <cell r="O144">
            <v>8</v>
          </cell>
          <cell r="P144">
            <v>3</v>
          </cell>
          <cell r="S144">
            <v>3</v>
          </cell>
          <cell r="T144">
            <v>3</v>
          </cell>
          <cell r="U144">
            <v>0</v>
          </cell>
          <cell r="Y144">
            <v>46</v>
          </cell>
        </row>
        <row r="145">
          <cell r="F145">
            <v>4</v>
          </cell>
          <cell r="G145">
            <v>4</v>
          </cell>
          <cell r="H145">
            <v>16</v>
          </cell>
          <cell r="I145">
            <v>6</v>
          </cell>
          <cell r="J145">
            <v>9</v>
          </cell>
          <cell r="K145">
            <v>1</v>
          </cell>
          <cell r="M145">
            <v>2</v>
          </cell>
          <cell r="O145">
            <v>13</v>
          </cell>
          <cell r="P145">
            <v>2</v>
          </cell>
          <cell r="S145">
            <v>1</v>
          </cell>
          <cell r="T145">
            <v>12</v>
          </cell>
          <cell r="U145">
            <v>1</v>
          </cell>
          <cell r="Y145">
            <v>71</v>
          </cell>
        </row>
        <row r="146">
          <cell r="F146">
            <v>0</v>
          </cell>
          <cell r="G146">
            <v>3</v>
          </cell>
          <cell r="H146">
            <v>7</v>
          </cell>
          <cell r="I146">
            <v>4</v>
          </cell>
          <cell r="J146">
            <v>11</v>
          </cell>
          <cell r="K146">
            <v>1</v>
          </cell>
          <cell r="M146">
            <v>3</v>
          </cell>
          <cell r="O146">
            <v>5</v>
          </cell>
          <cell r="P146">
            <v>2</v>
          </cell>
          <cell r="S146">
            <v>1</v>
          </cell>
          <cell r="T146">
            <v>14</v>
          </cell>
          <cell r="U146">
            <v>1</v>
          </cell>
          <cell r="Y146">
            <v>52</v>
          </cell>
        </row>
        <row r="147">
          <cell r="F147">
            <v>0</v>
          </cell>
          <cell r="G147">
            <v>0</v>
          </cell>
          <cell r="H147">
            <v>3</v>
          </cell>
          <cell r="I147">
            <v>1</v>
          </cell>
          <cell r="J147">
            <v>3</v>
          </cell>
          <cell r="K147">
            <v>0</v>
          </cell>
          <cell r="M147">
            <v>0</v>
          </cell>
          <cell r="O147">
            <v>0</v>
          </cell>
          <cell r="P147">
            <v>1</v>
          </cell>
          <cell r="S147">
            <v>0</v>
          </cell>
          <cell r="T147">
            <v>5</v>
          </cell>
          <cell r="U147">
            <v>1</v>
          </cell>
          <cell r="Y147">
            <v>14</v>
          </cell>
        </row>
        <row r="148">
          <cell r="F148">
            <v>0</v>
          </cell>
          <cell r="G148">
            <v>0</v>
          </cell>
          <cell r="H148">
            <v>3</v>
          </cell>
          <cell r="I148">
            <v>1</v>
          </cell>
          <cell r="J148">
            <v>0</v>
          </cell>
          <cell r="K148">
            <v>0</v>
          </cell>
          <cell r="M148">
            <v>0</v>
          </cell>
          <cell r="O148">
            <v>1</v>
          </cell>
          <cell r="P148">
            <v>0</v>
          </cell>
          <cell r="S148">
            <v>0</v>
          </cell>
          <cell r="T148">
            <v>2</v>
          </cell>
          <cell r="U148">
            <v>0</v>
          </cell>
          <cell r="Y148">
            <v>7</v>
          </cell>
        </row>
        <row r="149">
          <cell r="F149">
            <v>49</v>
          </cell>
          <cell r="G149">
            <v>63</v>
          </cell>
          <cell r="H149">
            <v>188</v>
          </cell>
          <cell r="I149">
            <v>118</v>
          </cell>
          <cell r="J149">
            <v>394</v>
          </cell>
          <cell r="K149">
            <v>44</v>
          </cell>
          <cell r="M149">
            <v>59</v>
          </cell>
          <cell r="O149">
            <v>186</v>
          </cell>
          <cell r="P149">
            <v>84</v>
          </cell>
          <cell r="S149">
            <v>80</v>
          </cell>
          <cell r="T149">
            <v>415</v>
          </cell>
          <cell r="U149">
            <v>40</v>
          </cell>
          <cell r="Y149">
            <v>1720</v>
          </cell>
        </row>
        <row r="150">
          <cell r="F150">
            <v>118</v>
          </cell>
          <cell r="G150">
            <v>167</v>
          </cell>
          <cell r="H150">
            <v>409</v>
          </cell>
          <cell r="I150">
            <v>339</v>
          </cell>
          <cell r="J150">
            <v>528</v>
          </cell>
          <cell r="K150">
            <v>48</v>
          </cell>
          <cell r="M150">
            <v>193</v>
          </cell>
          <cell r="O150">
            <v>427</v>
          </cell>
          <cell r="P150">
            <v>129</v>
          </cell>
          <cell r="S150">
            <v>167</v>
          </cell>
          <cell r="T150">
            <v>1194</v>
          </cell>
          <cell r="U150">
            <v>146</v>
          </cell>
          <cell r="Y150">
            <v>3865</v>
          </cell>
        </row>
        <row r="151">
          <cell r="F151">
            <v>26</v>
          </cell>
          <cell r="G151">
            <v>103</v>
          </cell>
          <cell r="H151">
            <v>400</v>
          </cell>
          <cell r="I151">
            <v>194</v>
          </cell>
          <cell r="J151">
            <v>547</v>
          </cell>
          <cell r="K151">
            <v>73</v>
          </cell>
          <cell r="M151">
            <v>132</v>
          </cell>
          <cell r="O151">
            <v>161</v>
          </cell>
          <cell r="P151">
            <v>172</v>
          </cell>
          <cell r="S151">
            <v>99</v>
          </cell>
          <cell r="T151">
            <v>732</v>
          </cell>
          <cell r="U151">
            <v>28</v>
          </cell>
          <cell r="Y151">
            <v>2667</v>
          </cell>
        </row>
        <row r="152">
          <cell r="F152">
            <v>1</v>
          </cell>
          <cell r="G152">
            <v>11</v>
          </cell>
          <cell r="H152">
            <v>41</v>
          </cell>
          <cell r="I152">
            <v>11</v>
          </cell>
          <cell r="J152">
            <v>22</v>
          </cell>
          <cell r="K152">
            <v>1</v>
          </cell>
          <cell r="M152">
            <v>11</v>
          </cell>
          <cell r="O152">
            <v>25</v>
          </cell>
          <cell r="P152">
            <v>8</v>
          </cell>
          <cell r="S152">
            <v>21</v>
          </cell>
          <cell r="T152">
            <v>80</v>
          </cell>
          <cell r="U152">
            <v>3</v>
          </cell>
          <cell r="Y152">
            <v>235</v>
          </cell>
        </row>
        <row r="153">
          <cell r="F153">
            <v>36</v>
          </cell>
          <cell r="G153">
            <v>35</v>
          </cell>
          <cell r="H153">
            <v>212</v>
          </cell>
          <cell r="I153">
            <v>114</v>
          </cell>
          <cell r="J153">
            <v>610</v>
          </cell>
          <cell r="K153">
            <v>45</v>
          </cell>
          <cell r="M153">
            <v>86</v>
          </cell>
          <cell r="O153">
            <v>146</v>
          </cell>
          <cell r="P153">
            <v>68</v>
          </cell>
          <cell r="S153">
            <v>41</v>
          </cell>
          <cell r="T153">
            <v>439</v>
          </cell>
          <cell r="U153">
            <v>43</v>
          </cell>
          <cell r="Y153">
            <v>1875</v>
          </cell>
        </row>
        <row r="154">
          <cell r="F154">
            <v>15</v>
          </cell>
          <cell r="G154">
            <v>38</v>
          </cell>
          <cell r="H154">
            <v>49</v>
          </cell>
          <cell r="I154">
            <v>29</v>
          </cell>
          <cell r="J154">
            <v>220</v>
          </cell>
          <cell r="K154">
            <v>14</v>
          </cell>
          <cell r="M154">
            <v>53</v>
          </cell>
          <cell r="O154">
            <v>98</v>
          </cell>
          <cell r="P154">
            <v>28</v>
          </cell>
          <cell r="S154">
            <v>58</v>
          </cell>
          <cell r="T154">
            <v>162</v>
          </cell>
          <cell r="U154">
            <v>5</v>
          </cell>
          <cell r="Y154">
            <v>769</v>
          </cell>
        </row>
        <row r="155">
          <cell r="F155">
            <v>1</v>
          </cell>
          <cell r="G155">
            <v>8</v>
          </cell>
          <cell r="H155">
            <v>23</v>
          </cell>
          <cell r="I155">
            <v>54</v>
          </cell>
          <cell r="J155">
            <v>34</v>
          </cell>
          <cell r="K155">
            <v>3</v>
          </cell>
          <cell r="M155">
            <v>7</v>
          </cell>
          <cell r="O155">
            <v>24</v>
          </cell>
          <cell r="P155">
            <v>11</v>
          </cell>
          <cell r="S155">
            <v>15</v>
          </cell>
          <cell r="T155">
            <v>37</v>
          </cell>
          <cell r="U155">
            <v>6</v>
          </cell>
          <cell r="Y155">
            <v>223</v>
          </cell>
        </row>
        <row r="156">
          <cell r="F156">
            <v>10</v>
          </cell>
          <cell r="G156">
            <v>39</v>
          </cell>
          <cell r="H156">
            <v>95</v>
          </cell>
          <cell r="I156">
            <v>72</v>
          </cell>
          <cell r="J156">
            <v>189</v>
          </cell>
          <cell r="K156">
            <v>10</v>
          </cell>
          <cell r="M156">
            <v>21</v>
          </cell>
          <cell r="O156">
            <v>87</v>
          </cell>
          <cell r="P156">
            <v>24</v>
          </cell>
          <cell r="S156">
            <v>37</v>
          </cell>
          <cell r="T156">
            <v>116</v>
          </cell>
          <cell r="U156">
            <v>12</v>
          </cell>
          <cell r="Y156">
            <v>712</v>
          </cell>
        </row>
        <row r="157">
          <cell r="F157">
            <v>3</v>
          </cell>
          <cell r="G157">
            <v>12</v>
          </cell>
          <cell r="H157">
            <v>32</v>
          </cell>
          <cell r="I157">
            <v>22</v>
          </cell>
          <cell r="J157">
            <v>50</v>
          </cell>
          <cell r="K157">
            <v>9</v>
          </cell>
          <cell r="M157">
            <v>17</v>
          </cell>
          <cell r="O157">
            <v>22</v>
          </cell>
          <cell r="P157">
            <v>5</v>
          </cell>
          <cell r="S157">
            <v>15</v>
          </cell>
          <cell r="T157">
            <v>54</v>
          </cell>
          <cell r="U157">
            <v>8</v>
          </cell>
          <cell r="Y157">
            <v>249</v>
          </cell>
        </row>
        <row r="158">
          <cell r="F158">
            <v>2</v>
          </cell>
          <cell r="G158">
            <v>8</v>
          </cell>
          <cell r="H158">
            <v>23</v>
          </cell>
          <cell r="I158">
            <v>7</v>
          </cell>
          <cell r="J158">
            <v>44</v>
          </cell>
          <cell r="K158">
            <v>8</v>
          </cell>
          <cell r="M158">
            <v>9</v>
          </cell>
          <cell r="O158">
            <v>8</v>
          </cell>
          <cell r="P158">
            <v>10</v>
          </cell>
          <cell r="S158">
            <v>10</v>
          </cell>
          <cell r="T158">
            <v>32</v>
          </cell>
          <cell r="U158">
            <v>4</v>
          </cell>
          <cell r="Y158">
            <v>165</v>
          </cell>
        </row>
        <row r="159">
          <cell r="F159">
            <v>0</v>
          </cell>
          <cell r="G159">
            <v>0</v>
          </cell>
          <cell r="H159">
            <v>11</v>
          </cell>
          <cell r="I159">
            <v>1</v>
          </cell>
          <cell r="J159">
            <v>1</v>
          </cell>
          <cell r="K159">
            <v>0</v>
          </cell>
          <cell r="M159">
            <v>2</v>
          </cell>
          <cell r="O159">
            <v>0</v>
          </cell>
          <cell r="P159">
            <v>0</v>
          </cell>
          <cell r="S159">
            <v>1</v>
          </cell>
          <cell r="T159">
            <v>15</v>
          </cell>
          <cell r="U159">
            <v>0</v>
          </cell>
          <cell r="Y159">
            <v>31</v>
          </cell>
        </row>
        <row r="160">
          <cell r="F160">
            <v>89</v>
          </cell>
          <cell r="G160">
            <v>149</v>
          </cell>
          <cell r="H160">
            <v>285</v>
          </cell>
          <cell r="I160">
            <v>293</v>
          </cell>
          <cell r="J160">
            <v>802</v>
          </cell>
          <cell r="K160">
            <v>65</v>
          </cell>
          <cell r="M160">
            <v>165</v>
          </cell>
          <cell r="O160">
            <v>306</v>
          </cell>
          <cell r="P160">
            <v>133</v>
          </cell>
          <cell r="S160">
            <v>137</v>
          </cell>
          <cell r="T160">
            <v>590</v>
          </cell>
          <cell r="U160">
            <v>68</v>
          </cell>
          <cell r="Y160">
            <v>3082</v>
          </cell>
        </row>
        <row r="161">
          <cell r="F161">
            <v>104</v>
          </cell>
          <cell r="G161">
            <v>101</v>
          </cell>
          <cell r="H161">
            <v>445</v>
          </cell>
          <cell r="I161">
            <v>367</v>
          </cell>
          <cell r="J161">
            <v>467</v>
          </cell>
          <cell r="K161">
            <v>60</v>
          </cell>
          <cell r="M161">
            <v>276</v>
          </cell>
          <cell r="O161">
            <v>479</v>
          </cell>
          <cell r="P161">
            <v>113</v>
          </cell>
          <cell r="S161">
            <v>145</v>
          </cell>
          <cell r="T161">
            <v>1096</v>
          </cell>
          <cell r="U161">
            <v>173</v>
          </cell>
          <cell r="Y161">
            <v>3826</v>
          </cell>
        </row>
        <row r="162">
          <cell r="F162">
            <v>29</v>
          </cell>
          <cell r="G162">
            <v>69</v>
          </cell>
          <cell r="H162">
            <v>331</v>
          </cell>
          <cell r="I162">
            <v>277</v>
          </cell>
          <cell r="J162">
            <v>389</v>
          </cell>
          <cell r="K162">
            <v>87</v>
          </cell>
          <cell r="M162">
            <v>81</v>
          </cell>
          <cell r="O162">
            <v>135</v>
          </cell>
          <cell r="P162">
            <v>108</v>
          </cell>
          <cell r="S162">
            <v>79</v>
          </cell>
          <cell r="T162">
            <v>493</v>
          </cell>
          <cell r="U162">
            <v>14</v>
          </cell>
          <cell r="Y162">
            <v>2092</v>
          </cell>
        </row>
        <row r="163">
          <cell r="F163">
            <v>10</v>
          </cell>
          <cell r="G163">
            <v>54</v>
          </cell>
          <cell r="H163">
            <v>72</v>
          </cell>
          <cell r="I163">
            <v>49</v>
          </cell>
          <cell r="J163">
            <v>106</v>
          </cell>
          <cell r="K163">
            <v>4</v>
          </cell>
          <cell r="M163">
            <v>35</v>
          </cell>
          <cell r="O163">
            <v>32</v>
          </cell>
          <cell r="P163">
            <v>22</v>
          </cell>
          <cell r="S163">
            <v>29</v>
          </cell>
          <cell r="T163">
            <v>177</v>
          </cell>
          <cell r="U163">
            <v>36</v>
          </cell>
          <cell r="Y163">
            <v>626</v>
          </cell>
        </row>
        <row r="164">
          <cell r="F164">
            <v>58</v>
          </cell>
          <cell r="G164">
            <v>80</v>
          </cell>
          <cell r="H164">
            <v>280</v>
          </cell>
          <cell r="I164">
            <v>172</v>
          </cell>
          <cell r="J164">
            <v>844</v>
          </cell>
          <cell r="K164">
            <v>44</v>
          </cell>
          <cell r="M164">
            <v>151</v>
          </cell>
          <cell r="O164">
            <v>229</v>
          </cell>
          <cell r="P164">
            <v>72</v>
          </cell>
          <cell r="S164">
            <v>138</v>
          </cell>
          <cell r="T164">
            <v>520</v>
          </cell>
          <cell r="U164">
            <v>52</v>
          </cell>
          <cell r="Y164">
            <v>2640</v>
          </cell>
        </row>
        <row r="165">
          <cell r="F165">
            <v>14</v>
          </cell>
          <cell r="G165">
            <v>52</v>
          </cell>
          <cell r="H165">
            <v>41</v>
          </cell>
          <cell r="I165">
            <v>35</v>
          </cell>
          <cell r="J165">
            <v>152</v>
          </cell>
          <cell r="K165">
            <v>10</v>
          </cell>
          <cell r="M165">
            <v>55</v>
          </cell>
          <cell r="O165">
            <v>73</v>
          </cell>
          <cell r="P165">
            <v>23</v>
          </cell>
          <cell r="S165">
            <v>65</v>
          </cell>
          <cell r="T165">
            <v>149</v>
          </cell>
          <cell r="U165">
            <v>8</v>
          </cell>
          <cell r="Y165">
            <v>677</v>
          </cell>
        </row>
        <row r="166">
          <cell r="F166">
            <v>3</v>
          </cell>
          <cell r="G166">
            <v>15</v>
          </cell>
          <cell r="H166">
            <v>18</v>
          </cell>
          <cell r="I166">
            <v>23</v>
          </cell>
          <cell r="J166">
            <v>41</v>
          </cell>
          <cell r="K166">
            <v>1</v>
          </cell>
          <cell r="M166">
            <v>2</v>
          </cell>
          <cell r="O166">
            <v>20</v>
          </cell>
          <cell r="P166">
            <v>16</v>
          </cell>
          <cell r="S166">
            <v>10</v>
          </cell>
          <cell r="T166">
            <v>36</v>
          </cell>
          <cell r="U166">
            <v>6</v>
          </cell>
          <cell r="Y166">
            <v>191</v>
          </cell>
        </row>
        <row r="167">
          <cell r="F167">
            <v>13</v>
          </cell>
          <cell r="G167">
            <v>48</v>
          </cell>
          <cell r="H167">
            <v>97</v>
          </cell>
          <cell r="I167">
            <v>58</v>
          </cell>
          <cell r="J167">
            <v>173</v>
          </cell>
          <cell r="K167">
            <v>7</v>
          </cell>
          <cell r="M167">
            <v>25</v>
          </cell>
          <cell r="O167">
            <v>69</v>
          </cell>
          <cell r="P167">
            <v>29</v>
          </cell>
          <cell r="S167">
            <v>37</v>
          </cell>
          <cell r="T167">
            <v>121</v>
          </cell>
          <cell r="U167">
            <v>15</v>
          </cell>
          <cell r="Y167">
            <v>692</v>
          </cell>
        </row>
        <row r="168">
          <cell r="F168">
            <v>5</v>
          </cell>
          <cell r="G168">
            <v>14</v>
          </cell>
          <cell r="H168">
            <v>35</v>
          </cell>
          <cell r="I168">
            <v>25</v>
          </cell>
          <cell r="J168">
            <v>52</v>
          </cell>
          <cell r="K168">
            <v>4</v>
          </cell>
          <cell r="M168">
            <v>19</v>
          </cell>
          <cell r="O168">
            <v>13</v>
          </cell>
          <cell r="P168">
            <v>5</v>
          </cell>
          <cell r="S168">
            <v>16</v>
          </cell>
          <cell r="T168">
            <v>36</v>
          </cell>
          <cell r="U168">
            <v>17</v>
          </cell>
          <cell r="Y168">
            <v>241</v>
          </cell>
        </row>
        <row r="169">
          <cell r="F169">
            <v>5</v>
          </cell>
          <cell r="G169">
            <v>12</v>
          </cell>
          <cell r="H169">
            <v>30</v>
          </cell>
          <cell r="I169">
            <v>13</v>
          </cell>
          <cell r="J169">
            <v>52</v>
          </cell>
          <cell r="K169">
            <v>4</v>
          </cell>
          <cell r="M169">
            <v>4</v>
          </cell>
          <cell r="O169">
            <v>9</v>
          </cell>
          <cell r="P169">
            <v>14</v>
          </cell>
          <cell r="S169">
            <v>6</v>
          </cell>
          <cell r="T169">
            <v>42</v>
          </cell>
          <cell r="U169">
            <v>2</v>
          </cell>
          <cell r="Y169">
            <v>193</v>
          </cell>
        </row>
        <row r="170">
          <cell r="F170">
            <v>1</v>
          </cell>
          <cell r="G170">
            <v>0</v>
          </cell>
          <cell r="H170">
            <v>9</v>
          </cell>
          <cell r="I170">
            <v>2</v>
          </cell>
          <cell r="J170">
            <v>1</v>
          </cell>
          <cell r="K170">
            <v>0</v>
          </cell>
          <cell r="M170">
            <v>1</v>
          </cell>
          <cell r="O170">
            <v>1</v>
          </cell>
          <cell r="P170">
            <v>1</v>
          </cell>
          <cell r="S170">
            <v>5</v>
          </cell>
          <cell r="T170">
            <v>7</v>
          </cell>
          <cell r="U170">
            <v>0</v>
          </cell>
          <cell r="Y170">
            <v>28</v>
          </cell>
        </row>
        <row r="171">
          <cell r="F171">
            <v>24</v>
          </cell>
          <cell r="G171">
            <v>102</v>
          </cell>
          <cell r="H171">
            <v>155</v>
          </cell>
          <cell r="I171">
            <v>194</v>
          </cell>
          <cell r="J171">
            <v>490</v>
          </cell>
          <cell r="K171">
            <v>31</v>
          </cell>
          <cell r="M171">
            <v>108</v>
          </cell>
          <cell r="O171">
            <v>197</v>
          </cell>
          <cell r="P171">
            <v>100</v>
          </cell>
          <cell r="S171">
            <v>72</v>
          </cell>
          <cell r="T171">
            <v>341</v>
          </cell>
          <cell r="U171">
            <v>43</v>
          </cell>
          <cell r="Y171">
            <v>1857</v>
          </cell>
        </row>
        <row r="172">
          <cell r="F172">
            <v>59</v>
          </cell>
          <cell r="G172">
            <v>68</v>
          </cell>
          <cell r="H172">
            <v>303</v>
          </cell>
          <cell r="I172">
            <v>237</v>
          </cell>
          <cell r="J172">
            <v>202</v>
          </cell>
          <cell r="K172">
            <v>24</v>
          </cell>
          <cell r="M172">
            <v>168</v>
          </cell>
          <cell r="O172">
            <v>281</v>
          </cell>
          <cell r="P172">
            <v>44</v>
          </cell>
          <cell r="S172">
            <v>42</v>
          </cell>
          <cell r="T172">
            <v>642</v>
          </cell>
          <cell r="U172">
            <v>111</v>
          </cell>
          <cell r="Y172">
            <v>2181</v>
          </cell>
        </row>
        <row r="173">
          <cell r="F173">
            <v>29</v>
          </cell>
          <cell r="G173">
            <v>59</v>
          </cell>
          <cell r="H173">
            <v>165</v>
          </cell>
          <cell r="I173">
            <v>170</v>
          </cell>
          <cell r="J173">
            <v>248</v>
          </cell>
          <cell r="K173">
            <v>56</v>
          </cell>
          <cell r="M173">
            <v>47</v>
          </cell>
          <cell r="O173">
            <v>88</v>
          </cell>
          <cell r="P173">
            <v>73</v>
          </cell>
          <cell r="S173">
            <v>15</v>
          </cell>
          <cell r="T173">
            <v>321</v>
          </cell>
          <cell r="U173">
            <v>11</v>
          </cell>
          <cell r="Y173">
            <v>1282</v>
          </cell>
        </row>
        <row r="174">
          <cell r="F174">
            <v>5</v>
          </cell>
          <cell r="G174">
            <v>27</v>
          </cell>
          <cell r="H174">
            <v>40</v>
          </cell>
          <cell r="I174">
            <v>92</v>
          </cell>
          <cell r="J174">
            <v>66</v>
          </cell>
          <cell r="K174">
            <v>3</v>
          </cell>
          <cell r="M174">
            <v>24</v>
          </cell>
          <cell r="O174">
            <v>24</v>
          </cell>
          <cell r="P174">
            <v>18</v>
          </cell>
          <cell r="S174">
            <v>12</v>
          </cell>
          <cell r="T174">
            <v>106</v>
          </cell>
          <cell r="U174">
            <v>9</v>
          </cell>
          <cell r="Y174">
            <v>426</v>
          </cell>
        </row>
        <row r="175">
          <cell r="F175">
            <v>36</v>
          </cell>
          <cell r="G175">
            <v>44</v>
          </cell>
          <cell r="H175">
            <v>193</v>
          </cell>
          <cell r="I175">
            <v>112</v>
          </cell>
          <cell r="J175">
            <v>671</v>
          </cell>
          <cell r="K175">
            <v>7</v>
          </cell>
          <cell r="M175">
            <v>127</v>
          </cell>
          <cell r="O175">
            <v>123</v>
          </cell>
          <cell r="P175">
            <v>67</v>
          </cell>
          <cell r="S175">
            <v>69</v>
          </cell>
          <cell r="T175">
            <v>308</v>
          </cell>
          <cell r="U175">
            <v>37</v>
          </cell>
          <cell r="Y175">
            <v>1794</v>
          </cell>
        </row>
        <row r="176">
          <cell r="F176">
            <v>9</v>
          </cell>
          <cell r="G176">
            <v>39</v>
          </cell>
          <cell r="H176">
            <v>49</v>
          </cell>
          <cell r="I176">
            <v>43</v>
          </cell>
          <cell r="J176">
            <v>124</v>
          </cell>
          <cell r="K176">
            <v>1</v>
          </cell>
          <cell r="M176">
            <v>31</v>
          </cell>
          <cell r="O176">
            <v>72</v>
          </cell>
          <cell r="P176">
            <v>18</v>
          </cell>
          <cell r="S176">
            <v>32</v>
          </cell>
          <cell r="T176">
            <v>93</v>
          </cell>
          <cell r="U176">
            <v>8</v>
          </cell>
          <cell r="Y176">
            <v>519</v>
          </cell>
        </row>
        <row r="177">
          <cell r="F177">
            <v>1</v>
          </cell>
          <cell r="G177">
            <v>9</v>
          </cell>
          <cell r="H177">
            <v>9</v>
          </cell>
          <cell r="I177">
            <v>8</v>
          </cell>
          <cell r="J177">
            <v>35</v>
          </cell>
          <cell r="K177">
            <v>0</v>
          </cell>
          <cell r="M177">
            <v>4</v>
          </cell>
          <cell r="O177">
            <v>18</v>
          </cell>
          <cell r="P177">
            <v>5</v>
          </cell>
          <cell r="S177">
            <v>3</v>
          </cell>
          <cell r="T177">
            <v>23</v>
          </cell>
          <cell r="U177">
            <v>4</v>
          </cell>
          <cell r="Y177">
            <v>119</v>
          </cell>
        </row>
        <row r="178">
          <cell r="F178">
            <v>8</v>
          </cell>
          <cell r="G178">
            <v>22</v>
          </cell>
          <cell r="H178">
            <v>65</v>
          </cell>
          <cell r="I178">
            <v>52</v>
          </cell>
          <cell r="J178">
            <v>85</v>
          </cell>
          <cell r="K178">
            <v>5</v>
          </cell>
          <cell r="M178">
            <v>7</v>
          </cell>
          <cell r="O178">
            <v>50</v>
          </cell>
          <cell r="P178">
            <v>14</v>
          </cell>
          <cell r="S178">
            <v>18</v>
          </cell>
          <cell r="T178">
            <v>69</v>
          </cell>
          <cell r="U178">
            <v>9</v>
          </cell>
          <cell r="Y178">
            <v>404</v>
          </cell>
        </row>
        <row r="179">
          <cell r="F179">
            <v>0</v>
          </cell>
          <cell r="G179">
            <v>9</v>
          </cell>
          <cell r="H179">
            <v>17</v>
          </cell>
          <cell r="I179">
            <v>9</v>
          </cell>
          <cell r="J179">
            <v>40</v>
          </cell>
          <cell r="K179">
            <v>2</v>
          </cell>
          <cell r="M179">
            <v>10</v>
          </cell>
          <cell r="O179">
            <v>13</v>
          </cell>
          <cell r="P179">
            <v>9</v>
          </cell>
          <cell r="S179">
            <v>8</v>
          </cell>
          <cell r="T179">
            <v>29</v>
          </cell>
          <cell r="U179">
            <v>11</v>
          </cell>
          <cell r="Y179">
            <v>157</v>
          </cell>
        </row>
        <row r="180">
          <cell r="F180">
            <v>1</v>
          </cell>
          <cell r="G180">
            <v>7</v>
          </cell>
          <cell r="H180">
            <v>13</v>
          </cell>
          <cell r="I180">
            <v>6</v>
          </cell>
          <cell r="J180">
            <v>25</v>
          </cell>
          <cell r="K180">
            <v>7</v>
          </cell>
          <cell r="M180">
            <v>8</v>
          </cell>
          <cell r="O180">
            <v>16</v>
          </cell>
          <cell r="P180">
            <v>12</v>
          </cell>
          <cell r="S180">
            <v>3</v>
          </cell>
          <cell r="T180">
            <v>20</v>
          </cell>
          <cell r="U180">
            <v>2</v>
          </cell>
          <cell r="Y180">
            <v>120</v>
          </cell>
        </row>
        <row r="181">
          <cell r="F181">
            <v>1</v>
          </cell>
          <cell r="G181">
            <v>0</v>
          </cell>
          <cell r="H181">
            <v>1</v>
          </cell>
          <cell r="I181">
            <v>3</v>
          </cell>
          <cell r="J181">
            <v>0</v>
          </cell>
          <cell r="K181">
            <v>0</v>
          </cell>
          <cell r="M181">
            <v>0</v>
          </cell>
          <cell r="O181">
            <v>0</v>
          </cell>
          <cell r="P181">
            <v>0</v>
          </cell>
          <cell r="S181">
            <v>1</v>
          </cell>
          <cell r="T181">
            <v>8</v>
          </cell>
          <cell r="U181">
            <v>0</v>
          </cell>
          <cell r="Y181">
            <v>14</v>
          </cell>
        </row>
        <row r="182">
          <cell r="F182">
            <v>1</v>
          </cell>
          <cell r="G182">
            <v>13</v>
          </cell>
          <cell r="H182">
            <v>14</v>
          </cell>
          <cell r="I182">
            <v>19</v>
          </cell>
          <cell r="J182">
            <v>83</v>
          </cell>
          <cell r="K182">
            <v>6</v>
          </cell>
          <cell r="M182">
            <v>14</v>
          </cell>
          <cell r="O182">
            <v>44</v>
          </cell>
          <cell r="P182">
            <v>9</v>
          </cell>
          <cell r="S182">
            <v>26</v>
          </cell>
          <cell r="T182">
            <v>45</v>
          </cell>
          <cell r="U182">
            <v>1</v>
          </cell>
          <cell r="Y182">
            <v>275</v>
          </cell>
        </row>
        <row r="183">
          <cell r="F183">
            <v>18</v>
          </cell>
          <cell r="G183">
            <v>20</v>
          </cell>
          <cell r="H183">
            <v>82</v>
          </cell>
          <cell r="I183">
            <v>65</v>
          </cell>
          <cell r="J183">
            <v>107</v>
          </cell>
          <cell r="K183">
            <v>13</v>
          </cell>
          <cell r="M183">
            <v>50</v>
          </cell>
          <cell r="O183">
            <v>121</v>
          </cell>
          <cell r="P183">
            <v>24</v>
          </cell>
          <cell r="S183">
            <v>19</v>
          </cell>
          <cell r="T183">
            <v>180</v>
          </cell>
          <cell r="U183">
            <v>19</v>
          </cell>
          <cell r="Y183">
            <v>718</v>
          </cell>
        </row>
        <row r="184">
          <cell r="F184">
            <v>1</v>
          </cell>
          <cell r="G184">
            <v>20</v>
          </cell>
          <cell r="H184">
            <v>23</v>
          </cell>
          <cell r="I184">
            <v>42</v>
          </cell>
          <cell r="J184">
            <v>80</v>
          </cell>
          <cell r="K184">
            <v>23</v>
          </cell>
          <cell r="M184">
            <v>11</v>
          </cell>
          <cell r="O184">
            <v>27</v>
          </cell>
          <cell r="P184">
            <v>15</v>
          </cell>
          <cell r="S184">
            <v>2</v>
          </cell>
          <cell r="T184">
            <v>83</v>
          </cell>
          <cell r="U184">
            <v>4</v>
          </cell>
          <cell r="Y184">
            <v>331</v>
          </cell>
        </row>
        <row r="185">
          <cell r="F185">
            <v>0</v>
          </cell>
          <cell r="G185">
            <v>7</v>
          </cell>
          <cell r="H185">
            <v>2</v>
          </cell>
          <cell r="I185">
            <v>9</v>
          </cell>
          <cell r="J185">
            <v>18</v>
          </cell>
          <cell r="K185">
            <v>4</v>
          </cell>
          <cell r="M185">
            <v>16</v>
          </cell>
          <cell r="O185">
            <v>6</v>
          </cell>
          <cell r="P185">
            <v>8</v>
          </cell>
          <cell r="S185">
            <v>2</v>
          </cell>
          <cell r="T185">
            <v>15</v>
          </cell>
          <cell r="U185">
            <v>1</v>
          </cell>
          <cell r="Y185">
            <v>88</v>
          </cell>
        </row>
        <row r="186">
          <cell r="F186">
            <v>10</v>
          </cell>
          <cell r="G186">
            <v>26</v>
          </cell>
          <cell r="H186">
            <v>54</v>
          </cell>
          <cell r="I186">
            <v>61</v>
          </cell>
          <cell r="J186">
            <v>267</v>
          </cell>
          <cell r="K186">
            <v>11</v>
          </cell>
          <cell r="M186">
            <v>47</v>
          </cell>
          <cell r="O186">
            <v>64</v>
          </cell>
          <cell r="P186">
            <v>22</v>
          </cell>
          <cell r="S186">
            <v>28</v>
          </cell>
          <cell r="T186">
            <v>120</v>
          </cell>
          <cell r="U186">
            <v>13</v>
          </cell>
          <cell r="Y186">
            <v>723</v>
          </cell>
        </row>
        <row r="187">
          <cell r="F187">
            <v>10</v>
          </cell>
          <cell r="G187">
            <v>28</v>
          </cell>
          <cell r="H187">
            <v>19</v>
          </cell>
          <cell r="I187">
            <v>16</v>
          </cell>
          <cell r="J187">
            <v>95</v>
          </cell>
          <cell r="K187">
            <v>4</v>
          </cell>
          <cell r="M187">
            <v>9</v>
          </cell>
          <cell r="O187">
            <v>57</v>
          </cell>
          <cell r="P187">
            <v>10</v>
          </cell>
          <cell r="S187">
            <v>6</v>
          </cell>
          <cell r="T187">
            <v>40</v>
          </cell>
          <cell r="U187">
            <v>1</v>
          </cell>
          <cell r="Y187">
            <v>295</v>
          </cell>
        </row>
        <row r="188">
          <cell r="F188">
            <v>1</v>
          </cell>
          <cell r="G188">
            <v>2</v>
          </cell>
          <cell r="H188">
            <v>1</v>
          </cell>
          <cell r="I188">
            <v>2</v>
          </cell>
          <cell r="J188">
            <v>8</v>
          </cell>
          <cell r="K188">
            <v>0</v>
          </cell>
          <cell r="M188">
            <v>1</v>
          </cell>
          <cell r="O188">
            <v>7</v>
          </cell>
          <cell r="P188">
            <v>2</v>
          </cell>
          <cell r="S188">
            <v>4</v>
          </cell>
          <cell r="T188">
            <v>7</v>
          </cell>
          <cell r="U188">
            <v>4</v>
          </cell>
          <cell r="Y188">
            <v>39</v>
          </cell>
        </row>
        <row r="189">
          <cell r="F189">
            <v>6</v>
          </cell>
          <cell r="G189">
            <v>8</v>
          </cell>
          <cell r="H189">
            <v>19</v>
          </cell>
          <cell r="I189">
            <v>18</v>
          </cell>
          <cell r="J189">
            <v>52</v>
          </cell>
          <cell r="K189">
            <v>1</v>
          </cell>
          <cell r="M189">
            <v>3</v>
          </cell>
          <cell r="O189">
            <v>17</v>
          </cell>
          <cell r="P189">
            <v>6</v>
          </cell>
          <cell r="S189">
            <v>12</v>
          </cell>
          <cell r="T189">
            <v>20</v>
          </cell>
          <cell r="U189">
            <v>6</v>
          </cell>
          <cell r="Y189">
            <v>168</v>
          </cell>
        </row>
        <row r="190">
          <cell r="F190">
            <v>1</v>
          </cell>
          <cell r="G190">
            <v>4</v>
          </cell>
          <cell r="H190">
            <v>7</v>
          </cell>
          <cell r="I190">
            <v>4</v>
          </cell>
          <cell r="J190">
            <v>13</v>
          </cell>
          <cell r="K190">
            <v>1</v>
          </cell>
          <cell r="M190">
            <v>7</v>
          </cell>
          <cell r="O190">
            <v>10</v>
          </cell>
          <cell r="P190">
            <v>1</v>
          </cell>
          <cell r="S190">
            <v>2</v>
          </cell>
          <cell r="T190">
            <v>9</v>
          </cell>
          <cell r="U190">
            <v>2</v>
          </cell>
          <cell r="Y190">
            <v>61</v>
          </cell>
        </row>
        <row r="191">
          <cell r="F191">
            <v>1</v>
          </cell>
          <cell r="G191">
            <v>4</v>
          </cell>
          <cell r="H191">
            <v>1</v>
          </cell>
          <cell r="I191">
            <v>1</v>
          </cell>
          <cell r="J191">
            <v>6</v>
          </cell>
          <cell r="K191">
            <v>0</v>
          </cell>
          <cell r="M191">
            <v>4</v>
          </cell>
          <cell r="O191">
            <v>1</v>
          </cell>
          <cell r="P191">
            <v>5</v>
          </cell>
          <cell r="S191">
            <v>2</v>
          </cell>
          <cell r="T191">
            <v>4</v>
          </cell>
          <cell r="U191">
            <v>1</v>
          </cell>
          <cell r="Y191">
            <v>30</v>
          </cell>
        </row>
        <row r="192">
          <cell r="F192">
            <v>0</v>
          </cell>
          <cell r="G192">
            <v>0</v>
          </cell>
          <cell r="H192">
            <v>0</v>
          </cell>
          <cell r="I192">
            <v>0</v>
          </cell>
          <cell r="J192">
            <v>0</v>
          </cell>
          <cell r="K192">
            <v>0</v>
          </cell>
          <cell r="M192">
            <v>0</v>
          </cell>
          <cell r="O192">
            <v>0</v>
          </cell>
          <cell r="P192">
            <v>0</v>
          </cell>
          <cell r="S192">
            <v>0</v>
          </cell>
          <cell r="T192">
            <v>2</v>
          </cell>
          <cell r="U192">
            <v>0</v>
          </cell>
          <cell r="Y192">
            <v>2</v>
          </cell>
        </row>
        <row r="193">
          <cell r="F193">
            <v>0</v>
          </cell>
          <cell r="G193">
            <v>13</v>
          </cell>
          <cell r="H193">
            <v>83</v>
          </cell>
          <cell r="I193">
            <v>97</v>
          </cell>
          <cell r="J193">
            <v>170</v>
          </cell>
          <cell r="K193">
            <v>31</v>
          </cell>
          <cell r="M193">
            <v>51</v>
          </cell>
          <cell r="O193">
            <v>83</v>
          </cell>
          <cell r="P193">
            <v>74</v>
          </cell>
          <cell r="T193">
            <v>151</v>
          </cell>
          <cell r="U193">
            <v>0</v>
          </cell>
          <cell r="Y193">
            <v>753</v>
          </cell>
        </row>
        <row r="194">
          <cell r="F194">
            <v>93</v>
          </cell>
          <cell r="H194">
            <v>574</v>
          </cell>
          <cell r="I194">
            <v>214</v>
          </cell>
          <cell r="J194">
            <v>1289</v>
          </cell>
          <cell r="K194">
            <v>150</v>
          </cell>
          <cell r="M194">
            <v>187</v>
          </cell>
          <cell r="O194">
            <v>353</v>
          </cell>
          <cell r="P194">
            <v>206</v>
          </cell>
          <cell r="T194">
            <v>1287</v>
          </cell>
          <cell r="U194">
            <v>151</v>
          </cell>
          <cell r="Y194">
            <v>4504</v>
          </cell>
        </row>
        <row r="195">
          <cell r="F195">
            <v>13</v>
          </cell>
          <cell r="H195">
            <v>65</v>
          </cell>
          <cell r="I195">
            <v>39</v>
          </cell>
          <cell r="J195">
            <v>67</v>
          </cell>
          <cell r="K195">
            <v>5</v>
          </cell>
          <cell r="M195">
            <v>21</v>
          </cell>
          <cell r="O195">
            <v>53</v>
          </cell>
          <cell r="P195">
            <v>10</v>
          </cell>
          <cell r="T195">
            <v>74</v>
          </cell>
          <cell r="U195">
            <v>4</v>
          </cell>
          <cell r="Y195">
            <v>351</v>
          </cell>
        </row>
        <row r="196">
          <cell r="F196">
            <v>38</v>
          </cell>
          <cell r="H196">
            <v>98</v>
          </cell>
          <cell r="I196">
            <v>223</v>
          </cell>
          <cell r="J196">
            <v>240</v>
          </cell>
          <cell r="K196">
            <v>44</v>
          </cell>
          <cell r="M196">
            <v>147</v>
          </cell>
          <cell r="O196">
            <v>11</v>
          </cell>
          <cell r="P196">
            <v>69</v>
          </cell>
          <cell r="T196">
            <v>305</v>
          </cell>
          <cell r="U196">
            <v>31</v>
          </cell>
          <cell r="Y196">
            <v>1206</v>
          </cell>
        </row>
        <row r="197">
          <cell r="G197">
            <v>68</v>
          </cell>
          <cell r="H197">
            <v>35</v>
          </cell>
          <cell r="I197">
            <v>53</v>
          </cell>
          <cell r="J197">
            <v>61</v>
          </cell>
          <cell r="K197">
            <v>11</v>
          </cell>
          <cell r="M197">
            <v>33</v>
          </cell>
          <cell r="O197">
            <v>2</v>
          </cell>
          <cell r="P197">
            <v>12</v>
          </cell>
          <cell r="T197">
            <v>72</v>
          </cell>
          <cell r="U197">
            <v>0</v>
          </cell>
          <cell r="Y197">
            <v>347</v>
          </cell>
        </row>
        <row r="198">
          <cell r="F198">
            <v>16</v>
          </cell>
          <cell r="H198">
            <v>32</v>
          </cell>
          <cell r="I198">
            <v>52</v>
          </cell>
          <cell r="J198">
            <v>120</v>
          </cell>
          <cell r="K198">
            <v>13</v>
          </cell>
          <cell r="M198">
            <v>0</v>
          </cell>
          <cell r="O198">
            <v>5</v>
          </cell>
          <cell r="P198">
            <v>6</v>
          </cell>
          <cell r="T198">
            <v>62</v>
          </cell>
          <cell r="U198">
            <v>2</v>
          </cell>
          <cell r="Y198">
            <v>308</v>
          </cell>
        </row>
        <row r="199">
          <cell r="F199">
            <v>0</v>
          </cell>
          <cell r="G199">
            <v>8</v>
          </cell>
          <cell r="H199">
            <v>23</v>
          </cell>
          <cell r="I199">
            <v>24</v>
          </cell>
          <cell r="J199">
            <v>84</v>
          </cell>
          <cell r="K199">
            <v>6</v>
          </cell>
          <cell r="M199">
            <v>7</v>
          </cell>
          <cell r="O199">
            <v>37</v>
          </cell>
          <cell r="P199">
            <v>30</v>
          </cell>
          <cell r="T199">
            <v>50</v>
          </cell>
          <cell r="U199">
            <v>0</v>
          </cell>
          <cell r="Y199">
            <v>269</v>
          </cell>
        </row>
        <row r="200">
          <cell r="F200">
            <v>0</v>
          </cell>
          <cell r="G200">
            <v>1</v>
          </cell>
          <cell r="H200">
            <v>13</v>
          </cell>
          <cell r="I200">
            <v>25</v>
          </cell>
          <cell r="J200">
            <v>16</v>
          </cell>
          <cell r="K200">
            <v>3</v>
          </cell>
          <cell r="M200">
            <v>24</v>
          </cell>
          <cell r="O200">
            <v>2</v>
          </cell>
          <cell r="P200">
            <v>12</v>
          </cell>
          <cell r="T200">
            <v>45</v>
          </cell>
          <cell r="U200">
            <v>0</v>
          </cell>
          <cell r="Y200">
            <v>141</v>
          </cell>
        </row>
        <row r="201">
          <cell r="F201">
            <v>0</v>
          </cell>
          <cell r="G201">
            <v>1</v>
          </cell>
          <cell r="H201">
            <v>17</v>
          </cell>
          <cell r="I201">
            <v>23</v>
          </cell>
          <cell r="J201">
            <v>17</v>
          </cell>
          <cell r="K201">
            <v>8</v>
          </cell>
          <cell r="M201">
            <v>6</v>
          </cell>
          <cell r="O201">
            <v>14</v>
          </cell>
          <cell r="P201">
            <v>14</v>
          </cell>
          <cell r="T201">
            <v>13</v>
          </cell>
          <cell r="U201">
            <v>0</v>
          </cell>
          <cell r="Y201">
            <v>113</v>
          </cell>
        </row>
        <row r="202">
          <cell r="F202">
            <v>0</v>
          </cell>
          <cell r="G202">
            <v>1</v>
          </cell>
          <cell r="H202">
            <v>5</v>
          </cell>
          <cell r="I202">
            <v>3</v>
          </cell>
          <cell r="J202">
            <v>1</v>
          </cell>
          <cell r="K202">
            <v>0</v>
          </cell>
          <cell r="M202">
            <v>0</v>
          </cell>
          <cell r="O202">
            <v>0</v>
          </cell>
          <cell r="P202">
            <v>2</v>
          </cell>
          <cell r="T202">
            <v>1</v>
          </cell>
          <cell r="U202">
            <v>0</v>
          </cell>
          <cell r="Y202">
            <v>13</v>
          </cell>
        </row>
        <row r="203">
          <cell r="F203">
            <v>0</v>
          </cell>
          <cell r="G203">
            <v>1</v>
          </cell>
          <cell r="H203">
            <v>16</v>
          </cell>
          <cell r="I203">
            <v>11</v>
          </cell>
          <cell r="J203">
            <v>39</v>
          </cell>
          <cell r="K203">
            <v>4</v>
          </cell>
          <cell r="M203">
            <v>8</v>
          </cell>
          <cell r="O203">
            <v>1</v>
          </cell>
          <cell r="P203">
            <v>9</v>
          </cell>
          <cell r="T203">
            <v>17</v>
          </cell>
          <cell r="U203">
            <v>0</v>
          </cell>
          <cell r="Y203">
            <v>106</v>
          </cell>
        </row>
        <row r="204">
          <cell r="F204">
            <v>0</v>
          </cell>
          <cell r="G204">
            <v>0</v>
          </cell>
          <cell r="H204">
            <v>2</v>
          </cell>
          <cell r="I204">
            <v>0</v>
          </cell>
          <cell r="J204">
            <v>3</v>
          </cell>
          <cell r="K204">
            <v>2</v>
          </cell>
          <cell r="M204">
            <v>1</v>
          </cell>
          <cell r="O204">
            <v>5</v>
          </cell>
          <cell r="P204">
            <v>5</v>
          </cell>
          <cell r="T204">
            <v>14</v>
          </cell>
          <cell r="U204">
            <v>0</v>
          </cell>
          <cell r="Y204">
            <v>32</v>
          </cell>
        </row>
        <row r="205">
          <cell r="F205">
            <v>0</v>
          </cell>
          <cell r="G205">
            <v>0</v>
          </cell>
          <cell r="H205">
            <v>0</v>
          </cell>
          <cell r="I205">
            <v>6</v>
          </cell>
          <cell r="J205">
            <v>0</v>
          </cell>
          <cell r="K205">
            <v>0</v>
          </cell>
          <cell r="M205">
            <v>0</v>
          </cell>
          <cell r="O205">
            <v>3</v>
          </cell>
          <cell r="P205">
            <v>0</v>
          </cell>
          <cell r="T205">
            <v>2</v>
          </cell>
          <cell r="U205">
            <v>0</v>
          </cell>
          <cell r="Y205">
            <v>11</v>
          </cell>
        </row>
        <row r="206">
          <cell r="F206">
            <v>0</v>
          </cell>
          <cell r="G206">
            <v>0</v>
          </cell>
          <cell r="H206">
            <v>4</v>
          </cell>
          <cell r="I206">
            <v>4</v>
          </cell>
          <cell r="J206">
            <v>3</v>
          </cell>
          <cell r="K206">
            <v>1</v>
          </cell>
          <cell r="M206">
            <v>0</v>
          </cell>
          <cell r="O206">
            <v>5</v>
          </cell>
          <cell r="P206">
            <v>2</v>
          </cell>
          <cell r="T206">
            <v>2</v>
          </cell>
          <cell r="U206">
            <v>0</v>
          </cell>
          <cell r="Y206">
            <v>21</v>
          </cell>
        </row>
        <row r="207">
          <cell r="F207">
            <v>0</v>
          </cell>
          <cell r="G207">
            <v>1</v>
          </cell>
          <cell r="H207">
            <v>1</v>
          </cell>
          <cell r="I207">
            <v>1</v>
          </cell>
          <cell r="J207">
            <v>2</v>
          </cell>
          <cell r="K207">
            <v>0</v>
          </cell>
          <cell r="M207">
            <v>1</v>
          </cell>
          <cell r="O207">
            <v>9</v>
          </cell>
          <cell r="P207">
            <v>0</v>
          </cell>
          <cell r="T207">
            <v>3</v>
          </cell>
          <cell r="U207">
            <v>0</v>
          </cell>
          <cell r="Y207">
            <v>18</v>
          </cell>
        </row>
        <row r="208">
          <cell r="F208">
            <v>0</v>
          </cell>
          <cell r="G208">
            <v>0</v>
          </cell>
          <cell r="H208">
            <v>0</v>
          </cell>
          <cell r="I208">
            <v>0</v>
          </cell>
          <cell r="J208">
            <v>0</v>
          </cell>
          <cell r="K208">
            <v>1</v>
          </cell>
          <cell r="M208">
            <v>0</v>
          </cell>
          <cell r="O208">
            <v>1</v>
          </cell>
          <cell r="P208">
            <v>0</v>
          </cell>
          <cell r="T208">
            <v>0</v>
          </cell>
          <cell r="U208">
            <v>0</v>
          </cell>
          <cell r="Y208">
            <v>2</v>
          </cell>
        </row>
        <row r="209">
          <cell r="F209">
            <v>0</v>
          </cell>
          <cell r="G209">
            <v>0</v>
          </cell>
          <cell r="H209">
            <v>1</v>
          </cell>
          <cell r="I209">
            <v>0</v>
          </cell>
          <cell r="J209">
            <v>0</v>
          </cell>
          <cell r="K209">
            <v>0</v>
          </cell>
          <cell r="M209">
            <v>0</v>
          </cell>
          <cell r="O209">
            <v>4</v>
          </cell>
          <cell r="P209">
            <v>0</v>
          </cell>
          <cell r="T209">
            <v>1</v>
          </cell>
          <cell r="U209">
            <v>0</v>
          </cell>
          <cell r="Y209">
            <v>6</v>
          </cell>
        </row>
        <row r="210">
          <cell r="F210">
            <v>24</v>
          </cell>
          <cell r="H210">
            <v>109</v>
          </cell>
          <cell r="I210">
            <v>36</v>
          </cell>
          <cell r="J210">
            <v>284</v>
          </cell>
          <cell r="K210">
            <v>16</v>
          </cell>
          <cell r="M210">
            <v>21</v>
          </cell>
          <cell r="O210">
            <v>96</v>
          </cell>
          <cell r="P210">
            <v>71</v>
          </cell>
          <cell r="T210">
            <v>222</v>
          </cell>
          <cell r="U210">
            <v>9</v>
          </cell>
          <cell r="Y210">
            <v>888</v>
          </cell>
        </row>
        <row r="211">
          <cell r="F211">
            <v>28</v>
          </cell>
          <cell r="H211">
            <v>131</v>
          </cell>
          <cell r="I211">
            <v>48</v>
          </cell>
          <cell r="J211">
            <v>147</v>
          </cell>
          <cell r="K211">
            <v>32</v>
          </cell>
          <cell r="M211">
            <v>54</v>
          </cell>
          <cell r="O211">
            <v>3</v>
          </cell>
          <cell r="P211">
            <v>36</v>
          </cell>
          <cell r="T211">
            <v>366</v>
          </cell>
          <cell r="U211">
            <v>55</v>
          </cell>
          <cell r="Y211">
            <v>900</v>
          </cell>
        </row>
        <row r="212">
          <cell r="F212">
            <v>4</v>
          </cell>
          <cell r="H212">
            <v>64</v>
          </cell>
          <cell r="I212">
            <v>24</v>
          </cell>
          <cell r="J212">
            <v>85</v>
          </cell>
          <cell r="K212">
            <v>27</v>
          </cell>
          <cell r="M212">
            <v>8</v>
          </cell>
          <cell r="O212">
            <v>31</v>
          </cell>
          <cell r="P212">
            <v>23</v>
          </cell>
          <cell r="T212">
            <v>97</v>
          </cell>
          <cell r="U212">
            <v>8</v>
          </cell>
          <cell r="Y212">
            <v>371</v>
          </cell>
        </row>
        <row r="213">
          <cell r="F213">
            <v>0</v>
          </cell>
          <cell r="H213">
            <v>10</v>
          </cell>
          <cell r="I213">
            <v>3</v>
          </cell>
          <cell r="J213">
            <v>7</v>
          </cell>
          <cell r="K213">
            <v>1</v>
          </cell>
          <cell r="M213">
            <v>2</v>
          </cell>
          <cell r="O213">
            <v>0</v>
          </cell>
          <cell r="P213">
            <v>2</v>
          </cell>
          <cell r="T213">
            <v>15</v>
          </cell>
          <cell r="U213">
            <v>4</v>
          </cell>
          <cell r="Y213">
            <v>44</v>
          </cell>
        </row>
        <row r="214">
          <cell r="F214">
            <v>10</v>
          </cell>
          <cell r="H214">
            <v>90</v>
          </cell>
          <cell r="I214">
            <v>22</v>
          </cell>
          <cell r="J214">
            <v>298</v>
          </cell>
          <cell r="K214">
            <v>17</v>
          </cell>
          <cell r="M214">
            <v>41</v>
          </cell>
          <cell r="O214">
            <v>0</v>
          </cell>
          <cell r="P214">
            <v>24</v>
          </cell>
          <cell r="T214">
            <v>146</v>
          </cell>
          <cell r="U214">
            <v>23</v>
          </cell>
          <cell r="Y214">
            <v>671</v>
          </cell>
        </row>
        <row r="215">
          <cell r="F215">
            <v>5</v>
          </cell>
          <cell r="H215">
            <v>45</v>
          </cell>
          <cell r="I215">
            <v>27</v>
          </cell>
          <cell r="J215">
            <v>202</v>
          </cell>
          <cell r="K215">
            <v>6</v>
          </cell>
          <cell r="M215">
            <v>37</v>
          </cell>
          <cell r="O215">
            <v>49</v>
          </cell>
          <cell r="P215">
            <v>17</v>
          </cell>
          <cell r="T215">
            <v>222</v>
          </cell>
          <cell r="U215">
            <v>13</v>
          </cell>
          <cell r="Y215">
            <v>623</v>
          </cell>
        </row>
        <row r="216">
          <cell r="F216">
            <v>3</v>
          </cell>
          <cell r="H216">
            <v>30</v>
          </cell>
          <cell r="I216">
            <v>28</v>
          </cell>
          <cell r="J216">
            <v>80</v>
          </cell>
          <cell r="K216">
            <v>2</v>
          </cell>
          <cell r="M216">
            <v>2</v>
          </cell>
          <cell r="O216">
            <v>30</v>
          </cell>
          <cell r="P216">
            <v>12</v>
          </cell>
          <cell r="T216">
            <v>53</v>
          </cell>
          <cell r="U216">
            <v>10</v>
          </cell>
          <cell r="Y216">
            <v>250</v>
          </cell>
        </row>
        <row r="217">
          <cell r="F217">
            <v>15</v>
          </cell>
          <cell r="H217">
            <v>73</v>
          </cell>
          <cell r="I217">
            <v>25</v>
          </cell>
          <cell r="J217">
            <v>139</v>
          </cell>
          <cell r="K217">
            <v>6</v>
          </cell>
          <cell r="M217">
            <v>9</v>
          </cell>
          <cell r="O217">
            <v>64</v>
          </cell>
          <cell r="P217">
            <v>10</v>
          </cell>
          <cell r="T217">
            <v>117</v>
          </cell>
          <cell r="U217">
            <v>22</v>
          </cell>
          <cell r="Y217">
            <v>480</v>
          </cell>
        </row>
        <row r="218">
          <cell r="F218">
            <v>0</v>
          </cell>
          <cell r="H218">
            <v>5</v>
          </cell>
          <cell r="I218">
            <v>0</v>
          </cell>
          <cell r="J218">
            <v>8</v>
          </cell>
          <cell r="K218">
            <v>1</v>
          </cell>
          <cell r="M218">
            <v>3</v>
          </cell>
          <cell r="O218">
            <v>47</v>
          </cell>
          <cell r="P218">
            <v>2</v>
          </cell>
          <cell r="T218">
            <v>10</v>
          </cell>
          <cell r="U218">
            <v>2</v>
          </cell>
          <cell r="Y218">
            <v>78</v>
          </cell>
        </row>
        <row r="219">
          <cell r="F219">
            <v>0</v>
          </cell>
          <cell r="H219">
            <v>11</v>
          </cell>
          <cell r="I219">
            <v>1</v>
          </cell>
          <cell r="J219">
            <v>16</v>
          </cell>
          <cell r="K219">
            <v>3</v>
          </cell>
          <cell r="M219">
            <v>1</v>
          </cell>
          <cell r="O219">
            <v>4</v>
          </cell>
          <cell r="P219">
            <v>5</v>
          </cell>
          <cell r="T219">
            <v>13</v>
          </cell>
          <cell r="U219">
            <v>1</v>
          </cell>
          <cell r="Y219">
            <v>55</v>
          </cell>
        </row>
        <row r="220">
          <cell r="F220">
            <v>1</v>
          </cell>
          <cell r="H220">
            <v>5</v>
          </cell>
          <cell r="I220">
            <v>0</v>
          </cell>
          <cell r="J220">
            <v>0</v>
          </cell>
          <cell r="K220">
            <v>0</v>
          </cell>
          <cell r="M220">
            <v>1</v>
          </cell>
          <cell r="O220">
            <v>26</v>
          </cell>
          <cell r="P220">
            <v>1</v>
          </cell>
          <cell r="T220">
            <v>5</v>
          </cell>
          <cell r="U220">
            <v>0</v>
          </cell>
          <cell r="Y220">
            <v>39</v>
          </cell>
        </row>
        <row r="221">
          <cell r="F221">
            <v>6</v>
          </cell>
          <cell r="H221">
            <v>20</v>
          </cell>
          <cell r="I221">
            <v>9</v>
          </cell>
          <cell r="J221">
            <v>26</v>
          </cell>
          <cell r="K221">
            <v>0</v>
          </cell>
          <cell r="M221">
            <v>8</v>
          </cell>
          <cell r="O221">
            <v>12</v>
          </cell>
          <cell r="P221">
            <v>4</v>
          </cell>
          <cell r="T221">
            <v>32</v>
          </cell>
          <cell r="U221">
            <v>2</v>
          </cell>
          <cell r="Y221">
            <v>119</v>
          </cell>
        </row>
        <row r="222">
          <cell r="F222">
            <v>2</v>
          </cell>
          <cell r="H222">
            <v>10</v>
          </cell>
          <cell r="I222">
            <v>6</v>
          </cell>
          <cell r="J222">
            <v>6</v>
          </cell>
          <cell r="K222">
            <v>1</v>
          </cell>
          <cell r="M222">
            <v>5</v>
          </cell>
          <cell r="O222">
            <v>2</v>
          </cell>
          <cell r="P222">
            <v>1</v>
          </cell>
          <cell r="T222">
            <v>17</v>
          </cell>
          <cell r="U222">
            <v>2</v>
          </cell>
          <cell r="Y222">
            <v>52</v>
          </cell>
        </row>
        <row r="223">
          <cell r="F223">
            <v>0</v>
          </cell>
          <cell r="H223">
            <v>11</v>
          </cell>
          <cell r="I223">
            <v>13</v>
          </cell>
          <cell r="J223">
            <v>11</v>
          </cell>
          <cell r="K223">
            <v>2</v>
          </cell>
          <cell r="M223">
            <v>2</v>
          </cell>
          <cell r="O223">
            <v>7</v>
          </cell>
          <cell r="P223">
            <v>2</v>
          </cell>
          <cell r="T223">
            <v>9</v>
          </cell>
          <cell r="U223">
            <v>0</v>
          </cell>
          <cell r="Y223">
            <v>57</v>
          </cell>
        </row>
        <row r="224">
          <cell r="F224">
            <v>1</v>
          </cell>
          <cell r="H224">
            <v>2</v>
          </cell>
          <cell r="I224">
            <v>1</v>
          </cell>
          <cell r="J224">
            <v>0</v>
          </cell>
          <cell r="K224">
            <v>0</v>
          </cell>
          <cell r="M224">
            <v>1</v>
          </cell>
          <cell r="O224">
            <v>0</v>
          </cell>
          <cell r="P224">
            <v>0</v>
          </cell>
          <cell r="T224">
            <v>0</v>
          </cell>
          <cell r="U224">
            <v>0</v>
          </cell>
          <cell r="Y224">
            <v>5</v>
          </cell>
        </row>
        <row r="225">
          <cell r="F225">
            <v>2</v>
          </cell>
          <cell r="H225">
            <v>14</v>
          </cell>
          <cell r="I225">
            <v>6</v>
          </cell>
          <cell r="J225">
            <v>12</v>
          </cell>
          <cell r="K225">
            <v>0</v>
          </cell>
          <cell r="M225">
            <v>3</v>
          </cell>
          <cell r="O225">
            <v>0</v>
          </cell>
          <cell r="P225">
            <v>3</v>
          </cell>
          <cell r="T225">
            <v>9</v>
          </cell>
          <cell r="U225">
            <v>0</v>
          </cell>
          <cell r="Y225">
            <v>49</v>
          </cell>
        </row>
        <row r="226">
          <cell r="F226">
            <v>1</v>
          </cell>
          <cell r="H226">
            <v>0</v>
          </cell>
          <cell r="I226">
            <v>2</v>
          </cell>
          <cell r="J226">
            <v>6</v>
          </cell>
          <cell r="K226">
            <v>2</v>
          </cell>
          <cell r="M226">
            <v>0</v>
          </cell>
          <cell r="O226">
            <v>3</v>
          </cell>
          <cell r="P226">
            <v>0</v>
          </cell>
          <cell r="T226">
            <v>3</v>
          </cell>
          <cell r="U226">
            <v>0</v>
          </cell>
          <cell r="Y226">
            <v>17</v>
          </cell>
        </row>
        <row r="227">
          <cell r="F227">
            <v>1</v>
          </cell>
          <cell r="H227">
            <v>0</v>
          </cell>
          <cell r="I227">
            <v>1</v>
          </cell>
          <cell r="J227">
            <v>0</v>
          </cell>
          <cell r="K227">
            <v>0</v>
          </cell>
          <cell r="M227">
            <v>0</v>
          </cell>
          <cell r="O227">
            <v>1</v>
          </cell>
          <cell r="P227">
            <v>0</v>
          </cell>
          <cell r="T227">
            <v>0</v>
          </cell>
          <cell r="U227">
            <v>0</v>
          </cell>
          <cell r="Y227">
            <v>3</v>
          </cell>
        </row>
        <row r="228">
          <cell r="F228">
            <v>0</v>
          </cell>
          <cell r="H228">
            <v>3</v>
          </cell>
          <cell r="I228">
            <v>0</v>
          </cell>
          <cell r="J228">
            <v>1</v>
          </cell>
          <cell r="K228">
            <v>0</v>
          </cell>
          <cell r="M228">
            <v>1</v>
          </cell>
          <cell r="O228">
            <v>5</v>
          </cell>
          <cell r="P228">
            <v>0</v>
          </cell>
          <cell r="T228">
            <v>3</v>
          </cell>
          <cell r="U228">
            <v>0</v>
          </cell>
          <cell r="Y228">
            <v>13</v>
          </cell>
        </row>
        <row r="229">
          <cell r="F229">
            <v>0</v>
          </cell>
          <cell r="H229">
            <v>1</v>
          </cell>
          <cell r="I229">
            <v>1</v>
          </cell>
          <cell r="J229">
            <v>1</v>
          </cell>
          <cell r="K229">
            <v>0</v>
          </cell>
          <cell r="M229">
            <v>0</v>
          </cell>
          <cell r="O229">
            <v>20</v>
          </cell>
          <cell r="P229">
            <v>0</v>
          </cell>
          <cell r="T229">
            <v>0</v>
          </cell>
          <cell r="U229">
            <v>0</v>
          </cell>
          <cell r="Y229">
            <v>23</v>
          </cell>
        </row>
        <row r="230">
          <cell r="F230">
            <v>0</v>
          </cell>
          <cell r="H230">
            <v>3</v>
          </cell>
          <cell r="I230">
            <v>0</v>
          </cell>
          <cell r="J230">
            <v>2</v>
          </cell>
          <cell r="K230">
            <v>0</v>
          </cell>
          <cell r="M230">
            <v>0</v>
          </cell>
          <cell r="O230">
            <v>0</v>
          </cell>
          <cell r="P230">
            <v>0</v>
          </cell>
          <cell r="T230">
            <v>0</v>
          </cell>
          <cell r="U230">
            <v>0</v>
          </cell>
          <cell r="Y230">
            <v>5</v>
          </cell>
        </row>
        <row r="231">
          <cell r="F231">
            <v>0</v>
          </cell>
          <cell r="H231">
            <v>0</v>
          </cell>
          <cell r="I231">
            <v>0</v>
          </cell>
          <cell r="J231">
            <v>0</v>
          </cell>
          <cell r="K231">
            <v>0</v>
          </cell>
          <cell r="M231">
            <v>0</v>
          </cell>
          <cell r="O231">
            <v>3</v>
          </cell>
          <cell r="P231">
            <v>0</v>
          </cell>
          <cell r="T231">
            <v>0</v>
          </cell>
          <cell r="U231">
            <v>0</v>
          </cell>
          <cell r="Y231">
            <v>3</v>
          </cell>
        </row>
        <row r="232">
          <cell r="F232">
            <v>20</v>
          </cell>
          <cell r="H232">
            <v>40</v>
          </cell>
          <cell r="I232">
            <v>111</v>
          </cell>
          <cell r="J232">
            <v>107</v>
          </cell>
          <cell r="K232">
            <v>14</v>
          </cell>
          <cell r="M232">
            <v>65</v>
          </cell>
          <cell r="O232">
            <v>1</v>
          </cell>
          <cell r="P232">
            <v>41</v>
          </cell>
          <cell r="T232">
            <v>110</v>
          </cell>
          <cell r="U232">
            <v>13</v>
          </cell>
          <cell r="Y232">
            <v>522</v>
          </cell>
        </row>
        <row r="233">
          <cell r="F233">
            <v>6</v>
          </cell>
          <cell r="H233">
            <v>14</v>
          </cell>
          <cell r="I233">
            <v>27</v>
          </cell>
          <cell r="J233">
            <v>19</v>
          </cell>
          <cell r="K233">
            <v>1</v>
          </cell>
          <cell r="M233">
            <v>19</v>
          </cell>
          <cell r="O233">
            <v>0</v>
          </cell>
          <cell r="P233">
            <v>6</v>
          </cell>
          <cell r="T233">
            <v>68</v>
          </cell>
          <cell r="U233">
            <v>12</v>
          </cell>
          <cell r="Y233">
            <v>172</v>
          </cell>
        </row>
        <row r="234">
          <cell r="F234">
            <v>2</v>
          </cell>
          <cell r="H234">
            <v>13</v>
          </cell>
          <cell r="I234">
            <v>29</v>
          </cell>
          <cell r="J234">
            <v>10</v>
          </cell>
          <cell r="K234">
            <v>6</v>
          </cell>
          <cell r="M234">
            <v>7</v>
          </cell>
          <cell r="O234">
            <v>3</v>
          </cell>
          <cell r="P234">
            <v>5</v>
          </cell>
          <cell r="T234">
            <v>20</v>
          </cell>
          <cell r="U234">
            <v>1</v>
          </cell>
          <cell r="Y234">
            <v>96</v>
          </cell>
        </row>
        <row r="235">
          <cell r="F235">
            <v>0</v>
          </cell>
          <cell r="H235">
            <v>2</v>
          </cell>
          <cell r="I235">
            <v>4</v>
          </cell>
          <cell r="J235">
            <v>0</v>
          </cell>
          <cell r="K235">
            <v>0</v>
          </cell>
          <cell r="M235">
            <v>1</v>
          </cell>
          <cell r="O235">
            <v>0</v>
          </cell>
          <cell r="P235">
            <v>1</v>
          </cell>
          <cell r="T235">
            <v>4</v>
          </cell>
          <cell r="U235">
            <v>1</v>
          </cell>
          <cell r="Y235">
            <v>13</v>
          </cell>
        </row>
        <row r="236">
          <cell r="F236">
            <v>8</v>
          </cell>
          <cell r="H236">
            <v>11</v>
          </cell>
          <cell r="I236">
            <v>23</v>
          </cell>
          <cell r="J236">
            <v>75</v>
          </cell>
          <cell r="K236">
            <v>1</v>
          </cell>
          <cell r="M236">
            <v>18</v>
          </cell>
          <cell r="O236">
            <v>0</v>
          </cell>
          <cell r="P236">
            <v>8</v>
          </cell>
          <cell r="T236">
            <v>42</v>
          </cell>
          <cell r="U236">
            <v>3</v>
          </cell>
          <cell r="Y236">
            <v>189</v>
          </cell>
        </row>
        <row r="237">
          <cell r="F237">
            <v>1</v>
          </cell>
          <cell r="H237">
            <v>8</v>
          </cell>
          <cell r="I237">
            <v>11</v>
          </cell>
          <cell r="J237">
            <v>15</v>
          </cell>
          <cell r="K237">
            <v>1</v>
          </cell>
          <cell r="M237">
            <v>7</v>
          </cell>
          <cell r="O237">
            <v>1</v>
          </cell>
          <cell r="P237">
            <v>2</v>
          </cell>
          <cell r="T237">
            <v>29</v>
          </cell>
          <cell r="U237">
            <v>0</v>
          </cell>
          <cell r="Y237">
            <v>75</v>
          </cell>
        </row>
        <row r="238">
          <cell r="F238">
            <v>0</v>
          </cell>
          <cell r="H238">
            <v>3</v>
          </cell>
          <cell r="I238">
            <v>12</v>
          </cell>
          <cell r="J238">
            <v>4</v>
          </cell>
          <cell r="K238">
            <v>0</v>
          </cell>
          <cell r="M238">
            <v>2</v>
          </cell>
          <cell r="O238">
            <v>0</v>
          </cell>
          <cell r="P238">
            <v>2</v>
          </cell>
          <cell r="T238">
            <v>19</v>
          </cell>
          <cell r="U238">
            <v>1</v>
          </cell>
          <cell r="Y238">
            <v>43</v>
          </cell>
        </row>
        <row r="239">
          <cell r="F239">
            <v>0</v>
          </cell>
          <cell r="H239">
            <v>5</v>
          </cell>
          <cell r="I239">
            <v>6</v>
          </cell>
          <cell r="J239">
            <v>6</v>
          </cell>
          <cell r="K239">
            <v>1</v>
          </cell>
          <cell r="M239">
            <v>1</v>
          </cell>
          <cell r="O239">
            <v>1</v>
          </cell>
          <cell r="P239">
            <v>0</v>
          </cell>
          <cell r="T239">
            <v>3</v>
          </cell>
          <cell r="U239">
            <v>0</v>
          </cell>
          <cell r="Y239">
            <v>23</v>
          </cell>
        </row>
        <row r="240">
          <cell r="F240">
            <v>0</v>
          </cell>
          <cell r="H240">
            <v>1</v>
          </cell>
          <cell r="I240">
            <v>0</v>
          </cell>
          <cell r="J240">
            <v>0</v>
          </cell>
          <cell r="K240">
            <v>0</v>
          </cell>
          <cell r="M240">
            <v>1</v>
          </cell>
          <cell r="O240">
            <v>4</v>
          </cell>
          <cell r="P240">
            <v>2</v>
          </cell>
          <cell r="T240">
            <v>1</v>
          </cell>
          <cell r="U240">
            <v>0</v>
          </cell>
          <cell r="Y240">
            <v>9</v>
          </cell>
        </row>
        <row r="241">
          <cell r="F241">
            <v>1</v>
          </cell>
          <cell r="H241">
            <v>0</v>
          </cell>
          <cell r="I241">
            <v>0</v>
          </cell>
          <cell r="J241">
            <v>2</v>
          </cell>
          <cell r="K241">
            <v>2</v>
          </cell>
          <cell r="M241">
            <v>0</v>
          </cell>
          <cell r="O241">
            <v>0</v>
          </cell>
          <cell r="P241">
            <v>2</v>
          </cell>
          <cell r="T241">
            <v>2</v>
          </cell>
          <cell r="U241">
            <v>0</v>
          </cell>
          <cell r="Y241">
            <v>9</v>
          </cell>
        </row>
        <row r="242">
          <cell r="F242">
            <v>0</v>
          </cell>
          <cell r="H242">
            <v>1</v>
          </cell>
          <cell r="I242">
            <v>0</v>
          </cell>
          <cell r="J242">
            <v>0</v>
          </cell>
          <cell r="K242">
            <v>0</v>
          </cell>
          <cell r="M242">
            <v>0</v>
          </cell>
          <cell r="O242">
            <v>1</v>
          </cell>
          <cell r="P242">
            <v>0</v>
          </cell>
          <cell r="T242">
            <v>2</v>
          </cell>
          <cell r="U242">
            <v>0</v>
          </cell>
          <cell r="Y242">
            <v>4</v>
          </cell>
        </row>
        <row r="243">
          <cell r="G243">
            <v>29</v>
          </cell>
          <cell r="H243">
            <v>9</v>
          </cell>
          <cell r="I243">
            <v>20</v>
          </cell>
          <cell r="J243">
            <v>22</v>
          </cell>
          <cell r="K243">
            <v>1</v>
          </cell>
          <cell r="M243">
            <v>15</v>
          </cell>
          <cell r="O243">
            <v>0</v>
          </cell>
          <cell r="P243">
            <v>7</v>
          </cell>
          <cell r="T243">
            <v>13</v>
          </cell>
          <cell r="Y243">
            <v>116</v>
          </cell>
        </row>
        <row r="244">
          <cell r="G244">
            <v>4</v>
          </cell>
          <cell r="H244">
            <v>12</v>
          </cell>
          <cell r="I244">
            <v>14</v>
          </cell>
          <cell r="J244">
            <v>11</v>
          </cell>
          <cell r="K244">
            <v>1</v>
          </cell>
          <cell r="M244">
            <v>9</v>
          </cell>
          <cell r="O244">
            <v>0</v>
          </cell>
          <cell r="P244">
            <v>3</v>
          </cell>
          <cell r="T244">
            <v>26</v>
          </cell>
          <cell r="Y244">
            <v>80</v>
          </cell>
        </row>
        <row r="245">
          <cell r="G245">
            <v>9</v>
          </cell>
          <cell r="H245">
            <v>1</v>
          </cell>
          <cell r="I245">
            <v>7</v>
          </cell>
          <cell r="J245">
            <v>1</v>
          </cell>
          <cell r="K245">
            <v>2</v>
          </cell>
          <cell r="M245">
            <v>1</v>
          </cell>
          <cell r="O245">
            <v>0</v>
          </cell>
          <cell r="P245">
            <v>1</v>
          </cell>
          <cell r="T245">
            <v>2</v>
          </cell>
          <cell r="Y245">
            <v>24</v>
          </cell>
        </row>
        <row r="246">
          <cell r="G246">
            <v>1</v>
          </cell>
          <cell r="H246">
            <v>0</v>
          </cell>
          <cell r="I246">
            <v>0</v>
          </cell>
          <cell r="J246">
            <v>0</v>
          </cell>
          <cell r="K246">
            <v>0</v>
          </cell>
          <cell r="M246">
            <v>0</v>
          </cell>
          <cell r="O246">
            <v>0</v>
          </cell>
          <cell r="P246">
            <v>0</v>
          </cell>
          <cell r="T246">
            <v>0</v>
          </cell>
          <cell r="Y246">
            <v>1</v>
          </cell>
        </row>
        <row r="247">
          <cell r="G247">
            <v>4</v>
          </cell>
          <cell r="H247">
            <v>2</v>
          </cell>
          <cell r="I247">
            <v>1</v>
          </cell>
          <cell r="J247">
            <v>15</v>
          </cell>
          <cell r="K247">
            <v>0</v>
          </cell>
          <cell r="M247">
            <v>2</v>
          </cell>
          <cell r="O247">
            <v>0</v>
          </cell>
          <cell r="P247">
            <v>0</v>
          </cell>
          <cell r="T247">
            <v>3</v>
          </cell>
          <cell r="Y247">
            <v>27</v>
          </cell>
        </row>
        <row r="248">
          <cell r="G248">
            <v>15</v>
          </cell>
          <cell r="H248">
            <v>6</v>
          </cell>
          <cell r="I248">
            <v>8</v>
          </cell>
          <cell r="J248">
            <v>6</v>
          </cell>
          <cell r="K248">
            <v>0</v>
          </cell>
          <cell r="M248">
            <v>3</v>
          </cell>
          <cell r="O248">
            <v>0</v>
          </cell>
          <cell r="P248">
            <v>1</v>
          </cell>
          <cell r="T248">
            <v>14</v>
          </cell>
          <cell r="Y248">
            <v>53</v>
          </cell>
        </row>
        <row r="249">
          <cell r="G249">
            <v>4</v>
          </cell>
          <cell r="H249">
            <v>2</v>
          </cell>
          <cell r="I249">
            <v>2</v>
          </cell>
          <cell r="J249">
            <v>3</v>
          </cell>
          <cell r="K249">
            <v>0</v>
          </cell>
          <cell r="M249">
            <v>1</v>
          </cell>
          <cell r="O249">
            <v>0</v>
          </cell>
          <cell r="P249">
            <v>0</v>
          </cell>
          <cell r="T249">
            <v>10</v>
          </cell>
          <cell r="Y249">
            <v>22</v>
          </cell>
        </row>
        <row r="250">
          <cell r="G250">
            <v>1</v>
          </cell>
          <cell r="H250">
            <v>2</v>
          </cell>
          <cell r="I250">
            <v>1</v>
          </cell>
          <cell r="J250">
            <v>2</v>
          </cell>
          <cell r="K250">
            <v>0</v>
          </cell>
          <cell r="M250">
            <v>1</v>
          </cell>
          <cell r="O250">
            <v>0</v>
          </cell>
          <cell r="P250">
            <v>0</v>
          </cell>
          <cell r="T250">
            <v>1</v>
          </cell>
          <cell r="Y250">
            <v>8</v>
          </cell>
        </row>
        <row r="251">
          <cell r="G251">
            <v>1</v>
          </cell>
          <cell r="H251">
            <v>0</v>
          </cell>
          <cell r="I251">
            <v>0</v>
          </cell>
          <cell r="J251">
            <v>0</v>
          </cell>
          <cell r="K251">
            <v>0</v>
          </cell>
          <cell r="M251">
            <v>0</v>
          </cell>
          <cell r="O251">
            <v>2</v>
          </cell>
          <cell r="P251">
            <v>0</v>
          </cell>
          <cell r="T251">
            <v>1</v>
          </cell>
          <cell r="Y251">
            <v>4</v>
          </cell>
        </row>
        <row r="252">
          <cell r="G252">
            <v>0</v>
          </cell>
          <cell r="H252">
            <v>0</v>
          </cell>
          <cell r="I252">
            <v>0</v>
          </cell>
          <cell r="J252">
            <v>1</v>
          </cell>
          <cell r="K252">
            <v>0</v>
          </cell>
          <cell r="M252">
            <v>0</v>
          </cell>
          <cell r="O252">
            <v>0</v>
          </cell>
          <cell r="P252">
            <v>0</v>
          </cell>
          <cell r="T252">
            <v>1</v>
          </cell>
          <cell r="Y252">
            <v>2</v>
          </cell>
        </row>
        <row r="253">
          <cell r="G253">
            <v>0</v>
          </cell>
          <cell r="H253">
            <v>1</v>
          </cell>
          <cell r="I253">
            <v>0</v>
          </cell>
          <cell r="J253">
            <v>0</v>
          </cell>
          <cell r="K253">
            <v>0</v>
          </cell>
          <cell r="M253">
            <v>0</v>
          </cell>
          <cell r="O253">
            <v>0</v>
          </cell>
          <cell r="P253">
            <v>0</v>
          </cell>
          <cell r="T253">
            <v>0</v>
          </cell>
          <cell r="Y253">
            <v>1</v>
          </cell>
        </row>
        <row r="254">
          <cell r="F254">
            <v>8</v>
          </cell>
          <cell r="H254">
            <v>15</v>
          </cell>
          <cell r="I254">
            <v>35</v>
          </cell>
          <cell r="J254">
            <v>35</v>
          </cell>
          <cell r="K254">
            <v>0</v>
          </cell>
          <cell r="M254">
            <v>0</v>
          </cell>
          <cell r="O254">
            <v>4</v>
          </cell>
          <cell r="P254">
            <v>5</v>
          </cell>
          <cell r="T254">
            <v>19</v>
          </cell>
          <cell r="U254">
            <v>0</v>
          </cell>
          <cell r="Y254">
            <v>121</v>
          </cell>
        </row>
        <row r="255">
          <cell r="F255">
            <v>5</v>
          </cell>
          <cell r="H255">
            <v>8</v>
          </cell>
          <cell r="I255">
            <v>3</v>
          </cell>
          <cell r="J255">
            <v>10</v>
          </cell>
          <cell r="K255">
            <v>1</v>
          </cell>
          <cell r="M255">
            <v>0</v>
          </cell>
          <cell r="O255">
            <v>0</v>
          </cell>
          <cell r="P255">
            <v>0</v>
          </cell>
          <cell r="T255">
            <v>21</v>
          </cell>
          <cell r="U255">
            <v>0</v>
          </cell>
          <cell r="Y255">
            <v>48</v>
          </cell>
        </row>
        <row r="256">
          <cell r="F256">
            <v>0</v>
          </cell>
          <cell r="H256">
            <v>2</v>
          </cell>
          <cell r="I256">
            <v>6</v>
          </cell>
          <cell r="J256">
            <v>11</v>
          </cell>
          <cell r="K256">
            <v>4</v>
          </cell>
          <cell r="M256">
            <v>0</v>
          </cell>
          <cell r="O256">
            <v>0</v>
          </cell>
          <cell r="P256">
            <v>0</v>
          </cell>
          <cell r="T256">
            <v>1</v>
          </cell>
          <cell r="U256">
            <v>0</v>
          </cell>
          <cell r="Y256">
            <v>24</v>
          </cell>
        </row>
        <row r="257">
          <cell r="F257">
            <v>0</v>
          </cell>
          <cell r="H257">
            <v>0</v>
          </cell>
          <cell r="I257">
            <v>4</v>
          </cell>
          <cell r="J257">
            <v>1</v>
          </cell>
          <cell r="K257">
            <v>0</v>
          </cell>
          <cell r="M257">
            <v>0</v>
          </cell>
          <cell r="O257">
            <v>0</v>
          </cell>
          <cell r="P257">
            <v>0</v>
          </cell>
          <cell r="T257">
            <v>1</v>
          </cell>
          <cell r="U257">
            <v>0</v>
          </cell>
          <cell r="Y257">
            <v>6</v>
          </cell>
        </row>
        <row r="258">
          <cell r="F258">
            <v>1</v>
          </cell>
          <cell r="H258">
            <v>5</v>
          </cell>
          <cell r="I258">
            <v>4</v>
          </cell>
          <cell r="J258">
            <v>28</v>
          </cell>
          <cell r="K258">
            <v>0</v>
          </cell>
          <cell r="M258">
            <v>0</v>
          </cell>
          <cell r="O258">
            <v>0</v>
          </cell>
          <cell r="P258">
            <v>0</v>
          </cell>
          <cell r="T258">
            <v>9</v>
          </cell>
          <cell r="U258">
            <v>0</v>
          </cell>
          <cell r="Y258">
            <v>47</v>
          </cell>
        </row>
        <row r="259">
          <cell r="F259">
            <v>2</v>
          </cell>
          <cell r="H259">
            <v>2</v>
          </cell>
          <cell r="I259">
            <v>0</v>
          </cell>
          <cell r="J259">
            <v>21</v>
          </cell>
          <cell r="K259">
            <v>0</v>
          </cell>
          <cell r="M259">
            <v>0</v>
          </cell>
          <cell r="O259">
            <v>0</v>
          </cell>
          <cell r="P259">
            <v>0</v>
          </cell>
          <cell r="T259">
            <v>6</v>
          </cell>
          <cell r="U259">
            <v>0</v>
          </cell>
          <cell r="Y259">
            <v>31</v>
          </cell>
        </row>
        <row r="260">
          <cell r="F260">
            <v>0</v>
          </cell>
          <cell r="H260">
            <v>0</v>
          </cell>
          <cell r="I260">
            <v>0</v>
          </cell>
          <cell r="J260">
            <v>6</v>
          </cell>
          <cell r="K260">
            <v>0</v>
          </cell>
          <cell r="M260">
            <v>0</v>
          </cell>
          <cell r="O260">
            <v>0</v>
          </cell>
          <cell r="P260">
            <v>0</v>
          </cell>
          <cell r="T260">
            <v>4</v>
          </cell>
          <cell r="U260">
            <v>1</v>
          </cell>
          <cell r="Y260">
            <v>11</v>
          </cell>
        </row>
        <row r="261">
          <cell r="F261">
            <v>0</v>
          </cell>
          <cell r="H261">
            <v>0</v>
          </cell>
          <cell r="I261">
            <v>0</v>
          </cell>
          <cell r="J261">
            <v>3</v>
          </cell>
          <cell r="K261">
            <v>0</v>
          </cell>
          <cell r="M261">
            <v>0</v>
          </cell>
          <cell r="O261">
            <v>0</v>
          </cell>
          <cell r="P261">
            <v>0</v>
          </cell>
          <cell r="T261">
            <v>0</v>
          </cell>
          <cell r="U261">
            <v>0</v>
          </cell>
          <cell r="Y261">
            <v>3</v>
          </cell>
        </row>
        <row r="262">
          <cell r="F262">
            <v>0</v>
          </cell>
          <cell r="H262">
            <v>0</v>
          </cell>
          <cell r="I262">
            <v>0</v>
          </cell>
          <cell r="J262">
            <v>2</v>
          </cell>
          <cell r="K262">
            <v>0</v>
          </cell>
          <cell r="M262">
            <v>0</v>
          </cell>
          <cell r="O262">
            <v>1</v>
          </cell>
          <cell r="P262">
            <v>0</v>
          </cell>
          <cell r="T262">
            <v>0</v>
          </cell>
          <cell r="U262">
            <v>0</v>
          </cell>
          <cell r="Y262">
            <v>3</v>
          </cell>
        </row>
        <row r="263">
          <cell r="F263">
            <v>0</v>
          </cell>
          <cell r="H263">
            <v>0</v>
          </cell>
          <cell r="I263">
            <v>0</v>
          </cell>
          <cell r="J263">
            <v>1</v>
          </cell>
          <cell r="K263">
            <v>1</v>
          </cell>
          <cell r="M263">
            <v>0</v>
          </cell>
          <cell r="O263">
            <v>0</v>
          </cell>
          <cell r="P263">
            <v>1</v>
          </cell>
          <cell r="T263">
            <v>0</v>
          </cell>
          <cell r="U263">
            <v>1</v>
          </cell>
          <cell r="Y263">
            <v>4</v>
          </cell>
        </row>
        <row r="264">
          <cell r="F264">
            <v>0</v>
          </cell>
          <cell r="H264">
            <v>0</v>
          </cell>
          <cell r="I264">
            <v>0</v>
          </cell>
          <cell r="J264">
            <v>0</v>
          </cell>
          <cell r="K264">
            <v>0</v>
          </cell>
          <cell r="M264">
            <v>0</v>
          </cell>
          <cell r="O264">
            <v>0</v>
          </cell>
          <cell r="P264">
            <v>0</v>
          </cell>
          <cell r="T264">
            <v>1</v>
          </cell>
          <cell r="U264">
            <v>0</v>
          </cell>
          <cell r="Y264">
            <v>1</v>
          </cell>
        </row>
        <row r="265">
          <cell r="F265">
            <v>5</v>
          </cell>
          <cell r="G265">
            <v>2</v>
          </cell>
          <cell r="H265">
            <v>35</v>
          </cell>
          <cell r="I265">
            <v>6</v>
          </cell>
          <cell r="J265">
            <v>15</v>
          </cell>
          <cell r="K265">
            <v>9</v>
          </cell>
          <cell r="M265">
            <v>7</v>
          </cell>
          <cell r="O265">
            <v>11</v>
          </cell>
          <cell r="P265">
            <v>6</v>
          </cell>
          <cell r="T265">
            <v>39</v>
          </cell>
          <cell r="U265">
            <v>6</v>
          </cell>
          <cell r="Y265">
            <v>141</v>
          </cell>
        </row>
        <row r="266">
          <cell r="F266">
            <v>188</v>
          </cell>
          <cell r="G266">
            <v>512</v>
          </cell>
          <cell r="H266">
            <v>800</v>
          </cell>
          <cell r="I266">
            <v>503</v>
          </cell>
          <cell r="J266">
            <v>1967</v>
          </cell>
          <cell r="K266">
            <v>349</v>
          </cell>
          <cell r="M266">
            <v>110</v>
          </cell>
          <cell r="O266">
            <v>417</v>
          </cell>
          <cell r="P266">
            <v>202</v>
          </cell>
          <cell r="S266">
            <v>420</v>
          </cell>
          <cell r="T266">
            <v>1312</v>
          </cell>
          <cell r="U266">
            <v>194</v>
          </cell>
          <cell r="Y266">
            <v>6974</v>
          </cell>
        </row>
        <row r="267">
          <cell r="F267">
            <v>0</v>
          </cell>
          <cell r="G267">
            <v>35</v>
          </cell>
          <cell r="H267">
            <v>46</v>
          </cell>
          <cell r="I267">
            <v>13</v>
          </cell>
          <cell r="J267">
            <v>0</v>
          </cell>
          <cell r="K267">
            <v>0</v>
          </cell>
          <cell r="M267">
            <v>6</v>
          </cell>
          <cell r="O267">
            <v>0</v>
          </cell>
          <cell r="P267">
            <v>40</v>
          </cell>
          <cell r="S267">
            <v>0</v>
          </cell>
          <cell r="T267">
            <v>184</v>
          </cell>
          <cell r="Y267">
            <v>324</v>
          </cell>
        </row>
        <row r="268">
          <cell r="F268">
            <v>2</v>
          </cell>
          <cell r="G268">
            <v>42</v>
          </cell>
          <cell r="H268">
            <v>67</v>
          </cell>
          <cell r="I268">
            <v>78</v>
          </cell>
          <cell r="J268">
            <v>386</v>
          </cell>
          <cell r="K268">
            <v>0</v>
          </cell>
          <cell r="M268">
            <v>0</v>
          </cell>
          <cell r="O268">
            <v>4</v>
          </cell>
          <cell r="P268">
            <v>8</v>
          </cell>
          <cell r="S268">
            <v>34</v>
          </cell>
          <cell r="T268">
            <v>46</v>
          </cell>
          <cell r="U268">
            <v>40</v>
          </cell>
          <cell r="Y268">
            <v>707</v>
          </cell>
        </row>
        <row r="269">
          <cell r="F269">
            <v>121</v>
          </cell>
          <cell r="G269">
            <v>53</v>
          </cell>
          <cell r="H269">
            <v>679</v>
          </cell>
          <cell r="I269">
            <v>430</v>
          </cell>
          <cell r="J269">
            <v>501</v>
          </cell>
          <cell r="K269">
            <v>98</v>
          </cell>
          <cell r="M269">
            <v>258</v>
          </cell>
          <cell r="O269">
            <v>886</v>
          </cell>
          <cell r="P269">
            <v>322</v>
          </cell>
          <cell r="S269">
            <v>173</v>
          </cell>
          <cell r="T269">
            <v>1697</v>
          </cell>
          <cell r="U269">
            <v>123</v>
          </cell>
          <cell r="Y269">
            <v>5341</v>
          </cell>
        </row>
        <row r="270">
          <cell r="F270">
            <v>0</v>
          </cell>
          <cell r="G270">
            <v>19</v>
          </cell>
          <cell r="H270">
            <v>44</v>
          </cell>
          <cell r="I270">
            <v>14</v>
          </cell>
          <cell r="J270">
            <v>0</v>
          </cell>
          <cell r="K270">
            <v>4</v>
          </cell>
          <cell r="M270">
            <v>344</v>
          </cell>
          <cell r="O270">
            <v>12</v>
          </cell>
          <cell r="P270">
            <v>26</v>
          </cell>
          <cell r="S270">
            <v>0</v>
          </cell>
          <cell r="T270">
            <v>129</v>
          </cell>
          <cell r="Y270">
            <v>592</v>
          </cell>
        </row>
        <row r="271">
          <cell r="F271">
            <v>0</v>
          </cell>
          <cell r="G271">
            <v>0</v>
          </cell>
          <cell r="H271">
            <v>41</v>
          </cell>
          <cell r="I271">
            <v>65</v>
          </cell>
          <cell r="J271">
            <v>42</v>
          </cell>
          <cell r="K271">
            <v>0</v>
          </cell>
          <cell r="M271">
            <v>0</v>
          </cell>
          <cell r="O271">
            <v>64</v>
          </cell>
          <cell r="P271">
            <v>4</v>
          </cell>
          <cell r="S271">
            <v>0</v>
          </cell>
          <cell r="T271">
            <v>221</v>
          </cell>
          <cell r="U271">
            <v>69</v>
          </cell>
          <cell r="Y271">
            <v>506</v>
          </cell>
        </row>
        <row r="272">
          <cell r="F272">
            <v>10</v>
          </cell>
          <cell r="G272">
            <v>17</v>
          </cell>
          <cell r="H272">
            <v>19</v>
          </cell>
          <cell r="I272">
            <v>25</v>
          </cell>
          <cell r="J272">
            <v>5</v>
          </cell>
          <cell r="K272">
            <v>18</v>
          </cell>
          <cell r="M272">
            <v>0</v>
          </cell>
          <cell r="O272">
            <v>24</v>
          </cell>
          <cell r="P272">
            <v>0</v>
          </cell>
          <cell r="S272">
            <v>3</v>
          </cell>
          <cell r="T272">
            <v>79</v>
          </cell>
          <cell r="U272">
            <v>1</v>
          </cell>
          <cell r="Y272">
            <v>201</v>
          </cell>
        </row>
        <row r="273">
          <cell r="F273">
            <v>10</v>
          </cell>
          <cell r="G273">
            <v>26</v>
          </cell>
          <cell r="H273">
            <v>46</v>
          </cell>
          <cell r="I273">
            <v>19</v>
          </cell>
          <cell r="J273">
            <v>108</v>
          </cell>
          <cell r="K273">
            <v>6</v>
          </cell>
          <cell r="M273">
            <v>24</v>
          </cell>
          <cell r="O273">
            <v>57</v>
          </cell>
          <cell r="P273">
            <v>4</v>
          </cell>
          <cell r="S273">
            <v>2</v>
          </cell>
          <cell r="T273">
            <v>203</v>
          </cell>
          <cell r="U273">
            <v>6</v>
          </cell>
          <cell r="Y273">
            <v>511</v>
          </cell>
        </row>
        <row r="274">
          <cell r="F274">
            <v>199</v>
          </cell>
          <cell r="G274">
            <v>425</v>
          </cell>
          <cell r="H274">
            <v>1141</v>
          </cell>
          <cell r="I274">
            <v>171</v>
          </cell>
          <cell r="J274">
            <v>2497</v>
          </cell>
          <cell r="K274">
            <v>267</v>
          </cell>
          <cell r="M274">
            <v>208</v>
          </cell>
          <cell r="O274">
            <v>679</v>
          </cell>
          <cell r="P274">
            <v>104</v>
          </cell>
          <cell r="S274">
            <v>627</v>
          </cell>
          <cell r="T274">
            <v>1529</v>
          </cell>
          <cell r="U274">
            <v>274</v>
          </cell>
          <cell r="Y274">
            <v>8121</v>
          </cell>
        </row>
        <row r="275">
          <cell r="F275">
            <v>38</v>
          </cell>
          <cell r="G275">
            <v>3</v>
          </cell>
          <cell r="H275">
            <v>322</v>
          </cell>
          <cell r="I275">
            <v>918</v>
          </cell>
          <cell r="J275">
            <v>508</v>
          </cell>
          <cell r="K275">
            <v>8</v>
          </cell>
          <cell r="M275">
            <v>669</v>
          </cell>
          <cell r="O275">
            <v>514</v>
          </cell>
          <cell r="P275">
            <v>409</v>
          </cell>
          <cell r="S275">
            <v>46</v>
          </cell>
          <cell r="T275">
            <v>925</v>
          </cell>
          <cell r="U275">
            <v>20</v>
          </cell>
          <cell r="Y275">
            <v>4380</v>
          </cell>
        </row>
        <row r="276">
          <cell r="F276">
            <v>31</v>
          </cell>
          <cell r="G276">
            <v>12</v>
          </cell>
          <cell r="H276">
            <v>44</v>
          </cell>
          <cell r="I276">
            <v>98</v>
          </cell>
          <cell r="J276">
            <v>83</v>
          </cell>
          <cell r="K276">
            <v>39</v>
          </cell>
          <cell r="M276">
            <v>23</v>
          </cell>
          <cell r="O276">
            <v>30</v>
          </cell>
          <cell r="P276">
            <v>8</v>
          </cell>
          <cell r="S276">
            <v>1</v>
          </cell>
          <cell r="T276">
            <v>301</v>
          </cell>
          <cell r="U276">
            <v>23</v>
          </cell>
          <cell r="Y276">
            <v>693</v>
          </cell>
        </row>
        <row r="277">
          <cell r="F277">
            <v>64</v>
          </cell>
          <cell r="G277">
            <v>42</v>
          </cell>
          <cell r="H277">
            <v>91</v>
          </cell>
          <cell r="I277">
            <v>110</v>
          </cell>
          <cell r="J277">
            <v>334</v>
          </cell>
          <cell r="K277">
            <v>0</v>
          </cell>
          <cell r="M277">
            <v>194</v>
          </cell>
          <cell r="O277">
            <v>227</v>
          </cell>
          <cell r="P277">
            <v>28</v>
          </cell>
          <cell r="S277">
            <v>13</v>
          </cell>
          <cell r="T277">
            <v>775</v>
          </cell>
          <cell r="U277">
            <v>48</v>
          </cell>
          <cell r="Y277">
            <v>1926</v>
          </cell>
        </row>
        <row r="278">
          <cell r="F278">
            <v>14</v>
          </cell>
          <cell r="G278">
            <v>21</v>
          </cell>
          <cell r="H278">
            <v>12</v>
          </cell>
          <cell r="I278">
            <v>13</v>
          </cell>
          <cell r="J278">
            <v>2</v>
          </cell>
          <cell r="K278">
            <v>9</v>
          </cell>
          <cell r="M278">
            <v>0</v>
          </cell>
          <cell r="O278">
            <v>0</v>
          </cell>
          <cell r="P278">
            <v>18</v>
          </cell>
          <cell r="S278">
            <v>13</v>
          </cell>
          <cell r="T278">
            <v>19</v>
          </cell>
          <cell r="U278">
            <v>21</v>
          </cell>
          <cell r="Y278">
            <v>142</v>
          </cell>
        </row>
        <row r="279">
          <cell r="F279">
            <v>1</v>
          </cell>
          <cell r="G279">
            <v>0</v>
          </cell>
          <cell r="H279">
            <v>26</v>
          </cell>
          <cell r="J279">
            <v>7</v>
          </cell>
          <cell r="K279">
            <v>0</v>
          </cell>
          <cell r="M279">
            <v>4</v>
          </cell>
          <cell r="O279">
            <v>6</v>
          </cell>
          <cell r="P279">
            <v>0</v>
          </cell>
          <cell r="S279">
            <v>0</v>
          </cell>
          <cell r="T279">
            <v>2</v>
          </cell>
          <cell r="Y279">
            <v>46</v>
          </cell>
        </row>
        <row r="280">
          <cell r="F280">
            <v>0</v>
          </cell>
          <cell r="G280">
            <v>0</v>
          </cell>
          <cell r="H280">
            <v>1</v>
          </cell>
          <cell r="J280">
            <v>0</v>
          </cell>
          <cell r="K280">
            <v>0</v>
          </cell>
          <cell r="M280">
            <v>0</v>
          </cell>
          <cell r="O280">
            <v>0</v>
          </cell>
          <cell r="P280">
            <v>0</v>
          </cell>
          <cell r="T280">
            <v>1</v>
          </cell>
          <cell r="Y280">
            <v>2</v>
          </cell>
        </row>
        <row r="281">
          <cell r="F281">
            <v>126</v>
          </cell>
          <cell r="G281">
            <v>245</v>
          </cell>
          <cell r="H281">
            <v>312</v>
          </cell>
          <cell r="I281">
            <v>790</v>
          </cell>
          <cell r="J281">
            <v>1316</v>
          </cell>
          <cell r="K281">
            <v>244</v>
          </cell>
          <cell r="M281">
            <v>283</v>
          </cell>
          <cell r="O281">
            <v>578</v>
          </cell>
          <cell r="P281">
            <v>230</v>
          </cell>
          <cell r="S281">
            <v>181</v>
          </cell>
          <cell r="T281">
            <v>1258</v>
          </cell>
          <cell r="U281">
            <v>122</v>
          </cell>
          <cell r="Y281">
            <v>5685</v>
          </cell>
        </row>
        <row r="282">
          <cell r="F282">
            <v>1</v>
          </cell>
          <cell r="G282">
            <v>36</v>
          </cell>
          <cell r="H282">
            <v>0</v>
          </cell>
          <cell r="I282">
            <v>12</v>
          </cell>
          <cell r="J282">
            <v>0</v>
          </cell>
          <cell r="K282">
            <v>0</v>
          </cell>
          <cell r="M282">
            <v>22</v>
          </cell>
          <cell r="O282">
            <v>25</v>
          </cell>
          <cell r="P282">
            <v>6</v>
          </cell>
          <cell r="T282">
            <v>0</v>
          </cell>
          <cell r="Y282">
            <v>102</v>
          </cell>
        </row>
        <row r="283">
          <cell r="F283">
            <v>3</v>
          </cell>
          <cell r="G283">
            <v>25</v>
          </cell>
          <cell r="H283">
            <v>2</v>
          </cell>
          <cell r="I283">
            <v>80</v>
          </cell>
          <cell r="J283">
            <v>435</v>
          </cell>
          <cell r="K283">
            <v>0</v>
          </cell>
          <cell r="M283">
            <v>0</v>
          </cell>
          <cell r="O283">
            <v>20</v>
          </cell>
          <cell r="P283">
            <v>103</v>
          </cell>
          <cell r="S283">
            <v>17</v>
          </cell>
          <cell r="T283">
            <v>98</v>
          </cell>
          <cell r="U283">
            <v>2</v>
          </cell>
          <cell r="Y283">
            <v>785</v>
          </cell>
        </row>
        <row r="284">
          <cell r="F284">
            <v>4</v>
          </cell>
          <cell r="G284">
            <v>50</v>
          </cell>
          <cell r="H284">
            <v>26</v>
          </cell>
          <cell r="I284">
            <v>3</v>
          </cell>
          <cell r="J284">
            <v>45</v>
          </cell>
          <cell r="K284">
            <v>4</v>
          </cell>
          <cell r="M284">
            <v>58</v>
          </cell>
          <cell r="O284">
            <v>35</v>
          </cell>
          <cell r="P284">
            <v>0</v>
          </cell>
          <cell r="S284">
            <v>18</v>
          </cell>
          <cell r="T284">
            <v>78</v>
          </cell>
          <cell r="U284">
            <v>8</v>
          </cell>
          <cell r="Y284">
            <v>329</v>
          </cell>
        </row>
        <row r="285">
          <cell r="F285">
            <v>4</v>
          </cell>
          <cell r="G285">
            <v>6</v>
          </cell>
          <cell r="H285">
            <v>35</v>
          </cell>
          <cell r="I285">
            <v>8</v>
          </cell>
          <cell r="J285">
            <v>94</v>
          </cell>
          <cell r="K285">
            <v>28</v>
          </cell>
          <cell r="M285">
            <v>55</v>
          </cell>
          <cell r="O285">
            <v>27</v>
          </cell>
          <cell r="P285">
            <v>0</v>
          </cell>
          <cell r="S285">
            <v>5</v>
          </cell>
          <cell r="T285">
            <v>102</v>
          </cell>
          <cell r="Y285">
            <v>364</v>
          </cell>
        </row>
        <row r="286">
          <cell r="F286">
            <v>3</v>
          </cell>
          <cell r="G286">
            <v>16</v>
          </cell>
          <cell r="H286">
            <v>101</v>
          </cell>
          <cell r="I286">
            <v>44</v>
          </cell>
          <cell r="J286">
            <v>85</v>
          </cell>
          <cell r="K286">
            <v>22</v>
          </cell>
          <cell r="M286">
            <v>14</v>
          </cell>
          <cell r="O286">
            <v>39</v>
          </cell>
          <cell r="P286">
            <v>10</v>
          </cell>
          <cell r="S286">
            <v>12</v>
          </cell>
          <cell r="T286">
            <v>84</v>
          </cell>
          <cell r="U286">
            <v>14</v>
          </cell>
          <cell r="Y286">
            <v>444</v>
          </cell>
        </row>
        <row r="287">
          <cell r="F287">
            <v>0</v>
          </cell>
          <cell r="G287">
            <v>0</v>
          </cell>
          <cell r="I287">
            <v>3</v>
          </cell>
          <cell r="J287">
            <v>0</v>
          </cell>
          <cell r="K287">
            <v>0</v>
          </cell>
          <cell r="M287">
            <v>0</v>
          </cell>
          <cell r="O287">
            <v>0</v>
          </cell>
          <cell r="P287">
            <v>0</v>
          </cell>
          <cell r="T287">
            <v>1</v>
          </cell>
          <cell r="Y287">
            <v>4</v>
          </cell>
        </row>
        <row r="288">
          <cell r="F288">
            <v>21</v>
          </cell>
          <cell r="G288">
            <v>31</v>
          </cell>
          <cell r="I288">
            <v>78</v>
          </cell>
          <cell r="J288">
            <v>103</v>
          </cell>
          <cell r="K288">
            <v>2</v>
          </cell>
          <cell r="M288">
            <v>43</v>
          </cell>
          <cell r="O288">
            <v>0</v>
          </cell>
          <cell r="P288">
            <v>29</v>
          </cell>
          <cell r="S288">
            <v>2</v>
          </cell>
          <cell r="T288">
            <v>51</v>
          </cell>
          <cell r="Y288">
            <v>360</v>
          </cell>
        </row>
        <row r="289">
          <cell r="F289">
            <v>8</v>
          </cell>
          <cell r="G289">
            <v>38</v>
          </cell>
          <cell r="I289">
            <v>21</v>
          </cell>
          <cell r="J289">
            <v>276</v>
          </cell>
          <cell r="K289">
            <v>0</v>
          </cell>
          <cell r="M289">
            <v>0</v>
          </cell>
          <cell r="O289">
            <v>0</v>
          </cell>
          <cell r="P289">
            <v>27</v>
          </cell>
          <cell r="S289">
            <v>106</v>
          </cell>
          <cell r="T289">
            <v>180</v>
          </cell>
          <cell r="U289">
            <v>50</v>
          </cell>
          <cell r="Y289">
            <v>706</v>
          </cell>
        </row>
        <row r="290">
          <cell r="F290">
            <v>0</v>
          </cell>
          <cell r="G290">
            <v>7</v>
          </cell>
          <cell r="I290">
            <v>18</v>
          </cell>
          <cell r="J290">
            <v>0</v>
          </cell>
          <cell r="K290">
            <v>63</v>
          </cell>
          <cell r="M290">
            <v>0</v>
          </cell>
          <cell r="O290">
            <v>225</v>
          </cell>
          <cell r="P290">
            <v>1</v>
          </cell>
          <cell r="S290">
            <v>1</v>
          </cell>
          <cell r="T290">
            <v>29</v>
          </cell>
          <cell r="Y290">
            <v>344</v>
          </cell>
        </row>
        <row r="291">
          <cell r="F291">
            <v>3</v>
          </cell>
          <cell r="G291">
            <v>3</v>
          </cell>
          <cell r="I291">
            <v>17</v>
          </cell>
          <cell r="J291">
            <v>1</v>
          </cell>
          <cell r="K291">
            <v>2</v>
          </cell>
          <cell r="M291">
            <v>11</v>
          </cell>
          <cell r="O291">
            <v>0</v>
          </cell>
          <cell r="P291">
            <v>1</v>
          </cell>
          <cell r="T291">
            <v>24</v>
          </cell>
          <cell r="U291">
            <v>7</v>
          </cell>
          <cell r="Y291">
            <v>69</v>
          </cell>
        </row>
        <row r="292">
          <cell r="F292">
            <v>0</v>
          </cell>
          <cell r="G292">
            <v>4</v>
          </cell>
          <cell r="I292">
            <v>4</v>
          </cell>
          <cell r="J292">
            <v>2</v>
          </cell>
          <cell r="K292">
            <v>0</v>
          </cell>
          <cell r="M292">
            <v>11</v>
          </cell>
          <cell r="O292">
            <v>20</v>
          </cell>
          <cell r="P292">
            <v>2</v>
          </cell>
          <cell r="T292">
            <v>0</v>
          </cell>
          <cell r="Y292">
            <v>43</v>
          </cell>
        </row>
        <row r="293">
          <cell r="F293">
            <v>3</v>
          </cell>
          <cell r="G293">
            <v>13</v>
          </cell>
          <cell r="I293">
            <v>6</v>
          </cell>
          <cell r="J293">
            <v>40</v>
          </cell>
          <cell r="K293">
            <v>16</v>
          </cell>
          <cell r="M293">
            <v>0</v>
          </cell>
          <cell r="O293">
            <v>22</v>
          </cell>
          <cell r="P293">
            <v>8</v>
          </cell>
          <cell r="T293">
            <v>21</v>
          </cell>
          <cell r="U293">
            <v>1</v>
          </cell>
          <cell r="Y293">
            <v>130</v>
          </cell>
        </row>
        <row r="294">
          <cell r="F294">
            <v>544</v>
          </cell>
          <cell r="G294">
            <v>1471</v>
          </cell>
          <cell r="H294">
            <v>3317</v>
          </cell>
          <cell r="I294">
            <v>3100</v>
          </cell>
          <cell r="J294">
            <v>7397</v>
          </cell>
          <cell r="K294">
            <v>1163</v>
          </cell>
          <cell r="M294">
            <v>1908</v>
          </cell>
          <cell r="O294">
            <v>3424</v>
          </cell>
          <cell r="P294">
            <v>1381</v>
          </cell>
          <cell r="S294">
            <v>1661</v>
          </cell>
          <cell r="T294">
            <v>8093</v>
          </cell>
          <cell r="U294">
            <v>822</v>
          </cell>
          <cell r="Y294">
            <v>34281</v>
          </cell>
        </row>
        <row r="295">
          <cell r="F295">
            <v>250</v>
          </cell>
          <cell r="G295">
            <v>173</v>
          </cell>
          <cell r="H295">
            <v>421</v>
          </cell>
          <cell r="I295">
            <v>216</v>
          </cell>
          <cell r="K295">
            <v>2</v>
          </cell>
          <cell r="M295">
            <v>268</v>
          </cell>
          <cell r="O295">
            <v>166</v>
          </cell>
          <cell r="P295">
            <v>187</v>
          </cell>
          <cell r="S295">
            <v>39</v>
          </cell>
          <cell r="T295">
            <v>955</v>
          </cell>
          <cell r="U295">
            <v>109</v>
          </cell>
          <cell r="Y295">
            <v>2786</v>
          </cell>
        </row>
        <row r="296">
          <cell r="F296">
            <v>34</v>
          </cell>
          <cell r="G296">
            <v>15</v>
          </cell>
          <cell r="H296">
            <v>104</v>
          </cell>
          <cell r="I296">
            <v>18</v>
          </cell>
          <cell r="J296">
            <v>1160</v>
          </cell>
          <cell r="K296">
            <v>5</v>
          </cell>
          <cell r="M296">
            <v>51</v>
          </cell>
          <cell r="O296">
            <v>332</v>
          </cell>
          <cell r="P296">
            <v>28</v>
          </cell>
          <cell r="S296">
            <v>13</v>
          </cell>
          <cell r="T296">
            <v>263</v>
          </cell>
          <cell r="U296">
            <v>22</v>
          </cell>
          <cell r="Y296">
            <v>2045</v>
          </cell>
        </row>
        <row r="297">
          <cell r="F297">
            <v>0</v>
          </cell>
          <cell r="G297">
            <v>0</v>
          </cell>
          <cell r="H297">
            <v>4</v>
          </cell>
          <cell r="J297">
            <v>1</v>
          </cell>
          <cell r="K297">
            <v>0</v>
          </cell>
          <cell r="M297">
            <v>0</v>
          </cell>
          <cell r="O297">
            <v>0</v>
          </cell>
          <cell r="P297">
            <v>1</v>
          </cell>
          <cell r="T297">
            <v>1</v>
          </cell>
          <cell r="U297">
            <v>2</v>
          </cell>
          <cell r="Y297">
            <v>9</v>
          </cell>
        </row>
        <row r="298">
          <cell r="F298">
            <v>7</v>
          </cell>
          <cell r="G298">
            <v>2</v>
          </cell>
          <cell r="H298">
            <v>19</v>
          </cell>
          <cell r="I298">
            <v>17</v>
          </cell>
          <cell r="J298">
            <v>71</v>
          </cell>
          <cell r="K298">
            <v>1</v>
          </cell>
          <cell r="M298">
            <v>21</v>
          </cell>
          <cell r="O298">
            <v>14</v>
          </cell>
          <cell r="P298">
            <v>22</v>
          </cell>
          <cell r="S298">
            <v>29</v>
          </cell>
          <cell r="T298">
            <v>81</v>
          </cell>
          <cell r="U298">
            <v>10</v>
          </cell>
          <cell r="Y298">
            <v>294</v>
          </cell>
        </row>
        <row r="299">
          <cell r="F299">
            <v>0</v>
          </cell>
          <cell r="G299">
            <v>0</v>
          </cell>
          <cell r="H299">
            <v>0</v>
          </cell>
          <cell r="I299">
            <v>1</v>
          </cell>
          <cell r="J299">
            <v>0</v>
          </cell>
          <cell r="K299">
            <v>0</v>
          </cell>
          <cell r="M299">
            <v>6</v>
          </cell>
          <cell r="O299">
            <v>0</v>
          </cell>
          <cell r="P299">
            <v>2</v>
          </cell>
          <cell r="S299">
            <v>0</v>
          </cell>
          <cell r="T299">
            <v>3</v>
          </cell>
          <cell r="Y299">
            <v>12</v>
          </cell>
        </row>
        <row r="300">
          <cell r="F300">
            <v>0</v>
          </cell>
          <cell r="G300">
            <v>4</v>
          </cell>
          <cell r="H300">
            <v>2</v>
          </cell>
          <cell r="I300">
            <v>1</v>
          </cell>
          <cell r="J300">
            <v>2</v>
          </cell>
          <cell r="K300">
            <v>0</v>
          </cell>
          <cell r="M300">
            <v>0</v>
          </cell>
          <cell r="O300">
            <v>0</v>
          </cell>
          <cell r="P300">
            <v>3</v>
          </cell>
          <cell r="S300">
            <v>0</v>
          </cell>
          <cell r="T300">
            <v>0</v>
          </cell>
          <cell r="U300">
            <v>2</v>
          </cell>
          <cell r="Y300">
            <v>14</v>
          </cell>
        </row>
        <row r="301">
          <cell r="F301">
            <v>26</v>
          </cell>
          <cell r="G301">
            <v>5</v>
          </cell>
          <cell r="H301">
            <v>71</v>
          </cell>
          <cell r="I301">
            <v>17</v>
          </cell>
          <cell r="J301">
            <v>42</v>
          </cell>
          <cell r="K301">
            <v>0</v>
          </cell>
          <cell r="M301">
            <v>8</v>
          </cell>
          <cell r="O301">
            <v>11</v>
          </cell>
          <cell r="P301">
            <v>12</v>
          </cell>
          <cell r="S301">
            <v>0</v>
          </cell>
          <cell r="T301">
            <v>60</v>
          </cell>
          <cell r="U301">
            <v>5</v>
          </cell>
          <cell r="Y301">
            <v>257</v>
          </cell>
        </row>
        <row r="302">
          <cell r="F302">
            <v>0</v>
          </cell>
          <cell r="G302">
            <v>0</v>
          </cell>
          <cell r="H302">
            <v>0</v>
          </cell>
          <cell r="I302">
            <v>3</v>
          </cell>
          <cell r="J302">
            <v>0</v>
          </cell>
          <cell r="K302">
            <v>0</v>
          </cell>
          <cell r="M302">
            <v>10</v>
          </cell>
          <cell r="O302">
            <v>0</v>
          </cell>
          <cell r="P302">
            <v>0</v>
          </cell>
          <cell r="S302">
            <v>0</v>
          </cell>
          <cell r="T302">
            <v>2</v>
          </cell>
          <cell r="Y302">
            <v>15</v>
          </cell>
        </row>
        <row r="303">
          <cell r="F303">
            <v>0</v>
          </cell>
          <cell r="G303">
            <v>0</v>
          </cell>
          <cell r="H303">
            <v>4</v>
          </cell>
          <cell r="J303">
            <v>0</v>
          </cell>
          <cell r="K303">
            <v>0</v>
          </cell>
          <cell r="M303">
            <v>0</v>
          </cell>
          <cell r="O303">
            <v>0</v>
          </cell>
          <cell r="P303">
            <v>0</v>
          </cell>
          <cell r="S303">
            <v>0</v>
          </cell>
          <cell r="T303">
            <v>0</v>
          </cell>
          <cell r="U303">
            <v>4</v>
          </cell>
          <cell r="Y303">
            <v>8</v>
          </cell>
        </row>
        <row r="304">
          <cell r="F304">
            <v>9</v>
          </cell>
          <cell r="G304">
            <v>0</v>
          </cell>
          <cell r="H304">
            <v>2</v>
          </cell>
          <cell r="I304">
            <v>1</v>
          </cell>
          <cell r="J304">
            <v>5</v>
          </cell>
          <cell r="K304">
            <v>1</v>
          </cell>
          <cell r="M304">
            <v>0</v>
          </cell>
          <cell r="O304">
            <v>1</v>
          </cell>
          <cell r="P304">
            <v>0</v>
          </cell>
          <cell r="S304">
            <v>0</v>
          </cell>
          <cell r="T304">
            <v>3</v>
          </cell>
          <cell r="U304">
            <v>1</v>
          </cell>
          <cell r="Y304">
            <v>23</v>
          </cell>
        </row>
        <row r="305">
          <cell r="F305">
            <v>10</v>
          </cell>
          <cell r="G305">
            <v>2</v>
          </cell>
          <cell r="H305">
            <v>37</v>
          </cell>
          <cell r="I305">
            <v>8</v>
          </cell>
          <cell r="J305">
            <v>28</v>
          </cell>
          <cell r="K305">
            <v>0</v>
          </cell>
          <cell r="M305">
            <v>17</v>
          </cell>
          <cell r="O305">
            <v>10</v>
          </cell>
          <cell r="P305">
            <v>2</v>
          </cell>
          <cell r="S305">
            <v>0</v>
          </cell>
          <cell r="T305">
            <v>77</v>
          </cell>
          <cell r="U305">
            <v>3</v>
          </cell>
          <cell r="Y305">
            <v>194</v>
          </cell>
        </row>
        <row r="306">
          <cell r="F306">
            <v>39</v>
          </cell>
          <cell r="G306">
            <v>8</v>
          </cell>
          <cell r="H306">
            <v>65</v>
          </cell>
          <cell r="I306">
            <v>58</v>
          </cell>
          <cell r="J306">
            <v>98</v>
          </cell>
          <cell r="K306">
            <v>1</v>
          </cell>
          <cell r="M306">
            <v>34</v>
          </cell>
          <cell r="O306">
            <v>17</v>
          </cell>
          <cell r="P306">
            <v>15</v>
          </cell>
          <cell r="S306">
            <v>13</v>
          </cell>
          <cell r="T306">
            <v>123</v>
          </cell>
          <cell r="U306">
            <v>14</v>
          </cell>
          <cell r="Y306">
            <v>485</v>
          </cell>
        </row>
        <row r="307">
          <cell r="F307">
            <v>37</v>
          </cell>
          <cell r="G307">
            <v>3</v>
          </cell>
          <cell r="H307">
            <v>45</v>
          </cell>
          <cell r="J307">
            <v>172</v>
          </cell>
          <cell r="K307">
            <v>0</v>
          </cell>
          <cell r="M307">
            <v>5</v>
          </cell>
          <cell r="O307">
            <v>23</v>
          </cell>
          <cell r="P307">
            <v>4</v>
          </cell>
          <cell r="S307">
            <v>0</v>
          </cell>
          <cell r="T307">
            <v>107</v>
          </cell>
          <cell r="U307">
            <v>20</v>
          </cell>
          <cell r="Y307">
            <v>416</v>
          </cell>
        </row>
        <row r="308">
          <cell r="F308">
            <v>31</v>
          </cell>
          <cell r="G308">
            <v>10</v>
          </cell>
          <cell r="H308">
            <v>43</v>
          </cell>
          <cell r="I308">
            <v>33</v>
          </cell>
          <cell r="J308">
            <v>58</v>
          </cell>
          <cell r="K308">
            <v>0</v>
          </cell>
          <cell r="M308">
            <v>21</v>
          </cell>
          <cell r="O308">
            <v>15</v>
          </cell>
          <cell r="P308">
            <v>8</v>
          </cell>
          <cell r="S308">
            <v>0</v>
          </cell>
          <cell r="T308">
            <v>137</v>
          </cell>
          <cell r="U308">
            <v>12</v>
          </cell>
          <cell r="Y308">
            <v>368</v>
          </cell>
        </row>
        <row r="309">
          <cell r="F309">
            <v>56</v>
          </cell>
          <cell r="G309">
            <v>38</v>
          </cell>
          <cell r="H309">
            <v>62</v>
          </cell>
          <cell r="I309">
            <v>21</v>
          </cell>
          <cell r="J309">
            <v>191</v>
          </cell>
          <cell r="K309">
            <v>2</v>
          </cell>
          <cell r="M309">
            <v>58</v>
          </cell>
          <cell r="O309">
            <v>69</v>
          </cell>
          <cell r="P309">
            <v>28</v>
          </cell>
          <cell r="S309">
            <v>33</v>
          </cell>
          <cell r="T309">
            <v>308</v>
          </cell>
          <cell r="U309">
            <v>15</v>
          </cell>
          <cell r="Y309">
            <v>881</v>
          </cell>
        </row>
        <row r="310">
          <cell r="F310">
            <v>0</v>
          </cell>
          <cell r="G310">
            <v>0</v>
          </cell>
          <cell r="H310">
            <v>0</v>
          </cell>
          <cell r="J310">
            <v>1</v>
          </cell>
          <cell r="K310">
            <v>0</v>
          </cell>
          <cell r="M310">
            <v>0</v>
          </cell>
          <cell r="O310">
            <v>0</v>
          </cell>
          <cell r="P310">
            <v>0</v>
          </cell>
          <cell r="S310">
            <v>0</v>
          </cell>
          <cell r="T310">
            <v>5</v>
          </cell>
          <cell r="U310">
            <v>1</v>
          </cell>
          <cell r="Y310">
            <v>7</v>
          </cell>
        </row>
        <row r="311">
          <cell r="F311">
            <v>1</v>
          </cell>
          <cell r="G311">
            <v>0</v>
          </cell>
          <cell r="H311">
            <v>2</v>
          </cell>
          <cell r="J311">
            <v>1</v>
          </cell>
          <cell r="K311">
            <v>0</v>
          </cell>
          <cell r="M311">
            <v>0</v>
          </cell>
          <cell r="O311">
            <v>0</v>
          </cell>
          <cell r="P311">
            <v>0</v>
          </cell>
          <cell r="S311">
            <v>0</v>
          </cell>
          <cell r="T311">
            <v>1</v>
          </cell>
          <cell r="Y311">
            <v>5</v>
          </cell>
        </row>
        <row r="312">
          <cell r="F312">
            <v>0</v>
          </cell>
          <cell r="G312">
            <v>0</v>
          </cell>
          <cell r="H312">
            <v>1</v>
          </cell>
          <cell r="J312">
            <v>0</v>
          </cell>
          <cell r="K312">
            <v>0</v>
          </cell>
          <cell r="M312">
            <v>0</v>
          </cell>
          <cell r="O312">
            <v>0</v>
          </cell>
          <cell r="P312">
            <v>0</v>
          </cell>
          <cell r="S312">
            <v>0</v>
          </cell>
          <cell r="T312">
            <v>0</v>
          </cell>
          <cell r="Y312">
            <v>1</v>
          </cell>
        </row>
        <row r="313">
          <cell r="F313">
            <v>57</v>
          </cell>
          <cell r="G313">
            <v>113</v>
          </cell>
          <cell r="H313">
            <v>81</v>
          </cell>
          <cell r="I313">
            <v>63</v>
          </cell>
          <cell r="J313">
            <v>194</v>
          </cell>
          <cell r="K313">
            <v>2</v>
          </cell>
          <cell r="M313">
            <v>76</v>
          </cell>
          <cell r="O313">
            <v>0</v>
          </cell>
          <cell r="P313">
            <v>86</v>
          </cell>
          <cell r="S313">
            <v>63</v>
          </cell>
          <cell r="T313">
            <v>245</v>
          </cell>
          <cell r="U313">
            <v>48</v>
          </cell>
          <cell r="Y313">
            <v>1028</v>
          </cell>
        </row>
        <row r="314">
          <cell r="F314">
            <v>1</v>
          </cell>
          <cell r="G314">
            <v>0</v>
          </cell>
          <cell r="H314">
            <v>0</v>
          </cell>
          <cell r="I314">
            <v>2</v>
          </cell>
          <cell r="J314">
            <v>0</v>
          </cell>
          <cell r="K314">
            <v>0</v>
          </cell>
          <cell r="M314">
            <v>0</v>
          </cell>
          <cell r="O314">
            <v>0</v>
          </cell>
          <cell r="P314">
            <v>0</v>
          </cell>
          <cell r="S314">
            <v>0</v>
          </cell>
          <cell r="T314">
            <v>0</v>
          </cell>
          <cell r="Y314">
            <v>3</v>
          </cell>
        </row>
        <row r="315">
          <cell r="F315">
            <v>3</v>
          </cell>
          <cell r="G315">
            <v>0</v>
          </cell>
          <cell r="H315">
            <v>2</v>
          </cell>
          <cell r="I315">
            <v>7</v>
          </cell>
          <cell r="J315">
            <v>35</v>
          </cell>
          <cell r="K315">
            <v>0</v>
          </cell>
          <cell r="M315">
            <v>0</v>
          </cell>
          <cell r="O315">
            <v>0</v>
          </cell>
          <cell r="P315">
            <v>20</v>
          </cell>
          <cell r="S315">
            <v>0</v>
          </cell>
          <cell r="T315">
            <v>3</v>
          </cell>
          <cell r="U315">
            <v>2</v>
          </cell>
          <cell r="Y315">
            <v>72</v>
          </cell>
        </row>
        <row r="316">
          <cell r="F316">
            <v>4</v>
          </cell>
          <cell r="G316">
            <v>0</v>
          </cell>
          <cell r="H316">
            <v>24</v>
          </cell>
          <cell r="I316">
            <v>2</v>
          </cell>
          <cell r="J316">
            <v>32</v>
          </cell>
          <cell r="K316">
            <v>1</v>
          </cell>
          <cell r="M316">
            <v>25</v>
          </cell>
          <cell r="O316">
            <v>38</v>
          </cell>
          <cell r="P316">
            <v>0</v>
          </cell>
          <cell r="S316">
            <v>0</v>
          </cell>
          <cell r="T316">
            <v>51</v>
          </cell>
          <cell r="U316">
            <v>6</v>
          </cell>
          <cell r="Y316">
            <v>183</v>
          </cell>
        </row>
        <row r="317">
          <cell r="F317">
            <v>1</v>
          </cell>
          <cell r="G317">
            <v>3</v>
          </cell>
          <cell r="H317">
            <v>22</v>
          </cell>
          <cell r="J317">
            <v>2</v>
          </cell>
          <cell r="K317">
            <v>0</v>
          </cell>
          <cell r="M317">
            <v>38</v>
          </cell>
          <cell r="O317">
            <v>0</v>
          </cell>
          <cell r="P317">
            <v>0</v>
          </cell>
          <cell r="S317">
            <v>0</v>
          </cell>
          <cell r="T317">
            <v>8</v>
          </cell>
          <cell r="Y317">
            <v>74</v>
          </cell>
        </row>
        <row r="318">
          <cell r="F318">
            <v>0</v>
          </cell>
          <cell r="G318">
            <v>0</v>
          </cell>
          <cell r="H318">
            <v>39</v>
          </cell>
          <cell r="J318">
            <v>0</v>
          </cell>
          <cell r="K318">
            <v>0</v>
          </cell>
          <cell r="M318">
            <v>0</v>
          </cell>
          <cell r="O318">
            <v>0</v>
          </cell>
          <cell r="P318">
            <v>0</v>
          </cell>
          <cell r="S318">
            <v>0</v>
          </cell>
          <cell r="T318">
            <v>0</v>
          </cell>
          <cell r="Y318">
            <v>39</v>
          </cell>
        </row>
        <row r="319">
          <cell r="F319">
            <v>0</v>
          </cell>
          <cell r="G319">
            <v>0</v>
          </cell>
          <cell r="H319">
            <v>0</v>
          </cell>
          <cell r="J319">
            <v>0</v>
          </cell>
          <cell r="K319">
            <v>0</v>
          </cell>
          <cell r="M319">
            <v>0</v>
          </cell>
          <cell r="O319">
            <v>0</v>
          </cell>
          <cell r="P319">
            <v>0</v>
          </cell>
          <cell r="S319">
            <v>0</v>
          </cell>
          <cell r="T319">
            <v>0</v>
          </cell>
          <cell r="Y319">
            <v>0</v>
          </cell>
        </row>
        <row r="320">
          <cell r="F320">
            <v>0</v>
          </cell>
          <cell r="G320">
            <v>0</v>
          </cell>
          <cell r="H320">
            <v>0</v>
          </cell>
          <cell r="J320">
            <v>30</v>
          </cell>
          <cell r="K320">
            <v>0</v>
          </cell>
          <cell r="M320">
            <v>0</v>
          </cell>
          <cell r="O320">
            <v>0</v>
          </cell>
          <cell r="P320">
            <v>6</v>
          </cell>
          <cell r="S320">
            <v>0</v>
          </cell>
          <cell r="T320">
            <v>0</v>
          </cell>
          <cell r="Y320">
            <v>36</v>
          </cell>
        </row>
        <row r="321">
          <cell r="F321">
            <v>0</v>
          </cell>
          <cell r="G321">
            <v>0</v>
          </cell>
          <cell r="H321">
            <v>0</v>
          </cell>
          <cell r="J321">
            <v>276</v>
          </cell>
          <cell r="K321">
            <v>0</v>
          </cell>
          <cell r="M321">
            <v>0</v>
          </cell>
          <cell r="O321">
            <v>0</v>
          </cell>
          <cell r="P321">
            <v>0</v>
          </cell>
          <cell r="S321">
            <v>0</v>
          </cell>
          <cell r="T321">
            <v>0</v>
          </cell>
          <cell r="Y321">
            <v>276</v>
          </cell>
        </row>
        <row r="322">
          <cell r="F322">
            <v>0</v>
          </cell>
          <cell r="G322">
            <v>0</v>
          </cell>
          <cell r="H322">
            <v>0</v>
          </cell>
          <cell r="J322">
            <v>0</v>
          </cell>
          <cell r="K322">
            <v>1</v>
          </cell>
          <cell r="M322">
            <v>0</v>
          </cell>
          <cell r="O322">
            <v>0</v>
          </cell>
          <cell r="P322">
            <v>1</v>
          </cell>
          <cell r="S322">
            <v>0</v>
          </cell>
          <cell r="T322">
            <v>0</v>
          </cell>
          <cell r="Y322">
            <v>2</v>
          </cell>
        </row>
        <row r="323">
          <cell r="F323">
            <v>2</v>
          </cell>
          <cell r="G323">
            <v>13</v>
          </cell>
          <cell r="I323">
            <v>19</v>
          </cell>
          <cell r="K323">
            <v>17</v>
          </cell>
          <cell r="M323">
            <v>21</v>
          </cell>
          <cell r="O323">
            <v>330</v>
          </cell>
          <cell r="P323">
            <v>9</v>
          </cell>
          <cell r="S323">
            <v>5</v>
          </cell>
          <cell r="T323">
            <v>92</v>
          </cell>
          <cell r="U323">
            <v>8</v>
          </cell>
          <cell r="Y323">
            <v>516</v>
          </cell>
        </row>
        <row r="324">
          <cell r="F324">
            <v>2</v>
          </cell>
          <cell r="G324">
            <v>7</v>
          </cell>
          <cell r="I324">
            <v>11</v>
          </cell>
          <cell r="K324">
            <v>3</v>
          </cell>
          <cell r="M324">
            <v>4</v>
          </cell>
          <cell r="O324">
            <v>47</v>
          </cell>
          <cell r="P324">
            <v>9</v>
          </cell>
          <cell r="S324">
            <v>0</v>
          </cell>
          <cell r="T324">
            <v>27</v>
          </cell>
          <cell r="U324">
            <v>8</v>
          </cell>
          <cell r="Y324">
            <v>118</v>
          </cell>
        </row>
        <row r="325">
          <cell r="F325">
            <v>0</v>
          </cell>
          <cell r="G325">
            <v>0</v>
          </cell>
          <cell r="H325">
            <v>0</v>
          </cell>
          <cell r="I325">
            <v>0</v>
          </cell>
          <cell r="J325">
            <v>0</v>
          </cell>
          <cell r="K325">
            <v>1</v>
          </cell>
          <cell r="P325">
            <v>0</v>
          </cell>
          <cell r="T325">
            <v>0</v>
          </cell>
          <cell r="U325">
            <v>0</v>
          </cell>
          <cell r="Y325">
            <v>1</v>
          </cell>
        </row>
        <row r="326">
          <cell r="F326">
            <v>10</v>
          </cell>
          <cell r="G326">
            <v>52</v>
          </cell>
          <cell r="H326">
            <v>243</v>
          </cell>
          <cell r="I326">
            <v>60</v>
          </cell>
          <cell r="J326">
            <v>302</v>
          </cell>
          <cell r="K326">
            <v>56</v>
          </cell>
          <cell r="P326">
            <v>15</v>
          </cell>
          <cell r="T326">
            <v>62</v>
          </cell>
          <cell r="U326">
            <v>44</v>
          </cell>
          <cell r="Y326">
            <v>844</v>
          </cell>
        </row>
        <row r="327">
          <cell r="F327">
            <v>270</v>
          </cell>
          <cell r="G327">
            <v>376</v>
          </cell>
          <cell r="H327">
            <v>933</v>
          </cell>
          <cell r="I327">
            <v>564</v>
          </cell>
          <cell r="J327">
            <v>2162</v>
          </cell>
          <cell r="K327">
            <v>299</v>
          </cell>
          <cell r="M327">
            <v>483</v>
          </cell>
          <cell r="O327">
            <v>961</v>
          </cell>
          <cell r="P327">
            <v>267</v>
          </cell>
          <cell r="S327">
            <v>348</v>
          </cell>
          <cell r="T327">
            <v>2227</v>
          </cell>
          <cell r="U327">
            <v>221</v>
          </cell>
          <cell r="Y327">
            <v>9111</v>
          </cell>
        </row>
        <row r="328">
          <cell r="F328">
            <v>198</v>
          </cell>
          <cell r="G328">
            <v>244</v>
          </cell>
          <cell r="H328">
            <v>612</v>
          </cell>
          <cell r="I328">
            <v>306</v>
          </cell>
          <cell r="J328">
            <v>1488</v>
          </cell>
          <cell r="K328">
            <v>190</v>
          </cell>
          <cell r="M328">
            <v>231</v>
          </cell>
          <cell r="O328">
            <v>663</v>
          </cell>
          <cell r="P328">
            <v>233</v>
          </cell>
          <cell r="S328">
            <v>192</v>
          </cell>
          <cell r="T328">
            <v>1462</v>
          </cell>
          <cell r="U328">
            <v>152</v>
          </cell>
          <cell r="Y328">
            <v>5971</v>
          </cell>
        </row>
        <row r="329">
          <cell r="F329">
            <v>72</v>
          </cell>
          <cell r="G329">
            <v>128</v>
          </cell>
          <cell r="H329">
            <v>321</v>
          </cell>
          <cell r="I329">
            <v>250</v>
          </cell>
          <cell r="J329">
            <v>175</v>
          </cell>
          <cell r="K329">
            <v>109</v>
          </cell>
          <cell r="M329">
            <v>240</v>
          </cell>
          <cell r="O329">
            <v>292</v>
          </cell>
          <cell r="P329">
            <v>34</v>
          </cell>
          <cell r="S329">
            <v>114</v>
          </cell>
          <cell r="T329">
            <v>474</v>
          </cell>
          <cell r="U329">
            <v>67</v>
          </cell>
          <cell r="Y329">
            <v>2276</v>
          </cell>
        </row>
        <row r="330">
          <cell r="F330">
            <v>167</v>
          </cell>
          <cell r="G330">
            <v>214</v>
          </cell>
          <cell r="H330">
            <v>489</v>
          </cell>
          <cell r="I330">
            <v>252</v>
          </cell>
          <cell r="J330">
            <v>774</v>
          </cell>
          <cell r="K330">
            <v>116</v>
          </cell>
          <cell r="M330">
            <v>178</v>
          </cell>
          <cell r="O330">
            <v>657</v>
          </cell>
          <cell r="P330">
            <v>228</v>
          </cell>
          <cell r="S330">
            <v>190</v>
          </cell>
          <cell r="T330">
            <v>1192</v>
          </cell>
          <cell r="U330">
            <v>133</v>
          </cell>
          <cell r="Y330">
            <v>4590</v>
          </cell>
        </row>
        <row r="331">
          <cell r="G331">
            <v>7</v>
          </cell>
          <cell r="H331">
            <v>15</v>
          </cell>
          <cell r="I331">
            <v>45</v>
          </cell>
          <cell r="J331">
            <v>16</v>
          </cell>
          <cell r="K331">
            <v>34</v>
          </cell>
          <cell r="M331">
            <v>23</v>
          </cell>
          <cell r="O331">
            <v>3</v>
          </cell>
          <cell r="P331">
            <v>6</v>
          </cell>
          <cell r="S331">
            <v>2</v>
          </cell>
          <cell r="T331">
            <v>63</v>
          </cell>
          <cell r="U331">
            <v>2</v>
          </cell>
          <cell r="Y331">
            <v>216</v>
          </cell>
        </row>
        <row r="333">
          <cell r="H333">
            <v>129</v>
          </cell>
          <cell r="I333">
            <v>25</v>
          </cell>
          <cell r="J333">
            <v>37</v>
          </cell>
          <cell r="K333">
            <v>58</v>
          </cell>
          <cell r="M333">
            <v>40</v>
          </cell>
          <cell r="O333">
            <v>93</v>
          </cell>
          <cell r="P333">
            <v>5</v>
          </cell>
          <cell r="T333">
            <v>894</v>
          </cell>
          <cell r="U333">
            <v>29</v>
          </cell>
          <cell r="Y333">
            <v>1310</v>
          </cell>
        </row>
        <row r="334">
          <cell r="F334">
            <v>181</v>
          </cell>
          <cell r="G334">
            <v>262</v>
          </cell>
          <cell r="H334">
            <v>717</v>
          </cell>
          <cell r="I334">
            <v>286</v>
          </cell>
          <cell r="J334">
            <v>1639</v>
          </cell>
          <cell r="K334">
            <v>184</v>
          </cell>
          <cell r="M334">
            <v>274</v>
          </cell>
          <cell r="O334">
            <v>740</v>
          </cell>
          <cell r="P334">
            <v>221</v>
          </cell>
          <cell r="T334">
            <v>1778</v>
          </cell>
          <cell r="U334">
            <v>171</v>
          </cell>
          <cell r="Y334">
            <v>6453</v>
          </cell>
        </row>
        <row r="335">
          <cell r="F335">
            <v>82</v>
          </cell>
          <cell r="G335">
            <v>96</v>
          </cell>
          <cell r="H335">
            <v>214</v>
          </cell>
          <cell r="I335">
            <v>158</v>
          </cell>
          <cell r="J335">
            <v>490</v>
          </cell>
          <cell r="K335">
            <v>99</v>
          </cell>
          <cell r="M335">
            <v>198</v>
          </cell>
          <cell r="O335">
            <v>209</v>
          </cell>
          <cell r="P335">
            <v>40</v>
          </cell>
          <cell r="T335">
            <v>434</v>
          </cell>
          <cell r="U335">
            <v>41</v>
          </cell>
          <cell r="Y335">
            <v>2061</v>
          </cell>
        </row>
        <row r="336">
          <cell r="F336">
            <v>0</v>
          </cell>
          <cell r="G336">
            <v>1</v>
          </cell>
          <cell r="H336">
            <v>1</v>
          </cell>
          <cell r="I336">
            <v>2</v>
          </cell>
          <cell r="J336">
            <v>19</v>
          </cell>
          <cell r="K336">
            <v>13</v>
          </cell>
          <cell r="M336">
            <v>4</v>
          </cell>
          <cell r="O336">
            <v>3</v>
          </cell>
          <cell r="P336">
            <v>2</v>
          </cell>
          <cell r="T336">
            <v>5</v>
          </cell>
          <cell r="U336">
            <v>0</v>
          </cell>
          <cell r="Y336">
            <v>50</v>
          </cell>
        </row>
        <row r="337">
          <cell r="F337">
            <v>7</v>
          </cell>
          <cell r="G337">
            <v>17</v>
          </cell>
          <cell r="H337">
            <v>1</v>
          </cell>
          <cell r="I337">
            <v>118</v>
          </cell>
          <cell r="J337">
            <v>14</v>
          </cell>
          <cell r="K337">
            <v>36</v>
          </cell>
          <cell r="M337">
            <v>7</v>
          </cell>
          <cell r="O337">
            <v>9</v>
          </cell>
          <cell r="P337">
            <v>4</v>
          </cell>
          <cell r="T337">
            <v>10</v>
          </cell>
          <cell r="U337">
            <v>9</v>
          </cell>
          <cell r="Y337">
            <v>232</v>
          </cell>
        </row>
        <row r="338">
          <cell r="F338">
            <v>167</v>
          </cell>
          <cell r="G338">
            <v>248</v>
          </cell>
          <cell r="H338">
            <v>676</v>
          </cell>
          <cell r="I338">
            <v>327</v>
          </cell>
          <cell r="J338">
            <v>855</v>
          </cell>
          <cell r="K338">
            <v>153</v>
          </cell>
          <cell r="M338">
            <v>323</v>
          </cell>
          <cell r="O338">
            <v>611</v>
          </cell>
          <cell r="P338">
            <v>186</v>
          </cell>
          <cell r="S338">
            <v>177</v>
          </cell>
          <cell r="T338">
            <v>1400</v>
          </cell>
          <cell r="U338">
            <v>151</v>
          </cell>
          <cell r="Y338">
            <v>5274</v>
          </cell>
        </row>
        <row r="339">
          <cell r="F339">
            <v>125</v>
          </cell>
          <cell r="G339">
            <v>157</v>
          </cell>
          <cell r="H339">
            <v>194</v>
          </cell>
          <cell r="I339">
            <v>137</v>
          </cell>
          <cell r="J339">
            <v>271</v>
          </cell>
          <cell r="K339">
            <v>111</v>
          </cell>
          <cell r="M339">
            <v>133</v>
          </cell>
          <cell r="O339">
            <v>321</v>
          </cell>
          <cell r="P339">
            <v>175</v>
          </cell>
          <cell r="T339">
            <v>873</v>
          </cell>
          <cell r="U339">
            <v>149</v>
          </cell>
          <cell r="Y339">
            <v>2646</v>
          </cell>
        </row>
        <row r="340">
          <cell r="F340">
            <v>146</v>
          </cell>
          <cell r="G340">
            <v>241</v>
          </cell>
          <cell r="H340">
            <v>654</v>
          </cell>
          <cell r="I340">
            <v>279</v>
          </cell>
          <cell r="J340">
            <v>848</v>
          </cell>
          <cell r="K340">
            <v>139</v>
          </cell>
          <cell r="M340">
            <v>270</v>
          </cell>
          <cell r="O340">
            <v>604</v>
          </cell>
          <cell r="P340">
            <v>172</v>
          </cell>
          <cell r="T340">
            <v>1395</v>
          </cell>
          <cell r="U340">
            <v>151</v>
          </cell>
          <cell r="Y340">
            <v>4899</v>
          </cell>
        </row>
        <row r="341">
          <cell r="F341">
            <v>125</v>
          </cell>
          <cell r="G341">
            <v>157</v>
          </cell>
          <cell r="H341">
            <v>188</v>
          </cell>
          <cell r="I341">
            <v>126</v>
          </cell>
          <cell r="J341">
            <v>271</v>
          </cell>
          <cell r="K341">
            <v>104</v>
          </cell>
          <cell r="M341">
            <v>130</v>
          </cell>
          <cell r="O341">
            <v>317</v>
          </cell>
          <cell r="P341">
            <v>172</v>
          </cell>
          <cell r="T341">
            <v>873</v>
          </cell>
          <cell r="U341">
            <v>130</v>
          </cell>
          <cell r="Y341">
            <v>2593</v>
          </cell>
        </row>
        <row r="342">
          <cell r="Y342">
            <v>0</v>
          </cell>
        </row>
        <row r="386">
          <cell r="F386">
            <v>828</v>
          </cell>
          <cell r="G386">
            <v>1659</v>
          </cell>
          <cell r="H386">
            <v>3842</v>
          </cell>
          <cell r="I386">
            <v>3334</v>
          </cell>
          <cell r="J386">
            <v>8557</v>
          </cell>
          <cell r="K386">
            <v>1170</v>
          </cell>
          <cell r="L386" t="str">
            <v/>
          </cell>
          <cell r="M386">
            <v>2227</v>
          </cell>
          <cell r="N386" t="str">
            <v/>
          </cell>
          <cell r="O386">
            <v>3922</v>
          </cell>
          <cell r="P386">
            <v>1596</v>
          </cell>
          <cell r="Q386" t="str">
            <v/>
          </cell>
          <cell r="R386" t="str">
            <v/>
          </cell>
          <cell r="S386">
            <v>1713</v>
          </cell>
          <cell r="T386">
            <v>9311</v>
          </cell>
          <cell r="U386">
            <v>953</v>
          </cell>
          <cell r="V386" t="str">
            <v/>
          </cell>
          <cell r="W386" t="str">
            <v/>
          </cell>
          <cell r="X386" t="str">
            <v/>
          </cell>
          <cell r="Y386">
            <v>39112</v>
          </cell>
          <cell r="Z386" t="str">
            <v/>
          </cell>
        </row>
      </sheetData>
      <sheetData sheetId="3"/>
      <sheetData sheetId="4" refreshError="1"/>
      <sheetData sheetId="5" refreshError="1"/>
      <sheetData sheetId="6">
        <row r="9">
          <cell r="AB9" t="str">
            <v>(none)</v>
          </cell>
        </row>
        <row r="10">
          <cell r="AB10" t="str">
            <v>Bracknell Forest</v>
          </cell>
        </row>
        <row r="11">
          <cell r="AB11" t="str">
            <v>Brighton &amp; Hove</v>
          </cell>
        </row>
        <row r="12">
          <cell r="AB12" t="str">
            <v>Buckinghamshire</v>
          </cell>
        </row>
        <row r="13">
          <cell r="AB13" t="str">
            <v>East Sussex</v>
          </cell>
        </row>
        <row r="14">
          <cell r="AB14" t="str">
            <v>Hampshire</v>
          </cell>
        </row>
        <row r="15">
          <cell r="AB15" t="str">
            <v>Isle of Wight</v>
          </cell>
        </row>
        <row r="16">
          <cell r="AB16" t="str">
            <v>Kent</v>
          </cell>
        </row>
        <row r="17">
          <cell r="AB17" t="str">
            <v>Medway</v>
          </cell>
        </row>
        <row r="18">
          <cell r="AB18" t="str">
            <v>Milton Keynes</v>
          </cell>
        </row>
        <row r="19">
          <cell r="AB19" t="str">
            <v>Oxfordshire</v>
          </cell>
        </row>
        <row r="20">
          <cell r="AB20" t="str">
            <v>Portsmouth</v>
          </cell>
        </row>
        <row r="21">
          <cell r="AB21" t="str">
            <v>Reading</v>
          </cell>
        </row>
        <row r="22">
          <cell r="AB22" t="str">
            <v>Slough</v>
          </cell>
        </row>
        <row r="23">
          <cell r="AB23" t="str">
            <v>Southampton</v>
          </cell>
        </row>
        <row r="24">
          <cell r="AB24" t="str">
            <v>Surrey</v>
          </cell>
        </row>
        <row r="25">
          <cell r="AB25" t="str">
            <v>West Berkshire</v>
          </cell>
        </row>
        <row r="26">
          <cell r="AB26" t="str">
            <v>West Sussex</v>
          </cell>
        </row>
        <row r="27">
          <cell r="AB27" t="str">
            <v>Windsor &amp; Maidenhead</v>
          </cell>
        </row>
        <row r="28">
          <cell r="AB28" t="str">
            <v>Wokingham</v>
          </cell>
        </row>
        <row r="29">
          <cell r="AB29" t="str">
            <v>South East</v>
          </cell>
        </row>
        <row r="30">
          <cell r="AB30" t="str">
            <v>England</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 1"/>
      <sheetName val="Year 2"/>
      <sheetName val="Year 3"/>
      <sheetName val="Year 4"/>
      <sheetName val="Year 5"/>
      <sheetName val="Sheet1"/>
      <sheetName val="ChartLabels"/>
      <sheetName val="SESLIPWarn"/>
      <sheetName val="Frontpage"/>
      <sheetName val="Home"/>
      <sheetName val="Indicators"/>
      <sheetName val="Coverage"/>
      <sheetName val="IDACI"/>
      <sheetName val="Population"/>
      <sheetName val="Contacts"/>
      <sheetName val="EH_Referrals"/>
      <sheetName val="EH_Assessments"/>
      <sheetName val="EH_Clients"/>
      <sheetName val="Referrals"/>
      <sheetName val="Referral_Source"/>
      <sheetName val="Re-referrals"/>
      <sheetName val="Assessments"/>
      <sheetName val="Children in Need"/>
      <sheetName val="Section 47 Enquiries"/>
      <sheetName val="Initial CP Conferences"/>
      <sheetName val="Child Protection Plans"/>
      <sheetName val="Court Applications"/>
      <sheetName val="Looked After Children"/>
      <sheetName val="New_Ceased_LAC"/>
      <sheetName val="Care_Leavers"/>
      <sheetName val="Adoption"/>
      <sheetName val="ROSGO"/>
      <sheetName val="EHCP"/>
      <sheetName val="EHE_CME"/>
      <sheetName val="NEET"/>
      <sheetName val="Offending"/>
      <sheetName val="(Restricted) Quarterly Benchmar"/>
    </sheetNames>
    <sheetDataSet>
      <sheetData sheetId="0">
        <row r="1">
          <cell r="D1" t="str">
            <v>Year1_Brighton &amp; Hove</v>
          </cell>
        </row>
        <row r="80">
          <cell r="F80">
            <v>24</v>
          </cell>
          <cell r="G80">
            <v>63</v>
          </cell>
          <cell r="H80">
            <v>8</v>
          </cell>
          <cell r="J80">
            <v>7</v>
          </cell>
          <cell r="O80">
            <v>14</v>
          </cell>
          <cell r="Y80">
            <v>116</v>
          </cell>
        </row>
        <row r="81">
          <cell r="F81">
            <v>20</v>
          </cell>
          <cell r="G81">
            <v>44</v>
          </cell>
          <cell r="H81">
            <v>8</v>
          </cell>
          <cell r="J81">
            <v>1</v>
          </cell>
          <cell r="O81">
            <v>8</v>
          </cell>
          <cell r="Y81">
            <v>81</v>
          </cell>
        </row>
      </sheetData>
      <sheetData sheetId="1">
        <row r="1">
          <cell r="D1" t="str">
            <v>Year2_Brighton &amp; Hove</v>
          </cell>
        </row>
        <row r="80">
          <cell r="F80">
            <v>30</v>
          </cell>
          <cell r="G80">
            <v>51</v>
          </cell>
          <cell r="H80">
            <v>5</v>
          </cell>
          <cell r="J80">
            <v>13</v>
          </cell>
          <cell r="O80">
            <v>13</v>
          </cell>
          <cell r="Y80">
            <v>112</v>
          </cell>
        </row>
        <row r="81">
          <cell r="F81">
            <v>25</v>
          </cell>
          <cell r="G81">
            <v>29</v>
          </cell>
          <cell r="H81">
            <v>4</v>
          </cell>
          <cell r="J81">
            <v>13</v>
          </cell>
          <cell r="O81">
            <v>7</v>
          </cell>
          <cell r="Y81">
            <v>78</v>
          </cell>
        </row>
      </sheetData>
      <sheetData sheetId="2">
        <row r="1">
          <cell r="D1" t="str">
            <v>Year3_Brighton &amp; Hove</v>
          </cell>
        </row>
        <row r="80">
          <cell r="F80">
            <v>24</v>
          </cell>
          <cell r="G80">
            <v>91</v>
          </cell>
          <cell r="H80">
            <v>6</v>
          </cell>
          <cell r="J80">
            <v>16</v>
          </cell>
          <cell r="O80">
            <v>10</v>
          </cell>
          <cell r="Y80">
            <v>147</v>
          </cell>
        </row>
        <row r="81">
          <cell r="F81">
            <v>22</v>
          </cell>
          <cell r="G81">
            <v>67</v>
          </cell>
          <cell r="H81">
            <v>5</v>
          </cell>
          <cell r="J81">
            <v>9</v>
          </cell>
          <cell r="O81">
            <v>8</v>
          </cell>
          <cell r="Y81">
            <v>111</v>
          </cell>
        </row>
      </sheetData>
      <sheetData sheetId="3">
        <row r="1">
          <cell r="D1" t="str">
            <v>Year4_Brighton &amp; Hove</v>
          </cell>
        </row>
        <row r="80">
          <cell r="C80">
            <v>8</v>
          </cell>
          <cell r="F80">
            <v>22</v>
          </cell>
          <cell r="G80">
            <v>58</v>
          </cell>
          <cell r="H80">
            <v>3</v>
          </cell>
          <cell r="J80">
            <v>12</v>
          </cell>
          <cell r="O80">
            <v>9</v>
          </cell>
          <cell r="Y80">
            <v>112</v>
          </cell>
        </row>
        <row r="81">
          <cell r="C81">
            <v>7</v>
          </cell>
          <cell r="F81">
            <v>19</v>
          </cell>
          <cell r="G81">
            <v>43</v>
          </cell>
          <cell r="H81">
            <v>3</v>
          </cell>
          <cell r="J81">
            <v>10</v>
          </cell>
          <cell r="O81">
            <v>6</v>
          </cell>
          <cell r="Y81">
            <v>88</v>
          </cell>
        </row>
      </sheetData>
      <sheetData sheetId="4">
        <row r="1">
          <cell r="D1" t="str">
            <v>Year5_Brighton &amp; Hove</v>
          </cell>
        </row>
        <row r="80">
          <cell r="C80">
            <v>8</v>
          </cell>
          <cell r="D80">
            <v>14</v>
          </cell>
          <cell r="E80">
            <v>19</v>
          </cell>
          <cell r="F80">
            <v>13</v>
          </cell>
          <cell r="G80">
            <v>62</v>
          </cell>
          <cell r="H80">
            <v>8</v>
          </cell>
          <cell r="I80">
            <v>69</v>
          </cell>
          <cell r="J80">
            <v>14</v>
          </cell>
          <cell r="L80">
            <v>13</v>
          </cell>
          <cell r="M80">
            <v>30</v>
          </cell>
          <cell r="N80">
            <v>4</v>
          </cell>
          <cell r="O80">
            <v>9</v>
          </cell>
          <cell r="U80">
            <v>9</v>
          </cell>
          <cell r="V80">
            <v>44</v>
          </cell>
          <cell r="X80">
            <v>5</v>
          </cell>
          <cell r="Y80">
            <v>321</v>
          </cell>
        </row>
        <row r="81">
          <cell r="C81">
            <v>6</v>
          </cell>
          <cell r="D81">
            <v>11</v>
          </cell>
          <cell r="E81">
            <v>13</v>
          </cell>
          <cell r="F81">
            <v>13</v>
          </cell>
          <cell r="G81">
            <v>49</v>
          </cell>
          <cell r="H81">
            <v>6</v>
          </cell>
          <cell r="I81">
            <v>59</v>
          </cell>
          <cell r="J81">
            <v>9</v>
          </cell>
          <cell r="L81">
            <v>13</v>
          </cell>
          <cell r="M81">
            <v>21</v>
          </cell>
          <cell r="N81">
            <v>3</v>
          </cell>
          <cell r="O81">
            <v>5</v>
          </cell>
          <cell r="U81">
            <v>8</v>
          </cell>
          <cell r="V81">
            <v>36</v>
          </cell>
          <cell r="X81">
            <v>3</v>
          </cell>
          <cell r="Y81">
            <v>255</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85100"/>
        </a:solidFill>
        <a:ln w="19050">
          <a:solidFill>
            <a:srgbClr val="C85100"/>
          </a:solidFill>
          <a:round/>
          <a:headEnd/>
          <a:tailEnd/>
        </a:ln>
      </a:spPr>
      <a:bodyPr vertOverflow="clip" wrap="square" lIns="27432" tIns="22860" rIns="27432" bIns="0" anchor="ctr" upright="1"/>
      <a:lstStyle>
        <a:defPPr algn="ctr" rtl="0">
          <a:defRPr sz="1200" b="1" i="0" u="none" strike="noStrike" baseline="0">
            <a:solidFill>
              <a:srgbClr val="FFFFFF"/>
            </a:solidFill>
            <a:latin typeface="Arial"/>
            <a:cs typeface="Arial"/>
          </a:defRPr>
        </a:defPPr>
      </a:lstStyle>
    </a:sp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7.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vmlDrawing" Target="../drawings/vmlDrawing2.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drawing" Target="../drawings/drawing9.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16.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26" Type="http://schemas.openxmlformats.org/officeDocument/2006/relationships/ctrlProp" Target="../ctrlProps/ctrlProp71.xml"/><Relationship Id="rId3" Type="http://schemas.openxmlformats.org/officeDocument/2006/relationships/vmlDrawing" Target="../drawings/vmlDrawing3.vml"/><Relationship Id="rId21" Type="http://schemas.openxmlformats.org/officeDocument/2006/relationships/ctrlProp" Target="../ctrlProps/ctrlProp66.x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5" Type="http://schemas.openxmlformats.org/officeDocument/2006/relationships/ctrlProp" Target="../ctrlProps/ctrlProp70.xml"/><Relationship Id="rId2" Type="http://schemas.openxmlformats.org/officeDocument/2006/relationships/drawing" Target="../drawings/drawing10.xml"/><Relationship Id="rId16" Type="http://schemas.openxmlformats.org/officeDocument/2006/relationships/ctrlProp" Target="../ctrlProps/ctrlProp61.xml"/><Relationship Id="rId20" Type="http://schemas.openxmlformats.org/officeDocument/2006/relationships/ctrlProp" Target="../ctrlProps/ctrlProp65.xml"/><Relationship Id="rId1" Type="http://schemas.openxmlformats.org/officeDocument/2006/relationships/printerSettings" Target="../printerSettings/printerSettings17.bin"/><Relationship Id="rId6" Type="http://schemas.openxmlformats.org/officeDocument/2006/relationships/ctrlProp" Target="../ctrlProps/ctrlProp51.xml"/><Relationship Id="rId11" Type="http://schemas.openxmlformats.org/officeDocument/2006/relationships/ctrlProp" Target="../ctrlProps/ctrlProp56.xml"/><Relationship Id="rId24" Type="http://schemas.openxmlformats.org/officeDocument/2006/relationships/ctrlProp" Target="../ctrlProps/ctrlProp69.xml"/><Relationship Id="rId5" Type="http://schemas.openxmlformats.org/officeDocument/2006/relationships/ctrlProp" Target="../ctrlProps/ctrlProp50.xml"/><Relationship Id="rId15" Type="http://schemas.openxmlformats.org/officeDocument/2006/relationships/ctrlProp" Target="../ctrlProps/ctrlProp60.xml"/><Relationship Id="rId23" Type="http://schemas.openxmlformats.org/officeDocument/2006/relationships/ctrlProp" Target="../ctrlProps/ctrlProp68.xml"/><Relationship Id="rId10" Type="http://schemas.openxmlformats.org/officeDocument/2006/relationships/ctrlProp" Target="../ctrlProps/ctrlProp55.xml"/><Relationship Id="rId19" Type="http://schemas.openxmlformats.org/officeDocument/2006/relationships/ctrlProp" Target="../ctrlProps/ctrlProp64.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 Id="rId22" Type="http://schemas.openxmlformats.org/officeDocument/2006/relationships/ctrlProp" Target="../ctrlProps/ctrlProp67.xml"/><Relationship Id="rId27" Type="http://schemas.openxmlformats.org/officeDocument/2006/relationships/ctrlProp" Target="../ctrlProps/ctrlProp72.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26" Type="http://schemas.openxmlformats.org/officeDocument/2006/relationships/ctrlProp" Target="../ctrlProps/ctrlProp95.xml"/><Relationship Id="rId3" Type="http://schemas.openxmlformats.org/officeDocument/2006/relationships/vmlDrawing" Target="../drawings/vmlDrawing4.vml"/><Relationship Id="rId21" Type="http://schemas.openxmlformats.org/officeDocument/2006/relationships/ctrlProp" Target="../ctrlProps/ctrlProp90.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trlProp" Target="../ctrlProps/ctrlProp94.xml"/><Relationship Id="rId2" Type="http://schemas.openxmlformats.org/officeDocument/2006/relationships/drawing" Target="../drawings/drawing11.xml"/><Relationship Id="rId16" Type="http://schemas.openxmlformats.org/officeDocument/2006/relationships/ctrlProp" Target="../ctrlProps/ctrlProp85.xml"/><Relationship Id="rId20" Type="http://schemas.openxmlformats.org/officeDocument/2006/relationships/ctrlProp" Target="../ctrlProps/ctrlProp89.xml"/><Relationship Id="rId1" Type="http://schemas.openxmlformats.org/officeDocument/2006/relationships/printerSettings" Target="../printerSettings/printerSettings18.bin"/><Relationship Id="rId6" Type="http://schemas.openxmlformats.org/officeDocument/2006/relationships/ctrlProp" Target="../ctrlProps/ctrlProp75.xml"/><Relationship Id="rId11" Type="http://schemas.openxmlformats.org/officeDocument/2006/relationships/ctrlProp" Target="../ctrlProps/ctrlProp80.xml"/><Relationship Id="rId24" Type="http://schemas.openxmlformats.org/officeDocument/2006/relationships/ctrlProp" Target="../ctrlProps/ctrlProp93.xml"/><Relationship Id="rId5" Type="http://schemas.openxmlformats.org/officeDocument/2006/relationships/ctrlProp" Target="../ctrlProps/ctrlProp74.xml"/><Relationship Id="rId15" Type="http://schemas.openxmlformats.org/officeDocument/2006/relationships/ctrlProp" Target="../ctrlProps/ctrlProp84.xml"/><Relationship Id="rId23" Type="http://schemas.openxmlformats.org/officeDocument/2006/relationships/ctrlProp" Target="../ctrlProps/ctrlProp92.xml"/><Relationship Id="rId10" Type="http://schemas.openxmlformats.org/officeDocument/2006/relationships/ctrlProp" Target="../ctrlProps/ctrlProp79.xml"/><Relationship Id="rId19" Type="http://schemas.openxmlformats.org/officeDocument/2006/relationships/ctrlProp" Target="../ctrlProps/ctrlProp88.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 Id="rId27" Type="http://schemas.openxmlformats.org/officeDocument/2006/relationships/ctrlProp" Target="../ctrlProps/ctrlProp96.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01.xml"/><Relationship Id="rId13" Type="http://schemas.openxmlformats.org/officeDocument/2006/relationships/ctrlProp" Target="../ctrlProps/ctrlProp106.xml"/><Relationship Id="rId18" Type="http://schemas.openxmlformats.org/officeDocument/2006/relationships/ctrlProp" Target="../ctrlProps/ctrlProp111.xml"/><Relationship Id="rId26" Type="http://schemas.openxmlformats.org/officeDocument/2006/relationships/ctrlProp" Target="../ctrlProps/ctrlProp119.xml"/><Relationship Id="rId3" Type="http://schemas.openxmlformats.org/officeDocument/2006/relationships/vmlDrawing" Target="../drawings/vmlDrawing5.vml"/><Relationship Id="rId21" Type="http://schemas.openxmlformats.org/officeDocument/2006/relationships/ctrlProp" Target="../ctrlProps/ctrlProp114.x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5" Type="http://schemas.openxmlformats.org/officeDocument/2006/relationships/ctrlProp" Target="../ctrlProps/ctrlProp118.xml"/><Relationship Id="rId2" Type="http://schemas.openxmlformats.org/officeDocument/2006/relationships/drawing" Target="../drawings/drawing12.xml"/><Relationship Id="rId16" Type="http://schemas.openxmlformats.org/officeDocument/2006/relationships/ctrlProp" Target="../ctrlProps/ctrlProp109.xml"/><Relationship Id="rId20" Type="http://schemas.openxmlformats.org/officeDocument/2006/relationships/ctrlProp" Target="../ctrlProps/ctrlProp113.xml"/><Relationship Id="rId1" Type="http://schemas.openxmlformats.org/officeDocument/2006/relationships/printerSettings" Target="../printerSettings/printerSettings19.bin"/><Relationship Id="rId6" Type="http://schemas.openxmlformats.org/officeDocument/2006/relationships/ctrlProp" Target="../ctrlProps/ctrlProp99.xml"/><Relationship Id="rId11" Type="http://schemas.openxmlformats.org/officeDocument/2006/relationships/ctrlProp" Target="../ctrlProps/ctrlProp104.xml"/><Relationship Id="rId24" Type="http://schemas.openxmlformats.org/officeDocument/2006/relationships/ctrlProp" Target="../ctrlProps/ctrlProp117.xml"/><Relationship Id="rId5" Type="http://schemas.openxmlformats.org/officeDocument/2006/relationships/ctrlProp" Target="../ctrlProps/ctrlProp98.xml"/><Relationship Id="rId15" Type="http://schemas.openxmlformats.org/officeDocument/2006/relationships/ctrlProp" Target="../ctrlProps/ctrlProp108.xml"/><Relationship Id="rId23" Type="http://schemas.openxmlformats.org/officeDocument/2006/relationships/ctrlProp" Target="../ctrlProps/ctrlProp116.xml"/><Relationship Id="rId10" Type="http://schemas.openxmlformats.org/officeDocument/2006/relationships/ctrlProp" Target="../ctrlProps/ctrlProp103.xml"/><Relationship Id="rId19" Type="http://schemas.openxmlformats.org/officeDocument/2006/relationships/ctrlProp" Target="../ctrlProps/ctrlProp112.xml"/><Relationship Id="rId4" Type="http://schemas.openxmlformats.org/officeDocument/2006/relationships/ctrlProp" Target="../ctrlProps/ctrlProp97.xml"/><Relationship Id="rId9" Type="http://schemas.openxmlformats.org/officeDocument/2006/relationships/ctrlProp" Target="../ctrlProps/ctrlProp102.xml"/><Relationship Id="rId14" Type="http://schemas.openxmlformats.org/officeDocument/2006/relationships/ctrlProp" Target="../ctrlProps/ctrlProp107.xml"/><Relationship Id="rId22" Type="http://schemas.openxmlformats.org/officeDocument/2006/relationships/ctrlProp" Target="../ctrlProps/ctrlProp115.xml"/><Relationship Id="rId27" Type="http://schemas.openxmlformats.org/officeDocument/2006/relationships/ctrlProp" Target="../ctrlProps/ctrlProp12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25.xml"/><Relationship Id="rId13" Type="http://schemas.openxmlformats.org/officeDocument/2006/relationships/ctrlProp" Target="../ctrlProps/ctrlProp130.xml"/><Relationship Id="rId18" Type="http://schemas.openxmlformats.org/officeDocument/2006/relationships/ctrlProp" Target="../ctrlProps/ctrlProp135.xml"/><Relationship Id="rId26" Type="http://schemas.openxmlformats.org/officeDocument/2006/relationships/ctrlProp" Target="../ctrlProps/ctrlProp143.xml"/><Relationship Id="rId3" Type="http://schemas.openxmlformats.org/officeDocument/2006/relationships/vmlDrawing" Target="../drawings/vmlDrawing6.vml"/><Relationship Id="rId21" Type="http://schemas.openxmlformats.org/officeDocument/2006/relationships/ctrlProp" Target="../ctrlProps/ctrlProp138.xml"/><Relationship Id="rId7" Type="http://schemas.openxmlformats.org/officeDocument/2006/relationships/ctrlProp" Target="../ctrlProps/ctrlProp124.xml"/><Relationship Id="rId12" Type="http://schemas.openxmlformats.org/officeDocument/2006/relationships/ctrlProp" Target="../ctrlProps/ctrlProp129.xml"/><Relationship Id="rId17" Type="http://schemas.openxmlformats.org/officeDocument/2006/relationships/ctrlProp" Target="../ctrlProps/ctrlProp134.xml"/><Relationship Id="rId25" Type="http://schemas.openxmlformats.org/officeDocument/2006/relationships/ctrlProp" Target="../ctrlProps/ctrlProp142.xml"/><Relationship Id="rId2" Type="http://schemas.openxmlformats.org/officeDocument/2006/relationships/drawing" Target="../drawings/drawing13.xml"/><Relationship Id="rId16" Type="http://schemas.openxmlformats.org/officeDocument/2006/relationships/ctrlProp" Target="../ctrlProps/ctrlProp133.xml"/><Relationship Id="rId20" Type="http://schemas.openxmlformats.org/officeDocument/2006/relationships/ctrlProp" Target="../ctrlProps/ctrlProp137.xml"/><Relationship Id="rId1" Type="http://schemas.openxmlformats.org/officeDocument/2006/relationships/printerSettings" Target="../printerSettings/printerSettings20.bin"/><Relationship Id="rId6" Type="http://schemas.openxmlformats.org/officeDocument/2006/relationships/ctrlProp" Target="../ctrlProps/ctrlProp123.xml"/><Relationship Id="rId11" Type="http://schemas.openxmlformats.org/officeDocument/2006/relationships/ctrlProp" Target="../ctrlProps/ctrlProp128.xml"/><Relationship Id="rId24" Type="http://schemas.openxmlformats.org/officeDocument/2006/relationships/ctrlProp" Target="../ctrlProps/ctrlProp141.xml"/><Relationship Id="rId5" Type="http://schemas.openxmlformats.org/officeDocument/2006/relationships/ctrlProp" Target="../ctrlProps/ctrlProp122.xml"/><Relationship Id="rId15" Type="http://schemas.openxmlformats.org/officeDocument/2006/relationships/ctrlProp" Target="../ctrlProps/ctrlProp132.xml"/><Relationship Id="rId23" Type="http://schemas.openxmlformats.org/officeDocument/2006/relationships/ctrlProp" Target="../ctrlProps/ctrlProp140.xml"/><Relationship Id="rId10" Type="http://schemas.openxmlformats.org/officeDocument/2006/relationships/ctrlProp" Target="../ctrlProps/ctrlProp127.xml"/><Relationship Id="rId19" Type="http://schemas.openxmlformats.org/officeDocument/2006/relationships/ctrlProp" Target="../ctrlProps/ctrlProp136.xml"/><Relationship Id="rId4" Type="http://schemas.openxmlformats.org/officeDocument/2006/relationships/ctrlProp" Target="../ctrlProps/ctrlProp121.xml"/><Relationship Id="rId9" Type="http://schemas.openxmlformats.org/officeDocument/2006/relationships/ctrlProp" Target="../ctrlProps/ctrlProp126.xml"/><Relationship Id="rId14" Type="http://schemas.openxmlformats.org/officeDocument/2006/relationships/ctrlProp" Target="../ctrlProps/ctrlProp131.xml"/><Relationship Id="rId22" Type="http://schemas.openxmlformats.org/officeDocument/2006/relationships/ctrlProp" Target="../ctrlProps/ctrlProp139.xml"/><Relationship Id="rId27" Type="http://schemas.openxmlformats.org/officeDocument/2006/relationships/ctrlProp" Target="../ctrlProps/ctrlProp144.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49.xml"/><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 Type="http://schemas.openxmlformats.org/officeDocument/2006/relationships/vmlDrawing" Target="../drawings/vmlDrawing7.vml"/><Relationship Id="rId21" Type="http://schemas.openxmlformats.org/officeDocument/2006/relationships/ctrlProp" Target="../ctrlProps/ctrlProp162.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2" Type="http://schemas.openxmlformats.org/officeDocument/2006/relationships/drawing" Target="../drawings/drawing14.xml"/><Relationship Id="rId16" Type="http://schemas.openxmlformats.org/officeDocument/2006/relationships/ctrlProp" Target="../ctrlProps/ctrlProp157.xml"/><Relationship Id="rId20" Type="http://schemas.openxmlformats.org/officeDocument/2006/relationships/ctrlProp" Target="../ctrlProps/ctrlProp161.xml"/><Relationship Id="rId1" Type="http://schemas.openxmlformats.org/officeDocument/2006/relationships/printerSettings" Target="../printerSettings/printerSettings21.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10" Type="http://schemas.openxmlformats.org/officeDocument/2006/relationships/ctrlProp" Target="../ctrlProps/ctrlProp151.xml"/><Relationship Id="rId19" Type="http://schemas.openxmlformats.org/officeDocument/2006/relationships/ctrlProp" Target="../ctrlProps/ctrlProp160.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73.xml"/><Relationship Id="rId13" Type="http://schemas.openxmlformats.org/officeDocument/2006/relationships/ctrlProp" Target="../ctrlProps/ctrlProp178.xml"/><Relationship Id="rId18" Type="http://schemas.openxmlformats.org/officeDocument/2006/relationships/ctrlProp" Target="../ctrlProps/ctrlProp183.xml"/><Relationship Id="rId26" Type="http://schemas.openxmlformats.org/officeDocument/2006/relationships/ctrlProp" Target="../ctrlProps/ctrlProp191.xml"/><Relationship Id="rId3" Type="http://schemas.openxmlformats.org/officeDocument/2006/relationships/vmlDrawing" Target="../drawings/vmlDrawing8.vml"/><Relationship Id="rId21" Type="http://schemas.openxmlformats.org/officeDocument/2006/relationships/ctrlProp" Target="../ctrlProps/ctrlProp186.xml"/><Relationship Id="rId7" Type="http://schemas.openxmlformats.org/officeDocument/2006/relationships/ctrlProp" Target="../ctrlProps/ctrlProp172.xml"/><Relationship Id="rId12" Type="http://schemas.openxmlformats.org/officeDocument/2006/relationships/ctrlProp" Target="../ctrlProps/ctrlProp177.xml"/><Relationship Id="rId17" Type="http://schemas.openxmlformats.org/officeDocument/2006/relationships/ctrlProp" Target="../ctrlProps/ctrlProp182.xml"/><Relationship Id="rId25" Type="http://schemas.openxmlformats.org/officeDocument/2006/relationships/ctrlProp" Target="../ctrlProps/ctrlProp190.xml"/><Relationship Id="rId2" Type="http://schemas.openxmlformats.org/officeDocument/2006/relationships/drawing" Target="../drawings/drawing15.xml"/><Relationship Id="rId16" Type="http://schemas.openxmlformats.org/officeDocument/2006/relationships/ctrlProp" Target="../ctrlProps/ctrlProp181.xml"/><Relationship Id="rId20" Type="http://schemas.openxmlformats.org/officeDocument/2006/relationships/ctrlProp" Target="../ctrlProps/ctrlProp185.xml"/><Relationship Id="rId1" Type="http://schemas.openxmlformats.org/officeDocument/2006/relationships/printerSettings" Target="../printerSettings/printerSettings22.bin"/><Relationship Id="rId6" Type="http://schemas.openxmlformats.org/officeDocument/2006/relationships/ctrlProp" Target="../ctrlProps/ctrlProp171.xml"/><Relationship Id="rId11" Type="http://schemas.openxmlformats.org/officeDocument/2006/relationships/ctrlProp" Target="../ctrlProps/ctrlProp176.xml"/><Relationship Id="rId24" Type="http://schemas.openxmlformats.org/officeDocument/2006/relationships/ctrlProp" Target="../ctrlProps/ctrlProp189.xml"/><Relationship Id="rId5" Type="http://schemas.openxmlformats.org/officeDocument/2006/relationships/ctrlProp" Target="../ctrlProps/ctrlProp170.xml"/><Relationship Id="rId15" Type="http://schemas.openxmlformats.org/officeDocument/2006/relationships/ctrlProp" Target="../ctrlProps/ctrlProp180.xml"/><Relationship Id="rId23" Type="http://schemas.openxmlformats.org/officeDocument/2006/relationships/ctrlProp" Target="../ctrlProps/ctrlProp188.xml"/><Relationship Id="rId10" Type="http://schemas.openxmlformats.org/officeDocument/2006/relationships/ctrlProp" Target="../ctrlProps/ctrlProp175.xml"/><Relationship Id="rId19" Type="http://schemas.openxmlformats.org/officeDocument/2006/relationships/ctrlProp" Target="../ctrlProps/ctrlProp184.xml"/><Relationship Id="rId4" Type="http://schemas.openxmlformats.org/officeDocument/2006/relationships/ctrlProp" Target="../ctrlProps/ctrlProp169.xml"/><Relationship Id="rId9" Type="http://schemas.openxmlformats.org/officeDocument/2006/relationships/ctrlProp" Target="../ctrlProps/ctrlProp174.xml"/><Relationship Id="rId14" Type="http://schemas.openxmlformats.org/officeDocument/2006/relationships/ctrlProp" Target="../ctrlProps/ctrlProp179.xml"/><Relationship Id="rId22" Type="http://schemas.openxmlformats.org/officeDocument/2006/relationships/ctrlProp" Target="../ctrlProps/ctrlProp187.xml"/><Relationship Id="rId27" Type="http://schemas.openxmlformats.org/officeDocument/2006/relationships/ctrlProp" Target="../ctrlProps/ctrlProp192.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197.xml"/><Relationship Id="rId13" Type="http://schemas.openxmlformats.org/officeDocument/2006/relationships/ctrlProp" Target="../ctrlProps/ctrlProp202.xml"/><Relationship Id="rId18" Type="http://schemas.openxmlformats.org/officeDocument/2006/relationships/ctrlProp" Target="../ctrlProps/ctrlProp207.xml"/><Relationship Id="rId26" Type="http://schemas.openxmlformats.org/officeDocument/2006/relationships/ctrlProp" Target="../ctrlProps/ctrlProp215.xml"/><Relationship Id="rId3" Type="http://schemas.openxmlformats.org/officeDocument/2006/relationships/vmlDrawing" Target="../drawings/vmlDrawing9.vml"/><Relationship Id="rId21" Type="http://schemas.openxmlformats.org/officeDocument/2006/relationships/ctrlProp" Target="../ctrlProps/ctrlProp210.xml"/><Relationship Id="rId7" Type="http://schemas.openxmlformats.org/officeDocument/2006/relationships/ctrlProp" Target="../ctrlProps/ctrlProp196.xml"/><Relationship Id="rId12" Type="http://schemas.openxmlformats.org/officeDocument/2006/relationships/ctrlProp" Target="../ctrlProps/ctrlProp201.xml"/><Relationship Id="rId17" Type="http://schemas.openxmlformats.org/officeDocument/2006/relationships/ctrlProp" Target="../ctrlProps/ctrlProp206.xml"/><Relationship Id="rId25" Type="http://schemas.openxmlformats.org/officeDocument/2006/relationships/ctrlProp" Target="../ctrlProps/ctrlProp214.xml"/><Relationship Id="rId2" Type="http://schemas.openxmlformats.org/officeDocument/2006/relationships/drawing" Target="../drawings/drawing16.xml"/><Relationship Id="rId16" Type="http://schemas.openxmlformats.org/officeDocument/2006/relationships/ctrlProp" Target="../ctrlProps/ctrlProp205.xml"/><Relationship Id="rId20" Type="http://schemas.openxmlformats.org/officeDocument/2006/relationships/ctrlProp" Target="../ctrlProps/ctrlProp209.xml"/><Relationship Id="rId1" Type="http://schemas.openxmlformats.org/officeDocument/2006/relationships/printerSettings" Target="../printerSettings/printerSettings23.bin"/><Relationship Id="rId6" Type="http://schemas.openxmlformats.org/officeDocument/2006/relationships/ctrlProp" Target="../ctrlProps/ctrlProp195.xml"/><Relationship Id="rId11" Type="http://schemas.openxmlformats.org/officeDocument/2006/relationships/ctrlProp" Target="../ctrlProps/ctrlProp200.xml"/><Relationship Id="rId24" Type="http://schemas.openxmlformats.org/officeDocument/2006/relationships/ctrlProp" Target="../ctrlProps/ctrlProp213.xml"/><Relationship Id="rId5" Type="http://schemas.openxmlformats.org/officeDocument/2006/relationships/ctrlProp" Target="../ctrlProps/ctrlProp194.xml"/><Relationship Id="rId15" Type="http://schemas.openxmlformats.org/officeDocument/2006/relationships/ctrlProp" Target="../ctrlProps/ctrlProp204.xml"/><Relationship Id="rId23" Type="http://schemas.openxmlformats.org/officeDocument/2006/relationships/ctrlProp" Target="../ctrlProps/ctrlProp212.xml"/><Relationship Id="rId10" Type="http://schemas.openxmlformats.org/officeDocument/2006/relationships/ctrlProp" Target="../ctrlProps/ctrlProp199.xml"/><Relationship Id="rId19" Type="http://schemas.openxmlformats.org/officeDocument/2006/relationships/ctrlProp" Target="../ctrlProps/ctrlProp208.xml"/><Relationship Id="rId4" Type="http://schemas.openxmlformats.org/officeDocument/2006/relationships/ctrlProp" Target="../ctrlProps/ctrlProp193.xml"/><Relationship Id="rId9" Type="http://schemas.openxmlformats.org/officeDocument/2006/relationships/ctrlProp" Target="../ctrlProps/ctrlProp198.xml"/><Relationship Id="rId14" Type="http://schemas.openxmlformats.org/officeDocument/2006/relationships/ctrlProp" Target="../ctrlProps/ctrlProp203.xml"/><Relationship Id="rId22" Type="http://schemas.openxmlformats.org/officeDocument/2006/relationships/ctrlProp" Target="../ctrlProps/ctrlProp211.xml"/><Relationship Id="rId27" Type="http://schemas.openxmlformats.org/officeDocument/2006/relationships/ctrlProp" Target="../ctrlProps/ctrlProp216.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221.xml"/><Relationship Id="rId13" Type="http://schemas.openxmlformats.org/officeDocument/2006/relationships/ctrlProp" Target="../ctrlProps/ctrlProp226.xml"/><Relationship Id="rId18" Type="http://schemas.openxmlformats.org/officeDocument/2006/relationships/ctrlProp" Target="../ctrlProps/ctrlProp231.xml"/><Relationship Id="rId26" Type="http://schemas.openxmlformats.org/officeDocument/2006/relationships/ctrlProp" Target="../ctrlProps/ctrlProp239.xml"/><Relationship Id="rId3" Type="http://schemas.openxmlformats.org/officeDocument/2006/relationships/vmlDrawing" Target="../drawings/vmlDrawing10.vml"/><Relationship Id="rId21" Type="http://schemas.openxmlformats.org/officeDocument/2006/relationships/ctrlProp" Target="../ctrlProps/ctrlProp234.xml"/><Relationship Id="rId7" Type="http://schemas.openxmlformats.org/officeDocument/2006/relationships/ctrlProp" Target="../ctrlProps/ctrlProp220.xml"/><Relationship Id="rId12" Type="http://schemas.openxmlformats.org/officeDocument/2006/relationships/ctrlProp" Target="../ctrlProps/ctrlProp225.xml"/><Relationship Id="rId17" Type="http://schemas.openxmlformats.org/officeDocument/2006/relationships/ctrlProp" Target="../ctrlProps/ctrlProp230.xml"/><Relationship Id="rId25" Type="http://schemas.openxmlformats.org/officeDocument/2006/relationships/ctrlProp" Target="../ctrlProps/ctrlProp238.xml"/><Relationship Id="rId2" Type="http://schemas.openxmlformats.org/officeDocument/2006/relationships/drawing" Target="../drawings/drawing17.xml"/><Relationship Id="rId16" Type="http://schemas.openxmlformats.org/officeDocument/2006/relationships/ctrlProp" Target="../ctrlProps/ctrlProp229.xml"/><Relationship Id="rId20" Type="http://schemas.openxmlformats.org/officeDocument/2006/relationships/ctrlProp" Target="../ctrlProps/ctrlProp233.xml"/><Relationship Id="rId1" Type="http://schemas.openxmlformats.org/officeDocument/2006/relationships/printerSettings" Target="../printerSettings/printerSettings24.bin"/><Relationship Id="rId6" Type="http://schemas.openxmlformats.org/officeDocument/2006/relationships/ctrlProp" Target="../ctrlProps/ctrlProp219.xml"/><Relationship Id="rId11" Type="http://schemas.openxmlformats.org/officeDocument/2006/relationships/ctrlProp" Target="../ctrlProps/ctrlProp224.xml"/><Relationship Id="rId24" Type="http://schemas.openxmlformats.org/officeDocument/2006/relationships/ctrlProp" Target="../ctrlProps/ctrlProp237.xml"/><Relationship Id="rId5" Type="http://schemas.openxmlformats.org/officeDocument/2006/relationships/ctrlProp" Target="../ctrlProps/ctrlProp218.xml"/><Relationship Id="rId15" Type="http://schemas.openxmlformats.org/officeDocument/2006/relationships/ctrlProp" Target="../ctrlProps/ctrlProp228.xml"/><Relationship Id="rId23" Type="http://schemas.openxmlformats.org/officeDocument/2006/relationships/ctrlProp" Target="../ctrlProps/ctrlProp236.xml"/><Relationship Id="rId10" Type="http://schemas.openxmlformats.org/officeDocument/2006/relationships/ctrlProp" Target="../ctrlProps/ctrlProp223.xml"/><Relationship Id="rId19" Type="http://schemas.openxmlformats.org/officeDocument/2006/relationships/ctrlProp" Target="../ctrlProps/ctrlProp232.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 Id="rId22" Type="http://schemas.openxmlformats.org/officeDocument/2006/relationships/ctrlProp" Target="../ctrlProps/ctrlProp235.xml"/><Relationship Id="rId27" Type="http://schemas.openxmlformats.org/officeDocument/2006/relationships/ctrlProp" Target="../ctrlProps/ctrlProp240.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245.xml"/><Relationship Id="rId13" Type="http://schemas.openxmlformats.org/officeDocument/2006/relationships/ctrlProp" Target="../ctrlProps/ctrlProp250.xml"/><Relationship Id="rId18" Type="http://schemas.openxmlformats.org/officeDocument/2006/relationships/ctrlProp" Target="../ctrlProps/ctrlProp255.xml"/><Relationship Id="rId26" Type="http://schemas.openxmlformats.org/officeDocument/2006/relationships/ctrlProp" Target="../ctrlProps/ctrlProp263.xml"/><Relationship Id="rId3" Type="http://schemas.openxmlformats.org/officeDocument/2006/relationships/vmlDrawing" Target="../drawings/vmlDrawing11.vml"/><Relationship Id="rId21" Type="http://schemas.openxmlformats.org/officeDocument/2006/relationships/ctrlProp" Target="../ctrlProps/ctrlProp258.xml"/><Relationship Id="rId7" Type="http://schemas.openxmlformats.org/officeDocument/2006/relationships/ctrlProp" Target="../ctrlProps/ctrlProp244.xml"/><Relationship Id="rId12" Type="http://schemas.openxmlformats.org/officeDocument/2006/relationships/ctrlProp" Target="../ctrlProps/ctrlProp249.xml"/><Relationship Id="rId17" Type="http://schemas.openxmlformats.org/officeDocument/2006/relationships/ctrlProp" Target="../ctrlProps/ctrlProp254.xml"/><Relationship Id="rId25" Type="http://schemas.openxmlformats.org/officeDocument/2006/relationships/ctrlProp" Target="../ctrlProps/ctrlProp262.xml"/><Relationship Id="rId2" Type="http://schemas.openxmlformats.org/officeDocument/2006/relationships/drawing" Target="../drawings/drawing18.xml"/><Relationship Id="rId16" Type="http://schemas.openxmlformats.org/officeDocument/2006/relationships/ctrlProp" Target="../ctrlProps/ctrlProp253.xml"/><Relationship Id="rId20" Type="http://schemas.openxmlformats.org/officeDocument/2006/relationships/ctrlProp" Target="../ctrlProps/ctrlProp257.xml"/><Relationship Id="rId1" Type="http://schemas.openxmlformats.org/officeDocument/2006/relationships/printerSettings" Target="../printerSettings/printerSettings25.bin"/><Relationship Id="rId6" Type="http://schemas.openxmlformats.org/officeDocument/2006/relationships/ctrlProp" Target="../ctrlProps/ctrlProp243.xml"/><Relationship Id="rId11" Type="http://schemas.openxmlformats.org/officeDocument/2006/relationships/ctrlProp" Target="../ctrlProps/ctrlProp248.xml"/><Relationship Id="rId24" Type="http://schemas.openxmlformats.org/officeDocument/2006/relationships/ctrlProp" Target="../ctrlProps/ctrlProp261.xml"/><Relationship Id="rId5" Type="http://schemas.openxmlformats.org/officeDocument/2006/relationships/ctrlProp" Target="../ctrlProps/ctrlProp242.xml"/><Relationship Id="rId15" Type="http://schemas.openxmlformats.org/officeDocument/2006/relationships/ctrlProp" Target="../ctrlProps/ctrlProp252.xml"/><Relationship Id="rId23" Type="http://schemas.openxmlformats.org/officeDocument/2006/relationships/ctrlProp" Target="../ctrlProps/ctrlProp260.xml"/><Relationship Id="rId10" Type="http://schemas.openxmlformats.org/officeDocument/2006/relationships/ctrlProp" Target="../ctrlProps/ctrlProp247.xml"/><Relationship Id="rId19" Type="http://schemas.openxmlformats.org/officeDocument/2006/relationships/ctrlProp" Target="../ctrlProps/ctrlProp256.xml"/><Relationship Id="rId4" Type="http://schemas.openxmlformats.org/officeDocument/2006/relationships/ctrlProp" Target="../ctrlProps/ctrlProp241.xml"/><Relationship Id="rId9" Type="http://schemas.openxmlformats.org/officeDocument/2006/relationships/ctrlProp" Target="../ctrlProps/ctrlProp246.xml"/><Relationship Id="rId14" Type="http://schemas.openxmlformats.org/officeDocument/2006/relationships/ctrlProp" Target="../ctrlProps/ctrlProp251.xml"/><Relationship Id="rId22" Type="http://schemas.openxmlformats.org/officeDocument/2006/relationships/ctrlProp" Target="../ctrlProps/ctrlProp259.xml"/></Relationships>
</file>

<file path=xl/worksheets/_rels/sheet26.xml.rels><?xml version="1.0" encoding="UTF-8" standalone="yes"?>
<Relationships xmlns="http://schemas.openxmlformats.org/package/2006/relationships"><Relationship Id="rId8" Type="http://schemas.openxmlformats.org/officeDocument/2006/relationships/ctrlProp" Target="../ctrlProps/ctrlProp268.xml"/><Relationship Id="rId13" Type="http://schemas.openxmlformats.org/officeDocument/2006/relationships/ctrlProp" Target="../ctrlProps/ctrlProp273.xml"/><Relationship Id="rId18" Type="http://schemas.openxmlformats.org/officeDocument/2006/relationships/ctrlProp" Target="../ctrlProps/ctrlProp278.xml"/><Relationship Id="rId26" Type="http://schemas.openxmlformats.org/officeDocument/2006/relationships/ctrlProp" Target="../ctrlProps/ctrlProp286.xml"/><Relationship Id="rId3" Type="http://schemas.openxmlformats.org/officeDocument/2006/relationships/vmlDrawing" Target="../drawings/vmlDrawing12.vml"/><Relationship Id="rId21" Type="http://schemas.openxmlformats.org/officeDocument/2006/relationships/ctrlProp" Target="../ctrlProps/ctrlProp281.xml"/><Relationship Id="rId7" Type="http://schemas.openxmlformats.org/officeDocument/2006/relationships/ctrlProp" Target="../ctrlProps/ctrlProp267.xml"/><Relationship Id="rId12" Type="http://schemas.openxmlformats.org/officeDocument/2006/relationships/ctrlProp" Target="../ctrlProps/ctrlProp272.xml"/><Relationship Id="rId17" Type="http://schemas.openxmlformats.org/officeDocument/2006/relationships/ctrlProp" Target="../ctrlProps/ctrlProp277.xml"/><Relationship Id="rId25" Type="http://schemas.openxmlformats.org/officeDocument/2006/relationships/ctrlProp" Target="../ctrlProps/ctrlProp285.xml"/><Relationship Id="rId2" Type="http://schemas.openxmlformats.org/officeDocument/2006/relationships/drawing" Target="../drawings/drawing19.xml"/><Relationship Id="rId16" Type="http://schemas.openxmlformats.org/officeDocument/2006/relationships/ctrlProp" Target="../ctrlProps/ctrlProp276.xml"/><Relationship Id="rId20" Type="http://schemas.openxmlformats.org/officeDocument/2006/relationships/ctrlProp" Target="../ctrlProps/ctrlProp280.xml"/><Relationship Id="rId1" Type="http://schemas.openxmlformats.org/officeDocument/2006/relationships/printerSettings" Target="../printerSettings/printerSettings26.bin"/><Relationship Id="rId6" Type="http://schemas.openxmlformats.org/officeDocument/2006/relationships/ctrlProp" Target="../ctrlProps/ctrlProp266.xml"/><Relationship Id="rId11" Type="http://schemas.openxmlformats.org/officeDocument/2006/relationships/ctrlProp" Target="../ctrlProps/ctrlProp271.xml"/><Relationship Id="rId24" Type="http://schemas.openxmlformats.org/officeDocument/2006/relationships/ctrlProp" Target="../ctrlProps/ctrlProp284.xml"/><Relationship Id="rId5" Type="http://schemas.openxmlformats.org/officeDocument/2006/relationships/ctrlProp" Target="../ctrlProps/ctrlProp265.xml"/><Relationship Id="rId15" Type="http://schemas.openxmlformats.org/officeDocument/2006/relationships/ctrlProp" Target="../ctrlProps/ctrlProp275.xml"/><Relationship Id="rId23" Type="http://schemas.openxmlformats.org/officeDocument/2006/relationships/ctrlProp" Target="../ctrlProps/ctrlProp283.xml"/><Relationship Id="rId10" Type="http://schemas.openxmlformats.org/officeDocument/2006/relationships/ctrlProp" Target="../ctrlProps/ctrlProp270.xml"/><Relationship Id="rId19" Type="http://schemas.openxmlformats.org/officeDocument/2006/relationships/ctrlProp" Target="../ctrlProps/ctrlProp279.xml"/><Relationship Id="rId4" Type="http://schemas.openxmlformats.org/officeDocument/2006/relationships/ctrlProp" Target="../ctrlProps/ctrlProp264.xml"/><Relationship Id="rId9" Type="http://schemas.openxmlformats.org/officeDocument/2006/relationships/ctrlProp" Target="../ctrlProps/ctrlProp269.xml"/><Relationship Id="rId14" Type="http://schemas.openxmlformats.org/officeDocument/2006/relationships/ctrlProp" Target="../ctrlProps/ctrlProp274.xml"/><Relationship Id="rId22" Type="http://schemas.openxmlformats.org/officeDocument/2006/relationships/ctrlProp" Target="../ctrlProps/ctrlProp282.xml"/><Relationship Id="rId27" Type="http://schemas.openxmlformats.org/officeDocument/2006/relationships/ctrlProp" Target="../ctrlProps/ctrlProp287.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mailto:CSDataBenchmarking@eastsussex.gov.uk" TargetMode="External"/><Relationship Id="rId1" Type="http://schemas.openxmlformats.org/officeDocument/2006/relationships/hyperlink" Target="mailto:CSBenchmarking@eastsussex.gcsx.gov.uk" TargetMode="External"/><Relationship Id="rId4"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39"/>
  </sheetPr>
  <dimension ref="B1:BO391"/>
  <sheetViews>
    <sheetView workbookViewId="0">
      <selection activeCell="F15" sqref="F15"/>
    </sheetView>
  </sheetViews>
  <sheetFormatPr defaultColWidth="9.140625" defaultRowHeight="12.75" x14ac:dyDescent="0.2"/>
  <cols>
    <col min="1" max="1" width="2.42578125" style="444" customWidth="1"/>
    <col min="2" max="2" width="28.140625" style="444" customWidth="1"/>
    <col min="3" max="3" width="24" style="444" customWidth="1"/>
    <col min="4" max="4" width="12.42578125" style="444" customWidth="1"/>
    <col min="5" max="8" width="10" style="444" customWidth="1"/>
    <col min="9" max="9" width="4.42578125" style="444" customWidth="1"/>
    <col min="10" max="12" width="20.5703125" style="444" bestFit="1" customWidth="1"/>
    <col min="13" max="13" width="12" style="444" bestFit="1" customWidth="1"/>
    <col min="14" max="14" width="6.85546875" style="444" bestFit="1" customWidth="1"/>
    <col min="15" max="15" width="3.85546875" style="444" bestFit="1" customWidth="1"/>
    <col min="16" max="27" width="3" style="444" bestFit="1" customWidth="1"/>
    <col min="28" max="28" width="30.42578125" style="444" bestFit="1" customWidth="1"/>
    <col min="29" max="29" width="25.42578125" style="444" customWidth="1"/>
    <col min="30" max="30" width="11.5703125" style="444" customWidth="1"/>
    <col min="31" max="31" width="9.140625" style="444"/>
    <col min="32" max="32" width="9.5703125" style="444" customWidth="1"/>
    <col min="33" max="34" width="9.140625" style="444"/>
    <col min="35" max="37" width="20.5703125" style="444" bestFit="1" customWidth="1"/>
    <col min="38" max="38" width="4" style="444" bestFit="1" customWidth="1"/>
    <col min="39" max="39" width="6.85546875" style="444" bestFit="1" customWidth="1"/>
    <col min="40" max="40" width="3.85546875" style="444" bestFit="1" customWidth="1"/>
    <col min="41" max="42" width="9.140625" style="444"/>
    <col min="43" max="43" width="22.42578125" style="444" bestFit="1" customWidth="1"/>
    <col min="44" max="44" width="20.140625" style="444" bestFit="1" customWidth="1"/>
    <col min="45" max="66" width="3" style="444" bestFit="1" customWidth="1"/>
    <col min="67" max="16384" width="9.140625" style="444"/>
  </cols>
  <sheetData>
    <row r="1" spans="2:67" x14ac:dyDescent="0.2">
      <c r="C1" s="746" t="s">
        <v>660</v>
      </c>
    </row>
    <row r="2" spans="2:67" x14ac:dyDescent="0.2">
      <c r="C2" s="746" t="s">
        <v>666</v>
      </c>
      <c r="AR2" s="445" t="s">
        <v>188</v>
      </c>
      <c r="AS2" s="1313" t="s">
        <v>189</v>
      </c>
      <c r="AT2" s="1314"/>
      <c r="AU2" s="1314"/>
      <c r="AV2" s="1314"/>
      <c r="AW2" s="1314"/>
      <c r="AX2" s="1314"/>
      <c r="AY2" s="1314"/>
      <c r="AZ2" s="1314"/>
      <c r="BA2" s="1314"/>
      <c r="BB2" s="1314"/>
      <c r="BC2" s="1314"/>
      <c r="BD2" s="1314"/>
      <c r="BE2" s="1314"/>
      <c r="BF2" s="1314"/>
      <c r="BG2" s="1314"/>
      <c r="BH2" s="1314"/>
      <c r="BI2" s="1314"/>
      <c r="BJ2" s="1314"/>
      <c r="BK2" s="1314"/>
      <c r="BL2" s="1314"/>
      <c r="BM2" s="1314"/>
      <c r="BN2" s="1315"/>
    </row>
    <row r="3" spans="2:67" ht="87.75" x14ac:dyDescent="0.2">
      <c r="B3" s="1133" t="s">
        <v>665</v>
      </c>
      <c r="C3" s="747" t="s">
        <v>660</v>
      </c>
      <c r="E3" s="801" t="str">
        <f>IF($C$3="Quarterly",H22&amp;" "&amp;H23,H20)</f>
        <v>2018-19</v>
      </c>
      <c r="F3" s="1088" t="str">
        <f>IF(C3="Annual","Years","Quarters")</f>
        <v>Years</v>
      </c>
      <c r="G3" s="1088" t="str">
        <f>IF(C3="Annual","Year ending 31st March","Quarter")</f>
        <v>Year ending 31st March</v>
      </c>
      <c r="H3" s="1088" t="str">
        <f>IF(C3="Annual","31st March","last day in Quarter")</f>
        <v>31st March</v>
      </c>
      <c r="J3" s="1134" t="s">
        <v>677</v>
      </c>
      <c r="K3" s="1134" t="s">
        <v>678</v>
      </c>
      <c r="AQ3" s="446" t="s">
        <v>75</v>
      </c>
      <c r="AR3" s="447" t="str">
        <f>Home!$D$10</f>
        <v>(none)</v>
      </c>
      <c r="AS3" s="448" t="s">
        <v>0</v>
      </c>
      <c r="AT3" s="449" t="s">
        <v>31</v>
      </c>
      <c r="AU3" s="449" t="s">
        <v>8</v>
      </c>
      <c r="AV3" s="449" t="s">
        <v>4</v>
      </c>
      <c r="AW3" s="449" t="s">
        <v>6</v>
      </c>
      <c r="AX3" s="449" t="s">
        <v>1</v>
      </c>
      <c r="AY3" s="449" t="s">
        <v>9</v>
      </c>
      <c r="AZ3" s="449" t="s">
        <v>2</v>
      </c>
      <c r="BA3" s="449" t="s">
        <v>10</v>
      </c>
      <c r="BB3" s="449" t="s">
        <v>11</v>
      </c>
      <c r="BC3" s="449" t="s">
        <v>12</v>
      </c>
      <c r="BD3" s="449" t="s">
        <v>3</v>
      </c>
      <c r="BE3" s="449" t="s">
        <v>13</v>
      </c>
      <c r="BF3" s="449" t="s">
        <v>93</v>
      </c>
      <c r="BG3" s="449" t="s">
        <v>14</v>
      </c>
      <c r="BH3" s="449" t="s">
        <v>7</v>
      </c>
      <c r="BI3" s="449" t="s">
        <v>114</v>
      </c>
      <c r="BJ3" s="449" t="s">
        <v>115</v>
      </c>
      <c r="BK3" s="449" t="s">
        <v>15</v>
      </c>
      <c r="BL3" s="449" t="s">
        <v>5</v>
      </c>
      <c r="BM3" s="449" t="s">
        <v>30</v>
      </c>
      <c r="BN3" s="450" t="s">
        <v>16</v>
      </c>
    </row>
    <row r="4" spans="2:67" x14ac:dyDescent="0.2">
      <c r="B4" s="751" t="s">
        <v>672</v>
      </c>
      <c r="J4" s="936" t="s">
        <v>0</v>
      </c>
      <c r="K4" s="934" t="s">
        <v>0</v>
      </c>
      <c r="L4" s="444" t="s">
        <v>0</v>
      </c>
      <c r="M4" s="444">
        <v>101</v>
      </c>
      <c r="N4" s="444" t="str">
        <f t="shared" ref="N4:N25" si="0">CONCATENATE(O4,M4)</f>
        <v>LA:101</v>
      </c>
      <c r="O4" s="444" t="s">
        <v>676</v>
      </c>
      <c r="AQ4" s="451" t="s">
        <v>0</v>
      </c>
      <c r="AR4" s="451">
        <f t="shared" ref="AR4:AR25" si="1">IF($AR$3="(none)",0,IF(HLOOKUP($AR$3,$AS$3:$BN$25,BO4,FALSE)=0,0,"*"))</f>
        <v>0</v>
      </c>
      <c r="AS4" s="452"/>
      <c r="AT4" s="452"/>
      <c r="AU4" s="453" t="s">
        <v>33</v>
      </c>
      <c r="AV4" s="452"/>
      <c r="AW4" s="452"/>
      <c r="AX4" s="452"/>
      <c r="AY4" s="452"/>
      <c r="AZ4" s="452"/>
      <c r="BA4" s="452"/>
      <c r="BB4" s="453" t="s">
        <v>33</v>
      </c>
      <c r="BC4" s="452"/>
      <c r="BD4" s="452"/>
      <c r="BE4" s="452"/>
      <c r="BF4" s="452"/>
      <c r="BG4" s="452"/>
      <c r="BH4" s="453" t="s">
        <v>33</v>
      </c>
      <c r="BI4" s="452"/>
      <c r="BJ4" s="452"/>
      <c r="BK4" s="453" t="s">
        <v>33</v>
      </c>
      <c r="BL4" s="452"/>
      <c r="BM4" s="453" t="s">
        <v>33</v>
      </c>
      <c r="BN4" s="453" t="s">
        <v>33</v>
      </c>
      <c r="BO4" s="444">
        <v>2</v>
      </c>
    </row>
    <row r="5" spans="2:67" x14ac:dyDescent="0.2">
      <c r="J5" s="937" t="s">
        <v>31</v>
      </c>
      <c r="K5" s="935" t="s">
        <v>31</v>
      </c>
      <c r="L5" s="444" t="s">
        <v>31</v>
      </c>
      <c r="M5" s="444">
        <f t="shared" ref="M5:M25" si="2">M4+1</f>
        <v>102</v>
      </c>
      <c r="N5" s="444" t="str">
        <f t="shared" si="0"/>
        <v>LA:102</v>
      </c>
      <c r="O5" s="444" t="s">
        <v>676</v>
      </c>
      <c r="AQ5" s="451" t="s">
        <v>31</v>
      </c>
      <c r="AR5" s="451">
        <f t="shared" si="1"/>
        <v>0</v>
      </c>
      <c r="AS5" s="452"/>
      <c r="AT5" s="452"/>
      <c r="AU5" s="452"/>
      <c r="AV5" s="452"/>
      <c r="AW5" s="452"/>
      <c r="AX5" s="452"/>
      <c r="AY5" s="452"/>
      <c r="AZ5" s="452"/>
      <c r="BA5" s="452"/>
      <c r="BB5" s="452"/>
      <c r="BC5" s="452"/>
      <c r="BD5" s="453" t="s">
        <v>33</v>
      </c>
      <c r="BE5" s="452"/>
      <c r="BF5" s="452"/>
      <c r="BG5" s="452"/>
      <c r="BH5" s="452"/>
      <c r="BI5" s="452"/>
      <c r="BJ5" s="452"/>
      <c r="BK5" s="452"/>
      <c r="BL5" s="452"/>
      <c r="BM5" s="452"/>
      <c r="BN5" s="452"/>
      <c r="BO5" s="444">
        <v>3</v>
      </c>
    </row>
    <row r="6" spans="2:67" x14ac:dyDescent="0.2">
      <c r="B6" s="751" t="s">
        <v>674</v>
      </c>
      <c r="D6" s="1159" t="s">
        <v>935</v>
      </c>
      <c r="E6" s="1159" t="s">
        <v>936</v>
      </c>
      <c r="F6" s="1159" t="s">
        <v>937</v>
      </c>
      <c r="G6" s="1159" t="s">
        <v>214</v>
      </c>
      <c r="H6" s="1159" t="s">
        <v>938</v>
      </c>
      <c r="J6" s="937" t="s">
        <v>8</v>
      </c>
      <c r="K6" s="935" t="s">
        <v>8</v>
      </c>
      <c r="L6" s="444" t="s">
        <v>8</v>
      </c>
      <c r="M6" s="444">
        <f t="shared" si="2"/>
        <v>103</v>
      </c>
      <c r="N6" s="444" t="str">
        <f t="shared" si="0"/>
        <v>LA:103</v>
      </c>
      <c r="O6" s="444" t="s">
        <v>676</v>
      </c>
      <c r="AQ6" s="451" t="s">
        <v>8</v>
      </c>
      <c r="AR6" s="451">
        <f t="shared" si="1"/>
        <v>0</v>
      </c>
      <c r="AS6" s="453" t="s">
        <v>33</v>
      </c>
      <c r="AT6" s="454"/>
      <c r="AU6" s="454"/>
      <c r="AV6" s="454"/>
      <c r="AW6" s="454"/>
      <c r="AX6" s="454"/>
      <c r="AY6" s="454"/>
      <c r="AZ6" s="454"/>
      <c r="BA6" s="454"/>
      <c r="BB6" s="453" t="s">
        <v>33</v>
      </c>
      <c r="BC6" s="454"/>
      <c r="BD6" s="454"/>
      <c r="BE6" s="454"/>
      <c r="BF6" s="454"/>
      <c r="BG6" s="454"/>
      <c r="BH6" s="453" t="s">
        <v>33</v>
      </c>
      <c r="BI6" s="454"/>
      <c r="BJ6" s="452"/>
      <c r="BK6" s="453" t="s">
        <v>33</v>
      </c>
      <c r="BL6" s="454"/>
      <c r="BM6" s="453" t="s">
        <v>33</v>
      </c>
      <c r="BN6" s="453" t="s">
        <v>33</v>
      </c>
      <c r="BO6" s="444">
        <v>4</v>
      </c>
    </row>
    <row r="7" spans="2:67" ht="13.5" thickBot="1" x14ac:dyDescent="0.25">
      <c r="C7" s="1160" t="s">
        <v>73</v>
      </c>
      <c r="D7" s="1162">
        <v>16.405494876244276</v>
      </c>
      <c r="E7" s="1162">
        <v>3.8675821192814621</v>
      </c>
      <c r="F7" s="1162">
        <v>18.491226750031629</v>
      </c>
      <c r="G7" s="1162">
        <v>10.487670912477695</v>
      </c>
      <c r="H7" s="1162">
        <v>7.7504463314095311</v>
      </c>
      <c r="J7" s="937" t="s">
        <v>4</v>
      </c>
      <c r="K7" s="935" t="s">
        <v>4</v>
      </c>
      <c r="L7" s="444" t="s">
        <v>4</v>
      </c>
      <c r="M7" s="444">
        <f t="shared" si="2"/>
        <v>104</v>
      </c>
      <c r="N7" s="444" t="str">
        <f t="shared" si="0"/>
        <v>LA:104</v>
      </c>
      <c r="O7" s="444" t="s">
        <v>676</v>
      </c>
      <c r="AQ7" s="451" t="s">
        <v>4</v>
      </c>
      <c r="AR7" s="451">
        <f t="shared" si="1"/>
        <v>0</v>
      </c>
      <c r="AS7" s="454"/>
      <c r="AT7" s="454"/>
      <c r="AU7" s="454"/>
      <c r="AV7" s="454"/>
      <c r="AW7" s="454"/>
      <c r="AX7" s="453" t="s">
        <v>33</v>
      </c>
      <c r="AY7" s="453" t="s">
        <v>33</v>
      </c>
      <c r="AZ7" s="454"/>
      <c r="BA7" s="454"/>
      <c r="BB7" s="454"/>
      <c r="BC7" s="454"/>
      <c r="BD7" s="454"/>
      <c r="BE7" s="454"/>
      <c r="BF7" s="453" t="s">
        <v>33</v>
      </c>
      <c r="BG7" s="454"/>
      <c r="BH7" s="454"/>
      <c r="BI7" s="454"/>
      <c r="BJ7" s="452"/>
      <c r="BK7" s="454"/>
      <c r="BL7" s="453" t="s">
        <v>33</v>
      </c>
      <c r="BM7" s="454"/>
      <c r="BN7" s="454"/>
      <c r="BO7" s="444">
        <v>5</v>
      </c>
    </row>
    <row r="8" spans="2:67" ht="13.5" thickBot="1" x14ac:dyDescent="0.25">
      <c r="B8" s="1163">
        <v>2019</v>
      </c>
      <c r="C8" s="1160" t="s">
        <v>943</v>
      </c>
      <c r="D8" s="1162">
        <v>270.37540349643564</v>
      </c>
      <c r="E8" s="1162">
        <v>53.310770004812994</v>
      </c>
      <c r="F8" s="1162">
        <v>228.35886318182924</v>
      </c>
      <c r="G8" s="1162">
        <v>177.93338822178319</v>
      </c>
      <c r="H8" s="1162">
        <v>43.605182568361556</v>
      </c>
      <c r="J8" s="937" t="s">
        <v>6</v>
      </c>
      <c r="K8" s="935" t="s">
        <v>6</v>
      </c>
      <c r="L8" s="444" t="s">
        <v>6</v>
      </c>
      <c r="M8" s="444">
        <f t="shared" si="2"/>
        <v>105</v>
      </c>
      <c r="N8" s="444" t="str">
        <f t="shared" si="0"/>
        <v>LA:105</v>
      </c>
      <c r="O8" s="444" t="s">
        <v>676</v>
      </c>
      <c r="AQ8" s="451" t="s">
        <v>6</v>
      </c>
      <c r="AR8" s="451">
        <f t="shared" si="1"/>
        <v>0</v>
      </c>
      <c r="AS8" s="453" t="s">
        <v>33</v>
      </c>
      <c r="AT8" s="454"/>
      <c r="AU8" s="453" t="s">
        <v>33</v>
      </c>
      <c r="AV8" s="454"/>
      <c r="AW8" s="454"/>
      <c r="AX8" s="454"/>
      <c r="AY8" s="454"/>
      <c r="AZ8" s="454"/>
      <c r="BA8" s="454"/>
      <c r="BB8" s="453" t="s">
        <v>33</v>
      </c>
      <c r="BC8" s="454"/>
      <c r="BD8" s="454"/>
      <c r="BE8" s="454"/>
      <c r="BF8" s="454"/>
      <c r="BG8" s="454"/>
      <c r="BH8" s="453" t="s">
        <v>33</v>
      </c>
      <c r="BI8" s="454"/>
      <c r="BJ8" s="452"/>
      <c r="BK8" s="453" t="s">
        <v>33</v>
      </c>
      <c r="BL8" s="453" t="s">
        <v>33</v>
      </c>
      <c r="BM8" s="453" t="s">
        <v>33</v>
      </c>
      <c r="BN8" s="453" t="s">
        <v>33</v>
      </c>
      <c r="BO8" s="444">
        <v>6</v>
      </c>
    </row>
    <row r="9" spans="2:67" x14ac:dyDescent="0.2">
      <c r="C9" s="1160" t="s">
        <v>944</v>
      </c>
      <c r="D9" s="1162">
        <v>0.31209338830083383</v>
      </c>
      <c r="E9" s="1162">
        <v>0.13598476639028204</v>
      </c>
      <c r="F9" s="1162">
        <v>0.36345137079922374</v>
      </c>
      <c r="G9" s="1162">
        <v>0.35187090777725144</v>
      </c>
      <c r="H9" s="1162">
        <v>0.36452908895063618</v>
      </c>
      <c r="J9" s="937" t="s">
        <v>1</v>
      </c>
      <c r="K9" s="935" t="s">
        <v>1</v>
      </c>
      <c r="L9" s="444" t="s">
        <v>1</v>
      </c>
      <c r="M9" s="444">
        <f t="shared" si="2"/>
        <v>106</v>
      </c>
      <c r="N9" s="444" t="str">
        <f t="shared" si="0"/>
        <v>LA:106</v>
      </c>
      <c r="O9" s="444" t="s">
        <v>676</v>
      </c>
      <c r="AQ9" s="451" t="s">
        <v>1</v>
      </c>
      <c r="AR9" s="451">
        <f t="shared" si="1"/>
        <v>0</v>
      </c>
      <c r="AS9" s="454"/>
      <c r="AT9" s="454"/>
      <c r="AU9" s="454"/>
      <c r="AV9" s="454"/>
      <c r="AW9" s="454"/>
      <c r="AX9" s="454"/>
      <c r="AY9" s="454"/>
      <c r="AZ9" s="454"/>
      <c r="BA9" s="454"/>
      <c r="BB9" s="454"/>
      <c r="BC9" s="454"/>
      <c r="BD9" s="454"/>
      <c r="BE9" s="454"/>
      <c r="BF9" s="454"/>
      <c r="BG9" s="453" t="s">
        <v>33</v>
      </c>
      <c r="BH9" s="454"/>
      <c r="BI9" s="454"/>
      <c r="BJ9" s="453" t="s">
        <v>33</v>
      </c>
      <c r="BK9" s="454"/>
      <c r="BL9" s="454"/>
      <c r="BM9" s="454"/>
      <c r="BN9" s="454"/>
      <c r="BO9" s="444">
        <v>7</v>
      </c>
    </row>
    <row r="10" spans="2:67" x14ac:dyDescent="0.2">
      <c r="C10" s="1159" t="s">
        <v>939</v>
      </c>
      <c r="D10" s="1159" t="s">
        <v>940</v>
      </c>
      <c r="E10" s="1159" t="s">
        <v>941</v>
      </c>
      <c r="F10" s="751" t="s">
        <v>945</v>
      </c>
      <c r="G10" s="1159" t="s">
        <v>946</v>
      </c>
      <c r="H10" s="1159" t="s">
        <v>942</v>
      </c>
      <c r="J10" s="937" t="s">
        <v>9</v>
      </c>
      <c r="K10" s="935" t="s">
        <v>9</v>
      </c>
      <c r="L10" s="444" t="s">
        <v>9</v>
      </c>
      <c r="M10" s="444">
        <f t="shared" si="2"/>
        <v>107</v>
      </c>
      <c r="N10" s="444" t="str">
        <f t="shared" si="0"/>
        <v>LA:107</v>
      </c>
      <c r="O10" s="444" t="s">
        <v>676</v>
      </c>
      <c r="AQ10" s="451" t="s">
        <v>9</v>
      </c>
      <c r="AR10" s="451">
        <f t="shared" si="1"/>
        <v>0</v>
      </c>
      <c r="AS10" s="454"/>
      <c r="AT10" s="454"/>
      <c r="AU10" s="454"/>
      <c r="AV10" s="453" t="s">
        <v>33</v>
      </c>
      <c r="AW10" s="454"/>
      <c r="AX10" s="454"/>
      <c r="AY10" s="454"/>
      <c r="AZ10" s="453" t="s">
        <v>33</v>
      </c>
      <c r="BA10" s="453" t="s">
        <v>33</v>
      </c>
      <c r="BB10" s="454"/>
      <c r="BC10" s="454"/>
      <c r="BD10" s="454"/>
      <c r="BE10" s="454"/>
      <c r="BF10" s="454"/>
      <c r="BG10" s="454"/>
      <c r="BH10" s="454"/>
      <c r="BI10" s="453" t="s">
        <v>33</v>
      </c>
      <c r="BJ10" s="452"/>
      <c r="BK10" s="454"/>
      <c r="BL10" s="454"/>
      <c r="BM10" s="454"/>
      <c r="BN10" s="454"/>
      <c r="BO10" s="444">
        <v>8</v>
      </c>
    </row>
    <row r="11" spans="2:67" x14ac:dyDescent="0.2">
      <c r="B11" s="1160" t="s">
        <v>73</v>
      </c>
      <c r="C11" s="1161">
        <v>2.5156707689286137</v>
      </c>
      <c r="D11" s="1161">
        <v>1.9077652647356196</v>
      </c>
      <c r="E11" s="1161">
        <v>0.43270258035530607</v>
      </c>
      <c r="F11" s="1161">
        <v>0.58244520499675545</v>
      </c>
      <c r="G11" s="1161">
        <v>0.97621016259997728</v>
      </c>
      <c r="H11" s="1161">
        <v>3.5371929248461549</v>
      </c>
      <c r="J11" s="937" t="s">
        <v>2</v>
      </c>
      <c r="K11" s="935" t="s">
        <v>2</v>
      </c>
      <c r="L11" s="444" t="s">
        <v>2</v>
      </c>
      <c r="M11" s="444">
        <f t="shared" si="2"/>
        <v>108</v>
      </c>
      <c r="N11" s="444" t="str">
        <f t="shared" si="0"/>
        <v>LA:108</v>
      </c>
      <c r="O11" s="444" t="s">
        <v>676</v>
      </c>
      <c r="AQ11" s="451" t="s">
        <v>2</v>
      </c>
      <c r="AR11" s="451">
        <f t="shared" si="1"/>
        <v>0</v>
      </c>
      <c r="AS11" s="454"/>
      <c r="AT11" s="454"/>
      <c r="AU11" s="454"/>
      <c r="AV11" s="454"/>
      <c r="AW11" s="454"/>
      <c r="AX11" s="454"/>
      <c r="AY11" s="454"/>
      <c r="AZ11" s="454"/>
      <c r="BA11" s="454"/>
      <c r="BB11" s="454"/>
      <c r="BC11" s="454"/>
      <c r="BD11" s="454"/>
      <c r="BE11" s="454"/>
      <c r="BF11" s="454"/>
      <c r="BG11" s="454"/>
      <c r="BH11" s="454"/>
      <c r="BI11" s="453" t="s">
        <v>33</v>
      </c>
      <c r="BJ11" s="452"/>
      <c r="BK11" s="454"/>
      <c r="BL11" s="454"/>
      <c r="BM11" s="454"/>
      <c r="BN11" s="454"/>
      <c r="BO11" s="444">
        <v>9</v>
      </c>
    </row>
    <row r="12" spans="2:67" x14ac:dyDescent="0.2">
      <c r="B12" s="1160" t="s">
        <v>943</v>
      </c>
      <c r="C12" s="1161">
        <v>24.531376279451557</v>
      </c>
      <c r="D12" s="1161">
        <v>12.290523994593862</v>
      </c>
      <c r="E12" s="1161">
        <v>4.9049756013370791</v>
      </c>
      <c r="F12" s="1161">
        <v>2.3296616700915305</v>
      </c>
      <c r="G12" s="1161">
        <v>3.2751417101996694</v>
      </c>
      <c r="H12" s="1161">
        <v>8.9135893365413494</v>
      </c>
      <c r="J12" s="937" t="s">
        <v>10</v>
      </c>
      <c r="K12" s="935" t="s">
        <v>10</v>
      </c>
      <c r="L12" s="444" t="s">
        <v>10</v>
      </c>
      <c r="M12" s="444">
        <f t="shared" si="2"/>
        <v>109</v>
      </c>
      <c r="N12" s="444" t="str">
        <f t="shared" si="0"/>
        <v>LA:109</v>
      </c>
      <c r="O12" s="444" t="s">
        <v>676</v>
      </c>
      <c r="AQ12" s="451" t="s">
        <v>10</v>
      </c>
      <c r="AR12" s="451">
        <f t="shared" si="1"/>
        <v>0</v>
      </c>
      <c r="AS12" s="454"/>
      <c r="AT12" s="454"/>
      <c r="AU12" s="454"/>
      <c r="AV12" s="454"/>
      <c r="AW12" s="454"/>
      <c r="AX12" s="454"/>
      <c r="AY12" s="454"/>
      <c r="AZ12" s="454"/>
      <c r="BA12" s="454"/>
      <c r="BB12" s="454"/>
      <c r="BC12" s="454"/>
      <c r="BD12" s="453" t="s">
        <v>33</v>
      </c>
      <c r="BE12" s="454"/>
      <c r="BF12" s="454"/>
      <c r="BG12" s="454"/>
      <c r="BH12" s="454"/>
      <c r="BI12" s="454"/>
      <c r="BJ12" s="452"/>
      <c r="BK12" s="454"/>
      <c r="BL12" s="454"/>
      <c r="BM12" s="454"/>
      <c r="BN12" s="454"/>
      <c r="BO12" s="444">
        <v>10</v>
      </c>
    </row>
    <row r="13" spans="2:67" x14ac:dyDescent="0.2">
      <c r="B13" s="1160" t="s">
        <v>944</v>
      </c>
      <c r="C13" s="1161">
        <v>2.2644102089145957E-2</v>
      </c>
      <c r="D13" s="1161">
        <v>0.35809069999502413</v>
      </c>
      <c r="E13" s="1161">
        <v>0.15275155225544526</v>
      </c>
      <c r="F13" s="1161">
        <v>0.31391397183458741</v>
      </c>
      <c r="G13" s="1161">
        <v>0.30012330479721755</v>
      </c>
      <c r="H13" s="1161">
        <v>0.47005276152345327</v>
      </c>
      <c r="J13" s="937" t="s">
        <v>11</v>
      </c>
      <c r="K13" s="935" t="s">
        <v>11</v>
      </c>
      <c r="L13" s="444" t="s">
        <v>11</v>
      </c>
      <c r="M13" s="444">
        <f t="shared" si="2"/>
        <v>110</v>
      </c>
      <c r="N13" s="444" t="str">
        <f t="shared" si="0"/>
        <v>LA:110</v>
      </c>
      <c r="O13" s="444" t="s">
        <v>676</v>
      </c>
      <c r="AQ13" s="451" t="s">
        <v>11</v>
      </c>
      <c r="AR13" s="451">
        <f t="shared" si="1"/>
        <v>0</v>
      </c>
      <c r="AS13" s="454"/>
      <c r="AT13" s="454"/>
      <c r="AU13" s="453" t="s">
        <v>33</v>
      </c>
      <c r="AV13" s="454"/>
      <c r="AW13" s="454"/>
      <c r="AX13" s="454"/>
      <c r="AY13" s="454"/>
      <c r="AZ13" s="454"/>
      <c r="BA13" s="454"/>
      <c r="BB13" s="454"/>
      <c r="BC13" s="454"/>
      <c r="BD13" s="454"/>
      <c r="BE13" s="454"/>
      <c r="BF13" s="454"/>
      <c r="BG13" s="454"/>
      <c r="BH13" s="453" t="s">
        <v>33</v>
      </c>
      <c r="BI13" s="454"/>
      <c r="BJ13" s="452"/>
      <c r="BK13" s="453" t="s">
        <v>33</v>
      </c>
      <c r="BL13" s="454"/>
      <c r="BM13" s="453" t="s">
        <v>33</v>
      </c>
      <c r="BN13" s="453" t="s">
        <v>33</v>
      </c>
      <c r="BO13" s="444">
        <v>11</v>
      </c>
    </row>
    <row r="14" spans="2:67" x14ac:dyDescent="0.2">
      <c r="C14" s="1159" t="s">
        <v>1003</v>
      </c>
      <c r="D14" s="1159" t="s">
        <v>1004</v>
      </c>
      <c r="E14" s="1159" t="s">
        <v>1005</v>
      </c>
      <c r="F14" s="751" t="s">
        <v>1256</v>
      </c>
      <c r="G14" s="1159" t="s">
        <v>1255</v>
      </c>
      <c r="H14" s="1159"/>
      <c r="J14" s="937" t="s">
        <v>12</v>
      </c>
      <c r="K14" s="935" t="s">
        <v>12</v>
      </c>
      <c r="L14" s="444" t="s">
        <v>12</v>
      </c>
      <c r="M14" s="444">
        <f t="shared" si="2"/>
        <v>111</v>
      </c>
      <c r="N14" s="444" t="str">
        <f t="shared" si="0"/>
        <v>LA:111</v>
      </c>
      <c r="O14" s="444" t="s">
        <v>676</v>
      </c>
      <c r="AQ14" s="451" t="s">
        <v>12</v>
      </c>
      <c r="AR14" s="451">
        <f t="shared" si="1"/>
        <v>0</v>
      </c>
      <c r="AS14" s="454"/>
      <c r="AT14" s="453" t="s">
        <v>33</v>
      </c>
      <c r="AU14" s="454"/>
      <c r="AV14" s="454"/>
      <c r="AW14" s="454"/>
      <c r="AX14" s="454"/>
      <c r="AY14" s="454"/>
      <c r="AZ14" s="454"/>
      <c r="BA14" s="454"/>
      <c r="BB14" s="454"/>
      <c r="BC14" s="454"/>
      <c r="BD14" s="454"/>
      <c r="BE14" s="454"/>
      <c r="BF14" s="454"/>
      <c r="BG14" s="454"/>
      <c r="BH14" s="454"/>
      <c r="BI14" s="454"/>
      <c r="BJ14" s="452"/>
      <c r="BK14" s="454"/>
      <c r="BL14" s="454"/>
      <c r="BM14" s="454"/>
      <c r="BN14" s="454"/>
      <c r="BO14" s="444">
        <v>12</v>
      </c>
    </row>
    <row r="15" spans="2:67" x14ac:dyDescent="0.2">
      <c r="B15" s="1160" t="s">
        <v>73</v>
      </c>
      <c r="C15" s="1161">
        <v>0.98532639703445446</v>
      </c>
      <c r="D15" s="1161">
        <v>0.94624479034374209</v>
      </c>
      <c r="E15" s="1161">
        <v>3.9081606690711743E-2</v>
      </c>
      <c r="F15" s="1161">
        <v>0.59658716653659505</v>
      </c>
      <c r="G15" s="1161">
        <v>10.919595480882608</v>
      </c>
      <c r="H15" s="1161"/>
      <c r="J15" s="937" t="s">
        <v>3</v>
      </c>
      <c r="K15" s="935" t="s">
        <v>3</v>
      </c>
      <c r="L15" s="444" t="s">
        <v>3</v>
      </c>
      <c r="M15" s="444">
        <f t="shared" si="2"/>
        <v>112</v>
      </c>
      <c r="N15" s="444" t="str">
        <f t="shared" si="0"/>
        <v>LA:112</v>
      </c>
      <c r="O15" s="444" t="s">
        <v>676</v>
      </c>
      <c r="AQ15" s="451" t="s">
        <v>3</v>
      </c>
      <c r="AR15" s="451">
        <f t="shared" si="1"/>
        <v>0</v>
      </c>
      <c r="AS15" s="454"/>
      <c r="AT15" s="453" t="s">
        <v>33</v>
      </c>
      <c r="AU15" s="454"/>
      <c r="AV15" s="454"/>
      <c r="AW15" s="454"/>
      <c r="AX15" s="454"/>
      <c r="AY15" s="454"/>
      <c r="AZ15" s="454"/>
      <c r="BA15" s="454"/>
      <c r="BB15" s="454"/>
      <c r="BC15" s="454"/>
      <c r="BD15" s="454"/>
      <c r="BE15" s="454"/>
      <c r="BF15" s="454"/>
      <c r="BG15" s="454"/>
      <c r="BH15" s="454"/>
      <c r="BI15" s="454"/>
      <c r="BJ15" s="452"/>
      <c r="BK15" s="454"/>
      <c r="BL15" s="454"/>
      <c r="BM15" s="454"/>
      <c r="BN15" s="454"/>
      <c r="BO15" s="444">
        <v>13</v>
      </c>
    </row>
    <row r="16" spans="2:67" x14ac:dyDescent="0.2">
      <c r="B16" s="1160" t="s">
        <v>943</v>
      </c>
      <c r="C16" s="1161">
        <v>12.540906420523612</v>
      </c>
      <c r="D16" s="1161">
        <v>10.511480995292121</v>
      </c>
      <c r="E16" s="1161">
        <v>2.029425425231512</v>
      </c>
      <c r="F16" s="1161">
        <v>15.865231717372945</v>
      </c>
      <c r="G16" s="1161">
        <v>98.177567195042428</v>
      </c>
      <c r="H16" s="1161"/>
      <c r="J16" s="937" t="s">
        <v>13</v>
      </c>
      <c r="K16" s="935" t="s">
        <v>13</v>
      </c>
      <c r="L16" s="444" t="s">
        <v>13</v>
      </c>
      <c r="M16" s="444">
        <f t="shared" si="2"/>
        <v>113</v>
      </c>
      <c r="N16" s="444" t="str">
        <f t="shared" si="0"/>
        <v>LA:113</v>
      </c>
      <c r="O16" s="444" t="s">
        <v>676</v>
      </c>
      <c r="AQ16" s="451" t="s">
        <v>13</v>
      </c>
      <c r="AR16" s="451">
        <f t="shared" si="1"/>
        <v>0</v>
      </c>
      <c r="AS16" s="454"/>
      <c r="AT16" s="454"/>
      <c r="AU16" s="454"/>
      <c r="AV16" s="454"/>
      <c r="AW16" s="454"/>
      <c r="AX16" s="454"/>
      <c r="AY16" s="454"/>
      <c r="AZ16" s="454"/>
      <c r="BA16" s="454"/>
      <c r="BB16" s="454"/>
      <c r="BC16" s="454"/>
      <c r="BD16" s="454"/>
      <c r="BE16" s="454"/>
      <c r="BF16" s="454"/>
      <c r="BG16" s="454"/>
      <c r="BH16" s="454"/>
      <c r="BI16" s="454"/>
      <c r="BJ16" s="452"/>
      <c r="BK16" s="454"/>
      <c r="BL16" s="454"/>
      <c r="BM16" s="454"/>
      <c r="BN16" s="454"/>
      <c r="BO16" s="444">
        <v>14</v>
      </c>
    </row>
    <row r="17" spans="2:67" x14ac:dyDescent="0.2">
      <c r="B17" s="1160" t="s">
        <v>944</v>
      </c>
      <c r="C17" s="1161">
        <v>0.11196668380398435</v>
      </c>
      <c r="D17" s="1161">
        <v>0.20385312068584102</v>
      </c>
      <c r="E17" s="1161">
        <v>9.1706624072729781E-4</v>
      </c>
      <c r="F17" s="1161">
        <v>0.10074447134481042</v>
      </c>
      <c r="G17" s="1161">
        <v>0.32912793612127578</v>
      </c>
      <c r="H17" s="1161"/>
      <c r="J17" s="937" t="s">
        <v>14</v>
      </c>
      <c r="K17" s="935" t="s">
        <v>93</v>
      </c>
      <c r="L17" s="444" t="s">
        <v>93</v>
      </c>
      <c r="M17" s="444">
        <f t="shared" si="2"/>
        <v>114</v>
      </c>
      <c r="N17" s="444" t="str">
        <f t="shared" si="0"/>
        <v>LA:114</v>
      </c>
      <c r="O17" s="444" t="s">
        <v>676</v>
      </c>
      <c r="AQ17" s="451" t="s">
        <v>93</v>
      </c>
      <c r="AR17" s="451">
        <f t="shared" si="1"/>
        <v>0</v>
      </c>
      <c r="AS17" s="454"/>
      <c r="AT17" s="454"/>
      <c r="AU17" s="454"/>
      <c r="AV17" s="454"/>
      <c r="AW17" s="454"/>
      <c r="AX17" s="454"/>
      <c r="AY17" s="454"/>
      <c r="AZ17" s="454"/>
      <c r="BA17" s="454"/>
      <c r="BB17" s="454"/>
      <c r="BC17" s="454"/>
      <c r="BD17" s="454"/>
      <c r="BE17" s="454"/>
      <c r="BF17" s="454"/>
      <c r="BG17" s="454"/>
      <c r="BH17" s="454"/>
      <c r="BI17" s="454"/>
      <c r="BJ17" s="452"/>
      <c r="BK17" s="454"/>
      <c r="BL17" s="454"/>
      <c r="BM17" s="454"/>
      <c r="BN17" s="454"/>
      <c r="BO17" s="444">
        <v>15</v>
      </c>
    </row>
    <row r="18" spans="2:67" x14ac:dyDescent="0.2">
      <c r="B18" s="751" t="s">
        <v>673</v>
      </c>
      <c r="J18" s="937" t="s">
        <v>7</v>
      </c>
      <c r="K18" s="935" t="s">
        <v>14</v>
      </c>
      <c r="L18" s="444" t="s">
        <v>14</v>
      </c>
      <c r="M18" s="444">
        <f t="shared" si="2"/>
        <v>115</v>
      </c>
      <c r="N18" s="444" t="str">
        <f t="shared" si="0"/>
        <v>LA:115</v>
      </c>
      <c r="O18" s="444" t="s">
        <v>676</v>
      </c>
      <c r="AQ18" s="451" t="s">
        <v>14</v>
      </c>
      <c r="AR18" s="451">
        <f t="shared" si="1"/>
        <v>0</v>
      </c>
      <c r="AS18" s="454"/>
      <c r="AT18" s="453" t="s">
        <v>33</v>
      </c>
      <c r="AU18" s="454"/>
      <c r="AV18" s="454"/>
      <c r="AW18" s="454"/>
      <c r="AX18" s="454"/>
      <c r="AY18" s="454"/>
      <c r="AZ18" s="454"/>
      <c r="BA18" s="454"/>
      <c r="BB18" s="454"/>
      <c r="BC18" s="453" t="s">
        <v>33</v>
      </c>
      <c r="BD18" s="454"/>
      <c r="BE18" s="454"/>
      <c r="BF18" s="454"/>
      <c r="BG18" s="453" t="s">
        <v>33</v>
      </c>
      <c r="BH18" s="454"/>
      <c r="BI18" s="454"/>
      <c r="BJ18" s="452"/>
      <c r="BK18" s="454"/>
      <c r="BL18" s="454"/>
      <c r="BM18" s="454"/>
      <c r="BN18" s="454"/>
      <c r="BO18" s="444">
        <v>16</v>
      </c>
    </row>
    <row r="19" spans="2:67" x14ac:dyDescent="0.2">
      <c r="D19" s="923">
        <v>2</v>
      </c>
      <c r="E19" s="923">
        <v>3</v>
      </c>
      <c r="F19" s="923">
        <v>4</v>
      </c>
      <c r="G19" s="923">
        <v>5</v>
      </c>
      <c r="H19" s="923">
        <v>6</v>
      </c>
      <c r="J19" s="937" t="s">
        <v>15</v>
      </c>
      <c r="K19" s="935" t="s">
        <v>7</v>
      </c>
      <c r="L19" s="444" t="s">
        <v>7</v>
      </c>
      <c r="M19" s="444">
        <f t="shared" si="2"/>
        <v>116</v>
      </c>
      <c r="N19" s="444" t="str">
        <f t="shared" si="0"/>
        <v>LA:116</v>
      </c>
      <c r="O19" s="444" t="s">
        <v>676</v>
      </c>
      <c r="AQ19" s="451" t="s">
        <v>7</v>
      </c>
      <c r="AR19" s="451">
        <f t="shared" si="1"/>
        <v>0</v>
      </c>
      <c r="AS19" s="453" t="s">
        <v>33</v>
      </c>
      <c r="AT19" s="454"/>
      <c r="AU19" s="453" t="s">
        <v>33</v>
      </c>
      <c r="AV19" s="454"/>
      <c r="AW19" s="454"/>
      <c r="AX19" s="454"/>
      <c r="AY19" s="454"/>
      <c r="AZ19" s="454"/>
      <c r="BA19" s="454"/>
      <c r="BB19" s="453" t="s">
        <v>33</v>
      </c>
      <c r="BC19" s="454"/>
      <c r="BD19" s="454"/>
      <c r="BE19" s="454"/>
      <c r="BF19" s="454"/>
      <c r="BG19" s="454"/>
      <c r="BH19" s="454"/>
      <c r="BI19" s="454"/>
      <c r="BJ19" s="452"/>
      <c r="BK19" s="453" t="s">
        <v>33</v>
      </c>
      <c r="BL19" s="454"/>
      <c r="BM19" s="453" t="s">
        <v>33</v>
      </c>
      <c r="BN19" s="453" t="s">
        <v>33</v>
      </c>
      <c r="BO19" s="444">
        <v>17</v>
      </c>
    </row>
    <row r="20" spans="2:67" x14ac:dyDescent="0.2">
      <c r="C20" s="1136" t="s">
        <v>661</v>
      </c>
      <c r="D20" s="1140" t="s">
        <v>1248</v>
      </c>
      <c r="E20" s="1140" t="s">
        <v>574</v>
      </c>
      <c r="F20" s="1140" t="s">
        <v>573</v>
      </c>
      <c r="G20" s="1140" t="s">
        <v>194</v>
      </c>
      <c r="H20" s="1141" t="s">
        <v>667</v>
      </c>
      <c r="J20" s="937" t="s">
        <v>5</v>
      </c>
      <c r="K20" s="935" t="s">
        <v>114</v>
      </c>
      <c r="L20" s="444" t="s">
        <v>114</v>
      </c>
      <c r="M20" s="444">
        <f t="shared" si="2"/>
        <v>117</v>
      </c>
      <c r="N20" s="444" t="str">
        <f t="shared" si="0"/>
        <v>LA:117</v>
      </c>
      <c r="O20" s="444" t="s">
        <v>676</v>
      </c>
      <c r="AQ20" s="451" t="s">
        <v>114</v>
      </c>
      <c r="AR20" s="451">
        <f t="shared" si="1"/>
        <v>0</v>
      </c>
      <c r="AS20" s="455"/>
      <c r="AT20" s="456"/>
      <c r="AU20" s="455"/>
      <c r="AV20" s="456"/>
      <c r="AW20" s="456"/>
      <c r="AX20" s="456"/>
      <c r="AY20" s="453" t="s">
        <v>33</v>
      </c>
      <c r="AZ20" s="453" t="s">
        <v>33</v>
      </c>
      <c r="BA20" s="453" t="s">
        <v>33</v>
      </c>
      <c r="BB20" s="455"/>
      <c r="BC20" s="456"/>
      <c r="BD20" s="456"/>
      <c r="BE20" s="456"/>
      <c r="BF20" s="456"/>
      <c r="BG20" s="456"/>
      <c r="BH20" s="456"/>
      <c r="BI20" s="456"/>
      <c r="BJ20" s="457"/>
      <c r="BK20" s="455"/>
      <c r="BL20" s="456"/>
      <c r="BM20" s="455"/>
      <c r="BN20" s="455"/>
      <c r="BO20" s="444">
        <v>18</v>
      </c>
    </row>
    <row r="21" spans="2:67" x14ac:dyDescent="0.2">
      <c r="C21" s="1136" t="s">
        <v>662</v>
      </c>
      <c r="D21" s="1138" t="e">
        <f>NA()</f>
        <v>#N/A</v>
      </c>
      <c r="E21" s="1139" t="e">
        <f>NA()</f>
        <v>#N/A</v>
      </c>
      <c r="F21" s="1139" t="e">
        <f>NA()</f>
        <v>#N/A</v>
      </c>
      <c r="G21" s="1139" t="e">
        <f>NA()</f>
        <v>#N/A</v>
      </c>
      <c r="H21" s="1142" t="e">
        <f>NA()</f>
        <v>#N/A</v>
      </c>
      <c r="J21" s="937" t="s">
        <v>30</v>
      </c>
      <c r="K21" s="935" t="s">
        <v>115</v>
      </c>
      <c r="L21" s="444" t="s">
        <v>115</v>
      </c>
      <c r="M21" s="444">
        <f t="shared" si="2"/>
        <v>118</v>
      </c>
      <c r="N21" s="444" t="str">
        <f t="shared" si="0"/>
        <v>LA:118</v>
      </c>
      <c r="O21" s="444" t="s">
        <v>676</v>
      </c>
      <c r="AQ21" s="451" t="s">
        <v>115</v>
      </c>
      <c r="AR21" s="451">
        <f t="shared" si="1"/>
        <v>0</v>
      </c>
      <c r="AS21" s="455"/>
      <c r="AT21" s="456"/>
      <c r="AU21" s="455"/>
      <c r="AV21" s="456"/>
      <c r="AW21" s="456"/>
      <c r="AX21" s="453" t="s">
        <v>33</v>
      </c>
      <c r="AY21" s="456"/>
      <c r="AZ21" s="456"/>
      <c r="BA21" s="456"/>
      <c r="BB21" s="455"/>
      <c r="BC21" s="456"/>
      <c r="BD21" s="456"/>
      <c r="BE21" s="456"/>
      <c r="BF21" s="456"/>
      <c r="BG21" s="456"/>
      <c r="BH21" s="456"/>
      <c r="BI21" s="456"/>
      <c r="BJ21" s="457"/>
      <c r="BK21" s="455"/>
      <c r="BL21" s="456"/>
      <c r="BM21" s="455"/>
      <c r="BN21" s="455"/>
      <c r="BO21" s="444">
        <v>19</v>
      </c>
    </row>
    <row r="22" spans="2:67" x14ac:dyDescent="0.2">
      <c r="C22" s="1136" t="s">
        <v>663</v>
      </c>
      <c r="D22" s="1137" t="s">
        <v>667</v>
      </c>
      <c r="E22" s="1137" t="s">
        <v>667</v>
      </c>
      <c r="F22" s="1137" t="s">
        <v>667</v>
      </c>
      <c r="G22" s="1137" t="s">
        <v>667</v>
      </c>
      <c r="H22" s="1141" t="s">
        <v>1011</v>
      </c>
      <c r="J22" s="938" t="s">
        <v>16</v>
      </c>
      <c r="K22" s="935" t="s">
        <v>15</v>
      </c>
      <c r="L22" s="444" t="s">
        <v>15</v>
      </c>
      <c r="M22" s="444">
        <f t="shared" si="2"/>
        <v>119</v>
      </c>
      <c r="N22" s="444" t="str">
        <f t="shared" si="0"/>
        <v>LA:119</v>
      </c>
      <c r="O22" s="444" t="s">
        <v>676</v>
      </c>
      <c r="AQ22" s="451" t="s">
        <v>15</v>
      </c>
      <c r="AR22" s="451">
        <f t="shared" si="1"/>
        <v>0</v>
      </c>
      <c r="AS22" s="454"/>
      <c r="AT22" s="454"/>
      <c r="AU22" s="453" t="s">
        <v>33</v>
      </c>
      <c r="AV22" s="454"/>
      <c r="AW22" s="453" t="s">
        <v>33</v>
      </c>
      <c r="AX22" s="454"/>
      <c r="AY22" s="454"/>
      <c r="AZ22" s="454"/>
      <c r="BA22" s="454"/>
      <c r="BB22" s="453" t="s">
        <v>33</v>
      </c>
      <c r="BC22" s="454"/>
      <c r="BD22" s="454"/>
      <c r="BE22" s="454"/>
      <c r="BF22" s="454"/>
      <c r="BG22" s="454"/>
      <c r="BH22" s="453" t="s">
        <v>33</v>
      </c>
      <c r="BI22" s="454"/>
      <c r="BJ22" s="452"/>
      <c r="BK22" s="454"/>
      <c r="BL22" s="454"/>
      <c r="BM22" s="453" t="s">
        <v>33</v>
      </c>
      <c r="BN22" s="453" t="s">
        <v>33</v>
      </c>
      <c r="BO22" s="444">
        <v>20</v>
      </c>
    </row>
    <row r="23" spans="2:67" x14ac:dyDescent="0.2">
      <c r="C23" s="1136" t="s">
        <v>664</v>
      </c>
      <c r="D23" s="1143" t="s">
        <v>671</v>
      </c>
      <c r="E23" s="1143" t="s">
        <v>668</v>
      </c>
      <c r="F23" s="1143" t="s">
        <v>669</v>
      </c>
      <c r="G23" s="1143" t="s">
        <v>670</v>
      </c>
      <c r="H23" s="1144" t="s">
        <v>671</v>
      </c>
      <c r="K23" s="935" t="s">
        <v>5</v>
      </c>
      <c r="L23" s="444" t="s">
        <v>5</v>
      </c>
      <c r="M23" s="444">
        <f t="shared" si="2"/>
        <v>120</v>
      </c>
      <c r="N23" s="444" t="str">
        <f t="shared" si="0"/>
        <v>LA:120</v>
      </c>
      <c r="O23" s="444" t="s">
        <v>676</v>
      </c>
      <c r="AQ23" s="451" t="s">
        <v>5</v>
      </c>
      <c r="AR23" s="451">
        <f t="shared" si="1"/>
        <v>0</v>
      </c>
      <c r="AS23" s="454"/>
      <c r="AT23" s="454"/>
      <c r="AU23" s="454"/>
      <c r="AV23" s="453" t="s">
        <v>33</v>
      </c>
      <c r="AW23" s="453" t="s">
        <v>33</v>
      </c>
      <c r="AX23" s="454"/>
      <c r="AY23" s="453" t="s">
        <v>33</v>
      </c>
      <c r="AZ23" s="454"/>
      <c r="BA23" s="454"/>
      <c r="BB23" s="454"/>
      <c r="BC23" s="454"/>
      <c r="BD23" s="454"/>
      <c r="BE23" s="454"/>
      <c r="BF23" s="454"/>
      <c r="BG23" s="454"/>
      <c r="BH23" s="454"/>
      <c r="BI23" s="454"/>
      <c r="BJ23" s="454"/>
      <c r="BK23" s="454"/>
      <c r="BL23" s="454"/>
      <c r="BM23" s="454"/>
      <c r="BN23" s="454"/>
      <c r="BO23" s="444">
        <v>21</v>
      </c>
    </row>
    <row r="24" spans="2:67" x14ac:dyDescent="0.2">
      <c r="K24" s="935" t="s">
        <v>30</v>
      </c>
      <c r="L24" s="444" t="s">
        <v>30</v>
      </c>
      <c r="M24" s="444">
        <f t="shared" si="2"/>
        <v>121</v>
      </c>
      <c r="N24" s="444" t="str">
        <f t="shared" si="0"/>
        <v>LA:121</v>
      </c>
      <c r="O24" s="444" t="s">
        <v>676</v>
      </c>
      <c r="AQ24" s="451" t="s">
        <v>30</v>
      </c>
      <c r="AR24" s="451">
        <f t="shared" si="1"/>
        <v>0</v>
      </c>
      <c r="AS24" s="453" t="s">
        <v>33</v>
      </c>
      <c r="AT24" s="458"/>
      <c r="AU24" s="453" t="s">
        <v>33</v>
      </c>
      <c r="AV24" s="458"/>
      <c r="AW24" s="458"/>
      <c r="AX24" s="458"/>
      <c r="AY24" s="458"/>
      <c r="AZ24" s="458"/>
      <c r="BA24" s="458"/>
      <c r="BB24" s="458"/>
      <c r="BC24" s="458"/>
      <c r="BD24" s="458"/>
      <c r="BE24" s="458"/>
      <c r="BF24" s="454"/>
      <c r="BG24" s="458"/>
      <c r="BH24" s="453" t="s">
        <v>33</v>
      </c>
      <c r="BI24" s="454"/>
      <c r="BJ24" s="454"/>
      <c r="BK24" s="459"/>
      <c r="BL24" s="458"/>
      <c r="BM24" s="458"/>
      <c r="BN24" s="453" t="s">
        <v>33</v>
      </c>
      <c r="BO24" s="444">
        <v>22</v>
      </c>
    </row>
    <row r="25" spans="2:67" x14ac:dyDescent="0.2">
      <c r="C25" s="923">
        <v>1</v>
      </c>
      <c r="D25" s="1135" t="str">
        <f t="shared" ref="D25:H26" si="3">VLOOKUP(CONCATENATE($C$3,$C25),$C$20:$H$23,D$19,FALSE)</f>
        <v>2014-15</v>
      </c>
      <c r="E25" s="924" t="str">
        <f t="shared" si="3"/>
        <v>2015-16</v>
      </c>
      <c r="F25" s="924" t="str">
        <f t="shared" si="3"/>
        <v>2016-17</v>
      </c>
      <c r="G25" s="924" t="str">
        <f t="shared" si="3"/>
        <v>2017-18</v>
      </c>
      <c r="H25" s="924" t="str">
        <f t="shared" si="3"/>
        <v>2018-19</v>
      </c>
      <c r="K25" s="935" t="s">
        <v>16</v>
      </c>
      <c r="L25" s="444" t="s">
        <v>16</v>
      </c>
      <c r="M25" s="444">
        <f t="shared" si="2"/>
        <v>122</v>
      </c>
      <c r="N25" s="444" t="str">
        <f t="shared" si="0"/>
        <v>LA:122</v>
      </c>
      <c r="O25" s="444" t="s">
        <v>676</v>
      </c>
      <c r="AQ25" s="451" t="s">
        <v>16</v>
      </c>
      <c r="AR25" s="451">
        <f t="shared" si="1"/>
        <v>0</v>
      </c>
      <c r="AS25" s="460"/>
      <c r="AT25" s="458"/>
      <c r="AU25" s="453" t="s">
        <v>33</v>
      </c>
      <c r="AV25" s="458"/>
      <c r="AW25" s="458"/>
      <c r="AX25" s="458"/>
      <c r="AY25" s="458"/>
      <c r="AZ25" s="458"/>
      <c r="BA25" s="458"/>
      <c r="BB25" s="458"/>
      <c r="BC25" s="458"/>
      <c r="BD25" s="459"/>
      <c r="BE25" s="459"/>
      <c r="BF25" s="458"/>
      <c r="BG25" s="459"/>
      <c r="BH25" s="453" t="s">
        <v>33</v>
      </c>
      <c r="BI25" s="458"/>
      <c r="BJ25" s="458"/>
      <c r="BK25" s="459"/>
      <c r="BL25" s="459"/>
      <c r="BM25" s="453" t="s">
        <v>33</v>
      </c>
      <c r="BN25" s="459"/>
      <c r="BO25" s="444">
        <v>23</v>
      </c>
    </row>
    <row r="26" spans="2:67" x14ac:dyDescent="0.2">
      <c r="C26" s="923">
        <v>2</v>
      </c>
      <c r="D26" s="1135" t="e">
        <f t="shared" si="3"/>
        <v>#N/A</v>
      </c>
      <c r="E26" s="924" t="e">
        <f t="shared" si="3"/>
        <v>#N/A</v>
      </c>
      <c r="F26" s="924" t="e">
        <f t="shared" si="3"/>
        <v>#N/A</v>
      </c>
      <c r="G26" s="924" t="e">
        <f t="shared" si="3"/>
        <v>#N/A</v>
      </c>
      <c r="H26" s="924" t="e">
        <f t="shared" si="3"/>
        <v>#N/A</v>
      </c>
      <c r="K26" s="939" t="s">
        <v>74</v>
      </c>
      <c r="AQ26" s="461"/>
      <c r="AR26" s="461"/>
    </row>
    <row r="27" spans="2:67" x14ac:dyDescent="0.2">
      <c r="B27" s="444" t="s">
        <v>934</v>
      </c>
      <c r="C27" s="444" t="s">
        <v>950</v>
      </c>
      <c r="D27" s="1158">
        <v>42522</v>
      </c>
      <c r="E27" s="1158">
        <v>42614</v>
      </c>
      <c r="F27" s="1158">
        <v>42705</v>
      </c>
      <c r="G27" s="1158">
        <v>42795</v>
      </c>
      <c r="H27" s="1158">
        <v>42887</v>
      </c>
      <c r="K27" s="940" t="s">
        <v>126</v>
      </c>
    </row>
    <row r="28" spans="2:67" x14ac:dyDescent="0.2">
      <c r="D28" s="1158">
        <f t="shared" ref="D28:F28" si="4">E28-365</f>
        <v>41335</v>
      </c>
      <c r="E28" s="1158">
        <f t="shared" si="4"/>
        <v>41700</v>
      </c>
      <c r="F28" s="1158">
        <f t="shared" si="4"/>
        <v>42065</v>
      </c>
      <c r="G28" s="1158">
        <f>H28-365</f>
        <v>42430</v>
      </c>
      <c r="H28" s="1158">
        <v>42795</v>
      </c>
    </row>
    <row r="29" spans="2:67" x14ac:dyDescent="0.2">
      <c r="B29" s="444" t="s">
        <v>746</v>
      </c>
      <c r="C29" s="751" t="s">
        <v>739</v>
      </c>
      <c r="J29" s="444" t="s">
        <v>625</v>
      </c>
    </row>
    <row r="30" spans="2:67" x14ac:dyDescent="0.2">
      <c r="B30" s="917" t="s">
        <v>740</v>
      </c>
      <c r="C30" s="444" t="s">
        <v>660</v>
      </c>
      <c r="D30" s="924" t="str">
        <f>D$20</f>
        <v>2014-15</v>
      </c>
      <c r="E30" s="924" t="str">
        <f t="shared" ref="E30:H30" si="5">E$20</f>
        <v>2015-16</v>
      </c>
      <c r="F30" s="924" t="str">
        <f t="shared" si="5"/>
        <v>2016-17</v>
      </c>
      <c r="G30" s="924" t="str">
        <f t="shared" si="5"/>
        <v>2017-18</v>
      </c>
      <c r="H30" s="924" t="str">
        <f t="shared" si="5"/>
        <v>2018-19</v>
      </c>
      <c r="J30" s="444" t="s">
        <v>626</v>
      </c>
    </row>
    <row r="31" spans="2:67" x14ac:dyDescent="0.2">
      <c r="B31" s="444" t="str">
        <f t="shared" ref="B31:B55" si="6">CONCATENATE($B$29,$C$30,C31)</f>
        <v>0-17Annual</v>
      </c>
      <c r="C31" s="955"/>
      <c r="D31" s="1224" t="s">
        <v>97</v>
      </c>
      <c r="E31" s="1224" t="s">
        <v>125</v>
      </c>
      <c r="F31" s="1224" t="s">
        <v>186</v>
      </c>
      <c r="G31" s="1224" t="s">
        <v>222</v>
      </c>
      <c r="H31" s="907" t="s">
        <v>1013</v>
      </c>
      <c r="J31" s="444" t="s">
        <v>8</v>
      </c>
    </row>
    <row r="32" spans="2:67" x14ac:dyDescent="0.2">
      <c r="B32" s="444" t="str">
        <f t="shared" si="6"/>
        <v>0-17AnnualBracknell Forest</v>
      </c>
      <c r="C32" s="913" t="s">
        <v>0</v>
      </c>
      <c r="D32" s="954">
        <v>27800</v>
      </c>
      <c r="E32" s="954">
        <v>28200</v>
      </c>
      <c r="F32" s="954">
        <v>28200</v>
      </c>
      <c r="G32" s="954">
        <v>28100</v>
      </c>
      <c r="H32" s="954">
        <v>28300</v>
      </c>
      <c r="J32" s="444" t="s">
        <v>627</v>
      </c>
    </row>
    <row r="33" spans="2:35" x14ac:dyDescent="0.2">
      <c r="B33" s="444" t="str">
        <f t="shared" si="6"/>
        <v>0-17AnnualBrighton &amp; Hove</v>
      </c>
      <c r="C33" s="914" t="s">
        <v>31</v>
      </c>
      <c r="D33" s="954">
        <v>51000</v>
      </c>
      <c r="E33" s="954">
        <v>51200</v>
      </c>
      <c r="F33" s="954">
        <v>51300</v>
      </c>
      <c r="G33" s="954">
        <v>51000</v>
      </c>
      <c r="H33" s="954">
        <v>51000</v>
      </c>
      <c r="J33" s="444" t="s">
        <v>6</v>
      </c>
      <c r="AI33" s="922"/>
    </row>
    <row r="34" spans="2:35" x14ac:dyDescent="0.2">
      <c r="B34" s="444" t="str">
        <f t="shared" si="6"/>
        <v>0-17AnnualBuckinghamshire</v>
      </c>
      <c r="C34" s="913" t="s">
        <v>8</v>
      </c>
      <c r="D34" s="954">
        <v>118900</v>
      </c>
      <c r="E34" s="954">
        <v>120600</v>
      </c>
      <c r="F34" s="954">
        <v>122200</v>
      </c>
      <c r="G34" s="954">
        <v>123100</v>
      </c>
      <c r="H34" s="954">
        <v>124300</v>
      </c>
      <c r="J34" s="444" t="s">
        <v>628</v>
      </c>
      <c r="AI34" s="922"/>
    </row>
    <row r="35" spans="2:35" x14ac:dyDescent="0.2">
      <c r="B35" s="444" t="str">
        <f t="shared" si="6"/>
        <v>0-17AnnualEast Sussex</v>
      </c>
      <c r="C35" s="913" t="s">
        <v>4</v>
      </c>
      <c r="D35" s="954">
        <v>105400</v>
      </c>
      <c r="E35" s="954">
        <v>105900</v>
      </c>
      <c r="F35" s="954">
        <v>105900</v>
      </c>
      <c r="G35" s="954">
        <v>106000</v>
      </c>
      <c r="H35" s="954">
        <v>106400</v>
      </c>
      <c r="J35" s="444" t="s">
        <v>9</v>
      </c>
      <c r="AI35" s="922"/>
    </row>
    <row r="36" spans="2:35" x14ac:dyDescent="0.2">
      <c r="B36" s="444" t="str">
        <f t="shared" si="6"/>
        <v>0-17AnnualHampshire</v>
      </c>
      <c r="C36" s="914" t="s">
        <v>6</v>
      </c>
      <c r="D36" s="954">
        <v>281500</v>
      </c>
      <c r="E36" s="954">
        <v>281900</v>
      </c>
      <c r="F36" s="954">
        <v>282800</v>
      </c>
      <c r="G36" s="954">
        <v>283300</v>
      </c>
      <c r="H36" s="954">
        <v>284000</v>
      </c>
      <c r="J36" s="444" t="s">
        <v>2</v>
      </c>
      <c r="AI36" s="922"/>
    </row>
    <row r="37" spans="2:35" x14ac:dyDescent="0.2">
      <c r="B37" s="444" t="str">
        <f t="shared" si="6"/>
        <v>0-17AnnualIsle of Wight</v>
      </c>
      <c r="C37" s="913" t="s">
        <v>1</v>
      </c>
      <c r="D37" s="954">
        <v>25500</v>
      </c>
      <c r="E37" s="954">
        <v>25300</v>
      </c>
      <c r="F37" s="954">
        <v>25200</v>
      </c>
      <c r="G37" s="954">
        <v>25100</v>
      </c>
      <c r="H37" s="954">
        <v>24900</v>
      </c>
      <c r="J37" s="444" t="s">
        <v>629</v>
      </c>
      <c r="AI37" s="922"/>
    </row>
    <row r="38" spans="2:35" x14ac:dyDescent="0.2">
      <c r="B38" s="444" t="str">
        <f t="shared" si="6"/>
        <v>0-17AnnualKent</v>
      </c>
      <c r="C38" s="913" t="s">
        <v>9</v>
      </c>
      <c r="D38" s="954">
        <v>328300</v>
      </c>
      <c r="E38" s="954">
        <v>330400</v>
      </c>
      <c r="F38" s="954">
        <v>333000</v>
      </c>
      <c r="G38" s="954">
        <v>336100</v>
      </c>
      <c r="H38" s="954">
        <v>340100</v>
      </c>
      <c r="J38" s="444" t="s">
        <v>11</v>
      </c>
      <c r="AI38" s="922"/>
    </row>
    <row r="39" spans="2:35" x14ac:dyDescent="0.2">
      <c r="B39" s="444" t="str">
        <f t="shared" si="6"/>
        <v>0-17AnnualMedway</v>
      </c>
      <c r="C39" s="913" t="s">
        <v>2</v>
      </c>
      <c r="D39" s="954">
        <v>62500</v>
      </c>
      <c r="E39" s="954">
        <v>63200</v>
      </c>
      <c r="F39" s="954">
        <v>63700</v>
      </c>
      <c r="G39" s="954">
        <v>63900</v>
      </c>
      <c r="H39" s="954">
        <v>64400</v>
      </c>
      <c r="J39" s="444" t="s">
        <v>12</v>
      </c>
      <c r="AI39" s="922"/>
    </row>
    <row r="40" spans="2:35" x14ac:dyDescent="0.2">
      <c r="B40" s="444" t="str">
        <f t="shared" si="6"/>
        <v>0-17AnnualMilton Keynes</v>
      </c>
      <c r="C40" s="913" t="s">
        <v>10</v>
      </c>
      <c r="D40" s="954">
        <v>65200</v>
      </c>
      <c r="E40" s="954">
        <v>66100</v>
      </c>
      <c r="F40" s="954">
        <v>67100</v>
      </c>
      <c r="G40" s="954">
        <v>67600</v>
      </c>
      <c r="H40" s="954">
        <v>68300</v>
      </c>
      <c r="J40" s="444" t="s">
        <v>3</v>
      </c>
      <c r="AI40" s="922"/>
    </row>
    <row r="41" spans="2:35" x14ac:dyDescent="0.2">
      <c r="B41" s="444" t="str">
        <f t="shared" si="6"/>
        <v>0-17AnnualOxfordshire</v>
      </c>
      <c r="C41" s="913" t="s">
        <v>11</v>
      </c>
      <c r="D41" s="954">
        <v>141200</v>
      </c>
      <c r="E41" s="954">
        <v>141800</v>
      </c>
      <c r="F41" s="954">
        <v>142900</v>
      </c>
      <c r="G41" s="954">
        <v>143400</v>
      </c>
      <c r="H41" s="954">
        <v>144800</v>
      </c>
      <c r="J41" s="444" t="s">
        <v>13</v>
      </c>
      <c r="AI41" s="922"/>
    </row>
    <row r="42" spans="2:35" x14ac:dyDescent="0.2">
      <c r="B42" s="444" t="str">
        <f t="shared" si="6"/>
        <v>0-17AnnualPortsmouth</v>
      </c>
      <c r="C42" s="913" t="s">
        <v>12</v>
      </c>
      <c r="D42" s="954">
        <v>43400</v>
      </c>
      <c r="E42" s="954">
        <v>43800</v>
      </c>
      <c r="F42" s="954">
        <v>44000</v>
      </c>
      <c r="G42" s="954">
        <v>44200</v>
      </c>
      <c r="H42" s="954">
        <v>44000</v>
      </c>
      <c r="J42" s="444" t="s">
        <v>93</v>
      </c>
      <c r="AI42" s="922"/>
    </row>
    <row r="43" spans="2:35" x14ac:dyDescent="0.2">
      <c r="B43" s="444" t="str">
        <f t="shared" si="6"/>
        <v>0-17AnnualReading</v>
      </c>
      <c r="C43" s="913" t="s">
        <v>3</v>
      </c>
      <c r="D43" s="954">
        <v>35900</v>
      </c>
      <c r="E43" s="954">
        <v>36400</v>
      </c>
      <c r="F43" s="954">
        <v>36600</v>
      </c>
      <c r="G43" s="954">
        <v>37100</v>
      </c>
      <c r="H43" s="954">
        <v>37100</v>
      </c>
      <c r="J43" s="444" t="s">
        <v>14</v>
      </c>
      <c r="AI43" s="922"/>
    </row>
    <row r="44" spans="2:35" x14ac:dyDescent="0.2">
      <c r="B44" s="444" t="str">
        <f t="shared" si="6"/>
        <v>0-17AnnualSlough</v>
      </c>
      <c r="C44" s="913" t="s">
        <v>13</v>
      </c>
      <c r="D44" s="954">
        <v>39900</v>
      </c>
      <c r="E44" s="954">
        <v>40600</v>
      </c>
      <c r="F44" s="954">
        <v>41400</v>
      </c>
      <c r="G44" s="954">
        <v>42200</v>
      </c>
      <c r="H44" s="954">
        <v>42700</v>
      </c>
      <c r="J44" s="444" t="s">
        <v>7</v>
      </c>
      <c r="AI44" s="922"/>
    </row>
    <row r="45" spans="2:35" x14ac:dyDescent="0.2">
      <c r="B45" s="444" t="str">
        <f t="shared" si="6"/>
        <v>0-17AnnualSomerset</v>
      </c>
      <c r="C45" s="913" t="s">
        <v>93</v>
      </c>
      <c r="D45" s="954">
        <v>108900</v>
      </c>
      <c r="E45" s="954">
        <v>109200</v>
      </c>
      <c r="F45" s="954">
        <v>109700</v>
      </c>
      <c r="G45" s="954">
        <v>110100</v>
      </c>
      <c r="H45" s="954">
        <v>110700</v>
      </c>
      <c r="J45" s="444" t="s">
        <v>114</v>
      </c>
      <c r="AI45" s="922"/>
    </row>
    <row r="46" spans="2:35" x14ac:dyDescent="0.2">
      <c r="B46" s="444" t="str">
        <f t="shared" si="6"/>
        <v>0-17AnnualSouthampton</v>
      </c>
      <c r="C46" s="913" t="s">
        <v>14</v>
      </c>
      <c r="D46" s="954">
        <v>48600</v>
      </c>
      <c r="E46" s="954">
        <v>49200</v>
      </c>
      <c r="F46" s="954">
        <v>49900</v>
      </c>
      <c r="G46" s="954">
        <v>50300</v>
      </c>
      <c r="H46" s="954">
        <v>50800</v>
      </c>
      <c r="J46" s="444" t="s">
        <v>115</v>
      </c>
      <c r="AI46" s="922"/>
    </row>
    <row r="47" spans="2:35" x14ac:dyDescent="0.2">
      <c r="B47" s="444" t="str">
        <f t="shared" si="6"/>
        <v>0-17AnnualSurrey</v>
      </c>
      <c r="C47" s="913" t="s">
        <v>7</v>
      </c>
      <c r="D47" s="954">
        <v>254600</v>
      </c>
      <c r="E47" s="954">
        <v>256400</v>
      </c>
      <c r="F47" s="954">
        <v>259000</v>
      </c>
      <c r="G47" s="954">
        <v>260300</v>
      </c>
      <c r="H47" s="954">
        <v>261900</v>
      </c>
      <c r="J47" s="444" t="s">
        <v>630</v>
      </c>
      <c r="AI47" s="922"/>
    </row>
    <row r="48" spans="2:35" x14ac:dyDescent="0.2">
      <c r="B48" s="444" t="str">
        <f t="shared" si="6"/>
        <v>0-17AnnualSwindon</v>
      </c>
      <c r="C48" s="913" t="s">
        <v>114</v>
      </c>
      <c r="D48" s="954">
        <v>48600</v>
      </c>
      <c r="E48" s="954">
        <v>49000</v>
      </c>
      <c r="F48" s="954">
        <v>49500</v>
      </c>
      <c r="G48" s="954">
        <v>49900</v>
      </c>
      <c r="H48" s="954">
        <v>50200</v>
      </c>
      <c r="J48" s="444" t="s">
        <v>631</v>
      </c>
      <c r="AI48" s="922"/>
    </row>
    <row r="49" spans="2:35" x14ac:dyDescent="0.2">
      <c r="B49" s="444" t="str">
        <f t="shared" si="6"/>
        <v>0-17AnnualTorbay</v>
      </c>
      <c r="C49" s="913" t="s">
        <v>115</v>
      </c>
      <c r="D49" s="954">
        <v>25100</v>
      </c>
      <c r="E49" s="954">
        <v>25200</v>
      </c>
      <c r="F49" s="954">
        <v>25400</v>
      </c>
      <c r="G49" s="954">
        <v>25400</v>
      </c>
      <c r="H49" s="954">
        <v>25400</v>
      </c>
      <c r="J49" s="444" t="s">
        <v>632</v>
      </c>
      <c r="AI49" s="922"/>
    </row>
    <row r="50" spans="2:35" x14ac:dyDescent="0.2">
      <c r="B50" s="444" t="str">
        <f t="shared" si="6"/>
        <v>0-17AnnualWest Berkshire</v>
      </c>
      <c r="C50" s="913" t="s">
        <v>15</v>
      </c>
      <c r="D50" s="954">
        <v>35600</v>
      </c>
      <c r="E50" s="954">
        <v>35700</v>
      </c>
      <c r="F50" s="954">
        <v>35900</v>
      </c>
      <c r="G50" s="954">
        <v>35800</v>
      </c>
      <c r="H50" s="954">
        <v>35600</v>
      </c>
      <c r="J50" s="444" t="s">
        <v>16</v>
      </c>
      <c r="AI50" s="922"/>
    </row>
    <row r="51" spans="2:35" x14ac:dyDescent="0.2">
      <c r="B51" s="444" t="str">
        <f t="shared" si="6"/>
        <v>0-17AnnualWest Sussex</v>
      </c>
      <c r="C51" s="913" t="s">
        <v>5</v>
      </c>
      <c r="D51" s="954">
        <v>168800</v>
      </c>
      <c r="E51" s="954">
        <v>170400</v>
      </c>
      <c r="F51" s="954">
        <v>171800</v>
      </c>
      <c r="G51" s="954">
        <v>173300</v>
      </c>
      <c r="H51" s="954">
        <v>174700</v>
      </c>
      <c r="J51" s="444" t="s">
        <v>521</v>
      </c>
      <c r="AI51" s="922"/>
    </row>
    <row r="52" spans="2:35" x14ac:dyDescent="0.2">
      <c r="B52" s="444" t="str">
        <f t="shared" si="6"/>
        <v>0-17AnnualWindsor &amp; Maidenhead</v>
      </c>
      <c r="C52" s="914" t="s">
        <v>30</v>
      </c>
      <c r="D52" s="954">
        <v>33400</v>
      </c>
      <c r="E52" s="954">
        <v>33700</v>
      </c>
      <c r="F52" s="954">
        <v>34200</v>
      </c>
      <c r="G52" s="954">
        <v>34400</v>
      </c>
      <c r="H52" s="954">
        <v>34600</v>
      </c>
      <c r="J52" s="444" t="s">
        <v>126</v>
      </c>
      <c r="AI52" s="922"/>
    </row>
    <row r="53" spans="2:35" x14ac:dyDescent="0.2">
      <c r="B53" s="444" t="str">
        <f t="shared" si="6"/>
        <v>0-17AnnualWokingham</v>
      </c>
      <c r="C53" s="913" t="s">
        <v>16</v>
      </c>
      <c r="D53" s="954">
        <v>36900</v>
      </c>
      <c r="E53" s="954">
        <v>37300</v>
      </c>
      <c r="F53" s="954">
        <v>38000</v>
      </c>
      <c r="G53" s="954">
        <v>38700</v>
      </c>
      <c r="H53" s="954">
        <v>39500</v>
      </c>
      <c r="AI53" s="922"/>
    </row>
    <row r="54" spans="2:35" x14ac:dyDescent="0.2">
      <c r="B54" s="444" t="str">
        <f t="shared" si="6"/>
        <v>0-17AnnualSouth East</v>
      </c>
      <c r="C54" s="915" t="s">
        <v>74</v>
      </c>
      <c r="D54" s="954">
        <v>1904200</v>
      </c>
      <c r="E54" s="954">
        <v>1918100</v>
      </c>
      <c r="F54" s="954">
        <v>1933200</v>
      </c>
      <c r="G54" s="954">
        <v>1943900</v>
      </c>
      <c r="H54" s="954">
        <v>1957500</v>
      </c>
      <c r="AI54" s="922"/>
    </row>
    <row r="55" spans="2:35" x14ac:dyDescent="0.2">
      <c r="B55" s="444" t="str">
        <f t="shared" si="6"/>
        <v>0-17AnnualEngland</v>
      </c>
      <c r="C55" s="916" t="s">
        <v>126</v>
      </c>
      <c r="D55" s="954">
        <v>11591700</v>
      </c>
      <c r="E55" s="954">
        <v>11677900</v>
      </c>
      <c r="F55" s="954">
        <v>11785300</v>
      </c>
      <c r="G55" s="954">
        <v>11867000</v>
      </c>
      <c r="H55" s="954">
        <v>11954600</v>
      </c>
      <c r="AI55" s="922"/>
    </row>
    <row r="56" spans="2:35" x14ac:dyDescent="0.2">
      <c r="AI56" s="922"/>
    </row>
    <row r="57" spans="2:35" x14ac:dyDescent="0.2">
      <c r="B57" s="444" t="s">
        <v>746</v>
      </c>
      <c r="C57" s="751" t="s">
        <v>739</v>
      </c>
      <c r="D57" s="924" t="str">
        <f>D$22</f>
        <v>2018-19</v>
      </c>
      <c r="E57" s="924" t="str">
        <f t="shared" ref="E57:H57" si="7">E$22</f>
        <v>2018-19</v>
      </c>
      <c r="F57" s="924" t="str">
        <f t="shared" si="7"/>
        <v>2018-19</v>
      </c>
      <c r="G57" s="924" t="str">
        <f t="shared" si="7"/>
        <v>2018-19</v>
      </c>
      <c r="H57" s="924" t="str">
        <f t="shared" si="7"/>
        <v>2019-20</v>
      </c>
      <c r="J57" s="1189"/>
      <c r="K57" s="1190" t="s">
        <v>70</v>
      </c>
      <c r="L57" s="1190" t="s">
        <v>71</v>
      </c>
      <c r="M57" s="1190" t="s">
        <v>944</v>
      </c>
    </row>
    <row r="58" spans="2:35" x14ac:dyDescent="0.2">
      <c r="B58" s="917" t="s">
        <v>740</v>
      </c>
      <c r="C58" s="444" t="s">
        <v>666</v>
      </c>
      <c r="D58" s="924" t="str">
        <f>D$23</f>
        <v>Q1</v>
      </c>
      <c r="E58" s="924" t="str">
        <f t="shared" ref="E58:H58" si="8">E$23</f>
        <v>Q2</v>
      </c>
      <c r="F58" s="924" t="str">
        <f t="shared" si="8"/>
        <v>Q3</v>
      </c>
      <c r="G58" s="924" t="str">
        <f t="shared" si="8"/>
        <v>Q4</v>
      </c>
      <c r="H58" s="924" t="str">
        <f t="shared" si="8"/>
        <v>Q1</v>
      </c>
      <c r="J58" s="1191" t="s">
        <v>1003</v>
      </c>
      <c r="K58" s="1192">
        <v>0.84782505007221554</v>
      </c>
      <c r="L58" s="1192">
        <v>12.157229630229935</v>
      </c>
      <c r="M58" s="1192">
        <v>0.21962408233957659</v>
      </c>
    </row>
    <row r="59" spans="2:35" x14ac:dyDescent="0.2">
      <c r="B59" s="444" t="str">
        <f>CONCATENATE($B$29,$C$58,C59)</f>
        <v>0-17Quarterly</v>
      </c>
      <c r="C59" s="955"/>
      <c r="D59" s="1206" t="s">
        <v>1013</v>
      </c>
      <c r="E59" s="1206" t="s">
        <v>1013</v>
      </c>
      <c r="F59" s="1206" t="s">
        <v>1013</v>
      </c>
      <c r="G59" s="1206" t="s">
        <v>1013</v>
      </c>
      <c r="H59" s="1206" t="s">
        <v>1013</v>
      </c>
      <c r="J59" s="1191" t="s">
        <v>1004</v>
      </c>
      <c r="K59" s="1192">
        <v>0.68188609953621271</v>
      </c>
      <c r="L59" s="1192">
        <v>13.645439879591356</v>
      </c>
      <c r="M59" s="1192">
        <v>0.15163932334035232</v>
      </c>
    </row>
    <row r="60" spans="2:35" x14ac:dyDescent="0.2">
      <c r="B60" s="444" t="str">
        <f t="shared" ref="B60:B83" si="9">CONCATENATE($B$29,$C$58,C60)</f>
        <v>0-17QuarterlyBracknell Forest</v>
      </c>
      <c r="C60" s="913" t="s">
        <v>0</v>
      </c>
      <c r="D60" s="954">
        <v>28300</v>
      </c>
      <c r="E60" s="954">
        <v>28300</v>
      </c>
      <c r="F60" s="954">
        <v>28300</v>
      </c>
      <c r="G60" s="954">
        <v>28300</v>
      </c>
      <c r="H60" s="954">
        <v>28300</v>
      </c>
      <c r="J60" s="1191" t="s">
        <v>1005</v>
      </c>
      <c r="K60" s="1192">
        <v>0.16593895053600335</v>
      </c>
      <c r="L60" s="1192">
        <v>-1.4882102493614529</v>
      </c>
      <c r="M60" s="1192">
        <v>4.4850493783119692E-2</v>
      </c>
    </row>
    <row r="61" spans="2:35" x14ac:dyDescent="0.2">
      <c r="B61" s="444" t="str">
        <f t="shared" si="9"/>
        <v>0-17QuarterlyBrighton &amp; Hove</v>
      </c>
      <c r="C61" s="914" t="s">
        <v>31</v>
      </c>
      <c r="D61" s="954">
        <v>51000</v>
      </c>
      <c r="E61" s="954">
        <v>51000</v>
      </c>
      <c r="F61" s="954">
        <v>51000</v>
      </c>
      <c r="G61" s="954">
        <v>51000</v>
      </c>
      <c r="H61" s="954">
        <v>51000</v>
      </c>
      <c r="J61" s="1189" t="s">
        <v>1006</v>
      </c>
      <c r="K61" s="1192">
        <v>1.5634745482838188</v>
      </c>
      <c r="L61" s="1192">
        <v>132.1403876762727</v>
      </c>
      <c r="M61" s="1192">
        <v>2.0874789365720469E-2</v>
      </c>
    </row>
    <row r="62" spans="2:35" x14ac:dyDescent="0.2">
      <c r="B62" s="444" t="str">
        <f t="shared" si="9"/>
        <v>0-17QuarterlyBuckinghamshire</v>
      </c>
      <c r="C62" s="913" t="s">
        <v>8</v>
      </c>
      <c r="D62" s="954">
        <v>124300</v>
      </c>
      <c r="E62" s="954">
        <v>124300</v>
      </c>
      <c r="F62" s="954">
        <v>124300</v>
      </c>
      <c r="G62" s="954">
        <v>124300</v>
      </c>
      <c r="H62" s="954">
        <v>124300</v>
      </c>
      <c r="J62" s="1189" t="s">
        <v>1007</v>
      </c>
      <c r="K62" s="1192">
        <v>9.3723170840427219</v>
      </c>
      <c r="L62" s="1192">
        <v>98.901193325294628</v>
      </c>
      <c r="M62" s="1192">
        <v>0.3446076069267483</v>
      </c>
    </row>
    <row r="63" spans="2:35" x14ac:dyDescent="0.2">
      <c r="B63" s="444" t="str">
        <f t="shared" si="9"/>
        <v>0-17QuarterlyEast Sussex</v>
      </c>
      <c r="C63" s="913" t="s">
        <v>4</v>
      </c>
      <c r="D63" s="954">
        <v>106400</v>
      </c>
      <c r="E63" s="954">
        <v>106400</v>
      </c>
      <c r="F63" s="954">
        <v>106400</v>
      </c>
      <c r="G63" s="954">
        <v>106400</v>
      </c>
      <c r="H63" s="954">
        <v>106400</v>
      </c>
      <c r="J63" s="1189" t="s">
        <v>769</v>
      </c>
      <c r="K63" s="1192">
        <v>-7.1620262934073559E-2</v>
      </c>
      <c r="L63" s="1192">
        <v>95.943547161568404</v>
      </c>
      <c r="M63" s="1192">
        <v>2.2426075352246066E-2</v>
      </c>
    </row>
    <row r="64" spans="2:35" x14ac:dyDescent="0.2">
      <c r="B64" s="444" t="str">
        <f t="shared" si="9"/>
        <v>0-17QuarterlyHampshire</v>
      </c>
      <c r="C64" s="914" t="s">
        <v>6</v>
      </c>
      <c r="D64" s="954">
        <v>284000</v>
      </c>
      <c r="E64" s="954">
        <v>284000</v>
      </c>
      <c r="F64" s="954">
        <v>284000</v>
      </c>
      <c r="G64" s="954">
        <v>284000</v>
      </c>
      <c r="H64" s="954">
        <v>284000</v>
      </c>
      <c r="J64" s="1189" t="s">
        <v>1008</v>
      </c>
      <c r="K64" s="1192">
        <v>8.264382124063771E-2</v>
      </c>
      <c r="L64" s="1192">
        <v>19.803443190477921</v>
      </c>
      <c r="M64" s="1192">
        <v>5.144574676242855E-3</v>
      </c>
    </row>
    <row r="65" spans="2:13" x14ac:dyDescent="0.2">
      <c r="B65" s="444" t="str">
        <f t="shared" si="9"/>
        <v>0-17QuarterlyIsle of Wight</v>
      </c>
      <c r="C65" s="913" t="s">
        <v>1</v>
      </c>
      <c r="D65" s="954">
        <v>24900</v>
      </c>
      <c r="E65" s="954">
        <v>24900</v>
      </c>
      <c r="F65" s="954">
        <v>24900</v>
      </c>
      <c r="G65" s="954">
        <v>24900</v>
      </c>
      <c r="H65" s="954">
        <v>24900</v>
      </c>
      <c r="J65" s="1189" t="s">
        <v>1009</v>
      </c>
      <c r="K65" s="1192">
        <v>-0.14218703604111427</v>
      </c>
      <c r="L65" s="1192">
        <v>191.33700814765808</v>
      </c>
      <c r="M65" s="1192">
        <v>5.8582307965984422E-4</v>
      </c>
    </row>
    <row r="66" spans="2:13" x14ac:dyDescent="0.2">
      <c r="B66" s="444" t="str">
        <f t="shared" si="9"/>
        <v>0-17QuarterlyKent</v>
      </c>
      <c r="C66" s="913" t="s">
        <v>9</v>
      </c>
      <c r="D66" s="954">
        <v>340100</v>
      </c>
      <c r="E66" s="954">
        <v>340100</v>
      </c>
      <c r="F66" s="954">
        <v>340100</v>
      </c>
      <c r="G66" s="954">
        <v>340100</v>
      </c>
      <c r="H66" s="954">
        <v>340100</v>
      </c>
    </row>
    <row r="67" spans="2:13" x14ac:dyDescent="0.2">
      <c r="B67" s="444" t="str">
        <f t="shared" si="9"/>
        <v>0-17QuarterlyMedway</v>
      </c>
      <c r="C67" s="913" t="s">
        <v>2</v>
      </c>
      <c r="D67" s="954">
        <v>64400</v>
      </c>
      <c r="E67" s="954">
        <v>64400</v>
      </c>
      <c r="F67" s="954">
        <v>64400</v>
      </c>
      <c r="G67" s="954">
        <v>64400</v>
      </c>
      <c r="H67" s="954">
        <v>64400</v>
      </c>
    </row>
    <row r="68" spans="2:13" x14ac:dyDescent="0.2">
      <c r="B68" s="444" t="str">
        <f t="shared" si="9"/>
        <v>0-17QuarterlyMilton Keynes</v>
      </c>
      <c r="C68" s="913" t="s">
        <v>10</v>
      </c>
      <c r="D68" s="954">
        <v>68300</v>
      </c>
      <c r="E68" s="954">
        <v>68300</v>
      </c>
      <c r="F68" s="954">
        <v>68300</v>
      </c>
      <c r="G68" s="954">
        <v>68300</v>
      </c>
      <c r="H68" s="954">
        <v>68300</v>
      </c>
    </row>
    <row r="69" spans="2:13" x14ac:dyDescent="0.2">
      <c r="B69" s="444" t="str">
        <f t="shared" si="9"/>
        <v>0-17QuarterlyOxfordshire</v>
      </c>
      <c r="C69" s="913" t="s">
        <v>11</v>
      </c>
      <c r="D69" s="954">
        <v>144800</v>
      </c>
      <c r="E69" s="954">
        <v>144800</v>
      </c>
      <c r="F69" s="954">
        <v>144800</v>
      </c>
      <c r="G69" s="954">
        <v>144800</v>
      </c>
      <c r="H69" s="954">
        <v>144800</v>
      </c>
    </row>
    <row r="70" spans="2:13" x14ac:dyDescent="0.2">
      <c r="B70" s="444" t="str">
        <f t="shared" si="9"/>
        <v>0-17QuarterlyPortsmouth</v>
      </c>
      <c r="C70" s="913" t="s">
        <v>12</v>
      </c>
      <c r="D70" s="954">
        <v>44000</v>
      </c>
      <c r="E70" s="954">
        <v>44000</v>
      </c>
      <c r="F70" s="954">
        <v>44000</v>
      </c>
      <c r="G70" s="954">
        <v>44000</v>
      </c>
      <c r="H70" s="954">
        <v>44000</v>
      </c>
    </row>
    <row r="71" spans="2:13" x14ac:dyDescent="0.2">
      <c r="B71" s="444" t="str">
        <f t="shared" si="9"/>
        <v>0-17QuarterlyReading</v>
      </c>
      <c r="C71" s="913" t="s">
        <v>3</v>
      </c>
      <c r="D71" s="954">
        <v>37100</v>
      </c>
      <c r="E71" s="954">
        <v>37100</v>
      </c>
      <c r="F71" s="954">
        <v>37100</v>
      </c>
      <c r="G71" s="954">
        <v>37100</v>
      </c>
      <c r="H71" s="954">
        <v>37100</v>
      </c>
    </row>
    <row r="72" spans="2:13" x14ac:dyDescent="0.2">
      <c r="B72" s="444" t="str">
        <f t="shared" si="9"/>
        <v>0-17QuarterlySlough</v>
      </c>
      <c r="C72" s="913" t="s">
        <v>13</v>
      </c>
      <c r="D72" s="954">
        <v>42700</v>
      </c>
      <c r="E72" s="954">
        <v>42700</v>
      </c>
      <c r="F72" s="954">
        <v>42700</v>
      </c>
      <c r="G72" s="954">
        <v>42700</v>
      </c>
      <c r="H72" s="954">
        <v>42700</v>
      </c>
    </row>
    <row r="73" spans="2:13" x14ac:dyDescent="0.2">
      <c r="B73" s="444" t="str">
        <f t="shared" si="9"/>
        <v>0-17QuarterlySomerset</v>
      </c>
      <c r="C73" s="913" t="s">
        <v>93</v>
      </c>
      <c r="D73" s="954">
        <v>110700</v>
      </c>
      <c r="E73" s="954">
        <v>110700</v>
      </c>
      <c r="F73" s="954">
        <v>110700</v>
      </c>
      <c r="G73" s="954">
        <v>110700</v>
      </c>
      <c r="H73" s="954">
        <v>110700</v>
      </c>
    </row>
    <row r="74" spans="2:13" x14ac:dyDescent="0.2">
      <c r="B74" s="444" t="str">
        <f t="shared" si="9"/>
        <v>0-17QuarterlySouthampton</v>
      </c>
      <c r="C74" s="913" t="s">
        <v>14</v>
      </c>
      <c r="D74" s="954">
        <v>50800</v>
      </c>
      <c r="E74" s="954">
        <v>50800</v>
      </c>
      <c r="F74" s="954">
        <v>50800</v>
      </c>
      <c r="G74" s="954">
        <v>50800</v>
      </c>
      <c r="H74" s="954">
        <v>50800</v>
      </c>
    </row>
    <row r="75" spans="2:13" x14ac:dyDescent="0.2">
      <c r="B75" s="444" t="str">
        <f t="shared" si="9"/>
        <v>0-17QuarterlySurrey</v>
      </c>
      <c r="C75" s="913" t="s">
        <v>7</v>
      </c>
      <c r="D75" s="954">
        <v>261900</v>
      </c>
      <c r="E75" s="954">
        <v>261900</v>
      </c>
      <c r="F75" s="954">
        <v>261900</v>
      </c>
      <c r="G75" s="954">
        <v>261900</v>
      </c>
      <c r="H75" s="954">
        <v>261900</v>
      </c>
    </row>
    <row r="76" spans="2:13" x14ac:dyDescent="0.2">
      <c r="B76" s="444" t="str">
        <f t="shared" si="9"/>
        <v>0-17QuarterlySwindon</v>
      </c>
      <c r="C76" s="913" t="s">
        <v>114</v>
      </c>
      <c r="D76" s="954">
        <v>50200</v>
      </c>
      <c r="E76" s="954">
        <v>50200</v>
      </c>
      <c r="F76" s="954">
        <v>50200</v>
      </c>
      <c r="G76" s="954">
        <v>50200</v>
      </c>
      <c r="H76" s="954">
        <v>50200</v>
      </c>
    </row>
    <row r="77" spans="2:13" x14ac:dyDescent="0.2">
      <c r="B77" s="444" t="str">
        <f t="shared" si="9"/>
        <v>0-17QuarterlyTorbay</v>
      </c>
      <c r="C77" s="913" t="s">
        <v>115</v>
      </c>
      <c r="D77" s="954">
        <v>25400</v>
      </c>
      <c r="E77" s="954">
        <v>25400</v>
      </c>
      <c r="F77" s="954">
        <v>25400</v>
      </c>
      <c r="G77" s="954">
        <v>25400</v>
      </c>
      <c r="H77" s="954">
        <v>25400</v>
      </c>
    </row>
    <row r="78" spans="2:13" x14ac:dyDescent="0.2">
      <c r="B78" s="444" t="str">
        <f t="shared" si="9"/>
        <v>0-17QuarterlyWest Berkshire</v>
      </c>
      <c r="C78" s="913" t="s">
        <v>15</v>
      </c>
      <c r="D78" s="954">
        <v>35600</v>
      </c>
      <c r="E78" s="954">
        <v>35600</v>
      </c>
      <c r="F78" s="954">
        <v>35600</v>
      </c>
      <c r="G78" s="954">
        <v>35600</v>
      </c>
      <c r="H78" s="954">
        <v>35600</v>
      </c>
    </row>
    <row r="79" spans="2:13" x14ac:dyDescent="0.2">
      <c r="B79" s="444" t="str">
        <f t="shared" si="9"/>
        <v>0-17QuarterlyWest Sussex</v>
      </c>
      <c r="C79" s="913" t="s">
        <v>5</v>
      </c>
      <c r="D79" s="954">
        <v>174700</v>
      </c>
      <c r="E79" s="954">
        <v>174700</v>
      </c>
      <c r="F79" s="954">
        <v>174700</v>
      </c>
      <c r="G79" s="954">
        <v>174700</v>
      </c>
      <c r="H79" s="954">
        <v>174700</v>
      </c>
    </row>
    <row r="80" spans="2:13" x14ac:dyDescent="0.2">
      <c r="B80" s="444" t="str">
        <f t="shared" si="9"/>
        <v>0-17QuarterlyWindsor &amp; Maidenhead</v>
      </c>
      <c r="C80" s="914" t="s">
        <v>30</v>
      </c>
      <c r="D80" s="954">
        <v>34600</v>
      </c>
      <c r="E80" s="954">
        <v>34600</v>
      </c>
      <c r="F80" s="954">
        <v>34600</v>
      </c>
      <c r="G80" s="954">
        <v>34600</v>
      </c>
      <c r="H80" s="954">
        <v>34600</v>
      </c>
    </row>
    <row r="81" spans="2:8" x14ac:dyDescent="0.2">
      <c r="B81" s="444" t="str">
        <f t="shared" si="9"/>
        <v>0-17QuarterlyWokingham</v>
      </c>
      <c r="C81" s="913" t="s">
        <v>16</v>
      </c>
      <c r="D81" s="954">
        <v>39500</v>
      </c>
      <c r="E81" s="954">
        <v>39500</v>
      </c>
      <c r="F81" s="954">
        <v>39500</v>
      </c>
      <c r="G81" s="954">
        <v>39500</v>
      </c>
      <c r="H81" s="954">
        <v>39500</v>
      </c>
    </row>
    <row r="82" spans="2:8" x14ac:dyDescent="0.2">
      <c r="B82" s="444" t="str">
        <f t="shared" si="9"/>
        <v>0-17QuarterlySouth East</v>
      </c>
      <c r="C82" s="915" t="s">
        <v>74</v>
      </c>
      <c r="D82" s="954">
        <v>1957500</v>
      </c>
      <c r="E82" s="954">
        <v>1957500</v>
      </c>
      <c r="F82" s="954">
        <v>1957500</v>
      </c>
      <c r="G82" s="954">
        <v>1957500</v>
      </c>
      <c r="H82" s="954">
        <v>1957500</v>
      </c>
    </row>
    <row r="83" spans="2:8" x14ac:dyDescent="0.2">
      <c r="B83" s="444" t="str">
        <f t="shared" si="9"/>
        <v>0-17QuarterlyEngland</v>
      </c>
      <c r="C83" s="916" t="s">
        <v>126</v>
      </c>
      <c r="D83" s="954">
        <v>11954600</v>
      </c>
      <c r="E83" s="954">
        <v>11954600</v>
      </c>
      <c r="F83" s="954">
        <v>11954600</v>
      </c>
      <c r="G83" s="954">
        <v>11954600</v>
      </c>
      <c r="H83" s="954">
        <v>11954600</v>
      </c>
    </row>
    <row r="85" spans="2:8" x14ac:dyDescent="0.2">
      <c r="B85" s="444" t="s">
        <v>747</v>
      </c>
      <c r="C85" s="751" t="s">
        <v>750</v>
      </c>
    </row>
    <row r="86" spans="2:8" x14ac:dyDescent="0.2">
      <c r="B86" s="917" t="s">
        <v>740</v>
      </c>
      <c r="C86" s="444" t="s">
        <v>660</v>
      </c>
      <c r="D86" s="924" t="str">
        <f>D$20</f>
        <v>2014-15</v>
      </c>
      <c r="E86" s="924" t="str">
        <f t="shared" ref="E86:H86" si="10">E$20</f>
        <v>2015-16</v>
      </c>
      <c r="F86" s="924" t="str">
        <f t="shared" si="10"/>
        <v>2016-17</v>
      </c>
      <c r="G86" s="924" t="str">
        <f t="shared" si="10"/>
        <v>2017-18</v>
      </c>
      <c r="H86" s="924" t="str">
        <f t="shared" si="10"/>
        <v>2018-19</v>
      </c>
    </row>
    <row r="87" spans="2:8" x14ac:dyDescent="0.2">
      <c r="B87" s="444" t="str">
        <f t="shared" ref="B87:B111" si="11">CONCATENATE($B$85,$C$86,C87)</f>
        <v>0-25Annual</v>
      </c>
      <c r="C87" s="912"/>
      <c r="D87" s="1224" t="s">
        <v>97</v>
      </c>
      <c r="E87" s="1224" t="s">
        <v>125</v>
      </c>
      <c r="F87" s="1224" t="s">
        <v>186</v>
      </c>
      <c r="G87" s="1224" t="s">
        <v>222</v>
      </c>
      <c r="H87" s="907" t="s">
        <v>1013</v>
      </c>
    </row>
    <row r="88" spans="2:8" x14ac:dyDescent="0.2">
      <c r="B88" s="444" t="str">
        <f t="shared" si="11"/>
        <v>0-25AnnualBracknell Forest</v>
      </c>
      <c r="C88" s="913" t="s">
        <v>0</v>
      </c>
      <c r="D88" s="954">
        <v>38100</v>
      </c>
      <c r="E88" s="954">
        <v>38300</v>
      </c>
      <c r="F88" s="954">
        <v>38200</v>
      </c>
      <c r="G88" s="954">
        <v>38200</v>
      </c>
      <c r="H88" s="954">
        <v>38700</v>
      </c>
    </row>
    <row r="89" spans="2:8" x14ac:dyDescent="0.2">
      <c r="B89" s="444" t="str">
        <f t="shared" si="11"/>
        <v>0-25AnnualBrighton &amp; Hove</v>
      </c>
      <c r="C89" s="914" t="s">
        <v>31</v>
      </c>
      <c r="D89" s="954">
        <v>96200</v>
      </c>
      <c r="E89" s="954">
        <v>98200</v>
      </c>
      <c r="F89" s="954">
        <v>99700</v>
      </c>
      <c r="G89" s="954">
        <v>98800</v>
      </c>
      <c r="H89" s="954">
        <v>99700</v>
      </c>
    </row>
    <row r="90" spans="2:8" x14ac:dyDescent="0.2">
      <c r="B90" s="444" t="str">
        <f t="shared" si="11"/>
        <v>0-25AnnualBuckinghamshire</v>
      </c>
      <c r="C90" s="913" t="s">
        <v>8</v>
      </c>
      <c r="D90" s="954">
        <v>163000</v>
      </c>
      <c r="E90" s="954">
        <v>164500</v>
      </c>
      <c r="F90" s="954">
        <v>165800</v>
      </c>
      <c r="G90" s="954">
        <v>165300</v>
      </c>
      <c r="H90" s="954">
        <v>166200</v>
      </c>
    </row>
    <row r="91" spans="2:8" x14ac:dyDescent="0.2">
      <c r="B91" s="444" t="str">
        <f t="shared" si="11"/>
        <v>0-25AnnualEast Sussex</v>
      </c>
      <c r="C91" s="913" t="s">
        <v>4</v>
      </c>
      <c r="D91" s="954">
        <v>149300</v>
      </c>
      <c r="E91" s="954">
        <v>149700</v>
      </c>
      <c r="F91" s="954">
        <v>149500</v>
      </c>
      <c r="G91" s="954">
        <v>149300</v>
      </c>
      <c r="H91" s="954">
        <v>148900</v>
      </c>
    </row>
    <row r="92" spans="2:8" x14ac:dyDescent="0.2">
      <c r="B92" s="444" t="str">
        <f t="shared" si="11"/>
        <v>0-25AnnualHampshire</v>
      </c>
      <c r="C92" s="914" t="s">
        <v>6</v>
      </c>
      <c r="D92" s="954">
        <v>397600</v>
      </c>
      <c r="E92" s="954">
        <v>397100</v>
      </c>
      <c r="F92" s="954">
        <v>396400</v>
      </c>
      <c r="G92" s="954">
        <v>395900</v>
      </c>
      <c r="H92" s="954">
        <v>395300</v>
      </c>
    </row>
    <row r="93" spans="2:8" x14ac:dyDescent="0.2">
      <c r="B93" s="444" t="str">
        <f t="shared" si="11"/>
        <v>0-25AnnualIsle of Wight</v>
      </c>
      <c r="C93" s="913" t="s">
        <v>1</v>
      </c>
      <c r="D93" s="954">
        <v>36700</v>
      </c>
      <c r="E93" s="954">
        <v>36400</v>
      </c>
      <c r="F93" s="954">
        <v>36200</v>
      </c>
      <c r="G93" s="954">
        <v>36000</v>
      </c>
      <c r="H93" s="954">
        <v>35600</v>
      </c>
    </row>
    <row r="94" spans="2:8" x14ac:dyDescent="0.2">
      <c r="B94" s="444" t="str">
        <f t="shared" si="11"/>
        <v>0-25AnnualKent</v>
      </c>
      <c r="C94" s="913" t="s">
        <v>9</v>
      </c>
      <c r="D94" s="954">
        <v>476200</v>
      </c>
      <c r="E94" s="954">
        <v>477600</v>
      </c>
      <c r="F94" s="954">
        <v>480400</v>
      </c>
      <c r="G94" s="954">
        <v>481500</v>
      </c>
      <c r="H94" s="954">
        <v>482700</v>
      </c>
    </row>
    <row r="95" spans="2:8" x14ac:dyDescent="0.2">
      <c r="B95" s="444" t="str">
        <f t="shared" si="11"/>
        <v>0-25AnnualMedway</v>
      </c>
      <c r="C95" s="913" t="s">
        <v>2</v>
      </c>
      <c r="D95" s="954">
        <v>93800</v>
      </c>
      <c r="E95" s="954">
        <v>94100</v>
      </c>
      <c r="F95" s="954">
        <v>93900</v>
      </c>
      <c r="G95" s="954">
        <v>92500</v>
      </c>
      <c r="H95" s="954">
        <v>91500</v>
      </c>
    </row>
    <row r="96" spans="2:8" x14ac:dyDescent="0.2">
      <c r="B96" s="444" t="str">
        <f t="shared" si="11"/>
        <v>0-25AnnualMilton Keynes</v>
      </c>
      <c r="C96" s="913" t="s">
        <v>10</v>
      </c>
      <c r="D96" s="954">
        <v>86900</v>
      </c>
      <c r="E96" s="954">
        <v>87700</v>
      </c>
      <c r="F96" s="954">
        <v>88400</v>
      </c>
      <c r="G96" s="954">
        <v>89100</v>
      </c>
      <c r="H96" s="954">
        <v>89400</v>
      </c>
    </row>
    <row r="97" spans="2:8" x14ac:dyDescent="0.2">
      <c r="B97" s="444" t="str">
        <f t="shared" si="11"/>
        <v>0-25AnnualOxfordshire</v>
      </c>
      <c r="C97" s="913" t="s">
        <v>11</v>
      </c>
      <c r="D97" s="954">
        <v>217800</v>
      </c>
      <c r="E97" s="954">
        <v>219700</v>
      </c>
      <c r="F97" s="954">
        <v>221100</v>
      </c>
      <c r="G97" s="954">
        <v>220400</v>
      </c>
      <c r="H97" s="954">
        <v>221800</v>
      </c>
    </row>
    <row r="98" spans="2:8" x14ac:dyDescent="0.2">
      <c r="B98" s="444" t="str">
        <f t="shared" si="11"/>
        <v>0-25AnnualPortsmouth</v>
      </c>
      <c r="C98" s="913" t="s">
        <v>12</v>
      </c>
      <c r="D98" s="954">
        <v>78300</v>
      </c>
      <c r="E98" s="954">
        <v>79500</v>
      </c>
      <c r="F98" s="954">
        <v>80600</v>
      </c>
      <c r="G98" s="954">
        <v>80700</v>
      </c>
      <c r="H98" s="954">
        <v>80200</v>
      </c>
    </row>
    <row r="99" spans="2:8" x14ac:dyDescent="0.2">
      <c r="B99" s="444" t="str">
        <f t="shared" si="11"/>
        <v>0-25AnnualReading</v>
      </c>
      <c r="C99" s="913" t="s">
        <v>3</v>
      </c>
      <c r="D99" s="954">
        <v>57900</v>
      </c>
      <c r="E99" s="954">
        <v>58400</v>
      </c>
      <c r="F99" s="954">
        <v>58600</v>
      </c>
      <c r="G99" s="954">
        <v>58800</v>
      </c>
      <c r="H99" s="954">
        <v>59100</v>
      </c>
    </row>
    <row r="100" spans="2:8" x14ac:dyDescent="0.2">
      <c r="B100" s="444" t="str">
        <f t="shared" si="11"/>
        <v>0-25AnnualSlough</v>
      </c>
      <c r="C100" s="913" t="s">
        <v>13</v>
      </c>
      <c r="D100" s="954">
        <v>53200</v>
      </c>
      <c r="E100" s="954">
        <v>53600</v>
      </c>
      <c r="F100" s="954">
        <v>54300</v>
      </c>
      <c r="G100" s="954">
        <v>54900</v>
      </c>
      <c r="H100" s="954">
        <v>55300</v>
      </c>
    </row>
    <row r="101" spans="2:8" x14ac:dyDescent="0.2">
      <c r="B101" s="444" t="str">
        <f t="shared" si="11"/>
        <v>0-25AnnualSomerset</v>
      </c>
      <c r="C101" s="913" t="s">
        <v>93</v>
      </c>
      <c r="D101" s="954">
        <v>154100</v>
      </c>
      <c r="E101" s="954">
        <v>153800</v>
      </c>
      <c r="F101" s="954">
        <v>153700</v>
      </c>
      <c r="G101" s="954">
        <v>153200</v>
      </c>
      <c r="H101" s="954">
        <v>153200</v>
      </c>
    </row>
    <row r="102" spans="2:8" x14ac:dyDescent="0.2">
      <c r="B102" s="444" t="str">
        <f t="shared" si="11"/>
        <v>0-25AnnualSouthampton</v>
      </c>
      <c r="C102" s="913" t="s">
        <v>14</v>
      </c>
      <c r="D102" s="954">
        <v>95000</v>
      </c>
      <c r="E102" s="954">
        <v>97400</v>
      </c>
      <c r="F102" s="954">
        <v>99600</v>
      </c>
      <c r="G102" s="954">
        <v>99700</v>
      </c>
      <c r="H102" s="954">
        <v>99100</v>
      </c>
    </row>
    <row r="103" spans="2:8" x14ac:dyDescent="0.2">
      <c r="B103" s="444" t="str">
        <f t="shared" si="11"/>
        <v>0-25AnnualSurrey</v>
      </c>
      <c r="C103" s="913" t="s">
        <v>7</v>
      </c>
      <c r="D103" s="954">
        <v>356700</v>
      </c>
      <c r="E103" s="954">
        <v>359900</v>
      </c>
      <c r="F103" s="954">
        <v>362200</v>
      </c>
      <c r="G103" s="954">
        <v>364500</v>
      </c>
      <c r="H103" s="954">
        <v>366100</v>
      </c>
    </row>
    <row r="104" spans="2:8" x14ac:dyDescent="0.2">
      <c r="B104" s="444" t="str">
        <f t="shared" si="11"/>
        <v>0-25AnnualSwindon</v>
      </c>
      <c r="C104" s="913" t="s">
        <v>114</v>
      </c>
      <c r="D104" s="954">
        <v>67900</v>
      </c>
      <c r="E104" s="954">
        <v>68100</v>
      </c>
      <c r="F104" s="954">
        <v>68000</v>
      </c>
      <c r="G104" s="954">
        <v>68300</v>
      </c>
      <c r="H104" s="954">
        <v>68700</v>
      </c>
    </row>
    <row r="105" spans="2:8" x14ac:dyDescent="0.2">
      <c r="B105" s="444" t="str">
        <f t="shared" si="11"/>
        <v>0-25AnnualTorbay</v>
      </c>
      <c r="C105" s="913" t="s">
        <v>115</v>
      </c>
      <c r="D105" s="954">
        <v>36100</v>
      </c>
      <c r="E105" s="954">
        <v>36100</v>
      </c>
      <c r="F105" s="954">
        <v>36000</v>
      </c>
      <c r="G105" s="954">
        <v>35900</v>
      </c>
      <c r="H105" s="954">
        <v>35700</v>
      </c>
    </row>
    <row r="106" spans="2:8" x14ac:dyDescent="0.2">
      <c r="B106" s="444" t="str">
        <f t="shared" si="11"/>
        <v>0-25AnnualWest Berkshire</v>
      </c>
      <c r="C106" s="913" t="s">
        <v>15</v>
      </c>
      <c r="D106" s="954">
        <v>47700</v>
      </c>
      <c r="E106" s="954">
        <v>47700</v>
      </c>
      <c r="F106" s="954">
        <v>47900</v>
      </c>
      <c r="G106" s="954">
        <v>47900</v>
      </c>
      <c r="H106" s="954">
        <v>47700</v>
      </c>
    </row>
    <row r="107" spans="2:8" x14ac:dyDescent="0.2">
      <c r="B107" s="444" t="str">
        <f t="shared" si="11"/>
        <v>0-25AnnualWest Sussex</v>
      </c>
      <c r="C107" s="913" t="s">
        <v>5</v>
      </c>
      <c r="D107" s="954">
        <v>235100</v>
      </c>
      <c r="E107" s="954">
        <v>236700</v>
      </c>
      <c r="F107" s="954">
        <v>237500</v>
      </c>
      <c r="G107" s="954">
        <v>238300</v>
      </c>
      <c r="H107" s="954">
        <v>239100</v>
      </c>
    </row>
    <row r="108" spans="2:8" x14ac:dyDescent="0.2">
      <c r="B108" s="444" t="str">
        <f t="shared" si="11"/>
        <v>0-25AnnualWindsor &amp; Maidenhead</v>
      </c>
      <c r="C108" s="914" t="s">
        <v>30</v>
      </c>
      <c r="D108" s="954">
        <v>44200</v>
      </c>
      <c r="E108" s="954">
        <v>44300</v>
      </c>
      <c r="F108" s="954">
        <v>44700</v>
      </c>
      <c r="G108" s="954">
        <v>44900</v>
      </c>
      <c r="H108" s="954">
        <v>45200</v>
      </c>
    </row>
    <row r="109" spans="2:8" x14ac:dyDescent="0.2">
      <c r="B109" s="444" t="str">
        <f t="shared" si="11"/>
        <v>0-25AnnualWokingham</v>
      </c>
      <c r="C109" s="913" t="s">
        <v>16</v>
      </c>
      <c r="D109" s="954">
        <v>49000</v>
      </c>
      <c r="E109" s="954">
        <v>49400</v>
      </c>
      <c r="F109" s="954">
        <v>50200</v>
      </c>
      <c r="G109" s="954">
        <v>51500</v>
      </c>
      <c r="H109" s="954">
        <v>52300</v>
      </c>
    </row>
    <row r="110" spans="2:8" x14ac:dyDescent="0.2">
      <c r="B110" s="444" t="str">
        <f t="shared" si="11"/>
        <v>0-25AnnualSouth East</v>
      </c>
      <c r="C110" s="915" t="s">
        <v>74</v>
      </c>
      <c r="D110" s="954">
        <v>2772600</v>
      </c>
      <c r="E110" s="954">
        <v>2790300</v>
      </c>
      <c r="F110" s="954">
        <v>2805300</v>
      </c>
      <c r="G110" s="954">
        <v>2808300</v>
      </c>
      <c r="H110" s="954">
        <v>2813800</v>
      </c>
    </row>
    <row r="111" spans="2:8" x14ac:dyDescent="0.2">
      <c r="B111" s="444" t="str">
        <f t="shared" si="11"/>
        <v>0-25AnnualEngland</v>
      </c>
      <c r="C111" s="916" t="s">
        <v>126</v>
      </c>
      <c r="D111" s="954">
        <v>17253400</v>
      </c>
      <c r="E111" s="954">
        <v>17352600</v>
      </c>
      <c r="F111" s="954">
        <v>17440500</v>
      </c>
      <c r="G111" s="954">
        <v>17452600</v>
      </c>
      <c r="H111" s="954">
        <v>17493000</v>
      </c>
    </row>
    <row r="113" spans="2:8" x14ac:dyDescent="0.2">
      <c r="B113" s="444" t="s">
        <v>747</v>
      </c>
      <c r="C113" s="751" t="s">
        <v>750</v>
      </c>
      <c r="D113" s="924" t="str">
        <f>D$22</f>
        <v>2018-19</v>
      </c>
      <c r="E113" s="924" t="str">
        <f t="shared" ref="E113:H113" si="12">E$22</f>
        <v>2018-19</v>
      </c>
      <c r="F113" s="924" t="str">
        <f t="shared" si="12"/>
        <v>2018-19</v>
      </c>
      <c r="G113" s="924" t="str">
        <f t="shared" si="12"/>
        <v>2018-19</v>
      </c>
      <c r="H113" s="924" t="str">
        <f t="shared" si="12"/>
        <v>2019-20</v>
      </c>
    </row>
    <row r="114" spans="2:8" x14ac:dyDescent="0.2">
      <c r="B114" s="917" t="s">
        <v>740</v>
      </c>
      <c r="C114" s="444" t="s">
        <v>666</v>
      </c>
      <c r="D114" s="924" t="str">
        <f>D$23</f>
        <v>Q1</v>
      </c>
      <c r="E114" s="924" t="str">
        <f t="shared" ref="E114:H114" si="13">E$23</f>
        <v>Q2</v>
      </c>
      <c r="F114" s="924" t="str">
        <f t="shared" si="13"/>
        <v>Q3</v>
      </c>
      <c r="G114" s="924" t="str">
        <f t="shared" si="13"/>
        <v>Q4</v>
      </c>
      <c r="H114" s="924" t="str">
        <f t="shared" si="13"/>
        <v>Q1</v>
      </c>
    </row>
    <row r="115" spans="2:8" x14ac:dyDescent="0.2">
      <c r="B115" s="444" t="str">
        <f t="shared" ref="B115:B139" si="14">CONCATENATE($B$113,$C$114,C115)</f>
        <v>0-25Quarterly</v>
      </c>
      <c r="C115" s="912"/>
      <c r="D115" s="1206" t="s">
        <v>1013</v>
      </c>
      <c r="E115" s="1206" t="s">
        <v>1013</v>
      </c>
      <c r="F115" s="1206" t="s">
        <v>1013</v>
      </c>
      <c r="G115" s="1206" t="s">
        <v>1013</v>
      </c>
      <c r="H115" s="1206" t="s">
        <v>1013</v>
      </c>
    </row>
    <row r="116" spans="2:8" x14ac:dyDescent="0.2">
      <c r="B116" s="444" t="str">
        <f t="shared" si="14"/>
        <v>0-25QuarterlyBracknell Forest</v>
      </c>
      <c r="C116" s="913" t="s">
        <v>0</v>
      </c>
      <c r="D116" s="954">
        <v>38700</v>
      </c>
      <c r="E116" s="954">
        <v>38700</v>
      </c>
      <c r="F116" s="954">
        <v>38700</v>
      </c>
      <c r="G116" s="954">
        <v>38700</v>
      </c>
      <c r="H116" s="954">
        <v>38700</v>
      </c>
    </row>
    <row r="117" spans="2:8" x14ac:dyDescent="0.2">
      <c r="B117" s="444" t="str">
        <f t="shared" si="14"/>
        <v>0-25QuarterlyBrighton &amp; Hove</v>
      </c>
      <c r="C117" s="914" t="s">
        <v>31</v>
      </c>
      <c r="D117" s="954">
        <v>99700</v>
      </c>
      <c r="E117" s="954">
        <v>99700</v>
      </c>
      <c r="F117" s="954">
        <v>99700</v>
      </c>
      <c r="G117" s="954">
        <v>99700</v>
      </c>
      <c r="H117" s="954">
        <v>99700</v>
      </c>
    </row>
    <row r="118" spans="2:8" x14ac:dyDescent="0.2">
      <c r="B118" s="444" t="str">
        <f t="shared" si="14"/>
        <v>0-25QuarterlyBuckinghamshire</v>
      </c>
      <c r="C118" s="913" t="s">
        <v>8</v>
      </c>
      <c r="D118" s="954">
        <v>166200</v>
      </c>
      <c r="E118" s="954">
        <v>166200</v>
      </c>
      <c r="F118" s="954">
        <v>166200</v>
      </c>
      <c r="G118" s="954">
        <v>166200</v>
      </c>
      <c r="H118" s="954">
        <v>166200</v>
      </c>
    </row>
    <row r="119" spans="2:8" x14ac:dyDescent="0.2">
      <c r="B119" s="444" t="str">
        <f t="shared" si="14"/>
        <v>0-25QuarterlyEast Sussex</v>
      </c>
      <c r="C119" s="913" t="s">
        <v>4</v>
      </c>
      <c r="D119" s="954">
        <v>148900</v>
      </c>
      <c r="E119" s="954">
        <v>148900</v>
      </c>
      <c r="F119" s="954">
        <v>148900</v>
      </c>
      <c r="G119" s="954">
        <v>148900</v>
      </c>
      <c r="H119" s="954">
        <v>148900</v>
      </c>
    </row>
    <row r="120" spans="2:8" x14ac:dyDescent="0.2">
      <c r="B120" s="444" t="str">
        <f t="shared" si="14"/>
        <v>0-25QuarterlyHampshire</v>
      </c>
      <c r="C120" s="914" t="s">
        <v>6</v>
      </c>
      <c r="D120" s="954">
        <v>395300</v>
      </c>
      <c r="E120" s="954">
        <v>395300</v>
      </c>
      <c r="F120" s="954">
        <v>395300</v>
      </c>
      <c r="G120" s="954">
        <v>395300</v>
      </c>
      <c r="H120" s="954">
        <v>395300</v>
      </c>
    </row>
    <row r="121" spans="2:8" x14ac:dyDescent="0.2">
      <c r="B121" s="444" t="str">
        <f t="shared" si="14"/>
        <v>0-25QuarterlyIsle of Wight</v>
      </c>
      <c r="C121" s="913" t="s">
        <v>1</v>
      </c>
      <c r="D121" s="954">
        <v>35600</v>
      </c>
      <c r="E121" s="954">
        <v>35600</v>
      </c>
      <c r="F121" s="954">
        <v>35600</v>
      </c>
      <c r="G121" s="954">
        <v>35600</v>
      </c>
      <c r="H121" s="954">
        <v>35600</v>
      </c>
    </row>
    <row r="122" spans="2:8" x14ac:dyDescent="0.2">
      <c r="B122" s="444" t="str">
        <f t="shared" si="14"/>
        <v>0-25QuarterlyKent</v>
      </c>
      <c r="C122" s="913" t="s">
        <v>9</v>
      </c>
      <c r="D122" s="954">
        <v>482700</v>
      </c>
      <c r="E122" s="954">
        <v>482700</v>
      </c>
      <c r="F122" s="954">
        <v>482700</v>
      </c>
      <c r="G122" s="954">
        <v>482700</v>
      </c>
      <c r="H122" s="954">
        <v>482700</v>
      </c>
    </row>
    <row r="123" spans="2:8" x14ac:dyDescent="0.2">
      <c r="B123" s="444" t="str">
        <f t="shared" si="14"/>
        <v>0-25QuarterlyMedway</v>
      </c>
      <c r="C123" s="913" t="s">
        <v>2</v>
      </c>
      <c r="D123" s="954">
        <v>91500</v>
      </c>
      <c r="E123" s="954">
        <v>91500</v>
      </c>
      <c r="F123" s="954">
        <v>91500</v>
      </c>
      <c r="G123" s="954">
        <v>91500</v>
      </c>
      <c r="H123" s="954">
        <v>91500</v>
      </c>
    </row>
    <row r="124" spans="2:8" x14ac:dyDescent="0.2">
      <c r="B124" s="444" t="str">
        <f t="shared" si="14"/>
        <v>0-25QuarterlyMilton Keynes</v>
      </c>
      <c r="C124" s="913" t="s">
        <v>10</v>
      </c>
      <c r="D124" s="954">
        <v>89400</v>
      </c>
      <c r="E124" s="954">
        <v>89400</v>
      </c>
      <c r="F124" s="954">
        <v>89400</v>
      </c>
      <c r="G124" s="954">
        <v>89400</v>
      </c>
      <c r="H124" s="954">
        <v>89400</v>
      </c>
    </row>
    <row r="125" spans="2:8" x14ac:dyDescent="0.2">
      <c r="B125" s="444" t="str">
        <f t="shared" si="14"/>
        <v>0-25QuarterlyOxfordshire</v>
      </c>
      <c r="C125" s="913" t="s">
        <v>11</v>
      </c>
      <c r="D125" s="954">
        <v>221800</v>
      </c>
      <c r="E125" s="954">
        <v>221800</v>
      </c>
      <c r="F125" s="954">
        <v>221800</v>
      </c>
      <c r="G125" s="954">
        <v>221800</v>
      </c>
      <c r="H125" s="954">
        <v>221800</v>
      </c>
    </row>
    <row r="126" spans="2:8" x14ac:dyDescent="0.2">
      <c r="B126" s="444" t="str">
        <f t="shared" si="14"/>
        <v>0-25QuarterlyPortsmouth</v>
      </c>
      <c r="C126" s="913" t="s">
        <v>12</v>
      </c>
      <c r="D126" s="954">
        <v>80200</v>
      </c>
      <c r="E126" s="954">
        <v>80200</v>
      </c>
      <c r="F126" s="954">
        <v>80200</v>
      </c>
      <c r="G126" s="954">
        <v>80200</v>
      </c>
      <c r="H126" s="954">
        <v>80200</v>
      </c>
    </row>
    <row r="127" spans="2:8" x14ac:dyDescent="0.2">
      <c r="B127" s="444" t="str">
        <f t="shared" si="14"/>
        <v>0-25QuarterlyReading</v>
      </c>
      <c r="C127" s="913" t="s">
        <v>3</v>
      </c>
      <c r="D127" s="954">
        <v>59100</v>
      </c>
      <c r="E127" s="954">
        <v>59100</v>
      </c>
      <c r="F127" s="954">
        <v>59100</v>
      </c>
      <c r="G127" s="954">
        <v>59100</v>
      </c>
      <c r="H127" s="954">
        <v>59100</v>
      </c>
    </row>
    <row r="128" spans="2:8" x14ac:dyDescent="0.2">
      <c r="B128" s="444" t="str">
        <f t="shared" si="14"/>
        <v>0-25QuarterlySlough</v>
      </c>
      <c r="C128" s="913" t="s">
        <v>13</v>
      </c>
      <c r="D128" s="954">
        <v>55300</v>
      </c>
      <c r="E128" s="954">
        <v>55300</v>
      </c>
      <c r="F128" s="954">
        <v>55300</v>
      </c>
      <c r="G128" s="954">
        <v>55300</v>
      </c>
      <c r="H128" s="954">
        <v>55300</v>
      </c>
    </row>
    <row r="129" spans="2:8" x14ac:dyDescent="0.2">
      <c r="B129" s="444" t="str">
        <f t="shared" si="14"/>
        <v>0-25QuarterlySomerset</v>
      </c>
      <c r="C129" s="913" t="s">
        <v>93</v>
      </c>
      <c r="D129" s="954">
        <v>153200</v>
      </c>
      <c r="E129" s="954">
        <v>153200</v>
      </c>
      <c r="F129" s="954">
        <v>153200</v>
      </c>
      <c r="G129" s="954">
        <v>153200</v>
      </c>
      <c r="H129" s="954">
        <v>153200</v>
      </c>
    </row>
    <row r="130" spans="2:8" x14ac:dyDescent="0.2">
      <c r="B130" s="444" t="str">
        <f t="shared" si="14"/>
        <v>0-25QuarterlySouthampton</v>
      </c>
      <c r="C130" s="913" t="s">
        <v>14</v>
      </c>
      <c r="D130" s="954">
        <v>99100</v>
      </c>
      <c r="E130" s="954">
        <v>99100</v>
      </c>
      <c r="F130" s="954">
        <v>99100</v>
      </c>
      <c r="G130" s="954">
        <v>99100</v>
      </c>
      <c r="H130" s="954">
        <v>99100</v>
      </c>
    </row>
    <row r="131" spans="2:8" x14ac:dyDescent="0.2">
      <c r="B131" s="444" t="str">
        <f t="shared" si="14"/>
        <v>0-25QuarterlySurrey</v>
      </c>
      <c r="C131" s="913" t="s">
        <v>7</v>
      </c>
      <c r="D131" s="954">
        <v>366100</v>
      </c>
      <c r="E131" s="954">
        <v>366100</v>
      </c>
      <c r="F131" s="954">
        <v>366100</v>
      </c>
      <c r="G131" s="954">
        <v>366100</v>
      </c>
      <c r="H131" s="954">
        <v>366100</v>
      </c>
    </row>
    <row r="132" spans="2:8" x14ac:dyDescent="0.2">
      <c r="B132" s="444" t="str">
        <f t="shared" si="14"/>
        <v>0-25QuarterlySwindon</v>
      </c>
      <c r="C132" s="913" t="s">
        <v>114</v>
      </c>
      <c r="D132" s="954">
        <v>68700</v>
      </c>
      <c r="E132" s="954">
        <v>68700</v>
      </c>
      <c r="F132" s="954">
        <v>68700</v>
      </c>
      <c r="G132" s="954">
        <v>68700</v>
      </c>
      <c r="H132" s="954">
        <v>68700</v>
      </c>
    </row>
    <row r="133" spans="2:8" x14ac:dyDescent="0.2">
      <c r="B133" s="444" t="str">
        <f t="shared" si="14"/>
        <v>0-25QuarterlyTorbay</v>
      </c>
      <c r="C133" s="913" t="s">
        <v>115</v>
      </c>
      <c r="D133" s="954">
        <v>35700</v>
      </c>
      <c r="E133" s="954">
        <v>35700</v>
      </c>
      <c r="F133" s="954">
        <v>35700</v>
      </c>
      <c r="G133" s="954">
        <v>35700</v>
      </c>
      <c r="H133" s="954">
        <v>35700</v>
      </c>
    </row>
    <row r="134" spans="2:8" x14ac:dyDescent="0.2">
      <c r="B134" s="444" t="str">
        <f t="shared" si="14"/>
        <v>0-25QuarterlyWest Berkshire</v>
      </c>
      <c r="C134" s="913" t="s">
        <v>15</v>
      </c>
      <c r="D134" s="954">
        <v>47700</v>
      </c>
      <c r="E134" s="954">
        <v>47700</v>
      </c>
      <c r="F134" s="954">
        <v>47700</v>
      </c>
      <c r="G134" s="954">
        <v>47700</v>
      </c>
      <c r="H134" s="954">
        <v>47700</v>
      </c>
    </row>
    <row r="135" spans="2:8" x14ac:dyDescent="0.2">
      <c r="B135" s="444" t="str">
        <f t="shared" si="14"/>
        <v>0-25QuarterlyWest Sussex</v>
      </c>
      <c r="C135" s="913" t="s">
        <v>5</v>
      </c>
      <c r="D135" s="954">
        <v>239100</v>
      </c>
      <c r="E135" s="954">
        <v>239100</v>
      </c>
      <c r="F135" s="954">
        <v>239100</v>
      </c>
      <c r="G135" s="954">
        <v>239100</v>
      </c>
      <c r="H135" s="954">
        <v>239100</v>
      </c>
    </row>
    <row r="136" spans="2:8" x14ac:dyDescent="0.2">
      <c r="B136" s="444" t="str">
        <f t="shared" si="14"/>
        <v>0-25QuarterlyWindsor &amp; Maidenhead</v>
      </c>
      <c r="C136" s="914" t="s">
        <v>30</v>
      </c>
      <c r="D136" s="954">
        <v>45200</v>
      </c>
      <c r="E136" s="954">
        <v>45200</v>
      </c>
      <c r="F136" s="954">
        <v>45200</v>
      </c>
      <c r="G136" s="954">
        <v>45200</v>
      </c>
      <c r="H136" s="954">
        <v>45200</v>
      </c>
    </row>
    <row r="137" spans="2:8" x14ac:dyDescent="0.2">
      <c r="B137" s="444" t="str">
        <f t="shared" si="14"/>
        <v>0-25QuarterlyWokingham</v>
      </c>
      <c r="C137" s="913" t="s">
        <v>16</v>
      </c>
      <c r="D137" s="954">
        <v>52300</v>
      </c>
      <c r="E137" s="954">
        <v>52300</v>
      </c>
      <c r="F137" s="954">
        <v>52300</v>
      </c>
      <c r="G137" s="954">
        <v>52300</v>
      </c>
      <c r="H137" s="954">
        <v>52300</v>
      </c>
    </row>
    <row r="138" spans="2:8" x14ac:dyDescent="0.2">
      <c r="B138" s="444" t="str">
        <f t="shared" si="14"/>
        <v>0-25QuarterlySouth East</v>
      </c>
      <c r="C138" s="915" t="s">
        <v>74</v>
      </c>
      <c r="D138" s="954">
        <v>2813800</v>
      </c>
      <c r="E138" s="954">
        <v>2813800</v>
      </c>
      <c r="F138" s="954">
        <v>2813800</v>
      </c>
      <c r="G138" s="954">
        <v>2813800</v>
      </c>
      <c r="H138" s="954">
        <v>2813800</v>
      </c>
    </row>
    <row r="139" spans="2:8" x14ac:dyDescent="0.2">
      <c r="B139" s="444" t="str">
        <f t="shared" si="14"/>
        <v>0-25QuarterlyEngland</v>
      </c>
      <c r="C139" s="916" t="s">
        <v>126</v>
      </c>
      <c r="D139" s="954">
        <v>17493000</v>
      </c>
      <c r="E139" s="954">
        <v>17493000</v>
      </c>
      <c r="F139" s="954">
        <v>17493000</v>
      </c>
      <c r="G139" s="954">
        <v>17493000</v>
      </c>
      <c r="H139" s="954">
        <v>17493000</v>
      </c>
    </row>
    <row r="141" spans="2:8" x14ac:dyDescent="0.2">
      <c r="B141" s="444" t="s">
        <v>748</v>
      </c>
      <c r="C141" s="751" t="s">
        <v>751</v>
      </c>
    </row>
    <row r="142" spans="2:8" x14ac:dyDescent="0.2">
      <c r="B142" s="917" t="s">
        <v>740</v>
      </c>
      <c r="C142" s="444" t="s">
        <v>660</v>
      </c>
      <c r="D142" s="924" t="str">
        <f>D$20</f>
        <v>2014-15</v>
      </c>
      <c r="E142" s="924" t="str">
        <f t="shared" ref="E142:H142" si="15">E$20</f>
        <v>2015-16</v>
      </c>
      <c r="F142" s="924" t="str">
        <f t="shared" si="15"/>
        <v>2016-17</v>
      </c>
      <c r="G142" s="924" t="str">
        <f t="shared" si="15"/>
        <v>2017-18</v>
      </c>
      <c r="H142" s="924" t="str">
        <f t="shared" si="15"/>
        <v>2018-19</v>
      </c>
    </row>
    <row r="143" spans="2:8" x14ac:dyDescent="0.2">
      <c r="B143" s="444" t="str">
        <f t="shared" ref="B143:B167" si="16">CONCATENATE($B$141,$C$142,C143)</f>
        <v>19-21Annual</v>
      </c>
      <c r="C143" s="912"/>
      <c r="D143" s="1206" t="s">
        <v>97</v>
      </c>
      <c r="E143" s="1224" t="s">
        <v>125</v>
      </c>
      <c r="F143" s="1224" t="s">
        <v>186</v>
      </c>
      <c r="G143" s="1224" t="s">
        <v>222</v>
      </c>
      <c r="H143" s="1224" t="s">
        <v>1013</v>
      </c>
    </row>
    <row r="144" spans="2:8" x14ac:dyDescent="0.2">
      <c r="B144" s="444" t="str">
        <f t="shared" si="16"/>
        <v>19-21AnnualBracknell Forest</v>
      </c>
      <c r="C144" s="913" t="s">
        <v>0</v>
      </c>
      <c r="D144" s="954">
        <v>3200</v>
      </c>
      <c r="E144" s="954">
        <v>3300</v>
      </c>
      <c r="F144" s="954">
        <v>3100</v>
      </c>
      <c r="G144" s="954">
        <v>3200</v>
      </c>
      <c r="H144" s="954">
        <v>3300</v>
      </c>
    </row>
    <row r="145" spans="2:8" x14ac:dyDescent="0.2">
      <c r="B145" s="444" t="str">
        <f t="shared" si="16"/>
        <v>19-21AnnualBrighton &amp; Hove</v>
      </c>
      <c r="C145" s="914" t="s">
        <v>31</v>
      </c>
      <c r="D145" s="954">
        <v>17800</v>
      </c>
      <c r="E145" s="954">
        <v>18200</v>
      </c>
      <c r="F145" s="954">
        <v>19300</v>
      </c>
      <c r="G145" s="954">
        <v>20400</v>
      </c>
      <c r="H145" s="954">
        <v>21100</v>
      </c>
    </row>
    <row r="146" spans="2:8" x14ac:dyDescent="0.2">
      <c r="B146" s="444" t="str">
        <f t="shared" si="16"/>
        <v>19-21AnnualBuckinghamshire</v>
      </c>
      <c r="C146" s="913" t="s">
        <v>8</v>
      </c>
      <c r="D146" s="954">
        <v>14900</v>
      </c>
      <c r="E146" s="954">
        <v>14700</v>
      </c>
      <c r="F146" s="954">
        <v>14400</v>
      </c>
      <c r="G146" s="954">
        <v>13700</v>
      </c>
      <c r="H146" s="954">
        <v>13300</v>
      </c>
    </row>
    <row r="147" spans="2:8" x14ac:dyDescent="0.2">
      <c r="B147" s="444" t="str">
        <f t="shared" si="16"/>
        <v>19-21AnnualEast Sussex</v>
      </c>
      <c r="C147" s="913" t="s">
        <v>4</v>
      </c>
      <c r="D147" s="954">
        <v>16000</v>
      </c>
      <c r="E147" s="954">
        <v>15900</v>
      </c>
      <c r="F147" s="954">
        <v>15700</v>
      </c>
      <c r="G147" s="954">
        <v>15500</v>
      </c>
      <c r="H147" s="954">
        <v>15200</v>
      </c>
    </row>
    <row r="148" spans="2:8" x14ac:dyDescent="0.2">
      <c r="B148" s="444" t="str">
        <f t="shared" si="16"/>
        <v>19-21AnnualHampshire</v>
      </c>
      <c r="C148" s="914" t="s">
        <v>6</v>
      </c>
      <c r="D148" s="954">
        <v>40700</v>
      </c>
      <c r="E148" s="954">
        <v>41000</v>
      </c>
      <c r="F148" s="954">
        <v>40800</v>
      </c>
      <c r="G148" s="954">
        <v>39700</v>
      </c>
      <c r="H148" s="954">
        <v>39200</v>
      </c>
    </row>
    <row r="149" spans="2:8" x14ac:dyDescent="0.2">
      <c r="B149" s="444" t="str">
        <f t="shared" si="16"/>
        <v>19-21AnnualIsle of Wight</v>
      </c>
      <c r="C149" s="913" t="s">
        <v>1</v>
      </c>
      <c r="D149" s="954">
        <v>4000</v>
      </c>
      <c r="E149" s="954">
        <v>4100</v>
      </c>
      <c r="F149" s="954">
        <v>4000</v>
      </c>
      <c r="G149" s="954">
        <v>3800</v>
      </c>
      <c r="H149" s="954">
        <v>3800</v>
      </c>
    </row>
    <row r="150" spans="2:8" x14ac:dyDescent="0.2">
      <c r="B150" s="444" t="str">
        <f t="shared" si="16"/>
        <v>19-21AnnualKent</v>
      </c>
      <c r="C150" s="913" t="s">
        <v>9</v>
      </c>
      <c r="D150" s="954">
        <v>55400</v>
      </c>
      <c r="E150" s="954">
        <v>54200</v>
      </c>
      <c r="F150" s="954">
        <v>53400</v>
      </c>
      <c r="G150" s="954">
        <v>52800</v>
      </c>
      <c r="H150" s="954">
        <v>52300</v>
      </c>
    </row>
    <row r="151" spans="2:8" x14ac:dyDescent="0.2">
      <c r="B151" s="444" t="str">
        <f t="shared" si="16"/>
        <v>19-21AnnualMedway</v>
      </c>
      <c r="C151" s="913" t="s">
        <v>2</v>
      </c>
      <c r="D151" s="954">
        <v>11000</v>
      </c>
      <c r="E151" s="954">
        <v>10700</v>
      </c>
      <c r="F151" s="954">
        <v>10300</v>
      </c>
      <c r="G151" s="954">
        <v>9900</v>
      </c>
      <c r="H151" s="954">
        <v>9600</v>
      </c>
    </row>
    <row r="152" spans="2:8" x14ac:dyDescent="0.2">
      <c r="B152" s="444" t="str">
        <f t="shared" si="16"/>
        <v>19-21AnnualMilton Keynes</v>
      </c>
      <c r="C152" s="913" t="s">
        <v>10</v>
      </c>
      <c r="D152" s="954">
        <v>7100</v>
      </c>
      <c r="E152" s="954">
        <v>7100</v>
      </c>
      <c r="F152" s="954">
        <v>6700</v>
      </c>
      <c r="G152" s="954">
        <v>6700</v>
      </c>
      <c r="H152" s="954">
        <v>6500</v>
      </c>
    </row>
    <row r="153" spans="2:8" x14ac:dyDescent="0.2">
      <c r="B153" s="444" t="str">
        <f t="shared" si="16"/>
        <v>19-21AnnualOxfordshire</v>
      </c>
      <c r="C153" s="913" t="s">
        <v>11</v>
      </c>
      <c r="D153" s="954">
        <v>30400</v>
      </c>
      <c r="E153" s="954">
        <v>30300</v>
      </c>
      <c r="F153" s="954">
        <v>30400</v>
      </c>
      <c r="G153" s="954">
        <v>29900</v>
      </c>
      <c r="H153" s="954">
        <v>29900</v>
      </c>
    </row>
    <row r="154" spans="2:8" x14ac:dyDescent="0.2">
      <c r="B154" s="444" t="str">
        <f t="shared" si="16"/>
        <v>19-21AnnualPortsmouth</v>
      </c>
      <c r="C154" s="913" t="s">
        <v>12</v>
      </c>
      <c r="D154" s="954">
        <v>15100</v>
      </c>
      <c r="E154" s="954">
        <v>15200</v>
      </c>
      <c r="F154" s="954">
        <v>15500</v>
      </c>
      <c r="G154" s="954">
        <v>16200</v>
      </c>
      <c r="H154" s="954">
        <v>16400</v>
      </c>
    </row>
    <row r="155" spans="2:8" x14ac:dyDescent="0.2">
      <c r="B155" s="444" t="str">
        <f t="shared" si="16"/>
        <v>19-21AnnualReading</v>
      </c>
      <c r="C155" s="913" t="s">
        <v>3</v>
      </c>
      <c r="D155" s="954">
        <v>8800</v>
      </c>
      <c r="E155" s="954">
        <v>8800</v>
      </c>
      <c r="F155" s="954">
        <v>8800</v>
      </c>
      <c r="G155" s="954">
        <v>9100</v>
      </c>
      <c r="H155" s="954">
        <v>9400</v>
      </c>
    </row>
    <row r="156" spans="2:8" x14ac:dyDescent="0.2">
      <c r="B156" s="444" t="str">
        <f t="shared" si="16"/>
        <v>19-21AnnualSlough</v>
      </c>
      <c r="C156" s="913" t="s">
        <v>13</v>
      </c>
      <c r="D156" s="954">
        <v>4400</v>
      </c>
      <c r="E156" s="954">
        <v>4500</v>
      </c>
      <c r="F156" s="954">
        <v>4400</v>
      </c>
      <c r="G156" s="954">
        <v>4300</v>
      </c>
      <c r="H156" s="954">
        <v>4200</v>
      </c>
    </row>
    <row r="157" spans="2:8" x14ac:dyDescent="0.2">
      <c r="B157" s="444" t="str">
        <f t="shared" si="16"/>
        <v>19-21AnnualSomerset</v>
      </c>
      <c r="C157" s="913" t="s">
        <v>93</v>
      </c>
      <c r="D157" s="954">
        <v>15500</v>
      </c>
      <c r="E157" s="954">
        <v>15300</v>
      </c>
      <c r="F157" s="954">
        <v>14900</v>
      </c>
      <c r="G157" s="954">
        <v>14800</v>
      </c>
      <c r="H157" s="954">
        <v>14500</v>
      </c>
    </row>
    <row r="158" spans="2:8" x14ac:dyDescent="0.2">
      <c r="B158" s="444" t="str">
        <f t="shared" si="16"/>
        <v>19-21AnnualSouthampton</v>
      </c>
      <c r="C158" s="913" t="s">
        <v>14</v>
      </c>
      <c r="D158" s="954">
        <v>20900</v>
      </c>
      <c r="E158" s="954">
        <v>20800</v>
      </c>
      <c r="F158" s="954">
        <v>21800</v>
      </c>
      <c r="G158" s="954">
        <v>22100</v>
      </c>
      <c r="H158" s="954">
        <v>22000</v>
      </c>
    </row>
    <row r="159" spans="2:8" x14ac:dyDescent="0.2">
      <c r="B159" s="444" t="str">
        <f t="shared" si="16"/>
        <v>19-21AnnualSurrey</v>
      </c>
      <c r="C159" s="913" t="s">
        <v>7</v>
      </c>
      <c r="D159" s="954">
        <v>35900</v>
      </c>
      <c r="E159" s="954">
        <v>36700</v>
      </c>
      <c r="F159" s="954">
        <v>36600</v>
      </c>
      <c r="G159" s="954">
        <v>37200</v>
      </c>
      <c r="H159" s="954">
        <v>37500</v>
      </c>
    </row>
    <row r="160" spans="2:8" x14ac:dyDescent="0.2">
      <c r="B160" s="444" t="str">
        <f t="shared" si="16"/>
        <v>19-21AnnualSwindon</v>
      </c>
      <c r="C160" s="913" t="s">
        <v>114</v>
      </c>
      <c r="D160" s="954">
        <v>6500</v>
      </c>
      <c r="E160" s="954">
        <v>6500</v>
      </c>
      <c r="F160" s="954">
        <v>6300</v>
      </c>
      <c r="G160" s="954">
        <v>6300</v>
      </c>
      <c r="H160" s="954">
        <v>6300</v>
      </c>
    </row>
    <row r="161" spans="2:8" x14ac:dyDescent="0.2">
      <c r="B161" s="444" t="str">
        <f t="shared" si="16"/>
        <v>19-21AnnualTorbay</v>
      </c>
      <c r="C161" s="913" t="s">
        <v>115</v>
      </c>
      <c r="D161" s="954">
        <v>3900</v>
      </c>
      <c r="E161" s="954">
        <v>3800</v>
      </c>
      <c r="F161" s="954">
        <v>3700</v>
      </c>
      <c r="G161" s="954">
        <v>3600</v>
      </c>
      <c r="H161" s="954">
        <v>3500</v>
      </c>
    </row>
    <row r="162" spans="2:8" x14ac:dyDescent="0.2">
      <c r="B162" s="444" t="str">
        <f t="shared" si="16"/>
        <v>19-21AnnualWest Berkshire</v>
      </c>
      <c r="C162" s="913" t="s">
        <v>15</v>
      </c>
      <c r="D162" s="954">
        <v>3900</v>
      </c>
      <c r="E162" s="954">
        <v>3800</v>
      </c>
      <c r="F162" s="954">
        <v>3900</v>
      </c>
      <c r="G162" s="954">
        <v>3800</v>
      </c>
      <c r="H162" s="954">
        <v>3800</v>
      </c>
    </row>
    <row r="163" spans="2:8" x14ac:dyDescent="0.2">
      <c r="B163" s="444" t="str">
        <f t="shared" si="16"/>
        <v>19-21AnnualWest Sussex</v>
      </c>
      <c r="C163" s="913" t="s">
        <v>5</v>
      </c>
      <c r="D163" s="954">
        <v>23300</v>
      </c>
      <c r="E163" s="954">
        <v>23500</v>
      </c>
      <c r="F163" s="954">
        <v>23100</v>
      </c>
      <c r="G163" s="954">
        <v>22800</v>
      </c>
      <c r="H163" s="954">
        <v>22500</v>
      </c>
    </row>
    <row r="164" spans="2:8" x14ac:dyDescent="0.2">
      <c r="B164" s="444" t="str">
        <f t="shared" si="16"/>
        <v>19-21AnnualWindsor &amp; Maidenhead</v>
      </c>
      <c r="C164" s="914" t="s">
        <v>30</v>
      </c>
      <c r="D164" s="954">
        <v>3200</v>
      </c>
      <c r="E164" s="954">
        <v>3100</v>
      </c>
      <c r="F164" s="954">
        <v>3100</v>
      </c>
      <c r="G164" s="954">
        <v>3100</v>
      </c>
      <c r="H164" s="954">
        <v>3200</v>
      </c>
    </row>
    <row r="165" spans="2:8" x14ac:dyDescent="0.2">
      <c r="B165" s="444" t="str">
        <f t="shared" si="16"/>
        <v>19-21AnnualWokingham</v>
      </c>
      <c r="C165" s="913" t="s">
        <v>16</v>
      </c>
      <c r="D165" s="954">
        <v>4400</v>
      </c>
      <c r="E165" s="954">
        <v>4400</v>
      </c>
      <c r="F165" s="954">
        <v>4300</v>
      </c>
      <c r="G165" s="954">
        <v>4400</v>
      </c>
      <c r="H165" s="954">
        <v>4400</v>
      </c>
    </row>
    <row r="166" spans="2:8" x14ac:dyDescent="0.2">
      <c r="B166" s="444" t="str">
        <f t="shared" si="16"/>
        <v>19-21AnnualSouth East</v>
      </c>
      <c r="C166" s="915" t="s">
        <v>74</v>
      </c>
      <c r="D166" s="954">
        <v>320400</v>
      </c>
      <c r="E166" s="954">
        <v>320000</v>
      </c>
      <c r="F166" s="954">
        <v>319700</v>
      </c>
      <c r="G166" s="954">
        <v>318600</v>
      </c>
      <c r="H166" s="954">
        <v>317600</v>
      </c>
    </row>
    <row r="167" spans="2:8" x14ac:dyDescent="0.2">
      <c r="B167" s="444" t="str">
        <f t="shared" si="16"/>
        <v>19-21AnnualEngland</v>
      </c>
      <c r="C167" s="916" t="s">
        <v>126</v>
      </c>
      <c r="D167" s="954">
        <v>2044800</v>
      </c>
      <c r="E167" s="954">
        <v>2042300</v>
      </c>
      <c r="F167" s="954">
        <v>2038900</v>
      </c>
      <c r="G167" s="954">
        <v>2029700</v>
      </c>
      <c r="H167" s="954">
        <v>2020500</v>
      </c>
    </row>
    <row r="169" spans="2:8" x14ac:dyDescent="0.2">
      <c r="B169" s="444" t="s">
        <v>748</v>
      </c>
      <c r="C169" s="751" t="s">
        <v>751</v>
      </c>
      <c r="D169" s="924" t="str">
        <f>D$22</f>
        <v>2018-19</v>
      </c>
      <c r="E169" s="924" t="str">
        <f t="shared" ref="E169:H169" si="17">E$22</f>
        <v>2018-19</v>
      </c>
      <c r="F169" s="924" t="str">
        <f t="shared" si="17"/>
        <v>2018-19</v>
      </c>
      <c r="G169" s="924" t="str">
        <f t="shared" si="17"/>
        <v>2018-19</v>
      </c>
      <c r="H169" s="924" t="str">
        <f t="shared" si="17"/>
        <v>2019-20</v>
      </c>
    </row>
    <row r="170" spans="2:8" x14ac:dyDescent="0.2">
      <c r="B170" s="917" t="s">
        <v>740</v>
      </c>
      <c r="C170" s="444" t="s">
        <v>666</v>
      </c>
      <c r="D170" s="924" t="str">
        <f>D$23</f>
        <v>Q1</v>
      </c>
      <c r="E170" s="924" t="str">
        <f t="shared" ref="E170:H170" si="18">E$23</f>
        <v>Q2</v>
      </c>
      <c r="F170" s="924" t="str">
        <f t="shared" si="18"/>
        <v>Q3</v>
      </c>
      <c r="G170" s="924" t="str">
        <f t="shared" si="18"/>
        <v>Q4</v>
      </c>
      <c r="H170" s="924" t="str">
        <f t="shared" si="18"/>
        <v>Q1</v>
      </c>
    </row>
    <row r="171" spans="2:8" x14ac:dyDescent="0.2">
      <c r="B171" s="444" t="str">
        <f t="shared" ref="B171:B195" si="19">CONCATENATE($B$169,$C$170,C171)</f>
        <v>19-21Quarterly</v>
      </c>
      <c r="C171" s="912"/>
      <c r="D171" s="907" t="s">
        <v>1013</v>
      </c>
      <c r="E171" s="1206" t="s">
        <v>1013</v>
      </c>
      <c r="F171" s="1206" t="s">
        <v>1013</v>
      </c>
      <c r="G171" s="1206" t="s">
        <v>1013</v>
      </c>
      <c r="H171" s="1206" t="s">
        <v>1013</v>
      </c>
    </row>
    <row r="172" spans="2:8" x14ac:dyDescent="0.2">
      <c r="B172" s="444" t="str">
        <f t="shared" si="19"/>
        <v>19-21QuarterlyBracknell Forest</v>
      </c>
      <c r="C172" s="913" t="s">
        <v>0</v>
      </c>
      <c r="D172" s="954">
        <v>3300</v>
      </c>
      <c r="E172" s="954">
        <v>3300</v>
      </c>
      <c r="F172" s="954">
        <v>3300</v>
      </c>
      <c r="G172" s="954">
        <v>3300</v>
      </c>
      <c r="H172" s="954">
        <v>3300</v>
      </c>
    </row>
    <row r="173" spans="2:8" x14ac:dyDescent="0.2">
      <c r="B173" s="444" t="str">
        <f t="shared" si="19"/>
        <v>19-21QuarterlyBrighton &amp; Hove</v>
      </c>
      <c r="C173" s="914" t="s">
        <v>31</v>
      </c>
      <c r="D173" s="954">
        <v>21100</v>
      </c>
      <c r="E173" s="954">
        <v>21100</v>
      </c>
      <c r="F173" s="954">
        <v>21100</v>
      </c>
      <c r="G173" s="954">
        <v>21100</v>
      </c>
      <c r="H173" s="954">
        <v>21100</v>
      </c>
    </row>
    <row r="174" spans="2:8" x14ac:dyDescent="0.2">
      <c r="B174" s="444" t="str">
        <f t="shared" si="19"/>
        <v>19-21QuarterlyBuckinghamshire</v>
      </c>
      <c r="C174" s="913" t="s">
        <v>8</v>
      </c>
      <c r="D174" s="954">
        <v>13300</v>
      </c>
      <c r="E174" s="954">
        <v>13300</v>
      </c>
      <c r="F174" s="954">
        <v>13300</v>
      </c>
      <c r="G174" s="954">
        <v>13300</v>
      </c>
      <c r="H174" s="954">
        <v>13300</v>
      </c>
    </row>
    <row r="175" spans="2:8" x14ac:dyDescent="0.2">
      <c r="B175" s="444" t="str">
        <f t="shared" si="19"/>
        <v>19-21QuarterlyEast Sussex</v>
      </c>
      <c r="C175" s="913" t="s">
        <v>4</v>
      </c>
      <c r="D175" s="954">
        <v>15200</v>
      </c>
      <c r="E175" s="954">
        <v>15200</v>
      </c>
      <c r="F175" s="954">
        <v>15200</v>
      </c>
      <c r="G175" s="954">
        <v>15200</v>
      </c>
      <c r="H175" s="954">
        <v>15200</v>
      </c>
    </row>
    <row r="176" spans="2:8" x14ac:dyDescent="0.2">
      <c r="B176" s="444" t="str">
        <f t="shared" si="19"/>
        <v>19-21QuarterlyHampshire</v>
      </c>
      <c r="C176" s="914" t="s">
        <v>6</v>
      </c>
      <c r="D176" s="954">
        <v>39200</v>
      </c>
      <c r="E176" s="954">
        <v>39200</v>
      </c>
      <c r="F176" s="954">
        <v>39200</v>
      </c>
      <c r="G176" s="954">
        <v>39200</v>
      </c>
      <c r="H176" s="954">
        <v>39200</v>
      </c>
    </row>
    <row r="177" spans="2:8" x14ac:dyDescent="0.2">
      <c r="B177" s="444" t="str">
        <f t="shared" si="19"/>
        <v>19-21QuarterlyIsle of Wight</v>
      </c>
      <c r="C177" s="913" t="s">
        <v>1</v>
      </c>
      <c r="D177" s="954">
        <v>3800</v>
      </c>
      <c r="E177" s="954">
        <v>3800</v>
      </c>
      <c r="F177" s="954">
        <v>3800</v>
      </c>
      <c r="G177" s="954">
        <v>3800</v>
      </c>
      <c r="H177" s="954">
        <v>3800</v>
      </c>
    </row>
    <row r="178" spans="2:8" x14ac:dyDescent="0.2">
      <c r="B178" s="444" t="str">
        <f t="shared" si="19"/>
        <v>19-21QuarterlyKent</v>
      </c>
      <c r="C178" s="913" t="s">
        <v>9</v>
      </c>
      <c r="D178" s="954">
        <v>52300</v>
      </c>
      <c r="E178" s="954">
        <v>52300</v>
      </c>
      <c r="F178" s="954">
        <v>52300</v>
      </c>
      <c r="G178" s="954">
        <v>52300</v>
      </c>
      <c r="H178" s="954">
        <v>52300</v>
      </c>
    </row>
    <row r="179" spans="2:8" x14ac:dyDescent="0.2">
      <c r="B179" s="444" t="str">
        <f t="shared" si="19"/>
        <v>19-21QuarterlyMedway</v>
      </c>
      <c r="C179" s="913" t="s">
        <v>2</v>
      </c>
      <c r="D179" s="954">
        <v>9600</v>
      </c>
      <c r="E179" s="954">
        <v>9600</v>
      </c>
      <c r="F179" s="954">
        <v>9600</v>
      </c>
      <c r="G179" s="954">
        <v>9600</v>
      </c>
      <c r="H179" s="954">
        <v>9600</v>
      </c>
    </row>
    <row r="180" spans="2:8" x14ac:dyDescent="0.2">
      <c r="B180" s="444" t="str">
        <f t="shared" si="19"/>
        <v>19-21QuarterlyMilton Keynes</v>
      </c>
      <c r="C180" s="913" t="s">
        <v>10</v>
      </c>
      <c r="D180" s="954">
        <v>6500</v>
      </c>
      <c r="E180" s="954">
        <v>6500</v>
      </c>
      <c r="F180" s="954">
        <v>6500</v>
      </c>
      <c r="G180" s="954">
        <v>6500</v>
      </c>
      <c r="H180" s="954">
        <v>6500</v>
      </c>
    </row>
    <row r="181" spans="2:8" x14ac:dyDescent="0.2">
      <c r="B181" s="444" t="str">
        <f t="shared" si="19"/>
        <v>19-21QuarterlyOxfordshire</v>
      </c>
      <c r="C181" s="913" t="s">
        <v>11</v>
      </c>
      <c r="D181" s="954">
        <v>29900</v>
      </c>
      <c r="E181" s="954">
        <v>29900</v>
      </c>
      <c r="F181" s="954">
        <v>29900</v>
      </c>
      <c r="G181" s="954">
        <v>29900</v>
      </c>
      <c r="H181" s="954">
        <v>29900</v>
      </c>
    </row>
    <row r="182" spans="2:8" x14ac:dyDescent="0.2">
      <c r="B182" s="444" t="str">
        <f t="shared" si="19"/>
        <v>19-21QuarterlyPortsmouth</v>
      </c>
      <c r="C182" s="913" t="s">
        <v>12</v>
      </c>
      <c r="D182" s="954">
        <v>16400</v>
      </c>
      <c r="E182" s="954">
        <v>16400</v>
      </c>
      <c r="F182" s="954">
        <v>16400</v>
      </c>
      <c r="G182" s="954">
        <v>16400</v>
      </c>
      <c r="H182" s="954">
        <v>16400</v>
      </c>
    </row>
    <row r="183" spans="2:8" x14ac:dyDescent="0.2">
      <c r="B183" s="444" t="str">
        <f t="shared" si="19"/>
        <v>19-21QuarterlyReading</v>
      </c>
      <c r="C183" s="913" t="s">
        <v>3</v>
      </c>
      <c r="D183" s="954">
        <v>9400</v>
      </c>
      <c r="E183" s="954">
        <v>9400</v>
      </c>
      <c r="F183" s="954">
        <v>9400</v>
      </c>
      <c r="G183" s="954">
        <v>9400</v>
      </c>
      <c r="H183" s="954">
        <v>9400</v>
      </c>
    </row>
    <row r="184" spans="2:8" x14ac:dyDescent="0.2">
      <c r="B184" s="444" t="str">
        <f t="shared" si="19"/>
        <v>19-21QuarterlySlough</v>
      </c>
      <c r="C184" s="913" t="s">
        <v>13</v>
      </c>
      <c r="D184" s="954">
        <v>4200</v>
      </c>
      <c r="E184" s="954">
        <v>4200</v>
      </c>
      <c r="F184" s="954">
        <v>4200</v>
      </c>
      <c r="G184" s="954">
        <v>4200</v>
      </c>
      <c r="H184" s="954">
        <v>4200</v>
      </c>
    </row>
    <row r="185" spans="2:8" x14ac:dyDescent="0.2">
      <c r="B185" s="444" t="str">
        <f t="shared" si="19"/>
        <v>19-21QuarterlySomerset</v>
      </c>
      <c r="C185" s="913" t="s">
        <v>93</v>
      </c>
      <c r="D185" s="954">
        <v>14500</v>
      </c>
      <c r="E185" s="954">
        <v>14500</v>
      </c>
      <c r="F185" s="954">
        <v>14500</v>
      </c>
      <c r="G185" s="954">
        <v>14500</v>
      </c>
      <c r="H185" s="954">
        <v>14500</v>
      </c>
    </row>
    <row r="186" spans="2:8" x14ac:dyDescent="0.2">
      <c r="B186" s="444" t="str">
        <f t="shared" si="19"/>
        <v>19-21QuarterlySouthampton</v>
      </c>
      <c r="C186" s="913" t="s">
        <v>14</v>
      </c>
      <c r="D186" s="954">
        <v>22000</v>
      </c>
      <c r="E186" s="954">
        <v>22000</v>
      </c>
      <c r="F186" s="954">
        <v>22000</v>
      </c>
      <c r="G186" s="954">
        <v>22000</v>
      </c>
      <c r="H186" s="954">
        <v>22000</v>
      </c>
    </row>
    <row r="187" spans="2:8" x14ac:dyDescent="0.2">
      <c r="B187" s="444" t="str">
        <f t="shared" si="19"/>
        <v>19-21QuarterlySurrey</v>
      </c>
      <c r="C187" s="913" t="s">
        <v>7</v>
      </c>
      <c r="D187" s="954">
        <v>37500</v>
      </c>
      <c r="E187" s="954">
        <v>37500</v>
      </c>
      <c r="F187" s="954">
        <v>37500</v>
      </c>
      <c r="G187" s="954">
        <v>37500</v>
      </c>
      <c r="H187" s="954">
        <v>37500</v>
      </c>
    </row>
    <row r="188" spans="2:8" x14ac:dyDescent="0.2">
      <c r="B188" s="444" t="str">
        <f t="shared" si="19"/>
        <v>19-21QuarterlySwindon</v>
      </c>
      <c r="C188" s="913" t="s">
        <v>114</v>
      </c>
      <c r="D188" s="954">
        <v>6300</v>
      </c>
      <c r="E188" s="954">
        <v>6300</v>
      </c>
      <c r="F188" s="954">
        <v>6300</v>
      </c>
      <c r="G188" s="954">
        <v>6300</v>
      </c>
      <c r="H188" s="954">
        <v>6300</v>
      </c>
    </row>
    <row r="189" spans="2:8" x14ac:dyDescent="0.2">
      <c r="B189" s="444" t="str">
        <f t="shared" si="19"/>
        <v>19-21QuarterlyTorbay</v>
      </c>
      <c r="C189" s="913" t="s">
        <v>115</v>
      </c>
      <c r="D189" s="954">
        <v>3500</v>
      </c>
      <c r="E189" s="954">
        <v>3500</v>
      </c>
      <c r="F189" s="954">
        <v>3500</v>
      </c>
      <c r="G189" s="954">
        <v>3500</v>
      </c>
      <c r="H189" s="954">
        <v>3500</v>
      </c>
    </row>
    <row r="190" spans="2:8" x14ac:dyDescent="0.2">
      <c r="B190" s="444" t="str">
        <f t="shared" si="19"/>
        <v>19-21QuarterlyWest Berkshire</v>
      </c>
      <c r="C190" s="913" t="s">
        <v>15</v>
      </c>
      <c r="D190" s="954">
        <v>3800</v>
      </c>
      <c r="E190" s="954">
        <v>3800</v>
      </c>
      <c r="F190" s="954">
        <v>3800</v>
      </c>
      <c r="G190" s="954">
        <v>3800</v>
      </c>
      <c r="H190" s="954">
        <v>3800</v>
      </c>
    </row>
    <row r="191" spans="2:8" x14ac:dyDescent="0.2">
      <c r="B191" s="444" t="str">
        <f t="shared" si="19"/>
        <v>19-21QuarterlyWest Sussex</v>
      </c>
      <c r="C191" s="913" t="s">
        <v>5</v>
      </c>
      <c r="D191" s="954">
        <v>22500</v>
      </c>
      <c r="E191" s="954">
        <v>22500</v>
      </c>
      <c r="F191" s="954">
        <v>22500</v>
      </c>
      <c r="G191" s="954">
        <v>22500</v>
      </c>
      <c r="H191" s="954">
        <v>22500</v>
      </c>
    </row>
    <row r="192" spans="2:8" x14ac:dyDescent="0.2">
      <c r="B192" s="444" t="str">
        <f t="shared" si="19"/>
        <v>19-21QuarterlyWindsor &amp; Maidenhead</v>
      </c>
      <c r="C192" s="914" t="s">
        <v>30</v>
      </c>
      <c r="D192" s="954">
        <v>3200</v>
      </c>
      <c r="E192" s="954">
        <v>3200</v>
      </c>
      <c r="F192" s="954">
        <v>3200</v>
      </c>
      <c r="G192" s="954">
        <v>3200</v>
      </c>
      <c r="H192" s="954">
        <v>3200</v>
      </c>
    </row>
    <row r="193" spans="2:10" x14ac:dyDescent="0.2">
      <c r="B193" s="444" t="str">
        <f t="shared" si="19"/>
        <v>19-21QuarterlyWokingham</v>
      </c>
      <c r="C193" s="913" t="s">
        <v>16</v>
      </c>
      <c r="D193" s="954">
        <v>4400</v>
      </c>
      <c r="E193" s="954">
        <v>4400</v>
      </c>
      <c r="F193" s="954">
        <v>4400</v>
      </c>
      <c r="G193" s="954">
        <v>4400</v>
      </c>
      <c r="H193" s="954">
        <v>4400</v>
      </c>
      <c r="J193" s="922"/>
    </row>
    <row r="194" spans="2:10" x14ac:dyDescent="0.2">
      <c r="B194" s="444" t="str">
        <f t="shared" si="19"/>
        <v>19-21QuarterlySouth East</v>
      </c>
      <c r="C194" s="915" t="s">
        <v>74</v>
      </c>
      <c r="D194" s="954">
        <v>317600</v>
      </c>
      <c r="E194" s="954">
        <v>317600</v>
      </c>
      <c r="F194" s="954">
        <v>317600</v>
      </c>
      <c r="G194" s="954">
        <v>317600</v>
      </c>
      <c r="H194" s="954">
        <v>317600</v>
      </c>
      <c r="J194" s="922"/>
    </row>
    <row r="195" spans="2:10" x14ac:dyDescent="0.2">
      <c r="B195" s="444" t="str">
        <f t="shared" si="19"/>
        <v>19-21QuarterlyEngland</v>
      </c>
      <c r="C195" s="916" t="s">
        <v>126</v>
      </c>
      <c r="D195" s="954">
        <v>2020500</v>
      </c>
      <c r="E195" s="954">
        <v>2020500</v>
      </c>
      <c r="F195" s="954">
        <v>2020500</v>
      </c>
      <c r="G195" s="954">
        <v>2020500</v>
      </c>
      <c r="H195" s="954">
        <v>2020500</v>
      </c>
      <c r="J195" s="922"/>
    </row>
    <row r="196" spans="2:10" x14ac:dyDescent="0.2">
      <c r="J196" s="922"/>
    </row>
    <row r="197" spans="2:10" x14ac:dyDescent="0.2">
      <c r="B197" s="933" t="s">
        <v>749</v>
      </c>
      <c r="C197" s="751" t="s">
        <v>752</v>
      </c>
      <c r="J197" s="922"/>
    </row>
    <row r="198" spans="2:10" x14ac:dyDescent="0.2">
      <c r="B198" s="917" t="s">
        <v>740</v>
      </c>
      <c r="C198" s="444" t="s">
        <v>660</v>
      </c>
      <c r="D198" s="1208">
        <f>D$27</f>
        <v>42522</v>
      </c>
      <c r="E198" s="1208">
        <f t="shared" ref="E198:H198" si="20">E$27</f>
        <v>42614</v>
      </c>
      <c r="F198" s="1208">
        <f t="shared" si="20"/>
        <v>42705</v>
      </c>
      <c r="G198" s="1208">
        <f t="shared" si="20"/>
        <v>42795</v>
      </c>
      <c r="H198" s="1208">
        <f t="shared" si="20"/>
        <v>42887</v>
      </c>
      <c r="J198" s="922"/>
    </row>
    <row r="199" spans="2:10" x14ac:dyDescent="0.2">
      <c r="B199" s="444" t="str">
        <f t="shared" ref="B199:B223" si="21">CONCATENATE($B$197,$C$198,C199)</f>
        <v>10-17Annual</v>
      </c>
      <c r="C199" s="912"/>
      <c r="D199" s="907" t="s">
        <v>97</v>
      </c>
      <c r="E199" s="1206" t="s">
        <v>125</v>
      </c>
      <c r="F199" s="1206" t="s">
        <v>186</v>
      </c>
      <c r="G199" s="1206" t="s">
        <v>222</v>
      </c>
      <c r="H199" s="907" t="s">
        <v>1013</v>
      </c>
      <c r="J199" s="922"/>
    </row>
    <row r="200" spans="2:10" x14ac:dyDescent="0.2">
      <c r="B200" s="444" t="str">
        <f t="shared" si="21"/>
        <v>10-17AnnualBracknell Forest</v>
      </c>
      <c r="C200" s="913" t="s">
        <v>0</v>
      </c>
      <c r="D200" s="911">
        <v>11700</v>
      </c>
      <c r="E200" s="911">
        <v>11800</v>
      </c>
      <c r="F200" s="911">
        <v>12000</v>
      </c>
      <c r="G200" s="911">
        <v>12100</v>
      </c>
      <c r="H200" s="954">
        <v>12400</v>
      </c>
      <c r="J200" s="922"/>
    </row>
    <row r="201" spans="2:10" x14ac:dyDescent="0.2">
      <c r="B201" s="444" t="str">
        <f t="shared" si="21"/>
        <v>10-17AnnualBrighton &amp; Hove</v>
      </c>
      <c r="C201" s="914" t="s">
        <v>31</v>
      </c>
      <c r="D201" s="911">
        <v>21500</v>
      </c>
      <c r="E201" s="911">
        <v>21600</v>
      </c>
      <c r="F201" s="911">
        <v>21800</v>
      </c>
      <c r="G201" s="911">
        <v>22000</v>
      </c>
      <c r="H201" s="954">
        <v>22500</v>
      </c>
      <c r="J201" s="922"/>
    </row>
    <row r="202" spans="2:10" x14ac:dyDescent="0.2">
      <c r="B202" s="444" t="str">
        <f t="shared" si="21"/>
        <v>10-17AnnualBuckinghamshire</v>
      </c>
      <c r="C202" s="913" t="s">
        <v>8</v>
      </c>
      <c r="D202" s="911">
        <v>52200</v>
      </c>
      <c r="E202" s="911">
        <v>52500</v>
      </c>
      <c r="F202" s="911">
        <v>53100</v>
      </c>
      <c r="G202" s="911">
        <v>53800</v>
      </c>
      <c r="H202" s="954">
        <v>55000</v>
      </c>
      <c r="J202" s="922"/>
    </row>
    <row r="203" spans="2:10" x14ac:dyDescent="0.2">
      <c r="B203" s="444" t="str">
        <f t="shared" si="21"/>
        <v>10-17AnnualEast Sussex</v>
      </c>
      <c r="C203" s="913" t="s">
        <v>4</v>
      </c>
      <c r="D203" s="911">
        <v>47900</v>
      </c>
      <c r="E203" s="911">
        <v>47400</v>
      </c>
      <c r="F203" s="911">
        <v>47400</v>
      </c>
      <c r="G203" s="911">
        <v>47500</v>
      </c>
      <c r="H203" s="954">
        <v>48100</v>
      </c>
      <c r="J203" s="922"/>
    </row>
    <row r="204" spans="2:10" x14ac:dyDescent="0.2">
      <c r="B204" s="444" t="str">
        <f t="shared" si="21"/>
        <v>10-17AnnualHampshire</v>
      </c>
      <c r="C204" s="914" t="s">
        <v>6</v>
      </c>
      <c r="D204" s="911">
        <v>123800</v>
      </c>
      <c r="E204" s="911">
        <v>123200</v>
      </c>
      <c r="F204" s="911">
        <v>123600</v>
      </c>
      <c r="G204" s="911">
        <v>124000</v>
      </c>
      <c r="H204" s="954">
        <v>125800</v>
      </c>
      <c r="J204" s="922"/>
    </row>
    <row r="205" spans="2:10" x14ac:dyDescent="0.2">
      <c r="B205" s="444" t="str">
        <f t="shared" si="21"/>
        <v>10-17AnnualIsle of Wight</v>
      </c>
      <c r="C205" s="913" t="s">
        <v>1</v>
      </c>
      <c r="D205" s="911">
        <v>12000</v>
      </c>
      <c r="E205" s="911">
        <v>11600</v>
      </c>
      <c r="F205" s="911">
        <v>11600</v>
      </c>
      <c r="G205" s="911">
        <v>11500</v>
      </c>
      <c r="H205" s="954">
        <v>11400</v>
      </c>
      <c r="J205" s="922"/>
    </row>
    <row r="206" spans="2:10" x14ac:dyDescent="0.2">
      <c r="B206" s="444" t="str">
        <f t="shared" si="21"/>
        <v>10-17AnnualKent</v>
      </c>
      <c r="C206" s="913" t="s">
        <v>9</v>
      </c>
      <c r="D206" s="911">
        <v>144800</v>
      </c>
      <c r="E206" s="911">
        <v>144200</v>
      </c>
      <c r="F206" s="911">
        <v>144500</v>
      </c>
      <c r="G206" s="911">
        <v>146000</v>
      </c>
      <c r="H206" s="954">
        <v>149100</v>
      </c>
      <c r="J206" s="922"/>
    </row>
    <row r="207" spans="2:10" x14ac:dyDescent="0.2">
      <c r="B207" s="444" t="str">
        <f t="shared" si="21"/>
        <v>10-17AnnualMedway</v>
      </c>
      <c r="C207" s="913" t="s">
        <v>2</v>
      </c>
      <c r="D207" s="911">
        <v>26900</v>
      </c>
      <c r="E207" s="911">
        <v>26700</v>
      </c>
      <c r="F207" s="911">
        <v>26800</v>
      </c>
      <c r="G207" s="911">
        <v>26800</v>
      </c>
      <c r="H207" s="954">
        <v>27000</v>
      </c>
      <c r="J207" s="922"/>
    </row>
    <row r="208" spans="2:10" x14ac:dyDescent="0.2">
      <c r="B208" s="444" t="str">
        <f t="shared" si="21"/>
        <v>10-17AnnualMilton Keynes</v>
      </c>
      <c r="C208" s="913" t="s">
        <v>10</v>
      </c>
      <c r="D208" s="911">
        <v>25600</v>
      </c>
      <c r="E208" s="911">
        <v>25800</v>
      </c>
      <c r="F208" s="911">
        <v>26400</v>
      </c>
      <c r="G208" s="911">
        <v>27000</v>
      </c>
      <c r="H208" s="954">
        <v>28000</v>
      </c>
      <c r="J208" s="922"/>
    </row>
    <row r="209" spans="2:10" x14ac:dyDescent="0.2">
      <c r="B209" s="444" t="str">
        <f t="shared" si="21"/>
        <v>10-17AnnualOxfordshire</v>
      </c>
      <c r="C209" s="913" t="s">
        <v>11</v>
      </c>
      <c r="D209" s="911">
        <v>59700</v>
      </c>
      <c r="E209" s="911">
        <v>59800</v>
      </c>
      <c r="F209" s="911">
        <v>60500</v>
      </c>
      <c r="G209" s="911">
        <v>61400</v>
      </c>
      <c r="H209" s="954">
        <v>62600</v>
      </c>
      <c r="J209" s="922"/>
    </row>
    <row r="210" spans="2:10" x14ac:dyDescent="0.2">
      <c r="B210" s="444" t="str">
        <f t="shared" si="21"/>
        <v>10-17AnnualPortsmouth</v>
      </c>
      <c r="C210" s="913" t="s">
        <v>12</v>
      </c>
      <c r="D210" s="911">
        <v>17300</v>
      </c>
      <c r="E210" s="911">
        <v>17300</v>
      </c>
      <c r="F210" s="911">
        <v>17500</v>
      </c>
      <c r="G210" s="911">
        <v>17900</v>
      </c>
      <c r="H210" s="954">
        <v>18100</v>
      </c>
      <c r="J210" s="922"/>
    </row>
    <row r="211" spans="2:10" x14ac:dyDescent="0.2">
      <c r="B211" s="444" t="str">
        <f t="shared" si="21"/>
        <v>10-17AnnualReading</v>
      </c>
      <c r="C211" s="913" t="s">
        <v>3</v>
      </c>
      <c r="D211" s="911">
        <v>12800</v>
      </c>
      <c r="E211" s="911">
        <v>13100</v>
      </c>
      <c r="F211" s="911">
        <v>13400</v>
      </c>
      <c r="G211" s="911">
        <v>13800</v>
      </c>
      <c r="H211" s="954">
        <v>14300</v>
      </c>
      <c r="J211" s="922"/>
    </row>
    <row r="212" spans="2:10" x14ac:dyDescent="0.2">
      <c r="B212" s="444" t="str">
        <f t="shared" si="21"/>
        <v>10-17AnnualSlough</v>
      </c>
      <c r="C212" s="913" t="s">
        <v>13</v>
      </c>
      <c r="D212" s="911">
        <v>14700</v>
      </c>
      <c r="E212" s="911">
        <v>15000</v>
      </c>
      <c r="F212" s="911">
        <v>15500</v>
      </c>
      <c r="G212" s="911">
        <v>16300</v>
      </c>
      <c r="H212" s="954">
        <v>16800</v>
      </c>
      <c r="J212" s="922"/>
    </row>
    <row r="213" spans="2:10" x14ac:dyDescent="0.2">
      <c r="B213" s="444" t="str">
        <f t="shared" si="21"/>
        <v>10-17AnnualSomerset</v>
      </c>
      <c r="C213" s="913" t="s">
        <v>93</v>
      </c>
      <c r="D213" s="911">
        <v>49400</v>
      </c>
      <c r="E213" s="911">
        <v>49000</v>
      </c>
      <c r="F213" s="911">
        <v>48900</v>
      </c>
      <c r="G213" s="911">
        <v>49000</v>
      </c>
      <c r="H213" s="954">
        <v>49500</v>
      </c>
      <c r="J213" s="922"/>
    </row>
    <row r="214" spans="2:10" x14ac:dyDescent="0.2">
      <c r="B214" s="444" t="str">
        <f t="shared" si="21"/>
        <v>10-17AnnualSouthampton</v>
      </c>
      <c r="C214" s="913" t="s">
        <v>14</v>
      </c>
      <c r="D214" s="911">
        <v>18500</v>
      </c>
      <c r="E214" s="911">
        <v>18300</v>
      </c>
      <c r="F214" s="911">
        <v>18600</v>
      </c>
      <c r="G214" s="911">
        <v>19000</v>
      </c>
      <c r="H214" s="954">
        <v>19600</v>
      </c>
      <c r="J214" s="922"/>
    </row>
    <row r="215" spans="2:10" x14ac:dyDescent="0.2">
      <c r="B215" s="444" t="str">
        <f t="shared" si="21"/>
        <v>10-17AnnualSurrey</v>
      </c>
      <c r="C215" s="913" t="s">
        <v>7</v>
      </c>
      <c r="D215" s="911">
        <v>108300</v>
      </c>
      <c r="E215" s="911">
        <v>108800</v>
      </c>
      <c r="F215" s="911">
        <v>110200</v>
      </c>
      <c r="G215" s="911">
        <v>111600</v>
      </c>
      <c r="H215" s="954">
        <v>114100</v>
      </c>
      <c r="J215" s="922"/>
    </row>
    <row r="216" spans="2:10" x14ac:dyDescent="0.2">
      <c r="B216" s="444" t="str">
        <f t="shared" si="21"/>
        <v>10-17AnnualSwindon</v>
      </c>
      <c r="C216" s="913" t="s">
        <v>114</v>
      </c>
      <c r="D216" s="911">
        <v>19700</v>
      </c>
      <c r="E216" s="911">
        <v>19700</v>
      </c>
      <c r="F216" s="911">
        <v>19900</v>
      </c>
      <c r="G216" s="911">
        <v>20200</v>
      </c>
      <c r="H216" s="954">
        <v>20700</v>
      </c>
      <c r="J216" s="922"/>
    </row>
    <row r="217" spans="2:10" x14ac:dyDescent="0.2">
      <c r="B217" s="444" t="str">
        <f t="shared" si="21"/>
        <v>10-17AnnualTorbay</v>
      </c>
      <c r="C217" s="913" t="s">
        <v>115</v>
      </c>
      <c r="D217" s="911">
        <v>11100</v>
      </c>
      <c r="E217" s="911">
        <v>11000</v>
      </c>
      <c r="F217" s="911">
        <v>10900</v>
      </c>
      <c r="G217" s="911">
        <v>10900</v>
      </c>
      <c r="H217" s="954">
        <v>11100</v>
      </c>
    </row>
    <row r="218" spans="2:10" x14ac:dyDescent="0.2">
      <c r="B218" s="444" t="str">
        <f t="shared" si="21"/>
        <v>10-17AnnualWest Berkshire</v>
      </c>
      <c r="C218" s="913" t="s">
        <v>15</v>
      </c>
      <c r="D218" s="911">
        <v>16000</v>
      </c>
      <c r="E218" s="911">
        <v>16000</v>
      </c>
      <c r="F218" s="911">
        <v>16100</v>
      </c>
      <c r="G218" s="911">
        <v>16200</v>
      </c>
      <c r="H218" s="954">
        <v>16300</v>
      </c>
    </row>
    <row r="219" spans="2:10" x14ac:dyDescent="0.2">
      <c r="B219" s="444" t="str">
        <f t="shared" si="21"/>
        <v>10-17AnnualWest Sussex</v>
      </c>
      <c r="C219" s="913" t="s">
        <v>5</v>
      </c>
      <c r="D219" s="911">
        <v>73100</v>
      </c>
      <c r="E219" s="911">
        <v>73200</v>
      </c>
      <c r="F219" s="911">
        <v>73400</v>
      </c>
      <c r="G219" s="911">
        <v>74200</v>
      </c>
      <c r="H219" s="954">
        <v>75700</v>
      </c>
    </row>
    <row r="220" spans="2:10" x14ac:dyDescent="0.2">
      <c r="B220" s="444" t="str">
        <f t="shared" si="21"/>
        <v>10-17AnnualWindsor &amp; Maidenhead</v>
      </c>
      <c r="C220" s="914" t="s">
        <v>30</v>
      </c>
      <c r="D220" s="911">
        <v>14800</v>
      </c>
      <c r="E220" s="911">
        <v>15100</v>
      </c>
      <c r="F220" s="911">
        <v>15400</v>
      </c>
      <c r="G220" s="911">
        <v>15700</v>
      </c>
      <c r="H220" s="954">
        <v>16100</v>
      </c>
    </row>
    <row r="221" spans="2:10" x14ac:dyDescent="0.2">
      <c r="B221" s="444" t="str">
        <f t="shared" si="21"/>
        <v>10-17AnnualWokingham</v>
      </c>
      <c r="C221" s="913" t="s">
        <v>16</v>
      </c>
      <c r="D221" s="911">
        <v>15900</v>
      </c>
      <c r="E221" s="911">
        <v>16100</v>
      </c>
      <c r="F221" s="911">
        <v>16400</v>
      </c>
      <c r="G221" s="911">
        <v>16800</v>
      </c>
      <c r="H221" s="954">
        <v>17500</v>
      </c>
    </row>
    <row r="222" spans="2:10" x14ac:dyDescent="0.2">
      <c r="B222" s="444" t="str">
        <f t="shared" si="21"/>
        <v>10-17AnnualSouth East</v>
      </c>
      <c r="C222" s="915" t="s">
        <v>74</v>
      </c>
      <c r="D222" s="911">
        <v>817500</v>
      </c>
      <c r="E222" s="911">
        <v>817500</v>
      </c>
      <c r="F222" s="911">
        <v>824300</v>
      </c>
      <c r="G222" s="911">
        <v>833500</v>
      </c>
      <c r="H222" s="954">
        <v>850400</v>
      </c>
    </row>
    <row r="223" spans="2:10" x14ac:dyDescent="0.2">
      <c r="B223" s="444" t="str">
        <f t="shared" si="21"/>
        <v>10-17AnnualEngland and Wales</v>
      </c>
      <c r="C223" s="916" t="s">
        <v>950</v>
      </c>
      <c r="D223" s="911">
        <v>5164000</v>
      </c>
      <c r="E223" s="911">
        <v>5157900</v>
      </c>
      <c r="F223" s="911">
        <v>5183200</v>
      </c>
      <c r="G223" s="911">
        <v>5257400</v>
      </c>
      <c r="H223" s="954">
        <v>5360700</v>
      </c>
    </row>
    <row r="225" spans="2:8" x14ac:dyDescent="0.2">
      <c r="B225" s="933" t="s">
        <v>749</v>
      </c>
      <c r="C225" s="751" t="s">
        <v>752</v>
      </c>
      <c r="D225" s="924" t="str">
        <f>D$22</f>
        <v>2018-19</v>
      </c>
      <c r="E225" s="924" t="str">
        <f t="shared" ref="E225:H225" si="22">E$22</f>
        <v>2018-19</v>
      </c>
      <c r="F225" s="924" t="str">
        <f t="shared" si="22"/>
        <v>2018-19</v>
      </c>
      <c r="G225" s="924" t="str">
        <f t="shared" si="22"/>
        <v>2018-19</v>
      </c>
      <c r="H225" s="924" t="str">
        <f t="shared" si="22"/>
        <v>2019-20</v>
      </c>
    </row>
    <row r="226" spans="2:8" x14ac:dyDescent="0.2">
      <c r="B226" s="917" t="s">
        <v>740</v>
      </c>
      <c r="C226" s="444" t="s">
        <v>666</v>
      </c>
      <c r="D226" s="924" t="str">
        <f>D$23</f>
        <v>Q1</v>
      </c>
      <c r="E226" s="924" t="str">
        <f t="shared" ref="E226:H226" si="23">E$23</f>
        <v>Q2</v>
      </c>
      <c r="F226" s="924" t="str">
        <f t="shared" si="23"/>
        <v>Q3</v>
      </c>
      <c r="G226" s="924" t="str">
        <f t="shared" si="23"/>
        <v>Q4</v>
      </c>
      <c r="H226" s="924" t="str">
        <f t="shared" si="23"/>
        <v>Q1</v>
      </c>
    </row>
    <row r="227" spans="2:8" x14ac:dyDescent="0.2">
      <c r="B227" s="444" t="str">
        <f t="shared" ref="B227:B251" si="24">CONCATENATE($B$225,$C$226,C227)</f>
        <v>10-17Quarterly</v>
      </c>
      <c r="C227" s="912"/>
      <c r="D227" s="1206" t="s">
        <v>1013</v>
      </c>
      <c r="E227" s="1206" t="s">
        <v>1013</v>
      </c>
      <c r="F227" s="1206" t="s">
        <v>1013</v>
      </c>
      <c r="G227" s="1206" t="s">
        <v>1013</v>
      </c>
      <c r="H227" s="1206" t="s">
        <v>1013</v>
      </c>
    </row>
    <row r="228" spans="2:8" x14ac:dyDescent="0.2">
      <c r="B228" s="444" t="str">
        <f t="shared" si="24"/>
        <v>10-17QuarterlyBracknell Forest</v>
      </c>
      <c r="C228" s="913" t="s">
        <v>0</v>
      </c>
      <c r="D228" s="911">
        <v>12400</v>
      </c>
      <c r="E228" s="911">
        <v>12400</v>
      </c>
      <c r="F228" s="911">
        <v>12400</v>
      </c>
      <c r="G228" s="911">
        <v>12400</v>
      </c>
      <c r="H228" s="954">
        <v>12400</v>
      </c>
    </row>
    <row r="229" spans="2:8" x14ac:dyDescent="0.2">
      <c r="B229" s="444" t="str">
        <f t="shared" si="24"/>
        <v>10-17QuarterlyBrighton &amp; Hove</v>
      </c>
      <c r="C229" s="914" t="s">
        <v>31</v>
      </c>
      <c r="D229" s="911">
        <v>22500</v>
      </c>
      <c r="E229" s="911">
        <v>22500</v>
      </c>
      <c r="F229" s="911">
        <v>22500</v>
      </c>
      <c r="G229" s="911">
        <v>22500</v>
      </c>
      <c r="H229" s="954">
        <v>22500</v>
      </c>
    </row>
    <row r="230" spans="2:8" x14ac:dyDescent="0.2">
      <c r="B230" s="444" t="str">
        <f t="shared" si="24"/>
        <v>10-17QuarterlyBuckinghamshire</v>
      </c>
      <c r="C230" s="913" t="s">
        <v>8</v>
      </c>
      <c r="D230" s="911">
        <v>55000</v>
      </c>
      <c r="E230" s="911">
        <v>55000</v>
      </c>
      <c r="F230" s="911">
        <v>55000</v>
      </c>
      <c r="G230" s="911">
        <v>55000</v>
      </c>
      <c r="H230" s="954">
        <v>55000</v>
      </c>
    </row>
    <row r="231" spans="2:8" x14ac:dyDescent="0.2">
      <c r="B231" s="444" t="str">
        <f t="shared" si="24"/>
        <v>10-17QuarterlyEast Sussex</v>
      </c>
      <c r="C231" s="913" t="s">
        <v>4</v>
      </c>
      <c r="D231" s="911">
        <v>48100</v>
      </c>
      <c r="E231" s="911">
        <v>48100</v>
      </c>
      <c r="F231" s="911">
        <v>48100</v>
      </c>
      <c r="G231" s="911">
        <v>48100</v>
      </c>
      <c r="H231" s="954">
        <v>48100</v>
      </c>
    </row>
    <row r="232" spans="2:8" x14ac:dyDescent="0.2">
      <c r="B232" s="444" t="str">
        <f t="shared" si="24"/>
        <v>10-17QuarterlyHampshire</v>
      </c>
      <c r="C232" s="914" t="s">
        <v>6</v>
      </c>
      <c r="D232" s="911">
        <v>125800</v>
      </c>
      <c r="E232" s="911">
        <v>125800</v>
      </c>
      <c r="F232" s="911">
        <v>125800</v>
      </c>
      <c r="G232" s="911">
        <v>125800</v>
      </c>
      <c r="H232" s="954">
        <v>125800</v>
      </c>
    </row>
    <row r="233" spans="2:8" x14ac:dyDescent="0.2">
      <c r="B233" s="444" t="str">
        <f t="shared" si="24"/>
        <v>10-17QuarterlyIsle of Wight</v>
      </c>
      <c r="C233" s="913" t="s">
        <v>1</v>
      </c>
      <c r="D233" s="911">
        <v>11400</v>
      </c>
      <c r="E233" s="911">
        <v>11400</v>
      </c>
      <c r="F233" s="911">
        <v>11400</v>
      </c>
      <c r="G233" s="911">
        <v>11400</v>
      </c>
      <c r="H233" s="954">
        <v>11400</v>
      </c>
    </row>
    <row r="234" spans="2:8" x14ac:dyDescent="0.2">
      <c r="B234" s="444" t="str">
        <f t="shared" si="24"/>
        <v>10-17QuarterlyKent</v>
      </c>
      <c r="C234" s="913" t="s">
        <v>9</v>
      </c>
      <c r="D234" s="911">
        <v>149100</v>
      </c>
      <c r="E234" s="911">
        <v>149100</v>
      </c>
      <c r="F234" s="911">
        <v>149100</v>
      </c>
      <c r="G234" s="911">
        <v>149100</v>
      </c>
      <c r="H234" s="954">
        <v>149100</v>
      </c>
    </row>
    <row r="235" spans="2:8" x14ac:dyDescent="0.2">
      <c r="B235" s="444" t="str">
        <f t="shared" si="24"/>
        <v>10-17QuarterlyMedway</v>
      </c>
      <c r="C235" s="913" t="s">
        <v>2</v>
      </c>
      <c r="D235" s="911">
        <v>27000</v>
      </c>
      <c r="E235" s="911">
        <v>27000</v>
      </c>
      <c r="F235" s="911">
        <v>27000</v>
      </c>
      <c r="G235" s="911">
        <v>27000</v>
      </c>
      <c r="H235" s="954">
        <v>27000</v>
      </c>
    </row>
    <row r="236" spans="2:8" x14ac:dyDescent="0.2">
      <c r="B236" s="444" t="str">
        <f t="shared" si="24"/>
        <v>10-17QuarterlyMilton Keynes</v>
      </c>
      <c r="C236" s="913" t="s">
        <v>10</v>
      </c>
      <c r="D236" s="911">
        <v>28000</v>
      </c>
      <c r="E236" s="911">
        <v>28000</v>
      </c>
      <c r="F236" s="911">
        <v>28000</v>
      </c>
      <c r="G236" s="911">
        <v>28000</v>
      </c>
      <c r="H236" s="954">
        <v>28000</v>
      </c>
    </row>
    <row r="237" spans="2:8" x14ac:dyDescent="0.2">
      <c r="B237" s="444" t="str">
        <f t="shared" si="24"/>
        <v>10-17QuarterlyOxfordshire</v>
      </c>
      <c r="C237" s="913" t="s">
        <v>11</v>
      </c>
      <c r="D237" s="911">
        <v>62600</v>
      </c>
      <c r="E237" s="911">
        <v>62600</v>
      </c>
      <c r="F237" s="911">
        <v>62600</v>
      </c>
      <c r="G237" s="911">
        <v>62600</v>
      </c>
      <c r="H237" s="954">
        <v>62600</v>
      </c>
    </row>
    <row r="238" spans="2:8" x14ac:dyDescent="0.2">
      <c r="B238" s="444" t="str">
        <f t="shared" si="24"/>
        <v>10-17QuarterlyPortsmouth</v>
      </c>
      <c r="C238" s="913" t="s">
        <v>12</v>
      </c>
      <c r="D238" s="911">
        <v>18100</v>
      </c>
      <c r="E238" s="911">
        <v>18100</v>
      </c>
      <c r="F238" s="911">
        <v>18100</v>
      </c>
      <c r="G238" s="911">
        <v>18100</v>
      </c>
      <c r="H238" s="954">
        <v>18100</v>
      </c>
    </row>
    <row r="239" spans="2:8" x14ac:dyDescent="0.2">
      <c r="B239" s="444" t="str">
        <f t="shared" si="24"/>
        <v>10-17QuarterlyReading</v>
      </c>
      <c r="C239" s="913" t="s">
        <v>3</v>
      </c>
      <c r="D239" s="911">
        <v>14300</v>
      </c>
      <c r="E239" s="911">
        <v>14300</v>
      </c>
      <c r="F239" s="911">
        <v>14300</v>
      </c>
      <c r="G239" s="911">
        <v>14300</v>
      </c>
      <c r="H239" s="954">
        <v>14300</v>
      </c>
    </row>
    <row r="240" spans="2:8" x14ac:dyDescent="0.2">
      <c r="B240" s="444" t="str">
        <f t="shared" si="24"/>
        <v>10-17QuarterlySlough</v>
      </c>
      <c r="C240" s="913" t="s">
        <v>13</v>
      </c>
      <c r="D240" s="911">
        <v>16800</v>
      </c>
      <c r="E240" s="911">
        <v>16800</v>
      </c>
      <c r="F240" s="911">
        <v>16800</v>
      </c>
      <c r="G240" s="911">
        <v>16800</v>
      </c>
      <c r="H240" s="954">
        <v>16800</v>
      </c>
    </row>
    <row r="241" spans="2:8" x14ac:dyDescent="0.2">
      <c r="B241" s="444" t="str">
        <f t="shared" si="24"/>
        <v>10-17QuarterlySomerset</v>
      </c>
      <c r="C241" s="913" t="s">
        <v>93</v>
      </c>
      <c r="D241" s="911">
        <v>49500</v>
      </c>
      <c r="E241" s="911">
        <v>49500</v>
      </c>
      <c r="F241" s="911">
        <v>49500</v>
      </c>
      <c r="G241" s="911">
        <v>49500</v>
      </c>
      <c r="H241" s="954">
        <v>49500</v>
      </c>
    </row>
    <row r="242" spans="2:8" x14ac:dyDescent="0.2">
      <c r="B242" s="444" t="str">
        <f t="shared" si="24"/>
        <v>10-17QuarterlySouthampton</v>
      </c>
      <c r="C242" s="913" t="s">
        <v>14</v>
      </c>
      <c r="D242" s="911">
        <v>19600</v>
      </c>
      <c r="E242" s="911">
        <v>19600</v>
      </c>
      <c r="F242" s="911">
        <v>19600</v>
      </c>
      <c r="G242" s="911">
        <v>19600</v>
      </c>
      <c r="H242" s="954">
        <v>19600</v>
      </c>
    </row>
    <row r="243" spans="2:8" x14ac:dyDescent="0.2">
      <c r="B243" s="444" t="str">
        <f t="shared" si="24"/>
        <v>10-17QuarterlySurrey</v>
      </c>
      <c r="C243" s="913" t="s">
        <v>7</v>
      </c>
      <c r="D243" s="911">
        <v>114100</v>
      </c>
      <c r="E243" s="911">
        <v>114100</v>
      </c>
      <c r="F243" s="911">
        <v>114100</v>
      </c>
      <c r="G243" s="911">
        <v>114100</v>
      </c>
      <c r="H243" s="954">
        <v>114100</v>
      </c>
    </row>
    <row r="244" spans="2:8" x14ac:dyDescent="0.2">
      <c r="B244" s="444" t="str">
        <f t="shared" si="24"/>
        <v>10-17QuarterlySwindon</v>
      </c>
      <c r="C244" s="913" t="s">
        <v>114</v>
      </c>
      <c r="D244" s="911">
        <v>20700</v>
      </c>
      <c r="E244" s="911">
        <v>20700</v>
      </c>
      <c r="F244" s="911">
        <v>20700</v>
      </c>
      <c r="G244" s="911">
        <v>20700</v>
      </c>
      <c r="H244" s="954">
        <v>20700</v>
      </c>
    </row>
    <row r="245" spans="2:8" x14ac:dyDescent="0.2">
      <c r="B245" s="444" t="str">
        <f t="shared" si="24"/>
        <v>10-17QuarterlyTorbay</v>
      </c>
      <c r="C245" s="913" t="s">
        <v>115</v>
      </c>
      <c r="D245" s="911">
        <v>11100</v>
      </c>
      <c r="E245" s="911">
        <v>11100</v>
      </c>
      <c r="F245" s="911">
        <v>11100</v>
      </c>
      <c r="G245" s="911">
        <v>11100</v>
      </c>
      <c r="H245" s="954">
        <v>11100</v>
      </c>
    </row>
    <row r="246" spans="2:8" x14ac:dyDescent="0.2">
      <c r="B246" s="444" t="str">
        <f t="shared" si="24"/>
        <v>10-17QuarterlyWest Berkshire</v>
      </c>
      <c r="C246" s="913" t="s">
        <v>15</v>
      </c>
      <c r="D246" s="911">
        <v>16300</v>
      </c>
      <c r="E246" s="911">
        <v>16300</v>
      </c>
      <c r="F246" s="911">
        <v>16300</v>
      </c>
      <c r="G246" s="911">
        <v>16300</v>
      </c>
      <c r="H246" s="954">
        <v>16300</v>
      </c>
    </row>
    <row r="247" spans="2:8" x14ac:dyDescent="0.2">
      <c r="B247" s="444" t="str">
        <f t="shared" si="24"/>
        <v>10-17QuarterlyWest Sussex</v>
      </c>
      <c r="C247" s="913" t="s">
        <v>5</v>
      </c>
      <c r="D247" s="911">
        <v>75700</v>
      </c>
      <c r="E247" s="911">
        <v>75700</v>
      </c>
      <c r="F247" s="911">
        <v>75700</v>
      </c>
      <c r="G247" s="911">
        <v>75700</v>
      </c>
      <c r="H247" s="954">
        <v>75700</v>
      </c>
    </row>
    <row r="248" spans="2:8" x14ac:dyDescent="0.2">
      <c r="B248" s="444" t="str">
        <f t="shared" si="24"/>
        <v>10-17QuarterlyWindsor &amp; Maidenhead</v>
      </c>
      <c r="C248" s="914" t="s">
        <v>30</v>
      </c>
      <c r="D248" s="911">
        <v>16100</v>
      </c>
      <c r="E248" s="911">
        <v>16100</v>
      </c>
      <c r="F248" s="911">
        <v>16100</v>
      </c>
      <c r="G248" s="911">
        <v>16100</v>
      </c>
      <c r="H248" s="954">
        <v>16100</v>
      </c>
    </row>
    <row r="249" spans="2:8" x14ac:dyDescent="0.2">
      <c r="B249" s="444" t="str">
        <f t="shared" si="24"/>
        <v>10-17QuarterlyWokingham</v>
      </c>
      <c r="C249" s="913" t="s">
        <v>16</v>
      </c>
      <c r="D249" s="911">
        <v>17500</v>
      </c>
      <c r="E249" s="911">
        <v>17500</v>
      </c>
      <c r="F249" s="911">
        <v>17500</v>
      </c>
      <c r="G249" s="911">
        <v>17500</v>
      </c>
      <c r="H249" s="954">
        <v>17500</v>
      </c>
    </row>
    <row r="250" spans="2:8" x14ac:dyDescent="0.2">
      <c r="B250" s="444" t="str">
        <f t="shared" si="24"/>
        <v>10-17QuarterlySouth East</v>
      </c>
      <c r="C250" s="915" t="s">
        <v>74</v>
      </c>
      <c r="D250" s="911">
        <v>850400</v>
      </c>
      <c r="E250" s="911">
        <v>850400</v>
      </c>
      <c r="F250" s="911">
        <v>850400</v>
      </c>
      <c r="G250" s="911">
        <v>850400</v>
      </c>
      <c r="H250" s="954">
        <v>850400</v>
      </c>
    </row>
    <row r="251" spans="2:8" x14ac:dyDescent="0.2">
      <c r="B251" s="444" t="str">
        <f t="shared" si="24"/>
        <v>10-17QuarterlyEngland and Wales</v>
      </c>
      <c r="C251" s="916" t="s">
        <v>950</v>
      </c>
      <c r="D251" s="911">
        <v>5360700</v>
      </c>
      <c r="E251" s="911">
        <v>5360700</v>
      </c>
      <c r="F251" s="911">
        <v>5360700</v>
      </c>
      <c r="G251" s="911">
        <v>5360700</v>
      </c>
      <c r="H251" s="954">
        <v>5360700</v>
      </c>
    </row>
    <row r="253" spans="2:8" x14ac:dyDescent="0.2">
      <c r="B253" s="933" t="s">
        <v>166</v>
      </c>
      <c r="C253" s="751" t="s">
        <v>775</v>
      </c>
    </row>
    <row r="254" spans="2:8" x14ac:dyDescent="0.2">
      <c r="B254" s="917" t="s">
        <v>740</v>
      </c>
      <c r="C254" s="444" t="s">
        <v>660</v>
      </c>
      <c r="D254" s="924" t="str">
        <f>D$20</f>
        <v>2014-15</v>
      </c>
      <c r="E254" s="924" t="str">
        <f t="shared" ref="E254:G254" si="25">E$20</f>
        <v>2015-16</v>
      </c>
      <c r="F254" s="924" t="str">
        <f t="shared" si="25"/>
        <v>2016-17</v>
      </c>
      <c r="G254" s="924" t="str">
        <f t="shared" si="25"/>
        <v>2017-18</v>
      </c>
      <c r="H254" s="924" t="str">
        <f>H$20</f>
        <v>2018-19</v>
      </c>
    </row>
    <row r="255" spans="2:8" x14ac:dyDescent="0.2">
      <c r="B255" s="444" t="str">
        <f>CONCATENATE($B$253,$C$254,C255)</f>
        <v>16-17Annual</v>
      </c>
      <c r="C255" s="912"/>
      <c r="D255" s="998">
        <v>42064</v>
      </c>
      <c r="E255" s="998">
        <v>42430</v>
      </c>
      <c r="F255" s="998">
        <v>42795</v>
      </c>
      <c r="G255" s="998">
        <v>43160</v>
      </c>
      <c r="H255" s="998">
        <v>43525</v>
      </c>
    </row>
    <row r="256" spans="2:8" x14ac:dyDescent="0.2">
      <c r="B256" s="444" t="str">
        <f t="shared" ref="B256:B279" si="26">CONCATENATE($B$253,$C$254,C256)</f>
        <v>16-17AnnualBracknell Forest</v>
      </c>
      <c r="C256" s="913" t="s">
        <v>0</v>
      </c>
      <c r="D256" s="911">
        <v>2477</v>
      </c>
      <c r="E256" s="911">
        <v>2456</v>
      </c>
      <c r="F256" s="911">
        <v>2359</v>
      </c>
      <c r="G256" s="911">
        <v>2550</v>
      </c>
      <c r="H256" s="911">
        <v>2186</v>
      </c>
    </row>
    <row r="257" spans="2:8" x14ac:dyDescent="0.2">
      <c r="B257" s="444" t="str">
        <f t="shared" si="26"/>
        <v>16-17AnnualBrighton &amp; Hove</v>
      </c>
      <c r="C257" s="914" t="s">
        <v>31</v>
      </c>
      <c r="D257" s="911">
        <v>4753</v>
      </c>
      <c r="E257" s="911">
        <v>4849</v>
      </c>
      <c r="F257" s="911">
        <v>4769</v>
      </c>
      <c r="G257" s="911">
        <v>4868</v>
      </c>
      <c r="H257" s="911">
        <v>4902</v>
      </c>
    </row>
    <row r="258" spans="2:8" x14ac:dyDescent="0.2">
      <c r="B258" s="444" t="str">
        <f t="shared" si="26"/>
        <v>16-17AnnualBuckinghamshire</v>
      </c>
      <c r="C258" s="913" t="s">
        <v>8</v>
      </c>
      <c r="D258" s="911">
        <v>11717</v>
      </c>
      <c r="E258" s="911">
        <v>12048</v>
      </c>
      <c r="F258" s="911">
        <v>11702</v>
      </c>
      <c r="G258" s="911">
        <v>11443</v>
      </c>
      <c r="H258" s="911">
        <v>11580</v>
      </c>
    </row>
    <row r="259" spans="2:8" x14ac:dyDescent="0.2">
      <c r="B259" s="444" t="str">
        <f t="shared" si="26"/>
        <v>16-17AnnualEast Sussex</v>
      </c>
      <c r="C259" s="913" t="s">
        <v>4</v>
      </c>
      <c r="D259" s="911">
        <v>11485</v>
      </c>
      <c r="E259" s="911">
        <v>11399</v>
      </c>
      <c r="F259" s="911">
        <v>11146</v>
      </c>
      <c r="G259" s="911">
        <v>10823</v>
      </c>
      <c r="H259" s="911">
        <v>10539</v>
      </c>
    </row>
    <row r="260" spans="2:8" x14ac:dyDescent="0.2">
      <c r="B260" s="444" t="str">
        <f t="shared" si="26"/>
        <v>16-17AnnualHampshire</v>
      </c>
      <c r="C260" s="914" t="s">
        <v>6</v>
      </c>
      <c r="D260" s="911">
        <v>27853</v>
      </c>
      <c r="E260" s="911">
        <v>27255</v>
      </c>
      <c r="F260" s="911">
        <v>28093</v>
      </c>
      <c r="G260" s="911">
        <v>28029</v>
      </c>
      <c r="H260" s="911">
        <v>26921</v>
      </c>
    </row>
    <row r="261" spans="2:8" x14ac:dyDescent="0.2">
      <c r="B261" s="444" t="str">
        <f t="shared" si="26"/>
        <v>16-17AnnualIsle of Wight</v>
      </c>
      <c r="C261" s="913" t="s">
        <v>1</v>
      </c>
      <c r="D261" s="911">
        <v>2996</v>
      </c>
      <c r="E261" s="911">
        <v>2914</v>
      </c>
      <c r="F261" s="911">
        <v>2870</v>
      </c>
      <c r="G261" s="911">
        <v>2752</v>
      </c>
      <c r="H261" s="911">
        <v>2523</v>
      </c>
    </row>
    <row r="262" spans="2:8" x14ac:dyDescent="0.2">
      <c r="B262" s="444" t="str">
        <f t="shared" si="26"/>
        <v>16-17AnnualKent</v>
      </c>
      <c r="C262" s="913" t="s">
        <v>9</v>
      </c>
      <c r="D262" s="911">
        <v>35668</v>
      </c>
      <c r="E262" s="911">
        <v>35305</v>
      </c>
      <c r="F262" s="911">
        <v>34055</v>
      </c>
      <c r="G262" s="911">
        <v>33090</v>
      </c>
      <c r="H262" s="911">
        <v>32582</v>
      </c>
    </row>
    <row r="263" spans="2:8" x14ac:dyDescent="0.2">
      <c r="B263" s="444" t="str">
        <f t="shared" si="26"/>
        <v>16-17AnnualMedway</v>
      </c>
      <c r="C263" s="913" t="s">
        <v>2</v>
      </c>
      <c r="D263" s="911">
        <v>6992</v>
      </c>
      <c r="E263" s="911">
        <v>6882</v>
      </c>
      <c r="F263" s="911">
        <v>6765</v>
      </c>
      <c r="G263" s="911">
        <v>6525</v>
      </c>
      <c r="H263" s="911">
        <v>6374</v>
      </c>
    </row>
    <row r="264" spans="2:8" x14ac:dyDescent="0.2">
      <c r="B264" s="444" t="str">
        <f t="shared" si="26"/>
        <v>16-17AnnualMilton Keynes</v>
      </c>
      <c r="C264" s="913" t="s">
        <v>10</v>
      </c>
      <c r="D264" s="911">
        <v>6096</v>
      </c>
      <c r="E264" s="911">
        <v>6393</v>
      </c>
      <c r="F264" s="911">
        <v>6165</v>
      </c>
      <c r="G264" s="911">
        <v>6026</v>
      </c>
      <c r="H264" s="911">
        <v>6073</v>
      </c>
    </row>
    <row r="265" spans="2:8" x14ac:dyDescent="0.2">
      <c r="B265" s="444" t="str">
        <f t="shared" si="26"/>
        <v>16-17AnnualOxfordshire</v>
      </c>
      <c r="C265" s="913" t="s">
        <v>11</v>
      </c>
      <c r="D265" s="911">
        <v>12661</v>
      </c>
      <c r="E265" s="911">
        <v>12756</v>
      </c>
      <c r="F265" s="911">
        <v>12707</v>
      </c>
      <c r="G265" s="911">
        <v>12590</v>
      </c>
      <c r="H265" s="911">
        <v>12451</v>
      </c>
    </row>
    <row r="266" spans="2:8" x14ac:dyDescent="0.2">
      <c r="B266" s="444" t="str">
        <f t="shared" si="26"/>
        <v>16-17AnnualPortsmouth</v>
      </c>
      <c r="C266" s="913" t="s">
        <v>12</v>
      </c>
      <c r="D266" s="911">
        <v>3930</v>
      </c>
      <c r="E266" s="911">
        <v>3990</v>
      </c>
      <c r="F266" s="911">
        <v>3982</v>
      </c>
      <c r="G266" s="911">
        <v>3907</v>
      </c>
      <c r="H266" s="911">
        <v>3719</v>
      </c>
    </row>
    <row r="267" spans="2:8" x14ac:dyDescent="0.2">
      <c r="B267" s="444" t="str">
        <f t="shared" si="26"/>
        <v>16-17AnnualReading</v>
      </c>
      <c r="C267" s="913" t="s">
        <v>3</v>
      </c>
      <c r="D267" s="911">
        <v>3083</v>
      </c>
      <c r="E267" s="911">
        <v>3166</v>
      </c>
      <c r="F267" s="911">
        <v>3116</v>
      </c>
      <c r="G267" s="911">
        <v>3086</v>
      </c>
      <c r="H267" s="911">
        <v>2916</v>
      </c>
    </row>
    <row r="268" spans="2:8" x14ac:dyDescent="0.2">
      <c r="B268" s="444" t="str">
        <f t="shared" si="26"/>
        <v>16-17AnnualSlough</v>
      </c>
      <c r="C268" s="913" t="s">
        <v>13</v>
      </c>
      <c r="D268" s="911">
        <v>3404</v>
      </c>
      <c r="E268" s="911">
        <v>3443</v>
      </c>
      <c r="F268" s="911">
        <v>3494</v>
      </c>
      <c r="G268" s="911">
        <v>3630</v>
      </c>
      <c r="H268" s="911">
        <v>3722</v>
      </c>
    </row>
    <row r="269" spans="2:8" x14ac:dyDescent="0.2">
      <c r="B269" s="444" t="str">
        <f t="shared" si="26"/>
        <v>16-17AnnualSomerset</v>
      </c>
      <c r="C269" s="913" t="s">
        <v>93</v>
      </c>
      <c r="D269" s="911">
        <v>12117</v>
      </c>
      <c r="E269" s="911">
        <v>11916</v>
      </c>
      <c r="F269" s="911">
        <v>11647</v>
      </c>
      <c r="G269" s="911">
        <v>11288</v>
      </c>
      <c r="H269" s="911">
        <v>10965</v>
      </c>
    </row>
    <row r="270" spans="2:8" x14ac:dyDescent="0.2">
      <c r="B270" s="444" t="str">
        <f t="shared" si="26"/>
        <v>16-17AnnualSouthampton</v>
      </c>
      <c r="C270" s="913" t="s">
        <v>14</v>
      </c>
      <c r="D270" s="911">
        <v>4580</v>
      </c>
      <c r="E270" s="911">
        <v>4423</v>
      </c>
      <c r="F270" s="911">
        <v>4426</v>
      </c>
      <c r="G270" s="911">
        <v>4477</v>
      </c>
      <c r="H270" s="911">
        <v>4263</v>
      </c>
    </row>
    <row r="271" spans="2:8" x14ac:dyDescent="0.2">
      <c r="B271" s="444" t="str">
        <f t="shared" si="26"/>
        <v>16-17AnnualSurrey</v>
      </c>
      <c r="C271" s="913" t="s">
        <v>7</v>
      </c>
      <c r="D271" s="911">
        <v>20529</v>
      </c>
      <c r="E271" s="911">
        <v>22197</v>
      </c>
      <c r="F271" s="911">
        <v>22595</v>
      </c>
      <c r="G271" s="911">
        <v>21987</v>
      </c>
      <c r="H271" s="911">
        <v>21342</v>
      </c>
    </row>
    <row r="272" spans="2:8" x14ac:dyDescent="0.2">
      <c r="B272" s="444" t="str">
        <f t="shared" si="26"/>
        <v>16-17AnnualSwindon</v>
      </c>
      <c r="C272" s="913" t="s">
        <v>114</v>
      </c>
      <c r="D272" s="911">
        <v>5276</v>
      </c>
      <c r="E272" s="911">
        <v>5149</v>
      </c>
      <c r="F272" s="911">
        <v>4940</v>
      </c>
      <c r="G272" s="911">
        <v>4857</v>
      </c>
      <c r="H272" s="911">
        <v>4817</v>
      </c>
    </row>
    <row r="273" spans="2:8" x14ac:dyDescent="0.2">
      <c r="B273" s="444" t="str">
        <f t="shared" si="26"/>
        <v>16-17AnnualTorbay</v>
      </c>
      <c r="C273" s="913" t="s">
        <v>115</v>
      </c>
      <c r="D273" s="911">
        <v>3085</v>
      </c>
      <c r="E273" s="911">
        <v>3146</v>
      </c>
      <c r="F273" s="911">
        <v>3041</v>
      </c>
      <c r="G273" s="911">
        <v>2765</v>
      </c>
      <c r="H273" s="911">
        <v>2678</v>
      </c>
    </row>
    <row r="274" spans="2:8" x14ac:dyDescent="0.2">
      <c r="B274" s="444" t="str">
        <f t="shared" si="26"/>
        <v>16-17AnnualWest Berkshire</v>
      </c>
      <c r="C274" s="913" t="s">
        <v>15</v>
      </c>
      <c r="D274" s="911">
        <v>3390</v>
      </c>
      <c r="E274" s="911">
        <v>3376</v>
      </c>
      <c r="F274" s="911">
        <v>3531</v>
      </c>
      <c r="G274" s="911">
        <v>3397</v>
      </c>
      <c r="H274" s="911">
        <v>3245</v>
      </c>
    </row>
    <row r="275" spans="2:8" x14ac:dyDescent="0.2">
      <c r="B275" s="444" t="str">
        <f t="shared" si="26"/>
        <v>16-17AnnualWest Sussex</v>
      </c>
      <c r="C275" s="913" t="s">
        <v>5</v>
      </c>
      <c r="D275" s="911">
        <v>17666</v>
      </c>
      <c r="E275" s="911">
        <v>18601</v>
      </c>
      <c r="F275" s="911">
        <v>17640</v>
      </c>
      <c r="G275" s="911">
        <v>17439</v>
      </c>
      <c r="H275" s="911">
        <v>16302</v>
      </c>
    </row>
    <row r="276" spans="2:8" x14ac:dyDescent="0.2">
      <c r="B276" s="444" t="str">
        <f t="shared" si="26"/>
        <v>16-17AnnualWindsor &amp; Maidenhead</v>
      </c>
      <c r="C276" s="914" t="s">
        <v>30</v>
      </c>
      <c r="D276" s="911">
        <v>2890</v>
      </c>
      <c r="E276" s="911">
        <v>2785</v>
      </c>
      <c r="F276" s="911">
        <v>2543</v>
      </c>
      <c r="G276" s="911">
        <v>2459</v>
      </c>
      <c r="H276" s="911">
        <v>2909</v>
      </c>
    </row>
    <row r="277" spans="2:8" x14ac:dyDescent="0.2">
      <c r="B277" s="444" t="str">
        <f t="shared" si="26"/>
        <v>16-17AnnualWokingham</v>
      </c>
      <c r="C277" s="913" t="s">
        <v>16</v>
      </c>
      <c r="D277" s="911">
        <v>3416</v>
      </c>
      <c r="E277" s="911">
        <v>3400</v>
      </c>
      <c r="F277" s="911">
        <v>3293</v>
      </c>
      <c r="G277" s="911">
        <v>3301</v>
      </c>
      <c r="H277" s="911">
        <v>3424</v>
      </c>
    </row>
    <row r="278" spans="2:8" x14ac:dyDescent="0.2">
      <c r="B278" s="444" t="str">
        <f t="shared" si="26"/>
        <v>16-17AnnualSouth East</v>
      </c>
      <c r="C278" s="915" t="s">
        <v>74</v>
      </c>
      <c r="D278" s="911">
        <v>185586</v>
      </c>
      <c r="E278" s="911">
        <v>187638</v>
      </c>
      <c r="F278" s="911">
        <v>185251</v>
      </c>
      <c r="G278" s="911">
        <v>182379</v>
      </c>
      <c r="H278" s="911">
        <v>177973</v>
      </c>
    </row>
    <row r="279" spans="2:8" x14ac:dyDescent="0.2">
      <c r="B279" s="444" t="str">
        <f t="shared" si="26"/>
        <v>16-17AnnualEngland</v>
      </c>
      <c r="C279" s="916" t="s">
        <v>126</v>
      </c>
      <c r="D279" s="911">
        <v>1162499</v>
      </c>
      <c r="E279" s="911">
        <v>1152097</v>
      </c>
      <c r="F279" s="911">
        <v>1157456</v>
      </c>
      <c r="G279" s="911">
        <v>1136681</v>
      </c>
      <c r="H279" s="911">
        <v>1124120</v>
      </c>
    </row>
    <row r="281" spans="2:8" x14ac:dyDescent="0.2">
      <c r="B281" s="933" t="s">
        <v>166</v>
      </c>
      <c r="C281" s="751" t="s">
        <v>775</v>
      </c>
      <c r="D281" s="924" t="str">
        <f>D$22</f>
        <v>2018-19</v>
      </c>
      <c r="E281" s="924" t="str">
        <f t="shared" ref="E281:H281" si="27">E$22</f>
        <v>2018-19</v>
      </c>
      <c r="F281" s="924" t="str">
        <f t="shared" si="27"/>
        <v>2018-19</v>
      </c>
      <c r="G281" s="924" t="str">
        <f t="shared" si="27"/>
        <v>2018-19</v>
      </c>
      <c r="H281" s="924" t="str">
        <f t="shared" si="27"/>
        <v>2019-20</v>
      </c>
    </row>
    <row r="282" spans="2:8" x14ac:dyDescent="0.2">
      <c r="B282" s="917" t="s">
        <v>740</v>
      </c>
      <c r="C282" s="444" t="s">
        <v>666</v>
      </c>
      <c r="D282" s="924" t="str">
        <f>D$23</f>
        <v>Q1</v>
      </c>
      <c r="E282" s="924" t="str">
        <f t="shared" ref="E282:H282" si="28">E$23</f>
        <v>Q2</v>
      </c>
      <c r="F282" s="924" t="str">
        <f t="shared" si="28"/>
        <v>Q3</v>
      </c>
      <c r="G282" s="924" t="str">
        <f t="shared" si="28"/>
        <v>Q4</v>
      </c>
      <c r="H282" s="924" t="str">
        <f t="shared" si="28"/>
        <v>Q1</v>
      </c>
    </row>
    <row r="283" spans="2:8" x14ac:dyDescent="0.2">
      <c r="B283" s="444" t="str">
        <f>CONCATENATE($B$281,$C$282,C283)</f>
        <v>16-17Quarterly</v>
      </c>
      <c r="C283" s="912"/>
      <c r="D283" s="998">
        <v>43252</v>
      </c>
      <c r="E283" s="998">
        <v>43344</v>
      </c>
      <c r="F283" s="998">
        <v>43435</v>
      </c>
      <c r="G283" s="998">
        <v>43525</v>
      </c>
      <c r="H283" s="998">
        <v>43617</v>
      </c>
    </row>
    <row r="284" spans="2:8" x14ac:dyDescent="0.2">
      <c r="B284" s="444" t="str">
        <f t="shared" ref="B284:B307" si="29">CONCATENATE($B$281,$C$282,C284)</f>
        <v>16-17QuarterlyBracknell Forest</v>
      </c>
      <c r="C284" s="913" t="s">
        <v>0</v>
      </c>
      <c r="D284" s="954">
        <v>2514</v>
      </c>
      <c r="E284" s="954">
        <v>2186</v>
      </c>
      <c r="F284" s="954">
        <v>2182</v>
      </c>
      <c r="G284" s="954">
        <v>2186</v>
      </c>
      <c r="H284" s="954">
        <v>2268</v>
      </c>
    </row>
    <row r="285" spans="2:8" x14ac:dyDescent="0.2">
      <c r="B285" s="444" t="str">
        <f t="shared" si="29"/>
        <v>16-17QuarterlyBrighton &amp; Hove</v>
      </c>
      <c r="C285" s="914" t="s">
        <v>31</v>
      </c>
      <c r="D285" s="954">
        <v>4838</v>
      </c>
      <c r="E285" s="954">
        <v>4752</v>
      </c>
      <c r="F285" s="954">
        <v>4916</v>
      </c>
      <c r="G285" s="954">
        <v>4902</v>
      </c>
      <c r="H285" s="954">
        <v>4900</v>
      </c>
    </row>
    <row r="286" spans="2:8" x14ac:dyDescent="0.2">
      <c r="B286" s="444" t="str">
        <f t="shared" si="29"/>
        <v>16-17QuarterlyBuckinghamshire</v>
      </c>
      <c r="C286" s="913" t="s">
        <v>8</v>
      </c>
      <c r="D286" s="954">
        <v>11502</v>
      </c>
      <c r="E286" s="954">
        <v>11464</v>
      </c>
      <c r="F286" s="954">
        <v>11670</v>
      </c>
      <c r="G286" s="954">
        <v>11580</v>
      </c>
      <c r="H286" s="954">
        <v>11551</v>
      </c>
    </row>
    <row r="287" spans="2:8" x14ac:dyDescent="0.2">
      <c r="B287" s="444" t="str">
        <f t="shared" si="29"/>
        <v>16-17QuarterlyEast Sussex</v>
      </c>
      <c r="C287" s="913" t="s">
        <v>4</v>
      </c>
      <c r="D287" s="954">
        <v>10809</v>
      </c>
      <c r="E287" s="954">
        <v>10390</v>
      </c>
      <c r="F287" s="954">
        <v>10560</v>
      </c>
      <c r="G287" s="954">
        <v>10539</v>
      </c>
      <c r="H287" s="954">
        <v>10513</v>
      </c>
    </row>
    <row r="288" spans="2:8" x14ac:dyDescent="0.2">
      <c r="B288" s="444" t="str">
        <f t="shared" si="29"/>
        <v>16-17QuarterlyHampshire</v>
      </c>
      <c r="C288" s="914" t="s">
        <v>6</v>
      </c>
      <c r="D288" s="954">
        <v>27707</v>
      </c>
      <c r="E288" s="954">
        <v>26974</v>
      </c>
      <c r="F288" s="954">
        <v>26925</v>
      </c>
      <c r="G288" s="954">
        <v>26921</v>
      </c>
      <c r="H288" s="954">
        <v>26912</v>
      </c>
    </row>
    <row r="289" spans="2:8" x14ac:dyDescent="0.2">
      <c r="B289" s="444" t="str">
        <f t="shared" si="29"/>
        <v>16-17QuarterlyIsle of Wight</v>
      </c>
      <c r="C289" s="913" t="s">
        <v>1</v>
      </c>
      <c r="D289" s="954">
        <v>2738</v>
      </c>
      <c r="E289" s="954">
        <v>2535</v>
      </c>
      <c r="F289" s="954">
        <v>2528</v>
      </c>
      <c r="G289" s="954">
        <v>2523</v>
      </c>
      <c r="H289" s="954">
        <v>2517</v>
      </c>
    </row>
    <row r="290" spans="2:8" x14ac:dyDescent="0.2">
      <c r="B290" s="444" t="str">
        <f t="shared" si="29"/>
        <v>16-17QuarterlyKent</v>
      </c>
      <c r="C290" s="913" t="s">
        <v>9</v>
      </c>
      <c r="D290" s="954">
        <v>33028</v>
      </c>
      <c r="E290" s="954">
        <v>32367</v>
      </c>
      <c r="F290" s="954">
        <v>32464</v>
      </c>
      <c r="G290" s="954">
        <v>32582</v>
      </c>
      <c r="H290" s="954">
        <v>32532</v>
      </c>
    </row>
    <row r="291" spans="2:8" x14ac:dyDescent="0.2">
      <c r="B291" s="444" t="str">
        <f t="shared" si="29"/>
        <v>16-17QuarterlyMedway</v>
      </c>
      <c r="C291" s="913" t="s">
        <v>2</v>
      </c>
      <c r="D291" s="954">
        <v>6511</v>
      </c>
      <c r="E291" s="954">
        <v>6353</v>
      </c>
      <c r="F291" s="954">
        <v>6368</v>
      </c>
      <c r="G291" s="954">
        <v>6374</v>
      </c>
      <c r="H291" s="954">
        <v>6329</v>
      </c>
    </row>
    <row r="292" spans="2:8" x14ac:dyDescent="0.2">
      <c r="B292" s="444" t="str">
        <f t="shared" si="29"/>
        <v>16-17QuarterlyMilton Keynes</v>
      </c>
      <c r="C292" s="913" t="s">
        <v>10</v>
      </c>
      <c r="D292" s="954">
        <v>6163</v>
      </c>
      <c r="E292" s="954">
        <v>6054</v>
      </c>
      <c r="F292" s="954">
        <v>6037</v>
      </c>
      <c r="G292" s="954">
        <v>6073</v>
      </c>
      <c r="H292" s="954">
        <v>6136</v>
      </c>
    </row>
    <row r="293" spans="2:8" x14ac:dyDescent="0.2">
      <c r="B293" s="444" t="str">
        <f t="shared" si="29"/>
        <v>16-17QuarterlyOxfordshire</v>
      </c>
      <c r="C293" s="913" t="s">
        <v>11</v>
      </c>
      <c r="D293" s="954">
        <v>12588</v>
      </c>
      <c r="E293" s="954">
        <v>12056</v>
      </c>
      <c r="F293" s="954">
        <v>12320</v>
      </c>
      <c r="G293" s="954">
        <v>12451</v>
      </c>
      <c r="H293" s="954">
        <v>12474</v>
      </c>
    </row>
    <row r="294" spans="2:8" x14ac:dyDescent="0.2">
      <c r="B294" s="444" t="str">
        <f t="shared" si="29"/>
        <v>16-17QuarterlyPortsmouth</v>
      </c>
      <c r="C294" s="913" t="s">
        <v>12</v>
      </c>
      <c r="D294" s="954">
        <v>3895</v>
      </c>
      <c r="E294" s="954">
        <v>3587</v>
      </c>
      <c r="F294" s="954">
        <v>3578</v>
      </c>
      <c r="G294" s="954">
        <v>3719</v>
      </c>
      <c r="H294" s="954">
        <v>3737</v>
      </c>
    </row>
    <row r="295" spans="2:8" x14ac:dyDescent="0.2">
      <c r="B295" s="444" t="str">
        <f t="shared" si="29"/>
        <v>16-17QuarterlyReading</v>
      </c>
      <c r="C295" s="913" t="s">
        <v>3</v>
      </c>
      <c r="D295" s="954">
        <v>3078</v>
      </c>
      <c r="E295" s="954">
        <v>2929</v>
      </c>
      <c r="F295" s="954">
        <v>2967</v>
      </c>
      <c r="G295" s="954">
        <v>2916</v>
      </c>
      <c r="H295" s="954">
        <v>2914</v>
      </c>
    </row>
    <row r="296" spans="2:8" x14ac:dyDescent="0.2">
      <c r="B296" s="444" t="str">
        <f t="shared" si="29"/>
        <v>16-17QuarterlySlough</v>
      </c>
      <c r="C296" s="913" t="s">
        <v>13</v>
      </c>
      <c r="D296" s="954">
        <v>3614</v>
      </c>
      <c r="E296" s="954">
        <v>3696</v>
      </c>
      <c r="F296" s="954">
        <v>3724</v>
      </c>
      <c r="G296" s="954">
        <v>3722</v>
      </c>
      <c r="H296" s="954">
        <v>3704</v>
      </c>
    </row>
    <row r="297" spans="2:8" x14ac:dyDescent="0.2">
      <c r="B297" s="444" t="str">
        <f t="shared" si="29"/>
        <v>16-17QuarterlySomerset</v>
      </c>
      <c r="C297" s="913" t="s">
        <v>93</v>
      </c>
      <c r="D297" s="954">
        <v>11282</v>
      </c>
      <c r="E297" s="954">
        <v>10299</v>
      </c>
      <c r="F297" s="954">
        <v>10981</v>
      </c>
      <c r="G297" s="954">
        <v>10965</v>
      </c>
      <c r="H297" s="954">
        <v>10955</v>
      </c>
    </row>
    <row r="298" spans="2:8" x14ac:dyDescent="0.2">
      <c r="B298" s="444" t="str">
        <f t="shared" si="29"/>
        <v>16-17QuarterlySouthampton</v>
      </c>
      <c r="C298" s="913" t="s">
        <v>14</v>
      </c>
      <c r="D298" s="954">
        <v>4478</v>
      </c>
      <c r="E298" s="954">
        <v>4056</v>
      </c>
      <c r="F298" s="954">
        <v>4278</v>
      </c>
      <c r="G298" s="954">
        <v>4263</v>
      </c>
      <c r="H298" s="954">
        <v>4257</v>
      </c>
    </row>
    <row r="299" spans="2:8" x14ac:dyDescent="0.2">
      <c r="B299" s="444" t="str">
        <f t="shared" si="29"/>
        <v>16-17QuarterlySurrey</v>
      </c>
      <c r="C299" s="913" t="s">
        <v>7</v>
      </c>
      <c r="D299" s="954">
        <v>21939</v>
      </c>
      <c r="E299" s="954">
        <v>20488</v>
      </c>
      <c r="F299" s="954">
        <v>21224</v>
      </c>
      <c r="G299" s="954">
        <v>21342</v>
      </c>
      <c r="H299" s="954">
        <v>21331</v>
      </c>
    </row>
    <row r="300" spans="2:8" x14ac:dyDescent="0.2">
      <c r="B300" s="444" t="str">
        <f t="shared" si="29"/>
        <v>16-17QuarterlySwindon</v>
      </c>
      <c r="C300" s="913" t="s">
        <v>114</v>
      </c>
      <c r="D300" s="954">
        <v>4850</v>
      </c>
      <c r="E300" s="954">
        <v>4844</v>
      </c>
      <c r="F300" s="954">
        <v>4846</v>
      </c>
      <c r="G300" s="954">
        <v>4817</v>
      </c>
      <c r="H300" s="954">
        <v>4810</v>
      </c>
    </row>
    <row r="301" spans="2:8" x14ac:dyDescent="0.2">
      <c r="B301" s="444" t="str">
        <f t="shared" si="29"/>
        <v>16-17QuarterlyTorbay</v>
      </c>
      <c r="C301" s="913" t="s">
        <v>115</v>
      </c>
      <c r="D301" s="954">
        <v>2753</v>
      </c>
      <c r="E301" s="954">
        <v>2560</v>
      </c>
      <c r="F301" s="954">
        <v>2680</v>
      </c>
      <c r="G301" s="954">
        <v>2678</v>
      </c>
      <c r="H301" s="954">
        <v>2676</v>
      </c>
    </row>
    <row r="302" spans="2:8" x14ac:dyDescent="0.2">
      <c r="B302" s="444" t="str">
        <f t="shared" si="29"/>
        <v>16-17QuarterlyWest Berkshire</v>
      </c>
      <c r="C302" s="913" t="s">
        <v>15</v>
      </c>
      <c r="D302" s="954">
        <v>3397</v>
      </c>
      <c r="E302" s="954">
        <v>3255</v>
      </c>
      <c r="F302" s="954">
        <v>3232</v>
      </c>
      <c r="G302" s="954">
        <v>3245</v>
      </c>
      <c r="H302" s="954">
        <v>3227</v>
      </c>
    </row>
    <row r="303" spans="2:8" x14ac:dyDescent="0.2">
      <c r="B303" s="444" t="str">
        <f t="shared" si="29"/>
        <v>16-17QuarterlyWest Sussex</v>
      </c>
      <c r="C303" s="913" t="s">
        <v>5</v>
      </c>
      <c r="D303" s="954">
        <v>17297</v>
      </c>
      <c r="E303" s="954">
        <v>16026</v>
      </c>
      <c r="F303" s="954">
        <v>16285</v>
      </c>
      <c r="G303" s="954">
        <v>16302</v>
      </c>
      <c r="H303" s="954">
        <v>16397</v>
      </c>
    </row>
    <row r="304" spans="2:8" x14ac:dyDescent="0.2">
      <c r="B304" s="444" t="str">
        <f t="shared" si="29"/>
        <v>16-17QuarterlyWindsor &amp; Maidenhead</v>
      </c>
      <c r="C304" s="914" t="s">
        <v>30</v>
      </c>
      <c r="D304" s="954">
        <v>2860</v>
      </c>
      <c r="E304" s="954">
        <v>2826</v>
      </c>
      <c r="F304" s="954">
        <v>2885</v>
      </c>
      <c r="G304" s="954">
        <v>2909</v>
      </c>
      <c r="H304" s="954">
        <v>2913</v>
      </c>
    </row>
    <row r="305" spans="2:8" x14ac:dyDescent="0.2">
      <c r="B305" s="444" t="str">
        <f t="shared" si="29"/>
        <v>16-17QuarterlyWokingham</v>
      </c>
      <c r="C305" s="913" t="s">
        <v>16</v>
      </c>
      <c r="D305" s="954">
        <v>3291</v>
      </c>
      <c r="E305" s="954">
        <v>3094</v>
      </c>
      <c r="F305" s="954">
        <v>3357</v>
      </c>
      <c r="G305" s="954">
        <v>3424</v>
      </c>
      <c r="H305" s="954">
        <v>3431</v>
      </c>
    </row>
    <row r="306" spans="2:8" x14ac:dyDescent="0.2">
      <c r="B306" s="444" t="str">
        <f t="shared" si="29"/>
        <v>16-17QuarterlySouth East</v>
      </c>
      <c r="C306" s="915" t="s">
        <v>74</v>
      </c>
      <c r="D306" s="954">
        <v>182247</v>
      </c>
      <c r="E306" s="954">
        <v>175088</v>
      </c>
      <c r="F306" s="954">
        <v>177500</v>
      </c>
      <c r="G306" s="954">
        <v>177973</v>
      </c>
      <c r="H306" s="954">
        <v>178043</v>
      </c>
    </row>
    <row r="307" spans="2:8" x14ac:dyDescent="0.2">
      <c r="B307" s="444" t="str">
        <f t="shared" si="29"/>
        <v>16-17QuarterlyEngland</v>
      </c>
      <c r="C307" s="916" t="s">
        <v>126</v>
      </c>
      <c r="D307" s="954">
        <v>1132563</v>
      </c>
      <c r="E307" s="954">
        <v>1136681</v>
      </c>
      <c r="F307" s="954">
        <v>1135790</v>
      </c>
      <c r="G307" s="954">
        <v>1124120</v>
      </c>
      <c r="H307" s="954">
        <v>1119953</v>
      </c>
    </row>
    <row r="309" spans="2:8" x14ac:dyDescent="0.2">
      <c r="B309" s="751" t="s">
        <v>753</v>
      </c>
    </row>
    <row r="310" spans="2:8" x14ac:dyDescent="0.2">
      <c r="B310" s="444" t="s">
        <v>755</v>
      </c>
      <c r="C310" s="444" t="s">
        <v>666</v>
      </c>
      <c r="D310" s="907" t="s">
        <v>1013</v>
      </c>
      <c r="E310" s="907" t="s">
        <v>1013</v>
      </c>
      <c r="F310" s="907" t="s">
        <v>1013</v>
      </c>
      <c r="G310" s="907" t="s">
        <v>1013</v>
      </c>
      <c r="H310" s="907" t="s">
        <v>1013</v>
      </c>
    </row>
    <row r="311" spans="2:8" x14ac:dyDescent="0.2">
      <c r="B311" s="444" t="str">
        <f t="shared" ref="B311:B335" si="30">CONCATENATE($B$310,$C$3,C311)</f>
        <v>LACAgeAnnual</v>
      </c>
      <c r="C311" s="955"/>
      <c r="D311" s="719" t="s">
        <v>153</v>
      </c>
      <c r="E311" s="953" t="s">
        <v>757</v>
      </c>
      <c r="F311" s="953" t="s">
        <v>756</v>
      </c>
      <c r="G311" s="719" t="s">
        <v>758</v>
      </c>
      <c r="H311" s="719" t="s">
        <v>759</v>
      </c>
    </row>
    <row r="312" spans="2:8" x14ac:dyDescent="0.2">
      <c r="B312" s="444" t="str">
        <f t="shared" si="30"/>
        <v>LACAgeAnnualBracknell Forest</v>
      </c>
      <c r="C312" s="913" t="s">
        <v>0</v>
      </c>
      <c r="D312" s="956">
        <v>1442</v>
      </c>
      <c r="E312" s="956">
        <v>5975</v>
      </c>
      <c r="F312" s="956">
        <v>8472</v>
      </c>
      <c r="G312" s="956">
        <v>9388</v>
      </c>
      <c r="H312" s="957">
        <v>3059</v>
      </c>
    </row>
    <row r="313" spans="2:8" x14ac:dyDescent="0.2">
      <c r="B313" s="444" t="str">
        <f t="shared" si="30"/>
        <v>LACAgeAnnualBrighton &amp; Hove</v>
      </c>
      <c r="C313" s="914" t="s">
        <v>31</v>
      </c>
      <c r="D313" s="956">
        <v>2611</v>
      </c>
      <c r="E313" s="956">
        <v>11157</v>
      </c>
      <c r="F313" s="956">
        <v>14713</v>
      </c>
      <c r="G313" s="956">
        <v>16895</v>
      </c>
      <c r="H313" s="957">
        <v>5629</v>
      </c>
    </row>
    <row r="314" spans="2:8" x14ac:dyDescent="0.2">
      <c r="B314" s="444" t="str">
        <f t="shared" si="30"/>
        <v>LACAgeAnnualBuckinghamshire</v>
      </c>
      <c r="C314" s="913" t="s">
        <v>8</v>
      </c>
      <c r="D314" s="956">
        <v>6048</v>
      </c>
      <c r="E314" s="956">
        <v>26356</v>
      </c>
      <c r="F314" s="956">
        <v>36951</v>
      </c>
      <c r="G314" s="956">
        <v>41951</v>
      </c>
      <c r="H314" s="957">
        <v>13015</v>
      </c>
    </row>
    <row r="315" spans="2:8" x14ac:dyDescent="0.2">
      <c r="B315" s="444" t="str">
        <f t="shared" si="30"/>
        <v>LACAgeAnnualEast Sussex</v>
      </c>
      <c r="C315" s="913" t="s">
        <v>4</v>
      </c>
      <c r="D315" s="956">
        <v>5005</v>
      </c>
      <c r="E315" s="956">
        <v>22101</v>
      </c>
      <c r="F315" s="956">
        <v>31167</v>
      </c>
      <c r="G315" s="956">
        <v>36288</v>
      </c>
      <c r="H315" s="957">
        <v>11817</v>
      </c>
    </row>
    <row r="316" spans="2:8" x14ac:dyDescent="0.2">
      <c r="B316" s="444" t="str">
        <f t="shared" si="30"/>
        <v>LACAgeAnnualHampshire</v>
      </c>
      <c r="C316" s="914" t="s">
        <v>6</v>
      </c>
      <c r="D316" s="956">
        <v>13542</v>
      </c>
      <c r="E316" s="956">
        <v>60846</v>
      </c>
      <c r="F316" s="956">
        <v>83854</v>
      </c>
      <c r="G316" s="956">
        <v>95336</v>
      </c>
      <c r="H316" s="957">
        <v>30424</v>
      </c>
    </row>
    <row r="317" spans="2:8" x14ac:dyDescent="0.2">
      <c r="B317" s="444" t="str">
        <f t="shared" si="30"/>
        <v>LACAgeAnnualIsle of Wight</v>
      </c>
      <c r="C317" s="913" t="s">
        <v>1</v>
      </c>
      <c r="D317" s="956">
        <v>1144</v>
      </c>
      <c r="E317" s="956">
        <v>5318</v>
      </c>
      <c r="F317" s="956">
        <v>7031</v>
      </c>
      <c r="G317" s="956">
        <v>8564</v>
      </c>
      <c r="H317" s="957">
        <v>2812</v>
      </c>
    </row>
    <row r="318" spans="2:8" x14ac:dyDescent="0.2">
      <c r="B318" s="444" t="str">
        <f t="shared" si="30"/>
        <v>LACAgeAnnualKent</v>
      </c>
      <c r="C318" s="913" t="s">
        <v>9</v>
      </c>
      <c r="D318" s="956">
        <v>17431</v>
      </c>
      <c r="E318" s="956">
        <v>73994</v>
      </c>
      <c r="F318" s="956">
        <v>99580</v>
      </c>
      <c r="G318" s="956">
        <v>113500</v>
      </c>
      <c r="H318" s="957">
        <v>35635</v>
      </c>
    </row>
    <row r="319" spans="2:8" x14ac:dyDescent="0.2">
      <c r="B319" s="444" t="str">
        <f t="shared" si="30"/>
        <v>LACAgeAnnualMedway</v>
      </c>
      <c r="C319" s="913" t="s">
        <v>2</v>
      </c>
      <c r="D319" s="956">
        <v>3476</v>
      </c>
      <c r="E319" s="956">
        <v>15018</v>
      </c>
      <c r="F319" s="956">
        <v>18864</v>
      </c>
      <c r="G319" s="956">
        <v>20549</v>
      </c>
      <c r="H319" s="957">
        <v>6484</v>
      </c>
    </row>
    <row r="320" spans="2:8" x14ac:dyDescent="0.2">
      <c r="B320" s="444" t="str">
        <f t="shared" si="30"/>
        <v>LACAgeAnnualMilton Keynes</v>
      </c>
      <c r="C320" s="913" t="s">
        <v>10</v>
      </c>
      <c r="D320" s="956">
        <v>3567</v>
      </c>
      <c r="E320" s="956">
        <v>15481</v>
      </c>
      <c r="F320" s="956">
        <v>21235</v>
      </c>
      <c r="G320" s="956">
        <v>21762</v>
      </c>
      <c r="H320" s="957">
        <v>6233</v>
      </c>
    </row>
    <row r="321" spans="2:10" x14ac:dyDescent="0.2">
      <c r="B321" s="444" t="str">
        <f t="shared" si="30"/>
        <v>LACAgeAnnualOxfordshire</v>
      </c>
      <c r="C321" s="913" t="s">
        <v>11</v>
      </c>
      <c r="D321" s="956">
        <v>7481</v>
      </c>
      <c r="E321" s="956">
        <v>31917</v>
      </c>
      <c r="F321" s="956">
        <v>42783</v>
      </c>
      <c r="G321" s="956">
        <v>47955</v>
      </c>
      <c r="H321" s="957">
        <v>14652</v>
      </c>
    </row>
    <row r="322" spans="2:10" x14ac:dyDescent="0.2">
      <c r="B322" s="444" t="str">
        <f t="shared" si="30"/>
        <v>LACAgeAnnualPortsmouth</v>
      </c>
      <c r="C322" s="913" t="s">
        <v>12</v>
      </c>
      <c r="D322" s="956">
        <v>2406</v>
      </c>
      <c r="E322" s="956">
        <v>10329</v>
      </c>
      <c r="F322" s="956">
        <v>13187</v>
      </c>
      <c r="G322" s="956">
        <v>14006</v>
      </c>
      <c r="H322" s="957">
        <v>4118</v>
      </c>
    </row>
    <row r="323" spans="2:10" x14ac:dyDescent="0.2">
      <c r="B323" s="444" t="str">
        <f t="shared" si="30"/>
        <v>LACAgeAnnualReading</v>
      </c>
      <c r="C323" s="913" t="s">
        <v>3</v>
      </c>
      <c r="D323" s="956">
        <v>2249</v>
      </c>
      <c r="E323" s="956">
        <v>9383</v>
      </c>
      <c r="F323" s="956">
        <v>11198</v>
      </c>
      <c r="G323" s="956">
        <v>11046</v>
      </c>
      <c r="H323" s="957">
        <v>3204</v>
      </c>
    </row>
    <row r="324" spans="2:10" x14ac:dyDescent="0.2">
      <c r="B324" s="444" t="str">
        <f t="shared" si="30"/>
        <v>LACAgeAnnualSlough</v>
      </c>
      <c r="C324" s="913" t="s">
        <v>13</v>
      </c>
      <c r="D324" s="956">
        <v>2451</v>
      </c>
      <c r="E324" s="956">
        <v>10376</v>
      </c>
      <c r="F324" s="956">
        <v>13027</v>
      </c>
      <c r="G324" s="956">
        <v>13222</v>
      </c>
      <c r="H324" s="957">
        <v>3623</v>
      </c>
    </row>
    <row r="325" spans="2:10" x14ac:dyDescent="0.2">
      <c r="B325" s="444" t="str">
        <f t="shared" si="30"/>
        <v>LACAgeAnnualSomerset</v>
      </c>
      <c r="C325" s="913" t="s">
        <v>93</v>
      </c>
      <c r="D325" s="956">
        <v>5401</v>
      </c>
      <c r="E325" s="956">
        <v>23603</v>
      </c>
      <c r="F325" s="956">
        <v>32182</v>
      </c>
      <c r="G325" s="956">
        <v>37564</v>
      </c>
      <c r="H325" s="957">
        <v>11950</v>
      </c>
    </row>
    <row r="326" spans="2:10" x14ac:dyDescent="0.2">
      <c r="B326" s="444" t="str">
        <f t="shared" si="30"/>
        <v>LACAgeAnnualSouthampton</v>
      </c>
      <c r="C326" s="913" t="s">
        <v>14</v>
      </c>
      <c r="D326" s="956">
        <v>3058</v>
      </c>
      <c r="E326" s="956">
        <v>12708</v>
      </c>
      <c r="F326" s="956">
        <v>15475</v>
      </c>
      <c r="G326" s="956">
        <v>15126</v>
      </c>
      <c r="H326" s="957">
        <v>4465</v>
      </c>
    </row>
    <row r="327" spans="2:10" x14ac:dyDescent="0.2">
      <c r="B327" s="444" t="str">
        <f t="shared" si="30"/>
        <v>LACAgeAnnualSurrey</v>
      </c>
      <c r="C327" s="913" t="s">
        <v>7</v>
      </c>
      <c r="D327" s="956">
        <v>12975</v>
      </c>
      <c r="E327" s="956">
        <v>57099</v>
      </c>
      <c r="F327" s="956">
        <v>77727</v>
      </c>
      <c r="G327" s="956">
        <v>86950</v>
      </c>
      <c r="H327" s="957">
        <v>27154</v>
      </c>
    </row>
    <row r="328" spans="2:10" x14ac:dyDescent="0.2">
      <c r="B328" s="444" t="str">
        <f t="shared" si="30"/>
        <v>LACAgeAnnualSwindon</v>
      </c>
      <c r="C328" s="913" t="s">
        <v>114</v>
      </c>
      <c r="D328" s="956">
        <v>2785</v>
      </c>
      <c r="E328" s="956">
        <v>11694</v>
      </c>
      <c r="F328" s="956">
        <v>15097</v>
      </c>
      <c r="G328" s="956">
        <v>15831</v>
      </c>
      <c r="H328" s="957">
        <v>4832</v>
      </c>
    </row>
    <row r="329" spans="2:10" x14ac:dyDescent="0.2">
      <c r="B329" s="444" t="str">
        <f t="shared" si="30"/>
        <v>LACAgeAnnualTorbay</v>
      </c>
      <c r="C329" s="913" t="s">
        <v>115</v>
      </c>
      <c r="D329" s="956">
        <v>1247</v>
      </c>
      <c r="E329" s="956">
        <v>5671</v>
      </c>
      <c r="F329" s="956">
        <v>7450</v>
      </c>
      <c r="G329" s="956">
        <v>8454</v>
      </c>
      <c r="H329" s="957">
        <v>2601</v>
      </c>
    </row>
    <row r="330" spans="2:10" x14ac:dyDescent="0.2">
      <c r="B330" s="444" t="str">
        <f t="shared" si="30"/>
        <v>LACAgeAnnualWest Berkshire</v>
      </c>
      <c r="C330" s="913" t="s">
        <v>15</v>
      </c>
      <c r="D330" s="956">
        <v>1693</v>
      </c>
      <c r="E330" s="956">
        <v>7287</v>
      </c>
      <c r="F330" s="956">
        <v>10315</v>
      </c>
      <c r="G330" s="956">
        <v>12348</v>
      </c>
      <c r="H330" s="957">
        <v>3980</v>
      </c>
    </row>
    <row r="331" spans="2:10" x14ac:dyDescent="0.2">
      <c r="B331" s="444" t="str">
        <f t="shared" si="30"/>
        <v>LACAgeAnnualWest Sussex</v>
      </c>
      <c r="C331" s="913" t="s">
        <v>5</v>
      </c>
      <c r="D331" s="956">
        <v>8578</v>
      </c>
      <c r="E331" s="956">
        <v>38243</v>
      </c>
      <c r="F331" s="956">
        <v>52172</v>
      </c>
      <c r="G331" s="956">
        <v>57865</v>
      </c>
      <c r="H331" s="957">
        <v>17814</v>
      </c>
    </row>
    <row r="332" spans="2:10" x14ac:dyDescent="0.2">
      <c r="B332" s="444" t="str">
        <f t="shared" si="30"/>
        <v>LACAgeAnnualWindsor &amp; Maidenhead</v>
      </c>
      <c r="C332" s="914" t="s">
        <v>30</v>
      </c>
      <c r="D332" s="956">
        <v>1648</v>
      </c>
      <c r="E332" s="956">
        <v>7030</v>
      </c>
      <c r="F332" s="956">
        <v>9852</v>
      </c>
      <c r="G332" s="956">
        <v>12047</v>
      </c>
      <c r="H332" s="957">
        <v>4027</v>
      </c>
    </row>
    <row r="333" spans="2:10" x14ac:dyDescent="0.2">
      <c r="B333" s="444" t="str">
        <f t="shared" si="30"/>
        <v>LACAgeAnnualWokingham</v>
      </c>
      <c r="C333" s="913" t="s">
        <v>16</v>
      </c>
      <c r="D333" s="956">
        <v>1714</v>
      </c>
      <c r="E333" s="956">
        <v>8108</v>
      </c>
      <c r="F333" s="956">
        <v>12239</v>
      </c>
      <c r="G333" s="956">
        <v>13382</v>
      </c>
      <c r="H333" s="957">
        <v>4089</v>
      </c>
      <c r="J333" s="922"/>
    </row>
    <row r="334" spans="2:10" x14ac:dyDescent="0.2">
      <c r="B334" s="444" t="str">
        <f t="shared" si="30"/>
        <v>LACAgeAnnualSouth East</v>
      </c>
      <c r="C334" s="915" t="s">
        <v>74</v>
      </c>
      <c r="D334" s="956">
        <v>98519</v>
      </c>
      <c r="E334" s="956">
        <v>428726</v>
      </c>
      <c r="F334" s="956">
        <v>579842</v>
      </c>
      <c r="G334" s="956">
        <v>648180</v>
      </c>
      <c r="H334" s="956">
        <v>202234</v>
      </c>
      <c r="J334" s="922"/>
    </row>
    <row r="335" spans="2:10" x14ac:dyDescent="0.2">
      <c r="B335" s="444" t="str">
        <f t="shared" si="30"/>
        <v>LACAgeAnnualEngland</v>
      </c>
      <c r="C335" s="916" t="s">
        <v>126</v>
      </c>
      <c r="D335" s="958">
        <v>637834</v>
      </c>
      <c r="E335" s="958">
        <v>2708893</v>
      </c>
      <c r="F335" s="958">
        <v>3523866</v>
      </c>
      <c r="G335" s="958">
        <v>3877865</v>
      </c>
      <c r="H335" s="958">
        <v>1206160</v>
      </c>
      <c r="J335" s="922"/>
    </row>
    <row r="336" spans="2:10" x14ac:dyDescent="0.2">
      <c r="J336" s="922"/>
    </row>
    <row r="337" spans="2:10" x14ac:dyDescent="0.2">
      <c r="B337" s="933" t="s">
        <v>778</v>
      </c>
      <c r="C337" s="751" t="s">
        <v>779</v>
      </c>
      <c r="J337" s="922"/>
    </row>
    <row r="338" spans="2:10" x14ac:dyDescent="0.2">
      <c r="B338" s="917" t="s">
        <v>740</v>
      </c>
      <c r="C338" s="444" t="s">
        <v>660</v>
      </c>
      <c r="D338" s="924" t="str">
        <f>D$20</f>
        <v>2014-15</v>
      </c>
      <c r="E338" s="924" t="str">
        <f t="shared" ref="E338:H338" si="31">E$20</f>
        <v>2015-16</v>
      </c>
      <c r="F338" s="924" t="str">
        <f t="shared" si="31"/>
        <v>2016-17</v>
      </c>
      <c r="G338" s="924" t="str">
        <f t="shared" si="31"/>
        <v>2017-18</v>
      </c>
      <c r="H338" s="924" t="str">
        <f t="shared" si="31"/>
        <v>2018-19</v>
      </c>
      <c r="J338" s="922"/>
    </row>
    <row r="339" spans="2:10" x14ac:dyDescent="0.2">
      <c r="B339" s="444" t="str">
        <f>CONCATENATE($B$337,$C$254,C339)</f>
        <v>5-15Annual</v>
      </c>
      <c r="C339" s="912"/>
      <c r="D339" s="995" t="s">
        <v>1012</v>
      </c>
      <c r="E339" s="995" t="s">
        <v>1012</v>
      </c>
      <c r="F339" s="1206" t="s">
        <v>1012</v>
      </c>
      <c r="G339" s="995" t="s">
        <v>222</v>
      </c>
      <c r="H339" s="995" t="s">
        <v>1013</v>
      </c>
      <c r="J339" s="922"/>
    </row>
    <row r="340" spans="2:10" x14ac:dyDescent="0.2">
      <c r="B340" s="444" t="str">
        <f t="shared" ref="B340:B363" si="32">CONCATENATE($B$337,$C$254,C340)</f>
        <v>5-15AnnualBracknell Forest</v>
      </c>
      <c r="C340" s="913" t="s">
        <v>0</v>
      </c>
      <c r="D340" s="911"/>
      <c r="E340" s="911"/>
      <c r="F340" s="954"/>
      <c r="G340" s="911">
        <v>17400</v>
      </c>
      <c r="H340" s="954">
        <v>17900</v>
      </c>
      <c r="J340" s="922"/>
    </row>
    <row r="341" spans="2:10" x14ac:dyDescent="0.2">
      <c r="B341" s="444" t="str">
        <f t="shared" si="32"/>
        <v>5-15AnnualBrighton &amp; Hove</v>
      </c>
      <c r="C341" s="914" t="s">
        <v>31</v>
      </c>
      <c r="D341" s="911"/>
      <c r="E341" s="911"/>
      <c r="F341" s="954"/>
      <c r="G341" s="911">
        <v>31200</v>
      </c>
      <c r="H341" s="954">
        <v>31600</v>
      </c>
      <c r="J341" s="922"/>
    </row>
    <row r="342" spans="2:10" x14ac:dyDescent="0.2">
      <c r="B342" s="444" t="str">
        <f t="shared" si="32"/>
        <v>5-15AnnualBuckinghamshire</v>
      </c>
      <c r="C342" s="913" t="s">
        <v>8</v>
      </c>
      <c r="D342" s="911"/>
      <c r="E342" s="911"/>
      <c r="F342" s="954"/>
      <c r="G342" s="911">
        <v>77300</v>
      </c>
      <c r="H342" s="954">
        <v>78900</v>
      </c>
      <c r="J342" s="922"/>
    </row>
    <row r="343" spans="2:10" x14ac:dyDescent="0.2">
      <c r="B343" s="444" t="str">
        <f t="shared" si="32"/>
        <v>5-15AnnualEast Sussex</v>
      </c>
      <c r="C343" s="913" t="s">
        <v>4</v>
      </c>
      <c r="D343" s="911"/>
      <c r="E343" s="911"/>
      <c r="F343" s="954"/>
      <c r="G343" s="911">
        <v>66500</v>
      </c>
      <c r="H343" s="954">
        <v>67500</v>
      </c>
      <c r="J343" s="922"/>
    </row>
    <row r="344" spans="2:10" x14ac:dyDescent="0.2">
      <c r="B344" s="444" t="str">
        <f t="shared" si="32"/>
        <v>5-15AnnualHampshire</v>
      </c>
      <c r="C344" s="914" t="s">
        <v>6</v>
      </c>
      <c r="D344" s="911"/>
      <c r="E344" s="911"/>
      <c r="F344" s="954"/>
      <c r="G344" s="911">
        <v>176600</v>
      </c>
      <c r="H344" s="954">
        <v>179200</v>
      </c>
      <c r="J344" s="922"/>
    </row>
    <row r="345" spans="2:10" x14ac:dyDescent="0.2">
      <c r="B345" s="444" t="str">
        <f t="shared" si="32"/>
        <v>5-15AnnualIsle of Wight</v>
      </c>
      <c r="C345" s="913" t="s">
        <v>1</v>
      </c>
      <c r="D345" s="911"/>
      <c r="E345" s="911"/>
      <c r="F345" s="954"/>
      <c r="G345" s="911">
        <v>15400</v>
      </c>
      <c r="H345" s="954">
        <v>15600</v>
      </c>
      <c r="J345" s="922"/>
    </row>
    <row r="346" spans="2:10" x14ac:dyDescent="0.2">
      <c r="B346" s="444" t="str">
        <f t="shared" si="32"/>
        <v>5-15AnnualKent</v>
      </c>
      <c r="C346" s="913" t="s">
        <v>9</v>
      </c>
      <c r="D346" s="911"/>
      <c r="E346" s="911"/>
      <c r="F346" s="954"/>
      <c r="G346" s="911">
        <v>208500</v>
      </c>
      <c r="H346" s="954">
        <v>213100</v>
      </c>
      <c r="J346" s="922"/>
    </row>
    <row r="347" spans="2:10" x14ac:dyDescent="0.2">
      <c r="B347" s="444" t="str">
        <f t="shared" si="32"/>
        <v>5-15AnnualMedway</v>
      </c>
      <c r="C347" s="913" t="s">
        <v>2</v>
      </c>
      <c r="D347" s="911"/>
      <c r="E347" s="911"/>
      <c r="F347" s="954"/>
      <c r="G347" s="911">
        <v>38700</v>
      </c>
      <c r="H347" s="954">
        <v>39400</v>
      </c>
      <c r="J347" s="922"/>
    </row>
    <row r="348" spans="2:10" x14ac:dyDescent="0.2">
      <c r="B348" s="444" t="str">
        <f t="shared" si="32"/>
        <v>5-15AnnualMilton Keynes</v>
      </c>
      <c r="C348" s="913" t="s">
        <v>10</v>
      </c>
      <c r="D348" s="911"/>
      <c r="E348" s="911"/>
      <c r="F348" s="954"/>
      <c r="G348" s="911">
        <v>42000</v>
      </c>
      <c r="H348" s="954">
        <v>43000</v>
      </c>
      <c r="J348" s="922"/>
    </row>
    <row r="349" spans="2:10" x14ac:dyDescent="0.2">
      <c r="B349" s="444" t="str">
        <f t="shared" si="32"/>
        <v>5-15AnnualOxfordshire</v>
      </c>
      <c r="C349" s="913" t="s">
        <v>11</v>
      </c>
      <c r="D349" s="911"/>
      <c r="E349" s="911"/>
      <c r="F349" s="954"/>
      <c r="G349" s="911">
        <v>88700</v>
      </c>
      <c r="H349" s="954">
        <v>90700</v>
      </c>
      <c r="J349" s="922"/>
    </row>
    <row r="350" spans="2:10" x14ac:dyDescent="0.2">
      <c r="B350" s="444" t="str">
        <f t="shared" si="32"/>
        <v>5-15AnnualPortsmouth</v>
      </c>
      <c r="C350" s="913" t="s">
        <v>12</v>
      </c>
      <c r="D350" s="911"/>
      <c r="E350" s="911"/>
      <c r="F350" s="954"/>
      <c r="G350" s="911">
        <v>26800</v>
      </c>
      <c r="H350" s="954">
        <v>27200</v>
      </c>
      <c r="J350" s="922"/>
    </row>
    <row r="351" spans="2:10" x14ac:dyDescent="0.2">
      <c r="B351" s="444" t="str">
        <f t="shared" si="32"/>
        <v>5-15AnnualReading</v>
      </c>
      <c r="C351" s="913" t="s">
        <v>3</v>
      </c>
      <c r="D351" s="911"/>
      <c r="E351" s="911"/>
      <c r="F351" s="954"/>
      <c r="G351" s="911">
        <v>21600</v>
      </c>
      <c r="H351" s="954">
        <v>22200</v>
      </c>
      <c r="J351" s="922"/>
    </row>
    <row r="352" spans="2:10" x14ac:dyDescent="0.2">
      <c r="B352" s="444" t="str">
        <f t="shared" si="32"/>
        <v>5-15AnnualSlough</v>
      </c>
      <c r="C352" s="913" t="s">
        <v>13</v>
      </c>
      <c r="D352" s="911"/>
      <c r="E352" s="911"/>
      <c r="F352" s="954"/>
      <c r="G352" s="911">
        <v>25500</v>
      </c>
      <c r="H352" s="954">
        <v>26200</v>
      </c>
      <c r="J352" s="922"/>
    </row>
    <row r="353" spans="2:10" x14ac:dyDescent="0.2">
      <c r="B353" s="444" t="str">
        <f t="shared" si="32"/>
        <v>5-15AnnualSomerset</v>
      </c>
      <c r="C353" s="913" t="s">
        <v>93</v>
      </c>
      <c r="D353" s="911"/>
      <c r="E353" s="911"/>
      <c r="F353" s="954"/>
      <c r="G353" s="911">
        <v>68300</v>
      </c>
      <c r="H353" s="954">
        <v>69700</v>
      </c>
      <c r="J353" s="922"/>
    </row>
    <row r="354" spans="2:10" x14ac:dyDescent="0.2">
      <c r="B354" s="444" t="str">
        <f t="shared" si="32"/>
        <v>5-15AnnualSouthampton</v>
      </c>
      <c r="C354" s="913" t="s">
        <v>14</v>
      </c>
      <c r="D354" s="911"/>
      <c r="E354" s="911"/>
      <c r="F354" s="954"/>
      <c r="G354" s="911">
        <v>29700</v>
      </c>
      <c r="H354" s="954">
        <v>30600</v>
      </c>
      <c r="J354" s="922"/>
    </row>
    <row r="355" spans="2:10" x14ac:dyDescent="0.2">
      <c r="B355" s="444" t="str">
        <f t="shared" si="32"/>
        <v>5-15AnnualSurrey</v>
      </c>
      <c r="C355" s="913" t="s">
        <v>7</v>
      </c>
      <c r="D355" s="911"/>
      <c r="E355" s="911"/>
      <c r="F355" s="954"/>
      <c r="G355" s="911">
        <v>161700</v>
      </c>
      <c r="H355" s="954">
        <v>164700</v>
      </c>
      <c r="J355" s="922"/>
    </row>
    <row r="356" spans="2:10" x14ac:dyDescent="0.2">
      <c r="B356" s="444" t="str">
        <f t="shared" si="32"/>
        <v>5-15AnnualSwindon</v>
      </c>
      <c r="C356" s="913" t="s">
        <v>114</v>
      </c>
      <c r="D356" s="911"/>
      <c r="E356" s="911"/>
      <c r="F356" s="954"/>
      <c r="G356" s="911">
        <v>30200</v>
      </c>
      <c r="H356" s="954">
        <v>30900</v>
      </c>
      <c r="J356" s="922"/>
    </row>
    <row r="357" spans="2:10" x14ac:dyDescent="0.2">
      <c r="B357" s="444" t="str">
        <f t="shared" si="32"/>
        <v>5-15AnnualTorbay</v>
      </c>
      <c r="C357" s="913" t="s">
        <v>115</v>
      </c>
      <c r="D357" s="911"/>
      <c r="E357" s="911"/>
      <c r="F357" s="954"/>
      <c r="G357" s="911">
        <v>15500</v>
      </c>
      <c r="H357" s="954">
        <v>15900</v>
      </c>
      <c r="J357" s="922"/>
    </row>
    <row r="358" spans="2:10" x14ac:dyDescent="0.2">
      <c r="B358" s="444" t="str">
        <f t="shared" si="32"/>
        <v>5-15AnnualWest Berkshire</v>
      </c>
      <c r="C358" s="913" t="s">
        <v>15</v>
      </c>
      <c r="D358" s="911"/>
      <c r="E358" s="911"/>
      <c r="F358" s="954"/>
      <c r="G358" s="911">
        <v>22400</v>
      </c>
      <c r="H358" s="954">
        <v>22700</v>
      </c>
      <c r="J358" s="922"/>
    </row>
    <row r="359" spans="2:10" x14ac:dyDescent="0.2">
      <c r="B359" s="444" t="str">
        <f t="shared" si="32"/>
        <v>5-15AnnualWest Sussex</v>
      </c>
      <c r="C359" s="913" t="s">
        <v>5</v>
      </c>
      <c r="D359" s="911"/>
      <c r="E359" s="911"/>
      <c r="F359" s="954"/>
      <c r="G359" s="911">
        <v>107800</v>
      </c>
      <c r="H359" s="954">
        <v>110000</v>
      </c>
      <c r="J359" s="922"/>
    </row>
    <row r="360" spans="2:10" x14ac:dyDescent="0.2">
      <c r="B360" s="444" t="str">
        <f t="shared" si="32"/>
        <v>5-15AnnualWindsor &amp; Maidenhead</v>
      </c>
      <c r="C360" s="914" t="s">
        <v>30</v>
      </c>
      <c r="D360" s="911"/>
      <c r="E360" s="911"/>
      <c r="F360" s="954"/>
      <c r="G360" s="911">
        <v>21600</v>
      </c>
      <c r="H360" s="954">
        <v>21900</v>
      </c>
      <c r="J360" s="922"/>
    </row>
    <row r="361" spans="2:10" x14ac:dyDescent="0.2">
      <c r="B361" s="444" t="str">
        <f t="shared" si="32"/>
        <v>5-15AnnualWokingham</v>
      </c>
      <c r="C361" s="913" t="s">
        <v>16</v>
      </c>
      <c r="D361" s="911"/>
      <c r="E361" s="911"/>
      <c r="F361" s="954"/>
      <c r="G361" s="911">
        <v>24800</v>
      </c>
      <c r="H361" s="954">
        <v>25600</v>
      </c>
      <c r="J361" s="922"/>
    </row>
    <row r="362" spans="2:10" x14ac:dyDescent="0.2">
      <c r="B362" s="444" t="str">
        <f t="shared" si="32"/>
        <v>5-15AnnualSouth East</v>
      </c>
      <c r="C362" s="915" t="s">
        <v>74</v>
      </c>
      <c r="D362" s="911"/>
      <c r="E362" s="911"/>
      <c r="F362" s="954"/>
      <c r="G362" s="911">
        <v>1204300</v>
      </c>
      <c r="H362" s="954">
        <v>1228000</v>
      </c>
      <c r="J362" s="922"/>
    </row>
    <row r="363" spans="2:10" x14ac:dyDescent="0.2">
      <c r="B363" s="444" t="str">
        <f t="shared" si="32"/>
        <v>5-15AnnualEngland</v>
      </c>
      <c r="C363" s="916" t="s">
        <v>126</v>
      </c>
      <c r="D363" s="911"/>
      <c r="E363" s="911"/>
      <c r="F363" s="954"/>
      <c r="G363" s="911">
        <v>7253000</v>
      </c>
      <c r="H363" s="954">
        <v>7401700</v>
      </c>
      <c r="J363" s="922"/>
    </row>
    <row r="365" spans="2:10" x14ac:dyDescent="0.2">
      <c r="B365" s="933" t="s">
        <v>778</v>
      </c>
      <c r="C365" s="751" t="s">
        <v>779</v>
      </c>
      <c r="D365" s="924" t="str">
        <f>D$22</f>
        <v>2018-19</v>
      </c>
      <c r="E365" s="924" t="str">
        <f t="shared" ref="E365:H365" si="33">E$22</f>
        <v>2018-19</v>
      </c>
      <c r="F365" s="924" t="str">
        <f t="shared" si="33"/>
        <v>2018-19</v>
      </c>
      <c r="G365" s="924" t="str">
        <f t="shared" si="33"/>
        <v>2018-19</v>
      </c>
      <c r="H365" s="924" t="str">
        <f t="shared" si="33"/>
        <v>2019-20</v>
      </c>
    </row>
    <row r="366" spans="2:10" x14ac:dyDescent="0.2">
      <c r="B366" s="917" t="s">
        <v>740</v>
      </c>
      <c r="C366" s="444" t="s">
        <v>666</v>
      </c>
      <c r="D366" s="924" t="str">
        <f>D$23</f>
        <v>Q1</v>
      </c>
      <c r="E366" s="924" t="str">
        <f t="shared" ref="E366:H366" si="34">E$23</f>
        <v>Q2</v>
      </c>
      <c r="F366" s="924" t="str">
        <f t="shared" si="34"/>
        <v>Q3</v>
      </c>
      <c r="G366" s="924" t="str">
        <f t="shared" si="34"/>
        <v>Q4</v>
      </c>
      <c r="H366" s="924" t="str">
        <f t="shared" si="34"/>
        <v>Q1</v>
      </c>
    </row>
    <row r="367" spans="2:10" x14ac:dyDescent="0.2">
      <c r="B367" s="444" t="str">
        <f>CONCATENATE($B$337,$C$282,C367)</f>
        <v>5-15Quarterly</v>
      </c>
      <c r="C367" s="912"/>
      <c r="D367" s="995" t="s">
        <v>1013</v>
      </c>
      <c r="E367" s="1206" t="s">
        <v>1013</v>
      </c>
      <c r="F367" s="1206" t="s">
        <v>1013</v>
      </c>
      <c r="G367" s="1206" t="s">
        <v>1013</v>
      </c>
      <c r="H367" s="1206" t="s">
        <v>1013</v>
      </c>
    </row>
    <row r="368" spans="2:10" x14ac:dyDescent="0.2">
      <c r="B368" s="444" t="str">
        <f t="shared" ref="B368:B391" si="35">CONCATENATE($B$337,$C$282,C368)</f>
        <v>5-15QuarterlyBracknell Forest</v>
      </c>
      <c r="C368" s="913" t="s">
        <v>0</v>
      </c>
      <c r="D368" s="954">
        <v>17900</v>
      </c>
      <c r="E368" s="954">
        <v>17900</v>
      </c>
      <c r="F368" s="954">
        <v>17900</v>
      </c>
      <c r="G368" s="954">
        <v>17900</v>
      </c>
      <c r="H368" s="954">
        <v>17900</v>
      </c>
    </row>
    <row r="369" spans="2:8" x14ac:dyDescent="0.2">
      <c r="B369" s="444" t="str">
        <f t="shared" si="35"/>
        <v>5-15QuarterlyBrighton &amp; Hove</v>
      </c>
      <c r="C369" s="914" t="s">
        <v>31</v>
      </c>
      <c r="D369" s="954">
        <v>31600</v>
      </c>
      <c r="E369" s="954">
        <v>31600</v>
      </c>
      <c r="F369" s="954">
        <v>31600</v>
      </c>
      <c r="G369" s="954">
        <v>31600</v>
      </c>
      <c r="H369" s="954">
        <v>31600</v>
      </c>
    </row>
    <row r="370" spans="2:8" x14ac:dyDescent="0.2">
      <c r="B370" s="444" t="str">
        <f t="shared" si="35"/>
        <v>5-15QuarterlyBuckinghamshire</v>
      </c>
      <c r="C370" s="913" t="s">
        <v>8</v>
      </c>
      <c r="D370" s="954">
        <v>78900</v>
      </c>
      <c r="E370" s="954">
        <v>78900</v>
      </c>
      <c r="F370" s="954">
        <v>78900</v>
      </c>
      <c r="G370" s="954">
        <v>78900</v>
      </c>
      <c r="H370" s="954">
        <v>78900</v>
      </c>
    </row>
    <row r="371" spans="2:8" x14ac:dyDescent="0.2">
      <c r="B371" s="444" t="str">
        <f t="shared" si="35"/>
        <v>5-15QuarterlyEast Sussex</v>
      </c>
      <c r="C371" s="913" t="s">
        <v>4</v>
      </c>
      <c r="D371" s="954">
        <v>67500</v>
      </c>
      <c r="E371" s="954">
        <v>67500</v>
      </c>
      <c r="F371" s="954">
        <v>67500</v>
      </c>
      <c r="G371" s="954">
        <v>67500</v>
      </c>
      <c r="H371" s="954">
        <v>67500</v>
      </c>
    </row>
    <row r="372" spans="2:8" x14ac:dyDescent="0.2">
      <c r="B372" s="444" t="str">
        <f t="shared" si="35"/>
        <v>5-15QuarterlyHampshire</v>
      </c>
      <c r="C372" s="914" t="s">
        <v>6</v>
      </c>
      <c r="D372" s="954">
        <v>179200</v>
      </c>
      <c r="E372" s="954">
        <v>179200</v>
      </c>
      <c r="F372" s="954">
        <v>179200</v>
      </c>
      <c r="G372" s="954">
        <v>179200</v>
      </c>
      <c r="H372" s="954">
        <v>179200</v>
      </c>
    </row>
    <row r="373" spans="2:8" x14ac:dyDescent="0.2">
      <c r="B373" s="444" t="str">
        <f t="shared" si="35"/>
        <v>5-15QuarterlyIsle of Wight</v>
      </c>
      <c r="C373" s="913" t="s">
        <v>1</v>
      </c>
      <c r="D373" s="954">
        <v>15600</v>
      </c>
      <c r="E373" s="954">
        <v>15600</v>
      </c>
      <c r="F373" s="954">
        <v>15600</v>
      </c>
      <c r="G373" s="954">
        <v>15600</v>
      </c>
      <c r="H373" s="954">
        <v>15600</v>
      </c>
    </row>
    <row r="374" spans="2:8" x14ac:dyDescent="0.2">
      <c r="B374" s="444" t="str">
        <f t="shared" si="35"/>
        <v>5-15QuarterlyKent</v>
      </c>
      <c r="C374" s="913" t="s">
        <v>9</v>
      </c>
      <c r="D374" s="954">
        <v>213100</v>
      </c>
      <c r="E374" s="954">
        <v>213100</v>
      </c>
      <c r="F374" s="954">
        <v>213100</v>
      </c>
      <c r="G374" s="954">
        <v>213100</v>
      </c>
      <c r="H374" s="954">
        <v>213100</v>
      </c>
    </row>
    <row r="375" spans="2:8" x14ac:dyDescent="0.2">
      <c r="B375" s="444" t="str">
        <f t="shared" si="35"/>
        <v>5-15QuarterlyMedway</v>
      </c>
      <c r="C375" s="913" t="s">
        <v>2</v>
      </c>
      <c r="D375" s="954">
        <v>39400</v>
      </c>
      <c r="E375" s="954">
        <v>39400</v>
      </c>
      <c r="F375" s="954">
        <v>39400</v>
      </c>
      <c r="G375" s="954">
        <v>39400</v>
      </c>
      <c r="H375" s="954">
        <v>39400</v>
      </c>
    </row>
    <row r="376" spans="2:8" x14ac:dyDescent="0.2">
      <c r="B376" s="444" t="str">
        <f t="shared" si="35"/>
        <v>5-15QuarterlyMilton Keynes</v>
      </c>
      <c r="C376" s="913" t="s">
        <v>10</v>
      </c>
      <c r="D376" s="954">
        <v>43000</v>
      </c>
      <c r="E376" s="954">
        <v>43000</v>
      </c>
      <c r="F376" s="954">
        <v>43000</v>
      </c>
      <c r="G376" s="954">
        <v>43000</v>
      </c>
      <c r="H376" s="954">
        <v>43000</v>
      </c>
    </row>
    <row r="377" spans="2:8" x14ac:dyDescent="0.2">
      <c r="B377" s="444" t="str">
        <f t="shared" si="35"/>
        <v>5-15QuarterlyOxfordshire</v>
      </c>
      <c r="C377" s="913" t="s">
        <v>11</v>
      </c>
      <c r="D377" s="954">
        <v>90700</v>
      </c>
      <c r="E377" s="954">
        <v>90700</v>
      </c>
      <c r="F377" s="954">
        <v>90700</v>
      </c>
      <c r="G377" s="954">
        <v>90700</v>
      </c>
      <c r="H377" s="954">
        <v>90700</v>
      </c>
    </row>
    <row r="378" spans="2:8" x14ac:dyDescent="0.2">
      <c r="B378" s="444" t="str">
        <f t="shared" si="35"/>
        <v>5-15QuarterlyPortsmouth</v>
      </c>
      <c r="C378" s="913" t="s">
        <v>12</v>
      </c>
      <c r="D378" s="954">
        <v>27200</v>
      </c>
      <c r="E378" s="954">
        <v>27200</v>
      </c>
      <c r="F378" s="954">
        <v>27200</v>
      </c>
      <c r="G378" s="954">
        <v>27200</v>
      </c>
      <c r="H378" s="954">
        <v>27200</v>
      </c>
    </row>
    <row r="379" spans="2:8" x14ac:dyDescent="0.2">
      <c r="B379" s="444" t="str">
        <f t="shared" si="35"/>
        <v>5-15QuarterlyReading</v>
      </c>
      <c r="C379" s="913" t="s">
        <v>3</v>
      </c>
      <c r="D379" s="954">
        <v>22200</v>
      </c>
      <c r="E379" s="954">
        <v>22200</v>
      </c>
      <c r="F379" s="954">
        <v>22200</v>
      </c>
      <c r="G379" s="954">
        <v>22200</v>
      </c>
      <c r="H379" s="954">
        <v>22200</v>
      </c>
    </row>
    <row r="380" spans="2:8" x14ac:dyDescent="0.2">
      <c r="B380" s="444" t="str">
        <f t="shared" si="35"/>
        <v>5-15QuarterlySlough</v>
      </c>
      <c r="C380" s="913" t="s">
        <v>13</v>
      </c>
      <c r="D380" s="954">
        <v>26200</v>
      </c>
      <c r="E380" s="954">
        <v>26200</v>
      </c>
      <c r="F380" s="954">
        <v>26200</v>
      </c>
      <c r="G380" s="954">
        <v>26200</v>
      </c>
      <c r="H380" s="954">
        <v>26200</v>
      </c>
    </row>
    <row r="381" spans="2:8" x14ac:dyDescent="0.2">
      <c r="B381" s="444" t="str">
        <f t="shared" si="35"/>
        <v>5-15QuarterlySomerset</v>
      </c>
      <c r="C381" s="913" t="s">
        <v>93</v>
      </c>
      <c r="D381" s="954">
        <v>69700</v>
      </c>
      <c r="E381" s="954">
        <v>69700</v>
      </c>
      <c r="F381" s="954">
        <v>69700</v>
      </c>
      <c r="G381" s="954">
        <v>69700</v>
      </c>
      <c r="H381" s="954">
        <v>69700</v>
      </c>
    </row>
    <row r="382" spans="2:8" x14ac:dyDescent="0.2">
      <c r="B382" s="444" t="str">
        <f t="shared" si="35"/>
        <v>5-15QuarterlySouthampton</v>
      </c>
      <c r="C382" s="913" t="s">
        <v>14</v>
      </c>
      <c r="D382" s="954">
        <v>30600</v>
      </c>
      <c r="E382" s="954">
        <v>30600</v>
      </c>
      <c r="F382" s="954">
        <v>30600</v>
      </c>
      <c r="G382" s="954">
        <v>30600</v>
      </c>
      <c r="H382" s="954">
        <v>30600</v>
      </c>
    </row>
    <row r="383" spans="2:8" x14ac:dyDescent="0.2">
      <c r="B383" s="444" t="str">
        <f t="shared" si="35"/>
        <v>5-15QuarterlySurrey</v>
      </c>
      <c r="C383" s="913" t="s">
        <v>7</v>
      </c>
      <c r="D383" s="954">
        <v>164700</v>
      </c>
      <c r="E383" s="954">
        <v>164700</v>
      </c>
      <c r="F383" s="954">
        <v>164700</v>
      </c>
      <c r="G383" s="954">
        <v>164700</v>
      </c>
      <c r="H383" s="954">
        <v>164700</v>
      </c>
    </row>
    <row r="384" spans="2:8" x14ac:dyDescent="0.2">
      <c r="B384" s="444" t="str">
        <f t="shared" si="35"/>
        <v>5-15QuarterlySwindon</v>
      </c>
      <c r="C384" s="913" t="s">
        <v>114</v>
      </c>
      <c r="D384" s="954">
        <v>30900</v>
      </c>
      <c r="E384" s="954">
        <v>30900</v>
      </c>
      <c r="F384" s="954">
        <v>30900</v>
      </c>
      <c r="G384" s="954">
        <v>30900</v>
      </c>
      <c r="H384" s="954">
        <v>30900</v>
      </c>
    </row>
    <row r="385" spans="2:8" x14ac:dyDescent="0.2">
      <c r="B385" s="444" t="str">
        <f t="shared" si="35"/>
        <v>5-15QuarterlyTorbay</v>
      </c>
      <c r="C385" s="913" t="s">
        <v>115</v>
      </c>
      <c r="D385" s="954">
        <v>15900</v>
      </c>
      <c r="E385" s="954">
        <v>15900</v>
      </c>
      <c r="F385" s="954">
        <v>15900</v>
      </c>
      <c r="G385" s="954">
        <v>15900</v>
      </c>
      <c r="H385" s="954">
        <v>15900</v>
      </c>
    </row>
    <row r="386" spans="2:8" x14ac:dyDescent="0.2">
      <c r="B386" s="444" t="str">
        <f t="shared" si="35"/>
        <v>5-15QuarterlyWest Berkshire</v>
      </c>
      <c r="C386" s="913" t="s">
        <v>15</v>
      </c>
      <c r="D386" s="954">
        <v>22700</v>
      </c>
      <c r="E386" s="954">
        <v>22700</v>
      </c>
      <c r="F386" s="954">
        <v>22700</v>
      </c>
      <c r="G386" s="954">
        <v>22700</v>
      </c>
      <c r="H386" s="954">
        <v>22700</v>
      </c>
    </row>
    <row r="387" spans="2:8" x14ac:dyDescent="0.2">
      <c r="B387" s="444" t="str">
        <f t="shared" si="35"/>
        <v>5-15QuarterlyWest Sussex</v>
      </c>
      <c r="C387" s="913" t="s">
        <v>5</v>
      </c>
      <c r="D387" s="954">
        <v>110000</v>
      </c>
      <c r="E387" s="954">
        <v>110000</v>
      </c>
      <c r="F387" s="954">
        <v>110000</v>
      </c>
      <c r="G387" s="954">
        <v>110000</v>
      </c>
      <c r="H387" s="954">
        <v>110000</v>
      </c>
    </row>
    <row r="388" spans="2:8" x14ac:dyDescent="0.2">
      <c r="B388" s="444" t="str">
        <f t="shared" si="35"/>
        <v>5-15QuarterlyWindsor &amp; Maidenhead</v>
      </c>
      <c r="C388" s="914" t="s">
        <v>30</v>
      </c>
      <c r="D388" s="954">
        <v>21900</v>
      </c>
      <c r="E388" s="954">
        <v>21900</v>
      </c>
      <c r="F388" s="954">
        <v>21900</v>
      </c>
      <c r="G388" s="954">
        <v>21900</v>
      </c>
      <c r="H388" s="954">
        <v>21900</v>
      </c>
    </row>
    <row r="389" spans="2:8" x14ac:dyDescent="0.2">
      <c r="B389" s="444" t="str">
        <f t="shared" si="35"/>
        <v>5-15QuarterlyWokingham</v>
      </c>
      <c r="C389" s="913" t="s">
        <v>16</v>
      </c>
      <c r="D389" s="954">
        <v>25600</v>
      </c>
      <c r="E389" s="954">
        <v>25600</v>
      </c>
      <c r="F389" s="954">
        <v>25600</v>
      </c>
      <c r="G389" s="954">
        <v>25600</v>
      </c>
      <c r="H389" s="954">
        <v>25600</v>
      </c>
    </row>
    <row r="390" spans="2:8" x14ac:dyDescent="0.2">
      <c r="B390" s="444" t="str">
        <f t="shared" si="35"/>
        <v>5-15QuarterlySouth East</v>
      </c>
      <c r="C390" s="915" t="s">
        <v>74</v>
      </c>
      <c r="D390" s="954">
        <v>1228000</v>
      </c>
      <c r="E390" s="954">
        <v>1228000</v>
      </c>
      <c r="F390" s="954">
        <v>1228000</v>
      </c>
      <c r="G390" s="954">
        <v>1228000</v>
      </c>
      <c r="H390" s="954">
        <v>1228000</v>
      </c>
    </row>
    <row r="391" spans="2:8" x14ac:dyDescent="0.2">
      <c r="B391" s="444" t="str">
        <f t="shared" si="35"/>
        <v>5-15QuarterlyEngland</v>
      </c>
      <c r="C391" s="916" t="s">
        <v>126</v>
      </c>
      <c r="D391" s="954">
        <v>7401700</v>
      </c>
      <c r="E391" s="954">
        <v>7401700</v>
      </c>
      <c r="F391" s="954">
        <v>7401700</v>
      </c>
      <c r="G391" s="954">
        <v>7401700</v>
      </c>
      <c r="H391" s="954">
        <v>7401700</v>
      </c>
    </row>
  </sheetData>
  <mergeCells count="1">
    <mergeCell ref="AS2:BN2"/>
  </mergeCells>
  <conditionalFormatting sqref="C54 C110">
    <cfRule type="expression" dxfId="756" priority="1227" stopIfTrue="1">
      <formula>#REF!=$BM$4</formula>
    </cfRule>
  </conditionalFormatting>
  <conditionalFormatting sqref="C88:C109 C33:C53 H33:H53 H88:H109">
    <cfRule type="expression" dxfId="755" priority="1228" stopIfTrue="1">
      <formula>#REF!=$BH$4</formula>
    </cfRule>
  </conditionalFormatting>
  <conditionalFormatting sqref="C32 H32">
    <cfRule type="expression" dxfId="754" priority="1229" stopIfTrue="1">
      <formula>$AQ30=$BH$4</formula>
    </cfRule>
  </conditionalFormatting>
  <conditionalFormatting sqref="C82 C138">
    <cfRule type="expression" dxfId="753" priority="1230" stopIfTrue="1">
      <formula>#REF!=$BM$4</formula>
    </cfRule>
  </conditionalFormatting>
  <conditionalFormatting sqref="C60:C81 C116:C137">
    <cfRule type="expression" dxfId="752" priority="1231" stopIfTrue="1">
      <formula>#REF!=$BH$4</formula>
    </cfRule>
  </conditionalFormatting>
  <conditionalFormatting sqref="C166">
    <cfRule type="expression" dxfId="751" priority="28" stopIfTrue="1">
      <formula>#REF!=$BM$4</formula>
    </cfRule>
  </conditionalFormatting>
  <conditionalFormatting sqref="D172:H193 C144:H165">
    <cfRule type="expression" dxfId="750" priority="29" stopIfTrue="1">
      <formula>#REF!=$BH$4</formula>
    </cfRule>
  </conditionalFormatting>
  <conditionalFormatting sqref="C194">
    <cfRule type="expression" dxfId="749" priority="30" stopIfTrue="1">
      <formula>#REF!=$BM$4</formula>
    </cfRule>
  </conditionalFormatting>
  <conditionalFormatting sqref="C172:C193">
    <cfRule type="expression" dxfId="748" priority="31" stopIfTrue="1">
      <formula>#REF!=$BH$4</formula>
    </cfRule>
  </conditionalFormatting>
  <conditionalFormatting sqref="C222">
    <cfRule type="expression" dxfId="747" priority="24" stopIfTrue="1">
      <formula>#REF!=$BM$4</formula>
    </cfRule>
  </conditionalFormatting>
  <conditionalFormatting sqref="C200:H200 C201:E221 G201:H221 F201:F223">
    <cfRule type="expression" dxfId="746" priority="25" stopIfTrue="1">
      <formula>#REF!=$BH$4</formula>
    </cfRule>
  </conditionalFormatting>
  <conditionalFormatting sqref="C250">
    <cfRule type="expression" dxfId="745" priority="26" stopIfTrue="1">
      <formula>#REF!=$BM$4</formula>
    </cfRule>
  </conditionalFormatting>
  <conditionalFormatting sqref="C228:C249">
    <cfRule type="expression" dxfId="744" priority="27" stopIfTrue="1">
      <formula>#REF!=$BH$4</formula>
    </cfRule>
  </conditionalFormatting>
  <conditionalFormatting sqref="C278">
    <cfRule type="expression" dxfId="743" priority="20" stopIfTrue="1">
      <formula>#REF!=$BM$4</formula>
    </cfRule>
  </conditionalFormatting>
  <conditionalFormatting sqref="C256:H277 D284:H305">
    <cfRule type="expression" dxfId="742" priority="21" stopIfTrue="1">
      <formula>#REF!=$BH$4</formula>
    </cfRule>
  </conditionalFormatting>
  <conditionalFormatting sqref="C306">
    <cfRule type="expression" dxfId="741" priority="22" stopIfTrue="1">
      <formula>#REF!=$BM$4</formula>
    </cfRule>
  </conditionalFormatting>
  <conditionalFormatting sqref="C284:C305">
    <cfRule type="expression" dxfId="740" priority="23" stopIfTrue="1">
      <formula>#REF!=$BH$4</formula>
    </cfRule>
  </conditionalFormatting>
  <conditionalFormatting sqref="C334">
    <cfRule type="expression" dxfId="739" priority="18" stopIfTrue="1">
      <formula>#REF!=$BM$4</formula>
    </cfRule>
  </conditionalFormatting>
  <conditionalFormatting sqref="C312:C333">
    <cfRule type="expression" dxfId="738" priority="19" stopIfTrue="1">
      <formula>#REF!=$BH$4</formula>
    </cfRule>
  </conditionalFormatting>
  <conditionalFormatting sqref="C362">
    <cfRule type="expression" dxfId="737" priority="12" stopIfTrue="1">
      <formula>#REF!=$BM$4</formula>
    </cfRule>
  </conditionalFormatting>
  <conditionalFormatting sqref="C340:E361 H368:H389 G340:G361">
    <cfRule type="expression" dxfId="736" priority="13" stopIfTrue="1">
      <formula>#REF!=$BH$4</formula>
    </cfRule>
  </conditionalFormatting>
  <conditionalFormatting sqref="C390">
    <cfRule type="expression" dxfId="735" priority="14" stopIfTrue="1">
      <formula>#REF!=$BM$4</formula>
    </cfRule>
  </conditionalFormatting>
  <conditionalFormatting sqref="C368:C389">
    <cfRule type="expression" dxfId="734" priority="15" stopIfTrue="1">
      <formula>#REF!=$BH$4</formula>
    </cfRule>
  </conditionalFormatting>
  <conditionalFormatting sqref="D368:G389">
    <cfRule type="expression" dxfId="733" priority="11" stopIfTrue="1">
      <formula>#REF!=$BH$4</formula>
    </cfRule>
  </conditionalFormatting>
  <conditionalFormatting sqref="H340:H361">
    <cfRule type="expression" dxfId="732" priority="10" stopIfTrue="1">
      <formula>#REF!=$BH$4</formula>
    </cfRule>
  </conditionalFormatting>
  <conditionalFormatting sqref="D61:H81">
    <cfRule type="expression" dxfId="731" priority="7" stopIfTrue="1">
      <formula>#REF!=$BH$4</formula>
    </cfRule>
  </conditionalFormatting>
  <conditionalFormatting sqref="D60:H60">
    <cfRule type="expression" dxfId="730" priority="8" stopIfTrue="1">
      <formula>$AQ58=$BH$4</formula>
    </cfRule>
  </conditionalFormatting>
  <conditionalFormatting sqref="D116:H137">
    <cfRule type="expression" dxfId="729" priority="6" stopIfTrue="1">
      <formula>#REF!=$BH$4</formula>
    </cfRule>
  </conditionalFormatting>
  <conditionalFormatting sqref="D228:H228 D229:E249 G229:H249 F229:F250">
    <cfRule type="expression" dxfId="728" priority="5" stopIfTrue="1">
      <formula>#REF!=$BH$4</formula>
    </cfRule>
  </conditionalFormatting>
  <conditionalFormatting sqref="F340:F361">
    <cfRule type="expression" dxfId="727" priority="4" stopIfTrue="1">
      <formula>#REF!=$BH$4</formula>
    </cfRule>
  </conditionalFormatting>
  <conditionalFormatting sqref="D33:G53">
    <cfRule type="expression" dxfId="726" priority="2" stopIfTrue="1">
      <formula>#REF!=$BH$4</formula>
    </cfRule>
  </conditionalFormatting>
  <conditionalFormatting sqref="D32:G32">
    <cfRule type="expression" dxfId="725" priority="3" stopIfTrue="1">
      <formula>$AQ30=$BH$4</formula>
    </cfRule>
  </conditionalFormatting>
  <conditionalFormatting sqref="D88:G109">
    <cfRule type="expression" dxfId="724" priority="1" stopIfTrue="1">
      <formula>#REF!=$BH$4</formula>
    </cfRule>
  </conditionalFormatting>
  <dataValidations count="1">
    <dataValidation type="list" allowBlank="1" showInputMessage="1" showErrorMessage="1" sqref="C3" xr:uid="{00000000-0002-0000-0000-000000000000}">
      <formula1>$C$1:$C$2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rgb="FFFFC000"/>
  </sheetPr>
  <dimension ref="A1:Q450"/>
  <sheetViews>
    <sheetView showRowColHeaders="0" zoomScaleNormal="100" workbookViewId="0">
      <selection activeCell="J16" sqref="J16"/>
    </sheetView>
  </sheetViews>
  <sheetFormatPr defaultColWidth="9.140625" defaultRowHeight="11.25" x14ac:dyDescent="0.2"/>
  <cols>
    <col min="1" max="1" width="2.140625" style="77" customWidth="1"/>
    <col min="2" max="2" width="11" style="1111" customWidth="1"/>
    <col min="3" max="3" width="52.85546875" style="77" customWidth="1"/>
    <col min="4" max="4" width="69.5703125" style="77" customWidth="1"/>
    <col min="5" max="5" width="2.140625" style="77" customWidth="1"/>
    <col min="6" max="6" width="6.42578125" style="77" customWidth="1"/>
    <col min="7" max="7" width="12.140625" style="77" customWidth="1"/>
    <col min="8" max="8" width="9.140625" style="77" customWidth="1"/>
    <col min="9" max="9" width="12.140625" style="77" customWidth="1"/>
    <col min="10" max="13" width="9.140625" style="77" customWidth="1"/>
    <col min="14" max="16384" width="9.140625" style="77"/>
  </cols>
  <sheetData>
    <row r="1" spans="1:17" s="76" customFormat="1" ht="18.75" customHeight="1" x14ac:dyDescent="0.2">
      <c r="A1" s="114"/>
      <c r="B1" s="1103"/>
      <c r="C1" s="214"/>
      <c r="D1" s="214"/>
      <c r="E1" s="216"/>
      <c r="F1" s="268"/>
      <c r="G1" s="77"/>
      <c r="H1" s="77"/>
      <c r="I1" s="77"/>
      <c r="J1" s="175"/>
      <c r="K1" s="175"/>
      <c r="L1" s="175"/>
      <c r="M1" s="175"/>
      <c r="N1" s="175"/>
      <c r="O1" s="179"/>
      <c r="P1" s="179"/>
      <c r="Q1" s="179"/>
    </row>
    <row r="2" spans="1:17" s="76" customFormat="1" ht="18.75" customHeight="1" x14ac:dyDescent="0.2">
      <c r="A2" s="120"/>
      <c r="B2" s="263" t="s">
        <v>806</v>
      </c>
      <c r="C2" s="58"/>
      <c r="D2" s="58"/>
      <c r="E2" s="235"/>
      <c r="F2" s="157"/>
      <c r="G2" s="77"/>
      <c r="H2" s="77"/>
      <c r="I2" s="77"/>
      <c r="J2" s="83"/>
      <c r="K2" s="83"/>
      <c r="L2" s="83"/>
      <c r="M2" s="83"/>
      <c r="N2" s="83"/>
      <c r="O2" s="179"/>
      <c r="P2" s="179"/>
      <c r="Q2" s="179"/>
    </row>
    <row r="3" spans="1:17" s="76" customFormat="1" ht="18.75" customHeight="1" x14ac:dyDescent="0.2">
      <c r="A3" s="259"/>
      <c r="B3" s="1104"/>
      <c r="C3" s="264"/>
      <c r="D3" s="280"/>
      <c r="E3" s="267"/>
      <c r="F3" s="157"/>
      <c r="G3" s="77"/>
      <c r="H3" s="77"/>
      <c r="I3" s="77"/>
      <c r="J3" s="83"/>
      <c r="K3" s="83"/>
      <c r="L3" s="83"/>
      <c r="M3" s="83"/>
      <c r="N3" s="83"/>
      <c r="O3" s="179"/>
      <c r="P3" s="179"/>
      <c r="Q3" s="179"/>
    </row>
    <row r="4" spans="1:17" x14ac:dyDescent="0.2">
      <c r="A4" s="228"/>
      <c r="B4" s="1105"/>
      <c r="C4" s="229"/>
      <c r="D4" s="229"/>
      <c r="E4" s="249"/>
      <c r="F4" s="227"/>
    </row>
    <row r="5" spans="1:17" s="88" customFormat="1" ht="13.5" customHeight="1" x14ac:dyDescent="0.2">
      <c r="A5" s="276"/>
      <c r="B5" s="1123"/>
      <c r="C5" s="1123" t="s">
        <v>807</v>
      </c>
      <c r="D5" s="1124" t="s">
        <v>813</v>
      </c>
      <c r="E5" s="252"/>
      <c r="F5" s="245"/>
      <c r="G5" s="77"/>
      <c r="H5" s="77"/>
      <c r="I5" s="77"/>
    </row>
    <row r="6" spans="1:17" ht="22.5" hidden="1" x14ac:dyDescent="0.2">
      <c r="A6" s="273"/>
      <c r="B6" s="1022" t="s">
        <v>675</v>
      </c>
      <c r="C6" s="1112" t="s">
        <v>816</v>
      </c>
      <c r="D6" s="1113" t="s">
        <v>817</v>
      </c>
      <c r="E6" s="251"/>
      <c r="F6" s="243"/>
    </row>
    <row r="7" spans="1:17" ht="12.75" hidden="1" customHeight="1" x14ac:dyDescent="0.2">
      <c r="A7" s="273"/>
      <c r="B7" s="1363" t="s">
        <v>916</v>
      </c>
      <c r="C7" s="1114" t="s">
        <v>814</v>
      </c>
      <c r="D7" s="1369" t="s">
        <v>818</v>
      </c>
      <c r="E7" s="251"/>
      <c r="F7" s="243"/>
    </row>
    <row r="8" spans="1:17" ht="12" hidden="1" customHeight="1" x14ac:dyDescent="0.2">
      <c r="A8" s="273"/>
      <c r="B8" s="1365"/>
      <c r="C8" s="1114" t="s">
        <v>198</v>
      </c>
      <c r="D8" s="1370"/>
      <c r="E8" s="251"/>
      <c r="F8" s="243"/>
    </row>
    <row r="9" spans="1:17" ht="12.75" hidden="1" customHeight="1" x14ac:dyDescent="0.2">
      <c r="A9" s="273"/>
      <c r="B9" s="1365"/>
      <c r="C9" s="1114" t="s">
        <v>815</v>
      </c>
      <c r="D9" s="1371"/>
      <c r="E9" s="251"/>
      <c r="F9" s="243"/>
    </row>
    <row r="10" spans="1:17" ht="22.5" hidden="1" customHeight="1" x14ac:dyDescent="0.2">
      <c r="A10" s="273"/>
      <c r="B10" s="1365"/>
      <c r="C10" s="1114" t="s">
        <v>199</v>
      </c>
      <c r="D10" s="1112" t="s">
        <v>820</v>
      </c>
      <c r="E10" s="251"/>
      <c r="F10" s="243"/>
    </row>
    <row r="11" spans="1:17" ht="22.5" hidden="1" x14ac:dyDescent="0.2">
      <c r="A11" s="273"/>
      <c r="B11" s="1365"/>
      <c r="C11" s="1114" t="s">
        <v>819</v>
      </c>
      <c r="D11" s="1113" t="s">
        <v>818</v>
      </c>
      <c r="E11" s="251"/>
      <c r="F11" s="243"/>
    </row>
    <row r="12" spans="1:17" ht="12.75" hidden="1" customHeight="1" x14ac:dyDescent="0.2">
      <c r="A12" s="273"/>
      <c r="B12" s="1365"/>
      <c r="C12" s="1114" t="s">
        <v>821</v>
      </c>
      <c r="D12" s="1112" t="s">
        <v>822</v>
      </c>
      <c r="E12" s="251"/>
      <c r="F12" s="243"/>
    </row>
    <row r="13" spans="1:17" ht="12" hidden="1" customHeight="1" x14ac:dyDescent="0.2">
      <c r="A13" s="273"/>
      <c r="B13" s="1365"/>
      <c r="C13" s="1114" t="s">
        <v>823</v>
      </c>
      <c r="D13" s="1112" t="s">
        <v>825</v>
      </c>
      <c r="E13" s="251"/>
      <c r="F13" s="243"/>
    </row>
    <row r="14" spans="1:17" ht="12.75" hidden="1" customHeight="1" x14ac:dyDescent="0.2">
      <c r="A14" s="273"/>
      <c r="B14" s="1364"/>
      <c r="C14" s="1114" t="s">
        <v>824</v>
      </c>
      <c r="D14" s="1112" t="s">
        <v>924</v>
      </c>
      <c r="E14" s="251"/>
      <c r="F14" s="243"/>
    </row>
    <row r="15" spans="1:17" ht="12" customHeight="1" x14ac:dyDescent="0.2">
      <c r="A15" s="273"/>
      <c r="B15" s="1363" t="s">
        <v>80</v>
      </c>
      <c r="C15" s="1114" t="s">
        <v>826</v>
      </c>
      <c r="D15" s="1112" t="s">
        <v>827</v>
      </c>
      <c r="E15" s="251"/>
      <c r="F15" s="243"/>
    </row>
    <row r="16" spans="1:17" ht="22.5" x14ac:dyDescent="0.2">
      <c r="A16" s="273"/>
      <c r="B16" s="1365"/>
      <c r="C16" s="1114" t="s">
        <v>828</v>
      </c>
      <c r="D16" s="1112" t="s">
        <v>829</v>
      </c>
      <c r="E16" s="251"/>
      <c r="F16" s="243"/>
    </row>
    <row r="17" spans="1:6" ht="22.5" x14ac:dyDescent="0.2">
      <c r="A17" s="273"/>
      <c r="B17" s="1365"/>
      <c r="C17" s="1114" t="s">
        <v>830</v>
      </c>
      <c r="D17" s="1112" t="s">
        <v>923</v>
      </c>
      <c r="E17" s="251"/>
      <c r="F17" s="243"/>
    </row>
    <row r="18" spans="1:6" ht="22.5" x14ac:dyDescent="0.2">
      <c r="A18" s="273"/>
      <c r="B18" s="1365"/>
      <c r="C18" s="1114" t="s">
        <v>831</v>
      </c>
      <c r="D18" s="1112" t="s">
        <v>832</v>
      </c>
      <c r="E18" s="251"/>
      <c r="F18" s="243"/>
    </row>
    <row r="19" spans="1:6" ht="22.5" x14ac:dyDescent="0.2">
      <c r="A19" s="273"/>
      <c r="B19" s="1364"/>
      <c r="C19" s="1114" t="s">
        <v>24</v>
      </c>
      <c r="D19" s="1112" t="s">
        <v>833</v>
      </c>
      <c r="E19" s="251"/>
      <c r="F19" s="243"/>
    </row>
    <row r="20" spans="1:6" x14ac:dyDescent="0.2">
      <c r="A20" s="273"/>
      <c r="B20" s="1363" t="s">
        <v>917</v>
      </c>
      <c r="C20" s="1114" t="s">
        <v>22</v>
      </c>
      <c r="D20" s="1112" t="s">
        <v>834</v>
      </c>
      <c r="E20" s="251"/>
      <c r="F20" s="243"/>
    </row>
    <row r="21" spans="1:6" ht="33" customHeight="1" x14ac:dyDescent="0.2">
      <c r="A21" s="273"/>
      <c r="B21" s="1365"/>
      <c r="C21" s="1114" t="s">
        <v>835</v>
      </c>
      <c r="D21" s="1112" t="s">
        <v>836</v>
      </c>
      <c r="E21" s="251"/>
      <c r="F21" s="243"/>
    </row>
    <row r="22" spans="1:6" ht="12.75" customHeight="1" x14ac:dyDescent="0.2">
      <c r="A22" s="273"/>
      <c r="B22" s="1365"/>
      <c r="C22" s="1114" t="s">
        <v>837</v>
      </c>
      <c r="D22" s="1112" t="s">
        <v>839</v>
      </c>
      <c r="E22" s="251"/>
      <c r="F22" s="243"/>
    </row>
    <row r="23" spans="1:6" ht="12.75" customHeight="1" x14ac:dyDescent="0.2">
      <c r="A23" s="273"/>
      <c r="B23" s="1365"/>
      <c r="C23" s="1114" t="s">
        <v>840</v>
      </c>
      <c r="D23" s="1112" t="s">
        <v>838</v>
      </c>
      <c r="E23" s="251"/>
      <c r="F23" s="243"/>
    </row>
    <row r="24" spans="1:6" ht="12.75" customHeight="1" x14ac:dyDescent="0.2">
      <c r="A24" s="273"/>
      <c r="B24" s="1364"/>
      <c r="C24" s="1114" t="s">
        <v>25</v>
      </c>
      <c r="D24" s="1112" t="s">
        <v>842</v>
      </c>
      <c r="E24" s="251"/>
      <c r="F24" s="243"/>
    </row>
    <row r="25" spans="1:6" ht="12.75" customHeight="1" x14ac:dyDescent="0.2">
      <c r="A25" s="273"/>
      <c r="B25" s="1363" t="s">
        <v>918</v>
      </c>
      <c r="C25" s="1114" t="s">
        <v>18</v>
      </c>
      <c r="D25" s="1112" t="s">
        <v>841</v>
      </c>
      <c r="E25" s="251"/>
      <c r="F25" s="243"/>
    </row>
    <row r="26" spans="1:6" ht="12.75" customHeight="1" x14ac:dyDescent="0.2">
      <c r="A26" s="273"/>
      <c r="B26" s="1365"/>
      <c r="C26" s="1114" t="s">
        <v>843</v>
      </c>
      <c r="D26" s="1112" t="s">
        <v>845</v>
      </c>
      <c r="E26" s="251"/>
      <c r="F26" s="243"/>
    </row>
    <row r="27" spans="1:6" ht="22.5" x14ac:dyDescent="0.2">
      <c r="A27" s="273"/>
      <c r="B27" s="1365"/>
      <c r="C27" s="1114" t="s">
        <v>844</v>
      </c>
      <c r="D27" s="1112" t="s">
        <v>846</v>
      </c>
      <c r="E27" s="251"/>
      <c r="F27" s="243"/>
    </row>
    <row r="28" spans="1:6" ht="12.75" customHeight="1" x14ac:dyDescent="0.2">
      <c r="A28" s="273"/>
      <c r="B28" s="1365"/>
      <c r="C28" s="1114" t="s">
        <v>849</v>
      </c>
      <c r="D28" s="1112" t="s">
        <v>847</v>
      </c>
      <c r="E28" s="251"/>
      <c r="F28" s="243"/>
    </row>
    <row r="29" spans="1:6" ht="33" customHeight="1" x14ac:dyDescent="0.2">
      <c r="A29" s="273"/>
      <c r="B29" s="1365"/>
      <c r="C29" s="1114" t="s">
        <v>851</v>
      </c>
      <c r="D29" s="1112" t="s">
        <v>852</v>
      </c>
      <c r="E29" s="251"/>
      <c r="F29" s="243"/>
    </row>
    <row r="30" spans="1:6" ht="22.5" customHeight="1" x14ac:dyDescent="0.2">
      <c r="A30" s="273"/>
      <c r="B30" s="1365"/>
      <c r="C30" s="1114" t="s">
        <v>853</v>
      </c>
      <c r="D30" s="1112" t="s">
        <v>886</v>
      </c>
      <c r="E30" s="251"/>
      <c r="F30" s="243"/>
    </row>
    <row r="31" spans="1:6" ht="22.5" customHeight="1" x14ac:dyDescent="0.2">
      <c r="A31" s="273"/>
      <c r="B31" s="1365"/>
      <c r="C31" s="1114" t="s">
        <v>854</v>
      </c>
      <c r="D31" s="1112" t="s">
        <v>848</v>
      </c>
      <c r="E31" s="251"/>
      <c r="F31" s="243"/>
    </row>
    <row r="32" spans="1:6" ht="33.75" x14ac:dyDescent="0.2">
      <c r="A32" s="273"/>
      <c r="B32" s="1365"/>
      <c r="C32" s="1114" t="s">
        <v>850</v>
      </c>
      <c r="D32" s="1112" t="s">
        <v>855</v>
      </c>
      <c r="E32" s="251"/>
      <c r="F32" s="243"/>
    </row>
    <row r="33" spans="1:6" ht="33.75" x14ac:dyDescent="0.2">
      <c r="A33" s="273"/>
      <c r="B33" s="1365"/>
      <c r="C33" s="1114" t="s">
        <v>857</v>
      </c>
      <c r="D33" s="1112" t="s">
        <v>856</v>
      </c>
      <c r="E33" s="251"/>
      <c r="F33" s="243"/>
    </row>
    <row r="34" spans="1:6" ht="23.25" customHeight="1" x14ac:dyDescent="0.2">
      <c r="A34" s="273"/>
      <c r="B34" s="1364"/>
      <c r="C34" s="1114" t="s">
        <v>863</v>
      </c>
      <c r="D34" s="1112" t="s">
        <v>858</v>
      </c>
      <c r="E34" s="251"/>
      <c r="F34" s="243"/>
    </row>
    <row r="35" spans="1:6" ht="37.5" customHeight="1" x14ac:dyDescent="0.2">
      <c r="A35" s="1119"/>
      <c r="B35" s="1120"/>
      <c r="C35" s="1121"/>
      <c r="D35" s="1121"/>
      <c r="E35" s="1122"/>
      <c r="F35" s="243"/>
    </row>
    <row r="36" spans="1:6" ht="11.25" customHeight="1" x14ac:dyDescent="0.2">
      <c r="A36" s="273"/>
      <c r="B36" s="1118"/>
      <c r="C36" s="1117"/>
      <c r="D36" s="1117"/>
      <c r="E36" s="251"/>
      <c r="F36" s="243"/>
    </row>
    <row r="37" spans="1:6" s="88" customFormat="1" ht="13.5" customHeight="1" x14ac:dyDescent="0.2">
      <c r="A37" s="276"/>
      <c r="B37" s="1123"/>
      <c r="C37" s="1123" t="s">
        <v>807</v>
      </c>
      <c r="D37" s="1124" t="s">
        <v>813</v>
      </c>
      <c r="E37" s="252"/>
      <c r="F37" s="245"/>
    </row>
    <row r="38" spans="1:6" ht="33" customHeight="1" x14ac:dyDescent="0.2">
      <c r="A38" s="273"/>
      <c r="B38" s="1363" t="s">
        <v>918</v>
      </c>
      <c r="C38" s="1114" t="s">
        <v>861</v>
      </c>
      <c r="D38" s="1112" t="s">
        <v>859</v>
      </c>
      <c r="E38" s="251"/>
      <c r="F38" s="243"/>
    </row>
    <row r="39" spans="1:6" ht="33.75" x14ac:dyDescent="0.2">
      <c r="A39" s="273"/>
      <c r="B39" s="1364"/>
      <c r="C39" s="1114" t="s">
        <v>862</v>
      </c>
      <c r="D39" s="1112" t="s">
        <v>860</v>
      </c>
      <c r="E39" s="251"/>
      <c r="F39" s="243"/>
    </row>
    <row r="40" spans="1:6" ht="12" customHeight="1" x14ac:dyDescent="0.2">
      <c r="A40" s="273"/>
      <c r="B40" s="1363" t="s">
        <v>21</v>
      </c>
      <c r="C40" s="1114" t="s">
        <v>864</v>
      </c>
      <c r="D40" s="1113" t="s">
        <v>866</v>
      </c>
      <c r="E40" s="251"/>
      <c r="F40" s="243"/>
    </row>
    <row r="41" spans="1:6" ht="12" customHeight="1" x14ac:dyDescent="0.2">
      <c r="A41" s="273"/>
      <c r="B41" s="1365"/>
      <c r="C41" s="1114" t="s">
        <v>865</v>
      </c>
      <c r="D41" s="1113" t="s">
        <v>866</v>
      </c>
      <c r="E41" s="251"/>
      <c r="F41" s="243"/>
    </row>
    <row r="42" spans="1:6" ht="23.25" customHeight="1" x14ac:dyDescent="0.2">
      <c r="A42" s="273"/>
      <c r="B42" s="1365"/>
      <c r="C42" s="1114" t="s">
        <v>21</v>
      </c>
      <c r="D42" s="1112" t="s">
        <v>885</v>
      </c>
      <c r="E42" s="251"/>
      <c r="F42" s="243"/>
    </row>
    <row r="43" spans="1:6" ht="22.5" customHeight="1" x14ac:dyDescent="0.2">
      <c r="A43" s="273"/>
      <c r="B43" s="1365"/>
      <c r="C43" s="1114" t="s">
        <v>867</v>
      </c>
      <c r="D43" s="1112" t="s">
        <v>870</v>
      </c>
      <c r="E43" s="251"/>
      <c r="F43" s="243"/>
    </row>
    <row r="44" spans="1:6" ht="56.25" customHeight="1" x14ac:dyDescent="0.2">
      <c r="A44" s="273"/>
      <c r="B44" s="1365"/>
      <c r="C44" s="1114" t="s">
        <v>868</v>
      </c>
      <c r="D44" s="1112" t="s">
        <v>871</v>
      </c>
      <c r="E44" s="251"/>
      <c r="F44" s="243"/>
    </row>
    <row r="45" spans="1:6" ht="23.25" customHeight="1" x14ac:dyDescent="0.2">
      <c r="A45" s="273"/>
      <c r="B45" s="1365"/>
      <c r="C45" s="1114" t="s">
        <v>869</v>
      </c>
      <c r="D45" s="1112" t="s">
        <v>872</v>
      </c>
      <c r="E45" s="251"/>
      <c r="F45" s="243"/>
    </row>
    <row r="46" spans="1:6" ht="23.25" customHeight="1" x14ac:dyDescent="0.2">
      <c r="A46" s="273"/>
      <c r="B46" s="1365"/>
      <c r="C46" s="1114" t="s">
        <v>873</v>
      </c>
      <c r="D46" s="1112" t="s">
        <v>874</v>
      </c>
      <c r="E46" s="251"/>
      <c r="F46" s="243"/>
    </row>
    <row r="47" spans="1:6" ht="23.25" customHeight="1" x14ac:dyDescent="0.2">
      <c r="A47" s="273"/>
      <c r="B47" s="1365"/>
      <c r="C47" s="1114" t="s">
        <v>875</v>
      </c>
      <c r="D47" s="1112" t="s">
        <v>876</v>
      </c>
      <c r="E47" s="251"/>
      <c r="F47" s="243"/>
    </row>
    <row r="48" spans="1:6" ht="23.25" customHeight="1" x14ac:dyDescent="0.2">
      <c r="A48" s="273"/>
      <c r="B48" s="1365"/>
      <c r="C48" s="1114" t="s">
        <v>879</v>
      </c>
      <c r="D48" s="1112" t="s">
        <v>884</v>
      </c>
      <c r="E48" s="251"/>
      <c r="F48" s="243"/>
    </row>
    <row r="49" spans="1:6" ht="22.5" x14ac:dyDescent="0.2">
      <c r="A49" s="273"/>
      <c r="B49" s="1365" t="s">
        <v>21</v>
      </c>
      <c r="C49" s="1114" t="s">
        <v>878</v>
      </c>
      <c r="D49" s="1112" t="s">
        <v>877</v>
      </c>
      <c r="E49" s="251"/>
      <c r="F49" s="243"/>
    </row>
    <row r="50" spans="1:6" ht="21.75" customHeight="1" x14ac:dyDescent="0.2">
      <c r="A50" s="273"/>
      <c r="B50" s="1365"/>
      <c r="C50" s="1114" t="s">
        <v>880</v>
      </c>
      <c r="D50" s="1112"/>
      <c r="E50" s="251"/>
      <c r="F50" s="243"/>
    </row>
    <row r="51" spans="1:6" ht="22.5" customHeight="1" x14ac:dyDescent="0.2">
      <c r="A51" s="273"/>
      <c r="B51" s="1364"/>
      <c r="C51" s="1114" t="s">
        <v>762</v>
      </c>
      <c r="D51" s="1112" t="s">
        <v>883</v>
      </c>
      <c r="E51" s="251"/>
      <c r="F51" s="243"/>
    </row>
    <row r="52" spans="1:6" ht="22.5" customHeight="1" x14ac:dyDescent="0.2">
      <c r="A52" s="273"/>
      <c r="B52" s="1363" t="s">
        <v>680</v>
      </c>
      <c r="C52" s="1114" t="s">
        <v>881</v>
      </c>
      <c r="D52" s="1112" t="s">
        <v>882</v>
      </c>
      <c r="E52" s="251"/>
      <c r="F52" s="243"/>
    </row>
    <row r="53" spans="1:6" ht="13.5" customHeight="1" x14ac:dyDescent="0.2">
      <c r="A53" s="273"/>
      <c r="B53" s="1365"/>
      <c r="C53" s="1114" t="s">
        <v>887</v>
      </c>
      <c r="D53" s="1112" t="s">
        <v>888</v>
      </c>
      <c r="E53" s="251"/>
      <c r="F53" s="243"/>
    </row>
    <row r="54" spans="1:6" ht="13.5" customHeight="1" x14ac:dyDescent="0.2">
      <c r="A54" s="273"/>
      <c r="B54" s="1364"/>
      <c r="C54" s="1114" t="s">
        <v>889</v>
      </c>
      <c r="D54" s="1112" t="s">
        <v>890</v>
      </c>
      <c r="E54" s="251"/>
      <c r="F54" s="243"/>
    </row>
    <row r="55" spans="1:6" ht="49.5" customHeight="1" x14ac:dyDescent="0.2">
      <c r="A55" s="1119"/>
      <c r="B55" s="1120"/>
      <c r="C55" s="1121"/>
      <c r="D55" s="1121"/>
      <c r="E55" s="1122"/>
      <c r="F55" s="243"/>
    </row>
    <row r="56" spans="1:6" ht="11.25" customHeight="1" x14ac:dyDescent="0.2">
      <c r="A56" s="273"/>
      <c r="B56" s="1118"/>
      <c r="C56" s="1117"/>
      <c r="D56" s="1117"/>
      <c r="E56" s="251"/>
      <c r="F56" s="243"/>
    </row>
    <row r="57" spans="1:6" s="88" customFormat="1" ht="13.5" customHeight="1" x14ac:dyDescent="0.2">
      <c r="A57" s="276"/>
      <c r="B57" s="1123"/>
      <c r="C57" s="1123" t="s">
        <v>807</v>
      </c>
      <c r="D57" s="1124" t="s">
        <v>813</v>
      </c>
      <c r="E57" s="252"/>
      <c r="F57" s="245"/>
    </row>
    <row r="58" spans="1:6" ht="22.5" x14ac:dyDescent="0.2">
      <c r="A58" s="273"/>
      <c r="B58" s="1363" t="s">
        <v>680</v>
      </c>
      <c r="C58" s="1114" t="s">
        <v>891</v>
      </c>
      <c r="D58" s="1112" t="s">
        <v>892</v>
      </c>
      <c r="E58" s="251"/>
      <c r="F58" s="243"/>
    </row>
    <row r="59" spans="1:6" ht="23.25" customHeight="1" x14ac:dyDescent="0.2">
      <c r="A59" s="273"/>
      <c r="B59" s="1364"/>
      <c r="C59" s="1114" t="s">
        <v>808</v>
      </c>
      <c r="D59" s="1112" t="s">
        <v>893</v>
      </c>
      <c r="E59" s="251"/>
      <c r="F59" s="243"/>
    </row>
    <row r="60" spans="1:6" ht="14.25" customHeight="1" x14ac:dyDescent="0.2">
      <c r="A60" s="273"/>
      <c r="B60" s="1363" t="s">
        <v>919</v>
      </c>
      <c r="C60" s="1112" t="s">
        <v>894</v>
      </c>
      <c r="D60" s="1115" t="s">
        <v>895</v>
      </c>
      <c r="E60" s="251"/>
      <c r="F60" s="243"/>
    </row>
    <row r="61" spans="1:6" ht="58.5" customHeight="1" x14ac:dyDescent="0.2">
      <c r="A61" s="273"/>
      <c r="B61" s="1365"/>
      <c r="C61" s="1114" t="s">
        <v>899</v>
      </c>
      <c r="D61" s="1115" t="s">
        <v>900</v>
      </c>
      <c r="E61" s="251"/>
      <c r="F61" s="243"/>
    </row>
    <row r="62" spans="1:6" ht="24" customHeight="1" x14ac:dyDescent="0.2">
      <c r="A62" s="273"/>
      <c r="B62" s="1365"/>
      <c r="C62" s="1114" t="s">
        <v>896</v>
      </c>
      <c r="D62" s="1112" t="s">
        <v>897</v>
      </c>
      <c r="E62" s="251"/>
      <c r="F62" s="243"/>
    </row>
    <row r="63" spans="1:6" ht="56.25" x14ac:dyDescent="0.2">
      <c r="A63" s="273"/>
      <c r="B63" s="1365"/>
      <c r="C63" s="1114" t="s">
        <v>898</v>
      </c>
      <c r="D63" s="1112" t="s">
        <v>901</v>
      </c>
      <c r="E63" s="251"/>
      <c r="F63" s="243"/>
    </row>
    <row r="64" spans="1:6" ht="24" customHeight="1" x14ac:dyDescent="0.2">
      <c r="A64" s="273"/>
      <c r="B64" s="1365"/>
      <c r="C64" s="1112" t="s">
        <v>902</v>
      </c>
      <c r="D64" s="1116" t="s">
        <v>904</v>
      </c>
      <c r="E64" s="251"/>
      <c r="F64" s="243"/>
    </row>
    <row r="65" spans="1:6" ht="24" customHeight="1" x14ac:dyDescent="0.2">
      <c r="A65" s="273"/>
      <c r="B65" s="1364"/>
      <c r="C65" s="1112" t="s">
        <v>903</v>
      </c>
      <c r="D65" s="1116" t="s">
        <v>905</v>
      </c>
      <c r="E65" s="251"/>
      <c r="F65" s="243"/>
    </row>
    <row r="66" spans="1:6" ht="13.5" hidden="1" customHeight="1" x14ac:dyDescent="0.2">
      <c r="A66" s="273"/>
      <c r="B66" s="1363" t="s">
        <v>920</v>
      </c>
      <c r="C66" s="1114" t="s">
        <v>906</v>
      </c>
      <c r="D66" s="1112" t="s">
        <v>907</v>
      </c>
      <c r="E66" s="251"/>
      <c r="F66" s="243"/>
    </row>
    <row r="67" spans="1:6" ht="21.75" hidden="1" customHeight="1" x14ac:dyDescent="0.2">
      <c r="A67" s="273"/>
      <c r="B67" s="1364"/>
      <c r="C67" s="1114" t="s">
        <v>909</v>
      </c>
      <c r="D67" s="1112" t="s">
        <v>908</v>
      </c>
      <c r="E67" s="251"/>
      <c r="F67" s="243"/>
    </row>
    <row r="68" spans="1:6" ht="22.5" hidden="1" x14ac:dyDescent="0.2">
      <c r="A68" s="273"/>
      <c r="B68" s="1127" t="s">
        <v>921</v>
      </c>
      <c r="C68" s="1112" t="s">
        <v>776</v>
      </c>
      <c r="D68" s="1112" t="s">
        <v>913</v>
      </c>
      <c r="E68" s="251"/>
      <c r="F68" s="243"/>
    </row>
    <row r="69" spans="1:6" ht="204" customHeight="1" x14ac:dyDescent="0.2">
      <c r="A69" s="1119"/>
      <c r="B69" s="1125"/>
      <c r="C69" s="1126"/>
      <c r="D69" s="1126"/>
      <c r="E69" s="1122"/>
      <c r="F69" s="243"/>
    </row>
    <row r="70" spans="1:6" ht="11.25" hidden="1" customHeight="1" x14ac:dyDescent="0.2">
      <c r="A70" s="273"/>
      <c r="B70" s="1118"/>
      <c r="C70" s="1117"/>
      <c r="D70" s="1117"/>
      <c r="E70" s="251"/>
      <c r="F70" s="243"/>
    </row>
    <row r="71" spans="1:6" s="88" customFormat="1" ht="13.5" hidden="1" customHeight="1" x14ac:dyDescent="0.2">
      <c r="A71" s="276"/>
      <c r="B71" s="1123"/>
      <c r="C71" s="1123" t="s">
        <v>807</v>
      </c>
      <c r="D71" s="1124" t="s">
        <v>813</v>
      </c>
      <c r="E71" s="252"/>
      <c r="F71" s="245"/>
    </row>
    <row r="72" spans="1:6" ht="22.5" hidden="1" x14ac:dyDescent="0.2">
      <c r="A72" s="273"/>
      <c r="B72" s="1363" t="s">
        <v>921</v>
      </c>
      <c r="C72" s="1114" t="s">
        <v>684</v>
      </c>
      <c r="D72" s="1112" t="s">
        <v>914</v>
      </c>
      <c r="E72" s="251"/>
      <c r="F72" s="243"/>
    </row>
    <row r="73" spans="1:6" ht="22.5" hidden="1" x14ac:dyDescent="0.2">
      <c r="A73" s="273"/>
      <c r="B73" s="1364"/>
      <c r="C73" s="1114" t="s">
        <v>685</v>
      </c>
      <c r="D73" s="1112" t="s">
        <v>915</v>
      </c>
      <c r="E73" s="251"/>
      <c r="F73" s="243"/>
    </row>
    <row r="74" spans="1:6" hidden="1" x14ac:dyDescent="0.2">
      <c r="A74" s="273"/>
      <c r="B74" s="1363" t="s">
        <v>922</v>
      </c>
      <c r="C74" s="1114" t="s">
        <v>809</v>
      </c>
      <c r="D74" s="1112" t="s">
        <v>809</v>
      </c>
      <c r="E74" s="251"/>
      <c r="F74" s="243"/>
    </row>
    <row r="75" spans="1:6" hidden="1" x14ac:dyDescent="0.2">
      <c r="A75" s="273"/>
      <c r="B75" s="1365"/>
      <c r="C75" s="1114" t="s">
        <v>810</v>
      </c>
      <c r="D75" s="1112" t="s">
        <v>910</v>
      </c>
      <c r="E75" s="251"/>
      <c r="F75" s="243"/>
    </row>
    <row r="76" spans="1:6" hidden="1" x14ac:dyDescent="0.2">
      <c r="A76" s="273"/>
      <c r="B76" s="1364"/>
      <c r="C76" s="1114" t="s">
        <v>811</v>
      </c>
      <c r="D76" s="1112" t="s">
        <v>911</v>
      </c>
      <c r="E76" s="251"/>
      <c r="F76" s="243"/>
    </row>
    <row r="77" spans="1:6" ht="45" hidden="1" x14ac:dyDescent="0.2">
      <c r="A77" s="273"/>
      <c r="B77" s="1363" t="s">
        <v>803</v>
      </c>
      <c r="C77" s="1114" t="s">
        <v>812</v>
      </c>
      <c r="D77" s="1112" t="s">
        <v>932</v>
      </c>
      <c r="E77" s="251"/>
      <c r="F77" s="243"/>
    </row>
    <row r="78" spans="1:6" ht="56.25" hidden="1" x14ac:dyDescent="0.2">
      <c r="A78" s="273"/>
      <c r="B78" s="1364"/>
      <c r="C78" s="1114" t="s">
        <v>912</v>
      </c>
      <c r="D78" s="1112" t="s">
        <v>931</v>
      </c>
      <c r="E78" s="251"/>
      <c r="F78" s="243"/>
    </row>
    <row r="79" spans="1:6" ht="118.5" hidden="1" customHeight="1" x14ac:dyDescent="0.2">
      <c r="A79" s="273"/>
      <c r="B79" s="1020"/>
      <c r="C79" s="1128"/>
      <c r="D79" s="1128"/>
      <c r="E79" s="251"/>
      <c r="F79" s="243"/>
    </row>
    <row r="80" spans="1:6" ht="118.5" hidden="1" customHeight="1" x14ac:dyDescent="0.2">
      <c r="A80" s="230"/>
      <c r="B80" s="1106"/>
      <c r="C80" s="22"/>
      <c r="D80" s="22"/>
      <c r="E80" s="251"/>
      <c r="F80" s="243"/>
    </row>
    <row r="81" spans="1:8" ht="7.5" hidden="1" customHeight="1" x14ac:dyDescent="0.2">
      <c r="A81" s="273"/>
      <c r="B81" s="1106"/>
      <c r="C81" s="22"/>
      <c r="D81" s="22"/>
      <c r="E81" s="251"/>
      <c r="F81" s="243"/>
    </row>
    <row r="82" spans="1:8" ht="15" hidden="1" customHeight="1" x14ac:dyDescent="0.2">
      <c r="A82" s="253"/>
      <c r="B82" s="1107"/>
      <c r="C82" s="70"/>
      <c r="D82" s="70"/>
      <c r="E82" s="254"/>
      <c r="F82" s="243"/>
    </row>
    <row r="83" spans="1:8" ht="11.25" hidden="1" customHeight="1" x14ac:dyDescent="0.2">
      <c r="A83" s="255"/>
      <c r="B83" s="1108"/>
      <c r="C83" s="256"/>
      <c r="D83" s="234"/>
      <c r="E83" s="258"/>
      <c r="F83" s="243"/>
    </row>
    <row r="84" spans="1:8" s="76" customFormat="1" x14ac:dyDescent="0.2">
      <c r="A84" s="141"/>
      <c r="B84" s="1109"/>
      <c r="C84" s="9"/>
      <c r="D84" s="9"/>
      <c r="E84" s="12"/>
      <c r="F84" s="241"/>
      <c r="H84" s="77"/>
    </row>
    <row r="85" spans="1:8" s="76" customFormat="1" x14ac:dyDescent="0.2">
      <c r="A85" s="141"/>
      <c r="B85" s="1109"/>
      <c r="C85" s="9"/>
      <c r="D85" s="9"/>
      <c r="E85" s="12"/>
      <c r="F85" s="241"/>
      <c r="H85" s="77"/>
    </row>
    <row r="86" spans="1:8" s="76" customFormat="1" ht="11.25" customHeight="1" x14ac:dyDescent="0.2">
      <c r="A86" s="141"/>
      <c r="B86" s="1367" t="s">
        <v>82</v>
      </c>
      <c r="C86" s="15"/>
      <c r="D86" s="15"/>
      <c r="E86" s="12"/>
      <c r="F86" s="241"/>
      <c r="H86" s="77"/>
    </row>
    <row r="87" spans="1:8" s="76" customFormat="1" ht="11.25" customHeight="1" x14ac:dyDescent="0.2">
      <c r="A87" s="141"/>
      <c r="B87" s="1368"/>
      <c r="C87" s="9"/>
      <c r="D87" s="9"/>
      <c r="E87" s="12"/>
      <c r="F87" s="243"/>
      <c r="G87" s="77"/>
      <c r="H87" s="77"/>
    </row>
    <row r="88" spans="1:8" s="76" customFormat="1" ht="11.25" customHeight="1" x14ac:dyDescent="0.2">
      <c r="A88" s="141"/>
      <c r="B88" s="1366" t="s">
        <v>806</v>
      </c>
      <c r="C88" s="1366"/>
      <c r="D88" s="1019"/>
      <c r="E88" s="12"/>
      <c r="F88" s="243"/>
      <c r="G88" s="77"/>
      <c r="H88" s="77"/>
    </row>
    <row r="89" spans="1:8" s="76" customFormat="1" ht="11.25" customHeight="1" x14ac:dyDescent="0.2">
      <c r="A89" s="141"/>
      <c r="B89" s="1366"/>
      <c r="C89" s="1366"/>
      <c r="D89" s="1019"/>
      <c r="E89" s="12"/>
      <c r="F89" s="244"/>
      <c r="G89" s="80"/>
      <c r="H89" s="80"/>
    </row>
    <row r="90" spans="1:8" s="76" customFormat="1" ht="11.25" customHeight="1" x14ac:dyDescent="0.2">
      <c r="A90" s="141"/>
      <c r="B90" s="1366" t="s">
        <v>81</v>
      </c>
      <c r="C90" s="1366"/>
      <c r="D90" s="1018"/>
      <c r="E90" s="12"/>
      <c r="F90" s="243"/>
      <c r="G90" s="77"/>
      <c r="H90" s="77"/>
    </row>
    <row r="91" spans="1:8" s="76" customFormat="1" ht="11.25" customHeight="1" x14ac:dyDescent="0.2">
      <c r="A91" s="141"/>
      <c r="B91" s="1366"/>
      <c r="C91" s="1366"/>
      <c r="D91" s="1018"/>
      <c r="E91" s="12"/>
      <c r="F91" s="244"/>
      <c r="G91" s="80"/>
      <c r="H91" s="80"/>
    </row>
    <row r="92" spans="1:8" s="78" customFormat="1" ht="11.25" customHeight="1" x14ac:dyDescent="0.2">
      <c r="A92" s="141"/>
      <c r="B92" s="1366" t="s">
        <v>78</v>
      </c>
      <c r="C92" s="1366"/>
      <c r="D92" s="1019"/>
      <c r="E92" s="12"/>
      <c r="F92" s="243"/>
      <c r="G92" s="77"/>
      <c r="H92" s="77"/>
    </row>
    <row r="93" spans="1:8" s="76" customFormat="1" ht="11.25" customHeight="1" x14ac:dyDescent="0.2">
      <c r="A93" s="141"/>
      <c r="B93" s="1366"/>
      <c r="C93" s="1366"/>
      <c r="D93" s="1019"/>
      <c r="E93" s="12"/>
      <c r="F93" s="243"/>
      <c r="G93" s="77"/>
      <c r="H93" s="77"/>
    </row>
    <row r="94" spans="1:8" s="76" customFormat="1" ht="11.25" customHeight="1" x14ac:dyDescent="0.2">
      <c r="A94" s="141"/>
      <c r="B94" s="1366" t="s">
        <v>17</v>
      </c>
      <c r="C94" s="1366"/>
      <c r="D94" s="1018"/>
      <c r="E94" s="12"/>
      <c r="F94" s="243"/>
      <c r="G94" s="77"/>
      <c r="H94" s="77"/>
    </row>
    <row r="95" spans="1:8" s="76" customFormat="1" ht="11.25" customHeight="1" x14ac:dyDescent="0.2">
      <c r="A95" s="141"/>
      <c r="B95" s="1366"/>
      <c r="C95" s="1366"/>
      <c r="D95" s="1018"/>
      <c r="E95" s="12"/>
      <c r="F95" s="243"/>
      <c r="G95" s="77"/>
      <c r="H95" s="77"/>
    </row>
    <row r="96" spans="1:8" s="76" customFormat="1" ht="11.25" customHeight="1" x14ac:dyDescent="0.2">
      <c r="A96" s="141"/>
      <c r="B96" s="1366" t="s">
        <v>80</v>
      </c>
      <c r="C96" s="1366"/>
      <c r="D96" s="1018"/>
      <c r="E96" s="12"/>
      <c r="F96" s="243"/>
      <c r="G96" s="77"/>
      <c r="H96" s="77"/>
    </row>
    <row r="97" spans="1:8" s="76" customFormat="1" ht="11.25" customHeight="1" x14ac:dyDescent="0.2">
      <c r="A97" s="141"/>
      <c r="B97" s="1366"/>
      <c r="C97" s="1366"/>
      <c r="D97" s="1018"/>
      <c r="E97" s="12"/>
      <c r="F97" s="243"/>
      <c r="G97" s="77"/>
      <c r="H97" s="77"/>
    </row>
    <row r="98" spans="1:8" s="76" customFormat="1" ht="11.25" customHeight="1" x14ac:dyDescent="0.2">
      <c r="A98" s="141"/>
      <c r="B98" s="1366" t="s">
        <v>69</v>
      </c>
      <c r="C98" s="1366"/>
      <c r="D98" s="1018"/>
      <c r="E98" s="12"/>
      <c r="F98" s="243"/>
      <c r="G98" s="77"/>
      <c r="H98" s="77"/>
    </row>
    <row r="99" spans="1:8" s="76" customFormat="1" ht="11.25" customHeight="1" x14ac:dyDescent="0.2">
      <c r="A99" s="141"/>
      <c r="B99" s="1366"/>
      <c r="C99" s="1366"/>
      <c r="D99" s="1018"/>
      <c r="E99" s="12"/>
      <c r="F99" s="243"/>
      <c r="G99" s="77"/>
      <c r="H99" s="77"/>
    </row>
    <row r="100" spans="1:8" s="76" customFormat="1" ht="11.25" customHeight="1" x14ac:dyDescent="0.2">
      <c r="A100" s="141"/>
      <c r="B100" s="1366" t="s">
        <v>24</v>
      </c>
      <c r="C100" s="1366"/>
      <c r="D100" s="1018"/>
      <c r="E100" s="12"/>
      <c r="F100" s="243"/>
      <c r="G100" s="77"/>
      <c r="H100" s="77"/>
    </row>
    <row r="101" spans="1:8" s="76" customFormat="1" ht="11.25" customHeight="1" x14ac:dyDescent="0.2">
      <c r="A101" s="141"/>
      <c r="B101" s="1366"/>
      <c r="C101" s="1366"/>
      <c r="D101" s="1018"/>
      <c r="E101" s="12"/>
      <c r="F101" s="243"/>
      <c r="G101" s="77"/>
      <c r="H101" s="77"/>
    </row>
    <row r="102" spans="1:8" s="76" customFormat="1" ht="11.25" customHeight="1" x14ac:dyDescent="0.2">
      <c r="A102" s="141"/>
      <c r="B102" s="1366" t="s">
        <v>22</v>
      </c>
      <c r="C102" s="1366"/>
      <c r="D102" s="1018"/>
      <c r="E102" s="12"/>
      <c r="F102" s="243"/>
      <c r="G102" s="77"/>
      <c r="H102" s="77"/>
    </row>
    <row r="103" spans="1:8" s="76" customFormat="1" ht="11.25" customHeight="1" x14ac:dyDescent="0.2">
      <c r="A103" s="141"/>
      <c r="B103" s="1366"/>
      <c r="C103" s="1366"/>
      <c r="D103" s="1018"/>
      <c r="E103" s="12"/>
      <c r="F103" s="243"/>
      <c r="G103" s="77"/>
      <c r="H103" s="77"/>
    </row>
    <row r="104" spans="1:8" s="76" customFormat="1" ht="11.25" customHeight="1" x14ac:dyDescent="0.2">
      <c r="A104" s="141"/>
      <c r="B104" s="1366" t="s">
        <v>25</v>
      </c>
      <c r="C104" s="1366"/>
      <c r="D104" s="1018"/>
      <c r="E104" s="12"/>
      <c r="F104" s="243"/>
      <c r="G104" s="77"/>
      <c r="H104" s="77"/>
    </row>
    <row r="105" spans="1:8" s="76" customFormat="1" ht="11.25" customHeight="1" x14ac:dyDescent="0.2">
      <c r="A105" s="141"/>
      <c r="B105" s="1366"/>
      <c r="C105" s="1366"/>
      <c r="D105" s="1018"/>
      <c r="E105" s="12"/>
      <c r="F105" s="243"/>
      <c r="G105" s="77"/>
      <c r="H105" s="77"/>
    </row>
    <row r="106" spans="1:8" s="76" customFormat="1" ht="11.25" customHeight="1" x14ac:dyDescent="0.2">
      <c r="A106" s="141"/>
      <c r="B106" s="1366" t="s">
        <v>18</v>
      </c>
      <c r="C106" s="1366"/>
      <c r="D106" s="1018"/>
      <c r="E106" s="12"/>
      <c r="F106" s="243"/>
      <c r="G106" s="77"/>
      <c r="H106" s="77"/>
    </row>
    <row r="107" spans="1:8" s="76" customFormat="1" ht="11.25" customHeight="1" x14ac:dyDescent="0.2">
      <c r="A107" s="141"/>
      <c r="B107" s="1366"/>
      <c r="C107" s="1366"/>
      <c r="D107" s="1018"/>
      <c r="E107" s="12"/>
      <c r="F107" s="243"/>
      <c r="G107" s="77"/>
      <c r="H107" s="77"/>
    </row>
    <row r="108" spans="1:8" s="76" customFormat="1" ht="11.25" customHeight="1" x14ac:dyDescent="0.2">
      <c r="A108" s="141"/>
      <c r="B108" s="1366" t="s">
        <v>19</v>
      </c>
      <c r="C108" s="1366"/>
      <c r="D108" s="1018"/>
      <c r="E108" s="12"/>
      <c r="F108" s="243"/>
      <c r="G108" s="77"/>
      <c r="H108" s="77"/>
    </row>
    <row r="109" spans="1:8" s="76" customFormat="1" ht="11.25" customHeight="1" x14ac:dyDescent="0.2">
      <c r="A109" s="141"/>
      <c r="B109" s="1366"/>
      <c r="C109" s="1366"/>
      <c r="D109" s="1018"/>
      <c r="E109" s="12"/>
      <c r="F109" s="243"/>
      <c r="G109" s="77"/>
      <c r="H109" s="77"/>
    </row>
    <row r="110" spans="1:8" s="76" customFormat="1" ht="11.25" customHeight="1" x14ac:dyDescent="0.2">
      <c r="A110" s="141"/>
      <c r="B110" s="1366" t="s">
        <v>20</v>
      </c>
      <c r="C110" s="1366"/>
      <c r="D110" s="1018"/>
      <c r="E110" s="12"/>
      <c r="F110" s="243"/>
      <c r="G110" s="77"/>
      <c r="H110" s="77"/>
    </row>
    <row r="111" spans="1:8" s="76" customFormat="1" ht="11.25" customHeight="1" x14ac:dyDescent="0.2">
      <c r="A111" s="141"/>
      <c r="B111" s="1366"/>
      <c r="C111" s="1366"/>
      <c r="D111" s="1018"/>
      <c r="E111" s="12"/>
      <c r="F111" s="243"/>
      <c r="G111" s="77"/>
      <c r="H111" s="77"/>
    </row>
    <row r="112" spans="1:8" s="76" customFormat="1" ht="11.25" customHeight="1" x14ac:dyDescent="0.2">
      <c r="A112" s="141"/>
      <c r="B112" s="1366" t="s">
        <v>26</v>
      </c>
      <c r="C112" s="1366"/>
      <c r="D112" s="1018"/>
      <c r="E112" s="12"/>
      <c r="F112" s="243"/>
      <c r="G112" s="77"/>
      <c r="H112" s="77"/>
    </row>
    <row r="113" spans="1:8" s="76" customFormat="1" ht="11.25" customHeight="1" x14ac:dyDescent="0.2">
      <c r="A113" s="141"/>
      <c r="B113" s="1366"/>
      <c r="C113" s="1366"/>
      <c r="D113" s="1018"/>
      <c r="E113" s="12"/>
      <c r="F113" s="243"/>
      <c r="G113" s="77"/>
      <c r="H113" s="77"/>
    </row>
    <row r="114" spans="1:8" s="76" customFormat="1" ht="11.25" customHeight="1" x14ac:dyDescent="0.2">
      <c r="A114" s="141"/>
      <c r="B114" s="1366" t="s">
        <v>21</v>
      </c>
      <c r="C114" s="1366"/>
      <c r="D114" s="1018"/>
      <c r="E114" s="12"/>
      <c r="F114" s="243"/>
      <c r="G114" s="77"/>
      <c r="H114" s="77"/>
    </row>
    <row r="115" spans="1:8" s="76" customFormat="1" ht="11.25" customHeight="1" x14ac:dyDescent="0.2">
      <c r="A115" s="141"/>
      <c r="B115" s="1366"/>
      <c r="C115" s="1366"/>
      <c r="D115" s="1018"/>
      <c r="E115" s="12"/>
      <c r="F115" s="243"/>
      <c r="G115" s="77"/>
      <c r="H115" s="77"/>
    </row>
    <row r="116" spans="1:8" s="76" customFormat="1" ht="11.25" customHeight="1" x14ac:dyDescent="0.2">
      <c r="A116" s="141"/>
      <c r="B116" s="1366" t="s">
        <v>930</v>
      </c>
      <c r="C116" s="1366"/>
      <c r="D116" s="1019"/>
      <c r="E116" s="12"/>
      <c r="F116" s="243"/>
      <c r="G116" s="77"/>
      <c r="H116" s="77"/>
    </row>
    <row r="117" spans="1:8" s="76" customFormat="1" ht="11.25" customHeight="1" x14ac:dyDescent="0.2">
      <c r="A117" s="141"/>
      <c r="B117" s="1366"/>
      <c r="C117" s="1366"/>
      <c r="D117" s="1019"/>
      <c r="E117" s="12"/>
      <c r="F117" s="243"/>
      <c r="G117" s="77"/>
      <c r="H117" s="77"/>
    </row>
    <row r="118" spans="1:8" s="76" customFormat="1" ht="11.25" customHeight="1" x14ac:dyDescent="0.2">
      <c r="A118" s="141"/>
      <c r="B118" s="1366" t="s">
        <v>680</v>
      </c>
      <c r="C118" s="1366"/>
      <c r="D118" s="1019"/>
      <c r="E118" s="12"/>
      <c r="F118" s="243"/>
      <c r="G118" s="77"/>
      <c r="H118" s="77"/>
    </row>
    <row r="119" spans="1:8" s="76" customFormat="1" ht="11.25" customHeight="1" x14ac:dyDescent="0.2">
      <c r="A119" s="141"/>
      <c r="B119" s="1366"/>
      <c r="C119" s="1366"/>
      <c r="D119" s="1019"/>
      <c r="E119" s="12"/>
      <c r="F119" s="243"/>
      <c r="G119" s="77"/>
      <c r="H119" s="77"/>
    </row>
    <row r="120" spans="1:8" s="76" customFormat="1" ht="11.25" customHeight="1" x14ac:dyDescent="0.2">
      <c r="A120" s="141"/>
      <c r="B120" s="1366" t="s">
        <v>32</v>
      </c>
      <c r="C120" s="1366"/>
      <c r="D120" s="1018"/>
      <c r="E120" s="12"/>
      <c r="F120" s="243"/>
      <c r="G120" s="77"/>
      <c r="H120" s="77"/>
    </row>
    <row r="121" spans="1:8" s="76" customFormat="1" ht="11.25" customHeight="1" x14ac:dyDescent="0.2">
      <c r="A121" s="141"/>
      <c r="B121" s="1366"/>
      <c r="C121" s="1366"/>
      <c r="D121" s="1018"/>
      <c r="E121" s="12"/>
      <c r="F121" s="243"/>
      <c r="G121" s="77"/>
      <c r="H121" s="77"/>
    </row>
    <row r="122" spans="1:8" x14ac:dyDescent="0.2">
      <c r="A122" s="248"/>
      <c r="B122" s="1110"/>
      <c r="C122" s="246"/>
      <c r="D122" s="282"/>
      <c r="E122" s="246"/>
      <c r="F122" s="247"/>
    </row>
    <row r="137" spans="7:9" x14ac:dyDescent="0.2">
      <c r="G137" s="76"/>
      <c r="H137" s="76"/>
    </row>
    <row r="138" spans="7:9" x14ac:dyDescent="0.2">
      <c r="G138" s="76"/>
      <c r="H138" s="76"/>
    </row>
    <row r="139" spans="7:9" x14ac:dyDescent="0.2">
      <c r="G139" s="76"/>
      <c r="H139" s="76"/>
    </row>
    <row r="142" spans="7:9" x14ac:dyDescent="0.2">
      <c r="G142" s="80"/>
      <c r="H142" s="80"/>
      <c r="I142" s="80"/>
    </row>
    <row r="181" spans="7:9" x14ac:dyDescent="0.2">
      <c r="G181" s="76"/>
      <c r="H181" s="76"/>
    </row>
    <row r="182" spans="7:9" x14ac:dyDescent="0.2">
      <c r="G182" s="76"/>
      <c r="H182" s="76"/>
    </row>
    <row r="183" spans="7:9" x14ac:dyDescent="0.2">
      <c r="G183" s="76"/>
      <c r="H183" s="76"/>
    </row>
    <row r="186" spans="7:9" x14ac:dyDescent="0.2">
      <c r="G186" s="80"/>
      <c r="H186" s="80"/>
      <c r="I186" s="80"/>
    </row>
    <row r="225" spans="7:9" x14ac:dyDescent="0.2">
      <c r="G225" s="76"/>
      <c r="H225" s="76"/>
    </row>
    <row r="226" spans="7:9" x14ac:dyDescent="0.2">
      <c r="G226" s="76"/>
      <c r="H226" s="76"/>
    </row>
    <row r="227" spans="7:9" x14ac:dyDescent="0.2">
      <c r="G227" s="76"/>
      <c r="H227" s="76"/>
    </row>
    <row r="230" spans="7:9" x14ac:dyDescent="0.2">
      <c r="G230" s="80"/>
      <c r="H230" s="80"/>
      <c r="I230" s="80"/>
    </row>
    <row r="269" spans="7:8" x14ac:dyDescent="0.2">
      <c r="G269" s="76"/>
      <c r="H269" s="76"/>
    </row>
    <row r="270" spans="7:8" x14ac:dyDescent="0.2">
      <c r="G270" s="76"/>
      <c r="H270" s="76"/>
    </row>
    <row r="271" spans="7:8" x14ac:dyDescent="0.2">
      <c r="G271" s="76"/>
      <c r="H271" s="76"/>
    </row>
    <row r="274" spans="7:9" x14ac:dyDescent="0.2">
      <c r="G274" s="80"/>
      <c r="H274" s="80"/>
      <c r="I274" s="80"/>
    </row>
    <row r="313" spans="7:9" x14ac:dyDescent="0.2">
      <c r="G313" s="76"/>
      <c r="H313" s="76"/>
    </row>
    <row r="314" spans="7:9" x14ac:dyDescent="0.2">
      <c r="G314" s="76"/>
      <c r="H314" s="76"/>
    </row>
    <row r="315" spans="7:9" x14ac:dyDescent="0.2">
      <c r="G315" s="76"/>
      <c r="H315" s="76"/>
    </row>
    <row r="318" spans="7:9" x14ac:dyDescent="0.2">
      <c r="G318" s="80"/>
      <c r="H318" s="80"/>
      <c r="I318" s="80"/>
    </row>
    <row r="357" spans="7:9" x14ac:dyDescent="0.2">
      <c r="G357" s="76"/>
      <c r="H357" s="76"/>
    </row>
    <row r="358" spans="7:9" x14ac:dyDescent="0.2">
      <c r="G358" s="76"/>
      <c r="H358" s="76"/>
    </row>
    <row r="359" spans="7:9" x14ac:dyDescent="0.2">
      <c r="G359" s="76"/>
      <c r="H359" s="76"/>
    </row>
    <row r="362" spans="7:9" x14ac:dyDescent="0.2">
      <c r="G362" s="80"/>
      <c r="H362" s="80"/>
      <c r="I362" s="80"/>
    </row>
    <row r="401" spans="7:9" x14ac:dyDescent="0.2">
      <c r="G401" s="76"/>
      <c r="H401" s="76"/>
    </row>
    <row r="402" spans="7:9" x14ac:dyDescent="0.2">
      <c r="G402" s="76"/>
      <c r="H402" s="76"/>
    </row>
    <row r="403" spans="7:9" x14ac:dyDescent="0.2">
      <c r="G403" s="76"/>
      <c r="H403" s="76"/>
    </row>
    <row r="406" spans="7:9" x14ac:dyDescent="0.2">
      <c r="G406" s="80"/>
      <c r="H406" s="80"/>
      <c r="I406" s="80"/>
    </row>
    <row r="445" spans="7:8" x14ac:dyDescent="0.2">
      <c r="G445" s="76"/>
      <c r="H445" s="76"/>
    </row>
    <row r="446" spans="7:8" x14ac:dyDescent="0.2">
      <c r="G446" s="76"/>
      <c r="H446" s="76"/>
    </row>
    <row r="447" spans="7:8" x14ac:dyDescent="0.2">
      <c r="G447" s="76"/>
      <c r="H447" s="76"/>
    </row>
    <row r="450" spans="7:9" x14ac:dyDescent="0.2">
      <c r="G450" s="80"/>
      <c r="H450" s="80"/>
      <c r="I450" s="80"/>
    </row>
  </sheetData>
  <sheetProtection sheet="1" objects="1" scenarios="1"/>
  <mergeCells count="33">
    <mergeCell ref="D7:D9"/>
    <mergeCell ref="B40:B48"/>
    <mergeCell ref="B49:B51"/>
    <mergeCell ref="B15:B19"/>
    <mergeCell ref="B7:B14"/>
    <mergeCell ref="B20:B24"/>
    <mergeCell ref="B25:B34"/>
    <mergeCell ref="B38:B39"/>
    <mergeCell ref="B114:C115"/>
    <mergeCell ref="B116:C117"/>
    <mergeCell ref="B118:C119"/>
    <mergeCell ref="B120:C121"/>
    <mergeCell ref="B86:B87"/>
    <mergeCell ref="B88:C89"/>
    <mergeCell ref="B90:C91"/>
    <mergeCell ref="B92:C93"/>
    <mergeCell ref="B94:C95"/>
    <mergeCell ref="B58:B59"/>
    <mergeCell ref="B52:B54"/>
    <mergeCell ref="B110:C111"/>
    <mergeCell ref="B112:C113"/>
    <mergeCell ref="B100:C101"/>
    <mergeCell ref="B102:C103"/>
    <mergeCell ref="B104:C105"/>
    <mergeCell ref="B106:C107"/>
    <mergeCell ref="B108:C109"/>
    <mergeCell ref="B96:C97"/>
    <mergeCell ref="B98:C99"/>
    <mergeCell ref="B77:B78"/>
    <mergeCell ref="B72:B73"/>
    <mergeCell ref="B60:B65"/>
    <mergeCell ref="B66:B67"/>
    <mergeCell ref="B74:B76"/>
  </mergeCells>
  <hyperlinks>
    <hyperlink ref="B90:B91" location="Coverage!A1" display="Participating LA's" xr:uid="{00000000-0004-0000-0900-000000000000}"/>
    <hyperlink ref="B92:B93" location="IDACI!A1" display="IDACI" xr:uid="{00000000-0004-0000-0900-000001000000}"/>
    <hyperlink ref="B120:B121" location="Adoption!A1" display="Adoption" xr:uid="{00000000-0004-0000-0900-000002000000}"/>
    <hyperlink ref="B114:B115" location="'Looked After Children'!A1" display="Looked After Children" xr:uid="{00000000-0004-0000-0900-000003000000}"/>
    <hyperlink ref="B112:B113" location="'Court Applications'!A1" display="Court Applications" xr:uid="{00000000-0004-0000-0900-000004000000}"/>
    <hyperlink ref="B110:B111" location="'Child Protection Plans'!A1" display="Child Protection Plans" xr:uid="{00000000-0004-0000-0900-000005000000}"/>
    <hyperlink ref="B108:B109" location="'Initial CP Conferences'!A1" display="Initial Child Protection Conferences" xr:uid="{00000000-0004-0000-0900-000006000000}"/>
    <hyperlink ref="B106:B107" location="'Section 47 Enquiries'!A1" display="Section 47 Enquiries" xr:uid="{00000000-0004-0000-0900-000007000000}"/>
    <hyperlink ref="B104:B105" location="'Children in Need'!A1" display="Children in Need" xr:uid="{00000000-0004-0000-0900-000008000000}"/>
    <hyperlink ref="B102:B103" location="Assessments!A1" display="Assessments" xr:uid="{00000000-0004-0000-0900-000009000000}"/>
    <hyperlink ref="B100:B101" location="'Re-referrals'!A1" display="Re-referrals" xr:uid="{00000000-0004-0000-0900-00000A000000}"/>
    <hyperlink ref="B98:B99" location="Referral_Source!A1" display="Referral Source" xr:uid="{00000000-0004-0000-0900-00000B000000}"/>
    <hyperlink ref="B96:B97" location="Referrals!A1" display="Referrals" xr:uid="{00000000-0004-0000-0900-00000C000000}"/>
    <hyperlink ref="B94:B95" location="Population!A1" display="Population" xr:uid="{00000000-0004-0000-0900-00000D000000}"/>
    <hyperlink ref="B92:D93" location="IDACI!A1" display="IDACI" xr:uid="{00000000-0004-0000-0900-00000E000000}"/>
    <hyperlink ref="B88:B89" location="Coverage!A1" display="Participating LA's" xr:uid="{00000000-0004-0000-0900-000017000000}"/>
    <hyperlink ref="B88:D89" location="Indicators!A1" display="Indicators" xr:uid="{00000000-0004-0000-0900-000018000000}"/>
    <hyperlink ref="B118:B119" location="'Looked After Children'!A1" display="Looked After Children" xr:uid="{00000000-0004-0000-0900-00001B000000}"/>
    <hyperlink ref="B116:B117" location="'Court Applications'!A1" display="Court Applications" xr:uid="{00000000-0004-0000-0900-00001C000000}"/>
    <hyperlink ref="B116:D117" location="New_Ceased_LAC!A1" display="New/ Ceased Looked After Children" xr:uid="{00000000-0004-0000-0900-00001D000000}"/>
    <hyperlink ref="B118:D119" location="Care_Leavers!A1" display="Care Leavers" xr:uid="{00000000-0004-0000-0900-00001E000000}"/>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FFC000"/>
  </sheetPr>
  <dimension ref="A1:AN385"/>
  <sheetViews>
    <sheetView showRowColHeaders="0" workbookViewId="0"/>
  </sheetViews>
  <sheetFormatPr defaultColWidth="9.140625" defaultRowHeight="11.25" customHeight="1" x14ac:dyDescent="0.2"/>
  <cols>
    <col min="1" max="1" width="2.140625" style="77" customWidth="1"/>
    <col min="2" max="2" width="11.42578125" style="77" customWidth="1"/>
    <col min="3" max="3" width="18.85546875" style="77" bestFit="1" customWidth="1"/>
    <col min="4" max="4" width="14.5703125" style="77" customWidth="1"/>
    <col min="5" max="5" width="10.140625" style="77" customWidth="1"/>
    <col min="6" max="27" width="3.5703125" style="77" customWidth="1"/>
    <col min="28" max="28" width="2.140625" style="77" customWidth="1"/>
    <col min="29" max="29" width="6.42578125" style="77" customWidth="1"/>
    <col min="30" max="30" width="12.140625" style="77" hidden="1" customWidth="1"/>
    <col min="31" max="31" width="9.140625" style="77" hidden="1" customWidth="1"/>
    <col min="32" max="32" width="12.140625" style="77" hidden="1" customWidth="1"/>
    <col min="33" max="36" width="9.140625" style="77" customWidth="1"/>
    <col min="37" max="16384" width="9.140625" style="77"/>
  </cols>
  <sheetData>
    <row r="1" spans="1:40" s="76" customFormat="1" ht="18.75" customHeight="1" x14ac:dyDescent="0.2">
      <c r="A1" s="114"/>
      <c r="B1" s="214"/>
      <c r="C1" s="214"/>
      <c r="D1" s="214"/>
      <c r="E1" s="214"/>
      <c r="F1" s="214"/>
      <c r="G1" s="214"/>
      <c r="H1" s="214"/>
      <c r="I1" s="214"/>
      <c r="J1" s="214"/>
      <c r="K1" s="215"/>
      <c r="L1" s="214"/>
      <c r="M1" s="214"/>
      <c r="N1" s="214"/>
      <c r="O1" s="214"/>
      <c r="P1" s="214"/>
      <c r="Q1" s="214"/>
      <c r="R1" s="214"/>
      <c r="S1" s="214"/>
      <c r="T1" s="214"/>
      <c r="U1" s="214"/>
      <c r="V1" s="214"/>
      <c r="W1" s="214"/>
      <c r="X1" s="214"/>
      <c r="Y1" s="214"/>
      <c r="Z1" s="262"/>
      <c r="AA1" s="262"/>
      <c r="AB1" s="216"/>
      <c r="AC1" s="268"/>
      <c r="AD1" s="175"/>
      <c r="AE1" s="175"/>
      <c r="AF1" s="175"/>
      <c r="AG1" s="175"/>
      <c r="AH1" s="175"/>
      <c r="AI1" s="175"/>
      <c r="AJ1" s="175"/>
      <c r="AK1" s="175"/>
      <c r="AL1" s="179"/>
      <c r="AM1" s="179"/>
      <c r="AN1" s="179"/>
    </row>
    <row r="2" spans="1:40" s="76" customFormat="1" ht="18.75" customHeight="1" x14ac:dyDescent="0.2">
      <c r="A2" s="120"/>
      <c r="B2" s="263" t="s">
        <v>113</v>
      </c>
      <c r="C2" s="58"/>
      <c r="D2" s="58"/>
      <c r="E2" s="58"/>
      <c r="F2" s="58"/>
      <c r="G2" s="58"/>
      <c r="H2" s="58"/>
      <c r="I2" s="58"/>
      <c r="J2" s="58"/>
      <c r="K2" s="66"/>
      <c r="L2" s="58"/>
      <c r="M2" s="58"/>
      <c r="N2" s="58"/>
      <c r="O2" s="58"/>
      <c r="P2" s="58"/>
      <c r="Q2" s="58"/>
      <c r="R2" s="58"/>
      <c r="S2" s="58"/>
      <c r="T2" s="58"/>
      <c r="U2" s="58"/>
      <c r="V2" s="58"/>
      <c r="W2" s="58"/>
      <c r="X2" s="58"/>
      <c r="Y2" s="58"/>
      <c r="Z2" s="64"/>
      <c r="AA2" s="64"/>
      <c r="AB2" s="235"/>
      <c r="AC2" s="157"/>
      <c r="AD2" s="83"/>
      <c r="AE2" s="79" t="str">
        <f>Home!$D$10</f>
        <v>(none)</v>
      </c>
      <c r="AF2" s="83"/>
      <c r="AG2" s="83"/>
      <c r="AH2" s="83"/>
      <c r="AI2" s="83"/>
      <c r="AJ2" s="83"/>
      <c r="AK2" s="83"/>
      <c r="AL2" s="179"/>
      <c r="AM2" s="179"/>
      <c r="AN2" s="179"/>
    </row>
    <row r="3" spans="1:40" s="76" customFormat="1" ht="18.75" customHeight="1" x14ac:dyDescent="0.2">
      <c r="A3" s="259"/>
      <c r="B3" s="264"/>
      <c r="C3" s="264"/>
      <c r="D3" s="280"/>
      <c r="E3" s="264"/>
      <c r="F3" s="264"/>
      <c r="G3" s="264"/>
      <c r="H3" s="264"/>
      <c r="I3" s="264"/>
      <c r="J3" s="264"/>
      <c r="K3" s="265"/>
      <c r="L3" s="264"/>
      <c r="M3" s="264"/>
      <c r="N3" s="264"/>
      <c r="O3" s="264"/>
      <c r="P3" s="264"/>
      <c r="Q3" s="264"/>
      <c r="R3" s="264"/>
      <c r="S3" s="264"/>
      <c r="T3" s="264"/>
      <c r="U3" s="264"/>
      <c r="V3" s="264"/>
      <c r="W3" s="280"/>
      <c r="X3" s="264"/>
      <c r="Y3" s="264"/>
      <c r="Z3" s="266"/>
      <c r="AA3" s="266"/>
      <c r="AB3" s="267"/>
      <c r="AC3" s="157"/>
      <c r="AD3" s="83"/>
      <c r="AE3" s="83"/>
      <c r="AF3" s="83"/>
      <c r="AG3" s="83"/>
      <c r="AH3" s="83"/>
      <c r="AI3" s="83"/>
      <c r="AJ3" s="83"/>
      <c r="AK3" s="83"/>
      <c r="AL3" s="179"/>
      <c r="AM3" s="179"/>
      <c r="AN3" s="179"/>
    </row>
    <row r="4" spans="1:40" ht="11.25" customHeight="1" x14ac:dyDescent="0.2">
      <c r="A4" s="228"/>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49"/>
      <c r="AC4" s="227"/>
    </row>
    <row r="5" spans="1:40" s="80" customFormat="1" ht="15" x14ac:dyDescent="0.2">
      <c r="A5" s="231"/>
      <c r="B5" s="59" t="s">
        <v>81</v>
      </c>
      <c r="C5" s="60"/>
      <c r="D5" s="60"/>
      <c r="E5" s="60"/>
      <c r="F5" s="60"/>
      <c r="G5" s="60"/>
      <c r="H5" s="60"/>
      <c r="I5" s="60"/>
      <c r="J5" s="60"/>
      <c r="K5" s="60"/>
      <c r="L5" s="60"/>
      <c r="M5" s="60"/>
      <c r="N5" s="60"/>
      <c r="O5" s="60"/>
      <c r="P5" s="60"/>
      <c r="Q5" s="60"/>
      <c r="R5" s="60"/>
      <c r="S5" s="60"/>
      <c r="T5" s="60"/>
      <c r="U5" s="60"/>
      <c r="V5" s="60"/>
      <c r="W5" s="60"/>
      <c r="X5" s="60"/>
      <c r="Y5" s="60"/>
      <c r="Z5" s="60"/>
      <c r="AA5" s="60"/>
      <c r="AB5" s="250"/>
      <c r="AC5" s="269"/>
    </row>
    <row r="6" spans="1:40" ht="20.25" customHeight="1" x14ac:dyDescent="0.2">
      <c r="A6" s="230"/>
      <c r="B6" s="1372" t="s">
        <v>100</v>
      </c>
      <c r="C6" s="1373"/>
      <c r="D6" s="1373"/>
      <c r="E6" s="1373"/>
      <c r="F6" s="1373"/>
      <c r="G6" s="1373"/>
      <c r="H6" s="1373"/>
      <c r="I6" s="1373"/>
      <c r="J6" s="1373"/>
      <c r="K6" s="1373"/>
      <c r="L6" s="1373"/>
      <c r="M6" s="1373"/>
      <c r="N6" s="1373"/>
      <c r="O6" s="1373"/>
      <c r="P6" s="1373"/>
      <c r="Q6" s="1373"/>
      <c r="R6" s="1373"/>
      <c r="S6" s="1373"/>
      <c r="T6" s="1373"/>
      <c r="U6" s="1373"/>
      <c r="V6" s="1373"/>
      <c r="W6" s="1373"/>
      <c r="X6" s="1373"/>
      <c r="Y6" s="1373"/>
      <c r="Z6" s="1373"/>
      <c r="AA6" s="1373"/>
      <c r="AB6" s="251"/>
      <c r="AC6" s="227"/>
    </row>
    <row r="7" spans="1:40" s="88" customFormat="1" ht="13.5" customHeight="1" x14ac:dyDescent="0.2">
      <c r="A7" s="232"/>
      <c r="B7" s="1393" t="s">
        <v>83</v>
      </c>
      <c r="C7" s="1381" t="s">
        <v>29</v>
      </c>
      <c r="D7" s="1387" t="s">
        <v>116</v>
      </c>
      <c r="E7" s="1384" t="s">
        <v>117</v>
      </c>
      <c r="F7" s="1390" t="s">
        <v>75</v>
      </c>
      <c r="G7" s="1391"/>
      <c r="H7" s="1391"/>
      <c r="I7" s="1391"/>
      <c r="J7" s="1391"/>
      <c r="K7" s="1391"/>
      <c r="L7" s="1391"/>
      <c r="M7" s="1391"/>
      <c r="N7" s="1391"/>
      <c r="O7" s="1391"/>
      <c r="P7" s="1391"/>
      <c r="Q7" s="1391"/>
      <c r="R7" s="1391"/>
      <c r="S7" s="1391"/>
      <c r="T7" s="1391"/>
      <c r="U7" s="1391"/>
      <c r="V7" s="1391"/>
      <c r="W7" s="1391"/>
      <c r="X7" s="1391"/>
      <c r="Y7" s="1391"/>
      <c r="Z7" s="1391"/>
      <c r="AA7" s="1392"/>
      <c r="AB7" s="252"/>
      <c r="AC7" s="245"/>
    </row>
    <row r="8" spans="1:40" ht="57" customHeight="1" x14ac:dyDescent="0.2">
      <c r="A8" s="230"/>
      <c r="B8" s="1394"/>
      <c r="C8" s="1382"/>
      <c r="D8" s="1388"/>
      <c r="E8" s="1385"/>
      <c r="F8" s="1378" t="s">
        <v>0</v>
      </c>
      <c r="G8" s="1374" t="s">
        <v>31</v>
      </c>
      <c r="H8" s="1374" t="s">
        <v>8</v>
      </c>
      <c r="I8" s="1374" t="s">
        <v>4</v>
      </c>
      <c r="J8" s="1374" t="s">
        <v>6</v>
      </c>
      <c r="K8" s="1374" t="s">
        <v>1</v>
      </c>
      <c r="L8" s="1374" t="s">
        <v>9</v>
      </c>
      <c r="M8" s="1374" t="s">
        <v>2</v>
      </c>
      <c r="N8" s="1374" t="s">
        <v>10</v>
      </c>
      <c r="O8" s="1374" t="s">
        <v>11</v>
      </c>
      <c r="P8" s="1374" t="s">
        <v>12</v>
      </c>
      <c r="Q8" s="1374" t="s">
        <v>3</v>
      </c>
      <c r="R8" s="1374" t="s">
        <v>13</v>
      </c>
      <c r="S8" s="1374" t="s">
        <v>93</v>
      </c>
      <c r="T8" s="1374" t="s">
        <v>14</v>
      </c>
      <c r="U8" s="1374" t="s">
        <v>7</v>
      </c>
      <c r="V8" s="1380" t="s">
        <v>114</v>
      </c>
      <c r="W8" s="1380" t="s">
        <v>115</v>
      </c>
      <c r="X8" s="1374" t="s">
        <v>15</v>
      </c>
      <c r="Y8" s="1374" t="s">
        <v>5</v>
      </c>
      <c r="Z8" s="1374" t="s">
        <v>30</v>
      </c>
      <c r="AA8" s="1376" t="s">
        <v>16</v>
      </c>
      <c r="AB8" s="251"/>
      <c r="AC8" s="243"/>
    </row>
    <row r="9" spans="1:40" ht="11.25" customHeight="1" x14ac:dyDescent="0.2">
      <c r="A9" s="230"/>
      <c r="B9" s="1395"/>
      <c r="C9" s="1383"/>
      <c r="D9" s="1389"/>
      <c r="E9" s="1386"/>
      <c r="F9" s="1379"/>
      <c r="G9" s="1375"/>
      <c r="H9" s="1375"/>
      <c r="I9" s="1375"/>
      <c r="J9" s="1375"/>
      <c r="K9" s="1375"/>
      <c r="L9" s="1375"/>
      <c r="M9" s="1375"/>
      <c r="N9" s="1375"/>
      <c r="O9" s="1375"/>
      <c r="P9" s="1375"/>
      <c r="Q9" s="1375"/>
      <c r="R9" s="1375"/>
      <c r="S9" s="1375"/>
      <c r="T9" s="1375"/>
      <c r="U9" s="1375"/>
      <c r="V9" s="1375"/>
      <c r="W9" s="1375"/>
      <c r="X9" s="1375"/>
      <c r="Y9" s="1375"/>
      <c r="Z9" s="1375"/>
      <c r="AA9" s="1377"/>
      <c r="AB9" s="251"/>
      <c r="AC9" s="243"/>
    </row>
    <row r="10" spans="1:40" ht="13.5" customHeight="1" x14ac:dyDescent="0.2">
      <c r="A10" s="230"/>
      <c r="B10" s="703" t="s">
        <v>74</v>
      </c>
      <c r="C10" s="294" t="s">
        <v>0</v>
      </c>
      <c r="D10" s="410" t="s">
        <v>926</v>
      </c>
      <c r="E10" s="299" t="s">
        <v>119</v>
      </c>
      <c r="F10" s="292"/>
      <c r="G10" s="26"/>
      <c r="H10" s="27" t="s">
        <v>33</v>
      </c>
      <c r="I10" s="28"/>
      <c r="J10" s="27" t="s">
        <v>33</v>
      </c>
      <c r="K10" s="28"/>
      <c r="L10" s="28"/>
      <c r="M10" s="28"/>
      <c r="N10" s="28"/>
      <c r="O10" s="28"/>
      <c r="P10" s="28"/>
      <c r="Q10" s="28"/>
      <c r="R10" s="28"/>
      <c r="S10" s="28"/>
      <c r="T10" s="28"/>
      <c r="U10" s="27" t="s">
        <v>33</v>
      </c>
      <c r="V10" s="283"/>
      <c r="W10" s="283"/>
      <c r="X10" s="28"/>
      <c r="Y10" s="28"/>
      <c r="Z10" s="27" t="s">
        <v>33</v>
      </c>
      <c r="AA10" s="29"/>
      <c r="AB10" s="251"/>
      <c r="AC10" s="243"/>
    </row>
    <row r="11" spans="1:40" ht="13.5" customHeight="1" x14ac:dyDescent="0.2">
      <c r="A11" s="230"/>
      <c r="B11" s="703" t="s">
        <v>74</v>
      </c>
      <c r="C11" s="295" t="s">
        <v>31</v>
      </c>
      <c r="D11" s="410" t="s">
        <v>182</v>
      </c>
      <c r="E11" s="298" t="s">
        <v>124</v>
      </c>
      <c r="F11" s="292"/>
      <c r="G11" s="26"/>
      <c r="H11" s="28"/>
      <c r="I11" s="28"/>
      <c r="J11" s="28"/>
      <c r="K11" s="28"/>
      <c r="L11" s="28"/>
      <c r="M11" s="28"/>
      <c r="N11" s="28"/>
      <c r="O11" s="28"/>
      <c r="P11" s="27" t="s">
        <v>33</v>
      </c>
      <c r="Q11" s="27" t="s">
        <v>33</v>
      </c>
      <c r="R11" s="28"/>
      <c r="S11" s="28"/>
      <c r="T11" s="27" t="s">
        <v>33</v>
      </c>
      <c r="U11" s="28"/>
      <c r="V11" s="284"/>
      <c r="W11" s="284"/>
      <c r="X11" s="28"/>
      <c r="Y11" s="28"/>
      <c r="Z11" s="30"/>
      <c r="AA11" s="31"/>
      <c r="AB11" s="251"/>
      <c r="AC11" s="243"/>
    </row>
    <row r="12" spans="1:40" ht="13.5" customHeight="1" x14ac:dyDescent="0.2">
      <c r="A12" s="230"/>
      <c r="B12" s="703" t="s">
        <v>74</v>
      </c>
      <c r="C12" s="295" t="s">
        <v>8</v>
      </c>
      <c r="D12" s="410" t="s">
        <v>120</v>
      </c>
      <c r="E12" s="298" t="s">
        <v>119</v>
      </c>
      <c r="F12" s="293" t="s">
        <v>33</v>
      </c>
      <c r="G12" s="26"/>
      <c r="H12" s="28"/>
      <c r="I12" s="28"/>
      <c r="J12" s="27" t="s">
        <v>33</v>
      </c>
      <c r="K12" s="28"/>
      <c r="L12" s="28"/>
      <c r="M12" s="28"/>
      <c r="N12" s="28"/>
      <c r="O12" s="27" t="s">
        <v>33</v>
      </c>
      <c r="P12" s="28"/>
      <c r="Q12" s="28"/>
      <c r="R12" s="28"/>
      <c r="S12" s="28"/>
      <c r="T12" s="28"/>
      <c r="U12" s="27" t="s">
        <v>33</v>
      </c>
      <c r="V12" s="283"/>
      <c r="W12" s="283"/>
      <c r="X12" s="27" t="s">
        <v>33</v>
      </c>
      <c r="Y12" s="28"/>
      <c r="Z12" s="27" t="s">
        <v>33</v>
      </c>
      <c r="AA12" s="32" t="s">
        <v>33</v>
      </c>
      <c r="AB12" s="251"/>
      <c r="AC12" s="243"/>
    </row>
    <row r="13" spans="1:40" ht="13.5" customHeight="1" x14ac:dyDescent="0.2">
      <c r="A13" s="230"/>
      <c r="B13" s="703" t="s">
        <v>74</v>
      </c>
      <c r="C13" s="295" t="s">
        <v>4</v>
      </c>
      <c r="D13" s="410" t="s">
        <v>120</v>
      </c>
      <c r="E13" s="298" t="s">
        <v>119</v>
      </c>
      <c r="F13" s="292"/>
      <c r="G13" s="26"/>
      <c r="H13" s="28"/>
      <c r="I13" s="28"/>
      <c r="J13" s="28"/>
      <c r="K13" s="28"/>
      <c r="L13" s="27" t="s">
        <v>33</v>
      </c>
      <c r="M13" s="28"/>
      <c r="N13" s="28"/>
      <c r="O13" s="28"/>
      <c r="P13" s="28"/>
      <c r="Q13" s="28"/>
      <c r="R13" s="28"/>
      <c r="S13" s="27" t="s">
        <v>33</v>
      </c>
      <c r="T13" s="28"/>
      <c r="U13" s="28"/>
      <c r="V13" s="284"/>
      <c r="W13" s="284"/>
      <c r="X13" s="28"/>
      <c r="Y13" s="27" t="s">
        <v>33</v>
      </c>
      <c r="Z13" s="30"/>
      <c r="AA13" s="31"/>
      <c r="AB13" s="251"/>
      <c r="AC13" s="243"/>
    </row>
    <row r="14" spans="1:40" ht="13.5" customHeight="1" x14ac:dyDescent="0.2">
      <c r="A14" s="230"/>
      <c r="B14" s="703" t="s">
        <v>74</v>
      </c>
      <c r="C14" s="295" t="s">
        <v>6</v>
      </c>
      <c r="D14" s="410" t="s">
        <v>122</v>
      </c>
      <c r="E14" s="298" t="s">
        <v>124</v>
      </c>
      <c r="F14" s="292"/>
      <c r="G14" s="26"/>
      <c r="H14" s="28"/>
      <c r="I14" s="28"/>
      <c r="J14" s="28"/>
      <c r="K14" s="28"/>
      <c r="L14" s="28"/>
      <c r="M14" s="28"/>
      <c r="N14" s="28"/>
      <c r="O14" s="28"/>
      <c r="P14" s="28"/>
      <c r="Q14" s="28"/>
      <c r="R14" s="28"/>
      <c r="S14" s="28"/>
      <c r="T14" s="28"/>
      <c r="U14" s="28"/>
      <c r="V14" s="284"/>
      <c r="W14" s="284"/>
      <c r="X14" s="27" t="s">
        <v>33</v>
      </c>
      <c r="Y14" s="27" t="s">
        <v>33</v>
      </c>
      <c r="Z14" s="30"/>
      <c r="AA14" s="31"/>
      <c r="AB14" s="251"/>
      <c r="AC14" s="243"/>
    </row>
    <row r="15" spans="1:40" ht="13.5" customHeight="1" x14ac:dyDescent="0.2">
      <c r="A15" s="230"/>
      <c r="B15" s="703" t="s">
        <v>74</v>
      </c>
      <c r="C15" s="295" t="s">
        <v>1</v>
      </c>
      <c r="D15" s="410" t="s">
        <v>925</v>
      </c>
      <c r="E15" s="298" t="s">
        <v>124</v>
      </c>
      <c r="F15" s="292"/>
      <c r="G15" s="26"/>
      <c r="H15" s="28"/>
      <c r="I15" s="27" t="s">
        <v>33</v>
      </c>
      <c r="J15" s="28"/>
      <c r="K15" s="28"/>
      <c r="L15" s="28"/>
      <c r="M15" s="28"/>
      <c r="N15" s="28"/>
      <c r="O15" s="28"/>
      <c r="P15" s="28"/>
      <c r="Q15" s="28"/>
      <c r="R15" s="28"/>
      <c r="S15" s="28"/>
      <c r="T15" s="28"/>
      <c r="U15" s="28"/>
      <c r="V15" s="284"/>
      <c r="W15" s="27" t="s">
        <v>33</v>
      </c>
      <c r="X15" s="28"/>
      <c r="Y15" s="28"/>
      <c r="Z15" s="30"/>
      <c r="AA15" s="31"/>
      <c r="AB15" s="251"/>
      <c r="AC15" s="243"/>
    </row>
    <row r="16" spans="1:40" ht="13.5" customHeight="1" x14ac:dyDescent="0.2">
      <c r="A16" s="230"/>
      <c r="B16" s="703" t="s">
        <v>74</v>
      </c>
      <c r="C16" s="295" t="s">
        <v>9</v>
      </c>
      <c r="D16" s="410" t="s">
        <v>120</v>
      </c>
      <c r="E16" s="298" t="s">
        <v>119</v>
      </c>
      <c r="F16" s="292"/>
      <c r="G16" s="26"/>
      <c r="H16" s="28"/>
      <c r="I16" s="27" t="s">
        <v>33</v>
      </c>
      <c r="J16" s="28"/>
      <c r="K16" s="28"/>
      <c r="L16" s="28"/>
      <c r="M16" s="28"/>
      <c r="N16" s="28"/>
      <c r="O16" s="28"/>
      <c r="P16" s="28"/>
      <c r="Q16" s="28"/>
      <c r="R16" s="28"/>
      <c r="S16" s="28"/>
      <c r="T16" s="28"/>
      <c r="U16" s="28"/>
      <c r="V16" s="27" t="s">
        <v>33</v>
      </c>
      <c r="W16" s="284"/>
      <c r="X16" s="28"/>
      <c r="Y16" s="27" t="s">
        <v>33</v>
      </c>
      <c r="Z16" s="30"/>
      <c r="AA16" s="31"/>
      <c r="AB16" s="251"/>
      <c r="AC16" s="243"/>
    </row>
    <row r="17" spans="1:29" ht="13.5" customHeight="1" x14ac:dyDescent="0.2">
      <c r="A17" s="230"/>
      <c r="B17" s="703" t="s">
        <v>74</v>
      </c>
      <c r="C17" s="295" t="s">
        <v>2</v>
      </c>
      <c r="D17" s="410" t="s">
        <v>123</v>
      </c>
      <c r="E17" s="298" t="s">
        <v>124</v>
      </c>
      <c r="F17" s="292"/>
      <c r="G17" s="26"/>
      <c r="H17" s="28"/>
      <c r="I17" s="28"/>
      <c r="J17" s="28"/>
      <c r="K17" s="28"/>
      <c r="L17" s="27" t="s">
        <v>33</v>
      </c>
      <c r="M17" s="28"/>
      <c r="N17" s="28"/>
      <c r="O17" s="28"/>
      <c r="P17" s="28"/>
      <c r="Q17" s="28"/>
      <c r="R17" s="28"/>
      <c r="S17" s="28"/>
      <c r="T17" s="28"/>
      <c r="U17" s="28"/>
      <c r="V17" s="27" t="s">
        <v>33</v>
      </c>
      <c r="W17" s="284"/>
      <c r="X17" s="28"/>
      <c r="Y17" s="28"/>
      <c r="Z17" s="30"/>
      <c r="AA17" s="31"/>
      <c r="AB17" s="251"/>
      <c r="AC17" s="243"/>
    </row>
    <row r="18" spans="1:29" ht="13.5" customHeight="1" x14ac:dyDescent="0.2">
      <c r="A18" s="230"/>
      <c r="B18" s="703" t="s">
        <v>74</v>
      </c>
      <c r="C18" s="295" t="s">
        <v>10</v>
      </c>
      <c r="D18" s="410" t="s">
        <v>120</v>
      </c>
      <c r="E18" s="298" t="s">
        <v>119</v>
      </c>
      <c r="F18" s="292"/>
      <c r="G18" s="26"/>
      <c r="H18" s="28"/>
      <c r="I18" s="28"/>
      <c r="J18" s="28"/>
      <c r="K18" s="28"/>
      <c r="L18" s="27" t="s">
        <v>33</v>
      </c>
      <c r="M18" s="28"/>
      <c r="N18" s="28"/>
      <c r="O18" s="28"/>
      <c r="P18" s="28"/>
      <c r="Q18" s="28"/>
      <c r="R18" s="28"/>
      <c r="S18" s="28"/>
      <c r="T18" s="28"/>
      <c r="U18" s="28"/>
      <c r="V18" s="27" t="s">
        <v>33</v>
      </c>
      <c r="W18" s="284"/>
      <c r="X18" s="28"/>
      <c r="Y18" s="28"/>
      <c r="Z18" s="30"/>
      <c r="AA18" s="31"/>
      <c r="AB18" s="251"/>
      <c r="AC18" s="243"/>
    </row>
    <row r="19" spans="1:29" ht="13.5" customHeight="1" x14ac:dyDescent="0.2">
      <c r="A19" s="230"/>
      <c r="B19" s="703" t="s">
        <v>74</v>
      </c>
      <c r="C19" s="295" t="s">
        <v>11</v>
      </c>
      <c r="D19" s="410" t="s">
        <v>183</v>
      </c>
      <c r="E19" s="297"/>
      <c r="F19" s="293" t="s">
        <v>33</v>
      </c>
      <c r="G19" s="26"/>
      <c r="H19" s="27" t="s">
        <v>33</v>
      </c>
      <c r="I19" s="28"/>
      <c r="J19" s="27" t="s">
        <v>33</v>
      </c>
      <c r="K19" s="28"/>
      <c r="L19" s="28"/>
      <c r="M19" s="28"/>
      <c r="N19" s="28"/>
      <c r="O19" s="28"/>
      <c r="P19" s="28"/>
      <c r="Q19" s="28"/>
      <c r="R19" s="28"/>
      <c r="S19" s="28"/>
      <c r="T19" s="28"/>
      <c r="U19" s="27" t="s">
        <v>33</v>
      </c>
      <c r="V19" s="283"/>
      <c r="W19" s="283"/>
      <c r="X19" s="27" t="s">
        <v>33</v>
      </c>
      <c r="Y19" s="28"/>
      <c r="Z19" s="30"/>
      <c r="AA19" s="31"/>
      <c r="AB19" s="251"/>
      <c r="AC19" s="243"/>
    </row>
    <row r="20" spans="1:29" ht="13.5" customHeight="1" x14ac:dyDescent="0.2">
      <c r="A20" s="230"/>
      <c r="B20" s="703" t="s">
        <v>74</v>
      </c>
      <c r="C20" s="295" t="s">
        <v>12</v>
      </c>
      <c r="D20" s="410"/>
      <c r="E20" s="297"/>
      <c r="F20" s="292"/>
      <c r="G20" s="26"/>
      <c r="H20" s="28"/>
      <c r="I20" s="28"/>
      <c r="J20" s="28"/>
      <c r="K20" s="28"/>
      <c r="L20" s="28"/>
      <c r="M20" s="28"/>
      <c r="N20" s="28"/>
      <c r="O20" s="28"/>
      <c r="P20" s="28"/>
      <c r="Q20" s="28"/>
      <c r="R20" s="28"/>
      <c r="S20" s="28"/>
      <c r="T20" s="27" t="s">
        <v>33</v>
      </c>
      <c r="U20" s="28"/>
      <c r="V20" s="284"/>
      <c r="W20" s="284"/>
      <c r="X20" s="28"/>
      <c r="Y20" s="28"/>
      <c r="Z20" s="30"/>
      <c r="AA20" s="31"/>
      <c r="AB20" s="251"/>
      <c r="AC20" s="243"/>
    </row>
    <row r="21" spans="1:29" ht="13.5" customHeight="1" x14ac:dyDescent="0.2">
      <c r="A21" s="230"/>
      <c r="B21" s="703" t="s">
        <v>74</v>
      </c>
      <c r="C21" s="295" t="s">
        <v>3</v>
      </c>
      <c r="D21" s="410" t="s">
        <v>926</v>
      </c>
      <c r="E21" s="298" t="s">
        <v>119</v>
      </c>
      <c r="F21" s="292"/>
      <c r="G21" s="27" t="s">
        <v>33</v>
      </c>
      <c r="H21" s="28"/>
      <c r="I21" s="28"/>
      <c r="J21" s="28"/>
      <c r="K21" s="28"/>
      <c r="L21" s="28"/>
      <c r="M21" s="28"/>
      <c r="N21" s="27" t="s">
        <v>33</v>
      </c>
      <c r="O21" s="28"/>
      <c r="P21" s="28"/>
      <c r="Q21" s="28"/>
      <c r="R21" s="28"/>
      <c r="S21" s="28"/>
      <c r="T21" s="28"/>
      <c r="U21" s="28"/>
      <c r="V21" s="284"/>
      <c r="W21" s="284"/>
      <c r="X21" s="28"/>
      <c r="Y21" s="28"/>
      <c r="Z21" s="30"/>
      <c r="AA21" s="33"/>
      <c r="AB21" s="251"/>
      <c r="AC21" s="243"/>
    </row>
    <row r="22" spans="1:29" ht="13.5" customHeight="1" x14ac:dyDescent="0.2">
      <c r="A22" s="230"/>
      <c r="B22" s="703" t="s">
        <v>74</v>
      </c>
      <c r="C22" s="295" t="s">
        <v>13</v>
      </c>
      <c r="D22" s="410" t="s">
        <v>120</v>
      </c>
      <c r="E22" s="298" t="s">
        <v>119</v>
      </c>
      <c r="F22" s="292"/>
      <c r="G22" s="26"/>
      <c r="H22" s="28"/>
      <c r="I22" s="28"/>
      <c r="J22" s="28"/>
      <c r="K22" s="28"/>
      <c r="L22" s="28"/>
      <c r="M22" s="28"/>
      <c r="N22" s="28"/>
      <c r="O22" s="28"/>
      <c r="P22" s="28"/>
      <c r="Q22" s="28"/>
      <c r="R22" s="28"/>
      <c r="S22" s="28"/>
      <c r="T22" s="28"/>
      <c r="U22" s="28"/>
      <c r="V22" s="284"/>
      <c r="W22" s="284"/>
      <c r="X22" s="28"/>
      <c r="Y22" s="28"/>
      <c r="Z22" s="30"/>
      <c r="AA22" s="33"/>
      <c r="AB22" s="251"/>
      <c r="AC22" s="243"/>
    </row>
    <row r="23" spans="1:29" ht="13.5" customHeight="1" x14ac:dyDescent="0.2">
      <c r="A23" s="230"/>
      <c r="B23" s="704" t="s">
        <v>84</v>
      </c>
      <c r="C23" s="296" t="s">
        <v>93</v>
      </c>
      <c r="D23" s="410" t="s">
        <v>120</v>
      </c>
      <c r="E23" s="298" t="s">
        <v>119</v>
      </c>
      <c r="F23" s="292"/>
      <c r="G23" s="26"/>
      <c r="H23" s="28"/>
      <c r="I23" s="27" t="s">
        <v>33</v>
      </c>
      <c r="J23" s="28"/>
      <c r="K23" s="28"/>
      <c r="L23" s="28"/>
      <c r="M23" s="28"/>
      <c r="N23" s="28"/>
      <c r="O23" s="28"/>
      <c r="P23" s="28"/>
      <c r="Q23" s="28"/>
      <c r="R23" s="28"/>
      <c r="S23" s="28"/>
      <c r="T23" s="28"/>
      <c r="U23" s="28"/>
      <c r="V23" s="284"/>
      <c r="W23" s="284"/>
      <c r="X23" s="28"/>
      <c r="Y23" s="28"/>
      <c r="Z23" s="28"/>
      <c r="AA23" s="31"/>
      <c r="AB23" s="251"/>
      <c r="AC23" s="243"/>
    </row>
    <row r="24" spans="1:29" ht="13.5" customHeight="1" x14ac:dyDescent="0.2">
      <c r="A24" s="230"/>
      <c r="B24" s="703" t="s">
        <v>74</v>
      </c>
      <c r="C24" s="295" t="s">
        <v>14</v>
      </c>
      <c r="D24" s="410" t="s">
        <v>118</v>
      </c>
      <c r="E24" s="298" t="s">
        <v>124</v>
      </c>
      <c r="F24" s="292"/>
      <c r="G24" s="26"/>
      <c r="H24" s="28"/>
      <c r="I24" s="28"/>
      <c r="J24" s="28"/>
      <c r="K24" s="27" t="s">
        <v>33</v>
      </c>
      <c r="L24" s="28"/>
      <c r="M24" s="28"/>
      <c r="N24" s="28"/>
      <c r="O24" s="28"/>
      <c r="P24" s="28"/>
      <c r="Q24" s="28"/>
      <c r="R24" s="28"/>
      <c r="S24" s="28"/>
      <c r="T24" s="27" t="s">
        <v>33</v>
      </c>
      <c r="U24" s="28"/>
      <c r="V24" s="284"/>
      <c r="W24" s="284"/>
      <c r="X24" s="28"/>
      <c r="Y24" s="28"/>
      <c r="Z24" s="30"/>
      <c r="AA24" s="33"/>
      <c r="AB24" s="251"/>
      <c r="AC24" s="243"/>
    </row>
    <row r="25" spans="1:29" ht="13.5" customHeight="1" x14ac:dyDescent="0.2">
      <c r="A25" s="230"/>
      <c r="B25" s="703" t="s">
        <v>74</v>
      </c>
      <c r="C25" s="295" t="s">
        <v>7</v>
      </c>
      <c r="D25" s="410" t="s">
        <v>120</v>
      </c>
      <c r="E25" s="297"/>
      <c r="F25" s="293" t="s">
        <v>33</v>
      </c>
      <c r="G25" s="34"/>
      <c r="H25" s="27" t="s">
        <v>33</v>
      </c>
      <c r="I25" s="28"/>
      <c r="J25" s="27" t="s">
        <v>33</v>
      </c>
      <c r="K25" s="28"/>
      <c r="L25" s="28"/>
      <c r="M25" s="28"/>
      <c r="N25" s="28"/>
      <c r="O25" s="27" t="s">
        <v>33</v>
      </c>
      <c r="P25" s="28"/>
      <c r="Q25" s="28"/>
      <c r="R25" s="28"/>
      <c r="S25" s="28"/>
      <c r="T25" s="28"/>
      <c r="U25" s="28"/>
      <c r="V25" s="284"/>
      <c r="W25" s="284"/>
      <c r="X25" s="27" t="s">
        <v>33</v>
      </c>
      <c r="Y25" s="28"/>
      <c r="Z25" s="27" t="s">
        <v>33</v>
      </c>
      <c r="AA25" s="32" t="s">
        <v>33</v>
      </c>
      <c r="AB25" s="251"/>
      <c r="AC25" s="243"/>
    </row>
    <row r="26" spans="1:29" ht="13.5" customHeight="1" x14ac:dyDescent="0.2">
      <c r="A26" s="230"/>
      <c r="B26" s="704" t="s">
        <v>84</v>
      </c>
      <c r="C26" s="296" t="s">
        <v>114</v>
      </c>
      <c r="D26" s="410" t="s">
        <v>121</v>
      </c>
      <c r="E26" s="298"/>
      <c r="F26" s="292"/>
      <c r="G26" s="26"/>
      <c r="H26" s="28"/>
      <c r="I26" s="28"/>
      <c r="J26" s="28"/>
      <c r="K26" s="28"/>
      <c r="L26" s="27" t="s">
        <v>33</v>
      </c>
      <c r="M26" s="27" t="s">
        <v>33</v>
      </c>
      <c r="N26" s="28"/>
      <c r="O26" s="28"/>
      <c r="P26" s="28"/>
      <c r="Q26" s="28"/>
      <c r="R26" s="28"/>
      <c r="S26" s="28"/>
      <c r="T26" s="28"/>
      <c r="U26" s="28"/>
      <c r="V26" s="284"/>
      <c r="W26" s="284"/>
      <c r="X26" s="28"/>
      <c r="Y26" s="28"/>
      <c r="Z26" s="28"/>
      <c r="AA26" s="31"/>
      <c r="AB26" s="251"/>
      <c r="AC26" s="243"/>
    </row>
    <row r="27" spans="1:29" ht="13.5" customHeight="1" x14ac:dyDescent="0.2">
      <c r="A27" s="230"/>
      <c r="B27" s="704" t="s">
        <v>84</v>
      </c>
      <c r="C27" s="296" t="s">
        <v>115</v>
      </c>
      <c r="D27" s="410"/>
      <c r="E27" s="298"/>
      <c r="F27" s="292"/>
      <c r="G27" s="26"/>
      <c r="H27" s="26"/>
      <c r="I27" s="26"/>
      <c r="J27" s="26"/>
      <c r="K27" s="27" t="s">
        <v>33</v>
      </c>
      <c r="L27" s="26"/>
      <c r="M27" s="26"/>
      <c r="N27" s="26"/>
      <c r="O27" s="26"/>
      <c r="P27" s="26"/>
      <c r="Q27" s="26"/>
      <c r="R27" s="26"/>
      <c r="S27" s="26"/>
      <c r="T27" s="26"/>
      <c r="U27" s="26"/>
      <c r="V27" s="285"/>
      <c r="W27" s="285"/>
      <c r="X27" s="26"/>
      <c r="Y27" s="28"/>
      <c r="Z27" s="28"/>
      <c r="AA27" s="31"/>
      <c r="AB27" s="251"/>
      <c r="AC27" s="243"/>
    </row>
    <row r="28" spans="1:29" ht="13.5" customHeight="1" x14ac:dyDescent="0.2">
      <c r="A28" s="230"/>
      <c r="B28" s="703" t="s">
        <v>74</v>
      </c>
      <c r="C28" s="295" t="s">
        <v>15</v>
      </c>
      <c r="D28" s="410" t="s">
        <v>927</v>
      </c>
      <c r="E28" s="298" t="s">
        <v>119</v>
      </c>
      <c r="F28" s="293" t="s">
        <v>33</v>
      </c>
      <c r="G28" s="34"/>
      <c r="H28" s="27" t="s">
        <v>33</v>
      </c>
      <c r="I28" s="28"/>
      <c r="J28" s="27" t="s">
        <v>33</v>
      </c>
      <c r="K28" s="28"/>
      <c r="L28" s="28"/>
      <c r="M28" s="28"/>
      <c r="N28" s="28"/>
      <c r="O28" s="27" t="s">
        <v>33</v>
      </c>
      <c r="P28" s="28"/>
      <c r="Q28" s="28"/>
      <c r="R28" s="28"/>
      <c r="S28" s="28"/>
      <c r="T28" s="28"/>
      <c r="U28" s="27" t="s">
        <v>33</v>
      </c>
      <c r="V28" s="283"/>
      <c r="W28" s="283"/>
      <c r="X28" s="28"/>
      <c r="Y28" s="28"/>
      <c r="Z28" s="35"/>
      <c r="AA28" s="33"/>
      <c r="AB28" s="251"/>
      <c r="AC28" s="243"/>
    </row>
    <row r="29" spans="1:29" ht="13.5" customHeight="1" x14ac:dyDescent="0.2">
      <c r="A29" s="230"/>
      <c r="B29" s="703" t="s">
        <v>74</v>
      </c>
      <c r="C29" s="295" t="s">
        <v>5</v>
      </c>
      <c r="D29" s="410" t="s">
        <v>928</v>
      </c>
      <c r="E29" s="298" t="s">
        <v>119</v>
      </c>
      <c r="F29" s="292"/>
      <c r="G29" s="26"/>
      <c r="H29" s="36"/>
      <c r="I29" s="27" t="s">
        <v>33</v>
      </c>
      <c r="J29" s="27" t="s">
        <v>33</v>
      </c>
      <c r="K29" s="28"/>
      <c r="L29" s="28"/>
      <c r="M29" s="28"/>
      <c r="N29" s="28"/>
      <c r="O29" s="28"/>
      <c r="P29" s="28"/>
      <c r="Q29" s="28"/>
      <c r="R29" s="28"/>
      <c r="S29" s="28"/>
      <c r="T29" s="28"/>
      <c r="U29" s="28"/>
      <c r="V29" s="284"/>
      <c r="W29" s="284"/>
      <c r="X29" s="28"/>
      <c r="Y29" s="28"/>
      <c r="Z29" s="30"/>
      <c r="AA29" s="33"/>
      <c r="AB29" s="251"/>
      <c r="AC29" s="243"/>
    </row>
    <row r="30" spans="1:29" ht="13.5" customHeight="1" x14ac:dyDescent="0.2">
      <c r="A30" s="230"/>
      <c r="B30" s="703" t="s">
        <v>74</v>
      </c>
      <c r="C30" s="295" t="s">
        <v>30</v>
      </c>
      <c r="D30" s="410" t="s">
        <v>118</v>
      </c>
      <c r="E30" s="298" t="s">
        <v>119</v>
      </c>
      <c r="F30" s="293" t="s">
        <v>33</v>
      </c>
      <c r="G30" s="34"/>
      <c r="H30" s="27" t="s">
        <v>33</v>
      </c>
      <c r="I30" s="28"/>
      <c r="J30" s="27" t="s">
        <v>33</v>
      </c>
      <c r="K30" s="28"/>
      <c r="L30" s="28"/>
      <c r="M30" s="28"/>
      <c r="N30" s="28"/>
      <c r="O30" s="27" t="s">
        <v>33</v>
      </c>
      <c r="P30" s="28"/>
      <c r="Q30" s="28"/>
      <c r="R30" s="28"/>
      <c r="S30" s="28"/>
      <c r="T30" s="28"/>
      <c r="U30" s="27" t="s">
        <v>33</v>
      </c>
      <c r="V30" s="283"/>
      <c r="W30" s="283"/>
      <c r="X30" s="27" t="s">
        <v>33</v>
      </c>
      <c r="Y30" s="28"/>
      <c r="Z30" s="30"/>
      <c r="AA30" s="32" t="s">
        <v>33</v>
      </c>
      <c r="AB30" s="251"/>
      <c r="AC30" s="243"/>
    </row>
    <row r="31" spans="1:29" ht="13.5" customHeight="1" x14ac:dyDescent="0.2">
      <c r="A31" s="230"/>
      <c r="B31" s="703" t="s">
        <v>74</v>
      </c>
      <c r="C31" s="295" t="s">
        <v>16</v>
      </c>
      <c r="D31" s="410"/>
      <c r="E31" s="297"/>
      <c r="F31" s="293" t="s">
        <v>33</v>
      </c>
      <c r="G31" s="34"/>
      <c r="H31" s="27" t="s">
        <v>33</v>
      </c>
      <c r="I31" s="28"/>
      <c r="J31" s="27" t="s">
        <v>33</v>
      </c>
      <c r="K31" s="28"/>
      <c r="L31" s="28"/>
      <c r="M31" s="28"/>
      <c r="N31" s="28"/>
      <c r="O31" s="27" t="s">
        <v>33</v>
      </c>
      <c r="P31" s="28"/>
      <c r="Q31" s="28"/>
      <c r="R31" s="28"/>
      <c r="S31" s="28"/>
      <c r="T31" s="28"/>
      <c r="U31" s="27" t="s">
        <v>33</v>
      </c>
      <c r="V31" s="283"/>
      <c r="W31" s="283"/>
      <c r="X31" s="27" t="s">
        <v>33</v>
      </c>
      <c r="Y31" s="28"/>
      <c r="Z31" s="27" t="s">
        <v>33</v>
      </c>
      <c r="AA31" s="33"/>
      <c r="AB31" s="251"/>
      <c r="AC31" s="243"/>
    </row>
    <row r="32" spans="1:29" ht="23.25" customHeight="1" x14ac:dyDescent="0.2">
      <c r="A32" s="230"/>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3"/>
      <c r="AB32" s="251"/>
      <c r="AC32" s="243"/>
    </row>
    <row r="33" spans="1:33" ht="15" customHeight="1" x14ac:dyDescent="0.2">
      <c r="A33" s="253"/>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254"/>
      <c r="AC33" s="243"/>
    </row>
    <row r="34" spans="1:33" ht="11.25" customHeight="1" x14ac:dyDescent="0.2">
      <c r="A34" s="255"/>
      <c r="B34" s="256"/>
      <c r="C34" s="256"/>
      <c r="D34" s="234"/>
      <c r="E34" s="256"/>
      <c r="F34" s="256"/>
      <c r="G34" s="256"/>
      <c r="H34" s="256"/>
      <c r="I34" s="256"/>
      <c r="J34" s="256"/>
      <c r="K34" s="256"/>
      <c r="L34" s="256"/>
      <c r="M34" s="256"/>
      <c r="N34" s="256"/>
      <c r="O34" s="256"/>
      <c r="P34" s="256"/>
      <c r="Q34" s="256"/>
      <c r="R34" s="256"/>
      <c r="S34" s="256"/>
      <c r="T34" s="257"/>
      <c r="U34" s="257"/>
      <c r="V34" s="257"/>
      <c r="W34" s="281"/>
      <c r="X34" s="257"/>
      <c r="Y34" s="257"/>
      <c r="Z34" s="257"/>
      <c r="AA34" s="257"/>
      <c r="AB34" s="258"/>
      <c r="AC34" s="243"/>
    </row>
    <row r="35" spans="1:33" s="76" customFormat="1" ht="11.25" customHeight="1" x14ac:dyDescent="0.2">
      <c r="A35" s="141"/>
      <c r="B35" s="1109"/>
      <c r="C35" s="9"/>
      <c r="D35" s="9"/>
      <c r="E35" s="9"/>
      <c r="F35" s="9"/>
      <c r="G35" s="9"/>
      <c r="H35" s="9"/>
      <c r="I35" s="9"/>
      <c r="J35" s="13"/>
      <c r="K35" s="9"/>
      <c r="L35" s="9"/>
      <c r="M35" s="9"/>
      <c r="N35" s="9"/>
      <c r="O35" s="9"/>
      <c r="P35" s="9"/>
      <c r="Q35" s="9"/>
      <c r="R35" s="9"/>
      <c r="S35" s="9"/>
      <c r="T35" s="9"/>
      <c r="U35" s="11"/>
      <c r="V35" s="11"/>
      <c r="W35" s="11"/>
      <c r="X35" s="12"/>
      <c r="Y35" s="12"/>
      <c r="Z35" s="12"/>
      <c r="AA35" s="12"/>
      <c r="AB35" s="12"/>
      <c r="AC35" s="241"/>
      <c r="AE35" s="77"/>
    </row>
    <row r="36" spans="1:33" s="76" customFormat="1" ht="11.25" customHeight="1" x14ac:dyDescent="0.2">
      <c r="A36" s="141"/>
      <c r="B36" s="1109"/>
      <c r="C36" s="9"/>
      <c r="D36" s="9"/>
      <c r="E36" s="9"/>
      <c r="F36" s="9"/>
      <c r="G36" s="9"/>
      <c r="H36" s="9"/>
      <c r="I36" s="9"/>
      <c r="J36" s="13"/>
      <c r="K36" s="9"/>
      <c r="L36" s="9"/>
      <c r="M36" s="9"/>
      <c r="N36" s="9"/>
      <c r="O36" s="9"/>
      <c r="P36" s="9"/>
      <c r="Q36" s="9"/>
      <c r="R36" s="9"/>
      <c r="S36" s="9"/>
      <c r="T36" s="9"/>
      <c r="U36" s="11"/>
      <c r="V36" s="11"/>
      <c r="W36" s="11"/>
      <c r="X36" s="12"/>
      <c r="Y36" s="12"/>
      <c r="Z36" s="12"/>
      <c r="AA36" s="12"/>
      <c r="AB36" s="12"/>
      <c r="AC36" s="241"/>
      <c r="AE36" s="77"/>
    </row>
    <row r="37" spans="1:33" s="76" customFormat="1" ht="11.25" customHeight="1" x14ac:dyDescent="0.2">
      <c r="A37" s="141"/>
      <c r="B37" s="1367" t="s">
        <v>82</v>
      </c>
      <c r="C37" s="15"/>
      <c r="D37" s="1306"/>
      <c r="E37" s="1306"/>
      <c r="F37" s="9"/>
      <c r="G37" s="9"/>
      <c r="H37" s="9"/>
      <c r="I37" s="9"/>
      <c r="J37" s="13"/>
      <c r="K37" s="9"/>
      <c r="L37" s="9"/>
      <c r="M37" s="9"/>
      <c r="N37" s="9"/>
      <c r="O37" s="9"/>
      <c r="P37" s="9"/>
      <c r="Q37" s="9"/>
      <c r="R37" s="9"/>
      <c r="S37" s="9"/>
      <c r="T37" s="9"/>
      <c r="U37" s="11"/>
      <c r="V37" s="11"/>
      <c r="W37" s="11"/>
      <c r="X37" s="12"/>
      <c r="Y37" s="12"/>
      <c r="Z37" s="12"/>
      <c r="AA37" s="12"/>
      <c r="AB37" s="12"/>
      <c r="AC37" s="241"/>
      <c r="AE37" s="77"/>
    </row>
    <row r="38" spans="1:33" s="76" customFormat="1" ht="11.25" customHeight="1" x14ac:dyDescent="0.2">
      <c r="A38" s="141"/>
      <c r="B38" s="1368"/>
      <c r="C38" s="9"/>
      <c r="D38" s="1306"/>
      <c r="E38" s="1306"/>
      <c r="F38" s="9"/>
      <c r="G38" s="9"/>
      <c r="H38" s="9"/>
      <c r="I38" s="9"/>
      <c r="J38" s="13"/>
      <c r="K38" s="9"/>
      <c r="L38" s="9"/>
      <c r="M38" s="9"/>
      <c r="N38" s="9"/>
      <c r="O38" s="9"/>
      <c r="P38" s="9"/>
      <c r="Q38" s="9"/>
      <c r="R38" s="9"/>
      <c r="S38" s="9"/>
      <c r="T38" s="9"/>
      <c r="U38" s="11"/>
      <c r="V38" s="11"/>
      <c r="W38" s="11"/>
      <c r="X38" s="12"/>
      <c r="Y38" s="12"/>
      <c r="Z38" s="12"/>
      <c r="AA38" s="12"/>
      <c r="AB38" s="12"/>
      <c r="AC38" s="241"/>
      <c r="AE38" s="77"/>
    </row>
    <row r="39" spans="1:33" s="76" customFormat="1" ht="11.25" customHeight="1" x14ac:dyDescent="0.2">
      <c r="A39" s="141"/>
      <c r="B39" s="1366" t="s">
        <v>806</v>
      </c>
      <c r="C39" s="1366"/>
      <c r="D39" s="1366"/>
      <c r="E39" s="1366"/>
      <c r="F39" s="9"/>
      <c r="G39" s="9"/>
      <c r="H39" s="9"/>
      <c r="I39" s="9"/>
      <c r="J39" s="13"/>
      <c r="K39" s="9"/>
      <c r="L39" s="9"/>
      <c r="M39" s="9"/>
      <c r="N39" s="9"/>
      <c r="O39" s="9"/>
      <c r="P39" s="9"/>
      <c r="Q39" s="9"/>
      <c r="R39" s="9"/>
      <c r="S39" s="9"/>
      <c r="T39" s="9"/>
      <c r="U39" s="11"/>
      <c r="V39" s="11"/>
      <c r="W39" s="11"/>
      <c r="X39" s="12"/>
      <c r="Y39" s="12"/>
      <c r="Z39" s="12"/>
      <c r="AA39" s="12"/>
      <c r="AB39" s="12"/>
      <c r="AC39" s="241"/>
      <c r="AE39" s="77"/>
    </row>
    <row r="40" spans="1:33" s="76" customFormat="1" ht="11.25" customHeight="1" x14ac:dyDescent="0.2">
      <c r="A40" s="141"/>
      <c r="B40" s="1366"/>
      <c r="C40" s="1366"/>
      <c r="D40" s="1366"/>
      <c r="E40" s="1366"/>
      <c r="F40" s="9"/>
      <c r="G40" s="9"/>
      <c r="H40" s="9"/>
      <c r="I40" s="9"/>
      <c r="J40" s="13"/>
      <c r="K40" s="9"/>
      <c r="L40" s="9"/>
      <c r="M40" s="9"/>
      <c r="N40" s="9"/>
      <c r="O40" s="9"/>
      <c r="P40" s="9"/>
      <c r="Q40" s="9"/>
      <c r="R40" s="9"/>
      <c r="S40" s="9"/>
      <c r="T40" s="9"/>
      <c r="U40" s="11"/>
      <c r="V40" s="11"/>
      <c r="W40" s="11"/>
      <c r="X40" s="12"/>
      <c r="Y40" s="12"/>
      <c r="Z40" s="12"/>
      <c r="AA40" s="12"/>
      <c r="AB40" s="12"/>
      <c r="AC40" s="241"/>
      <c r="AE40" s="77"/>
    </row>
    <row r="41" spans="1:33" s="78" customFormat="1" ht="11.25" customHeight="1" x14ac:dyDescent="0.2">
      <c r="A41" s="141"/>
      <c r="B41" s="1366" t="s">
        <v>81</v>
      </c>
      <c r="C41" s="1366"/>
      <c r="D41" s="1366"/>
      <c r="E41" s="1366"/>
      <c r="F41" s="9"/>
      <c r="G41" s="9"/>
      <c r="H41" s="9"/>
      <c r="I41" s="9"/>
      <c r="J41" s="13"/>
      <c r="K41" s="9"/>
      <c r="L41" s="9"/>
      <c r="M41" s="9"/>
      <c r="N41" s="9"/>
      <c r="O41" s="9"/>
      <c r="P41" s="9"/>
      <c r="Q41" s="9"/>
      <c r="R41" s="9"/>
      <c r="S41" s="9"/>
      <c r="T41" s="9"/>
      <c r="U41" s="11"/>
      <c r="V41" s="11"/>
      <c r="W41" s="11"/>
      <c r="X41" s="12"/>
      <c r="Y41" s="12"/>
      <c r="Z41" s="12"/>
      <c r="AA41" s="12"/>
      <c r="AB41" s="12"/>
      <c r="AC41" s="241"/>
      <c r="AD41" s="76"/>
      <c r="AE41" s="77"/>
      <c r="AF41" s="76"/>
      <c r="AG41" s="76"/>
    </row>
    <row r="42" spans="1:33" s="76" customFormat="1" ht="11.25" customHeight="1" x14ac:dyDescent="0.2">
      <c r="A42" s="141"/>
      <c r="B42" s="1366"/>
      <c r="C42" s="1366"/>
      <c r="D42" s="1366"/>
      <c r="E42" s="1366"/>
      <c r="F42" s="9"/>
      <c r="G42" s="9"/>
      <c r="H42" s="9"/>
      <c r="I42" s="9"/>
      <c r="J42" s="13"/>
      <c r="K42" s="9"/>
      <c r="L42" s="9"/>
      <c r="M42" s="9"/>
      <c r="N42" s="9"/>
      <c r="O42" s="9"/>
      <c r="P42" s="9"/>
      <c r="Q42" s="9"/>
      <c r="R42" s="9"/>
      <c r="S42" s="9"/>
      <c r="T42" s="9"/>
      <c r="U42" s="11"/>
      <c r="V42" s="11"/>
      <c r="W42" s="11"/>
      <c r="X42" s="12"/>
      <c r="Y42" s="12"/>
      <c r="Z42" s="12"/>
      <c r="AA42" s="12"/>
      <c r="AB42" s="12"/>
      <c r="AC42" s="241"/>
      <c r="AE42" s="77"/>
    </row>
    <row r="43" spans="1:33" s="76" customFormat="1" ht="11.25" customHeight="1" x14ac:dyDescent="0.2">
      <c r="A43" s="141"/>
      <c r="B43" s="1366" t="s">
        <v>78</v>
      </c>
      <c r="C43" s="1366"/>
      <c r="D43" s="1366"/>
      <c r="E43" s="1366"/>
      <c r="F43" s="9"/>
      <c r="G43" s="9"/>
      <c r="H43" s="9"/>
      <c r="I43" s="9"/>
      <c r="J43" s="13"/>
      <c r="K43" s="9"/>
      <c r="L43" s="9"/>
      <c r="M43" s="9"/>
      <c r="N43" s="9"/>
      <c r="O43" s="9"/>
      <c r="P43" s="9"/>
      <c r="Q43" s="9"/>
      <c r="R43" s="9"/>
      <c r="S43" s="9"/>
      <c r="T43" s="9"/>
      <c r="U43" s="11"/>
      <c r="V43" s="11"/>
      <c r="W43" s="11"/>
      <c r="X43" s="12"/>
      <c r="Y43" s="12"/>
      <c r="Z43" s="12"/>
      <c r="AA43" s="12"/>
      <c r="AB43" s="12"/>
      <c r="AC43" s="241"/>
      <c r="AE43" s="77"/>
    </row>
    <row r="44" spans="1:33" s="76" customFormat="1" ht="11.25" customHeight="1" x14ac:dyDescent="0.2">
      <c r="A44" s="141"/>
      <c r="B44" s="1366"/>
      <c r="C44" s="1366"/>
      <c r="D44" s="1366"/>
      <c r="E44" s="1366"/>
      <c r="F44" s="9"/>
      <c r="G44" s="9"/>
      <c r="H44" s="9"/>
      <c r="I44" s="9"/>
      <c r="J44" s="13"/>
      <c r="K44" s="9"/>
      <c r="L44" s="9"/>
      <c r="M44" s="9"/>
      <c r="N44" s="9"/>
      <c r="O44" s="9"/>
      <c r="P44" s="9"/>
      <c r="Q44" s="9"/>
      <c r="R44" s="9"/>
      <c r="S44" s="9"/>
      <c r="T44" s="9"/>
      <c r="U44" s="11"/>
      <c r="V44" s="11"/>
      <c r="W44" s="11"/>
      <c r="X44" s="12"/>
      <c r="Y44" s="12"/>
      <c r="Z44" s="12"/>
      <c r="AA44" s="12"/>
      <c r="AB44" s="12"/>
      <c r="AC44" s="241"/>
      <c r="AE44" s="77"/>
    </row>
    <row r="45" spans="1:33" s="76" customFormat="1" ht="11.25" customHeight="1" x14ac:dyDescent="0.2">
      <c r="A45" s="141"/>
      <c r="B45" s="1366" t="s">
        <v>17</v>
      </c>
      <c r="C45" s="1366"/>
      <c r="D45" s="1366"/>
      <c r="E45" s="1366"/>
      <c r="F45" s="9"/>
      <c r="G45" s="9"/>
      <c r="H45" s="9"/>
      <c r="I45" s="9"/>
      <c r="J45" s="13"/>
      <c r="K45" s="9"/>
      <c r="L45" s="9"/>
      <c r="M45" s="9"/>
      <c r="N45" s="9"/>
      <c r="O45" s="9"/>
      <c r="P45" s="9"/>
      <c r="Q45" s="9"/>
      <c r="R45" s="9"/>
      <c r="S45" s="9"/>
      <c r="T45" s="9"/>
      <c r="U45" s="11"/>
      <c r="V45" s="11"/>
      <c r="W45" s="11"/>
      <c r="X45" s="12"/>
      <c r="Y45" s="12"/>
      <c r="Z45" s="12"/>
      <c r="AA45" s="12"/>
      <c r="AB45" s="12"/>
      <c r="AC45" s="241"/>
      <c r="AE45" s="77"/>
    </row>
    <row r="46" spans="1:33" s="76" customFormat="1" ht="11.25" customHeight="1" x14ac:dyDescent="0.2">
      <c r="A46" s="141"/>
      <c r="B46" s="1366"/>
      <c r="C46" s="1366"/>
      <c r="D46" s="1366"/>
      <c r="E46" s="1366"/>
      <c r="F46" s="9"/>
      <c r="G46" s="9"/>
      <c r="H46" s="9"/>
      <c r="I46" s="9"/>
      <c r="J46" s="13"/>
      <c r="K46" s="9"/>
      <c r="L46" s="9"/>
      <c r="M46" s="9"/>
      <c r="N46" s="9"/>
      <c r="O46" s="9"/>
      <c r="P46" s="9"/>
      <c r="Q46" s="9"/>
      <c r="R46" s="9"/>
      <c r="S46" s="9"/>
      <c r="T46" s="9"/>
      <c r="U46" s="11"/>
      <c r="V46" s="11"/>
      <c r="W46" s="11"/>
      <c r="X46" s="12"/>
      <c r="Y46" s="12"/>
      <c r="Z46" s="12"/>
      <c r="AA46" s="12"/>
      <c r="AB46" s="12"/>
      <c r="AC46" s="241"/>
      <c r="AE46" s="77"/>
    </row>
    <row r="47" spans="1:33" s="76" customFormat="1" ht="11.25" customHeight="1" x14ac:dyDescent="0.2">
      <c r="A47" s="141"/>
      <c r="B47" s="1366" t="s">
        <v>80</v>
      </c>
      <c r="C47" s="1366"/>
      <c r="D47" s="1366"/>
      <c r="E47" s="1366"/>
      <c r="F47" s="9"/>
      <c r="G47" s="9"/>
      <c r="H47" s="9"/>
      <c r="I47" s="9"/>
      <c r="J47" s="13"/>
      <c r="K47" s="9"/>
      <c r="L47" s="9"/>
      <c r="M47" s="9"/>
      <c r="N47" s="9"/>
      <c r="O47" s="9"/>
      <c r="P47" s="9"/>
      <c r="Q47" s="9"/>
      <c r="R47" s="9"/>
      <c r="S47" s="9"/>
      <c r="T47" s="9"/>
      <c r="U47" s="11"/>
      <c r="V47" s="11"/>
      <c r="W47" s="11"/>
      <c r="X47" s="12"/>
      <c r="Y47" s="12"/>
      <c r="Z47" s="12"/>
      <c r="AA47" s="12"/>
      <c r="AB47" s="12"/>
      <c r="AC47" s="241"/>
      <c r="AE47" s="77"/>
    </row>
    <row r="48" spans="1:33" s="76" customFormat="1" ht="11.25" customHeight="1" x14ac:dyDescent="0.2">
      <c r="A48" s="141"/>
      <c r="B48" s="1366"/>
      <c r="C48" s="1366"/>
      <c r="D48" s="1366"/>
      <c r="E48" s="1366"/>
      <c r="F48" s="9"/>
      <c r="G48" s="9"/>
      <c r="H48" s="9"/>
      <c r="I48" s="9"/>
      <c r="J48" s="13"/>
      <c r="K48" s="9"/>
      <c r="L48" s="9"/>
      <c r="M48" s="9"/>
      <c r="N48" s="9"/>
      <c r="O48" s="9"/>
      <c r="P48" s="9"/>
      <c r="Q48" s="9"/>
      <c r="R48" s="9"/>
      <c r="S48" s="9"/>
      <c r="T48" s="9"/>
      <c r="U48" s="11"/>
      <c r="V48" s="11"/>
      <c r="W48" s="11"/>
      <c r="X48" s="12"/>
      <c r="Y48" s="12"/>
      <c r="Z48" s="12"/>
      <c r="AA48" s="12"/>
      <c r="AB48" s="12"/>
      <c r="AC48" s="241"/>
      <c r="AE48" s="77"/>
    </row>
    <row r="49" spans="1:31" s="76" customFormat="1" ht="11.25" customHeight="1" x14ac:dyDescent="0.2">
      <c r="A49" s="141"/>
      <c r="B49" s="1366" t="s">
        <v>69</v>
      </c>
      <c r="C49" s="1366"/>
      <c r="D49" s="1366"/>
      <c r="E49" s="1366"/>
      <c r="F49" s="9"/>
      <c r="G49" s="9"/>
      <c r="H49" s="9"/>
      <c r="I49" s="9"/>
      <c r="J49" s="13"/>
      <c r="K49" s="9"/>
      <c r="L49" s="9"/>
      <c r="M49" s="9"/>
      <c r="N49" s="9"/>
      <c r="O49" s="9"/>
      <c r="P49" s="9"/>
      <c r="Q49" s="9"/>
      <c r="R49" s="9"/>
      <c r="S49" s="9"/>
      <c r="T49" s="9"/>
      <c r="U49" s="11"/>
      <c r="V49" s="11"/>
      <c r="W49" s="11"/>
      <c r="X49" s="12"/>
      <c r="Y49" s="12"/>
      <c r="Z49" s="12"/>
      <c r="AA49" s="12"/>
      <c r="AB49" s="12"/>
      <c r="AC49" s="241"/>
      <c r="AE49" s="77"/>
    </row>
    <row r="50" spans="1:31" s="76" customFormat="1" ht="11.25" customHeight="1" x14ac:dyDescent="0.2">
      <c r="A50" s="141"/>
      <c r="B50" s="1366"/>
      <c r="C50" s="1366"/>
      <c r="D50" s="1366"/>
      <c r="E50" s="1366"/>
      <c r="F50" s="9"/>
      <c r="G50" s="9"/>
      <c r="H50" s="9"/>
      <c r="I50" s="9"/>
      <c r="J50" s="13"/>
      <c r="K50" s="9"/>
      <c r="L50" s="9"/>
      <c r="M50" s="9"/>
      <c r="N50" s="9"/>
      <c r="O50" s="9"/>
      <c r="P50" s="9"/>
      <c r="Q50" s="9"/>
      <c r="R50" s="9"/>
      <c r="S50" s="9"/>
      <c r="T50" s="9"/>
      <c r="U50" s="11"/>
      <c r="V50" s="11"/>
      <c r="W50" s="11"/>
      <c r="X50" s="12"/>
      <c r="Y50" s="12"/>
      <c r="Z50" s="12"/>
      <c r="AA50" s="12"/>
      <c r="AB50" s="12"/>
      <c r="AC50" s="241"/>
      <c r="AE50" s="77"/>
    </row>
    <row r="51" spans="1:31" s="76" customFormat="1" ht="11.25" customHeight="1" x14ac:dyDescent="0.2">
      <c r="A51" s="141"/>
      <c r="B51" s="1366" t="s">
        <v>24</v>
      </c>
      <c r="C51" s="1366"/>
      <c r="D51" s="1366"/>
      <c r="E51" s="1366"/>
      <c r="F51" s="9"/>
      <c r="G51" s="9"/>
      <c r="H51" s="9"/>
      <c r="I51" s="9"/>
      <c r="J51" s="13"/>
      <c r="K51" s="9"/>
      <c r="L51" s="9"/>
      <c r="M51" s="9"/>
      <c r="N51" s="9"/>
      <c r="O51" s="9"/>
      <c r="P51" s="9"/>
      <c r="Q51" s="9"/>
      <c r="R51" s="9"/>
      <c r="S51" s="9"/>
      <c r="T51" s="9"/>
      <c r="U51" s="11"/>
      <c r="V51" s="11"/>
      <c r="W51" s="11"/>
      <c r="X51" s="12"/>
      <c r="Y51" s="12"/>
      <c r="Z51" s="12"/>
      <c r="AA51" s="12"/>
      <c r="AB51" s="12"/>
      <c r="AC51" s="241"/>
      <c r="AE51" s="77"/>
    </row>
    <row r="52" spans="1:31" s="76" customFormat="1" ht="11.25" customHeight="1" x14ac:dyDescent="0.2">
      <c r="A52" s="141"/>
      <c r="B52" s="1366"/>
      <c r="C52" s="1366"/>
      <c r="D52" s="1366"/>
      <c r="E52" s="1366"/>
      <c r="F52" s="9"/>
      <c r="G52" s="9"/>
      <c r="H52" s="9"/>
      <c r="I52" s="9"/>
      <c r="J52" s="13"/>
      <c r="K52" s="9"/>
      <c r="L52" s="9"/>
      <c r="M52" s="9"/>
      <c r="N52" s="9"/>
      <c r="O52" s="9"/>
      <c r="P52" s="9"/>
      <c r="Q52" s="9"/>
      <c r="R52" s="9"/>
      <c r="S52" s="9"/>
      <c r="T52" s="9"/>
      <c r="U52" s="11"/>
      <c r="V52" s="11"/>
      <c r="W52" s="11"/>
      <c r="X52" s="12"/>
      <c r="Y52" s="12"/>
      <c r="Z52" s="12"/>
      <c r="AA52" s="12"/>
      <c r="AB52" s="12"/>
      <c r="AC52" s="241"/>
      <c r="AE52" s="77"/>
    </row>
    <row r="53" spans="1:31" s="76" customFormat="1" ht="11.25" customHeight="1" x14ac:dyDescent="0.2">
      <c r="A53" s="141"/>
      <c r="B53" s="1366" t="s">
        <v>22</v>
      </c>
      <c r="C53" s="1366"/>
      <c r="D53" s="1366"/>
      <c r="E53" s="1366"/>
      <c r="F53" s="9"/>
      <c r="G53" s="9"/>
      <c r="H53" s="9"/>
      <c r="I53" s="9"/>
      <c r="J53" s="13"/>
      <c r="K53" s="9"/>
      <c r="L53" s="9"/>
      <c r="M53" s="9"/>
      <c r="N53" s="9"/>
      <c r="O53" s="9"/>
      <c r="P53" s="9"/>
      <c r="Q53" s="9"/>
      <c r="R53" s="9"/>
      <c r="S53" s="9"/>
      <c r="T53" s="9"/>
      <c r="U53" s="11"/>
      <c r="V53" s="11"/>
      <c r="W53" s="11"/>
      <c r="X53" s="12"/>
      <c r="Y53" s="12"/>
      <c r="Z53" s="12"/>
      <c r="AA53" s="12"/>
      <c r="AB53" s="12"/>
      <c r="AC53" s="241"/>
      <c r="AE53" s="77"/>
    </row>
    <row r="54" spans="1:31" s="76" customFormat="1" ht="11.25" customHeight="1" x14ac:dyDescent="0.2">
      <c r="A54" s="141"/>
      <c r="B54" s="1366"/>
      <c r="C54" s="1366"/>
      <c r="D54" s="1366"/>
      <c r="E54" s="1366"/>
      <c r="F54" s="9"/>
      <c r="G54" s="9"/>
      <c r="H54" s="9"/>
      <c r="I54" s="9"/>
      <c r="J54" s="13"/>
      <c r="K54" s="9"/>
      <c r="L54" s="9"/>
      <c r="M54" s="9"/>
      <c r="N54" s="9"/>
      <c r="O54" s="9"/>
      <c r="P54" s="9"/>
      <c r="Q54" s="9"/>
      <c r="R54" s="9"/>
      <c r="S54" s="9"/>
      <c r="T54" s="9"/>
      <c r="U54" s="11"/>
      <c r="V54" s="11"/>
      <c r="W54" s="11"/>
      <c r="X54" s="12"/>
      <c r="Y54" s="12"/>
      <c r="Z54" s="12"/>
      <c r="AA54" s="12"/>
      <c r="AB54" s="12"/>
      <c r="AC54" s="241"/>
      <c r="AE54" s="77"/>
    </row>
    <row r="55" spans="1:31" s="76" customFormat="1" ht="11.25" customHeight="1" x14ac:dyDescent="0.2">
      <c r="A55" s="141"/>
      <c r="B55" s="1366" t="s">
        <v>25</v>
      </c>
      <c r="C55" s="1366"/>
      <c r="D55" s="1366"/>
      <c r="E55" s="1366"/>
      <c r="F55" s="9"/>
      <c r="G55" s="9"/>
      <c r="H55" s="9"/>
      <c r="I55" s="9"/>
      <c r="J55" s="13"/>
      <c r="K55" s="9"/>
      <c r="L55" s="9"/>
      <c r="M55" s="9"/>
      <c r="N55" s="9"/>
      <c r="O55" s="9"/>
      <c r="P55" s="9"/>
      <c r="Q55" s="9"/>
      <c r="R55" s="9"/>
      <c r="S55" s="9"/>
      <c r="T55" s="9"/>
      <c r="U55" s="11"/>
      <c r="V55" s="11"/>
      <c r="W55" s="11"/>
      <c r="X55" s="12"/>
      <c r="Y55" s="12"/>
      <c r="Z55" s="12"/>
      <c r="AA55" s="12"/>
      <c r="AB55" s="12"/>
      <c r="AC55" s="241"/>
      <c r="AE55" s="77"/>
    </row>
    <row r="56" spans="1:31" s="76" customFormat="1" ht="11.25" customHeight="1" x14ac:dyDescent="0.2">
      <c r="A56" s="141"/>
      <c r="B56" s="1366"/>
      <c r="C56" s="1366"/>
      <c r="D56" s="1366"/>
      <c r="E56" s="1366"/>
      <c r="F56" s="9"/>
      <c r="G56" s="9"/>
      <c r="H56" s="9"/>
      <c r="I56" s="9"/>
      <c r="J56" s="13"/>
      <c r="K56" s="9"/>
      <c r="L56" s="9"/>
      <c r="M56" s="9"/>
      <c r="N56" s="9"/>
      <c r="O56" s="9"/>
      <c r="P56" s="9"/>
      <c r="Q56" s="9"/>
      <c r="R56" s="9"/>
      <c r="S56" s="9"/>
      <c r="T56" s="9"/>
      <c r="U56" s="11"/>
      <c r="V56" s="11"/>
      <c r="W56" s="11"/>
      <c r="X56" s="12"/>
      <c r="Y56" s="12"/>
      <c r="Z56" s="12"/>
      <c r="AA56" s="12"/>
      <c r="AB56" s="12"/>
      <c r="AC56" s="241"/>
      <c r="AE56" s="77"/>
    </row>
    <row r="57" spans="1:31" s="76" customFormat="1" ht="11.25" customHeight="1" x14ac:dyDescent="0.2">
      <c r="A57" s="141"/>
      <c r="B57" s="1366" t="s">
        <v>18</v>
      </c>
      <c r="C57" s="1366"/>
      <c r="D57" s="1366"/>
      <c r="E57" s="1366"/>
      <c r="F57" s="9"/>
      <c r="G57" s="9"/>
      <c r="H57" s="9"/>
      <c r="I57" s="9"/>
      <c r="J57" s="13"/>
      <c r="K57" s="9"/>
      <c r="L57" s="9"/>
      <c r="M57" s="9"/>
      <c r="N57" s="9"/>
      <c r="O57" s="9"/>
      <c r="P57" s="9"/>
      <c r="Q57" s="9"/>
      <c r="R57" s="9"/>
      <c r="S57" s="9"/>
      <c r="T57" s="9"/>
      <c r="U57" s="11"/>
      <c r="V57" s="11"/>
      <c r="W57" s="11"/>
      <c r="X57" s="12"/>
      <c r="Y57" s="12"/>
      <c r="Z57" s="12"/>
      <c r="AA57" s="12"/>
      <c r="AB57" s="12"/>
      <c r="AC57" s="241"/>
      <c r="AE57" s="77"/>
    </row>
    <row r="58" spans="1:31" s="76" customFormat="1" ht="11.25" customHeight="1" x14ac:dyDescent="0.2">
      <c r="A58" s="141"/>
      <c r="B58" s="1366"/>
      <c r="C58" s="1366"/>
      <c r="D58" s="1366"/>
      <c r="E58" s="1366"/>
      <c r="F58" s="9"/>
      <c r="G58" s="9"/>
      <c r="H58" s="9"/>
      <c r="I58" s="9"/>
      <c r="J58" s="13"/>
      <c r="K58" s="9"/>
      <c r="L58" s="9"/>
      <c r="M58" s="9"/>
      <c r="N58" s="9"/>
      <c r="O58" s="9"/>
      <c r="P58" s="9"/>
      <c r="Q58" s="9"/>
      <c r="R58" s="9"/>
      <c r="S58" s="9"/>
      <c r="T58" s="9"/>
      <c r="U58" s="11"/>
      <c r="V58" s="11"/>
      <c r="W58" s="11"/>
      <c r="X58" s="12"/>
      <c r="Y58" s="12"/>
      <c r="Z58" s="12"/>
      <c r="AA58" s="12"/>
      <c r="AB58" s="12"/>
      <c r="AC58" s="241"/>
      <c r="AE58" s="77"/>
    </row>
    <row r="59" spans="1:31" s="76" customFormat="1" ht="11.25" customHeight="1" x14ac:dyDescent="0.2">
      <c r="A59" s="141"/>
      <c r="B59" s="1366" t="s">
        <v>19</v>
      </c>
      <c r="C59" s="1366"/>
      <c r="D59" s="1366"/>
      <c r="E59" s="1366"/>
      <c r="F59" s="9"/>
      <c r="G59" s="9"/>
      <c r="H59" s="9"/>
      <c r="I59" s="9"/>
      <c r="J59" s="13"/>
      <c r="K59" s="9"/>
      <c r="L59" s="9"/>
      <c r="M59" s="9"/>
      <c r="N59" s="9"/>
      <c r="O59" s="9"/>
      <c r="P59" s="9"/>
      <c r="Q59" s="9"/>
      <c r="R59" s="9"/>
      <c r="S59" s="9"/>
      <c r="T59" s="9"/>
      <c r="U59" s="11"/>
      <c r="V59" s="11"/>
      <c r="W59" s="11"/>
      <c r="X59" s="12"/>
      <c r="Y59" s="12"/>
      <c r="Z59" s="12"/>
      <c r="AA59" s="12"/>
      <c r="AB59" s="12"/>
      <c r="AC59" s="241"/>
      <c r="AE59" s="77"/>
    </row>
    <row r="60" spans="1:31" s="76" customFormat="1" ht="11.25" customHeight="1" x14ac:dyDescent="0.2">
      <c r="A60" s="141"/>
      <c r="B60" s="1366"/>
      <c r="C60" s="1366"/>
      <c r="D60" s="1366"/>
      <c r="E60" s="1366"/>
      <c r="F60" s="9"/>
      <c r="G60" s="9"/>
      <c r="H60" s="9"/>
      <c r="I60" s="9"/>
      <c r="J60" s="13"/>
      <c r="K60" s="9"/>
      <c r="L60" s="9"/>
      <c r="M60" s="9"/>
      <c r="N60" s="9"/>
      <c r="O60" s="9"/>
      <c r="P60" s="9"/>
      <c r="Q60" s="9"/>
      <c r="R60" s="9"/>
      <c r="S60" s="9"/>
      <c r="T60" s="9"/>
      <c r="U60" s="11"/>
      <c r="V60" s="11"/>
      <c r="W60" s="11"/>
      <c r="X60" s="12"/>
      <c r="Y60" s="12"/>
      <c r="Z60" s="12"/>
      <c r="AA60" s="12"/>
      <c r="AB60" s="12"/>
      <c r="AC60" s="241"/>
      <c r="AE60" s="77"/>
    </row>
    <row r="61" spans="1:31" s="76" customFormat="1" ht="11.25" customHeight="1" x14ac:dyDescent="0.2">
      <c r="A61" s="141"/>
      <c r="B61" s="1366" t="s">
        <v>20</v>
      </c>
      <c r="C61" s="1366"/>
      <c r="D61" s="1366"/>
      <c r="E61" s="1366"/>
      <c r="F61" s="9"/>
      <c r="G61" s="9"/>
      <c r="H61" s="9"/>
      <c r="I61" s="9"/>
      <c r="J61" s="13"/>
      <c r="K61" s="9"/>
      <c r="L61" s="9"/>
      <c r="M61" s="9"/>
      <c r="N61" s="9"/>
      <c r="O61" s="9"/>
      <c r="P61" s="9"/>
      <c r="Q61" s="9"/>
      <c r="R61" s="9"/>
      <c r="S61" s="9"/>
      <c r="T61" s="9"/>
      <c r="U61" s="11"/>
      <c r="V61" s="11"/>
      <c r="W61" s="11"/>
      <c r="X61" s="12"/>
      <c r="Y61" s="12"/>
      <c r="Z61" s="12"/>
      <c r="AA61" s="12"/>
      <c r="AB61" s="12"/>
      <c r="AC61" s="241"/>
      <c r="AE61" s="77"/>
    </row>
    <row r="62" spans="1:31" s="76" customFormat="1" ht="11.25" customHeight="1" x14ac:dyDescent="0.2">
      <c r="A62" s="141"/>
      <c r="B62" s="1366"/>
      <c r="C62" s="1366"/>
      <c r="D62" s="1366"/>
      <c r="E62" s="1366"/>
      <c r="F62" s="9"/>
      <c r="G62" s="9"/>
      <c r="H62" s="9"/>
      <c r="I62" s="9"/>
      <c r="J62" s="13"/>
      <c r="K62" s="9"/>
      <c r="L62" s="9"/>
      <c r="M62" s="9"/>
      <c r="N62" s="9"/>
      <c r="O62" s="9"/>
      <c r="P62" s="9"/>
      <c r="Q62" s="9"/>
      <c r="R62" s="9"/>
      <c r="S62" s="9"/>
      <c r="T62" s="9"/>
      <c r="U62" s="11"/>
      <c r="V62" s="11"/>
      <c r="W62" s="11"/>
      <c r="X62" s="12"/>
      <c r="Y62" s="12"/>
      <c r="Z62" s="12"/>
      <c r="AA62" s="12"/>
      <c r="AB62" s="12"/>
      <c r="AC62" s="241"/>
      <c r="AE62" s="77"/>
    </row>
    <row r="63" spans="1:31" s="76" customFormat="1" ht="11.25" customHeight="1" x14ac:dyDescent="0.2">
      <c r="A63" s="141"/>
      <c r="B63" s="1366" t="s">
        <v>26</v>
      </c>
      <c r="C63" s="1366"/>
      <c r="D63" s="1366"/>
      <c r="E63" s="1366"/>
      <c r="F63" s="9"/>
      <c r="G63" s="9"/>
      <c r="H63" s="9"/>
      <c r="I63" s="9"/>
      <c r="J63" s="13"/>
      <c r="K63" s="9"/>
      <c r="L63" s="9"/>
      <c r="M63" s="9"/>
      <c r="N63" s="9"/>
      <c r="O63" s="9"/>
      <c r="P63" s="9"/>
      <c r="Q63" s="9"/>
      <c r="R63" s="9"/>
      <c r="S63" s="9"/>
      <c r="T63" s="9"/>
      <c r="U63" s="11"/>
      <c r="V63" s="11"/>
      <c r="W63" s="11"/>
      <c r="X63" s="12"/>
      <c r="Y63" s="12"/>
      <c r="Z63" s="12"/>
      <c r="AA63" s="12"/>
      <c r="AB63" s="12"/>
      <c r="AC63" s="241"/>
      <c r="AE63" s="77"/>
    </row>
    <row r="64" spans="1:31" s="76" customFormat="1" ht="11.25" customHeight="1" x14ac:dyDescent="0.2">
      <c r="A64" s="141"/>
      <c r="B64" s="1366"/>
      <c r="C64" s="1366"/>
      <c r="D64" s="1366"/>
      <c r="E64" s="1366"/>
      <c r="F64" s="9"/>
      <c r="G64" s="9"/>
      <c r="H64" s="9"/>
      <c r="I64" s="9"/>
      <c r="J64" s="13"/>
      <c r="K64" s="9"/>
      <c r="L64" s="9"/>
      <c r="M64" s="9"/>
      <c r="N64" s="9"/>
      <c r="O64" s="9"/>
      <c r="P64" s="9"/>
      <c r="Q64" s="9"/>
      <c r="R64" s="9"/>
      <c r="S64" s="9"/>
      <c r="T64" s="9"/>
      <c r="U64" s="11"/>
      <c r="V64" s="11"/>
      <c r="W64" s="11"/>
      <c r="X64" s="12"/>
      <c r="Y64" s="12"/>
      <c r="Z64" s="12"/>
      <c r="AA64" s="12"/>
      <c r="AB64" s="12"/>
      <c r="AC64" s="241"/>
      <c r="AE64" s="77"/>
    </row>
    <row r="65" spans="1:32" s="76" customFormat="1" ht="11.25" customHeight="1" x14ac:dyDescent="0.2">
      <c r="A65" s="141"/>
      <c r="B65" s="1366" t="s">
        <v>21</v>
      </c>
      <c r="C65" s="1366"/>
      <c r="D65" s="1366"/>
      <c r="E65" s="1366"/>
      <c r="F65" s="9"/>
      <c r="G65" s="9"/>
      <c r="H65" s="9"/>
      <c r="I65" s="9"/>
      <c r="J65" s="13"/>
      <c r="K65" s="9"/>
      <c r="L65" s="9"/>
      <c r="M65" s="9"/>
      <c r="N65" s="9"/>
      <c r="O65" s="9"/>
      <c r="P65" s="9"/>
      <c r="Q65" s="9"/>
      <c r="R65" s="9"/>
      <c r="S65" s="9"/>
      <c r="T65" s="9"/>
      <c r="U65" s="11"/>
      <c r="V65" s="11"/>
      <c r="W65" s="11"/>
      <c r="X65" s="12"/>
      <c r="Y65" s="12"/>
      <c r="Z65" s="12"/>
      <c r="AA65" s="12"/>
      <c r="AB65" s="12"/>
      <c r="AC65" s="241"/>
      <c r="AE65" s="77"/>
    </row>
    <row r="66" spans="1:32" s="76" customFormat="1" ht="11.25" customHeight="1" x14ac:dyDescent="0.2">
      <c r="A66" s="141"/>
      <c r="B66" s="1366"/>
      <c r="C66" s="1366"/>
      <c r="D66" s="1366"/>
      <c r="E66" s="1366"/>
      <c r="F66" s="9"/>
      <c r="G66" s="9"/>
      <c r="H66" s="9"/>
      <c r="I66" s="9"/>
      <c r="J66" s="13"/>
      <c r="K66" s="9"/>
      <c r="L66" s="9"/>
      <c r="M66" s="9"/>
      <c r="N66" s="9"/>
      <c r="O66" s="9"/>
      <c r="P66" s="9"/>
      <c r="Q66" s="9"/>
      <c r="R66" s="9"/>
      <c r="S66" s="9"/>
      <c r="T66" s="9"/>
      <c r="U66" s="11"/>
      <c r="V66" s="11"/>
      <c r="W66" s="11"/>
      <c r="X66" s="12"/>
      <c r="Y66" s="12"/>
      <c r="Z66" s="12"/>
      <c r="AA66" s="12"/>
      <c r="AB66" s="12"/>
      <c r="AC66" s="241"/>
      <c r="AE66" s="77"/>
    </row>
    <row r="67" spans="1:32" s="76" customFormat="1" ht="11.25" customHeight="1" x14ac:dyDescent="0.2">
      <c r="A67" s="141"/>
      <c r="B67" s="1366" t="s">
        <v>930</v>
      </c>
      <c r="C67" s="1366"/>
      <c r="D67" s="1366"/>
      <c r="E67" s="1366"/>
      <c r="F67" s="9"/>
      <c r="G67" s="9"/>
      <c r="H67" s="9"/>
      <c r="I67" s="9"/>
      <c r="J67" s="13"/>
      <c r="K67" s="9"/>
      <c r="L67" s="9"/>
      <c r="M67" s="9"/>
      <c r="N67" s="9"/>
      <c r="O67" s="9"/>
      <c r="P67" s="9"/>
      <c r="Q67" s="9"/>
      <c r="R67" s="9"/>
      <c r="S67" s="9"/>
      <c r="T67" s="9"/>
      <c r="U67" s="11"/>
      <c r="V67" s="11"/>
      <c r="W67" s="11"/>
      <c r="X67" s="12"/>
      <c r="Y67" s="12"/>
      <c r="Z67" s="12"/>
      <c r="AA67" s="12"/>
      <c r="AB67" s="12"/>
      <c r="AC67" s="241"/>
      <c r="AE67" s="77"/>
    </row>
    <row r="68" spans="1:32" s="76" customFormat="1" ht="11.25" customHeight="1" x14ac:dyDescent="0.2">
      <c r="A68" s="141"/>
      <c r="B68" s="1366"/>
      <c r="C68" s="1366"/>
      <c r="D68" s="1366"/>
      <c r="E68" s="1366"/>
      <c r="F68" s="9"/>
      <c r="G68" s="9"/>
      <c r="H68" s="9"/>
      <c r="I68" s="9"/>
      <c r="J68" s="13"/>
      <c r="K68" s="9"/>
      <c r="L68" s="9"/>
      <c r="M68" s="9"/>
      <c r="N68" s="9"/>
      <c r="O68" s="9"/>
      <c r="P68" s="9"/>
      <c r="Q68" s="9"/>
      <c r="R68" s="9"/>
      <c r="S68" s="9"/>
      <c r="T68" s="9"/>
      <c r="U68" s="11"/>
      <c r="V68" s="11"/>
      <c r="W68" s="11"/>
      <c r="X68" s="12"/>
      <c r="Y68" s="12"/>
      <c r="Z68" s="12"/>
      <c r="AA68" s="12"/>
      <c r="AB68" s="12"/>
      <c r="AC68" s="241"/>
      <c r="AE68" s="77"/>
    </row>
    <row r="69" spans="1:32" s="76" customFormat="1" ht="11.25" customHeight="1" x14ac:dyDescent="0.2">
      <c r="A69" s="141"/>
      <c r="B69" s="1366" t="s">
        <v>680</v>
      </c>
      <c r="C69" s="1366"/>
      <c r="D69" s="1366"/>
      <c r="E69" s="1366"/>
      <c r="F69" s="9"/>
      <c r="G69" s="9"/>
      <c r="H69" s="9"/>
      <c r="I69" s="9"/>
      <c r="J69" s="13"/>
      <c r="K69" s="9"/>
      <c r="L69" s="9"/>
      <c r="M69" s="9"/>
      <c r="N69" s="9"/>
      <c r="O69" s="9"/>
      <c r="P69" s="9"/>
      <c r="Q69" s="9"/>
      <c r="R69" s="9"/>
      <c r="S69" s="9"/>
      <c r="T69" s="9"/>
      <c r="U69" s="11"/>
      <c r="V69" s="11"/>
      <c r="W69" s="11"/>
      <c r="X69" s="12"/>
      <c r="Y69" s="12"/>
      <c r="Z69" s="12"/>
      <c r="AA69" s="12"/>
      <c r="AB69" s="12"/>
      <c r="AC69" s="241"/>
      <c r="AE69" s="77"/>
    </row>
    <row r="70" spans="1:32" s="76" customFormat="1" ht="11.25" customHeight="1" x14ac:dyDescent="0.2">
      <c r="A70" s="141"/>
      <c r="B70" s="1366"/>
      <c r="C70" s="1366"/>
      <c r="D70" s="1366"/>
      <c r="E70" s="1366"/>
      <c r="F70" s="9"/>
      <c r="G70" s="9"/>
      <c r="H70" s="9"/>
      <c r="I70" s="9"/>
      <c r="J70" s="13"/>
      <c r="K70" s="9"/>
      <c r="L70" s="9"/>
      <c r="M70" s="9"/>
      <c r="N70" s="9"/>
      <c r="O70" s="9"/>
      <c r="P70" s="9"/>
      <c r="Q70" s="9"/>
      <c r="R70" s="9"/>
      <c r="S70" s="9"/>
      <c r="T70" s="9"/>
      <c r="U70" s="11"/>
      <c r="V70" s="11"/>
      <c r="W70" s="11"/>
      <c r="X70" s="12"/>
      <c r="Y70" s="12"/>
      <c r="Z70" s="12"/>
      <c r="AA70" s="12"/>
      <c r="AB70" s="12"/>
      <c r="AC70" s="241"/>
      <c r="AE70" s="77"/>
    </row>
    <row r="71" spans="1:32" s="76" customFormat="1" ht="11.25" customHeight="1" x14ac:dyDescent="0.2">
      <c r="A71" s="141"/>
      <c r="B71" s="1366" t="s">
        <v>32</v>
      </c>
      <c r="C71" s="1366"/>
      <c r="D71" s="1366"/>
      <c r="E71" s="1366"/>
      <c r="F71" s="9"/>
      <c r="G71" s="9"/>
      <c r="H71" s="9"/>
      <c r="I71" s="9"/>
      <c r="J71" s="13"/>
      <c r="K71" s="9"/>
      <c r="L71" s="9"/>
      <c r="M71" s="9"/>
      <c r="N71" s="9"/>
      <c r="O71" s="9"/>
      <c r="P71" s="9"/>
      <c r="Q71" s="9"/>
      <c r="R71" s="9"/>
      <c r="S71" s="9"/>
      <c r="T71" s="9"/>
      <c r="U71" s="11"/>
      <c r="V71" s="11"/>
      <c r="W71" s="11"/>
      <c r="X71" s="12"/>
      <c r="Y71" s="12"/>
      <c r="Z71" s="12"/>
      <c r="AA71" s="12"/>
      <c r="AB71" s="12"/>
      <c r="AC71" s="241"/>
      <c r="AE71" s="77"/>
    </row>
    <row r="72" spans="1:32" s="76" customFormat="1" ht="11.25" customHeight="1" x14ac:dyDescent="0.2">
      <c r="A72" s="141"/>
      <c r="B72" s="1366"/>
      <c r="C72" s="1366"/>
      <c r="D72" s="1366"/>
      <c r="E72" s="1366"/>
      <c r="F72" s="9"/>
      <c r="G72" s="9"/>
      <c r="H72" s="9"/>
      <c r="I72" s="9"/>
      <c r="J72" s="13"/>
      <c r="K72" s="9"/>
      <c r="L72" s="9"/>
      <c r="M72" s="9"/>
      <c r="N72" s="9"/>
      <c r="O72" s="9"/>
      <c r="P72" s="9"/>
      <c r="Q72" s="9"/>
      <c r="R72" s="9"/>
      <c r="S72" s="9"/>
      <c r="T72" s="9"/>
      <c r="U72" s="11"/>
      <c r="V72" s="11"/>
      <c r="W72" s="11"/>
      <c r="X72" s="12"/>
      <c r="Y72" s="12"/>
      <c r="Z72" s="12"/>
      <c r="AA72" s="12"/>
      <c r="AB72" s="12"/>
      <c r="AC72" s="241"/>
      <c r="AE72" s="77"/>
    </row>
    <row r="73" spans="1:32" s="76" customFormat="1" ht="11.25" customHeight="1" x14ac:dyDescent="0.2">
      <c r="A73" s="248"/>
      <c r="B73" s="1110"/>
      <c r="C73" s="246"/>
      <c r="D73" s="246"/>
      <c r="E73" s="246"/>
      <c r="F73" s="246"/>
      <c r="G73" s="246"/>
      <c r="H73" s="246"/>
      <c r="I73" s="246"/>
      <c r="J73" s="246"/>
      <c r="K73" s="246"/>
      <c r="L73" s="246"/>
      <c r="M73" s="246"/>
      <c r="N73" s="246"/>
      <c r="O73" s="246"/>
      <c r="P73" s="246"/>
      <c r="Q73" s="246"/>
      <c r="R73" s="246"/>
      <c r="S73" s="246"/>
      <c r="T73" s="246"/>
      <c r="U73" s="246"/>
      <c r="V73" s="246"/>
      <c r="W73" s="246"/>
      <c r="X73" s="246"/>
      <c r="Y73" s="246"/>
      <c r="Z73" s="246"/>
      <c r="AA73" s="246"/>
      <c r="AB73" s="246"/>
      <c r="AC73" s="1307"/>
      <c r="AE73" s="77"/>
    </row>
    <row r="74" spans="1:32" ht="11.25" customHeight="1" x14ac:dyDescent="0.2">
      <c r="AD74" s="76"/>
      <c r="AE74" s="76"/>
    </row>
    <row r="77" spans="1:32" ht="11.25" customHeight="1" x14ac:dyDescent="0.2">
      <c r="AD77" s="80"/>
      <c r="AE77" s="80"/>
      <c r="AF77" s="80"/>
    </row>
    <row r="116" spans="30:32" ht="11.25" customHeight="1" x14ac:dyDescent="0.2">
      <c r="AD116" s="76"/>
      <c r="AE116" s="76"/>
    </row>
    <row r="117" spans="30:32" ht="11.25" customHeight="1" x14ac:dyDescent="0.2">
      <c r="AD117" s="76"/>
      <c r="AE117" s="76"/>
    </row>
    <row r="118" spans="30:32" ht="11.25" customHeight="1" x14ac:dyDescent="0.2">
      <c r="AD118" s="76"/>
      <c r="AE118" s="76"/>
    </row>
    <row r="121" spans="30:32" ht="11.25" customHeight="1" x14ac:dyDescent="0.2">
      <c r="AD121" s="80"/>
      <c r="AE121" s="80"/>
      <c r="AF121" s="80"/>
    </row>
    <row r="160" spans="30:31" ht="11.25" customHeight="1" x14ac:dyDescent="0.2">
      <c r="AD160" s="76"/>
      <c r="AE160" s="76"/>
    </row>
    <row r="161" spans="30:32" ht="11.25" customHeight="1" x14ac:dyDescent="0.2">
      <c r="AD161" s="76"/>
      <c r="AE161" s="76"/>
    </row>
    <row r="162" spans="30:32" ht="11.25" customHeight="1" x14ac:dyDescent="0.2">
      <c r="AD162" s="76"/>
      <c r="AE162" s="76"/>
    </row>
    <row r="165" spans="30:32" ht="11.25" customHeight="1" x14ac:dyDescent="0.2">
      <c r="AD165" s="80"/>
      <c r="AE165" s="80"/>
      <c r="AF165" s="80"/>
    </row>
    <row r="204" spans="30:31" ht="11.25" customHeight="1" x14ac:dyDescent="0.2">
      <c r="AD204" s="76"/>
      <c r="AE204" s="76"/>
    </row>
    <row r="205" spans="30:31" ht="11.25" customHeight="1" x14ac:dyDescent="0.2">
      <c r="AD205" s="76"/>
      <c r="AE205" s="76"/>
    </row>
    <row r="206" spans="30:31" ht="11.25" customHeight="1" x14ac:dyDescent="0.2">
      <c r="AD206" s="76"/>
      <c r="AE206" s="76"/>
    </row>
    <row r="209" spans="30:32" ht="11.25" customHeight="1" x14ac:dyDescent="0.2">
      <c r="AD209" s="80"/>
      <c r="AE209" s="80"/>
      <c r="AF209" s="80"/>
    </row>
    <row r="248" spans="30:32" ht="11.25" customHeight="1" x14ac:dyDescent="0.2">
      <c r="AD248" s="76"/>
      <c r="AE248" s="76"/>
    </row>
    <row r="249" spans="30:32" ht="11.25" customHeight="1" x14ac:dyDescent="0.2">
      <c r="AD249" s="76"/>
      <c r="AE249" s="76"/>
    </row>
    <row r="250" spans="30:32" ht="11.25" customHeight="1" x14ac:dyDescent="0.2">
      <c r="AD250" s="76"/>
      <c r="AE250" s="76"/>
    </row>
    <row r="253" spans="30:32" ht="11.25" customHeight="1" x14ac:dyDescent="0.2">
      <c r="AD253" s="80"/>
      <c r="AE253" s="80"/>
      <c r="AF253" s="80"/>
    </row>
    <row r="292" spans="30:32" ht="11.25" customHeight="1" x14ac:dyDescent="0.2">
      <c r="AD292" s="76"/>
      <c r="AE292" s="76"/>
    </row>
    <row r="293" spans="30:32" ht="11.25" customHeight="1" x14ac:dyDescent="0.2">
      <c r="AD293" s="76"/>
      <c r="AE293" s="76"/>
    </row>
    <row r="294" spans="30:32" ht="11.25" customHeight="1" x14ac:dyDescent="0.2">
      <c r="AD294" s="76"/>
      <c r="AE294" s="76"/>
    </row>
    <row r="297" spans="30:32" ht="11.25" customHeight="1" x14ac:dyDescent="0.2">
      <c r="AD297" s="80"/>
      <c r="AE297" s="80"/>
      <c r="AF297" s="80"/>
    </row>
    <row r="336" spans="30:31" ht="11.25" customHeight="1" x14ac:dyDescent="0.2">
      <c r="AD336" s="76"/>
      <c r="AE336" s="76"/>
    </row>
    <row r="337" spans="30:32" ht="11.25" customHeight="1" x14ac:dyDescent="0.2">
      <c r="AD337" s="76"/>
      <c r="AE337" s="76"/>
    </row>
    <row r="338" spans="30:32" ht="11.25" customHeight="1" x14ac:dyDescent="0.2">
      <c r="AD338" s="76"/>
      <c r="AE338" s="76"/>
    </row>
    <row r="341" spans="30:32" ht="11.25" customHeight="1" x14ac:dyDescent="0.2">
      <c r="AD341" s="80"/>
      <c r="AE341" s="80"/>
      <c r="AF341" s="80"/>
    </row>
    <row r="380" spans="30:31" ht="11.25" customHeight="1" x14ac:dyDescent="0.2">
      <c r="AD380" s="76"/>
      <c r="AE380" s="76"/>
    </row>
    <row r="381" spans="30:31" ht="11.25" customHeight="1" x14ac:dyDescent="0.2">
      <c r="AD381" s="76"/>
      <c r="AE381" s="76"/>
    </row>
    <row r="382" spans="30:31" ht="11.25" customHeight="1" x14ac:dyDescent="0.2">
      <c r="AD382" s="76"/>
      <c r="AE382" s="76"/>
    </row>
    <row r="385" spans="30:32" ht="11.25" customHeight="1" x14ac:dyDescent="0.2">
      <c r="AD385" s="80"/>
      <c r="AE385" s="80"/>
      <c r="AF385" s="80"/>
    </row>
  </sheetData>
  <sheetProtection sheet="1" objects="1" scenarios="1"/>
  <mergeCells count="46">
    <mergeCell ref="S8:S9"/>
    <mergeCell ref="E7:E9"/>
    <mergeCell ref="D7:D9"/>
    <mergeCell ref="F7:AA7"/>
    <mergeCell ref="B7:B9"/>
    <mergeCell ref="K8:K9"/>
    <mergeCell ref="L8:L9"/>
    <mergeCell ref="M8:M9"/>
    <mergeCell ref="Q8:Q9"/>
    <mergeCell ref="T8:T9"/>
    <mergeCell ref="U8:U9"/>
    <mergeCell ref="I8:I9"/>
    <mergeCell ref="J8:J9"/>
    <mergeCell ref="B37:B38"/>
    <mergeCell ref="B6:AA6"/>
    <mergeCell ref="Z8:Z9"/>
    <mergeCell ref="AA8:AA9"/>
    <mergeCell ref="F8:F9"/>
    <mergeCell ref="G8:G9"/>
    <mergeCell ref="H8:H9"/>
    <mergeCell ref="X8:X9"/>
    <mergeCell ref="Y8:Y9"/>
    <mergeCell ref="N8:N9"/>
    <mergeCell ref="R8:R9"/>
    <mergeCell ref="O8:O9"/>
    <mergeCell ref="P8:P9"/>
    <mergeCell ref="V8:V9"/>
    <mergeCell ref="W8:W9"/>
    <mergeCell ref="C7:C9"/>
    <mergeCell ref="B57:E58"/>
    <mergeCell ref="B59:E60"/>
    <mergeCell ref="B61:E62"/>
    <mergeCell ref="B39:E40"/>
    <mergeCell ref="B41:E42"/>
    <mergeCell ref="B43:E44"/>
    <mergeCell ref="B45:E46"/>
    <mergeCell ref="B47:E48"/>
    <mergeCell ref="B49:E50"/>
    <mergeCell ref="B51:E52"/>
    <mergeCell ref="B53:E54"/>
    <mergeCell ref="B55:E56"/>
    <mergeCell ref="B65:E66"/>
    <mergeCell ref="B67:E68"/>
    <mergeCell ref="B69:E70"/>
    <mergeCell ref="B71:E72"/>
    <mergeCell ref="B63:E64"/>
  </mergeCells>
  <phoneticPr fontId="4" type="noConversion"/>
  <conditionalFormatting sqref="C10:E31">
    <cfRule type="expression" dxfId="702" priority="2">
      <formula>$C10=$AE$2</formula>
    </cfRule>
  </conditionalFormatting>
  <conditionalFormatting sqref="B10:B31 F10:AA31">
    <cfRule type="expression" dxfId="701" priority="1">
      <formula>$C10=$AE$2</formula>
    </cfRule>
  </conditionalFormatting>
  <hyperlinks>
    <hyperlink ref="B41:B42" location="Coverage!A1" display="Participating LA's" xr:uid="{9A215CEC-2EA3-425D-AA90-9FEF840DB16F}"/>
    <hyperlink ref="B43:B44" location="IDACI!A1" display="IDACI" xr:uid="{9FF92906-A4F7-463E-A089-B0B906C97AF9}"/>
    <hyperlink ref="B71:B72" location="Adoption!A1" display="Adoption" xr:uid="{AA11891D-12E1-412C-8E6B-A1C2E2302319}"/>
    <hyperlink ref="B65:B66" location="'Looked After Children'!A1" display="Looked After Children" xr:uid="{9400A51B-2A24-4694-A811-F070BCC62148}"/>
    <hyperlink ref="B63:B64" location="'Court Applications'!A1" display="Court Applications" xr:uid="{BF153135-BB10-4139-99E1-C27696371A03}"/>
    <hyperlink ref="B61:B62" location="'Child Protection Plans'!A1" display="Child Protection Plans" xr:uid="{73466433-513D-4128-8CDA-530280A1049C}"/>
    <hyperlink ref="B59:B60" location="'Initial CP Conferences'!A1" display="Initial Child Protection Conferences" xr:uid="{5BB08DDB-BD0A-44F0-BE2D-FDBB6B979D5D}"/>
    <hyperlink ref="B57:B58" location="'Section 47 Enquiries'!A1" display="Section 47 Enquiries" xr:uid="{8A18D5B7-E2CC-4AE9-91EA-57AE3C9B5539}"/>
    <hyperlink ref="B55:B56" location="'Children in Need'!A1" display="Children in Need" xr:uid="{14D92DD1-7326-4B50-A2D3-239CE074AA95}"/>
    <hyperlink ref="B53:B54" location="Assessments!A1" display="Assessments" xr:uid="{A0043306-22AC-4C77-8522-3515CDE290C1}"/>
    <hyperlink ref="B51:B52" location="'Re-referrals'!A1" display="Re-referrals" xr:uid="{FDF4832B-13B1-4EF3-9611-AA74D319C61F}"/>
    <hyperlink ref="B49:B50" location="Referral_Source!A1" display="Referral Source" xr:uid="{930060B6-8C9E-4BFB-A090-0311AC80ED64}"/>
    <hyperlink ref="B47:B48" location="Referrals!A1" display="Referrals" xr:uid="{A50B17D1-2E2D-4998-8CF1-9B1158642F1B}"/>
    <hyperlink ref="B45:B46" location="Population!A1" display="Population" xr:uid="{1DEA7332-9D30-4C92-B518-34E5C64D1B33}"/>
    <hyperlink ref="B43:C44" location="IDACI!A1" display="IDACI" xr:uid="{70DF2251-DCAE-479A-8A90-C7032B9A3083}"/>
    <hyperlink ref="B39:B40" location="Coverage!A1" display="Participating LA's" xr:uid="{DC5EDF52-1886-44E0-97CC-04FFA1D88031}"/>
    <hyperlink ref="B39:C40" location="Indicators!A1" display="Indicators" xr:uid="{1E9CBBC5-8091-4D66-923E-6F144B58A9CB}"/>
    <hyperlink ref="B69:B70" location="'Looked After Children'!A1" display="Looked After Children" xr:uid="{1AFB424B-C947-4D64-B38C-AED0F84B8450}"/>
    <hyperlink ref="B67:B68" location="'Court Applications'!A1" display="Court Applications" xr:uid="{7DE265BE-9A80-4195-8BB1-01A8A11C9D82}"/>
    <hyperlink ref="B67:C68" location="New_Ceased_LAC!A1" display="New/ Ceased Looked After Children" xr:uid="{668F2B9F-7F60-4264-A481-EB0F5979E8FE}"/>
    <hyperlink ref="B69:C70" location="Care_Leavers!A1" display="Care Leavers" xr:uid="{D0D9D142-E1AD-4068-9421-D225D87F1BA2}"/>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tabColor rgb="FFFFC000"/>
  </sheetPr>
  <dimension ref="A1:AK401"/>
  <sheetViews>
    <sheetView showRowColHeaders="0" workbookViewId="0"/>
  </sheetViews>
  <sheetFormatPr defaultColWidth="9.140625" defaultRowHeight="11.25" customHeight="1" x14ac:dyDescent="0.2"/>
  <cols>
    <col min="1" max="1" width="2.140625" style="76" customWidth="1"/>
    <col min="2" max="2" width="17" style="76" bestFit="1" customWidth="1"/>
    <col min="3" max="3" width="11.5703125" style="76" customWidth="1"/>
    <col min="4" max="5" width="12.42578125" style="76" customWidth="1"/>
    <col min="6" max="6" width="1.42578125" style="76" customWidth="1"/>
    <col min="7" max="7" width="10.140625" style="76" customWidth="1"/>
    <col min="8" max="8" width="6.5703125" style="76" customWidth="1"/>
    <col min="9" max="9" width="8.42578125" style="76" customWidth="1"/>
    <col min="10" max="10" width="3.42578125" style="76" customWidth="1"/>
    <col min="11" max="15" width="8.42578125" style="76" customWidth="1"/>
    <col min="16" max="16" width="8" style="76" customWidth="1"/>
    <col min="17" max="17" width="2.140625" style="76" customWidth="1"/>
    <col min="18" max="18" width="6.42578125" style="76" customWidth="1"/>
    <col min="19" max="19" width="12.140625" style="76" hidden="1" customWidth="1"/>
    <col min="20" max="20" width="15.42578125" style="76" hidden="1" customWidth="1"/>
    <col min="21" max="21" width="20.42578125" style="76" hidden="1" customWidth="1"/>
    <col min="22" max="22" width="4.42578125" style="76" hidden="1" customWidth="1"/>
    <col min="23" max="23" width="13.5703125" style="76" hidden="1" customWidth="1"/>
    <col min="24" max="24" width="4.42578125" style="76" customWidth="1"/>
    <col min="25" max="25" width="9.140625" style="76"/>
    <col min="26" max="26" width="12.140625" style="77" customWidth="1"/>
    <col min="27" max="27" width="9.140625" style="77"/>
    <col min="28" max="28" width="12.140625" style="77" customWidth="1"/>
    <col min="29" max="31" width="9.140625" style="76"/>
    <col min="32" max="32" width="9.140625" style="76" customWidth="1"/>
    <col min="33" max="34" width="9.140625" style="76"/>
    <col min="35" max="37" width="9.140625" style="179"/>
    <col min="38" max="16384" width="9.140625" style="76"/>
  </cols>
  <sheetData>
    <row r="1" spans="1:37" ht="18.75" customHeight="1" x14ac:dyDescent="0.2">
      <c r="A1" s="114"/>
      <c r="B1" s="115"/>
      <c r="C1" s="115"/>
      <c r="D1" s="115"/>
      <c r="E1" s="115"/>
      <c r="F1" s="115"/>
      <c r="G1" s="115"/>
      <c r="H1" s="115"/>
      <c r="I1" s="116"/>
      <c r="J1" s="115"/>
      <c r="K1" s="115"/>
      <c r="L1" s="115"/>
      <c r="M1" s="115"/>
      <c r="N1" s="115"/>
      <c r="O1" s="115"/>
      <c r="P1" s="115"/>
      <c r="Q1" s="117"/>
      <c r="R1" s="268"/>
      <c r="S1" s="179"/>
      <c r="T1" s="179"/>
      <c r="U1" s="179"/>
      <c r="V1" s="82"/>
      <c r="W1" s="82"/>
      <c r="X1" s="175"/>
      <c r="Y1" s="175"/>
      <c r="Z1" s="175"/>
      <c r="AA1" s="175"/>
      <c r="AB1" s="175"/>
      <c r="AC1" s="175"/>
      <c r="AD1" s="175"/>
      <c r="AE1" s="175"/>
      <c r="AF1" s="175"/>
      <c r="AG1" s="175"/>
      <c r="AH1" s="175"/>
    </row>
    <row r="2" spans="1:37" ht="18.75" customHeight="1" x14ac:dyDescent="0.2">
      <c r="A2" s="120"/>
      <c r="B2" s="130" t="s">
        <v>78</v>
      </c>
      <c r="C2" s="9"/>
      <c r="D2" s="9"/>
      <c r="E2" s="9"/>
      <c r="F2" s="9"/>
      <c r="G2" s="9"/>
      <c r="H2" s="9"/>
      <c r="I2" s="13"/>
      <c r="J2" s="9"/>
      <c r="K2" s="9"/>
      <c r="L2" s="9"/>
      <c r="M2" s="9"/>
      <c r="N2" s="9"/>
      <c r="O2" s="9"/>
      <c r="P2" s="9"/>
      <c r="Q2" s="119"/>
      <c r="R2" s="157"/>
      <c r="S2" s="179"/>
      <c r="T2" s="179"/>
      <c r="U2" s="179"/>
      <c r="V2" s="82"/>
      <c r="W2" s="82"/>
      <c r="X2" s="83"/>
      <c r="Y2" s="83"/>
      <c r="Z2" s="83"/>
      <c r="AA2" s="83"/>
      <c r="AB2" s="83"/>
      <c r="AC2" s="83"/>
      <c r="AD2" s="83"/>
      <c r="AE2" s="83"/>
      <c r="AF2" s="83"/>
      <c r="AG2" s="83"/>
      <c r="AH2" s="83"/>
    </row>
    <row r="3" spans="1:37" ht="18.75" customHeight="1" x14ac:dyDescent="0.2">
      <c r="A3" s="120"/>
      <c r="B3" s="9"/>
      <c r="C3" s="9"/>
      <c r="D3" s="9"/>
      <c r="E3" s="9"/>
      <c r="F3" s="9"/>
      <c r="G3" s="9"/>
      <c r="H3" s="9"/>
      <c r="I3" s="13"/>
      <c r="J3" s="9"/>
      <c r="K3" s="9"/>
      <c r="L3" s="9"/>
      <c r="M3" s="9"/>
      <c r="N3" s="9"/>
      <c r="O3" s="9"/>
      <c r="P3" s="9"/>
      <c r="Q3" s="119"/>
      <c r="R3" s="157"/>
      <c r="S3" s="179"/>
      <c r="T3" s="179"/>
      <c r="U3" s="179"/>
      <c r="V3" s="82"/>
      <c r="W3" s="82"/>
      <c r="X3" s="83"/>
      <c r="Y3" s="83"/>
      <c r="Z3" s="83"/>
      <c r="AA3" s="83"/>
      <c r="AB3" s="83"/>
      <c r="AC3" s="83"/>
      <c r="AD3" s="83"/>
      <c r="AE3" s="83"/>
      <c r="AF3" s="83"/>
      <c r="AG3" s="83"/>
      <c r="AH3" s="83"/>
    </row>
    <row r="4" spans="1:37" ht="11.25" customHeight="1" x14ac:dyDescent="0.2">
      <c r="A4" s="114"/>
      <c r="B4" s="115"/>
      <c r="C4" s="115"/>
      <c r="D4" s="115"/>
      <c r="E4" s="115"/>
      <c r="F4" s="115"/>
      <c r="G4" s="115"/>
      <c r="H4" s="115"/>
      <c r="I4" s="115"/>
      <c r="J4" s="115"/>
      <c r="K4" s="115"/>
      <c r="L4" s="115"/>
      <c r="M4" s="115"/>
      <c r="N4" s="115"/>
      <c r="O4" s="115"/>
      <c r="P4" s="115"/>
      <c r="Q4" s="216"/>
      <c r="R4" s="153"/>
      <c r="X4" s="77"/>
      <c r="Y4" s="77"/>
      <c r="AA4" s="76"/>
      <c r="AB4" s="76"/>
    </row>
    <row r="5" spans="1:37" s="78" customFormat="1" ht="18.75" customHeight="1" x14ac:dyDescent="0.2">
      <c r="A5" s="121"/>
      <c r="B5" s="59" t="s">
        <v>98</v>
      </c>
      <c r="C5" s="221"/>
      <c r="D5" s="221"/>
      <c r="E5" s="221"/>
      <c r="F5" s="221"/>
      <c r="G5" s="221"/>
      <c r="H5" s="221"/>
      <c r="I5" s="221"/>
      <c r="J5" s="221"/>
      <c r="K5" s="221"/>
      <c r="L5" s="221"/>
      <c r="M5" s="221"/>
      <c r="N5" s="62"/>
      <c r="O5" s="62"/>
      <c r="P5" s="15"/>
      <c r="Q5" s="217"/>
      <c r="R5" s="154"/>
      <c r="S5" s="85" t="e">
        <f>VLOOKUP(T5,$S$9:$T$30,2,FALSE)</f>
        <v>#N/A</v>
      </c>
      <c r="T5" s="79" t="str">
        <f>Home!$D$10</f>
        <v>(none)</v>
      </c>
      <c r="U5" s="239" t="str">
        <f>"Selected LA- "&amp;T5</f>
        <v>Selected LA- (none)</v>
      </c>
      <c r="V5" s="179"/>
      <c r="X5" s="80"/>
      <c r="Y5" s="237"/>
      <c r="Z5" s="80"/>
      <c r="AI5" s="183"/>
      <c r="AJ5" s="183"/>
      <c r="AK5" s="183"/>
    </row>
    <row r="6" spans="1:37" ht="49.5" customHeight="1" x14ac:dyDescent="0.2">
      <c r="A6" s="120"/>
      <c r="B6" s="1372" t="s">
        <v>1254</v>
      </c>
      <c r="C6" s="1396"/>
      <c r="D6" s="1396"/>
      <c r="E6" s="1396"/>
      <c r="F6" s="1396"/>
      <c r="G6" s="1396"/>
      <c r="H6" s="1396"/>
      <c r="I6" s="1396"/>
      <c r="J6" s="1396"/>
      <c r="K6" s="1396"/>
      <c r="L6" s="1396"/>
      <c r="M6" s="1396"/>
      <c r="N6" s="1396"/>
      <c r="O6" s="1396"/>
      <c r="P6" s="9"/>
      <c r="Q6" s="235"/>
      <c r="R6" s="153"/>
      <c r="U6" s="78"/>
      <c r="V6" s="183"/>
      <c r="W6" s="78"/>
      <c r="X6" s="78"/>
      <c r="Y6" s="179"/>
    </row>
    <row r="7" spans="1:37" ht="7.5" customHeight="1" x14ac:dyDescent="0.2">
      <c r="A7" s="271"/>
      <c r="B7" s="1401"/>
      <c r="C7" s="1401"/>
      <c r="D7" s="1401"/>
      <c r="E7" s="1401"/>
      <c r="F7" s="1401"/>
      <c r="G7" s="1401"/>
      <c r="H7" s="1401"/>
      <c r="I7" s="1401"/>
      <c r="J7" s="1401"/>
      <c r="K7" s="1401"/>
      <c r="L7" s="1401"/>
      <c r="M7" s="1401"/>
      <c r="N7" s="1401"/>
      <c r="O7" s="1401"/>
      <c r="P7" s="1401"/>
      <c r="Q7" s="235"/>
      <c r="R7" s="153"/>
      <c r="U7" s="78"/>
      <c r="V7" s="183"/>
      <c r="W7" s="78"/>
      <c r="X7" s="78"/>
      <c r="Y7" s="179"/>
    </row>
    <row r="8" spans="1:37" ht="37.5" customHeight="1" x14ac:dyDescent="0.2">
      <c r="A8" s="120"/>
      <c r="B8" s="443" t="s">
        <v>190</v>
      </c>
      <c r="C8" s="1064" t="s">
        <v>1253</v>
      </c>
      <c r="D8" s="1065" t="s">
        <v>96</v>
      </c>
      <c r="E8" s="1066" t="s">
        <v>99</v>
      </c>
      <c r="F8" s="39"/>
      <c r="G8" s="39"/>
      <c r="H8" s="39"/>
      <c r="I8" s="39"/>
      <c r="J8" s="39"/>
      <c r="K8" s="222"/>
      <c r="L8" s="38"/>
      <c r="M8" s="38"/>
      <c r="N8" s="38"/>
      <c r="O8" s="9"/>
      <c r="P8" s="9"/>
      <c r="Q8" s="235"/>
      <c r="R8" s="153"/>
      <c r="V8" s="179"/>
      <c r="Y8" s="179"/>
    </row>
    <row r="9" spans="1:37" ht="12.75" customHeight="1" x14ac:dyDescent="0.2">
      <c r="A9" s="462">
        <f>VLOOKUP(B9,Sheet1!$AQ$4:$AR$25,2,FALSE)</f>
        <v>0</v>
      </c>
      <c r="B9" s="95" t="s">
        <v>0</v>
      </c>
      <c r="C9" s="73">
        <v>8.9</v>
      </c>
      <c r="D9" s="74">
        <v>24849</v>
      </c>
      <c r="E9" s="75">
        <f t="shared" ref="E9:E30" si="0">D9*(C9/100)</f>
        <v>2211.5610000000001</v>
      </c>
      <c r="F9" s="222"/>
      <c r="G9" s="222"/>
      <c r="H9" s="40"/>
      <c r="I9" s="15"/>
      <c r="J9" s="15"/>
      <c r="K9" s="15"/>
      <c r="L9" s="37"/>
      <c r="M9" s="38"/>
      <c r="N9" s="37"/>
      <c r="O9" s="9"/>
      <c r="P9" s="9"/>
      <c r="Q9" s="235"/>
      <c r="R9" s="153"/>
      <c r="S9" s="86" t="str">
        <f>B9</f>
        <v>Bracknell Forest</v>
      </c>
      <c r="T9" s="81">
        <v>1</v>
      </c>
      <c r="U9" s="240" t="str">
        <f>IF(B9=$T$5,C9," ")</f>
        <v xml:space="preserve"> </v>
      </c>
      <c r="V9" s="179"/>
      <c r="X9" s="77"/>
      <c r="Y9" s="238"/>
      <c r="AA9" s="76"/>
      <c r="AB9" s="76"/>
    </row>
    <row r="10" spans="1:37" ht="12.75" customHeight="1" x14ac:dyDescent="0.2">
      <c r="A10" s="462">
        <f>VLOOKUP(B10,Sheet1!$AQ$4:$AR$25,2,FALSE)</f>
        <v>0</v>
      </c>
      <c r="B10" s="705" t="s">
        <v>31</v>
      </c>
      <c r="C10" s="73">
        <v>15.299999999999999</v>
      </c>
      <c r="D10" s="74">
        <v>45576</v>
      </c>
      <c r="E10" s="75">
        <f t="shared" si="0"/>
        <v>6973.1279999999997</v>
      </c>
      <c r="F10" s="222"/>
      <c r="G10" s="222"/>
      <c r="H10" s="40"/>
      <c r="I10" s="41"/>
      <c r="J10" s="15"/>
      <c r="K10" s="9"/>
      <c r="L10" s="9"/>
      <c r="M10" s="9"/>
      <c r="N10" s="9"/>
      <c r="O10" s="9"/>
      <c r="P10" s="9"/>
      <c r="Q10" s="235"/>
      <c r="R10" s="153"/>
      <c r="S10" s="86" t="str">
        <f t="shared" ref="S10:S30" si="1">B10</f>
        <v>Brighton &amp; Hove</v>
      </c>
      <c r="T10" s="81">
        <v>2</v>
      </c>
      <c r="U10" s="240" t="str">
        <f t="shared" ref="U10:U30" si="2">IF(B10=$T$5,C10," ")</f>
        <v xml:space="preserve"> </v>
      </c>
      <c r="V10" s="179"/>
      <c r="X10" s="77"/>
      <c r="Y10" s="238"/>
      <c r="AA10" s="76"/>
      <c r="AB10" s="76"/>
    </row>
    <row r="11" spans="1:37" ht="12.75" customHeight="1" x14ac:dyDescent="0.2">
      <c r="A11" s="462">
        <f>VLOOKUP(B11,Sheet1!$AQ$4:$AR$25,2,FALSE)</f>
        <v>0</v>
      </c>
      <c r="B11" s="705" t="s">
        <v>8</v>
      </c>
      <c r="C11" s="73">
        <v>8.5</v>
      </c>
      <c r="D11" s="74">
        <v>107385</v>
      </c>
      <c r="E11" s="75">
        <f t="shared" si="0"/>
        <v>9127.7250000000004</v>
      </c>
      <c r="F11" s="222"/>
      <c r="G11" s="40"/>
      <c r="H11" s="40"/>
      <c r="I11" s="15"/>
      <c r="J11" s="15"/>
      <c r="K11" s="9"/>
      <c r="L11" s="37"/>
      <c r="M11" s="38"/>
      <c r="N11" s="37"/>
      <c r="O11" s="9"/>
      <c r="P11" s="9"/>
      <c r="Q11" s="235"/>
      <c r="R11" s="153"/>
      <c r="S11" s="86" t="str">
        <f t="shared" si="1"/>
        <v>Buckinghamshire</v>
      </c>
      <c r="T11" s="81">
        <v>3</v>
      </c>
      <c r="U11" s="240" t="str">
        <f t="shared" si="2"/>
        <v xml:space="preserve"> </v>
      </c>
      <c r="V11" s="179"/>
      <c r="X11" s="77"/>
      <c r="Y11" s="238"/>
      <c r="AA11" s="76"/>
      <c r="AB11" s="76"/>
    </row>
    <row r="12" spans="1:37" ht="12.75" customHeight="1" x14ac:dyDescent="0.2">
      <c r="A12" s="462">
        <f>VLOOKUP(B12,Sheet1!$AQ$4:$AR$25,2,FALSE)</f>
        <v>0</v>
      </c>
      <c r="B12" s="705" t="s">
        <v>4</v>
      </c>
      <c r="C12" s="73">
        <v>16.100000000000001</v>
      </c>
      <c r="D12" s="74">
        <v>93130</v>
      </c>
      <c r="E12" s="75">
        <f t="shared" si="0"/>
        <v>14993.93</v>
      </c>
      <c r="F12" s="222"/>
      <c r="G12" s="222"/>
      <c r="H12" s="222"/>
      <c r="I12" s="15"/>
      <c r="J12" s="15"/>
      <c r="K12" s="9"/>
      <c r="L12" s="37"/>
      <c r="M12" s="38"/>
      <c r="N12" s="37"/>
      <c r="O12" s="9"/>
      <c r="P12" s="9"/>
      <c r="Q12" s="235"/>
      <c r="R12" s="153"/>
      <c r="S12" s="86" t="str">
        <f t="shared" si="1"/>
        <v>East Sussex</v>
      </c>
      <c r="T12" s="81">
        <v>4</v>
      </c>
      <c r="U12" s="240" t="str">
        <f t="shared" si="2"/>
        <v xml:space="preserve"> </v>
      </c>
      <c r="V12" s="179"/>
      <c r="X12" s="77"/>
      <c r="Y12" s="238"/>
      <c r="AA12" s="76"/>
      <c r="AB12" s="76"/>
    </row>
    <row r="13" spans="1:37" ht="12.75" customHeight="1" x14ac:dyDescent="0.2">
      <c r="A13" s="462">
        <f>VLOOKUP(B13,Sheet1!$AQ$4:$AR$25,2,FALSE)</f>
        <v>0</v>
      </c>
      <c r="B13" s="705" t="s">
        <v>6</v>
      </c>
      <c r="C13" s="73">
        <v>10.100000000000001</v>
      </c>
      <c r="D13" s="74">
        <v>249483</v>
      </c>
      <c r="E13" s="75">
        <f t="shared" si="0"/>
        <v>25197.783000000007</v>
      </c>
      <c r="F13" s="222"/>
      <c r="G13" s="222"/>
      <c r="H13" s="222"/>
      <c r="I13" s="15"/>
      <c r="J13" s="15"/>
      <c r="K13" s="9"/>
      <c r="L13" s="37"/>
      <c r="M13" s="38"/>
      <c r="N13" s="37"/>
      <c r="O13" s="9"/>
      <c r="P13" s="9"/>
      <c r="Q13" s="235"/>
      <c r="R13" s="153"/>
      <c r="S13" s="86" t="str">
        <f t="shared" si="1"/>
        <v>Hampshire</v>
      </c>
      <c r="T13" s="81">
        <v>5</v>
      </c>
      <c r="U13" s="240" t="str">
        <f t="shared" si="2"/>
        <v xml:space="preserve"> </v>
      </c>
      <c r="V13" s="179"/>
      <c r="X13" s="77"/>
      <c r="Y13" s="238"/>
      <c r="AA13" s="76"/>
      <c r="AB13" s="76"/>
    </row>
    <row r="14" spans="1:37" ht="12.75" customHeight="1" x14ac:dyDescent="0.2">
      <c r="A14" s="462">
        <f>VLOOKUP(B14,Sheet1!$AQ$4:$AR$25,2,FALSE)</f>
        <v>0</v>
      </c>
      <c r="B14" s="705" t="s">
        <v>1</v>
      </c>
      <c r="C14" s="73">
        <v>18</v>
      </c>
      <c r="D14" s="74">
        <v>22123</v>
      </c>
      <c r="E14" s="75">
        <f t="shared" si="0"/>
        <v>3982.14</v>
      </c>
      <c r="F14" s="222"/>
      <c r="G14" s="222"/>
      <c r="H14" s="222"/>
      <c r="I14" s="15"/>
      <c r="J14" s="15"/>
      <c r="K14" s="9"/>
      <c r="L14" s="37"/>
      <c r="M14" s="38"/>
      <c r="N14" s="37"/>
      <c r="O14" s="9"/>
      <c r="P14" s="9"/>
      <c r="Q14" s="235"/>
      <c r="R14" s="153"/>
      <c r="S14" s="86" t="str">
        <f t="shared" si="1"/>
        <v>Isle of Wight</v>
      </c>
      <c r="T14" s="81">
        <v>6</v>
      </c>
      <c r="U14" s="240" t="str">
        <f t="shared" si="2"/>
        <v xml:space="preserve"> </v>
      </c>
      <c r="V14" s="179"/>
      <c r="X14" s="77"/>
      <c r="Y14" s="238"/>
      <c r="AA14" s="76"/>
      <c r="AB14" s="76"/>
    </row>
    <row r="15" spans="1:37" ht="12.75" customHeight="1" x14ac:dyDescent="0.2">
      <c r="A15" s="462">
        <f>VLOOKUP(B15,Sheet1!$AQ$4:$AR$25,2,FALSE)</f>
        <v>0</v>
      </c>
      <c r="B15" s="705" t="s">
        <v>9</v>
      </c>
      <c r="C15" s="73">
        <v>15.8</v>
      </c>
      <c r="D15" s="74">
        <v>291866</v>
      </c>
      <c r="E15" s="75">
        <f t="shared" si="0"/>
        <v>46114.828000000001</v>
      </c>
      <c r="F15" s="40"/>
      <c r="G15" s="40"/>
      <c r="H15" s="222"/>
      <c r="I15" s="15"/>
      <c r="J15" s="15"/>
      <c r="K15" s="9"/>
      <c r="L15" s="37"/>
      <c r="M15" s="38"/>
      <c r="N15" s="37"/>
      <c r="O15" s="9"/>
      <c r="P15" s="9"/>
      <c r="Q15" s="235"/>
      <c r="R15" s="153"/>
      <c r="S15" s="86" t="str">
        <f t="shared" si="1"/>
        <v>Kent</v>
      </c>
      <c r="T15" s="81">
        <v>7</v>
      </c>
      <c r="U15" s="240" t="str">
        <f t="shared" si="2"/>
        <v xml:space="preserve"> </v>
      </c>
      <c r="V15" s="179"/>
      <c r="X15" s="77"/>
      <c r="Y15" s="238"/>
      <c r="AA15" s="76"/>
      <c r="AB15" s="76"/>
    </row>
    <row r="16" spans="1:37" ht="12.75" customHeight="1" x14ac:dyDescent="0.2">
      <c r="A16" s="462">
        <f>VLOOKUP(B16,Sheet1!$AQ$4:$AR$25,2,FALSE)</f>
        <v>0</v>
      </c>
      <c r="B16" s="705" t="s">
        <v>2</v>
      </c>
      <c r="C16" s="73">
        <v>18.899999999999999</v>
      </c>
      <c r="D16" s="74">
        <v>55993</v>
      </c>
      <c r="E16" s="75">
        <f t="shared" si="0"/>
        <v>10582.676999999998</v>
      </c>
      <c r="F16" s="222"/>
      <c r="G16" s="222"/>
      <c r="H16" s="222"/>
      <c r="I16" s="15"/>
      <c r="J16" s="15"/>
      <c r="K16" s="9"/>
      <c r="L16" s="37"/>
      <c r="M16" s="38"/>
      <c r="N16" s="37"/>
      <c r="O16" s="9"/>
      <c r="P16" s="9"/>
      <c r="Q16" s="235"/>
      <c r="R16" s="153"/>
      <c r="S16" s="86" t="str">
        <f t="shared" si="1"/>
        <v>Medway</v>
      </c>
      <c r="T16" s="81">
        <v>8</v>
      </c>
      <c r="U16" s="240" t="str">
        <f t="shared" si="2"/>
        <v xml:space="preserve"> </v>
      </c>
      <c r="V16" s="179"/>
      <c r="X16" s="77"/>
      <c r="Y16" s="238"/>
      <c r="AA16" s="76"/>
      <c r="AB16" s="76"/>
    </row>
    <row r="17" spans="1:28" ht="12.75" customHeight="1" x14ac:dyDescent="0.2">
      <c r="A17" s="462">
        <f>VLOOKUP(B17,Sheet1!$AQ$4:$AR$25,2,FALSE)</f>
        <v>0</v>
      </c>
      <c r="B17" s="705" t="s">
        <v>10</v>
      </c>
      <c r="C17" s="73">
        <v>15</v>
      </c>
      <c r="D17" s="74">
        <v>59903</v>
      </c>
      <c r="E17" s="75">
        <f t="shared" si="0"/>
        <v>8985.4499999999989</v>
      </c>
      <c r="F17" s="222"/>
      <c r="G17" s="222"/>
      <c r="H17" s="222"/>
      <c r="I17" s="15"/>
      <c r="J17" s="15"/>
      <c r="K17" s="9"/>
      <c r="L17" s="37"/>
      <c r="M17" s="38"/>
      <c r="N17" s="37"/>
      <c r="O17" s="9"/>
      <c r="P17" s="9"/>
      <c r="Q17" s="235"/>
      <c r="R17" s="153"/>
      <c r="S17" s="86" t="str">
        <f t="shared" si="1"/>
        <v>Milton Keynes</v>
      </c>
      <c r="T17" s="81">
        <v>9</v>
      </c>
      <c r="U17" s="240" t="str">
        <f t="shared" si="2"/>
        <v xml:space="preserve"> </v>
      </c>
      <c r="V17" s="179"/>
      <c r="X17" s="77"/>
      <c r="Y17" s="238"/>
      <c r="AA17" s="76"/>
      <c r="AB17" s="76"/>
    </row>
    <row r="18" spans="1:28" ht="12.75" customHeight="1" x14ac:dyDescent="0.2">
      <c r="A18" s="462">
        <f>VLOOKUP(B18,Sheet1!$AQ$4:$AR$25,2,FALSE)</f>
        <v>0</v>
      </c>
      <c r="B18" s="705" t="s">
        <v>11</v>
      </c>
      <c r="C18" s="73">
        <v>10.100000000000001</v>
      </c>
      <c r="D18" s="74">
        <v>126119</v>
      </c>
      <c r="E18" s="75">
        <f t="shared" si="0"/>
        <v>12738.019000000002</v>
      </c>
      <c r="F18" s="222"/>
      <c r="G18" s="222"/>
      <c r="H18" s="222"/>
      <c r="I18" s="15"/>
      <c r="J18" s="15"/>
      <c r="K18" s="9"/>
      <c r="L18" s="37"/>
      <c r="M18" s="38"/>
      <c r="N18" s="37"/>
      <c r="O18" s="9"/>
      <c r="P18" s="9"/>
      <c r="Q18" s="235"/>
      <c r="R18" s="153"/>
      <c r="S18" s="86" t="str">
        <f t="shared" si="1"/>
        <v>Oxfordshire</v>
      </c>
      <c r="T18" s="81">
        <v>10</v>
      </c>
      <c r="U18" s="240" t="str">
        <f t="shared" si="2"/>
        <v xml:space="preserve"> </v>
      </c>
      <c r="V18" s="179"/>
      <c r="X18" s="77"/>
      <c r="Y18" s="238"/>
      <c r="AA18" s="76"/>
      <c r="AB18" s="76"/>
    </row>
    <row r="19" spans="1:28" ht="12.75" customHeight="1" x14ac:dyDescent="0.2">
      <c r="A19" s="462">
        <f>VLOOKUP(B19,Sheet1!$AQ$4:$AR$25,2,FALSE)</f>
        <v>0</v>
      </c>
      <c r="B19" s="705" t="s">
        <v>12</v>
      </c>
      <c r="C19" s="73">
        <v>20.200000000000003</v>
      </c>
      <c r="D19" s="74">
        <v>39325</v>
      </c>
      <c r="E19" s="75">
        <f t="shared" si="0"/>
        <v>7943.6500000000015</v>
      </c>
      <c r="F19" s="222"/>
      <c r="G19" s="222"/>
      <c r="H19" s="222"/>
      <c r="I19" s="15"/>
      <c r="J19" s="15"/>
      <c r="K19" s="9"/>
      <c r="L19" s="37"/>
      <c r="M19" s="38"/>
      <c r="N19" s="37"/>
      <c r="O19" s="9"/>
      <c r="P19" s="9"/>
      <c r="Q19" s="235"/>
      <c r="R19" s="153"/>
      <c r="S19" s="86" t="str">
        <f t="shared" si="1"/>
        <v>Portsmouth</v>
      </c>
      <c r="T19" s="81">
        <v>11</v>
      </c>
      <c r="U19" s="240" t="str">
        <f t="shared" si="2"/>
        <v xml:space="preserve"> </v>
      </c>
      <c r="V19" s="179"/>
      <c r="X19" s="77"/>
      <c r="Y19" s="238"/>
      <c r="AA19" s="76"/>
      <c r="AB19" s="76"/>
    </row>
    <row r="20" spans="1:28" ht="12.75" customHeight="1" x14ac:dyDescent="0.2">
      <c r="A20" s="462">
        <f>VLOOKUP(B20,Sheet1!$AQ$4:$AR$25,2,FALSE)</f>
        <v>0</v>
      </c>
      <c r="B20" s="705" t="s">
        <v>3</v>
      </c>
      <c r="C20" s="73">
        <v>16</v>
      </c>
      <c r="D20" s="74">
        <v>33203</v>
      </c>
      <c r="E20" s="75">
        <f t="shared" si="0"/>
        <v>5312.4800000000005</v>
      </c>
      <c r="F20" s="222"/>
      <c r="G20" s="40"/>
      <c r="H20" s="222"/>
      <c r="I20" s="40"/>
      <c r="J20" s="40"/>
      <c r="K20" s="9"/>
      <c r="L20" s="37"/>
      <c r="M20" s="38"/>
      <c r="N20" s="37"/>
      <c r="O20" s="9"/>
      <c r="P20" s="9"/>
      <c r="Q20" s="235"/>
      <c r="R20" s="153"/>
      <c r="S20" s="86" t="str">
        <f t="shared" si="1"/>
        <v>Reading</v>
      </c>
      <c r="T20" s="81">
        <v>12</v>
      </c>
      <c r="U20" s="240" t="str">
        <f t="shared" si="2"/>
        <v xml:space="preserve"> </v>
      </c>
      <c r="V20" s="179"/>
      <c r="X20" s="77"/>
      <c r="Y20" s="238"/>
      <c r="AA20" s="76"/>
      <c r="AB20" s="76"/>
    </row>
    <row r="21" spans="1:28" ht="12.75" customHeight="1" x14ac:dyDescent="0.2">
      <c r="A21" s="462">
        <f>VLOOKUP(B21,Sheet1!$AQ$4:$AR$25,2,FALSE)</f>
        <v>0</v>
      </c>
      <c r="B21" s="705" t="s">
        <v>13</v>
      </c>
      <c r="C21" s="73">
        <v>14.7</v>
      </c>
      <c r="D21" s="74">
        <v>37031</v>
      </c>
      <c r="E21" s="75">
        <f t="shared" si="0"/>
        <v>5443.5569999999998</v>
      </c>
      <c r="F21" s="40"/>
      <c r="G21" s="222"/>
      <c r="H21" s="222"/>
      <c r="I21" s="15"/>
      <c r="J21" s="15"/>
      <c r="K21" s="9"/>
      <c r="L21" s="37"/>
      <c r="M21" s="38"/>
      <c r="N21" s="37"/>
      <c r="O21" s="9"/>
      <c r="P21" s="9"/>
      <c r="Q21" s="235"/>
      <c r="R21" s="153"/>
      <c r="S21" s="86" t="str">
        <f t="shared" si="1"/>
        <v>Slough</v>
      </c>
      <c r="T21" s="81">
        <v>13</v>
      </c>
      <c r="U21" s="240" t="str">
        <f t="shared" si="2"/>
        <v xml:space="preserve"> </v>
      </c>
      <c r="V21" s="179"/>
      <c r="X21" s="77"/>
      <c r="Y21" s="238"/>
      <c r="AA21" s="76"/>
      <c r="AB21" s="76"/>
    </row>
    <row r="22" spans="1:28" ht="12.75" customHeight="1" x14ac:dyDescent="0.2">
      <c r="A22" s="462">
        <f>VLOOKUP(B22,Sheet1!$AQ$4:$AR$25,2,FALSE)</f>
        <v>0</v>
      </c>
      <c r="B22" s="705" t="s">
        <v>93</v>
      </c>
      <c r="C22" s="73">
        <v>13.600000000000001</v>
      </c>
      <c r="D22" s="74">
        <v>95875</v>
      </c>
      <c r="E22" s="75">
        <f t="shared" si="0"/>
        <v>13039.000000000002</v>
      </c>
      <c r="F22" s="40"/>
      <c r="G22" s="222"/>
      <c r="H22" s="222"/>
      <c r="I22" s="15"/>
      <c r="J22" s="15"/>
      <c r="K22" s="9"/>
      <c r="L22" s="37"/>
      <c r="M22" s="38"/>
      <c r="N22" s="37"/>
      <c r="O22" s="9"/>
      <c r="P22" s="9"/>
      <c r="Q22" s="235"/>
      <c r="R22" s="153"/>
      <c r="S22" s="86" t="str">
        <f t="shared" si="1"/>
        <v>Somerset</v>
      </c>
      <c r="T22" s="81">
        <v>14</v>
      </c>
      <c r="U22" s="240" t="str">
        <f t="shared" si="2"/>
        <v xml:space="preserve"> </v>
      </c>
      <c r="V22" s="179"/>
      <c r="X22" s="77"/>
      <c r="Y22" s="238"/>
      <c r="AA22" s="76"/>
      <c r="AB22" s="76"/>
    </row>
    <row r="23" spans="1:28" ht="12.75" customHeight="1" x14ac:dyDescent="0.2">
      <c r="A23" s="462">
        <f>VLOOKUP(B23,Sheet1!$AQ$4:$AR$25,2,FALSE)</f>
        <v>0</v>
      </c>
      <c r="B23" s="705" t="s">
        <v>14</v>
      </c>
      <c r="C23" s="73">
        <v>20.5</v>
      </c>
      <c r="D23" s="74">
        <v>44295</v>
      </c>
      <c r="E23" s="75">
        <f t="shared" si="0"/>
        <v>9080.4750000000004</v>
      </c>
      <c r="F23" s="222"/>
      <c r="G23" s="222"/>
      <c r="H23" s="222"/>
      <c r="I23" s="15"/>
      <c r="J23" s="15"/>
      <c r="K23" s="9"/>
      <c r="L23" s="37"/>
      <c r="M23" s="38"/>
      <c r="N23" s="37"/>
      <c r="O23" s="9"/>
      <c r="P23" s="9"/>
      <c r="Q23" s="235"/>
      <c r="R23" s="153"/>
      <c r="S23" s="86" t="str">
        <f t="shared" si="1"/>
        <v>Southampton</v>
      </c>
      <c r="T23" s="81">
        <v>15</v>
      </c>
      <c r="U23" s="240" t="str">
        <f t="shared" si="2"/>
        <v xml:space="preserve"> </v>
      </c>
      <c r="V23" s="179"/>
      <c r="X23" s="77"/>
      <c r="Y23" s="238"/>
      <c r="AA23" s="76"/>
      <c r="AB23" s="76"/>
    </row>
    <row r="24" spans="1:28" ht="12.75" customHeight="1" x14ac:dyDescent="0.2">
      <c r="A24" s="462">
        <f>VLOOKUP(B24,Sheet1!$AQ$4:$AR$25,2,FALSE)</f>
        <v>0</v>
      </c>
      <c r="B24" s="705" t="s">
        <v>7</v>
      </c>
      <c r="C24" s="73">
        <v>8.3000000000000007</v>
      </c>
      <c r="D24" s="74">
        <v>228466</v>
      </c>
      <c r="E24" s="75">
        <f t="shared" si="0"/>
        <v>18962.678</v>
      </c>
      <c r="F24" s="40"/>
      <c r="G24" s="40"/>
      <c r="H24" s="222"/>
      <c r="I24" s="15"/>
      <c r="J24" s="40"/>
      <c r="K24" s="9"/>
      <c r="L24" s="37"/>
      <c r="M24" s="38"/>
      <c r="N24" s="37"/>
      <c r="O24" s="9"/>
      <c r="P24" s="9"/>
      <c r="Q24" s="235"/>
      <c r="R24" s="153"/>
      <c r="S24" s="86" t="str">
        <f t="shared" si="1"/>
        <v>Surrey</v>
      </c>
      <c r="T24" s="81">
        <v>16</v>
      </c>
      <c r="U24" s="240" t="str">
        <f t="shared" si="2"/>
        <v xml:space="preserve"> </v>
      </c>
      <c r="V24" s="179"/>
      <c r="X24" s="77"/>
      <c r="Y24" s="238"/>
      <c r="AA24" s="76"/>
      <c r="AB24" s="76"/>
    </row>
    <row r="25" spans="1:28" ht="12.75" customHeight="1" x14ac:dyDescent="0.2">
      <c r="A25" s="462">
        <f>VLOOKUP(B25,Sheet1!$AQ$4:$AR$25,2,FALSE)</f>
        <v>0</v>
      </c>
      <c r="B25" s="705" t="s">
        <v>114</v>
      </c>
      <c r="C25" s="73">
        <v>14.899999999999999</v>
      </c>
      <c r="D25" s="74">
        <v>43899</v>
      </c>
      <c r="E25" s="75">
        <f t="shared" si="0"/>
        <v>6540.951</v>
      </c>
      <c r="F25" s="40"/>
      <c r="G25" s="40"/>
      <c r="H25" s="222"/>
      <c r="I25" s="15"/>
      <c r="J25" s="40"/>
      <c r="K25" s="9"/>
      <c r="L25" s="37"/>
      <c r="M25" s="38"/>
      <c r="N25" s="37"/>
      <c r="O25" s="9"/>
      <c r="P25" s="9"/>
      <c r="Q25" s="235"/>
      <c r="R25" s="153"/>
      <c r="S25" s="86" t="str">
        <f>B25</f>
        <v>Swindon</v>
      </c>
      <c r="T25" s="81"/>
      <c r="U25" s="240" t="str">
        <f t="shared" si="2"/>
        <v xml:space="preserve"> </v>
      </c>
      <c r="V25" s="179"/>
      <c r="X25" s="77"/>
      <c r="Y25" s="238"/>
      <c r="AA25" s="76"/>
      <c r="AB25" s="76"/>
    </row>
    <row r="26" spans="1:28" ht="12.75" customHeight="1" x14ac:dyDescent="0.2">
      <c r="A26" s="462">
        <f>VLOOKUP(B26,Sheet1!$AQ$4:$AR$25,2,FALSE)</f>
        <v>0</v>
      </c>
      <c r="B26" s="705" t="s">
        <v>115</v>
      </c>
      <c r="C26" s="73">
        <v>21.9</v>
      </c>
      <c r="D26" s="74">
        <v>22257</v>
      </c>
      <c r="E26" s="75">
        <f t="shared" si="0"/>
        <v>4874.2829999999994</v>
      </c>
      <c r="F26" s="40"/>
      <c r="G26" s="40"/>
      <c r="H26" s="222"/>
      <c r="I26" s="15"/>
      <c r="J26" s="40"/>
      <c r="K26" s="9"/>
      <c r="L26" s="37"/>
      <c r="M26" s="38"/>
      <c r="N26" s="37"/>
      <c r="O26" s="9"/>
      <c r="P26" s="9"/>
      <c r="Q26" s="235"/>
      <c r="R26" s="153"/>
      <c r="S26" s="86" t="str">
        <f t="shared" si="1"/>
        <v>Torbay</v>
      </c>
      <c r="T26" s="81"/>
      <c r="U26" s="240" t="str">
        <f t="shared" si="2"/>
        <v xml:space="preserve"> </v>
      </c>
      <c r="V26" s="179"/>
      <c r="X26" s="77"/>
      <c r="Y26" s="238"/>
      <c r="AA26" s="76"/>
      <c r="AB26" s="76"/>
    </row>
    <row r="27" spans="1:28" ht="12.75" customHeight="1" x14ac:dyDescent="0.2">
      <c r="A27" s="462">
        <f>VLOOKUP(B27,Sheet1!$AQ$4:$AR$25,2,FALSE)</f>
        <v>0</v>
      </c>
      <c r="B27" s="705" t="s">
        <v>15</v>
      </c>
      <c r="C27" s="73">
        <v>8.6999999999999993</v>
      </c>
      <c r="D27" s="74">
        <v>31625</v>
      </c>
      <c r="E27" s="75">
        <f t="shared" si="0"/>
        <v>2751.375</v>
      </c>
      <c r="F27" s="40"/>
      <c r="G27" s="40"/>
      <c r="H27" s="222"/>
      <c r="I27" s="40"/>
      <c r="J27" s="15"/>
      <c r="K27" s="9"/>
      <c r="L27" s="37"/>
      <c r="M27" s="38"/>
      <c r="N27" s="37"/>
      <c r="O27" s="9"/>
      <c r="P27" s="9"/>
      <c r="Q27" s="235"/>
      <c r="R27" s="153"/>
      <c r="S27" s="86" t="str">
        <f t="shared" si="1"/>
        <v>West Berkshire</v>
      </c>
      <c r="T27" s="81">
        <v>17</v>
      </c>
      <c r="U27" s="240" t="str">
        <f t="shared" si="2"/>
        <v xml:space="preserve"> </v>
      </c>
      <c r="V27" s="179"/>
      <c r="X27" s="77"/>
      <c r="Y27" s="238"/>
      <c r="AA27" s="76"/>
      <c r="AB27" s="76"/>
    </row>
    <row r="28" spans="1:28" ht="12.75" customHeight="1" x14ac:dyDescent="0.2">
      <c r="A28" s="462">
        <f>VLOOKUP(B28,Sheet1!$AQ$4:$AR$25,2,FALSE)</f>
        <v>0</v>
      </c>
      <c r="B28" s="705" t="s">
        <v>5</v>
      </c>
      <c r="C28" s="73">
        <v>11</v>
      </c>
      <c r="D28" s="74">
        <v>151487</v>
      </c>
      <c r="E28" s="75">
        <f t="shared" si="0"/>
        <v>16663.57</v>
      </c>
      <c r="F28" s="9"/>
      <c r="G28" s="9"/>
      <c r="H28" s="9"/>
      <c r="I28" s="9"/>
      <c r="J28" s="15"/>
      <c r="K28" s="9"/>
      <c r="L28" s="37"/>
      <c r="M28" s="38"/>
      <c r="N28" s="37"/>
      <c r="O28" s="9"/>
      <c r="P28" s="9"/>
      <c r="Q28" s="235"/>
      <c r="R28" s="153"/>
      <c r="S28" s="86" t="str">
        <f t="shared" si="1"/>
        <v>West Sussex</v>
      </c>
      <c r="T28" s="81">
        <v>18</v>
      </c>
      <c r="U28" s="240" t="str">
        <f t="shared" si="2"/>
        <v xml:space="preserve"> </v>
      </c>
      <c r="V28" s="179"/>
      <c r="X28" s="77"/>
      <c r="Y28" s="238"/>
      <c r="AA28" s="76"/>
      <c r="AB28" s="76"/>
    </row>
    <row r="29" spans="1:28" ht="12.75" customHeight="1" x14ac:dyDescent="0.2">
      <c r="A29" s="462">
        <f>VLOOKUP(B29,Sheet1!$AQ$4:$AR$25,2,FALSE)</f>
        <v>0</v>
      </c>
      <c r="B29" s="705" t="s">
        <v>30</v>
      </c>
      <c r="C29" s="73">
        <v>6.7</v>
      </c>
      <c r="D29" s="74">
        <v>29792</v>
      </c>
      <c r="E29" s="75">
        <f t="shared" si="0"/>
        <v>1996.0640000000001</v>
      </c>
      <c r="F29" s="9"/>
      <c r="G29" s="9"/>
      <c r="H29" s="9"/>
      <c r="I29" s="9"/>
      <c r="J29" s="15"/>
      <c r="K29" s="9"/>
      <c r="L29" s="37"/>
      <c r="M29" s="38"/>
      <c r="N29" s="37"/>
      <c r="O29" s="9"/>
      <c r="P29" s="9"/>
      <c r="Q29" s="235"/>
      <c r="R29" s="153"/>
      <c r="S29" s="86" t="str">
        <f t="shared" si="1"/>
        <v>Windsor &amp; Maidenhead</v>
      </c>
      <c r="T29" s="81">
        <v>19</v>
      </c>
      <c r="U29" s="240" t="str">
        <f t="shared" si="2"/>
        <v xml:space="preserve"> </v>
      </c>
      <c r="V29" s="179"/>
      <c r="X29" s="77"/>
      <c r="Y29" s="238"/>
      <c r="AA29" s="76"/>
      <c r="AB29" s="76"/>
    </row>
    <row r="30" spans="1:28" ht="12.75" customHeight="1" x14ac:dyDescent="0.2">
      <c r="A30" s="462">
        <f>VLOOKUP(B30,Sheet1!$AQ$4:$AR$25,2,FALSE)</f>
        <v>0</v>
      </c>
      <c r="B30" s="705" t="s">
        <v>16</v>
      </c>
      <c r="C30" s="73">
        <v>5.6000000000000005</v>
      </c>
      <c r="D30" s="74">
        <v>33327</v>
      </c>
      <c r="E30" s="75">
        <f t="shared" si="0"/>
        <v>1866.3120000000004</v>
      </c>
      <c r="F30" s="21"/>
      <c r="G30" s="21"/>
      <c r="H30" s="21"/>
      <c r="I30" s="21"/>
      <c r="J30" s="21"/>
      <c r="K30" s="21"/>
      <c r="L30" s="21"/>
      <c r="M30" s="21"/>
      <c r="N30" s="21"/>
      <c r="O30" s="16"/>
      <c r="P30" s="9"/>
      <c r="Q30" s="235"/>
      <c r="R30" s="153"/>
      <c r="S30" s="86" t="str">
        <f t="shared" si="1"/>
        <v>Wokingham</v>
      </c>
      <c r="T30" s="81">
        <v>20</v>
      </c>
      <c r="U30" s="240" t="str">
        <f t="shared" si="2"/>
        <v xml:space="preserve"> </v>
      </c>
      <c r="V30" s="179"/>
      <c r="X30" s="77"/>
      <c r="Y30" s="238"/>
      <c r="AA30" s="76"/>
      <c r="AB30" s="76"/>
    </row>
    <row r="31" spans="1:28" ht="12.75" customHeight="1" x14ac:dyDescent="0.2">
      <c r="A31" s="230"/>
      <c r="B31" s="131" t="s">
        <v>74</v>
      </c>
      <c r="C31" s="326">
        <f>E31/D31*100</f>
        <v>12.371268250968637</v>
      </c>
      <c r="D31" s="327">
        <f>SUM(D9:D21,D23:D24,D27:D30)</f>
        <v>1704978</v>
      </c>
      <c r="E31" s="328">
        <f>SUM(E9:E21,E23:E24,E27:E30)</f>
        <v>210927.40200000003</v>
      </c>
      <c r="F31" s="9"/>
      <c r="G31" s="9"/>
      <c r="H31" s="9"/>
      <c r="I31" s="9"/>
      <c r="J31" s="15"/>
      <c r="K31" s="9"/>
      <c r="L31" s="37"/>
      <c r="M31" s="38"/>
      <c r="N31" s="37"/>
      <c r="O31" s="9"/>
      <c r="P31" s="9"/>
      <c r="Q31" s="235"/>
      <c r="R31" s="153"/>
      <c r="X31" s="77"/>
      <c r="Y31" s="238"/>
      <c r="AA31" s="76"/>
      <c r="AB31" s="76"/>
    </row>
    <row r="32" spans="1:28" ht="12.75" customHeight="1" x14ac:dyDescent="0.2">
      <c r="A32" s="273"/>
      <c r="B32" s="706" t="s">
        <v>126</v>
      </c>
      <c r="C32" s="323">
        <f>E32/D32*100</f>
        <v>17.084413405029373</v>
      </c>
      <c r="D32" s="324">
        <v>10405050</v>
      </c>
      <c r="E32" s="325">
        <v>1777641.7570000088</v>
      </c>
      <c r="F32" s="9"/>
      <c r="G32" s="9"/>
      <c r="H32" s="9"/>
      <c r="I32" s="9"/>
      <c r="J32" s="15"/>
      <c r="K32" s="9"/>
      <c r="L32" s="37"/>
      <c r="M32" s="38"/>
      <c r="N32" s="37"/>
      <c r="O32" s="9"/>
      <c r="P32" s="9"/>
      <c r="Q32" s="235"/>
      <c r="R32" s="153"/>
      <c r="X32" s="77"/>
      <c r="Y32" s="238"/>
      <c r="AA32" s="76"/>
      <c r="AB32" s="76"/>
    </row>
    <row r="33" spans="1:37" ht="10.5" customHeight="1" x14ac:dyDescent="0.2">
      <c r="A33" s="120"/>
      <c r="B33" s="1400"/>
      <c r="C33" s="1400"/>
      <c r="D33" s="1400"/>
      <c r="E33" s="1400"/>
      <c r="F33" s="94"/>
      <c r="G33" s="94"/>
      <c r="H33" s="94"/>
      <c r="I33" s="94"/>
      <c r="J33" s="94"/>
      <c r="K33" s="94"/>
      <c r="L33" s="94"/>
      <c r="M33" s="94"/>
      <c r="N33" s="94"/>
      <c r="O33" s="94"/>
      <c r="P33" s="9"/>
      <c r="Q33" s="235"/>
      <c r="R33" s="153"/>
    </row>
    <row r="34" spans="1:37" ht="7.5" customHeight="1" x14ac:dyDescent="0.2">
      <c r="A34" s="271"/>
      <c r="B34" s="608"/>
      <c r="C34" s="608"/>
      <c r="D34" s="608"/>
      <c r="E34" s="608"/>
      <c r="F34" s="94"/>
      <c r="G34" s="94"/>
      <c r="H34" s="94"/>
      <c r="I34" s="94"/>
      <c r="J34" s="94"/>
      <c r="K34" s="94"/>
      <c r="L34" s="94"/>
      <c r="M34" s="94"/>
      <c r="N34" s="94"/>
      <c r="O34" s="94"/>
      <c r="P34" s="9"/>
      <c r="Q34" s="235"/>
      <c r="R34" s="153"/>
    </row>
    <row r="35" spans="1:37" ht="15" customHeight="1" x14ac:dyDescent="0.2">
      <c r="A35" s="1399"/>
      <c r="B35" s="1396"/>
      <c r="C35" s="1396"/>
      <c r="D35" s="1396"/>
      <c r="E35" s="1396"/>
      <c r="F35" s="1396"/>
      <c r="G35" s="1396"/>
      <c r="H35" s="1396"/>
      <c r="I35" s="1396"/>
      <c r="J35" s="1396"/>
      <c r="K35" s="1396"/>
      <c r="L35" s="1396"/>
      <c r="M35" s="1396"/>
      <c r="N35" s="1396"/>
      <c r="O35" s="1396"/>
      <c r="P35" s="1396"/>
      <c r="Q35" s="235"/>
      <c r="R35" s="153"/>
    </row>
    <row r="36" spans="1:37" ht="11.25" customHeight="1" x14ac:dyDescent="0.2">
      <c r="A36" s="1397"/>
      <c r="B36" s="1398"/>
      <c r="C36" s="1398"/>
      <c r="D36" s="1398"/>
      <c r="E36" s="1398"/>
      <c r="F36" s="1398"/>
      <c r="G36" s="1398"/>
      <c r="H36" s="1398"/>
      <c r="I36" s="1398"/>
      <c r="J36" s="1398"/>
      <c r="K36" s="1398"/>
      <c r="L36" s="1398"/>
      <c r="M36" s="1398"/>
      <c r="N36" s="1398"/>
      <c r="O36" s="1398"/>
      <c r="P36" s="1398"/>
      <c r="Q36" s="236"/>
      <c r="R36" s="153"/>
    </row>
    <row r="37" spans="1:37" ht="11.25" customHeight="1" x14ac:dyDescent="0.2">
      <c r="A37" s="141"/>
      <c r="B37" s="1109"/>
      <c r="C37" s="9"/>
      <c r="D37" s="9"/>
      <c r="E37" s="9"/>
      <c r="F37" s="9"/>
      <c r="G37" s="9"/>
      <c r="H37" s="9"/>
      <c r="I37" s="9"/>
      <c r="J37" s="11"/>
      <c r="K37" s="11"/>
      <c r="L37" s="11"/>
      <c r="M37" s="12"/>
      <c r="N37" s="12"/>
      <c r="O37" s="12"/>
      <c r="P37" s="12"/>
      <c r="Q37" s="12"/>
      <c r="R37" s="241"/>
      <c r="AD37" s="83"/>
      <c r="AG37" s="77"/>
    </row>
    <row r="38" spans="1:37" ht="11.25" customHeight="1" x14ac:dyDescent="0.2">
      <c r="A38" s="141"/>
      <c r="B38" s="1109"/>
      <c r="C38" s="9"/>
      <c r="D38" s="9"/>
      <c r="E38" s="9"/>
      <c r="F38" s="9"/>
      <c r="G38" s="9"/>
      <c r="H38" s="9"/>
      <c r="I38" s="9"/>
      <c r="J38" s="11"/>
      <c r="K38" s="11"/>
      <c r="L38" s="11"/>
      <c r="M38" s="12"/>
      <c r="N38" s="12"/>
      <c r="O38" s="12"/>
      <c r="P38" s="12"/>
      <c r="Q38" s="12"/>
      <c r="R38" s="241"/>
      <c r="AD38" s="83"/>
      <c r="AG38" s="77"/>
    </row>
    <row r="39" spans="1:37" ht="11.25" customHeight="1" x14ac:dyDescent="0.2">
      <c r="A39" s="141"/>
      <c r="B39" s="1367" t="s">
        <v>82</v>
      </c>
      <c r="C39" s="15"/>
      <c r="D39" s="1306"/>
      <c r="E39" s="1306"/>
      <c r="F39" s="9"/>
      <c r="G39" s="9"/>
      <c r="H39" s="9"/>
      <c r="I39" s="9"/>
      <c r="J39" s="11"/>
      <c r="K39" s="11"/>
      <c r="L39" s="11"/>
      <c r="M39" s="12"/>
      <c r="N39" s="12"/>
      <c r="O39" s="12"/>
      <c r="P39" s="12"/>
      <c r="Q39" s="12"/>
      <c r="R39" s="241"/>
      <c r="AD39" s="83"/>
      <c r="AG39" s="77"/>
    </row>
    <row r="40" spans="1:37" ht="11.25" customHeight="1" x14ac:dyDescent="0.2">
      <c r="A40" s="141"/>
      <c r="B40" s="1368"/>
      <c r="C40" s="9"/>
      <c r="D40" s="1306"/>
      <c r="E40" s="1306"/>
      <c r="F40" s="9"/>
      <c r="G40" s="9"/>
      <c r="H40" s="9"/>
      <c r="I40" s="9"/>
      <c r="J40" s="11"/>
      <c r="K40" s="11"/>
      <c r="L40" s="11"/>
      <c r="M40" s="12"/>
      <c r="N40" s="12"/>
      <c r="O40" s="12"/>
      <c r="P40" s="12"/>
      <c r="Q40" s="12"/>
      <c r="R40" s="241"/>
      <c r="AD40" s="83"/>
      <c r="AE40" s="77"/>
      <c r="AF40" s="77"/>
      <c r="AG40" s="77"/>
    </row>
    <row r="41" spans="1:37" ht="11.25" customHeight="1" x14ac:dyDescent="0.2">
      <c r="A41" s="141"/>
      <c r="B41" s="1366" t="s">
        <v>806</v>
      </c>
      <c r="C41" s="1366"/>
      <c r="D41" s="1366"/>
      <c r="E41" s="1366"/>
      <c r="F41" s="9"/>
      <c r="G41" s="9"/>
      <c r="H41" s="9"/>
      <c r="I41" s="9"/>
      <c r="J41" s="11"/>
      <c r="K41" s="11"/>
      <c r="L41" s="11"/>
      <c r="M41" s="12"/>
      <c r="N41" s="12"/>
      <c r="O41" s="12"/>
      <c r="P41" s="12"/>
      <c r="Q41" s="12"/>
      <c r="R41" s="241"/>
      <c r="AD41" s="83"/>
      <c r="AE41" s="77"/>
      <c r="AF41" s="77"/>
      <c r="AG41" s="77"/>
    </row>
    <row r="42" spans="1:37" ht="11.25" customHeight="1" x14ac:dyDescent="0.2">
      <c r="A42" s="141"/>
      <c r="B42" s="1366"/>
      <c r="C42" s="1366"/>
      <c r="D42" s="1366"/>
      <c r="E42" s="1366"/>
      <c r="F42" s="9"/>
      <c r="G42" s="9"/>
      <c r="H42" s="9"/>
      <c r="I42" s="9"/>
      <c r="J42" s="11"/>
      <c r="K42" s="11"/>
      <c r="L42" s="11"/>
      <c r="M42" s="12"/>
      <c r="N42" s="12"/>
      <c r="O42" s="12"/>
      <c r="P42" s="12"/>
      <c r="Q42" s="12"/>
      <c r="R42" s="241"/>
      <c r="AD42" s="83"/>
      <c r="AE42" s="80"/>
      <c r="AF42" s="80"/>
      <c r="AG42" s="80"/>
    </row>
    <row r="43" spans="1:37" s="78" customFormat="1" ht="11.25" customHeight="1" x14ac:dyDescent="0.2">
      <c r="A43" s="141"/>
      <c r="B43" s="1366" t="s">
        <v>81</v>
      </c>
      <c r="C43" s="1366"/>
      <c r="D43" s="1366"/>
      <c r="E43" s="1366"/>
      <c r="F43" s="9"/>
      <c r="G43" s="9"/>
      <c r="H43" s="9"/>
      <c r="I43" s="9"/>
      <c r="J43" s="11"/>
      <c r="K43" s="11"/>
      <c r="L43" s="11"/>
      <c r="M43" s="12"/>
      <c r="N43" s="12"/>
      <c r="O43" s="12"/>
      <c r="P43" s="12"/>
      <c r="Q43" s="12"/>
      <c r="R43" s="241"/>
      <c r="AD43" s="83"/>
      <c r="AE43" s="77"/>
      <c r="AF43" s="77"/>
      <c r="AG43" s="77"/>
      <c r="AI43" s="183"/>
      <c r="AJ43" s="183"/>
      <c r="AK43" s="183"/>
    </row>
    <row r="44" spans="1:37" ht="11.25" customHeight="1" x14ac:dyDescent="0.2">
      <c r="A44" s="141"/>
      <c r="B44" s="1366"/>
      <c r="C44" s="1366"/>
      <c r="D44" s="1366"/>
      <c r="E44" s="1366"/>
      <c r="F44" s="9"/>
      <c r="G44" s="9"/>
      <c r="H44" s="9"/>
      <c r="I44" s="9"/>
      <c r="J44" s="11"/>
      <c r="K44" s="11"/>
      <c r="L44" s="11"/>
      <c r="M44" s="12"/>
      <c r="N44" s="12"/>
      <c r="O44" s="12"/>
      <c r="P44" s="12"/>
      <c r="Q44" s="12"/>
      <c r="R44" s="241"/>
      <c r="AD44" s="83"/>
      <c r="AE44" s="77"/>
      <c r="AF44" s="77"/>
      <c r="AG44" s="77"/>
    </row>
    <row r="45" spans="1:37" ht="11.25" customHeight="1" x14ac:dyDescent="0.2">
      <c r="A45" s="141"/>
      <c r="B45" s="1366" t="s">
        <v>78</v>
      </c>
      <c r="C45" s="1366"/>
      <c r="D45" s="1366"/>
      <c r="E45" s="1366"/>
      <c r="F45" s="9"/>
      <c r="G45" s="9"/>
      <c r="H45" s="9"/>
      <c r="I45" s="9"/>
      <c r="J45" s="11"/>
      <c r="K45" s="11"/>
      <c r="L45" s="11"/>
      <c r="M45" s="12"/>
      <c r="N45" s="12"/>
      <c r="O45" s="12"/>
      <c r="P45" s="12"/>
      <c r="Q45" s="12"/>
      <c r="R45" s="241"/>
      <c r="AD45" s="83"/>
      <c r="AE45" s="77"/>
      <c r="AF45" s="77"/>
      <c r="AG45" s="77"/>
    </row>
    <row r="46" spans="1:37" ht="11.25" customHeight="1" x14ac:dyDescent="0.2">
      <c r="A46" s="141"/>
      <c r="B46" s="1366"/>
      <c r="C46" s="1366"/>
      <c r="D46" s="1366"/>
      <c r="E46" s="1366"/>
      <c r="F46" s="9"/>
      <c r="G46" s="9"/>
      <c r="H46" s="9"/>
      <c r="I46" s="9"/>
      <c r="J46" s="11"/>
      <c r="K46" s="11"/>
      <c r="L46" s="11"/>
      <c r="M46" s="12"/>
      <c r="N46" s="12"/>
      <c r="O46" s="12"/>
      <c r="P46" s="12"/>
      <c r="Q46" s="12"/>
      <c r="R46" s="241"/>
      <c r="AD46" s="83"/>
      <c r="AE46" s="77"/>
      <c r="AF46" s="77"/>
      <c r="AG46" s="77"/>
    </row>
    <row r="47" spans="1:37" ht="11.25" customHeight="1" x14ac:dyDescent="0.2">
      <c r="A47" s="141"/>
      <c r="B47" s="1366" t="s">
        <v>17</v>
      </c>
      <c r="C47" s="1366"/>
      <c r="D47" s="1366"/>
      <c r="E47" s="1366"/>
      <c r="F47" s="9"/>
      <c r="G47" s="9"/>
      <c r="H47" s="9"/>
      <c r="I47" s="9"/>
      <c r="J47" s="11"/>
      <c r="K47" s="11"/>
      <c r="L47" s="11"/>
      <c r="M47" s="12"/>
      <c r="N47" s="12"/>
      <c r="O47" s="12"/>
      <c r="P47" s="12"/>
      <c r="Q47" s="12"/>
      <c r="R47" s="241"/>
      <c r="AD47" s="77"/>
      <c r="AE47" s="77"/>
      <c r="AI47" s="76"/>
      <c r="AJ47" s="76"/>
      <c r="AK47" s="76"/>
    </row>
    <row r="48" spans="1:37" ht="11.25" customHeight="1" x14ac:dyDescent="0.2">
      <c r="A48" s="141"/>
      <c r="B48" s="1366"/>
      <c r="C48" s="1366"/>
      <c r="D48" s="1366"/>
      <c r="E48" s="1366"/>
      <c r="F48" s="9"/>
      <c r="G48" s="9"/>
      <c r="H48" s="9"/>
      <c r="I48" s="9"/>
      <c r="J48" s="11"/>
      <c r="K48" s="11"/>
      <c r="L48" s="11"/>
      <c r="M48" s="12"/>
      <c r="N48" s="12"/>
      <c r="O48" s="12"/>
      <c r="P48" s="12"/>
      <c r="Q48" s="12"/>
      <c r="R48" s="241"/>
      <c r="AD48" s="77"/>
      <c r="AE48" s="77"/>
      <c r="AI48" s="76"/>
      <c r="AJ48" s="76"/>
      <c r="AK48" s="76"/>
    </row>
    <row r="49" spans="1:37" ht="11.25" customHeight="1" x14ac:dyDescent="0.2">
      <c r="A49" s="141"/>
      <c r="B49" s="1366" t="s">
        <v>80</v>
      </c>
      <c r="C49" s="1366"/>
      <c r="D49" s="1366"/>
      <c r="E49" s="1366"/>
      <c r="F49" s="9"/>
      <c r="G49" s="9"/>
      <c r="H49" s="9"/>
      <c r="I49" s="9"/>
      <c r="J49" s="11"/>
      <c r="K49" s="11"/>
      <c r="L49" s="11"/>
      <c r="M49" s="12"/>
      <c r="N49" s="12"/>
      <c r="O49" s="12"/>
      <c r="P49" s="12"/>
      <c r="Q49" s="12"/>
      <c r="R49" s="241"/>
      <c r="AD49" s="77"/>
      <c r="AE49" s="77"/>
      <c r="AI49" s="76"/>
      <c r="AJ49" s="76"/>
      <c r="AK49" s="76"/>
    </row>
    <row r="50" spans="1:37" ht="11.25" customHeight="1" x14ac:dyDescent="0.2">
      <c r="A50" s="141"/>
      <c r="B50" s="1366"/>
      <c r="C50" s="1366"/>
      <c r="D50" s="1366"/>
      <c r="E50" s="1366"/>
      <c r="F50" s="9"/>
      <c r="G50" s="9"/>
      <c r="H50" s="9"/>
      <c r="I50" s="9"/>
      <c r="J50" s="11"/>
      <c r="K50" s="11"/>
      <c r="L50" s="11"/>
      <c r="M50" s="12"/>
      <c r="N50" s="12"/>
      <c r="O50" s="12"/>
      <c r="P50" s="12"/>
      <c r="Q50" s="12"/>
      <c r="R50" s="241"/>
      <c r="AD50" s="77"/>
      <c r="AE50" s="77"/>
      <c r="AI50" s="76"/>
      <c r="AJ50" s="76"/>
      <c r="AK50" s="76"/>
    </row>
    <row r="51" spans="1:37" ht="11.25" customHeight="1" x14ac:dyDescent="0.2">
      <c r="A51" s="141"/>
      <c r="B51" s="1366" t="s">
        <v>69</v>
      </c>
      <c r="C51" s="1366"/>
      <c r="D51" s="1366"/>
      <c r="E51" s="1366"/>
      <c r="F51" s="9"/>
      <c r="G51" s="9"/>
      <c r="H51" s="9"/>
      <c r="I51" s="9"/>
      <c r="J51" s="11"/>
      <c r="K51" s="11"/>
      <c r="L51" s="11"/>
      <c r="M51" s="12"/>
      <c r="N51" s="12"/>
      <c r="O51" s="12"/>
      <c r="P51" s="12"/>
      <c r="Q51" s="12"/>
      <c r="R51" s="241"/>
      <c r="AD51" s="77"/>
      <c r="AE51" s="77"/>
      <c r="AI51" s="76"/>
      <c r="AJ51" s="76"/>
      <c r="AK51" s="76"/>
    </row>
    <row r="52" spans="1:37" ht="11.25" customHeight="1" x14ac:dyDescent="0.2">
      <c r="A52" s="141"/>
      <c r="B52" s="1366"/>
      <c r="C52" s="1366"/>
      <c r="D52" s="1366"/>
      <c r="E52" s="1366"/>
      <c r="F52" s="9"/>
      <c r="G52" s="9"/>
      <c r="H52" s="9"/>
      <c r="I52" s="9"/>
      <c r="J52" s="11"/>
      <c r="K52" s="11"/>
      <c r="L52" s="11"/>
      <c r="M52" s="12"/>
      <c r="N52" s="12"/>
      <c r="O52" s="12"/>
      <c r="P52" s="12"/>
      <c r="Q52" s="12"/>
      <c r="R52" s="241"/>
      <c r="AD52" s="77"/>
      <c r="AE52" s="77"/>
      <c r="AI52" s="76"/>
      <c r="AJ52" s="76"/>
      <c r="AK52" s="76"/>
    </row>
    <row r="53" spans="1:37" ht="11.25" customHeight="1" x14ac:dyDescent="0.2">
      <c r="A53" s="141"/>
      <c r="B53" s="1366" t="s">
        <v>24</v>
      </c>
      <c r="C53" s="1366"/>
      <c r="D53" s="1366"/>
      <c r="E53" s="1366"/>
      <c r="F53" s="9"/>
      <c r="G53" s="9"/>
      <c r="H53" s="9"/>
      <c r="I53" s="9"/>
      <c r="J53" s="11"/>
      <c r="K53" s="11"/>
      <c r="L53" s="11"/>
      <c r="M53" s="12"/>
      <c r="N53" s="12"/>
      <c r="O53" s="12"/>
      <c r="P53" s="12"/>
      <c r="Q53" s="12"/>
      <c r="R53" s="241"/>
      <c r="AD53" s="83"/>
      <c r="AE53" s="77"/>
      <c r="AF53" s="77"/>
      <c r="AG53" s="77"/>
    </row>
    <row r="54" spans="1:37" ht="11.25" customHeight="1" x14ac:dyDescent="0.2">
      <c r="A54" s="141"/>
      <c r="B54" s="1366"/>
      <c r="C54" s="1366"/>
      <c r="D54" s="1366"/>
      <c r="E54" s="1366"/>
      <c r="F54" s="9"/>
      <c r="G54" s="9"/>
      <c r="H54" s="9"/>
      <c r="I54" s="9"/>
      <c r="J54" s="11"/>
      <c r="K54" s="11"/>
      <c r="L54" s="11"/>
      <c r="M54" s="12"/>
      <c r="N54" s="12"/>
      <c r="O54" s="12"/>
      <c r="P54" s="12"/>
      <c r="Q54" s="12"/>
      <c r="R54" s="241"/>
      <c r="AD54" s="83"/>
      <c r="AE54" s="77"/>
      <c r="AF54" s="77"/>
      <c r="AG54" s="77"/>
    </row>
    <row r="55" spans="1:37" ht="11.25" customHeight="1" x14ac:dyDescent="0.2">
      <c r="A55" s="141"/>
      <c r="B55" s="1366" t="s">
        <v>22</v>
      </c>
      <c r="C55" s="1366"/>
      <c r="D55" s="1366"/>
      <c r="E55" s="1366"/>
      <c r="F55" s="9"/>
      <c r="G55" s="9"/>
      <c r="H55" s="9"/>
      <c r="I55" s="9"/>
      <c r="J55" s="11"/>
      <c r="K55" s="11"/>
      <c r="L55" s="11"/>
      <c r="M55" s="12"/>
      <c r="N55" s="12"/>
      <c r="O55" s="12"/>
      <c r="P55" s="12"/>
      <c r="Q55" s="12"/>
      <c r="R55" s="241"/>
      <c r="AD55" s="83"/>
      <c r="AE55" s="77"/>
      <c r="AF55" s="77"/>
      <c r="AG55" s="77"/>
    </row>
    <row r="56" spans="1:37" ht="11.25" customHeight="1" x14ac:dyDescent="0.2">
      <c r="A56" s="141"/>
      <c r="B56" s="1366"/>
      <c r="C56" s="1366"/>
      <c r="D56" s="1366"/>
      <c r="E56" s="1366"/>
      <c r="F56" s="9"/>
      <c r="G56" s="9"/>
      <c r="H56" s="9"/>
      <c r="I56" s="9"/>
      <c r="J56" s="11"/>
      <c r="K56" s="11"/>
      <c r="L56" s="11"/>
      <c r="M56" s="12"/>
      <c r="N56" s="12"/>
      <c r="O56" s="12"/>
      <c r="P56" s="12"/>
      <c r="Q56" s="12"/>
      <c r="R56" s="241"/>
      <c r="AD56" s="83"/>
      <c r="AE56" s="77"/>
      <c r="AF56" s="77"/>
      <c r="AG56" s="77"/>
    </row>
    <row r="57" spans="1:37" ht="11.25" customHeight="1" x14ac:dyDescent="0.2">
      <c r="A57" s="141"/>
      <c r="B57" s="1366" t="s">
        <v>25</v>
      </c>
      <c r="C57" s="1366"/>
      <c r="D57" s="1366"/>
      <c r="E57" s="1366"/>
      <c r="F57" s="9"/>
      <c r="G57" s="9"/>
      <c r="H57" s="9"/>
      <c r="I57" s="9"/>
      <c r="J57" s="11"/>
      <c r="K57" s="11"/>
      <c r="L57" s="11"/>
      <c r="M57" s="12"/>
      <c r="N57" s="12"/>
      <c r="O57" s="12"/>
      <c r="P57" s="12"/>
      <c r="Q57" s="12"/>
      <c r="R57" s="241"/>
      <c r="AD57" s="83"/>
      <c r="AE57" s="77"/>
      <c r="AF57" s="77"/>
      <c r="AG57" s="77"/>
    </row>
    <row r="58" spans="1:37" ht="11.25" customHeight="1" x14ac:dyDescent="0.2">
      <c r="A58" s="141"/>
      <c r="B58" s="1366"/>
      <c r="C58" s="1366"/>
      <c r="D58" s="1366"/>
      <c r="E58" s="1366"/>
      <c r="F58" s="9"/>
      <c r="G58" s="9"/>
      <c r="H58" s="9"/>
      <c r="I58" s="9"/>
      <c r="J58" s="11"/>
      <c r="K58" s="11"/>
      <c r="L58" s="11"/>
      <c r="M58" s="12"/>
      <c r="N58" s="12"/>
      <c r="O58" s="12"/>
      <c r="P58" s="12"/>
      <c r="Q58" s="12"/>
      <c r="R58" s="241"/>
      <c r="AD58" s="83"/>
      <c r="AE58" s="77"/>
      <c r="AF58" s="77"/>
      <c r="AG58" s="77"/>
    </row>
    <row r="59" spans="1:37" ht="11.25" customHeight="1" x14ac:dyDescent="0.2">
      <c r="A59" s="141"/>
      <c r="B59" s="1366" t="s">
        <v>18</v>
      </c>
      <c r="C59" s="1366"/>
      <c r="D59" s="1366"/>
      <c r="E59" s="1366"/>
      <c r="F59" s="9"/>
      <c r="G59" s="9"/>
      <c r="H59" s="9"/>
      <c r="I59" s="9"/>
      <c r="J59" s="11"/>
      <c r="K59" s="11"/>
      <c r="L59" s="11"/>
      <c r="M59" s="12"/>
      <c r="N59" s="12"/>
      <c r="O59" s="12"/>
      <c r="P59" s="12"/>
      <c r="Q59" s="12"/>
      <c r="R59" s="241"/>
      <c r="AD59" s="83"/>
      <c r="AE59" s="77"/>
      <c r="AF59" s="77"/>
      <c r="AG59" s="77"/>
    </row>
    <row r="60" spans="1:37" ht="11.25" customHeight="1" x14ac:dyDescent="0.2">
      <c r="A60" s="141"/>
      <c r="B60" s="1366"/>
      <c r="C60" s="1366"/>
      <c r="D60" s="1366"/>
      <c r="E60" s="1366"/>
      <c r="F60" s="9"/>
      <c r="G60" s="9"/>
      <c r="H60" s="9"/>
      <c r="I60" s="9"/>
      <c r="J60" s="11"/>
      <c r="K60" s="11"/>
      <c r="L60" s="11"/>
      <c r="M60" s="12"/>
      <c r="N60" s="12"/>
      <c r="O60" s="12"/>
      <c r="P60" s="12"/>
      <c r="Q60" s="12"/>
      <c r="R60" s="241"/>
      <c r="AD60" s="83"/>
      <c r="AE60" s="77"/>
      <c r="AF60" s="77"/>
      <c r="AG60" s="77"/>
    </row>
    <row r="61" spans="1:37" ht="11.25" customHeight="1" x14ac:dyDescent="0.2">
      <c r="A61" s="141"/>
      <c r="B61" s="1366" t="s">
        <v>19</v>
      </c>
      <c r="C61" s="1366"/>
      <c r="D61" s="1366"/>
      <c r="E61" s="1366"/>
      <c r="F61" s="9"/>
      <c r="G61" s="9"/>
      <c r="H61" s="9"/>
      <c r="I61" s="9"/>
      <c r="J61" s="11"/>
      <c r="K61" s="11"/>
      <c r="L61" s="11"/>
      <c r="M61" s="12"/>
      <c r="N61" s="12"/>
      <c r="O61" s="12"/>
      <c r="P61" s="12"/>
      <c r="Q61" s="12"/>
      <c r="R61" s="241"/>
      <c r="AD61" s="83"/>
      <c r="AE61" s="77"/>
      <c r="AF61" s="77"/>
      <c r="AG61" s="77"/>
    </row>
    <row r="62" spans="1:37" ht="11.25" customHeight="1" x14ac:dyDescent="0.2">
      <c r="A62" s="141"/>
      <c r="B62" s="1366"/>
      <c r="C62" s="1366"/>
      <c r="D62" s="1366"/>
      <c r="E62" s="1366"/>
      <c r="F62" s="9"/>
      <c r="G62" s="9"/>
      <c r="H62" s="9"/>
      <c r="I62" s="9"/>
      <c r="J62" s="11"/>
      <c r="K62" s="11"/>
      <c r="L62" s="11"/>
      <c r="M62" s="12"/>
      <c r="N62" s="12"/>
      <c r="O62" s="12"/>
      <c r="P62" s="12"/>
      <c r="Q62" s="12"/>
      <c r="R62" s="241"/>
      <c r="AD62" s="83"/>
      <c r="AE62" s="77"/>
      <c r="AF62" s="77"/>
      <c r="AG62" s="77"/>
    </row>
    <row r="63" spans="1:37" ht="11.25" customHeight="1" x14ac:dyDescent="0.2">
      <c r="A63" s="141"/>
      <c r="B63" s="1366" t="s">
        <v>20</v>
      </c>
      <c r="C63" s="1366"/>
      <c r="D63" s="1366"/>
      <c r="E63" s="1366"/>
      <c r="F63" s="9"/>
      <c r="G63" s="9"/>
      <c r="H63" s="9"/>
      <c r="I63" s="9"/>
      <c r="J63" s="11"/>
      <c r="K63" s="11"/>
      <c r="L63" s="11"/>
      <c r="M63" s="12"/>
      <c r="N63" s="12"/>
      <c r="O63" s="12"/>
      <c r="P63" s="12"/>
      <c r="Q63" s="12"/>
      <c r="R63" s="241"/>
      <c r="AD63" s="83"/>
      <c r="AE63" s="77"/>
      <c r="AF63" s="77"/>
      <c r="AG63" s="77"/>
    </row>
    <row r="64" spans="1:37" ht="11.25" customHeight="1" x14ac:dyDescent="0.2">
      <c r="A64" s="141"/>
      <c r="B64" s="1366"/>
      <c r="C64" s="1366"/>
      <c r="D64" s="1366"/>
      <c r="E64" s="1366"/>
      <c r="F64" s="9"/>
      <c r="G64" s="9"/>
      <c r="H64" s="9"/>
      <c r="I64" s="9"/>
      <c r="J64" s="11"/>
      <c r="K64" s="11"/>
      <c r="L64" s="11"/>
      <c r="M64" s="12"/>
      <c r="N64" s="12"/>
      <c r="O64" s="12"/>
      <c r="P64" s="12"/>
      <c r="Q64" s="12"/>
      <c r="R64" s="241"/>
      <c r="AD64" s="83"/>
      <c r="AE64" s="77"/>
      <c r="AF64" s="77"/>
      <c r="AG64" s="77"/>
    </row>
    <row r="65" spans="1:33" ht="11.25" customHeight="1" x14ac:dyDescent="0.2">
      <c r="A65" s="141"/>
      <c r="B65" s="1366" t="s">
        <v>26</v>
      </c>
      <c r="C65" s="1366"/>
      <c r="D65" s="1366"/>
      <c r="E65" s="1366"/>
      <c r="F65" s="9"/>
      <c r="G65" s="9"/>
      <c r="H65" s="9"/>
      <c r="I65" s="9"/>
      <c r="J65" s="11"/>
      <c r="K65" s="11"/>
      <c r="L65" s="11"/>
      <c r="M65" s="12"/>
      <c r="N65" s="12"/>
      <c r="O65" s="12"/>
      <c r="P65" s="12"/>
      <c r="Q65" s="12"/>
      <c r="R65" s="241"/>
      <c r="AD65" s="83"/>
      <c r="AE65" s="77"/>
      <c r="AF65" s="77"/>
      <c r="AG65" s="77"/>
    </row>
    <row r="66" spans="1:33" ht="11.25" customHeight="1" x14ac:dyDescent="0.2">
      <c r="A66" s="141"/>
      <c r="B66" s="1366"/>
      <c r="C66" s="1366"/>
      <c r="D66" s="1366"/>
      <c r="E66" s="1366"/>
      <c r="F66" s="9"/>
      <c r="G66" s="9"/>
      <c r="H66" s="9"/>
      <c r="I66" s="9"/>
      <c r="J66" s="11"/>
      <c r="K66" s="11"/>
      <c r="L66" s="11"/>
      <c r="M66" s="12"/>
      <c r="N66" s="12"/>
      <c r="O66" s="12"/>
      <c r="P66" s="12"/>
      <c r="Q66" s="12"/>
      <c r="R66" s="241"/>
      <c r="AD66" s="83"/>
      <c r="AE66" s="77"/>
      <c r="AF66" s="77"/>
      <c r="AG66" s="77"/>
    </row>
    <row r="67" spans="1:33" ht="11.25" customHeight="1" x14ac:dyDescent="0.2">
      <c r="A67" s="141"/>
      <c r="B67" s="1366" t="s">
        <v>21</v>
      </c>
      <c r="C67" s="1366"/>
      <c r="D67" s="1366"/>
      <c r="E67" s="1366"/>
      <c r="F67" s="9"/>
      <c r="G67" s="9"/>
      <c r="H67" s="9"/>
      <c r="I67" s="9"/>
      <c r="J67" s="11"/>
      <c r="K67" s="11"/>
      <c r="L67" s="11"/>
      <c r="M67" s="12"/>
      <c r="N67" s="12"/>
      <c r="O67" s="12"/>
      <c r="P67" s="12"/>
      <c r="Q67" s="12"/>
      <c r="R67" s="241"/>
      <c r="AD67" s="83"/>
      <c r="AE67" s="77"/>
      <c r="AF67" s="77"/>
      <c r="AG67" s="77"/>
    </row>
    <row r="68" spans="1:33" ht="11.25" customHeight="1" x14ac:dyDescent="0.2">
      <c r="A68" s="141"/>
      <c r="B68" s="1366"/>
      <c r="C68" s="1366"/>
      <c r="D68" s="1366"/>
      <c r="E68" s="1366"/>
      <c r="F68" s="9"/>
      <c r="G68" s="9"/>
      <c r="H68" s="9"/>
      <c r="I68" s="9"/>
      <c r="J68" s="11"/>
      <c r="K68" s="11"/>
      <c r="L68" s="11"/>
      <c r="M68" s="12"/>
      <c r="N68" s="12"/>
      <c r="O68" s="12"/>
      <c r="P68" s="12"/>
      <c r="Q68" s="12"/>
      <c r="R68" s="241"/>
      <c r="AD68" s="83"/>
      <c r="AE68" s="77"/>
      <c r="AF68" s="77"/>
      <c r="AG68" s="77"/>
    </row>
    <row r="69" spans="1:33" ht="11.25" customHeight="1" x14ac:dyDescent="0.2">
      <c r="A69" s="141"/>
      <c r="B69" s="1366" t="s">
        <v>930</v>
      </c>
      <c r="C69" s="1366"/>
      <c r="D69" s="1366"/>
      <c r="E69" s="1366"/>
      <c r="F69" s="9"/>
      <c r="G69" s="9"/>
      <c r="H69" s="9"/>
      <c r="I69" s="9"/>
      <c r="J69" s="11"/>
      <c r="K69" s="11"/>
      <c r="L69" s="11"/>
      <c r="M69" s="12"/>
      <c r="N69" s="12"/>
      <c r="O69" s="12"/>
      <c r="P69" s="12"/>
      <c r="Q69" s="12"/>
      <c r="R69" s="241"/>
      <c r="AD69" s="83"/>
      <c r="AE69" s="77"/>
      <c r="AF69" s="77"/>
      <c r="AG69" s="77"/>
    </row>
    <row r="70" spans="1:33" ht="11.25" customHeight="1" x14ac:dyDescent="0.2">
      <c r="A70" s="141"/>
      <c r="B70" s="1366"/>
      <c r="C70" s="1366"/>
      <c r="D70" s="1366"/>
      <c r="E70" s="1366"/>
      <c r="F70" s="9"/>
      <c r="G70" s="9"/>
      <c r="H70" s="9"/>
      <c r="I70" s="9"/>
      <c r="J70" s="11"/>
      <c r="K70" s="11"/>
      <c r="L70" s="11"/>
      <c r="M70" s="12"/>
      <c r="N70" s="12"/>
      <c r="O70" s="12"/>
      <c r="P70" s="12"/>
      <c r="Q70" s="12"/>
      <c r="R70" s="241"/>
      <c r="AD70" s="83"/>
      <c r="AE70" s="77"/>
      <c r="AF70" s="77"/>
      <c r="AG70" s="77"/>
    </row>
    <row r="71" spans="1:33" ht="11.25" customHeight="1" x14ac:dyDescent="0.2">
      <c r="A71" s="141"/>
      <c r="B71" s="1366" t="s">
        <v>680</v>
      </c>
      <c r="C71" s="1366"/>
      <c r="D71" s="1366"/>
      <c r="E71" s="1366"/>
      <c r="F71" s="9"/>
      <c r="G71" s="9"/>
      <c r="H71" s="9"/>
      <c r="I71" s="9"/>
      <c r="J71" s="11"/>
      <c r="K71" s="11"/>
      <c r="L71" s="11"/>
      <c r="M71" s="12"/>
      <c r="N71" s="12"/>
      <c r="O71" s="12"/>
      <c r="P71" s="12"/>
      <c r="Q71" s="12"/>
      <c r="R71" s="241"/>
      <c r="AD71" s="83"/>
      <c r="AE71" s="77"/>
      <c r="AF71" s="77"/>
      <c r="AG71" s="77"/>
    </row>
    <row r="72" spans="1:33" ht="11.25" customHeight="1" x14ac:dyDescent="0.2">
      <c r="A72" s="141"/>
      <c r="B72" s="1366"/>
      <c r="C72" s="1366"/>
      <c r="D72" s="1366"/>
      <c r="E72" s="1366"/>
      <c r="F72" s="9"/>
      <c r="G72" s="9"/>
      <c r="H72" s="9"/>
      <c r="I72" s="9"/>
      <c r="J72" s="11"/>
      <c r="K72" s="11"/>
      <c r="L72" s="11"/>
      <c r="M72" s="12"/>
      <c r="N72" s="12"/>
      <c r="O72" s="12"/>
      <c r="P72" s="12"/>
      <c r="Q72" s="12"/>
      <c r="R72" s="241"/>
      <c r="AD72" s="83"/>
      <c r="AE72" s="77"/>
      <c r="AF72" s="77"/>
      <c r="AG72" s="77"/>
    </row>
    <row r="73" spans="1:33" ht="11.25" customHeight="1" x14ac:dyDescent="0.2">
      <c r="A73" s="141"/>
      <c r="B73" s="1366" t="s">
        <v>32</v>
      </c>
      <c r="C73" s="1366"/>
      <c r="D73" s="1366"/>
      <c r="E73" s="1366"/>
      <c r="F73" s="9"/>
      <c r="G73" s="9"/>
      <c r="H73" s="9"/>
      <c r="I73" s="9"/>
      <c r="J73" s="11"/>
      <c r="K73" s="11"/>
      <c r="L73" s="11"/>
      <c r="M73" s="12"/>
      <c r="N73" s="12"/>
      <c r="O73" s="12"/>
      <c r="P73" s="12"/>
      <c r="Q73" s="12"/>
      <c r="R73" s="241"/>
      <c r="AD73" s="83"/>
      <c r="AE73" s="77"/>
      <c r="AF73" s="77"/>
      <c r="AG73" s="77"/>
    </row>
    <row r="74" spans="1:33" ht="11.25" customHeight="1" x14ac:dyDescent="0.2">
      <c r="A74" s="141"/>
      <c r="B74" s="1366"/>
      <c r="C74" s="1366"/>
      <c r="D74" s="1366"/>
      <c r="E74" s="1366"/>
      <c r="F74" s="9"/>
      <c r="G74" s="9"/>
      <c r="H74" s="9"/>
      <c r="I74" s="9"/>
      <c r="J74" s="11"/>
      <c r="K74" s="11"/>
      <c r="L74" s="11"/>
      <c r="M74" s="12"/>
      <c r="N74" s="12"/>
      <c r="O74" s="12"/>
      <c r="P74" s="12"/>
      <c r="Q74" s="12"/>
      <c r="R74" s="241"/>
      <c r="AD74" s="83"/>
      <c r="AE74" s="77"/>
      <c r="AF74" s="77"/>
      <c r="AG74" s="77"/>
    </row>
    <row r="75" spans="1:33" ht="11.25" customHeight="1" x14ac:dyDescent="0.2">
      <c r="A75" s="248"/>
      <c r="B75" s="1110"/>
      <c r="C75" s="246"/>
      <c r="D75" s="246"/>
      <c r="E75" s="246"/>
      <c r="F75" s="246"/>
      <c r="G75" s="246"/>
      <c r="H75" s="246"/>
      <c r="I75" s="246"/>
      <c r="J75" s="246"/>
      <c r="K75" s="246"/>
      <c r="L75" s="246"/>
      <c r="M75" s="246"/>
      <c r="N75" s="246"/>
      <c r="O75" s="246"/>
      <c r="P75" s="246"/>
      <c r="Q75" s="246"/>
      <c r="R75" s="1307"/>
      <c r="AD75" s="83"/>
      <c r="AE75" s="77"/>
      <c r="AF75" s="77"/>
      <c r="AG75" s="77"/>
    </row>
    <row r="76" spans="1:33" ht="11.25" customHeight="1" x14ac:dyDescent="0.2">
      <c r="A76" s="77"/>
      <c r="B76" s="77"/>
      <c r="C76" s="77"/>
      <c r="D76" s="77"/>
      <c r="E76" s="77"/>
      <c r="F76" s="77"/>
      <c r="G76" s="77"/>
      <c r="H76" s="77"/>
      <c r="I76" s="77"/>
      <c r="J76" s="77"/>
      <c r="K76" s="77"/>
      <c r="L76" s="77"/>
      <c r="M76" s="77"/>
      <c r="N76" s="77"/>
      <c r="O76" s="77"/>
      <c r="P76" s="77"/>
      <c r="Q76" s="77"/>
      <c r="R76" s="77"/>
      <c r="S76" s="77"/>
      <c r="T76" s="77"/>
      <c r="U76" s="77"/>
      <c r="V76" s="77"/>
      <c r="W76" s="77"/>
      <c r="X76" s="77"/>
      <c r="Y76" s="77"/>
      <c r="AC76" s="77"/>
      <c r="AD76" s="83"/>
      <c r="AE76" s="77"/>
      <c r="AF76" s="77"/>
      <c r="AG76" s="77"/>
    </row>
    <row r="77" spans="1:33" ht="22.5" customHeight="1" x14ac:dyDescent="0.2">
      <c r="A77" s="77"/>
      <c r="B77" s="77"/>
      <c r="C77" s="77"/>
      <c r="D77" s="77"/>
      <c r="E77" s="77"/>
      <c r="F77" s="77"/>
      <c r="G77" s="77"/>
      <c r="H77" s="77"/>
      <c r="I77" s="77"/>
      <c r="J77" s="77"/>
      <c r="K77" s="77"/>
      <c r="L77" s="77"/>
      <c r="M77" s="77"/>
      <c r="N77" s="77"/>
      <c r="O77" s="77"/>
      <c r="P77" s="77"/>
      <c r="Q77" s="77"/>
      <c r="R77" s="77"/>
      <c r="S77" s="77"/>
      <c r="T77" s="77"/>
      <c r="U77" s="77"/>
      <c r="V77" s="77"/>
      <c r="W77" s="77"/>
      <c r="X77" s="77"/>
      <c r="Y77" s="77"/>
      <c r="AC77" s="77"/>
    </row>
    <row r="78" spans="1:33" ht="11.25" customHeight="1" x14ac:dyDescent="0.2">
      <c r="A78" s="77"/>
      <c r="B78" s="77"/>
      <c r="C78" s="77"/>
      <c r="D78" s="77"/>
      <c r="E78" s="77"/>
      <c r="F78" s="77"/>
      <c r="G78" s="77"/>
      <c r="H78" s="77"/>
      <c r="I78" s="77"/>
      <c r="J78" s="77"/>
      <c r="K78" s="77"/>
      <c r="L78" s="77"/>
      <c r="M78" s="77"/>
      <c r="N78" s="77"/>
      <c r="O78" s="77"/>
      <c r="P78" s="77"/>
      <c r="Q78" s="77"/>
      <c r="R78" s="77"/>
      <c r="S78" s="77"/>
      <c r="T78" s="77"/>
      <c r="U78" s="77"/>
      <c r="V78" s="77"/>
      <c r="W78" s="77"/>
      <c r="X78" s="77"/>
      <c r="Y78" s="77"/>
      <c r="AC78" s="77"/>
    </row>
    <row r="79" spans="1:33" ht="11.25" customHeight="1" x14ac:dyDescent="0.2">
      <c r="A79" s="77"/>
      <c r="B79" s="77"/>
      <c r="C79" s="77"/>
      <c r="D79" s="77"/>
      <c r="E79" s="77"/>
      <c r="F79" s="77"/>
      <c r="G79" s="77"/>
      <c r="H79" s="77"/>
      <c r="I79" s="77"/>
      <c r="J79" s="77"/>
      <c r="K79" s="77"/>
      <c r="L79" s="77"/>
      <c r="M79" s="77"/>
      <c r="N79" s="77"/>
      <c r="O79" s="77"/>
      <c r="P79" s="77"/>
      <c r="Q79" s="77"/>
      <c r="R79" s="77"/>
      <c r="S79" s="77"/>
      <c r="T79" s="77"/>
      <c r="U79" s="77"/>
      <c r="V79" s="77"/>
      <c r="W79" s="77"/>
      <c r="X79" s="77"/>
      <c r="Y79" s="77"/>
      <c r="AC79" s="77"/>
    </row>
    <row r="80" spans="1:33" ht="11.25" customHeight="1" x14ac:dyDescent="0.2">
      <c r="A80" s="77"/>
      <c r="B80" s="77"/>
      <c r="C80" s="77"/>
      <c r="D80" s="77"/>
      <c r="E80" s="77"/>
      <c r="F80" s="77"/>
      <c r="G80" s="77"/>
      <c r="H80" s="77"/>
      <c r="I80" s="77"/>
      <c r="J80" s="77"/>
      <c r="K80" s="77"/>
      <c r="L80" s="77"/>
      <c r="M80" s="77"/>
      <c r="N80" s="77"/>
      <c r="O80" s="77"/>
      <c r="P80" s="77"/>
      <c r="Q80" s="77"/>
      <c r="R80" s="77"/>
      <c r="S80" s="77"/>
      <c r="T80" s="77"/>
      <c r="U80" s="77"/>
      <c r="V80" s="77"/>
      <c r="W80" s="77"/>
      <c r="X80" s="77"/>
      <c r="Y80" s="77"/>
      <c r="AC80" s="77"/>
    </row>
    <row r="81" spans="1:29" ht="11.25" customHeight="1" x14ac:dyDescent="0.2">
      <c r="A81" s="77"/>
      <c r="B81" s="77"/>
      <c r="C81" s="77"/>
      <c r="D81" s="77"/>
      <c r="E81" s="77"/>
      <c r="F81" s="77"/>
      <c r="G81" s="77"/>
      <c r="H81" s="77"/>
      <c r="I81" s="77"/>
      <c r="J81" s="77"/>
      <c r="K81" s="77"/>
      <c r="L81" s="77"/>
      <c r="M81" s="77"/>
      <c r="N81" s="77"/>
      <c r="O81" s="77"/>
      <c r="P81" s="77"/>
      <c r="Q81" s="77"/>
      <c r="R81" s="77"/>
      <c r="S81" s="77"/>
      <c r="T81" s="77"/>
      <c r="U81" s="77"/>
      <c r="V81" s="77"/>
      <c r="W81" s="77"/>
      <c r="X81" s="77"/>
      <c r="Y81" s="77"/>
      <c r="AC81" s="77"/>
    </row>
    <row r="82" spans="1:29" ht="11.25" customHeight="1" x14ac:dyDescent="0.2">
      <c r="A82" s="77"/>
      <c r="B82" s="77"/>
      <c r="C82" s="77"/>
      <c r="D82" s="77"/>
      <c r="E82" s="77"/>
      <c r="F82" s="77"/>
      <c r="G82" s="77"/>
      <c r="H82" s="77"/>
      <c r="I82" s="77"/>
      <c r="J82" s="77"/>
      <c r="K82" s="77"/>
      <c r="L82" s="77"/>
      <c r="M82" s="77"/>
      <c r="N82" s="77"/>
      <c r="O82" s="77"/>
      <c r="P82" s="77"/>
      <c r="Q82" s="77"/>
      <c r="R82" s="77"/>
      <c r="S82" s="77"/>
      <c r="T82" s="77"/>
      <c r="U82" s="77"/>
      <c r="V82" s="77"/>
      <c r="W82" s="77"/>
      <c r="X82" s="77"/>
      <c r="Y82" s="77"/>
      <c r="AC82" s="77"/>
    </row>
    <row r="83" spans="1:29" ht="11.25" customHeight="1" x14ac:dyDescent="0.2">
      <c r="A83" s="77"/>
      <c r="B83" s="77"/>
      <c r="C83" s="77"/>
      <c r="D83" s="77"/>
      <c r="E83" s="77"/>
      <c r="F83" s="77"/>
      <c r="G83" s="77"/>
      <c r="H83" s="77"/>
      <c r="I83" s="77"/>
      <c r="J83" s="77"/>
      <c r="K83" s="77"/>
      <c r="L83" s="77"/>
      <c r="M83" s="77"/>
      <c r="N83" s="77"/>
      <c r="O83" s="77"/>
      <c r="P83" s="77"/>
      <c r="Q83" s="77"/>
      <c r="R83" s="77"/>
      <c r="S83" s="77"/>
      <c r="T83" s="77"/>
      <c r="U83" s="77"/>
      <c r="V83" s="77"/>
      <c r="W83" s="77"/>
      <c r="X83" s="77"/>
      <c r="Y83" s="77"/>
      <c r="AC83" s="77"/>
    </row>
    <row r="84" spans="1:29" ht="11.25" customHeight="1" x14ac:dyDescent="0.2">
      <c r="A84" s="77"/>
      <c r="B84" s="77"/>
      <c r="C84" s="77"/>
      <c r="D84" s="77"/>
      <c r="E84" s="77"/>
      <c r="F84" s="77"/>
      <c r="G84" s="77"/>
      <c r="H84" s="77"/>
      <c r="I84" s="77"/>
      <c r="J84" s="77"/>
      <c r="K84" s="77"/>
      <c r="L84" s="77"/>
      <c r="M84" s="77"/>
      <c r="N84" s="77"/>
      <c r="O84" s="77"/>
      <c r="P84" s="77"/>
      <c r="Q84" s="77"/>
      <c r="R84" s="77"/>
      <c r="S84" s="77"/>
      <c r="T84" s="77"/>
      <c r="U84" s="77"/>
      <c r="V84" s="77"/>
      <c r="W84" s="77"/>
      <c r="X84" s="77"/>
      <c r="Y84" s="77"/>
      <c r="AC84" s="77"/>
    </row>
    <row r="85" spans="1:29" ht="11.25" customHeight="1" x14ac:dyDescent="0.2">
      <c r="A85" s="77"/>
      <c r="B85" s="77"/>
      <c r="C85" s="77"/>
      <c r="D85" s="77"/>
      <c r="E85" s="77"/>
      <c r="F85" s="77"/>
      <c r="G85" s="77"/>
      <c r="H85" s="77"/>
      <c r="I85" s="77"/>
      <c r="J85" s="77"/>
      <c r="K85" s="77"/>
      <c r="L85" s="77"/>
      <c r="M85" s="77"/>
      <c r="N85" s="77"/>
      <c r="O85" s="77"/>
      <c r="P85" s="77"/>
      <c r="Q85" s="77"/>
      <c r="R85" s="77"/>
      <c r="S85" s="77"/>
      <c r="T85" s="77"/>
      <c r="U85" s="77"/>
      <c r="V85" s="77"/>
      <c r="W85" s="77"/>
      <c r="X85" s="77"/>
      <c r="Y85" s="77"/>
      <c r="AC85" s="77"/>
    </row>
    <row r="86" spans="1:29" ht="11.25" customHeight="1" x14ac:dyDescent="0.2">
      <c r="A86" s="77"/>
      <c r="B86" s="77"/>
      <c r="C86" s="77"/>
      <c r="D86" s="77"/>
      <c r="E86" s="77"/>
      <c r="F86" s="77"/>
      <c r="G86" s="77"/>
      <c r="H86" s="77"/>
      <c r="I86" s="77"/>
      <c r="J86" s="77"/>
      <c r="K86" s="77"/>
      <c r="L86" s="77"/>
      <c r="M86" s="77"/>
      <c r="N86" s="77"/>
      <c r="O86" s="77"/>
      <c r="P86" s="77"/>
      <c r="Q86" s="77"/>
      <c r="R86" s="77"/>
      <c r="S86" s="77"/>
      <c r="T86" s="77"/>
      <c r="U86" s="77"/>
      <c r="V86" s="77"/>
      <c r="W86" s="77"/>
      <c r="X86" s="77"/>
      <c r="Y86" s="77"/>
      <c r="AC86" s="77"/>
    </row>
    <row r="87" spans="1:29" ht="11.25" customHeight="1" x14ac:dyDescent="0.2">
      <c r="A87" s="77"/>
      <c r="B87" s="77"/>
      <c r="C87" s="77"/>
      <c r="D87" s="77"/>
      <c r="E87" s="77"/>
      <c r="F87" s="77"/>
      <c r="G87" s="77"/>
      <c r="H87" s="77"/>
      <c r="I87" s="77"/>
      <c r="J87" s="77"/>
      <c r="K87" s="77"/>
      <c r="L87" s="77"/>
      <c r="M87" s="77"/>
      <c r="N87" s="77"/>
      <c r="O87" s="77"/>
      <c r="P87" s="77"/>
      <c r="Q87" s="77"/>
      <c r="R87" s="77"/>
      <c r="S87" s="77"/>
      <c r="T87" s="77"/>
      <c r="U87" s="77"/>
      <c r="V87" s="77"/>
      <c r="W87" s="77"/>
      <c r="X87" s="77"/>
      <c r="Y87" s="77"/>
      <c r="AC87" s="77"/>
    </row>
    <row r="88" spans="1:29" ht="11.25" customHeight="1" x14ac:dyDescent="0.2">
      <c r="A88" s="77"/>
      <c r="B88" s="77"/>
      <c r="C88" s="77"/>
      <c r="D88" s="77"/>
      <c r="E88" s="77"/>
      <c r="F88" s="77"/>
      <c r="G88" s="77"/>
      <c r="H88" s="77"/>
      <c r="I88" s="77"/>
      <c r="J88" s="77"/>
      <c r="K88" s="77"/>
      <c r="L88" s="77"/>
      <c r="M88" s="77"/>
      <c r="N88" s="77"/>
      <c r="O88" s="77"/>
      <c r="P88" s="77"/>
      <c r="Q88" s="77"/>
      <c r="R88" s="77"/>
      <c r="S88" s="77"/>
      <c r="T88" s="77"/>
      <c r="U88" s="77"/>
      <c r="V88" s="77"/>
      <c r="W88" s="77"/>
      <c r="X88" s="77"/>
      <c r="Y88" s="77"/>
      <c r="AC88" s="77"/>
    </row>
    <row r="89" spans="1:29" ht="11.25" customHeight="1" x14ac:dyDescent="0.2">
      <c r="A89" s="77"/>
      <c r="B89" s="77"/>
      <c r="C89" s="77"/>
      <c r="D89" s="77"/>
      <c r="E89" s="77"/>
      <c r="F89" s="77"/>
      <c r="G89" s="77"/>
      <c r="H89" s="77"/>
      <c r="I89" s="77"/>
      <c r="J89" s="77"/>
      <c r="K89" s="77"/>
      <c r="L89" s="77"/>
      <c r="M89" s="77"/>
      <c r="N89" s="77"/>
      <c r="O89" s="77"/>
      <c r="P89" s="77"/>
      <c r="Q89" s="77"/>
      <c r="R89" s="77"/>
      <c r="S89" s="77"/>
      <c r="T89" s="77"/>
      <c r="U89" s="77"/>
      <c r="V89" s="77"/>
      <c r="W89" s="77"/>
      <c r="X89" s="77"/>
      <c r="Y89" s="77"/>
      <c r="AC89" s="77"/>
    </row>
    <row r="90" spans="1:29" ht="11.25" customHeight="1" x14ac:dyDescent="0.2">
      <c r="A90" s="77"/>
      <c r="B90" s="77"/>
      <c r="C90" s="77"/>
      <c r="D90" s="77"/>
      <c r="E90" s="77"/>
      <c r="F90" s="77"/>
      <c r="G90" s="77"/>
      <c r="H90" s="77"/>
      <c r="I90" s="77"/>
      <c r="J90" s="77"/>
      <c r="K90" s="77"/>
      <c r="L90" s="77"/>
      <c r="M90" s="77"/>
      <c r="N90" s="77"/>
      <c r="O90" s="77"/>
      <c r="P90" s="77"/>
      <c r="Q90" s="77"/>
      <c r="R90" s="77"/>
      <c r="S90" s="77"/>
      <c r="T90" s="77"/>
      <c r="U90" s="77"/>
      <c r="V90" s="77"/>
      <c r="W90" s="77"/>
      <c r="X90" s="77"/>
      <c r="Y90" s="77"/>
      <c r="AC90" s="77"/>
    </row>
    <row r="91" spans="1:29" ht="11.25" customHeight="1" x14ac:dyDescent="0.2">
      <c r="A91" s="77"/>
      <c r="B91" s="77"/>
      <c r="C91" s="77"/>
      <c r="D91" s="77"/>
      <c r="E91" s="77"/>
      <c r="F91" s="77"/>
      <c r="G91" s="77"/>
      <c r="H91" s="77"/>
      <c r="I91" s="77"/>
      <c r="J91" s="77"/>
      <c r="K91" s="77"/>
      <c r="L91" s="77"/>
      <c r="M91" s="77"/>
      <c r="N91" s="77"/>
      <c r="O91" s="77"/>
      <c r="P91" s="77"/>
      <c r="Q91" s="77"/>
      <c r="R91" s="77"/>
      <c r="S91" s="77"/>
      <c r="T91" s="77"/>
      <c r="U91" s="77"/>
      <c r="V91" s="77"/>
      <c r="W91" s="77"/>
      <c r="X91" s="77"/>
      <c r="Y91" s="77"/>
      <c r="AC91" s="77"/>
    </row>
    <row r="92" spans="1:29" ht="11.25" customHeight="1" x14ac:dyDescent="0.2">
      <c r="A92" s="77"/>
      <c r="B92" s="77"/>
      <c r="C92" s="77"/>
      <c r="D92" s="77"/>
      <c r="E92" s="77"/>
      <c r="F92" s="77"/>
      <c r="G92" s="77"/>
      <c r="H92" s="77"/>
      <c r="I92" s="77"/>
      <c r="J92" s="77"/>
      <c r="K92" s="77"/>
      <c r="L92" s="77"/>
      <c r="M92" s="77"/>
      <c r="N92" s="77"/>
      <c r="O92" s="77"/>
      <c r="P92" s="77"/>
      <c r="Q92" s="77"/>
      <c r="R92" s="77"/>
      <c r="S92" s="77"/>
      <c r="T92" s="77"/>
      <c r="U92" s="77"/>
      <c r="V92" s="77"/>
      <c r="W92" s="77"/>
      <c r="X92" s="77"/>
      <c r="Y92" s="77"/>
      <c r="AC92" s="77"/>
    </row>
    <row r="93" spans="1:29" ht="11.25" customHeight="1" x14ac:dyDescent="0.2">
      <c r="A93" s="77"/>
      <c r="B93" s="77"/>
      <c r="C93" s="77"/>
      <c r="D93" s="77"/>
      <c r="E93" s="77"/>
      <c r="F93" s="77"/>
      <c r="G93" s="77"/>
      <c r="H93" s="77"/>
      <c r="I93" s="77"/>
      <c r="J93" s="77"/>
      <c r="K93" s="77"/>
      <c r="L93" s="77"/>
      <c r="M93" s="77"/>
      <c r="N93" s="77"/>
      <c r="O93" s="77"/>
      <c r="P93" s="77"/>
      <c r="Q93" s="77"/>
      <c r="R93" s="77"/>
      <c r="S93" s="77"/>
      <c r="T93" s="77"/>
      <c r="U93" s="77"/>
      <c r="V93" s="77"/>
      <c r="W93" s="77"/>
      <c r="X93" s="77"/>
      <c r="Y93" s="77"/>
      <c r="AC93" s="77"/>
    </row>
    <row r="132" spans="26:28" ht="11.25" customHeight="1" x14ac:dyDescent="0.2">
      <c r="Z132" s="76"/>
      <c r="AA132" s="76"/>
    </row>
    <row r="133" spans="26:28" ht="11.25" customHeight="1" x14ac:dyDescent="0.2">
      <c r="Z133" s="76"/>
      <c r="AA133" s="76"/>
    </row>
    <row r="134" spans="26:28" ht="11.25" customHeight="1" x14ac:dyDescent="0.2">
      <c r="Z134" s="76"/>
      <c r="AA134" s="76"/>
    </row>
    <row r="137" spans="26:28" ht="11.25" customHeight="1" x14ac:dyDescent="0.2">
      <c r="Z137" s="80"/>
      <c r="AA137" s="80"/>
      <c r="AB137" s="80"/>
    </row>
    <row r="176" spans="26:27" ht="11.25" customHeight="1" x14ac:dyDescent="0.2">
      <c r="Z176" s="76"/>
      <c r="AA176" s="76"/>
    </row>
    <row r="177" spans="26:28" ht="11.25" customHeight="1" x14ac:dyDescent="0.2">
      <c r="Z177" s="76"/>
      <c r="AA177" s="76"/>
    </row>
    <row r="178" spans="26:28" ht="11.25" customHeight="1" x14ac:dyDescent="0.2">
      <c r="Z178" s="76"/>
      <c r="AA178" s="76"/>
    </row>
    <row r="181" spans="26:28" ht="11.25" customHeight="1" x14ac:dyDescent="0.2">
      <c r="Z181" s="80"/>
      <c r="AA181" s="80"/>
      <c r="AB181" s="80"/>
    </row>
    <row r="220" spans="26:27" ht="11.25" customHeight="1" x14ac:dyDescent="0.2">
      <c r="Z220" s="76"/>
      <c r="AA220" s="76"/>
    </row>
    <row r="221" spans="26:27" ht="11.25" customHeight="1" x14ac:dyDescent="0.2">
      <c r="Z221" s="76"/>
      <c r="AA221" s="76"/>
    </row>
    <row r="222" spans="26:27" ht="11.25" customHeight="1" x14ac:dyDescent="0.2">
      <c r="Z222" s="76"/>
      <c r="AA222" s="76"/>
    </row>
    <row r="225" spans="26:28" ht="11.25" customHeight="1" x14ac:dyDescent="0.2">
      <c r="Z225" s="80"/>
      <c r="AA225" s="80"/>
      <c r="AB225" s="80"/>
    </row>
    <row r="264" spans="26:28" ht="11.25" customHeight="1" x14ac:dyDescent="0.2">
      <c r="Z264" s="76"/>
      <c r="AA264" s="76"/>
    </row>
    <row r="265" spans="26:28" ht="11.25" customHeight="1" x14ac:dyDescent="0.2">
      <c r="Z265" s="76"/>
      <c r="AA265" s="76"/>
    </row>
    <row r="266" spans="26:28" ht="11.25" customHeight="1" x14ac:dyDescent="0.2">
      <c r="Z266" s="76"/>
      <c r="AA266" s="76"/>
    </row>
    <row r="269" spans="26:28" ht="11.25" customHeight="1" x14ac:dyDescent="0.2">
      <c r="Z269" s="80"/>
      <c r="AA269" s="80"/>
      <c r="AB269" s="80"/>
    </row>
    <row r="308" spans="26:28" ht="11.25" customHeight="1" x14ac:dyDescent="0.2">
      <c r="Z308" s="76"/>
      <c r="AA308" s="76"/>
    </row>
    <row r="309" spans="26:28" ht="11.25" customHeight="1" x14ac:dyDescent="0.2">
      <c r="Z309" s="76"/>
      <c r="AA309" s="76"/>
    </row>
    <row r="310" spans="26:28" ht="11.25" customHeight="1" x14ac:dyDescent="0.2">
      <c r="Z310" s="76"/>
      <c r="AA310" s="76"/>
    </row>
    <row r="313" spans="26:28" ht="11.25" customHeight="1" x14ac:dyDescent="0.2">
      <c r="Z313" s="80"/>
      <c r="AA313" s="80"/>
      <c r="AB313" s="80"/>
    </row>
    <row r="352" spans="26:27" ht="11.25" customHeight="1" x14ac:dyDescent="0.2">
      <c r="Z352" s="76"/>
      <c r="AA352" s="76"/>
    </row>
    <row r="353" spans="26:28" ht="11.25" customHeight="1" x14ac:dyDescent="0.2">
      <c r="Z353" s="76"/>
      <c r="AA353" s="76"/>
    </row>
    <row r="354" spans="26:28" ht="11.25" customHeight="1" x14ac:dyDescent="0.2">
      <c r="Z354" s="76"/>
      <c r="AA354" s="76"/>
    </row>
    <row r="357" spans="26:28" ht="11.25" customHeight="1" x14ac:dyDescent="0.2">
      <c r="Z357" s="80"/>
      <c r="AA357" s="80"/>
      <c r="AB357" s="80"/>
    </row>
    <row r="396" spans="26:27" ht="11.25" customHeight="1" x14ac:dyDescent="0.2">
      <c r="Z396" s="76"/>
      <c r="AA396" s="76"/>
    </row>
    <row r="397" spans="26:27" ht="11.25" customHeight="1" x14ac:dyDescent="0.2">
      <c r="Z397" s="76"/>
      <c r="AA397" s="76"/>
    </row>
    <row r="398" spans="26:27" ht="11.25" customHeight="1" x14ac:dyDescent="0.2">
      <c r="Z398" s="76"/>
      <c r="AA398" s="76"/>
    </row>
    <row r="401" spans="26:28" ht="11.25" customHeight="1" x14ac:dyDescent="0.2">
      <c r="Z401" s="80"/>
      <c r="AA401" s="80"/>
      <c r="AB401" s="80"/>
    </row>
  </sheetData>
  <sheetProtection sheet="1" objects="1" scenarios="1"/>
  <mergeCells count="23">
    <mergeCell ref="B6:O6"/>
    <mergeCell ref="A36:P36"/>
    <mergeCell ref="A35:P35"/>
    <mergeCell ref="B33:E33"/>
    <mergeCell ref="B7:P7"/>
    <mergeCell ref="B39:B40"/>
    <mergeCell ref="B49:E50"/>
    <mergeCell ref="B51:E52"/>
    <mergeCell ref="B53:E54"/>
    <mergeCell ref="B55:E56"/>
    <mergeCell ref="B69:E70"/>
    <mergeCell ref="B71:E72"/>
    <mergeCell ref="B73:E74"/>
    <mergeCell ref="B41:E42"/>
    <mergeCell ref="B43:E44"/>
    <mergeCell ref="B45:E46"/>
    <mergeCell ref="B47:E48"/>
    <mergeCell ref="B57:E58"/>
    <mergeCell ref="B59:E60"/>
    <mergeCell ref="B61:E62"/>
    <mergeCell ref="B63:E64"/>
    <mergeCell ref="B65:E66"/>
    <mergeCell ref="B67:E68"/>
  </mergeCells>
  <phoneticPr fontId="4" type="noConversion"/>
  <conditionalFormatting sqref="B9:E30">
    <cfRule type="expression" dxfId="700" priority="20" stopIfTrue="1">
      <formula>$B9=$T$5</formula>
    </cfRule>
  </conditionalFormatting>
  <conditionalFormatting sqref="A9:A30">
    <cfRule type="containsErrors" dxfId="699" priority="1">
      <formula>ISERROR(A9)</formula>
    </cfRule>
    <cfRule type="cellIs" dxfId="698" priority="2" operator="equal">
      <formula>0</formula>
    </cfRule>
  </conditionalFormatting>
  <hyperlinks>
    <hyperlink ref="B43:B44" location="Coverage!A1" display="Participating LA's" xr:uid="{AF0B0559-B9F3-4D27-9FB7-D0491FC230A8}"/>
    <hyperlink ref="B45:B46" location="IDACI!A1" display="IDACI" xr:uid="{6E0D3BC5-9F8A-42D4-A329-A1543517F09E}"/>
    <hyperlink ref="B73:B74" location="Adoption!A1" display="Adoption" xr:uid="{6429E655-6C67-43CE-B95F-26DC4A243965}"/>
    <hyperlink ref="B67:B68" location="'Looked After Children'!A1" display="Looked After Children" xr:uid="{4AC88199-EE6C-41C7-B3AE-EE96F17C8242}"/>
    <hyperlink ref="B65:B66" location="'Court Applications'!A1" display="Court Applications" xr:uid="{FF353AFB-8359-48F6-B8EF-ABDD911A578A}"/>
    <hyperlink ref="B63:B64" location="'Child Protection Plans'!A1" display="Child Protection Plans" xr:uid="{9AF9D83A-3860-49BE-A23A-92F6F0D029FE}"/>
    <hyperlink ref="B61:B62" location="'Initial CP Conferences'!A1" display="Initial Child Protection Conferences" xr:uid="{549B78DE-0BD5-4948-A62E-65994E223F73}"/>
    <hyperlink ref="B59:B60" location="'Section 47 Enquiries'!A1" display="Section 47 Enquiries" xr:uid="{6262295A-FB61-4499-A24A-919C3F28E0E0}"/>
    <hyperlink ref="B57:B58" location="'Children in Need'!A1" display="Children in Need" xr:uid="{68E5542E-8DEC-48AC-A7EC-B89CC16DFEF0}"/>
    <hyperlink ref="B55:B56" location="Assessments!A1" display="Assessments" xr:uid="{EB3A9610-B02A-4D75-A09C-4C7FA1EF1FC8}"/>
    <hyperlink ref="B53:B54" location="'Re-referrals'!A1" display="Re-referrals" xr:uid="{F4BC623C-D30C-43EC-8CCE-C4565BD04FBF}"/>
    <hyperlink ref="B51:B52" location="Referral_Source!A1" display="Referral Source" xr:uid="{51F652B6-D2FD-428D-84B3-F2FF54FF0544}"/>
    <hyperlink ref="B49:B50" location="Referrals!A1" display="Referrals" xr:uid="{0DA8AA82-27AD-466E-A2B2-394999B61A28}"/>
    <hyperlink ref="B47:B48" location="Population!A1" display="Population" xr:uid="{EBE82AB7-5D97-4B90-BB3B-C7AD6B0F56C7}"/>
    <hyperlink ref="B45:C46" location="IDACI!A1" display="IDACI" xr:uid="{0B107E30-46B9-462C-B268-561A46D606D5}"/>
    <hyperlink ref="B41:B42" location="Coverage!A1" display="Participating LA's" xr:uid="{105A4513-26A6-4E69-B0FD-36AAD7FF51AA}"/>
    <hyperlink ref="B41:C42" location="Indicators!A1" display="Indicators" xr:uid="{7D8998F5-11A2-49ED-9C26-65AE42131CF6}"/>
    <hyperlink ref="B71:B72" location="'Looked After Children'!A1" display="Looked After Children" xr:uid="{4B99AD73-984F-4B20-9F4F-C2988AA1106E}"/>
    <hyperlink ref="B69:B70" location="'Court Applications'!A1" display="Court Applications" xr:uid="{181B4002-9B71-468E-88F9-C229C9322793}"/>
    <hyperlink ref="B69:C70" location="New_Ceased_LAC!A1" display="New/ Ceased Looked After Children" xr:uid="{4F06BDDB-7D56-497C-9CDE-FD4CF45F1698}"/>
    <hyperlink ref="B71:C72" location="Care_Leavers!A1" display="Care Leavers" xr:uid="{A48B99A7-A681-4CDB-B003-AFDA27F2D321}"/>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9:A30" evalError="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
    <tabColor rgb="FFFFC000"/>
  </sheetPr>
  <dimension ref="A1:AN434"/>
  <sheetViews>
    <sheetView showRowColHeaders="0" workbookViewId="0"/>
  </sheetViews>
  <sheetFormatPr defaultColWidth="9.140625" defaultRowHeight="11.25" customHeight="1" x14ac:dyDescent="0.2"/>
  <cols>
    <col min="1" max="1" width="2.140625" style="77" customWidth="1"/>
    <col min="2" max="2" width="17.140625" style="77" customWidth="1"/>
    <col min="3" max="3" width="1" style="77" customWidth="1"/>
    <col min="4" max="8" width="7.5703125" style="77" customWidth="1"/>
    <col min="9" max="9" width="1" style="77" customWidth="1"/>
    <col min="10" max="14" width="7.5703125" style="77" customWidth="1"/>
    <col min="15" max="15" width="1" style="77" customWidth="1"/>
    <col min="16" max="19" width="7.5703125" style="77" customWidth="1"/>
    <col min="20" max="20" width="7.42578125" style="77" customWidth="1"/>
    <col min="21" max="21" width="2.140625" style="77" customWidth="1"/>
    <col min="22" max="22" width="6.42578125" style="77" customWidth="1"/>
    <col min="23" max="23" width="16.140625" style="76" customWidth="1"/>
    <col min="24" max="24" width="9.5703125" style="76" customWidth="1"/>
    <col min="25" max="25" width="20.42578125" style="76" customWidth="1"/>
    <col min="26" max="26" width="14" style="76" customWidth="1"/>
    <col min="27" max="27" width="5.42578125" style="76" customWidth="1"/>
    <col min="28" max="28" width="12.140625" style="77" customWidth="1"/>
    <col min="29" max="29" width="9.140625" style="77" customWidth="1"/>
    <col min="30" max="30" width="12.140625" style="77" customWidth="1"/>
    <col min="31" max="31" width="9.140625" style="77" customWidth="1"/>
    <col min="32" max="16384" width="9.140625" style="77"/>
  </cols>
  <sheetData>
    <row r="1" spans="1:40" s="76" customFormat="1" ht="18.75" customHeight="1" x14ac:dyDescent="0.2">
      <c r="A1" s="114"/>
      <c r="B1" s="115"/>
      <c r="C1" s="115"/>
      <c r="D1" s="115"/>
      <c r="E1" s="115"/>
      <c r="F1" s="115"/>
      <c r="G1" s="115"/>
      <c r="H1" s="115"/>
      <c r="I1" s="115"/>
      <c r="J1" s="115"/>
      <c r="K1" s="115"/>
      <c r="L1" s="115"/>
      <c r="M1" s="115"/>
      <c r="N1" s="115"/>
      <c r="O1" s="115"/>
      <c r="P1" s="115"/>
      <c r="Q1" s="115"/>
      <c r="R1" s="115"/>
      <c r="S1" s="115"/>
      <c r="T1" s="115"/>
      <c r="U1" s="117"/>
      <c r="V1" s="268"/>
      <c r="Y1" s="175"/>
      <c r="Z1" s="175"/>
      <c r="AA1" s="175"/>
      <c r="AB1" s="175"/>
      <c r="AC1" s="175"/>
      <c r="AD1" s="175"/>
      <c r="AE1" s="175"/>
      <c r="AF1" s="175"/>
      <c r="AG1" s="175"/>
      <c r="AH1" s="175"/>
      <c r="AI1" s="175"/>
      <c r="AJ1" s="175"/>
      <c r="AK1" s="175"/>
      <c r="AL1" s="176"/>
      <c r="AM1" s="176"/>
      <c r="AN1" s="176"/>
    </row>
    <row r="2" spans="1:40" s="76" customFormat="1" ht="18.75" customHeight="1" x14ac:dyDescent="0.2">
      <c r="A2" s="271"/>
      <c r="B2" s="130" t="s">
        <v>17</v>
      </c>
      <c r="C2" s="130"/>
      <c r="D2" s="9"/>
      <c r="E2" s="9"/>
      <c r="F2" s="9"/>
      <c r="G2" s="9"/>
      <c r="H2" s="9"/>
      <c r="I2" s="9"/>
      <c r="J2" s="9"/>
      <c r="K2" s="9"/>
      <c r="L2" s="9"/>
      <c r="M2" s="9"/>
      <c r="N2" s="9"/>
      <c r="O2" s="9"/>
      <c r="P2" s="9"/>
      <c r="Q2" s="9"/>
      <c r="R2" s="9"/>
      <c r="S2" s="9"/>
      <c r="T2" s="9"/>
      <c r="U2" s="119"/>
      <c r="V2" s="157"/>
      <c r="Y2" s="83"/>
      <c r="Z2" s="83"/>
      <c r="AA2" s="83"/>
      <c r="AB2" s="83"/>
      <c r="AC2" s="83"/>
      <c r="AD2" s="83"/>
      <c r="AE2" s="83"/>
      <c r="AF2" s="83"/>
      <c r="AG2" s="83"/>
      <c r="AH2" s="83"/>
      <c r="AI2" s="83"/>
      <c r="AJ2" s="83"/>
      <c r="AK2" s="83"/>
      <c r="AL2" s="179"/>
      <c r="AM2" s="179"/>
      <c r="AN2" s="179"/>
    </row>
    <row r="3" spans="1:40" s="76" customFormat="1" ht="18.75" customHeight="1" x14ac:dyDescent="0.2">
      <c r="A3" s="271"/>
      <c r="B3" s="9"/>
      <c r="C3" s="9"/>
      <c r="D3" s="9"/>
      <c r="E3" s="9"/>
      <c r="F3" s="9"/>
      <c r="G3" s="9"/>
      <c r="H3" s="9"/>
      <c r="I3" s="9"/>
      <c r="J3" s="9"/>
      <c r="K3" s="9"/>
      <c r="L3" s="9"/>
      <c r="M3" s="9"/>
      <c r="N3" s="9"/>
      <c r="O3" s="9"/>
      <c r="P3" s="9"/>
      <c r="Q3" s="9"/>
      <c r="R3" s="9"/>
      <c r="S3" s="9"/>
      <c r="T3" s="9"/>
      <c r="U3" s="261"/>
      <c r="V3" s="157"/>
      <c r="Y3" s="83"/>
      <c r="Z3" s="83"/>
      <c r="AA3" s="83"/>
      <c r="AB3" s="83"/>
      <c r="AC3" s="83"/>
      <c r="AD3" s="83"/>
      <c r="AE3" s="83"/>
      <c r="AF3" s="83"/>
      <c r="AG3" s="83"/>
      <c r="AH3" s="83"/>
      <c r="AI3" s="83"/>
      <c r="AJ3" s="83"/>
      <c r="AK3" s="83"/>
      <c r="AL3" s="179"/>
      <c r="AM3" s="179"/>
      <c r="AN3" s="179"/>
    </row>
    <row r="4" spans="1:40" ht="13.5" customHeight="1" x14ac:dyDescent="0.2">
      <c r="A4" s="228"/>
      <c r="B4" s="229"/>
      <c r="C4" s="229"/>
      <c r="D4" s="951" t="s">
        <v>746</v>
      </c>
      <c r="E4" s="951" t="s">
        <v>746</v>
      </c>
      <c r="F4" s="951" t="s">
        <v>746</v>
      </c>
      <c r="G4" s="951" t="s">
        <v>746</v>
      </c>
      <c r="H4" s="951" t="s">
        <v>746</v>
      </c>
      <c r="I4" s="951"/>
      <c r="J4" s="951" t="s">
        <v>747</v>
      </c>
      <c r="K4" s="951" t="s">
        <v>747</v>
      </c>
      <c r="L4" s="951" t="s">
        <v>747</v>
      </c>
      <c r="M4" s="951" t="s">
        <v>747</v>
      </c>
      <c r="N4" s="951" t="s">
        <v>747</v>
      </c>
      <c r="O4" s="951"/>
      <c r="P4" s="951" t="s">
        <v>748</v>
      </c>
      <c r="Q4" s="951" t="s">
        <v>748</v>
      </c>
      <c r="R4" s="951" t="s">
        <v>748</v>
      </c>
      <c r="S4" s="951" t="s">
        <v>748</v>
      </c>
      <c r="T4" s="951" t="s">
        <v>748</v>
      </c>
      <c r="U4" s="272"/>
      <c r="V4" s="91"/>
      <c r="Y4" s="83"/>
      <c r="Z4" s="83"/>
    </row>
    <row r="5" spans="1:40" s="80" customFormat="1" ht="15" customHeight="1" x14ac:dyDescent="0.2">
      <c r="A5" s="274"/>
      <c r="C5" s="927"/>
      <c r="D5" s="1413" t="s">
        <v>745</v>
      </c>
      <c r="E5" s="1414"/>
      <c r="F5" s="1414"/>
      <c r="G5" s="1414"/>
      <c r="H5" s="1415"/>
      <c r="I5" s="921"/>
      <c r="J5" s="1413" t="s">
        <v>744</v>
      </c>
      <c r="K5" s="1414"/>
      <c r="L5" s="1414"/>
      <c r="M5" s="1414"/>
      <c r="N5" s="1415"/>
      <c r="O5" s="921"/>
      <c r="P5" s="1413" t="s">
        <v>743</v>
      </c>
      <c r="Q5" s="1414"/>
      <c r="R5" s="1414"/>
      <c r="S5" s="1414"/>
      <c r="T5" s="1415"/>
      <c r="U5" s="275"/>
      <c r="V5" s="92"/>
      <c r="W5" s="76"/>
      <c r="X5" s="76"/>
      <c r="Y5" s="83"/>
      <c r="Z5" s="83"/>
      <c r="AA5" s="78"/>
      <c r="AB5" s="77"/>
      <c r="AC5" s="77"/>
      <c r="AD5" s="77"/>
    </row>
    <row r="6" spans="1:40" ht="13.5" customHeight="1" x14ac:dyDescent="0.2">
      <c r="A6" s="273"/>
      <c r="B6" s="925"/>
      <c r="C6" s="927"/>
      <c r="D6" s="1416"/>
      <c r="E6" s="1417"/>
      <c r="F6" s="1417"/>
      <c r="G6" s="1417"/>
      <c r="H6" s="1418"/>
      <c r="I6" s="921"/>
      <c r="J6" s="1416"/>
      <c r="K6" s="1417"/>
      <c r="L6" s="1417"/>
      <c r="M6" s="1417"/>
      <c r="N6" s="1418"/>
      <c r="O6" s="921"/>
      <c r="P6" s="1416"/>
      <c r="Q6" s="1417"/>
      <c r="R6" s="1417"/>
      <c r="S6" s="1417"/>
      <c r="T6" s="1418"/>
      <c r="U6" s="272"/>
      <c r="V6" s="91"/>
      <c r="Y6" s="83"/>
      <c r="Z6" s="83"/>
    </row>
    <row r="7" spans="1:40" ht="13.5" customHeight="1" x14ac:dyDescent="0.2">
      <c r="A7" s="273"/>
      <c r="B7" s="1402" t="s">
        <v>741</v>
      </c>
      <c r="C7" s="927"/>
      <c r="D7" s="752" t="str">
        <f>Sheet1!$D$25</f>
        <v>2014-15</v>
      </c>
      <c r="E7" s="753" t="str">
        <f>Sheet1!$E$25</f>
        <v>2015-16</v>
      </c>
      <c r="F7" s="753" t="str">
        <f>Sheet1!$F$25</f>
        <v>2016-17</v>
      </c>
      <c r="G7" s="753" t="str">
        <f>Sheet1!$G$25</f>
        <v>2017-18</v>
      </c>
      <c r="H7" s="754" t="str">
        <f>Sheet1!$H$25</f>
        <v>2018-19</v>
      </c>
      <c r="I7" s="921"/>
      <c r="J7" s="752" t="str">
        <f>Sheet1!$D$25</f>
        <v>2014-15</v>
      </c>
      <c r="K7" s="753" t="str">
        <f>Sheet1!$E$25</f>
        <v>2015-16</v>
      </c>
      <c r="L7" s="753" t="str">
        <f>Sheet1!$F$25</f>
        <v>2016-17</v>
      </c>
      <c r="M7" s="753" t="str">
        <f>Sheet1!$G$25</f>
        <v>2017-18</v>
      </c>
      <c r="N7" s="754" t="str">
        <f>Sheet1!$H$25</f>
        <v>2018-19</v>
      </c>
      <c r="O7" s="921"/>
      <c r="P7" s="752" t="str">
        <f>Sheet1!$D$25</f>
        <v>2014-15</v>
      </c>
      <c r="Q7" s="753" t="str">
        <f>Sheet1!$E$25</f>
        <v>2015-16</v>
      </c>
      <c r="R7" s="753" t="str">
        <f>Sheet1!$F$25</f>
        <v>2016-17</v>
      </c>
      <c r="S7" s="753" t="str">
        <f>Sheet1!$G$25</f>
        <v>2017-18</v>
      </c>
      <c r="T7" s="754" t="str">
        <f>Sheet1!$H$25</f>
        <v>2018-19</v>
      </c>
      <c r="U7" s="272"/>
      <c r="V7" s="91"/>
      <c r="Y7" s="83"/>
      <c r="Z7" s="83"/>
    </row>
    <row r="8" spans="1:40" ht="13.5" customHeight="1" x14ac:dyDescent="0.2">
      <c r="A8" s="273"/>
      <c r="B8" s="1402"/>
      <c r="C8" s="927"/>
      <c r="D8" s="748" t="str">
        <f>IF(Sheet1!$C$3="Annual","",Sheet1!$D$26)</f>
        <v/>
      </c>
      <c r="E8" s="748" t="str">
        <f>IF(Sheet1!$C$3="Annual","",Sheet1!$E$26)</f>
        <v/>
      </c>
      <c r="F8" s="748" t="str">
        <f>IF(Sheet1!$C$3="Annual","",Sheet1!$F$26)</f>
        <v/>
      </c>
      <c r="G8" s="748" t="str">
        <f>IF(Sheet1!$C$3="Annual","",Sheet1!$G$26)</f>
        <v/>
      </c>
      <c r="H8" s="749" t="str">
        <f>IF(Sheet1!$C$3="Annual","",Sheet1!$H$26)</f>
        <v/>
      </c>
      <c r="I8" s="921"/>
      <c r="J8" s="748" t="str">
        <f>IF(Sheet1!$C$3="Annual","",Sheet1!$D$26)</f>
        <v/>
      </c>
      <c r="K8" s="748" t="str">
        <f>IF(Sheet1!$C$3="Annual","",Sheet1!$E$26)</f>
        <v/>
      </c>
      <c r="L8" s="748" t="str">
        <f>IF(Sheet1!$C$3="Annual","",Sheet1!$F$26)</f>
        <v/>
      </c>
      <c r="M8" s="748" t="str">
        <f>IF(Sheet1!$C$3="Annual","",Sheet1!$G$26)</f>
        <v/>
      </c>
      <c r="N8" s="749" t="str">
        <f>IF(Sheet1!$C$3="Annual","",Sheet1!$H$26)</f>
        <v/>
      </c>
      <c r="O8" s="921"/>
      <c r="P8" s="748" t="str">
        <f>IF(Sheet1!$C$3="Annual","",Sheet1!$D$26)</f>
        <v/>
      </c>
      <c r="Q8" s="748" t="str">
        <f>IF(Sheet1!$C$3="Annual","",Sheet1!$E$26)</f>
        <v/>
      </c>
      <c r="R8" s="748" t="str">
        <f>IF(Sheet1!$C$3="Annual","",Sheet1!$F$26)</f>
        <v/>
      </c>
      <c r="S8" s="748" t="str">
        <f>IF(Sheet1!$C$3="Annual","",Sheet1!$G$26)</f>
        <v/>
      </c>
      <c r="T8" s="749" t="str">
        <f>IF(Sheet1!$C$3="Annual","",Sheet1!$H$26)</f>
        <v/>
      </c>
      <c r="U8" s="272"/>
      <c r="V8" s="91"/>
      <c r="Y8" s="83"/>
      <c r="Z8" s="83"/>
    </row>
    <row r="9" spans="1:40" ht="36.75" customHeight="1" x14ac:dyDescent="0.2">
      <c r="A9" s="918"/>
      <c r="B9" s="919" t="s">
        <v>742</v>
      </c>
      <c r="C9" s="952"/>
      <c r="D9" s="909" t="str">
        <f>VLOOKUP(CONCATENATE(D$4,Sheet1!$C$3,Population!$A9),Sheet1!$B$31:$H$335,D$34,FALSE)</f>
        <v>mid-2014</v>
      </c>
      <c r="E9" s="172" t="str">
        <f>VLOOKUP(CONCATENATE(E$4,Sheet1!$C$3,Population!$A9),Sheet1!$B$31:$H$335,E$34,FALSE)</f>
        <v>mid-2015</v>
      </c>
      <c r="F9" s="172" t="str">
        <f>VLOOKUP(CONCATENATE(F$4,Sheet1!$C$3,Population!$A9),Sheet1!$B$31:$H$335,F$34,FALSE)</f>
        <v>mid-2016</v>
      </c>
      <c r="G9" s="172" t="str">
        <f>VLOOKUP(CONCATENATE(G$4,Sheet1!$C$3,Population!$A9),Sheet1!$B$31:$H$335,G$34,FALSE)</f>
        <v>mid-2017</v>
      </c>
      <c r="H9" s="910" t="str">
        <f>VLOOKUP(CONCATENATE(H$4,Sheet1!$C$3,Population!$A9),Sheet1!$B$31:$H$335,H$34,FALSE)</f>
        <v>mid-2018</v>
      </c>
      <c r="I9" s="921"/>
      <c r="J9" s="909" t="str">
        <f>VLOOKUP(CONCATENATE(J$4,Sheet1!$C$3,Population!$A9),Sheet1!$B$31:$H$335,J$34,FALSE)</f>
        <v>mid-2014</v>
      </c>
      <c r="K9" s="172" t="str">
        <f>VLOOKUP(CONCATENATE(K$4,Sheet1!$C$3,Population!$A9),Sheet1!$B$31:$H$335,K$34,FALSE)</f>
        <v>mid-2015</v>
      </c>
      <c r="L9" s="172" t="str">
        <f>VLOOKUP(CONCATENATE(L$4,Sheet1!$C$3,Population!$A9),Sheet1!$B$31:$H$335,L$34,FALSE)</f>
        <v>mid-2016</v>
      </c>
      <c r="M9" s="172" t="str">
        <f>VLOOKUP(CONCATENATE(M$4,Sheet1!$C$3,Population!$A9),Sheet1!$B$31:$H$335,M$34,FALSE)</f>
        <v>mid-2017</v>
      </c>
      <c r="N9" s="910" t="str">
        <f>VLOOKUP(CONCATENATE(N$4,Sheet1!$C$3,Population!$A9),Sheet1!$B$31:$H$335,N$34,FALSE)</f>
        <v>mid-2018</v>
      </c>
      <c r="O9" s="921"/>
      <c r="P9" s="909" t="str">
        <f>VLOOKUP(CONCATENATE(P$4,Sheet1!$C$3,Population!$A9),Sheet1!$B$31:$H$335,P$34,FALSE)</f>
        <v>mid-2014</v>
      </c>
      <c r="Q9" s="172" t="str">
        <f>VLOOKUP(CONCATENATE(Q$4,Sheet1!$C$3,Population!$A9),Sheet1!$B$31:$H$335,Q$34,FALSE)</f>
        <v>mid-2015</v>
      </c>
      <c r="R9" s="172" t="str">
        <f>VLOOKUP(CONCATENATE(R$4,Sheet1!$C$3,Population!$A9),Sheet1!$B$31:$H$335,R$34,FALSE)</f>
        <v>mid-2016</v>
      </c>
      <c r="S9" s="172" t="str">
        <f>VLOOKUP(CONCATENATE(S$4,Sheet1!$C$3,Population!$A9),Sheet1!$B$31:$H$335,S$34,FALSE)</f>
        <v>mid-2017</v>
      </c>
      <c r="T9" s="910" t="str">
        <f>VLOOKUP(CONCATENATE(T$4,Sheet1!$C$3,Population!$A9),Sheet1!$B$31:$H$335,T$34,FALSE)</f>
        <v>mid-2018</v>
      </c>
      <c r="U9" s="272"/>
      <c r="V9" s="91"/>
    </row>
    <row r="10" spans="1:40" s="88" customFormat="1" ht="13.5" customHeight="1" x14ac:dyDescent="0.2">
      <c r="A10" s="462">
        <f>VLOOKUP(B10,Sheet1!$AQ$4:$AR$25,2,FALSE)</f>
        <v>0</v>
      </c>
      <c r="B10" s="707" t="s">
        <v>0</v>
      </c>
      <c r="C10" s="927"/>
      <c r="D10" s="315">
        <f>VLOOKUP(CONCATENATE(D$4,Sheet1!$C$3,Population!$B10),Sheet1!$B$31:$H$335,D$34,FALSE)</f>
        <v>27800</v>
      </c>
      <c r="E10" s="315">
        <f>VLOOKUP(CONCATENATE(E$4,Sheet1!$C$3,Population!$B10),Sheet1!$B$31:$H$335,E$34,FALSE)</f>
        <v>28200</v>
      </c>
      <c r="F10" s="315">
        <f>VLOOKUP(CONCATENATE(F$4,Sheet1!$C$3,Population!$B10),Sheet1!$B$31:$H$335,F$34,FALSE)</f>
        <v>28200</v>
      </c>
      <c r="G10" s="315">
        <f>VLOOKUP(CONCATENATE(G$4,Sheet1!$C$3,Population!$B10),Sheet1!$B$31:$H$335,G$34,FALSE)</f>
        <v>28100</v>
      </c>
      <c r="H10" s="928">
        <f>VLOOKUP(CONCATENATE(H$4,Sheet1!$C$3,Population!$B10),Sheet1!$B$31:$H$335,H$34,FALSE)</f>
        <v>28300</v>
      </c>
      <c r="I10" s="921"/>
      <c r="J10" s="315">
        <f>VLOOKUP(CONCATENATE(J$4,Sheet1!$C$3,Population!$B10),Sheet1!$B$31:$H$335,J$34,FALSE)</f>
        <v>38100</v>
      </c>
      <c r="K10" s="315">
        <f>VLOOKUP(CONCATENATE(K$4,Sheet1!$C$3,Population!$B10),Sheet1!$B$31:$H$335,K$34,FALSE)</f>
        <v>38300</v>
      </c>
      <c r="L10" s="315">
        <f>VLOOKUP(CONCATENATE(L$4,Sheet1!$C$3,Population!$B10),Sheet1!$B$31:$H$335,L$34,FALSE)</f>
        <v>38200</v>
      </c>
      <c r="M10" s="315">
        <f>VLOOKUP(CONCATENATE(M$4,Sheet1!$C$3,Population!$B10),Sheet1!$B$31:$H$335,M$34,FALSE)</f>
        <v>38200</v>
      </c>
      <c r="N10" s="316">
        <f>VLOOKUP(CONCATENATE(N$4,Sheet1!$C$3,Population!$B10),Sheet1!$B$31:$H$335,N$34,FALSE)</f>
        <v>38700</v>
      </c>
      <c r="O10" s="921"/>
      <c r="P10" s="315">
        <f>VLOOKUP(CONCATENATE(P$4,Sheet1!$C$3,Population!$B10),Sheet1!$B$31:$H$335,P$34,FALSE)</f>
        <v>3200</v>
      </c>
      <c r="Q10" s="315">
        <f>VLOOKUP(CONCATENATE(Q$4,Sheet1!$C$3,Population!$B10),Sheet1!$B$31:$H$335,Q$34,FALSE)</f>
        <v>3300</v>
      </c>
      <c r="R10" s="315">
        <f>VLOOKUP(CONCATENATE(R$4,Sheet1!$C$3,Population!$B10),Sheet1!$B$31:$H$335,R$34,FALSE)</f>
        <v>3100</v>
      </c>
      <c r="S10" s="315">
        <f>VLOOKUP(CONCATENATE(S$4,Sheet1!$C$3,Population!$B10),Sheet1!$B$31:$H$335,S$34,FALSE)</f>
        <v>3200</v>
      </c>
      <c r="T10" s="316">
        <f>VLOOKUP(CONCATENATE(T$4,Sheet1!$C$3,Population!$B10),Sheet1!$B$31:$H$335,T$34,FALSE)</f>
        <v>3300</v>
      </c>
      <c r="U10" s="277"/>
      <c r="V10" s="93"/>
      <c r="W10" s="76"/>
      <c r="X10" s="76"/>
      <c r="Y10" s="76"/>
      <c r="Z10" s="76"/>
      <c r="AA10" s="76"/>
      <c r="AB10" s="77"/>
      <c r="AC10" s="77"/>
    </row>
    <row r="11" spans="1:40" s="88" customFormat="1" ht="13.5" customHeight="1" x14ac:dyDescent="0.2">
      <c r="A11" s="462">
        <f>VLOOKUP(B11,Sheet1!$AQ$4:$AR$25,2,FALSE)</f>
        <v>0</v>
      </c>
      <c r="B11" s="95" t="s">
        <v>31</v>
      </c>
      <c r="C11" s="927"/>
      <c r="D11" s="315">
        <f>VLOOKUP(CONCATENATE(D$4,Sheet1!$C$3,Population!$B11),Sheet1!$B$31:$H$335,D$34,FALSE)</f>
        <v>51000</v>
      </c>
      <c r="E11" s="315">
        <f>VLOOKUP(CONCATENATE(E$4,Sheet1!$C$3,Population!$B11),Sheet1!$B$31:$H$335,E$34,FALSE)</f>
        <v>51200</v>
      </c>
      <c r="F11" s="315">
        <f>VLOOKUP(CONCATENATE(F$4,Sheet1!$C$3,Population!$B11),Sheet1!$B$31:$H$335,F$34,FALSE)</f>
        <v>51300</v>
      </c>
      <c r="G11" s="315">
        <f>VLOOKUP(CONCATENATE(G$4,Sheet1!$C$3,Population!$B11),Sheet1!$B$31:$H$335,G$34,FALSE)</f>
        <v>51000</v>
      </c>
      <c r="H11" s="316">
        <f>VLOOKUP(CONCATENATE(H$4,Sheet1!$C$3,Population!$B11),Sheet1!$B$31:$H$335,H$34,FALSE)</f>
        <v>51000</v>
      </c>
      <c r="I11" s="921"/>
      <c r="J11" s="315">
        <f>VLOOKUP(CONCATENATE(J$4,Sheet1!$C$3,Population!$B11),Sheet1!$B$31:$H$335,J$34,FALSE)</f>
        <v>96200</v>
      </c>
      <c r="K11" s="315">
        <f>VLOOKUP(CONCATENATE(K$4,Sheet1!$C$3,Population!$B11),Sheet1!$B$31:$H$335,K$34,FALSE)</f>
        <v>98200</v>
      </c>
      <c r="L11" s="315">
        <f>VLOOKUP(CONCATENATE(L$4,Sheet1!$C$3,Population!$B11),Sheet1!$B$31:$H$335,L$34,FALSE)</f>
        <v>99700</v>
      </c>
      <c r="M11" s="315">
        <f>VLOOKUP(CONCATENATE(M$4,Sheet1!$C$3,Population!$B11),Sheet1!$B$31:$H$335,M$34,FALSE)</f>
        <v>98800</v>
      </c>
      <c r="N11" s="316">
        <f>VLOOKUP(CONCATENATE(N$4,Sheet1!$C$3,Population!$B11),Sheet1!$B$31:$H$335,N$34,FALSE)</f>
        <v>99700</v>
      </c>
      <c r="O11" s="921"/>
      <c r="P11" s="315">
        <f>VLOOKUP(CONCATENATE(P$4,Sheet1!$C$3,Population!$B11),Sheet1!$B$31:$H$335,P$34,FALSE)</f>
        <v>17800</v>
      </c>
      <c r="Q11" s="315">
        <f>VLOOKUP(CONCATENATE(Q$4,Sheet1!$C$3,Population!$B11),Sheet1!$B$31:$H$335,Q$34,FALSE)</f>
        <v>18200</v>
      </c>
      <c r="R11" s="315">
        <f>VLOOKUP(CONCATENATE(R$4,Sheet1!$C$3,Population!$B11),Sheet1!$B$31:$H$335,R$34,FALSE)</f>
        <v>19300</v>
      </c>
      <c r="S11" s="315">
        <f>VLOOKUP(CONCATENATE(S$4,Sheet1!$C$3,Population!$B11),Sheet1!$B$31:$H$335,S$34,FALSE)</f>
        <v>20400</v>
      </c>
      <c r="T11" s="316">
        <f>VLOOKUP(CONCATENATE(T$4,Sheet1!$C$3,Population!$B11),Sheet1!$B$31:$H$335,T$34,FALSE)</f>
        <v>21100</v>
      </c>
      <c r="U11" s="277"/>
      <c r="V11" s="93"/>
      <c r="W11" s="76"/>
      <c r="X11" s="76"/>
      <c r="Y11" s="76"/>
      <c r="Z11" s="76"/>
      <c r="AA11" s="76"/>
      <c r="AB11" s="77"/>
      <c r="AC11" s="77"/>
    </row>
    <row r="12" spans="1:40" s="88" customFormat="1" ht="13.5" customHeight="1" x14ac:dyDescent="0.2">
      <c r="A12" s="462">
        <f>VLOOKUP(B12,Sheet1!$AQ$4:$AR$25,2,FALSE)</f>
        <v>0</v>
      </c>
      <c r="B12" s="707" t="s">
        <v>8</v>
      </c>
      <c r="C12" s="927"/>
      <c r="D12" s="315">
        <f>VLOOKUP(CONCATENATE(D$4,Sheet1!$C$3,Population!$B12),Sheet1!$B$31:$H$335,D$34,FALSE)</f>
        <v>118900</v>
      </c>
      <c r="E12" s="315">
        <f>VLOOKUP(CONCATENATE(E$4,Sheet1!$C$3,Population!$B12),Sheet1!$B$31:$H$335,E$34,FALSE)</f>
        <v>120600</v>
      </c>
      <c r="F12" s="315">
        <f>VLOOKUP(CONCATENATE(F$4,Sheet1!$C$3,Population!$B12),Sheet1!$B$31:$H$335,F$34,FALSE)</f>
        <v>122200</v>
      </c>
      <c r="G12" s="315">
        <f>VLOOKUP(CONCATENATE(G$4,Sheet1!$C$3,Population!$B12),Sheet1!$B$31:$H$335,G$34,FALSE)</f>
        <v>123100</v>
      </c>
      <c r="H12" s="316">
        <f>VLOOKUP(CONCATENATE(H$4,Sheet1!$C$3,Population!$B12),Sheet1!$B$31:$H$335,H$34,FALSE)</f>
        <v>124300</v>
      </c>
      <c r="I12" s="921"/>
      <c r="J12" s="315">
        <f>VLOOKUP(CONCATENATE(J$4,Sheet1!$C$3,Population!$B12),Sheet1!$B$31:$H$335,J$34,FALSE)</f>
        <v>163000</v>
      </c>
      <c r="K12" s="315">
        <f>VLOOKUP(CONCATENATE(K$4,Sheet1!$C$3,Population!$B12),Sheet1!$B$31:$H$335,K$34,FALSE)</f>
        <v>164500</v>
      </c>
      <c r="L12" s="315">
        <f>VLOOKUP(CONCATENATE(L$4,Sheet1!$C$3,Population!$B12),Sheet1!$B$31:$H$335,L$34,FALSE)</f>
        <v>165800</v>
      </c>
      <c r="M12" s="315">
        <f>VLOOKUP(CONCATENATE(M$4,Sheet1!$C$3,Population!$B12),Sheet1!$B$31:$H$335,M$34,FALSE)</f>
        <v>165300</v>
      </c>
      <c r="N12" s="316">
        <f>VLOOKUP(CONCATENATE(N$4,Sheet1!$C$3,Population!$B12),Sheet1!$B$31:$H$335,N$34,FALSE)</f>
        <v>166200</v>
      </c>
      <c r="O12" s="921"/>
      <c r="P12" s="315">
        <f>VLOOKUP(CONCATENATE(P$4,Sheet1!$C$3,Population!$B12),Sheet1!$B$31:$H$335,P$34,FALSE)</f>
        <v>14900</v>
      </c>
      <c r="Q12" s="315">
        <f>VLOOKUP(CONCATENATE(Q$4,Sheet1!$C$3,Population!$B12),Sheet1!$B$31:$H$335,Q$34,FALSE)</f>
        <v>14700</v>
      </c>
      <c r="R12" s="315">
        <f>VLOOKUP(CONCATENATE(R$4,Sheet1!$C$3,Population!$B12),Sheet1!$B$31:$H$335,R$34,FALSE)</f>
        <v>14400</v>
      </c>
      <c r="S12" s="315">
        <f>VLOOKUP(CONCATENATE(S$4,Sheet1!$C$3,Population!$B12),Sheet1!$B$31:$H$335,S$34,FALSE)</f>
        <v>13700</v>
      </c>
      <c r="T12" s="316">
        <f>VLOOKUP(CONCATENATE(T$4,Sheet1!$C$3,Population!$B12),Sheet1!$B$31:$H$335,T$34,FALSE)</f>
        <v>13300</v>
      </c>
      <c r="U12" s="277"/>
      <c r="V12" s="93"/>
      <c r="W12" s="76"/>
      <c r="X12" s="76"/>
      <c r="Y12" s="76"/>
      <c r="Z12" s="76"/>
      <c r="AA12" s="76"/>
      <c r="AB12" s="77"/>
      <c r="AC12" s="77"/>
    </row>
    <row r="13" spans="1:40" s="88" customFormat="1" ht="13.5" customHeight="1" x14ac:dyDescent="0.2">
      <c r="A13" s="462">
        <f>VLOOKUP(B13,Sheet1!$AQ$4:$AR$25,2,FALSE)</f>
        <v>0</v>
      </c>
      <c r="B13" s="707" t="s">
        <v>4</v>
      </c>
      <c r="C13" s="927"/>
      <c r="D13" s="315">
        <f>VLOOKUP(CONCATENATE(D$4,Sheet1!$C$3,Population!$B13),Sheet1!$B$31:$H$335,D$34,FALSE)</f>
        <v>105400</v>
      </c>
      <c r="E13" s="315">
        <f>VLOOKUP(CONCATENATE(E$4,Sheet1!$C$3,Population!$B13),Sheet1!$B$31:$H$335,E$34,FALSE)</f>
        <v>105900</v>
      </c>
      <c r="F13" s="315">
        <f>VLOOKUP(CONCATENATE(F$4,Sheet1!$C$3,Population!$B13),Sheet1!$B$31:$H$335,F$34,FALSE)</f>
        <v>105900</v>
      </c>
      <c r="G13" s="315">
        <f>VLOOKUP(CONCATENATE(G$4,Sheet1!$C$3,Population!$B13),Sheet1!$B$31:$H$335,G$34,FALSE)</f>
        <v>106000</v>
      </c>
      <c r="H13" s="316">
        <f>VLOOKUP(CONCATENATE(H$4,Sheet1!$C$3,Population!$B13),Sheet1!$B$31:$H$335,H$34,FALSE)</f>
        <v>106400</v>
      </c>
      <c r="I13" s="921"/>
      <c r="J13" s="315">
        <f>VLOOKUP(CONCATENATE(J$4,Sheet1!$C$3,Population!$B13),Sheet1!$B$31:$H$335,J$34,FALSE)</f>
        <v>149300</v>
      </c>
      <c r="K13" s="315">
        <f>VLOOKUP(CONCATENATE(K$4,Sheet1!$C$3,Population!$B13),Sheet1!$B$31:$H$335,K$34,FALSE)</f>
        <v>149700</v>
      </c>
      <c r="L13" s="315">
        <f>VLOOKUP(CONCATENATE(L$4,Sheet1!$C$3,Population!$B13),Sheet1!$B$31:$H$335,L$34,FALSE)</f>
        <v>149500</v>
      </c>
      <c r="M13" s="315">
        <f>VLOOKUP(CONCATENATE(M$4,Sheet1!$C$3,Population!$B13),Sheet1!$B$31:$H$335,M$34,FALSE)</f>
        <v>149300</v>
      </c>
      <c r="N13" s="316">
        <f>VLOOKUP(CONCATENATE(N$4,Sheet1!$C$3,Population!$B13),Sheet1!$B$31:$H$335,N$34,FALSE)</f>
        <v>148900</v>
      </c>
      <c r="O13" s="921"/>
      <c r="P13" s="315">
        <f>VLOOKUP(CONCATENATE(P$4,Sheet1!$C$3,Population!$B13),Sheet1!$B$31:$H$335,P$34,FALSE)</f>
        <v>16000</v>
      </c>
      <c r="Q13" s="315">
        <f>VLOOKUP(CONCATENATE(Q$4,Sheet1!$C$3,Population!$B13),Sheet1!$B$31:$H$335,Q$34,FALSE)</f>
        <v>15900</v>
      </c>
      <c r="R13" s="315">
        <f>VLOOKUP(CONCATENATE(R$4,Sheet1!$C$3,Population!$B13),Sheet1!$B$31:$H$335,R$34,FALSE)</f>
        <v>15700</v>
      </c>
      <c r="S13" s="315">
        <f>VLOOKUP(CONCATENATE(S$4,Sheet1!$C$3,Population!$B13),Sheet1!$B$31:$H$335,S$34,FALSE)</f>
        <v>15500</v>
      </c>
      <c r="T13" s="316">
        <f>VLOOKUP(CONCATENATE(T$4,Sheet1!$C$3,Population!$B13),Sheet1!$B$31:$H$335,T$34,FALSE)</f>
        <v>15200</v>
      </c>
      <c r="U13" s="277"/>
      <c r="V13" s="93"/>
      <c r="W13" s="76"/>
      <c r="X13" s="76"/>
      <c r="Y13" s="76"/>
      <c r="Z13" s="76"/>
      <c r="AA13" s="76"/>
      <c r="AB13" s="77"/>
      <c r="AC13" s="77"/>
    </row>
    <row r="14" spans="1:40" s="88" customFormat="1" ht="13.5" customHeight="1" x14ac:dyDescent="0.2">
      <c r="A14" s="462">
        <f>VLOOKUP(B14,Sheet1!$AQ$4:$AR$25,2,FALSE)</f>
        <v>0</v>
      </c>
      <c r="B14" s="95" t="s">
        <v>6</v>
      </c>
      <c r="C14" s="927"/>
      <c r="D14" s="315">
        <f>VLOOKUP(CONCATENATE(D$4,Sheet1!$C$3,Population!$B14),Sheet1!$B$31:$H$335,D$34,FALSE)</f>
        <v>281500</v>
      </c>
      <c r="E14" s="315">
        <f>VLOOKUP(CONCATENATE(E$4,Sheet1!$C$3,Population!$B14),Sheet1!$B$31:$H$335,E$34,FALSE)</f>
        <v>281900</v>
      </c>
      <c r="F14" s="315">
        <f>VLOOKUP(CONCATENATE(F$4,Sheet1!$C$3,Population!$B14),Sheet1!$B$31:$H$335,F$34,FALSE)</f>
        <v>282800</v>
      </c>
      <c r="G14" s="315">
        <f>VLOOKUP(CONCATENATE(G$4,Sheet1!$C$3,Population!$B14),Sheet1!$B$31:$H$335,G$34,FALSE)</f>
        <v>283300</v>
      </c>
      <c r="H14" s="316">
        <f>VLOOKUP(CONCATENATE(H$4,Sheet1!$C$3,Population!$B14),Sheet1!$B$31:$H$335,H$34,FALSE)</f>
        <v>284000</v>
      </c>
      <c r="I14" s="921"/>
      <c r="J14" s="315">
        <f>VLOOKUP(CONCATENATE(J$4,Sheet1!$C$3,Population!$B14),Sheet1!$B$31:$H$335,J$34,FALSE)</f>
        <v>397600</v>
      </c>
      <c r="K14" s="315">
        <f>VLOOKUP(CONCATENATE(K$4,Sheet1!$C$3,Population!$B14),Sheet1!$B$31:$H$335,K$34,FALSE)</f>
        <v>397100</v>
      </c>
      <c r="L14" s="315">
        <f>VLOOKUP(CONCATENATE(L$4,Sheet1!$C$3,Population!$B14),Sheet1!$B$31:$H$335,L$34,FALSE)</f>
        <v>396400</v>
      </c>
      <c r="M14" s="315">
        <f>VLOOKUP(CONCATENATE(M$4,Sheet1!$C$3,Population!$B14),Sheet1!$B$31:$H$335,M$34,FALSE)</f>
        <v>395900</v>
      </c>
      <c r="N14" s="316">
        <f>VLOOKUP(CONCATENATE(N$4,Sheet1!$C$3,Population!$B14),Sheet1!$B$31:$H$335,N$34,FALSE)</f>
        <v>395300</v>
      </c>
      <c r="O14" s="921"/>
      <c r="P14" s="315">
        <f>VLOOKUP(CONCATENATE(P$4,Sheet1!$C$3,Population!$B14),Sheet1!$B$31:$H$335,P$34,FALSE)</f>
        <v>40700</v>
      </c>
      <c r="Q14" s="315">
        <f>VLOOKUP(CONCATENATE(Q$4,Sheet1!$C$3,Population!$B14),Sheet1!$B$31:$H$335,Q$34,FALSE)</f>
        <v>41000</v>
      </c>
      <c r="R14" s="315">
        <f>VLOOKUP(CONCATENATE(R$4,Sheet1!$C$3,Population!$B14),Sheet1!$B$31:$H$335,R$34,FALSE)</f>
        <v>40800</v>
      </c>
      <c r="S14" s="315">
        <f>VLOOKUP(CONCATENATE(S$4,Sheet1!$C$3,Population!$B14),Sheet1!$B$31:$H$335,S$34,FALSE)</f>
        <v>39700</v>
      </c>
      <c r="T14" s="316">
        <f>VLOOKUP(CONCATENATE(T$4,Sheet1!$C$3,Population!$B14),Sheet1!$B$31:$H$335,T$34,FALSE)</f>
        <v>39200</v>
      </c>
      <c r="U14" s="277"/>
      <c r="V14" s="93"/>
      <c r="W14" s="76"/>
      <c r="X14" s="76"/>
      <c r="Y14" s="76"/>
      <c r="Z14" s="76"/>
      <c r="AA14" s="76"/>
      <c r="AB14" s="77"/>
      <c r="AC14" s="77"/>
    </row>
    <row r="15" spans="1:40" s="88" customFormat="1" ht="13.5" customHeight="1" x14ac:dyDescent="0.2">
      <c r="A15" s="462">
        <f>VLOOKUP(B15,Sheet1!$AQ$4:$AR$25,2,FALSE)</f>
        <v>0</v>
      </c>
      <c r="B15" s="707" t="s">
        <v>1</v>
      </c>
      <c r="C15" s="927"/>
      <c r="D15" s="315">
        <f>VLOOKUP(CONCATENATE(D$4,Sheet1!$C$3,Population!$B15),Sheet1!$B$31:$H$335,D$34,FALSE)</f>
        <v>25500</v>
      </c>
      <c r="E15" s="315">
        <f>VLOOKUP(CONCATENATE(E$4,Sheet1!$C$3,Population!$B15),Sheet1!$B$31:$H$335,E$34,FALSE)</f>
        <v>25300</v>
      </c>
      <c r="F15" s="315">
        <f>VLOOKUP(CONCATENATE(F$4,Sheet1!$C$3,Population!$B15),Sheet1!$B$31:$H$335,F$34,FALSE)</f>
        <v>25200</v>
      </c>
      <c r="G15" s="315">
        <f>VLOOKUP(CONCATENATE(G$4,Sheet1!$C$3,Population!$B15),Sheet1!$B$31:$H$335,G$34,FALSE)</f>
        <v>25100</v>
      </c>
      <c r="H15" s="316">
        <f>VLOOKUP(CONCATENATE(H$4,Sheet1!$C$3,Population!$B15),Sheet1!$B$31:$H$335,H$34,FALSE)</f>
        <v>24900</v>
      </c>
      <c r="I15" s="921"/>
      <c r="J15" s="315">
        <f>VLOOKUP(CONCATENATE(J$4,Sheet1!$C$3,Population!$B15),Sheet1!$B$31:$H$335,J$34,FALSE)</f>
        <v>36700</v>
      </c>
      <c r="K15" s="315">
        <f>VLOOKUP(CONCATENATE(K$4,Sheet1!$C$3,Population!$B15),Sheet1!$B$31:$H$335,K$34,FALSE)</f>
        <v>36400</v>
      </c>
      <c r="L15" s="315">
        <f>VLOOKUP(CONCATENATE(L$4,Sheet1!$C$3,Population!$B15),Sheet1!$B$31:$H$335,L$34,FALSE)</f>
        <v>36200</v>
      </c>
      <c r="M15" s="315">
        <f>VLOOKUP(CONCATENATE(M$4,Sheet1!$C$3,Population!$B15),Sheet1!$B$31:$H$335,M$34,FALSE)</f>
        <v>36000</v>
      </c>
      <c r="N15" s="316">
        <f>VLOOKUP(CONCATENATE(N$4,Sheet1!$C$3,Population!$B15),Sheet1!$B$31:$H$335,N$34,FALSE)</f>
        <v>35600</v>
      </c>
      <c r="O15" s="921"/>
      <c r="P15" s="315">
        <f>VLOOKUP(CONCATENATE(P$4,Sheet1!$C$3,Population!$B15),Sheet1!$B$31:$H$335,P$34,FALSE)</f>
        <v>4000</v>
      </c>
      <c r="Q15" s="315">
        <f>VLOOKUP(CONCATENATE(Q$4,Sheet1!$C$3,Population!$B15),Sheet1!$B$31:$H$335,Q$34,FALSE)</f>
        <v>4100</v>
      </c>
      <c r="R15" s="315">
        <f>VLOOKUP(CONCATENATE(R$4,Sheet1!$C$3,Population!$B15),Sheet1!$B$31:$H$335,R$34,FALSE)</f>
        <v>4000</v>
      </c>
      <c r="S15" s="315">
        <f>VLOOKUP(CONCATENATE(S$4,Sheet1!$C$3,Population!$B15),Sheet1!$B$31:$H$335,S$34,FALSE)</f>
        <v>3800</v>
      </c>
      <c r="T15" s="316">
        <f>VLOOKUP(CONCATENATE(T$4,Sheet1!$C$3,Population!$B15),Sheet1!$B$31:$H$335,T$34,FALSE)</f>
        <v>3800</v>
      </c>
      <c r="U15" s="277"/>
      <c r="V15" s="93"/>
      <c r="W15" s="76"/>
      <c r="X15" s="76"/>
      <c r="Y15" s="76"/>
      <c r="Z15" s="76"/>
      <c r="AA15" s="76"/>
      <c r="AB15" s="77"/>
      <c r="AC15" s="77"/>
    </row>
    <row r="16" spans="1:40" s="88" customFormat="1" ht="13.5" customHeight="1" x14ac:dyDescent="0.2">
      <c r="A16" s="462">
        <f>VLOOKUP(B16,Sheet1!$AQ$4:$AR$25,2,FALSE)</f>
        <v>0</v>
      </c>
      <c r="B16" s="707" t="s">
        <v>9</v>
      </c>
      <c r="C16" s="927"/>
      <c r="D16" s="315">
        <f>VLOOKUP(CONCATENATE(D$4,Sheet1!$C$3,Population!$B16),Sheet1!$B$31:$H$335,D$34,FALSE)</f>
        <v>328300</v>
      </c>
      <c r="E16" s="315">
        <f>VLOOKUP(CONCATENATE(E$4,Sheet1!$C$3,Population!$B16),Sheet1!$B$31:$H$335,E$34,FALSE)</f>
        <v>330400</v>
      </c>
      <c r="F16" s="315">
        <f>VLOOKUP(CONCATENATE(F$4,Sheet1!$C$3,Population!$B16),Sheet1!$B$31:$H$335,F$34,FALSE)</f>
        <v>333000</v>
      </c>
      <c r="G16" s="315">
        <f>VLOOKUP(CONCATENATE(G$4,Sheet1!$C$3,Population!$B16),Sheet1!$B$31:$H$335,G$34,FALSE)</f>
        <v>336100</v>
      </c>
      <c r="H16" s="316">
        <f>VLOOKUP(CONCATENATE(H$4,Sheet1!$C$3,Population!$B16),Sheet1!$B$31:$H$335,H$34,FALSE)</f>
        <v>340100</v>
      </c>
      <c r="I16" s="921"/>
      <c r="J16" s="315">
        <f>VLOOKUP(CONCATENATE(J$4,Sheet1!$C$3,Population!$B16),Sheet1!$B$31:$H$335,J$34,FALSE)</f>
        <v>476200</v>
      </c>
      <c r="K16" s="315">
        <f>VLOOKUP(CONCATENATE(K$4,Sheet1!$C$3,Population!$B16),Sheet1!$B$31:$H$335,K$34,FALSE)</f>
        <v>477600</v>
      </c>
      <c r="L16" s="315">
        <f>VLOOKUP(CONCATENATE(L$4,Sheet1!$C$3,Population!$B16),Sheet1!$B$31:$H$335,L$34,FALSE)</f>
        <v>480400</v>
      </c>
      <c r="M16" s="315">
        <f>VLOOKUP(CONCATENATE(M$4,Sheet1!$C$3,Population!$B16),Sheet1!$B$31:$H$335,M$34,FALSE)</f>
        <v>481500</v>
      </c>
      <c r="N16" s="316">
        <f>VLOOKUP(CONCATENATE(N$4,Sheet1!$C$3,Population!$B16),Sheet1!$B$31:$H$335,N$34,FALSE)</f>
        <v>482700</v>
      </c>
      <c r="O16" s="921"/>
      <c r="P16" s="315">
        <f>VLOOKUP(CONCATENATE(P$4,Sheet1!$C$3,Population!$B16),Sheet1!$B$31:$H$335,P$34,FALSE)</f>
        <v>55400</v>
      </c>
      <c r="Q16" s="315">
        <f>VLOOKUP(CONCATENATE(Q$4,Sheet1!$C$3,Population!$B16),Sheet1!$B$31:$H$335,Q$34,FALSE)</f>
        <v>54200</v>
      </c>
      <c r="R16" s="315">
        <f>VLOOKUP(CONCATENATE(R$4,Sheet1!$C$3,Population!$B16),Sheet1!$B$31:$H$335,R$34,FALSE)</f>
        <v>53400</v>
      </c>
      <c r="S16" s="315">
        <f>VLOOKUP(CONCATENATE(S$4,Sheet1!$C$3,Population!$B16),Sheet1!$B$31:$H$335,S$34,FALSE)</f>
        <v>52800</v>
      </c>
      <c r="T16" s="316">
        <f>VLOOKUP(CONCATENATE(T$4,Sheet1!$C$3,Population!$B16),Sheet1!$B$31:$H$335,T$34,FALSE)</f>
        <v>52300</v>
      </c>
      <c r="U16" s="277"/>
      <c r="V16" s="93"/>
      <c r="W16" s="76"/>
      <c r="X16" s="76"/>
      <c r="Y16" s="76"/>
      <c r="Z16" s="76"/>
      <c r="AA16" s="76"/>
      <c r="AB16" s="77"/>
      <c r="AC16" s="77"/>
    </row>
    <row r="17" spans="1:29" s="88" customFormat="1" ht="13.5" customHeight="1" x14ac:dyDescent="0.2">
      <c r="A17" s="462">
        <f>VLOOKUP(B17,Sheet1!$AQ$4:$AR$25,2,FALSE)</f>
        <v>0</v>
      </c>
      <c r="B17" s="707" t="s">
        <v>2</v>
      </c>
      <c r="C17" s="927"/>
      <c r="D17" s="315">
        <f>VLOOKUP(CONCATENATE(D$4,Sheet1!$C$3,Population!$B17),Sheet1!$B$31:$H$335,D$34,FALSE)</f>
        <v>62500</v>
      </c>
      <c r="E17" s="315">
        <f>VLOOKUP(CONCATENATE(E$4,Sheet1!$C$3,Population!$B17),Sheet1!$B$31:$H$335,E$34,FALSE)</f>
        <v>63200</v>
      </c>
      <c r="F17" s="315">
        <f>VLOOKUP(CONCATENATE(F$4,Sheet1!$C$3,Population!$B17),Sheet1!$B$31:$H$335,F$34,FALSE)</f>
        <v>63700</v>
      </c>
      <c r="G17" s="315">
        <f>VLOOKUP(CONCATENATE(G$4,Sheet1!$C$3,Population!$B17),Sheet1!$B$31:$H$335,G$34,FALSE)</f>
        <v>63900</v>
      </c>
      <c r="H17" s="316">
        <f>VLOOKUP(CONCATENATE(H$4,Sheet1!$C$3,Population!$B17),Sheet1!$B$31:$H$335,H$34,FALSE)</f>
        <v>64400</v>
      </c>
      <c r="I17" s="921"/>
      <c r="J17" s="315">
        <f>VLOOKUP(CONCATENATE(J$4,Sheet1!$C$3,Population!$B17),Sheet1!$B$31:$H$335,J$34,FALSE)</f>
        <v>93800</v>
      </c>
      <c r="K17" s="315">
        <f>VLOOKUP(CONCATENATE(K$4,Sheet1!$C$3,Population!$B17),Sheet1!$B$31:$H$335,K$34,FALSE)</f>
        <v>94100</v>
      </c>
      <c r="L17" s="315">
        <f>VLOOKUP(CONCATENATE(L$4,Sheet1!$C$3,Population!$B17),Sheet1!$B$31:$H$335,L$34,FALSE)</f>
        <v>93900</v>
      </c>
      <c r="M17" s="315">
        <f>VLOOKUP(CONCATENATE(M$4,Sheet1!$C$3,Population!$B17),Sheet1!$B$31:$H$335,M$34,FALSE)</f>
        <v>92500</v>
      </c>
      <c r="N17" s="316">
        <f>VLOOKUP(CONCATENATE(N$4,Sheet1!$C$3,Population!$B17),Sheet1!$B$31:$H$335,N$34,FALSE)</f>
        <v>91500</v>
      </c>
      <c r="O17" s="921"/>
      <c r="P17" s="315">
        <f>VLOOKUP(CONCATENATE(P$4,Sheet1!$C$3,Population!$B17),Sheet1!$B$31:$H$335,P$34,FALSE)</f>
        <v>11000</v>
      </c>
      <c r="Q17" s="315">
        <f>VLOOKUP(CONCATENATE(Q$4,Sheet1!$C$3,Population!$B17),Sheet1!$B$31:$H$335,Q$34,FALSE)</f>
        <v>10700</v>
      </c>
      <c r="R17" s="315">
        <f>VLOOKUP(CONCATENATE(R$4,Sheet1!$C$3,Population!$B17),Sheet1!$B$31:$H$335,R$34,FALSE)</f>
        <v>10300</v>
      </c>
      <c r="S17" s="315">
        <f>VLOOKUP(CONCATENATE(S$4,Sheet1!$C$3,Population!$B17),Sheet1!$B$31:$H$335,S$34,FALSE)</f>
        <v>9900</v>
      </c>
      <c r="T17" s="316">
        <f>VLOOKUP(CONCATENATE(T$4,Sheet1!$C$3,Population!$B17),Sheet1!$B$31:$H$335,T$34,FALSE)</f>
        <v>9600</v>
      </c>
      <c r="U17" s="277"/>
      <c r="V17" s="93"/>
      <c r="W17" s="76"/>
      <c r="X17" s="76"/>
      <c r="Y17" s="76"/>
      <c r="Z17" s="76"/>
      <c r="AA17" s="76"/>
      <c r="AB17" s="77"/>
      <c r="AC17" s="77"/>
    </row>
    <row r="18" spans="1:29" s="88" customFormat="1" ht="13.5" customHeight="1" x14ac:dyDescent="0.2">
      <c r="A18" s="462">
        <f>VLOOKUP(B18,Sheet1!$AQ$4:$AR$25,2,FALSE)</f>
        <v>0</v>
      </c>
      <c r="B18" s="707" t="s">
        <v>10</v>
      </c>
      <c r="C18" s="927"/>
      <c r="D18" s="315">
        <f>VLOOKUP(CONCATENATE(D$4,Sheet1!$C$3,Population!$B18),Sheet1!$B$31:$H$335,D$34,FALSE)</f>
        <v>65200</v>
      </c>
      <c r="E18" s="315">
        <f>VLOOKUP(CONCATENATE(E$4,Sheet1!$C$3,Population!$B18),Sheet1!$B$31:$H$335,E$34,FALSE)</f>
        <v>66100</v>
      </c>
      <c r="F18" s="315">
        <f>VLOOKUP(CONCATENATE(F$4,Sheet1!$C$3,Population!$B18),Sheet1!$B$31:$H$335,F$34,FALSE)</f>
        <v>67100</v>
      </c>
      <c r="G18" s="315">
        <f>VLOOKUP(CONCATENATE(G$4,Sheet1!$C$3,Population!$B18),Sheet1!$B$31:$H$335,G$34,FALSE)</f>
        <v>67600</v>
      </c>
      <c r="H18" s="316">
        <f>VLOOKUP(CONCATENATE(H$4,Sheet1!$C$3,Population!$B18),Sheet1!$B$31:$H$335,H$34,FALSE)</f>
        <v>68300</v>
      </c>
      <c r="I18" s="921"/>
      <c r="J18" s="315">
        <f>VLOOKUP(CONCATENATE(J$4,Sheet1!$C$3,Population!$B18),Sheet1!$B$31:$H$335,J$34,FALSE)</f>
        <v>86900</v>
      </c>
      <c r="K18" s="315">
        <f>VLOOKUP(CONCATENATE(K$4,Sheet1!$C$3,Population!$B18),Sheet1!$B$31:$H$335,K$34,FALSE)</f>
        <v>87700</v>
      </c>
      <c r="L18" s="315">
        <f>VLOOKUP(CONCATENATE(L$4,Sheet1!$C$3,Population!$B18),Sheet1!$B$31:$H$335,L$34,FALSE)</f>
        <v>88400</v>
      </c>
      <c r="M18" s="315">
        <f>VLOOKUP(CONCATENATE(M$4,Sheet1!$C$3,Population!$B18),Sheet1!$B$31:$H$335,M$34,FALSE)</f>
        <v>89100</v>
      </c>
      <c r="N18" s="316">
        <f>VLOOKUP(CONCATENATE(N$4,Sheet1!$C$3,Population!$B18),Sheet1!$B$31:$H$335,N$34,FALSE)</f>
        <v>89400</v>
      </c>
      <c r="O18" s="921"/>
      <c r="P18" s="315">
        <f>VLOOKUP(CONCATENATE(P$4,Sheet1!$C$3,Population!$B18),Sheet1!$B$31:$H$335,P$34,FALSE)</f>
        <v>7100</v>
      </c>
      <c r="Q18" s="315">
        <f>VLOOKUP(CONCATENATE(Q$4,Sheet1!$C$3,Population!$B18),Sheet1!$B$31:$H$335,Q$34,FALSE)</f>
        <v>7100</v>
      </c>
      <c r="R18" s="315">
        <f>VLOOKUP(CONCATENATE(R$4,Sheet1!$C$3,Population!$B18),Sheet1!$B$31:$H$335,R$34,FALSE)</f>
        <v>6700</v>
      </c>
      <c r="S18" s="315">
        <f>VLOOKUP(CONCATENATE(S$4,Sheet1!$C$3,Population!$B18),Sheet1!$B$31:$H$335,S$34,FALSE)</f>
        <v>6700</v>
      </c>
      <c r="T18" s="316">
        <f>VLOOKUP(CONCATENATE(T$4,Sheet1!$C$3,Population!$B18),Sheet1!$B$31:$H$335,T$34,FALSE)</f>
        <v>6500</v>
      </c>
      <c r="U18" s="277"/>
      <c r="V18" s="93"/>
      <c r="W18" s="76"/>
      <c r="X18" s="76"/>
      <c r="Y18" s="76"/>
      <c r="Z18" s="76"/>
      <c r="AA18" s="76"/>
      <c r="AB18" s="77"/>
      <c r="AC18" s="77"/>
    </row>
    <row r="19" spans="1:29" s="88" customFormat="1" ht="13.5" customHeight="1" x14ac:dyDescent="0.2">
      <c r="A19" s="462">
        <f>VLOOKUP(B19,Sheet1!$AQ$4:$AR$25,2,FALSE)</f>
        <v>0</v>
      </c>
      <c r="B19" s="707" t="s">
        <v>11</v>
      </c>
      <c r="C19" s="927"/>
      <c r="D19" s="315">
        <f>VLOOKUP(CONCATENATE(D$4,Sheet1!$C$3,Population!$B19),Sheet1!$B$31:$H$335,D$34,FALSE)</f>
        <v>141200</v>
      </c>
      <c r="E19" s="315">
        <f>VLOOKUP(CONCATENATE(E$4,Sheet1!$C$3,Population!$B19),Sheet1!$B$31:$H$335,E$34,FALSE)</f>
        <v>141800</v>
      </c>
      <c r="F19" s="315">
        <f>VLOOKUP(CONCATENATE(F$4,Sheet1!$C$3,Population!$B19),Sheet1!$B$31:$H$335,F$34,FALSE)</f>
        <v>142900</v>
      </c>
      <c r="G19" s="315">
        <f>VLOOKUP(CONCATENATE(G$4,Sheet1!$C$3,Population!$B19),Sheet1!$B$31:$H$335,G$34,FALSE)</f>
        <v>143400</v>
      </c>
      <c r="H19" s="316">
        <f>VLOOKUP(CONCATENATE(H$4,Sheet1!$C$3,Population!$B19),Sheet1!$B$31:$H$335,H$34,FALSE)</f>
        <v>144800</v>
      </c>
      <c r="I19" s="921"/>
      <c r="J19" s="315">
        <f>VLOOKUP(CONCATENATE(J$4,Sheet1!$C$3,Population!$B19),Sheet1!$B$31:$H$335,J$34,FALSE)</f>
        <v>217800</v>
      </c>
      <c r="K19" s="315">
        <f>VLOOKUP(CONCATENATE(K$4,Sheet1!$C$3,Population!$B19),Sheet1!$B$31:$H$335,K$34,FALSE)</f>
        <v>219700</v>
      </c>
      <c r="L19" s="315">
        <f>VLOOKUP(CONCATENATE(L$4,Sheet1!$C$3,Population!$B19),Sheet1!$B$31:$H$335,L$34,FALSE)</f>
        <v>221100</v>
      </c>
      <c r="M19" s="315">
        <f>VLOOKUP(CONCATENATE(M$4,Sheet1!$C$3,Population!$B19),Sheet1!$B$31:$H$335,M$34,FALSE)</f>
        <v>220400</v>
      </c>
      <c r="N19" s="316">
        <f>VLOOKUP(CONCATENATE(N$4,Sheet1!$C$3,Population!$B19),Sheet1!$B$31:$H$335,N$34,FALSE)</f>
        <v>221800</v>
      </c>
      <c r="O19" s="921"/>
      <c r="P19" s="315">
        <f>VLOOKUP(CONCATENATE(P$4,Sheet1!$C$3,Population!$B19),Sheet1!$B$31:$H$335,P$34,FALSE)</f>
        <v>30400</v>
      </c>
      <c r="Q19" s="315">
        <f>VLOOKUP(CONCATENATE(Q$4,Sheet1!$C$3,Population!$B19),Sheet1!$B$31:$H$335,Q$34,FALSE)</f>
        <v>30300</v>
      </c>
      <c r="R19" s="315">
        <f>VLOOKUP(CONCATENATE(R$4,Sheet1!$C$3,Population!$B19),Sheet1!$B$31:$H$335,R$34,FALSE)</f>
        <v>30400</v>
      </c>
      <c r="S19" s="315">
        <f>VLOOKUP(CONCATENATE(S$4,Sheet1!$C$3,Population!$B19),Sheet1!$B$31:$H$335,S$34,FALSE)</f>
        <v>29900</v>
      </c>
      <c r="T19" s="316">
        <f>VLOOKUP(CONCATENATE(T$4,Sheet1!$C$3,Population!$B19),Sheet1!$B$31:$H$335,T$34,FALSE)</f>
        <v>29900</v>
      </c>
      <c r="U19" s="277"/>
      <c r="V19" s="93"/>
      <c r="W19" s="76"/>
      <c r="X19" s="76"/>
      <c r="Y19" s="76"/>
      <c r="Z19" s="76"/>
      <c r="AA19" s="76"/>
      <c r="AB19" s="77"/>
      <c r="AC19" s="77"/>
    </row>
    <row r="20" spans="1:29" s="88" customFormat="1" ht="13.5" customHeight="1" x14ac:dyDescent="0.2">
      <c r="A20" s="462">
        <f>VLOOKUP(B20,Sheet1!$AQ$4:$AR$25,2,FALSE)</f>
        <v>0</v>
      </c>
      <c r="B20" s="707" t="s">
        <v>12</v>
      </c>
      <c r="C20" s="927"/>
      <c r="D20" s="315">
        <f>VLOOKUP(CONCATENATE(D$4,Sheet1!$C$3,Population!$B20),Sheet1!$B$31:$H$335,D$34,FALSE)</f>
        <v>43400</v>
      </c>
      <c r="E20" s="315">
        <f>VLOOKUP(CONCATENATE(E$4,Sheet1!$C$3,Population!$B20),Sheet1!$B$31:$H$335,E$34,FALSE)</f>
        <v>43800</v>
      </c>
      <c r="F20" s="315">
        <f>VLOOKUP(CONCATENATE(F$4,Sheet1!$C$3,Population!$B20),Sheet1!$B$31:$H$335,F$34,FALSE)</f>
        <v>44000</v>
      </c>
      <c r="G20" s="315">
        <f>VLOOKUP(CONCATENATE(G$4,Sheet1!$C$3,Population!$B20),Sheet1!$B$31:$H$335,G$34,FALSE)</f>
        <v>44200</v>
      </c>
      <c r="H20" s="316">
        <f>VLOOKUP(CONCATENATE(H$4,Sheet1!$C$3,Population!$B20),Sheet1!$B$31:$H$335,H$34,FALSE)</f>
        <v>44000</v>
      </c>
      <c r="I20" s="921"/>
      <c r="J20" s="315">
        <f>VLOOKUP(CONCATENATE(J$4,Sheet1!$C$3,Population!$B20),Sheet1!$B$31:$H$335,J$34,FALSE)</f>
        <v>78300</v>
      </c>
      <c r="K20" s="315">
        <f>VLOOKUP(CONCATENATE(K$4,Sheet1!$C$3,Population!$B20),Sheet1!$B$31:$H$335,K$34,FALSE)</f>
        <v>79500</v>
      </c>
      <c r="L20" s="315">
        <f>VLOOKUP(CONCATENATE(L$4,Sheet1!$C$3,Population!$B20),Sheet1!$B$31:$H$335,L$34,FALSE)</f>
        <v>80600</v>
      </c>
      <c r="M20" s="315">
        <f>VLOOKUP(CONCATENATE(M$4,Sheet1!$C$3,Population!$B20),Sheet1!$B$31:$H$335,M$34,FALSE)</f>
        <v>80700</v>
      </c>
      <c r="N20" s="316">
        <f>VLOOKUP(CONCATENATE(N$4,Sheet1!$C$3,Population!$B20),Sheet1!$B$31:$H$335,N$34,FALSE)</f>
        <v>80200</v>
      </c>
      <c r="O20" s="921"/>
      <c r="P20" s="315">
        <f>VLOOKUP(CONCATENATE(P$4,Sheet1!$C$3,Population!$B20),Sheet1!$B$31:$H$335,P$34,FALSE)</f>
        <v>15100</v>
      </c>
      <c r="Q20" s="315">
        <f>VLOOKUP(CONCATENATE(Q$4,Sheet1!$C$3,Population!$B20),Sheet1!$B$31:$H$335,Q$34,FALSE)</f>
        <v>15200</v>
      </c>
      <c r="R20" s="315">
        <f>VLOOKUP(CONCATENATE(R$4,Sheet1!$C$3,Population!$B20),Sheet1!$B$31:$H$335,R$34,FALSE)</f>
        <v>15500</v>
      </c>
      <c r="S20" s="315">
        <f>VLOOKUP(CONCATENATE(S$4,Sheet1!$C$3,Population!$B20),Sheet1!$B$31:$H$335,S$34,FALSE)</f>
        <v>16200</v>
      </c>
      <c r="T20" s="316">
        <f>VLOOKUP(CONCATENATE(T$4,Sheet1!$C$3,Population!$B20),Sheet1!$B$31:$H$335,T$34,FALSE)</f>
        <v>16400</v>
      </c>
      <c r="U20" s="277"/>
      <c r="V20" s="93"/>
      <c r="W20" s="76"/>
      <c r="X20" s="76"/>
      <c r="Y20" s="76"/>
      <c r="Z20" s="76"/>
      <c r="AA20" s="76"/>
      <c r="AB20" s="77"/>
      <c r="AC20" s="77"/>
    </row>
    <row r="21" spans="1:29" s="88" customFormat="1" ht="13.5" customHeight="1" x14ac:dyDescent="0.2">
      <c r="A21" s="462">
        <f>VLOOKUP(B21,Sheet1!$AQ$4:$AR$25,2,FALSE)</f>
        <v>0</v>
      </c>
      <c r="B21" s="707" t="s">
        <v>3</v>
      </c>
      <c r="C21" s="927"/>
      <c r="D21" s="315">
        <f>VLOOKUP(CONCATENATE(D$4,Sheet1!$C$3,Population!$B21),Sheet1!$B$31:$H$335,D$34,FALSE)</f>
        <v>35900</v>
      </c>
      <c r="E21" s="315">
        <f>VLOOKUP(CONCATENATE(E$4,Sheet1!$C$3,Population!$B21),Sheet1!$B$31:$H$335,E$34,FALSE)</f>
        <v>36400</v>
      </c>
      <c r="F21" s="315">
        <f>VLOOKUP(CONCATENATE(F$4,Sheet1!$C$3,Population!$B21),Sheet1!$B$31:$H$335,F$34,FALSE)</f>
        <v>36600</v>
      </c>
      <c r="G21" s="315">
        <f>VLOOKUP(CONCATENATE(G$4,Sheet1!$C$3,Population!$B21),Sheet1!$B$31:$H$335,G$34,FALSE)</f>
        <v>37100</v>
      </c>
      <c r="H21" s="316">
        <f>VLOOKUP(CONCATENATE(H$4,Sheet1!$C$3,Population!$B21),Sheet1!$B$31:$H$335,H$34,FALSE)</f>
        <v>37100</v>
      </c>
      <c r="I21" s="921"/>
      <c r="J21" s="315">
        <f>VLOOKUP(CONCATENATE(J$4,Sheet1!$C$3,Population!$B21),Sheet1!$B$31:$H$335,J$34,FALSE)</f>
        <v>57900</v>
      </c>
      <c r="K21" s="315">
        <f>VLOOKUP(CONCATENATE(K$4,Sheet1!$C$3,Population!$B21),Sheet1!$B$31:$H$335,K$34,FALSE)</f>
        <v>58400</v>
      </c>
      <c r="L21" s="315">
        <f>VLOOKUP(CONCATENATE(L$4,Sheet1!$C$3,Population!$B21),Sheet1!$B$31:$H$335,L$34,FALSE)</f>
        <v>58600</v>
      </c>
      <c r="M21" s="315">
        <f>VLOOKUP(CONCATENATE(M$4,Sheet1!$C$3,Population!$B21),Sheet1!$B$31:$H$335,M$34,FALSE)</f>
        <v>58800</v>
      </c>
      <c r="N21" s="316">
        <f>VLOOKUP(CONCATENATE(N$4,Sheet1!$C$3,Population!$B21),Sheet1!$B$31:$H$335,N$34,FALSE)</f>
        <v>59100</v>
      </c>
      <c r="O21" s="921"/>
      <c r="P21" s="315">
        <f>VLOOKUP(CONCATENATE(P$4,Sheet1!$C$3,Population!$B21),Sheet1!$B$31:$H$335,P$34,FALSE)</f>
        <v>8800</v>
      </c>
      <c r="Q21" s="315">
        <f>VLOOKUP(CONCATENATE(Q$4,Sheet1!$C$3,Population!$B21),Sheet1!$B$31:$H$335,Q$34,FALSE)</f>
        <v>8800</v>
      </c>
      <c r="R21" s="315">
        <f>VLOOKUP(CONCATENATE(R$4,Sheet1!$C$3,Population!$B21),Sheet1!$B$31:$H$335,R$34,FALSE)</f>
        <v>8800</v>
      </c>
      <c r="S21" s="315">
        <f>VLOOKUP(CONCATENATE(S$4,Sheet1!$C$3,Population!$B21),Sheet1!$B$31:$H$335,S$34,FALSE)</f>
        <v>9100</v>
      </c>
      <c r="T21" s="316">
        <f>VLOOKUP(CONCATENATE(T$4,Sheet1!$C$3,Population!$B21),Sheet1!$B$31:$H$335,T$34,FALSE)</f>
        <v>9400</v>
      </c>
      <c r="U21" s="277"/>
      <c r="V21" s="93"/>
      <c r="W21" s="76"/>
      <c r="X21" s="76"/>
      <c r="Y21" s="76"/>
      <c r="Z21" s="76"/>
      <c r="AA21" s="76"/>
      <c r="AB21" s="77"/>
      <c r="AC21" s="77"/>
    </row>
    <row r="22" spans="1:29" s="88" customFormat="1" ht="13.5" customHeight="1" x14ac:dyDescent="0.2">
      <c r="A22" s="462">
        <f>VLOOKUP(B22,Sheet1!$AQ$4:$AR$25,2,FALSE)</f>
        <v>0</v>
      </c>
      <c r="B22" s="707" t="s">
        <v>13</v>
      </c>
      <c r="C22" s="927"/>
      <c r="D22" s="315">
        <f>VLOOKUP(CONCATENATE(D$4,Sheet1!$C$3,Population!$B22),Sheet1!$B$31:$H$335,D$34,FALSE)</f>
        <v>39900</v>
      </c>
      <c r="E22" s="315">
        <f>VLOOKUP(CONCATENATE(E$4,Sheet1!$C$3,Population!$B22),Sheet1!$B$31:$H$335,E$34,FALSE)</f>
        <v>40600</v>
      </c>
      <c r="F22" s="315">
        <f>VLOOKUP(CONCATENATE(F$4,Sheet1!$C$3,Population!$B22),Sheet1!$B$31:$H$335,F$34,FALSE)</f>
        <v>41400</v>
      </c>
      <c r="G22" s="315">
        <f>VLOOKUP(CONCATENATE(G$4,Sheet1!$C$3,Population!$B22),Sheet1!$B$31:$H$335,G$34,FALSE)</f>
        <v>42200</v>
      </c>
      <c r="H22" s="316">
        <f>VLOOKUP(CONCATENATE(H$4,Sheet1!$C$3,Population!$B22),Sheet1!$B$31:$H$335,H$34,FALSE)</f>
        <v>42700</v>
      </c>
      <c r="I22" s="921"/>
      <c r="J22" s="315">
        <f>VLOOKUP(CONCATENATE(J$4,Sheet1!$C$3,Population!$B22),Sheet1!$B$31:$H$335,J$34,FALSE)</f>
        <v>53200</v>
      </c>
      <c r="K22" s="315">
        <f>VLOOKUP(CONCATENATE(K$4,Sheet1!$C$3,Population!$B22),Sheet1!$B$31:$H$335,K$34,FALSE)</f>
        <v>53600</v>
      </c>
      <c r="L22" s="315">
        <f>VLOOKUP(CONCATENATE(L$4,Sheet1!$C$3,Population!$B22),Sheet1!$B$31:$H$335,L$34,FALSE)</f>
        <v>54300</v>
      </c>
      <c r="M22" s="315">
        <f>VLOOKUP(CONCATENATE(M$4,Sheet1!$C$3,Population!$B22),Sheet1!$B$31:$H$335,M$34,FALSE)</f>
        <v>54900</v>
      </c>
      <c r="N22" s="316">
        <f>VLOOKUP(CONCATENATE(N$4,Sheet1!$C$3,Population!$B22),Sheet1!$B$31:$H$335,N$34,FALSE)</f>
        <v>55300</v>
      </c>
      <c r="O22" s="921"/>
      <c r="P22" s="315">
        <f>VLOOKUP(CONCATENATE(P$4,Sheet1!$C$3,Population!$B22),Sheet1!$B$31:$H$335,P$34,FALSE)</f>
        <v>4400</v>
      </c>
      <c r="Q22" s="315">
        <f>VLOOKUP(CONCATENATE(Q$4,Sheet1!$C$3,Population!$B22),Sheet1!$B$31:$H$335,Q$34,FALSE)</f>
        <v>4500</v>
      </c>
      <c r="R22" s="315">
        <f>VLOOKUP(CONCATENATE(R$4,Sheet1!$C$3,Population!$B22),Sheet1!$B$31:$H$335,R$34,FALSE)</f>
        <v>4400</v>
      </c>
      <c r="S22" s="315">
        <f>VLOOKUP(CONCATENATE(S$4,Sheet1!$C$3,Population!$B22),Sheet1!$B$31:$H$335,S$34,FALSE)</f>
        <v>4300</v>
      </c>
      <c r="T22" s="316">
        <f>VLOOKUP(CONCATENATE(T$4,Sheet1!$C$3,Population!$B22),Sheet1!$B$31:$H$335,T$34,FALSE)</f>
        <v>4200</v>
      </c>
      <c r="U22" s="277"/>
      <c r="V22" s="93"/>
      <c r="W22" s="76"/>
      <c r="X22" s="76"/>
      <c r="Y22" s="76"/>
      <c r="Z22" s="76"/>
      <c r="AA22" s="76"/>
      <c r="AB22" s="77"/>
      <c r="AC22" s="77"/>
    </row>
    <row r="23" spans="1:29" s="88" customFormat="1" ht="13.5" customHeight="1" x14ac:dyDescent="0.2">
      <c r="A23" s="462">
        <f>VLOOKUP(B23,Sheet1!$AQ$4:$AR$25,2,FALSE)</f>
        <v>0</v>
      </c>
      <c r="B23" s="707" t="s">
        <v>93</v>
      </c>
      <c r="C23" s="927"/>
      <c r="D23" s="315">
        <f>VLOOKUP(CONCATENATE(D$4,Sheet1!$C$3,Population!$B23),Sheet1!$B$31:$H$335,D$34,FALSE)</f>
        <v>108900</v>
      </c>
      <c r="E23" s="315">
        <f>VLOOKUP(CONCATENATE(E$4,Sheet1!$C$3,Population!$B23),Sheet1!$B$31:$H$335,E$34,FALSE)</f>
        <v>109200</v>
      </c>
      <c r="F23" s="315">
        <f>VLOOKUP(CONCATENATE(F$4,Sheet1!$C$3,Population!$B23),Sheet1!$B$31:$H$335,F$34,FALSE)</f>
        <v>109700</v>
      </c>
      <c r="G23" s="315">
        <f>VLOOKUP(CONCATENATE(G$4,Sheet1!$C$3,Population!$B23),Sheet1!$B$31:$H$335,G$34,FALSE)</f>
        <v>110100</v>
      </c>
      <c r="H23" s="316">
        <f>VLOOKUP(CONCATENATE(H$4,Sheet1!$C$3,Population!$B23),Sheet1!$B$31:$H$335,H$34,FALSE)</f>
        <v>110700</v>
      </c>
      <c r="I23" s="921"/>
      <c r="J23" s="315">
        <f>VLOOKUP(CONCATENATE(J$4,Sheet1!$C$3,Population!$B23),Sheet1!$B$31:$H$335,J$34,FALSE)</f>
        <v>154100</v>
      </c>
      <c r="K23" s="315">
        <f>VLOOKUP(CONCATENATE(K$4,Sheet1!$C$3,Population!$B23),Sheet1!$B$31:$H$335,K$34,FALSE)</f>
        <v>153800</v>
      </c>
      <c r="L23" s="315">
        <f>VLOOKUP(CONCATENATE(L$4,Sheet1!$C$3,Population!$B23),Sheet1!$B$31:$H$335,L$34,FALSE)</f>
        <v>153700</v>
      </c>
      <c r="M23" s="315">
        <f>VLOOKUP(CONCATENATE(M$4,Sheet1!$C$3,Population!$B23),Sheet1!$B$31:$H$335,M$34,FALSE)</f>
        <v>153200</v>
      </c>
      <c r="N23" s="316">
        <f>VLOOKUP(CONCATENATE(N$4,Sheet1!$C$3,Population!$B23),Sheet1!$B$31:$H$335,N$34,FALSE)</f>
        <v>153200</v>
      </c>
      <c r="O23" s="921"/>
      <c r="P23" s="315">
        <f>VLOOKUP(CONCATENATE(P$4,Sheet1!$C$3,Population!$B23),Sheet1!$B$31:$H$335,P$34,FALSE)</f>
        <v>15500</v>
      </c>
      <c r="Q23" s="315">
        <f>VLOOKUP(CONCATENATE(Q$4,Sheet1!$C$3,Population!$B23),Sheet1!$B$31:$H$335,Q$34,FALSE)</f>
        <v>15300</v>
      </c>
      <c r="R23" s="315">
        <f>VLOOKUP(CONCATENATE(R$4,Sheet1!$C$3,Population!$B23),Sheet1!$B$31:$H$335,R$34,FALSE)</f>
        <v>14900</v>
      </c>
      <c r="S23" s="315">
        <f>VLOOKUP(CONCATENATE(S$4,Sheet1!$C$3,Population!$B23),Sheet1!$B$31:$H$335,S$34,FALSE)</f>
        <v>14800</v>
      </c>
      <c r="T23" s="316">
        <f>VLOOKUP(CONCATENATE(T$4,Sheet1!$C$3,Population!$B23),Sheet1!$B$31:$H$335,T$34,FALSE)</f>
        <v>14500</v>
      </c>
      <c r="U23" s="277"/>
      <c r="V23" s="93"/>
      <c r="W23" s="76"/>
      <c r="X23" s="76"/>
      <c r="Y23" s="76"/>
      <c r="Z23" s="76"/>
      <c r="AA23" s="76"/>
      <c r="AB23" s="77"/>
      <c r="AC23" s="77"/>
    </row>
    <row r="24" spans="1:29" s="88" customFormat="1" ht="13.5" customHeight="1" x14ac:dyDescent="0.2">
      <c r="A24" s="462">
        <f>VLOOKUP(B24,Sheet1!$AQ$4:$AR$25,2,FALSE)</f>
        <v>0</v>
      </c>
      <c r="B24" s="707" t="s">
        <v>14</v>
      </c>
      <c r="C24" s="927"/>
      <c r="D24" s="315">
        <f>VLOOKUP(CONCATENATE(D$4,Sheet1!$C$3,Population!$B24),Sheet1!$B$31:$H$335,D$34,FALSE)</f>
        <v>48600</v>
      </c>
      <c r="E24" s="315">
        <f>VLOOKUP(CONCATENATE(E$4,Sheet1!$C$3,Population!$B24),Sheet1!$B$31:$H$335,E$34,FALSE)</f>
        <v>49200</v>
      </c>
      <c r="F24" s="315">
        <f>VLOOKUP(CONCATENATE(F$4,Sheet1!$C$3,Population!$B24),Sheet1!$B$31:$H$335,F$34,FALSE)</f>
        <v>49900</v>
      </c>
      <c r="G24" s="315">
        <f>VLOOKUP(CONCATENATE(G$4,Sheet1!$C$3,Population!$B24),Sheet1!$B$31:$H$335,G$34,FALSE)</f>
        <v>50300</v>
      </c>
      <c r="H24" s="316">
        <f>VLOOKUP(CONCATENATE(H$4,Sheet1!$C$3,Population!$B24),Sheet1!$B$31:$H$335,H$34,FALSE)</f>
        <v>50800</v>
      </c>
      <c r="I24" s="921"/>
      <c r="J24" s="315">
        <f>VLOOKUP(CONCATENATE(J$4,Sheet1!$C$3,Population!$B24),Sheet1!$B$31:$H$335,J$34,FALSE)</f>
        <v>95000</v>
      </c>
      <c r="K24" s="315">
        <f>VLOOKUP(CONCATENATE(K$4,Sheet1!$C$3,Population!$B24),Sheet1!$B$31:$H$335,K$34,FALSE)</f>
        <v>97400</v>
      </c>
      <c r="L24" s="315">
        <f>VLOOKUP(CONCATENATE(L$4,Sheet1!$C$3,Population!$B24),Sheet1!$B$31:$H$335,L$34,FALSE)</f>
        <v>99600</v>
      </c>
      <c r="M24" s="315">
        <f>VLOOKUP(CONCATENATE(M$4,Sheet1!$C$3,Population!$B24),Sheet1!$B$31:$H$335,M$34,FALSE)</f>
        <v>99700</v>
      </c>
      <c r="N24" s="316">
        <f>VLOOKUP(CONCATENATE(N$4,Sheet1!$C$3,Population!$B24),Sheet1!$B$31:$H$335,N$34,FALSE)</f>
        <v>99100</v>
      </c>
      <c r="O24" s="921"/>
      <c r="P24" s="315">
        <f>VLOOKUP(CONCATENATE(P$4,Sheet1!$C$3,Population!$B24),Sheet1!$B$31:$H$335,P$34,FALSE)</f>
        <v>20900</v>
      </c>
      <c r="Q24" s="315">
        <f>VLOOKUP(CONCATENATE(Q$4,Sheet1!$C$3,Population!$B24),Sheet1!$B$31:$H$335,Q$34,FALSE)</f>
        <v>20800</v>
      </c>
      <c r="R24" s="315">
        <f>VLOOKUP(CONCATENATE(R$4,Sheet1!$C$3,Population!$B24),Sheet1!$B$31:$H$335,R$34,FALSE)</f>
        <v>21800</v>
      </c>
      <c r="S24" s="315">
        <f>VLOOKUP(CONCATENATE(S$4,Sheet1!$C$3,Population!$B24),Sheet1!$B$31:$H$335,S$34,FALSE)</f>
        <v>22100</v>
      </c>
      <c r="T24" s="316">
        <f>VLOOKUP(CONCATENATE(T$4,Sheet1!$C$3,Population!$B24),Sheet1!$B$31:$H$335,T$34,FALSE)</f>
        <v>22000</v>
      </c>
      <c r="U24" s="277"/>
      <c r="V24" s="93"/>
      <c r="W24" s="76"/>
      <c r="X24" s="76"/>
      <c r="Y24" s="76"/>
      <c r="Z24" s="76"/>
      <c r="AA24" s="76"/>
      <c r="AB24" s="77"/>
      <c r="AC24" s="77"/>
    </row>
    <row r="25" spans="1:29" s="88" customFormat="1" ht="13.5" customHeight="1" x14ac:dyDescent="0.2">
      <c r="A25" s="462">
        <f>VLOOKUP(B25,Sheet1!$AQ$4:$AR$25,2,FALSE)</f>
        <v>0</v>
      </c>
      <c r="B25" s="707" t="s">
        <v>7</v>
      </c>
      <c r="C25" s="927"/>
      <c r="D25" s="315">
        <f>VLOOKUP(CONCATENATE(D$4,Sheet1!$C$3,Population!$B25),Sheet1!$B$31:$H$335,D$34,FALSE)</f>
        <v>254600</v>
      </c>
      <c r="E25" s="315">
        <f>VLOOKUP(CONCATENATE(E$4,Sheet1!$C$3,Population!$B25),Sheet1!$B$31:$H$335,E$34,FALSE)</f>
        <v>256400</v>
      </c>
      <c r="F25" s="315">
        <f>VLOOKUP(CONCATENATE(F$4,Sheet1!$C$3,Population!$B25),Sheet1!$B$31:$H$335,F$34,FALSE)</f>
        <v>259000</v>
      </c>
      <c r="G25" s="315">
        <f>VLOOKUP(CONCATENATE(G$4,Sheet1!$C$3,Population!$B25),Sheet1!$B$31:$H$335,G$34,FALSE)</f>
        <v>260300</v>
      </c>
      <c r="H25" s="316">
        <f>VLOOKUP(CONCATENATE(H$4,Sheet1!$C$3,Population!$B25),Sheet1!$B$31:$H$335,H$34,FALSE)</f>
        <v>261900</v>
      </c>
      <c r="I25" s="921"/>
      <c r="J25" s="315">
        <f>VLOOKUP(CONCATENATE(J$4,Sheet1!$C$3,Population!$B25),Sheet1!$B$31:$H$335,J$34,FALSE)</f>
        <v>356700</v>
      </c>
      <c r="K25" s="315">
        <f>VLOOKUP(CONCATENATE(K$4,Sheet1!$C$3,Population!$B25),Sheet1!$B$31:$H$335,K$34,FALSE)</f>
        <v>359900</v>
      </c>
      <c r="L25" s="315">
        <f>VLOOKUP(CONCATENATE(L$4,Sheet1!$C$3,Population!$B25),Sheet1!$B$31:$H$335,L$34,FALSE)</f>
        <v>362200</v>
      </c>
      <c r="M25" s="315">
        <f>VLOOKUP(CONCATENATE(M$4,Sheet1!$C$3,Population!$B25),Sheet1!$B$31:$H$335,M$34,FALSE)</f>
        <v>364500</v>
      </c>
      <c r="N25" s="316">
        <f>VLOOKUP(CONCATENATE(N$4,Sheet1!$C$3,Population!$B25),Sheet1!$B$31:$H$335,N$34,FALSE)</f>
        <v>366100</v>
      </c>
      <c r="O25" s="921"/>
      <c r="P25" s="315">
        <f>VLOOKUP(CONCATENATE(P$4,Sheet1!$C$3,Population!$B25),Sheet1!$B$31:$H$335,P$34,FALSE)</f>
        <v>35900</v>
      </c>
      <c r="Q25" s="315">
        <f>VLOOKUP(CONCATENATE(Q$4,Sheet1!$C$3,Population!$B25),Sheet1!$B$31:$H$335,Q$34,FALSE)</f>
        <v>36700</v>
      </c>
      <c r="R25" s="315">
        <f>VLOOKUP(CONCATENATE(R$4,Sheet1!$C$3,Population!$B25),Sheet1!$B$31:$H$335,R$34,FALSE)</f>
        <v>36600</v>
      </c>
      <c r="S25" s="315">
        <f>VLOOKUP(CONCATENATE(S$4,Sheet1!$C$3,Population!$B25),Sheet1!$B$31:$H$335,S$34,FALSE)</f>
        <v>37200</v>
      </c>
      <c r="T25" s="316">
        <f>VLOOKUP(CONCATENATE(T$4,Sheet1!$C$3,Population!$B25),Sheet1!$B$31:$H$335,T$34,FALSE)</f>
        <v>37500</v>
      </c>
      <c r="U25" s="277"/>
      <c r="V25" s="93"/>
      <c r="W25" s="76"/>
      <c r="X25" s="76"/>
      <c r="Y25" s="76"/>
      <c r="Z25" s="76"/>
      <c r="AA25" s="76"/>
      <c r="AB25" s="77"/>
      <c r="AC25" s="77"/>
    </row>
    <row r="26" spans="1:29" s="88" customFormat="1" ht="13.5" customHeight="1" x14ac:dyDescent="0.2">
      <c r="A26" s="462">
        <f>VLOOKUP(B26,Sheet1!$AQ$4:$AR$25,2,FALSE)</f>
        <v>0</v>
      </c>
      <c r="B26" s="707" t="s">
        <v>114</v>
      </c>
      <c r="C26" s="927"/>
      <c r="D26" s="315">
        <f>VLOOKUP(CONCATENATE(D$4,Sheet1!$C$3,Population!$B26),Sheet1!$B$31:$H$335,D$34,FALSE)</f>
        <v>48600</v>
      </c>
      <c r="E26" s="315">
        <f>VLOOKUP(CONCATENATE(E$4,Sheet1!$C$3,Population!$B26),Sheet1!$B$31:$H$335,E$34,FALSE)</f>
        <v>49000</v>
      </c>
      <c r="F26" s="315">
        <f>VLOOKUP(CONCATENATE(F$4,Sheet1!$C$3,Population!$B26),Sheet1!$B$31:$H$335,F$34,FALSE)</f>
        <v>49500</v>
      </c>
      <c r="G26" s="315">
        <f>VLOOKUP(CONCATENATE(G$4,Sheet1!$C$3,Population!$B26),Sheet1!$B$31:$H$335,G$34,FALSE)</f>
        <v>49900</v>
      </c>
      <c r="H26" s="316">
        <f>VLOOKUP(CONCATENATE(H$4,Sheet1!$C$3,Population!$B26),Sheet1!$B$31:$H$335,H$34,FALSE)</f>
        <v>50200</v>
      </c>
      <c r="I26" s="921"/>
      <c r="J26" s="315">
        <f>VLOOKUP(CONCATENATE(J$4,Sheet1!$C$3,Population!$B26),Sheet1!$B$31:$H$335,J$34,FALSE)</f>
        <v>67900</v>
      </c>
      <c r="K26" s="315">
        <f>VLOOKUP(CONCATENATE(K$4,Sheet1!$C$3,Population!$B26),Sheet1!$B$31:$H$335,K$34,FALSE)</f>
        <v>68100</v>
      </c>
      <c r="L26" s="315">
        <f>VLOOKUP(CONCATENATE(L$4,Sheet1!$C$3,Population!$B26),Sheet1!$B$31:$H$335,L$34,FALSE)</f>
        <v>68000</v>
      </c>
      <c r="M26" s="315">
        <f>VLOOKUP(CONCATENATE(M$4,Sheet1!$C$3,Population!$B26),Sheet1!$B$31:$H$335,M$34,FALSE)</f>
        <v>68300</v>
      </c>
      <c r="N26" s="316">
        <f>VLOOKUP(CONCATENATE(N$4,Sheet1!$C$3,Population!$B26),Sheet1!$B$31:$H$335,N$34,FALSE)</f>
        <v>68700</v>
      </c>
      <c r="O26" s="921"/>
      <c r="P26" s="315">
        <f>VLOOKUP(CONCATENATE(P$4,Sheet1!$C$3,Population!$B26),Sheet1!$B$31:$H$335,P$34,FALSE)</f>
        <v>6500</v>
      </c>
      <c r="Q26" s="315">
        <f>VLOOKUP(CONCATENATE(Q$4,Sheet1!$C$3,Population!$B26),Sheet1!$B$31:$H$335,Q$34,FALSE)</f>
        <v>6500</v>
      </c>
      <c r="R26" s="315">
        <f>VLOOKUP(CONCATENATE(R$4,Sheet1!$C$3,Population!$B26),Sheet1!$B$31:$H$335,R$34,FALSE)</f>
        <v>6300</v>
      </c>
      <c r="S26" s="315">
        <f>VLOOKUP(CONCATENATE(S$4,Sheet1!$C$3,Population!$B26),Sheet1!$B$31:$H$335,S$34,FALSE)</f>
        <v>6300</v>
      </c>
      <c r="T26" s="316">
        <f>VLOOKUP(CONCATENATE(T$4,Sheet1!$C$3,Population!$B26),Sheet1!$B$31:$H$335,T$34,FALSE)</f>
        <v>6300</v>
      </c>
      <c r="U26" s="277"/>
      <c r="V26" s="93"/>
      <c r="W26" s="76"/>
      <c r="X26" s="76"/>
      <c r="Y26" s="76"/>
      <c r="Z26" s="76"/>
      <c r="AA26" s="76"/>
      <c r="AB26" s="77"/>
      <c r="AC26" s="77"/>
    </row>
    <row r="27" spans="1:29" s="88" customFormat="1" ht="13.5" customHeight="1" x14ac:dyDescent="0.2">
      <c r="A27" s="462">
        <f>VLOOKUP(B27,Sheet1!$AQ$4:$AR$25,2,FALSE)</f>
        <v>0</v>
      </c>
      <c r="B27" s="707" t="s">
        <v>115</v>
      </c>
      <c r="C27" s="927"/>
      <c r="D27" s="315">
        <f>VLOOKUP(CONCATENATE(D$4,Sheet1!$C$3,Population!$B27),Sheet1!$B$31:$H$335,D$34,FALSE)</f>
        <v>25100</v>
      </c>
      <c r="E27" s="315">
        <f>VLOOKUP(CONCATENATE(E$4,Sheet1!$C$3,Population!$B27),Sheet1!$B$31:$H$335,E$34,FALSE)</f>
        <v>25200</v>
      </c>
      <c r="F27" s="315">
        <f>VLOOKUP(CONCATENATE(F$4,Sheet1!$C$3,Population!$B27),Sheet1!$B$31:$H$335,F$34,FALSE)</f>
        <v>25400</v>
      </c>
      <c r="G27" s="315">
        <f>VLOOKUP(CONCATENATE(G$4,Sheet1!$C$3,Population!$B27),Sheet1!$B$31:$H$335,G$34,FALSE)</f>
        <v>25400</v>
      </c>
      <c r="H27" s="316">
        <f>VLOOKUP(CONCATENATE(H$4,Sheet1!$C$3,Population!$B27),Sheet1!$B$31:$H$335,H$34,FALSE)</f>
        <v>25400</v>
      </c>
      <c r="I27" s="921"/>
      <c r="J27" s="315">
        <f>VLOOKUP(CONCATENATE(J$4,Sheet1!$C$3,Population!$B27),Sheet1!$B$31:$H$335,J$34,FALSE)</f>
        <v>36100</v>
      </c>
      <c r="K27" s="315">
        <f>VLOOKUP(CONCATENATE(K$4,Sheet1!$C$3,Population!$B27),Sheet1!$B$31:$H$335,K$34,FALSE)</f>
        <v>36100</v>
      </c>
      <c r="L27" s="315">
        <f>VLOOKUP(CONCATENATE(L$4,Sheet1!$C$3,Population!$B27),Sheet1!$B$31:$H$335,L$34,FALSE)</f>
        <v>36000</v>
      </c>
      <c r="M27" s="315">
        <f>VLOOKUP(CONCATENATE(M$4,Sheet1!$C$3,Population!$B27),Sheet1!$B$31:$H$335,M$34,FALSE)</f>
        <v>35900</v>
      </c>
      <c r="N27" s="316">
        <f>VLOOKUP(CONCATENATE(N$4,Sheet1!$C$3,Population!$B27),Sheet1!$B$31:$H$335,N$34,FALSE)</f>
        <v>35700</v>
      </c>
      <c r="O27" s="921"/>
      <c r="P27" s="315">
        <f>VLOOKUP(CONCATENATE(P$4,Sheet1!$C$3,Population!$B27),Sheet1!$B$31:$H$335,P$34,FALSE)</f>
        <v>3900</v>
      </c>
      <c r="Q27" s="315">
        <f>VLOOKUP(CONCATENATE(Q$4,Sheet1!$C$3,Population!$B27),Sheet1!$B$31:$H$335,Q$34,FALSE)</f>
        <v>3800</v>
      </c>
      <c r="R27" s="315">
        <f>VLOOKUP(CONCATENATE(R$4,Sheet1!$C$3,Population!$B27),Sheet1!$B$31:$H$335,R$34,FALSE)</f>
        <v>3700</v>
      </c>
      <c r="S27" s="315">
        <f>VLOOKUP(CONCATENATE(S$4,Sheet1!$C$3,Population!$B27),Sheet1!$B$31:$H$335,S$34,FALSE)</f>
        <v>3600</v>
      </c>
      <c r="T27" s="316">
        <f>VLOOKUP(CONCATENATE(T$4,Sheet1!$C$3,Population!$B27),Sheet1!$B$31:$H$335,T$34,FALSE)</f>
        <v>3500</v>
      </c>
      <c r="U27" s="277"/>
      <c r="V27" s="93"/>
      <c r="W27" s="76"/>
      <c r="X27" s="76"/>
      <c r="Y27" s="76"/>
      <c r="Z27" s="76"/>
      <c r="AA27" s="76"/>
      <c r="AB27" s="77"/>
      <c r="AC27" s="77"/>
    </row>
    <row r="28" spans="1:29" s="88" customFormat="1" ht="13.5" customHeight="1" x14ac:dyDescent="0.2">
      <c r="A28" s="462">
        <f>VLOOKUP(B28,Sheet1!$AQ$4:$AR$25,2,FALSE)</f>
        <v>0</v>
      </c>
      <c r="B28" s="707" t="s">
        <v>15</v>
      </c>
      <c r="C28" s="927"/>
      <c r="D28" s="315">
        <f>VLOOKUP(CONCATENATE(D$4,Sheet1!$C$3,Population!$B28),Sheet1!$B$31:$H$335,D$34,FALSE)</f>
        <v>35600</v>
      </c>
      <c r="E28" s="315">
        <f>VLOOKUP(CONCATENATE(E$4,Sheet1!$C$3,Population!$B28),Sheet1!$B$31:$H$335,E$34,FALSE)</f>
        <v>35700</v>
      </c>
      <c r="F28" s="315">
        <f>VLOOKUP(CONCATENATE(F$4,Sheet1!$C$3,Population!$B28),Sheet1!$B$31:$H$335,F$34,FALSE)</f>
        <v>35900</v>
      </c>
      <c r="G28" s="315">
        <f>VLOOKUP(CONCATENATE(G$4,Sheet1!$C$3,Population!$B28),Sheet1!$B$31:$H$335,G$34,FALSE)</f>
        <v>35800</v>
      </c>
      <c r="H28" s="316">
        <f>VLOOKUP(CONCATENATE(H$4,Sheet1!$C$3,Population!$B28),Sheet1!$B$31:$H$335,H$34,FALSE)</f>
        <v>35600</v>
      </c>
      <c r="I28" s="921"/>
      <c r="J28" s="315">
        <f>VLOOKUP(CONCATENATE(J$4,Sheet1!$C$3,Population!$B28),Sheet1!$B$31:$H$335,J$34,FALSE)</f>
        <v>47700</v>
      </c>
      <c r="K28" s="315">
        <f>VLOOKUP(CONCATENATE(K$4,Sheet1!$C$3,Population!$B28),Sheet1!$B$31:$H$335,K$34,FALSE)</f>
        <v>47700</v>
      </c>
      <c r="L28" s="315">
        <f>VLOOKUP(CONCATENATE(L$4,Sheet1!$C$3,Population!$B28),Sheet1!$B$31:$H$335,L$34,FALSE)</f>
        <v>47900</v>
      </c>
      <c r="M28" s="315">
        <f>VLOOKUP(CONCATENATE(M$4,Sheet1!$C$3,Population!$B28),Sheet1!$B$31:$H$335,M$34,FALSE)</f>
        <v>47900</v>
      </c>
      <c r="N28" s="316">
        <f>VLOOKUP(CONCATENATE(N$4,Sheet1!$C$3,Population!$B28),Sheet1!$B$31:$H$335,N$34,FALSE)</f>
        <v>47700</v>
      </c>
      <c r="O28" s="921"/>
      <c r="P28" s="315">
        <f>VLOOKUP(CONCATENATE(P$4,Sheet1!$C$3,Population!$B28),Sheet1!$B$31:$H$335,P$34,FALSE)</f>
        <v>3900</v>
      </c>
      <c r="Q28" s="315">
        <f>VLOOKUP(CONCATENATE(Q$4,Sheet1!$C$3,Population!$B28),Sheet1!$B$31:$H$335,Q$34,FALSE)</f>
        <v>3800</v>
      </c>
      <c r="R28" s="315">
        <f>VLOOKUP(CONCATENATE(R$4,Sheet1!$C$3,Population!$B28),Sheet1!$B$31:$H$335,R$34,FALSE)</f>
        <v>3900</v>
      </c>
      <c r="S28" s="315">
        <f>VLOOKUP(CONCATENATE(S$4,Sheet1!$C$3,Population!$B28),Sheet1!$B$31:$H$335,S$34,FALSE)</f>
        <v>3800</v>
      </c>
      <c r="T28" s="316">
        <f>VLOOKUP(CONCATENATE(T$4,Sheet1!$C$3,Population!$B28),Sheet1!$B$31:$H$335,T$34,FALSE)</f>
        <v>3800</v>
      </c>
      <c r="U28" s="277"/>
      <c r="V28" s="93"/>
      <c r="W28" s="76"/>
      <c r="X28" s="76"/>
      <c r="Y28" s="76"/>
      <c r="Z28" s="76"/>
      <c r="AA28" s="76"/>
      <c r="AB28" s="77"/>
      <c r="AC28" s="77"/>
    </row>
    <row r="29" spans="1:29" s="88" customFormat="1" ht="13.5" customHeight="1" x14ac:dyDescent="0.2">
      <c r="A29" s="462">
        <f>VLOOKUP(B29,Sheet1!$AQ$4:$AR$25,2,FALSE)</f>
        <v>0</v>
      </c>
      <c r="B29" s="707" t="s">
        <v>5</v>
      </c>
      <c r="C29" s="927"/>
      <c r="D29" s="315">
        <f>VLOOKUP(CONCATENATE(D$4,Sheet1!$C$3,Population!$B29),Sheet1!$B$31:$H$335,D$34,FALSE)</f>
        <v>168800</v>
      </c>
      <c r="E29" s="315">
        <f>VLOOKUP(CONCATENATE(E$4,Sheet1!$C$3,Population!$B29),Sheet1!$B$31:$H$335,E$34,FALSE)</f>
        <v>170400</v>
      </c>
      <c r="F29" s="315">
        <f>VLOOKUP(CONCATENATE(F$4,Sheet1!$C$3,Population!$B29),Sheet1!$B$31:$H$335,F$34,FALSE)</f>
        <v>171800</v>
      </c>
      <c r="G29" s="315">
        <f>VLOOKUP(CONCATENATE(G$4,Sheet1!$C$3,Population!$B29),Sheet1!$B$31:$H$335,G$34,FALSE)</f>
        <v>173300</v>
      </c>
      <c r="H29" s="316">
        <f>VLOOKUP(CONCATENATE(H$4,Sheet1!$C$3,Population!$B29),Sheet1!$B$31:$H$335,H$34,FALSE)</f>
        <v>174700</v>
      </c>
      <c r="I29" s="921"/>
      <c r="J29" s="315">
        <f>VLOOKUP(CONCATENATE(J$4,Sheet1!$C$3,Population!$B29),Sheet1!$B$31:$H$335,J$34,FALSE)</f>
        <v>235100</v>
      </c>
      <c r="K29" s="315">
        <f>VLOOKUP(CONCATENATE(K$4,Sheet1!$C$3,Population!$B29),Sheet1!$B$31:$H$335,K$34,FALSE)</f>
        <v>236700</v>
      </c>
      <c r="L29" s="315">
        <f>VLOOKUP(CONCATENATE(L$4,Sheet1!$C$3,Population!$B29),Sheet1!$B$31:$H$335,L$34,FALSE)</f>
        <v>237500</v>
      </c>
      <c r="M29" s="315">
        <f>VLOOKUP(CONCATENATE(M$4,Sheet1!$C$3,Population!$B29),Sheet1!$B$31:$H$335,M$34,FALSE)</f>
        <v>238300</v>
      </c>
      <c r="N29" s="316">
        <f>VLOOKUP(CONCATENATE(N$4,Sheet1!$C$3,Population!$B29),Sheet1!$B$31:$H$335,N$34,FALSE)</f>
        <v>239100</v>
      </c>
      <c r="O29" s="921"/>
      <c r="P29" s="315">
        <f>VLOOKUP(CONCATENATE(P$4,Sheet1!$C$3,Population!$B29),Sheet1!$B$31:$H$335,P$34,FALSE)</f>
        <v>23300</v>
      </c>
      <c r="Q29" s="315">
        <f>VLOOKUP(CONCATENATE(Q$4,Sheet1!$C$3,Population!$B29),Sheet1!$B$31:$H$335,Q$34,FALSE)</f>
        <v>23500</v>
      </c>
      <c r="R29" s="315">
        <f>VLOOKUP(CONCATENATE(R$4,Sheet1!$C$3,Population!$B29),Sheet1!$B$31:$H$335,R$34,FALSE)</f>
        <v>23100</v>
      </c>
      <c r="S29" s="315">
        <f>VLOOKUP(CONCATENATE(S$4,Sheet1!$C$3,Population!$B29),Sheet1!$B$31:$H$335,S$34,FALSE)</f>
        <v>22800</v>
      </c>
      <c r="T29" s="316">
        <f>VLOOKUP(CONCATENATE(T$4,Sheet1!$C$3,Population!$B29),Sheet1!$B$31:$H$335,T$34,FALSE)</f>
        <v>22500</v>
      </c>
      <c r="U29" s="277"/>
      <c r="V29" s="93"/>
      <c r="W29" s="76"/>
      <c r="X29" s="76"/>
      <c r="Y29" s="76"/>
      <c r="Z29" s="76"/>
      <c r="AA29" s="76"/>
      <c r="AB29" s="77"/>
      <c r="AC29" s="77"/>
    </row>
    <row r="30" spans="1:29" s="88" customFormat="1" ht="13.5" customHeight="1" x14ac:dyDescent="0.2">
      <c r="A30" s="462">
        <f>VLOOKUP(B30,Sheet1!$AQ$4:$AR$25,2,FALSE)</f>
        <v>0</v>
      </c>
      <c r="B30" s="95" t="s">
        <v>30</v>
      </c>
      <c r="C30" s="927"/>
      <c r="D30" s="315">
        <f>VLOOKUP(CONCATENATE(D$4,Sheet1!$C$3,Population!$B30),Sheet1!$B$31:$H$335,D$34,FALSE)</f>
        <v>33400</v>
      </c>
      <c r="E30" s="315">
        <f>VLOOKUP(CONCATENATE(E$4,Sheet1!$C$3,Population!$B30),Sheet1!$B$31:$H$335,E$34,FALSE)</f>
        <v>33700</v>
      </c>
      <c r="F30" s="315">
        <f>VLOOKUP(CONCATENATE(F$4,Sheet1!$C$3,Population!$B30),Sheet1!$B$31:$H$335,F$34,FALSE)</f>
        <v>34200</v>
      </c>
      <c r="G30" s="315">
        <f>VLOOKUP(CONCATENATE(G$4,Sheet1!$C$3,Population!$B30),Sheet1!$B$31:$H$335,G$34,FALSE)</f>
        <v>34400</v>
      </c>
      <c r="H30" s="316">
        <f>VLOOKUP(CONCATENATE(H$4,Sheet1!$C$3,Population!$B30),Sheet1!$B$31:$H$335,H$34,FALSE)</f>
        <v>34600</v>
      </c>
      <c r="I30" s="921"/>
      <c r="J30" s="315">
        <f>VLOOKUP(CONCATENATE(J$4,Sheet1!$C$3,Population!$B30),Sheet1!$B$31:$H$335,J$34,FALSE)</f>
        <v>44200</v>
      </c>
      <c r="K30" s="315">
        <f>VLOOKUP(CONCATENATE(K$4,Sheet1!$C$3,Population!$B30),Sheet1!$B$31:$H$335,K$34,FALSE)</f>
        <v>44300</v>
      </c>
      <c r="L30" s="315">
        <f>VLOOKUP(CONCATENATE(L$4,Sheet1!$C$3,Population!$B30),Sheet1!$B$31:$H$335,L$34,FALSE)</f>
        <v>44700</v>
      </c>
      <c r="M30" s="315">
        <f>VLOOKUP(CONCATENATE(M$4,Sheet1!$C$3,Population!$B30),Sheet1!$B$31:$H$335,M$34,FALSE)</f>
        <v>44900</v>
      </c>
      <c r="N30" s="316">
        <f>VLOOKUP(CONCATENATE(N$4,Sheet1!$C$3,Population!$B30),Sheet1!$B$31:$H$335,N$34,FALSE)</f>
        <v>45200</v>
      </c>
      <c r="O30" s="921"/>
      <c r="P30" s="315">
        <f>VLOOKUP(CONCATENATE(P$4,Sheet1!$C$3,Population!$B30),Sheet1!$B$31:$H$335,P$34,FALSE)</f>
        <v>3200</v>
      </c>
      <c r="Q30" s="315">
        <f>VLOOKUP(CONCATENATE(Q$4,Sheet1!$C$3,Population!$B30),Sheet1!$B$31:$H$335,Q$34,FALSE)</f>
        <v>3100</v>
      </c>
      <c r="R30" s="315">
        <f>VLOOKUP(CONCATENATE(R$4,Sheet1!$C$3,Population!$B30),Sheet1!$B$31:$H$335,R$34,FALSE)</f>
        <v>3100</v>
      </c>
      <c r="S30" s="315">
        <f>VLOOKUP(CONCATENATE(S$4,Sheet1!$C$3,Population!$B30),Sheet1!$B$31:$H$335,S$34,FALSE)</f>
        <v>3100</v>
      </c>
      <c r="T30" s="316">
        <f>VLOOKUP(CONCATENATE(T$4,Sheet1!$C$3,Population!$B30),Sheet1!$B$31:$H$335,T$34,FALSE)</f>
        <v>3200</v>
      </c>
      <c r="U30" s="277"/>
      <c r="V30" s="93"/>
      <c r="W30" s="76"/>
      <c r="X30" s="76"/>
      <c r="Y30" s="76"/>
      <c r="Z30" s="76"/>
      <c r="AA30" s="76"/>
      <c r="AB30" s="77"/>
      <c r="AC30" s="77"/>
    </row>
    <row r="31" spans="1:29" s="88" customFormat="1" ht="13.5" customHeight="1" x14ac:dyDescent="0.2">
      <c r="A31" s="462">
        <f>VLOOKUP(B31,Sheet1!$AQ$4:$AR$25,2,FALSE)</f>
        <v>0</v>
      </c>
      <c r="B31" s="707" t="s">
        <v>16</v>
      </c>
      <c r="C31" s="927"/>
      <c r="D31" s="315">
        <f>VLOOKUP(CONCATENATE(D$4,Sheet1!$C$3,Population!$B31),Sheet1!$B$31:$H$335,D$34,FALSE)</f>
        <v>36900</v>
      </c>
      <c r="E31" s="315">
        <f>VLOOKUP(CONCATENATE(E$4,Sheet1!$C$3,Population!$B31),Sheet1!$B$31:$H$335,E$34,FALSE)</f>
        <v>37300</v>
      </c>
      <c r="F31" s="315">
        <f>VLOOKUP(CONCATENATE(F$4,Sheet1!$C$3,Population!$B31),Sheet1!$B$31:$H$335,F$34,FALSE)</f>
        <v>38000</v>
      </c>
      <c r="G31" s="315">
        <f>VLOOKUP(CONCATENATE(G$4,Sheet1!$C$3,Population!$B31),Sheet1!$B$31:$H$335,G$34,FALSE)</f>
        <v>38700</v>
      </c>
      <c r="H31" s="316">
        <f>VLOOKUP(CONCATENATE(H$4,Sheet1!$C$3,Population!$B31),Sheet1!$B$31:$H$335,H$34,FALSE)</f>
        <v>39500</v>
      </c>
      <c r="I31" s="921"/>
      <c r="J31" s="315">
        <f>VLOOKUP(CONCATENATE(J$4,Sheet1!$C$3,Population!$B31),Sheet1!$B$31:$H$335,J$34,FALSE)</f>
        <v>49000</v>
      </c>
      <c r="K31" s="315">
        <f>VLOOKUP(CONCATENATE(K$4,Sheet1!$C$3,Population!$B31),Sheet1!$B$31:$H$335,K$34,FALSE)</f>
        <v>49400</v>
      </c>
      <c r="L31" s="315">
        <f>VLOOKUP(CONCATENATE(L$4,Sheet1!$C$3,Population!$B31),Sheet1!$B$31:$H$335,L$34,FALSE)</f>
        <v>50200</v>
      </c>
      <c r="M31" s="315">
        <f>VLOOKUP(CONCATENATE(M$4,Sheet1!$C$3,Population!$B31),Sheet1!$B$31:$H$335,M$34,FALSE)</f>
        <v>51500</v>
      </c>
      <c r="N31" s="316">
        <f>VLOOKUP(CONCATENATE(N$4,Sheet1!$C$3,Population!$B31),Sheet1!$B$31:$H$335,N$34,FALSE)</f>
        <v>52300</v>
      </c>
      <c r="O31" s="921"/>
      <c r="P31" s="315">
        <f>VLOOKUP(CONCATENATE(P$4,Sheet1!$C$3,Population!$B31),Sheet1!$B$31:$H$335,P$34,FALSE)</f>
        <v>4400</v>
      </c>
      <c r="Q31" s="315">
        <f>VLOOKUP(CONCATENATE(Q$4,Sheet1!$C$3,Population!$B31),Sheet1!$B$31:$H$335,Q$34,FALSE)</f>
        <v>4400</v>
      </c>
      <c r="R31" s="315">
        <f>VLOOKUP(CONCATENATE(R$4,Sheet1!$C$3,Population!$B31),Sheet1!$B$31:$H$335,R$34,FALSE)</f>
        <v>4300</v>
      </c>
      <c r="S31" s="315">
        <f>VLOOKUP(CONCATENATE(S$4,Sheet1!$C$3,Population!$B31),Sheet1!$B$31:$H$335,S$34,FALSE)</f>
        <v>4400</v>
      </c>
      <c r="T31" s="316">
        <f>VLOOKUP(CONCATENATE(T$4,Sheet1!$C$3,Population!$B31),Sheet1!$B$31:$H$335,T$34,FALSE)</f>
        <v>4400</v>
      </c>
      <c r="U31" s="277"/>
      <c r="V31" s="93"/>
      <c r="W31" s="76"/>
      <c r="X31" s="76"/>
      <c r="Y31" s="76"/>
      <c r="Z31" s="76"/>
      <c r="AA31" s="76"/>
      <c r="AB31" s="77"/>
      <c r="AC31" s="77"/>
    </row>
    <row r="32" spans="1:29" s="88" customFormat="1" ht="13.5" customHeight="1" x14ac:dyDescent="0.2">
      <c r="A32" s="276"/>
      <c r="B32" s="131" t="s">
        <v>74</v>
      </c>
      <c r="C32" s="927"/>
      <c r="D32" s="930">
        <f>VLOOKUP(CONCATENATE(D$4,Sheet1!$C$3,Population!$B32),Sheet1!$B$31:$H$335,D$34,FALSE)</f>
        <v>1904200</v>
      </c>
      <c r="E32" s="930">
        <f>VLOOKUP(CONCATENATE(E$4,Sheet1!$C$3,Population!$B32),Sheet1!$B$31:$H$335,E$34,FALSE)</f>
        <v>1918100</v>
      </c>
      <c r="F32" s="930">
        <f>VLOOKUP(CONCATENATE(F$4,Sheet1!$C$3,Population!$B32),Sheet1!$B$31:$H$335,F$34,FALSE)</f>
        <v>1933200</v>
      </c>
      <c r="G32" s="930">
        <f>VLOOKUP(CONCATENATE(G$4,Sheet1!$C$3,Population!$B32),Sheet1!$B$31:$H$335,G$34,FALSE)</f>
        <v>1943900</v>
      </c>
      <c r="H32" s="931">
        <f>VLOOKUP(CONCATENATE(H$4,Sheet1!$C$3,Population!$B32),Sheet1!$B$31:$H$335,H$34,FALSE)</f>
        <v>1957500</v>
      </c>
      <c r="I32" s="921"/>
      <c r="J32" s="930">
        <f>VLOOKUP(CONCATENATE(J$4,Sheet1!$C$3,Population!$B32),Sheet1!$B$31:$H$335,J$34,FALSE)</f>
        <v>2772600</v>
      </c>
      <c r="K32" s="930">
        <f>VLOOKUP(CONCATENATE(K$4,Sheet1!$C$3,Population!$B32),Sheet1!$B$31:$H$335,K$34,FALSE)</f>
        <v>2790300</v>
      </c>
      <c r="L32" s="930">
        <f>VLOOKUP(CONCATENATE(L$4,Sheet1!$C$3,Population!$B32),Sheet1!$B$31:$H$335,L$34,FALSE)</f>
        <v>2805300</v>
      </c>
      <c r="M32" s="930">
        <f>VLOOKUP(CONCATENATE(M$4,Sheet1!$C$3,Population!$B32),Sheet1!$B$31:$H$335,M$34,FALSE)</f>
        <v>2808300</v>
      </c>
      <c r="N32" s="931">
        <f>VLOOKUP(CONCATENATE(N$4,Sheet1!$C$3,Population!$B32),Sheet1!$B$31:$H$335,N$34,FALSE)</f>
        <v>2813800</v>
      </c>
      <c r="O32" s="921"/>
      <c r="P32" s="930">
        <f>VLOOKUP(CONCATENATE(P$4,Sheet1!$C$3,Population!$B32),Sheet1!$B$31:$H$335,P$34,FALSE)</f>
        <v>320400</v>
      </c>
      <c r="Q32" s="930">
        <f>VLOOKUP(CONCATENATE(Q$4,Sheet1!$C$3,Population!$B32),Sheet1!$B$31:$H$335,Q$34,FALSE)</f>
        <v>320000</v>
      </c>
      <c r="R32" s="930">
        <f>VLOOKUP(CONCATENATE(R$4,Sheet1!$C$3,Population!$B32),Sheet1!$B$31:$H$335,R$34,FALSE)</f>
        <v>319700</v>
      </c>
      <c r="S32" s="930">
        <f>VLOOKUP(CONCATENATE(S$4,Sheet1!$C$3,Population!$B32),Sheet1!$B$31:$H$335,S$34,FALSE)</f>
        <v>318600</v>
      </c>
      <c r="T32" s="931">
        <f>VLOOKUP(CONCATENATE(T$4,Sheet1!$C$3,Population!$B32),Sheet1!$B$31:$H$335,T$34,FALSE)</f>
        <v>317600</v>
      </c>
      <c r="U32" s="277"/>
      <c r="V32" s="93"/>
      <c r="W32" s="76"/>
      <c r="X32" s="76"/>
      <c r="Y32" s="76"/>
      <c r="Z32" s="76"/>
      <c r="AA32" s="76"/>
      <c r="AB32" s="77"/>
      <c r="AC32" s="77"/>
    </row>
    <row r="33" spans="1:30" s="88" customFormat="1" ht="13.5" customHeight="1" x14ac:dyDescent="0.2">
      <c r="A33" s="276"/>
      <c r="B33" s="708" t="s">
        <v>126</v>
      </c>
      <c r="C33" s="927"/>
      <c r="D33" s="929">
        <f>VLOOKUP(CONCATENATE(D$4,Sheet1!$C$3,Population!$B33),Sheet1!$B$31:$H$335,D$34,FALSE)</f>
        <v>11591700</v>
      </c>
      <c r="E33" s="929">
        <f>VLOOKUP(CONCATENATE(E$4,Sheet1!$C$3,Population!$B33),Sheet1!$B$31:$H$335,E$34,FALSE)</f>
        <v>11677900</v>
      </c>
      <c r="F33" s="929">
        <f>VLOOKUP(CONCATENATE(F$4,Sheet1!$C$3,Population!$B33),Sheet1!$B$31:$H$335,F$34,FALSE)</f>
        <v>11785300</v>
      </c>
      <c r="G33" s="929">
        <f>VLOOKUP(CONCATENATE(G$4,Sheet1!$C$3,Population!$B33),Sheet1!$B$31:$H$335,G$34,FALSE)</f>
        <v>11867000</v>
      </c>
      <c r="H33" s="932">
        <f>VLOOKUP(CONCATENATE(H$4,Sheet1!$C$3,Population!$B33),Sheet1!$B$31:$H$335,H$34,FALSE)</f>
        <v>11954600</v>
      </c>
      <c r="I33" s="921"/>
      <c r="J33" s="929">
        <f>VLOOKUP(CONCATENATE(J$4,Sheet1!$C$3,Population!$B33),Sheet1!$B$31:$H$335,J$34,FALSE)</f>
        <v>17253400</v>
      </c>
      <c r="K33" s="929">
        <f>VLOOKUP(CONCATENATE(K$4,Sheet1!$C$3,Population!$B33),Sheet1!$B$31:$H$335,K$34,FALSE)</f>
        <v>17352600</v>
      </c>
      <c r="L33" s="929">
        <f>VLOOKUP(CONCATENATE(L$4,Sheet1!$C$3,Population!$B33),Sheet1!$B$31:$H$335,L$34,FALSE)</f>
        <v>17440500</v>
      </c>
      <c r="M33" s="929">
        <f>VLOOKUP(CONCATENATE(M$4,Sheet1!$C$3,Population!$B33),Sheet1!$B$31:$H$335,M$34,FALSE)</f>
        <v>17452600</v>
      </c>
      <c r="N33" s="932">
        <f>VLOOKUP(CONCATENATE(N$4,Sheet1!$C$3,Population!$B33),Sheet1!$B$31:$H$335,N$34,FALSE)</f>
        <v>17493000</v>
      </c>
      <c r="O33" s="921"/>
      <c r="P33" s="929">
        <f>VLOOKUP(CONCATENATE(P$4,Sheet1!$C$3,Population!$B33),Sheet1!$B$31:$H$335,P$34,FALSE)</f>
        <v>2044800</v>
      </c>
      <c r="Q33" s="929">
        <f>VLOOKUP(CONCATENATE(Q$4,Sheet1!$C$3,Population!$B33),Sheet1!$B$31:$H$335,Q$34,FALSE)</f>
        <v>2042300</v>
      </c>
      <c r="R33" s="929">
        <f>VLOOKUP(CONCATENATE(R$4,Sheet1!$C$3,Population!$B33),Sheet1!$B$31:$H$335,R$34,FALSE)</f>
        <v>2038900</v>
      </c>
      <c r="S33" s="929">
        <f>VLOOKUP(CONCATENATE(S$4,Sheet1!$C$3,Population!$B33),Sheet1!$B$31:$H$335,S$34,FALSE)</f>
        <v>2029700</v>
      </c>
      <c r="T33" s="932">
        <f>VLOOKUP(CONCATENATE(T$4,Sheet1!$C$3,Population!$B33),Sheet1!$B$31:$H$335,T$34,FALSE)</f>
        <v>2020500</v>
      </c>
      <c r="U33" s="277"/>
      <c r="V33" s="93"/>
      <c r="W33" s="76"/>
      <c r="X33" s="76"/>
      <c r="Y33" s="76"/>
      <c r="Z33" s="76"/>
      <c r="AA33" s="76"/>
      <c r="AB33" s="77"/>
      <c r="AC33" s="77"/>
    </row>
    <row r="34" spans="1:30" ht="10.5" customHeight="1" x14ac:dyDescent="0.2">
      <c r="A34" s="273"/>
      <c r="B34" s="920"/>
      <c r="C34" s="927"/>
      <c r="D34" s="921">
        <v>3</v>
      </c>
      <c r="E34" s="921">
        <v>4</v>
      </c>
      <c r="F34" s="921">
        <v>5</v>
      </c>
      <c r="G34" s="921">
        <v>6</v>
      </c>
      <c r="H34" s="921">
        <v>7</v>
      </c>
      <c r="I34" s="921"/>
      <c r="J34" s="921">
        <v>3</v>
      </c>
      <c r="K34" s="921">
        <v>4</v>
      </c>
      <c r="L34" s="921">
        <v>5</v>
      </c>
      <c r="M34" s="921">
        <v>6</v>
      </c>
      <c r="N34" s="921">
        <v>7</v>
      </c>
      <c r="O34" s="921"/>
      <c r="P34" s="921">
        <v>3</v>
      </c>
      <c r="Q34" s="921">
        <v>4</v>
      </c>
      <c r="R34" s="921">
        <v>5</v>
      </c>
      <c r="S34" s="921">
        <v>6</v>
      </c>
      <c r="T34" s="921">
        <v>7</v>
      </c>
      <c r="U34" s="272"/>
      <c r="V34" s="91"/>
    </row>
    <row r="35" spans="1:30" ht="7.5" customHeight="1" x14ac:dyDescent="0.2">
      <c r="A35" s="273"/>
      <c r="B35" s="21"/>
      <c r="C35" s="21"/>
      <c r="D35" s="21"/>
      <c r="E35" s="21"/>
      <c r="F35" s="21"/>
      <c r="G35" s="21"/>
      <c r="H35" s="21"/>
      <c r="I35" s="21"/>
      <c r="J35" s="21"/>
      <c r="K35" s="21"/>
      <c r="L35" s="21"/>
      <c r="M35" s="21"/>
      <c r="N35" s="21"/>
      <c r="O35" s="21"/>
      <c r="P35" s="21"/>
      <c r="Q35" s="21"/>
      <c r="R35" s="21"/>
      <c r="S35" s="21"/>
      <c r="T35" s="22"/>
      <c r="U35" s="272"/>
      <c r="V35" s="138"/>
    </row>
    <row r="36" spans="1:30" ht="15" customHeight="1" x14ac:dyDescent="0.2">
      <c r="A36" s="278"/>
      <c r="B36" s="16"/>
      <c r="C36" s="16"/>
      <c r="D36" s="16"/>
      <c r="E36" s="16"/>
      <c r="F36" s="16"/>
      <c r="G36" s="16"/>
      <c r="H36" s="16"/>
      <c r="I36" s="16"/>
      <c r="J36" s="16"/>
      <c r="K36" s="16"/>
      <c r="L36" s="16"/>
      <c r="M36" s="16"/>
      <c r="N36" s="16"/>
      <c r="O36" s="16"/>
      <c r="P36" s="16"/>
      <c r="Q36" s="16"/>
      <c r="R36" s="16"/>
      <c r="S36" s="16"/>
      <c r="T36" s="16"/>
      <c r="U36" s="272"/>
      <c r="V36" s="138"/>
    </row>
    <row r="37" spans="1:30" ht="11.25" customHeight="1" x14ac:dyDescent="0.2">
      <c r="A37" s="233"/>
      <c r="B37" s="234"/>
      <c r="C37" s="926"/>
      <c r="D37" s="256"/>
      <c r="E37" s="256"/>
      <c r="F37" s="256"/>
      <c r="G37" s="256"/>
      <c r="H37" s="234"/>
      <c r="I37" s="926"/>
      <c r="J37" s="234"/>
      <c r="K37" s="234"/>
      <c r="L37" s="234"/>
      <c r="M37" s="234"/>
      <c r="N37" s="234"/>
      <c r="O37" s="234"/>
      <c r="P37" s="926"/>
      <c r="Q37" s="926"/>
      <c r="R37" s="234"/>
      <c r="S37" s="926"/>
      <c r="T37" s="926"/>
      <c r="U37" s="1164"/>
      <c r="V37" s="138"/>
    </row>
    <row r="38" spans="1:30" ht="36.75" customHeight="1" x14ac:dyDescent="0.2">
      <c r="A38" s="228"/>
      <c r="B38" s="229"/>
      <c r="C38" s="229"/>
      <c r="D38" s="950" t="s">
        <v>749</v>
      </c>
      <c r="E38" s="950" t="s">
        <v>749</v>
      </c>
      <c r="F38" s="950" t="s">
        <v>749</v>
      </c>
      <c r="G38" s="950" t="s">
        <v>749</v>
      </c>
      <c r="H38" s="950" t="s">
        <v>749</v>
      </c>
      <c r="I38" s="950"/>
      <c r="J38" s="951" t="s">
        <v>166</v>
      </c>
      <c r="K38" s="951" t="s">
        <v>166</v>
      </c>
      <c r="L38" s="951" t="s">
        <v>166</v>
      </c>
      <c r="M38" s="951" t="s">
        <v>166</v>
      </c>
      <c r="N38" s="951" t="s">
        <v>166</v>
      </c>
      <c r="O38" s="951"/>
      <c r="P38" s="950" t="s">
        <v>778</v>
      </c>
      <c r="Q38" s="950" t="s">
        <v>778</v>
      </c>
      <c r="R38" s="950" t="s">
        <v>778</v>
      </c>
      <c r="S38" s="950" t="s">
        <v>778</v>
      </c>
      <c r="T38" s="950" t="s">
        <v>778</v>
      </c>
      <c r="U38" s="1165"/>
      <c r="V38" s="91"/>
    </row>
    <row r="39" spans="1:30" s="80" customFormat="1" ht="15" customHeight="1" x14ac:dyDescent="0.2">
      <c r="A39" s="274"/>
      <c r="C39" s="927"/>
      <c r="D39" s="1413" t="s">
        <v>754</v>
      </c>
      <c r="E39" s="1414"/>
      <c r="F39" s="1414"/>
      <c r="G39" s="1414"/>
      <c r="H39" s="1415"/>
      <c r="I39" s="21"/>
      <c r="J39" s="1413" t="s">
        <v>774</v>
      </c>
      <c r="K39" s="1414"/>
      <c r="L39" s="1414"/>
      <c r="M39" s="1414"/>
      <c r="N39" s="1415"/>
      <c r="O39" s="21"/>
      <c r="P39" s="1413" t="s">
        <v>780</v>
      </c>
      <c r="Q39" s="1414"/>
      <c r="R39" s="1414"/>
      <c r="S39" s="1414"/>
      <c r="T39" s="1415"/>
      <c r="U39" s="275"/>
      <c r="V39" s="92"/>
      <c r="W39" s="76"/>
      <c r="X39" s="76"/>
      <c r="Y39" s="76"/>
      <c r="Z39" s="76"/>
      <c r="AA39" s="76"/>
      <c r="AB39" s="77"/>
      <c r="AC39" s="77"/>
      <c r="AD39" s="77"/>
    </row>
    <row r="40" spans="1:30" ht="13.5" customHeight="1" x14ac:dyDescent="0.2">
      <c r="A40" s="273"/>
      <c r="B40" s="925"/>
      <c r="C40" s="927"/>
      <c r="D40" s="1416"/>
      <c r="E40" s="1417"/>
      <c r="F40" s="1417"/>
      <c r="G40" s="1417"/>
      <c r="H40" s="1418"/>
      <c r="I40" s="21"/>
      <c r="J40" s="1416"/>
      <c r="K40" s="1417"/>
      <c r="L40" s="1417"/>
      <c r="M40" s="1417"/>
      <c r="N40" s="1418"/>
      <c r="O40" s="21"/>
      <c r="P40" s="1416"/>
      <c r="Q40" s="1417"/>
      <c r="R40" s="1417"/>
      <c r="S40" s="1417"/>
      <c r="T40" s="1418"/>
      <c r="U40" s="272"/>
      <c r="V40" s="91"/>
    </row>
    <row r="41" spans="1:30" ht="13.5" customHeight="1" x14ac:dyDescent="0.2">
      <c r="A41" s="273"/>
      <c r="B41" s="1402" t="s">
        <v>741</v>
      </c>
      <c r="C41" s="927"/>
      <c r="D41" s="752" t="str">
        <f>Sheet1!$D$25</f>
        <v>2014-15</v>
      </c>
      <c r="E41" s="753" t="str">
        <f>Sheet1!$E$25</f>
        <v>2015-16</v>
      </c>
      <c r="F41" s="753" t="str">
        <f>Sheet1!$F$25</f>
        <v>2016-17</v>
      </c>
      <c r="G41" s="753" t="str">
        <f>Sheet1!$G$25</f>
        <v>2017-18</v>
      </c>
      <c r="H41" s="754" t="str">
        <f>Sheet1!$H$25</f>
        <v>2018-19</v>
      </c>
      <c r="I41" s="21"/>
      <c r="J41" s="752" t="str">
        <f>Sheet1!$D$25</f>
        <v>2014-15</v>
      </c>
      <c r="K41" s="753" t="str">
        <f>Sheet1!$E$25</f>
        <v>2015-16</v>
      </c>
      <c r="L41" s="753" t="str">
        <f>Sheet1!$F$25</f>
        <v>2016-17</v>
      </c>
      <c r="M41" s="753" t="str">
        <f>Sheet1!$G$25</f>
        <v>2017-18</v>
      </c>
      <c r="N41" s="754" t="str">
        <f>Sheet1!$H$25</f>
        <v>2018-19</v>
      </c>
      <c r="O41" s="21"/>
      <c r="P41" s="752" t="str">
        <f>Sheet1!$D$25</f>
        <v>2014-15</v>
      </c>
      <c r="Q41" s="753" t="str">
        <f>Sheet1!$E$25</f>
        <v>2015-16</v>
      </c>
      <c r="R41" s="753" t="str">
        <f>Sheet1!$F$25</f>
        <v>2016-17</v>
      </c>
      <c r="S41" s="753" t="str">
        <f>Sheet1!$G$25</f>
        <v>2017-18</v>
      </c>
      <c r="T41" s="754" t="str">
        <f>Sheet1!$H$25</f>
        <v>2018-19</v>
      </c>
      <c r="U41" s="272"/>
      <c r="V41" s="91"/>
    </row>
    <row r="42" spans="1:30" ht="13.5" customHeight="1" x14ac:dyDescent="0.2">
      <c r="A42" s="273"/>
      <c r="B42" s="1402"/>
      <c r="C42" s="927"/>
      <c r="D42" s="748" t="str">
        <f>IF(Sheet1!$C$3="Annual","",Sheet1!$D$26)</f>
        <v/>
      </c>
      <c r="E42" s="748" t="str">
        <f>IF(Sheet1!$C$3="Annual","",Sheet1!$E$26)</f>
        <v/>
      </c>
      <c r="F42" s="748" t="str">
        <f>IF(Sheet1!$C$3="Annual","",Sheet1!$F$26)</f>
        <v/>
      </c>
      <c r="G42" s="748" t="str">
        <f>IF(Sheet1!$C$3="Annual","",Sheet1!$G$26)</f>
        <v/>
      </c>
      <c r="H42" s="749" t="str">
        <f>IF(Sheet1!$C$3="Annual","",Sheet1!$H$26)</f>
        <v/>
      </c>
      <c r="I42" s="21"/>
      <c r="J42" s="748" t="str">
        <f>IF(Sheet1!$C$3="Annual","",Sheet1!$D$26)</f>
        <v/>
      </c>
      <c r="K42" s="748" t="str">
        <f>IF(Sheet1!$C$3="Annual","",Sheet1!$E$26)</f>
        <v/>
      </c>
      <c r="L42" s="748" t="str">
        <f>IF(Sheet1!$C$3="Annual","",Sheet1!$F$26)</f>
        <v/>
      </c>
      <c r="M42" s="748" t="str">
        <f>IF(Sheet1!$C$3="Annual","",Sheet1!$G$26)</f>
        <v/>
      </c>
      <c r="N42" s="749" t="str">
        <f>IF(Sheet1!$C$3="Annual","",Sheet1!$H$26)</f>
        <v/>
      </c>
      <c r="O42" s="21"/>
      <c r="P42" s="748" t="str">
        <f>IF(Sheet1!$C$3="Annual","",Sheet1!$D$26)</f>
        <v/>
      </c>
      <c r="Q42" s="748" t="str">
        <f>IF(Sheet1!$C$3="Annual","",Sheet1!$E$26)</f>
        <v/>
      </c>
      <c r="R42" s="748" t="str">
        <f>IF(Sheet1!$C$3="Annual","",Sheet1!$F$26)</f>
        <v/>
      </c>
      <c r="S42" s="748" t="str">
        <f>IF(Sheet1!$C$3="Annual","",Sheet1!$G$26)</f>
        <v/>
      </c>
      <c r="T42" s="749" t="str">
        <f>IF(Sheet1!$C$3="Annual","",Sheet1!$H$26)</f>
        <v/>
      </c>
      <c r="U42" s="272"/>
      <c r="V42" s="91"/>
    </row>
    <row r="43" spans="1:30" ht="21.75" customHeight="1" x14ac:dyDescent="0.2">
      <c r="A43" s="918"/>
      <c r="B43" s="1405" t="s">
        <v>742</v>
      </c>
      <c r="C43" s="927"/>
      <c r="D43" s="1409" t="str">
        <f>VLOOKUP(CONCATENATE(D$38,Sheet1!$C$3,Population!$A43),Sheet1!$B$31:$H$335,D$34,FALSE)</f>
        <v>mid-2014</v>
      </c>
      <c r="E43" s="1409" t="str">
        <f>VLOOKUP(CONCATENATE(E$38,Sheet1!$C$3,Population!$A43),Sheet1!$B$31:$H$335,E$34,FALSE)</f>
        <v>mid-2015</v>
      </c>
      <c r="F43" s="1409" t="str">
        <f>VLOOKUP(CONCATENATE(F$38,Sheet1!$C$3,Population!$A43),Sheet1!$B$31:$H$335,F$34,FALSE)</f>
        <v>mid-2016</v>
      </c>
      <c r="G43" s="1409" t="str">
        <f>VLOOKUP(CONCATENATE(G$38,Sheet1!$C$3,Population!$A43),Sheet1!$B$31:$H$335,G$34,FALSE)</f>
        <v>mid-2017</v>
      </c>
      <c r="H43" s="1407" t="str">
        <f>VLOOKUP(CONCATENATE(H$38,Sheet1!$C$3,Population!$A43),Sheet1!$B$31:$H$335,H$34,FALSE)</f>
        <v>mid-2018</v>
      </c>
      <c r="I43" s="21"/>
      <c r="J43" s="1403">
        <f>VLOOKUP(CONCATENATE(J$38,Sheet1!$C$3,Population!$A43),Sheet1!$B$31:$H$335,J$34,FALSE)</f>
        <v>42064</v>
      </c>
      <c r="K43" s="1403">
        <f>VLOOKUP(CONCATENATE(K$38,Sheet1!$C$3,Population!$A43),Sheet1!$B$31:$H$335,K$34,FALSE)</f>
        <v>42430</v>
      </c>
      <c r="L43" s="1403">
        <f>VLOOKUP(CONCATENATE(L$38,Sheet1!$C$3,Population!$A43),Sheet1!$B$31:$H$335,L$34,FALSE)</f>
        <v>42795</v>
      </c>
      <c r="M43" s="1403">
        <f>VLOOKUP(CONCATENATE(M$38,Sheet1!$C$3,Population!$A43),Sheet1!$B$31:$H$335,M$34,FALSE)</f>
        <v>43160</v>
      </c>
      <c r="N43" s="1411">
        <f>VLOOKUP(CONCATENATE(N$38,Sheet1!$C$3,Population!$A43),Sheet1!$B$31:$H$335,N$34,FALSE)</f>
        <v>43525</v>
      </c>
      <c r="O43" s="21"/>
      <c r="P43" s="1403" t="str">
        <f>VLOOKUP(CONCATENATE(P$38,Sheet1!$C$3,Population!$A43),Sheet1!$B$31:$H$435,P$34,FALSE)</f>
        <v>-</v>
      </c>
      <c r="Q43" s="1403" t="str">
        <f>VLOOKUP(CONCATENATE(Q$38,Sheet1!$C$3,Population!$A43),Sheet1!$B$31:$H$435,Q$34,FALSE)</f>
        <v>-</v>
      </c>
      <c r="R43" s="1403" t="str">
        <f>VLOOKUP(CONCATENATE(R$38,Sheet1!$C$3,Population!$A43),Sheet1!$B$31:$H$435,R$34,FALSE)</f>
        <v>-</v>
      </c>
      <c r="S43" s="1403" t="str">
        <f>VLOOKUP(CONCATENATE(S$38,Sheet1!$C$3,Population!$A43),Sheet1!$B$31:$H$435,S$34,FALSE)</f>
        <v>mid-2017</v>
      </c>
      <c r="T43" s="1411" t="str">
        <f>VLOOKUP(CONCATENATE(T$38,Sheet1!$C$3,Population!$A43),Sheet1!$B$31:$H$435,T$34,FALSE)</f>
        <v>mid-2018</v>
      </c>
      <c r="U43" s="272"/>
      <c r="V43" s="91"/>
    </row>
    <row r="44" spans="1:30" ht="15" customHeight="1" x14ac:dyDescent="0.2">
      <c r="A44" s="918"/>
      <c r="B44" s="1406"/>
      <c r="C44" s="927"/>
      <c r="D44" s="1410"/>
      <c r="E44" s="1410"/>
      <c r="F44" s="1410"/>
      <c r="G44" s="1410"/>
      <c r="H44" s="1408"/>
      <c r="I44" s="21"/>
      <c r="J44" s="1404"/>
      <c r="K44" s="1404"/>
      <c r="L44" s="1404"/>
      <c r="M44" s="1404"/>
      <c r="N44" s="1412"/>
      <c r="O44" s="21"/>
      <c r="P44" s="1404"/>
      <c r="Q44" s="1404"/>
      <c r="R44" s="1404"/>
      <c r="S44" s="1404"/>
      <c r="T44" s="1412"/>
      <c r="U44" s="272"/>
      <c r="V44" s="91"/>
    </row>
    <row r="45" spans="1:30" s="88" customFormat="1" ht="13.5" customHeight="1" x14ac:dyDescent="0.2">
      <c r="A45" s="462">
        <f>VLOOKUP(B45,Sheet1!$AQ$4:$AR$25,2,FALSE)</f>
        <v>0</v>
      </c>
      <c r="B45" s="707" t="s">
        <v>0</v>
      </c>
      <c r="C45" s="927"/>
      <c r="D45" s="315">
        <f>VLOOKUP(CONCATENATE(D$38,Sheet1!$C$3,Population!$B45),Sheet1!$B$31:$H$335,D$34,FALSE)</f>
        <v>11700</v>
      </c>
      <c r="E45" s="315">
        <f>VLOOKUP(CONCATENATE(E$38,Sheet1!$C$3,Population!$B45),Sheet1!$B$31:$H$335,E$34,FALSE)</f>
        <v>11800</v>
      </c>
      <c r="F45" s="315">
        <f>VLOOKUP(CONCATENATE(F$38,Sheet1!$C$3,Population!$B45),Sheet1!$B$31:$H$335,F$34,FALSE)</f>
        <v>12000</v>
      </c>
      <c r="G45" s="315">
        <f>VLOOKUP(CONCATENATE(G$38,Sheet1!$C$3,Population!$B45),Sheet1!$B$31:$H$335,G$34,FALSE)</f>
        <v>12100</v>
      </c>
      <c r="H45" s="928">
        <f>VLOOKUP(CONCATENATE(H$38,Sheet1!$C$3,Population!$B45),Sheet1!$B$31:$H$335,H$34,FALSE)</f>
        <v>12400</v>
      </c>
      <c r="I45" s="21"/>
      <c r="J45" s="315">
        <f>VLOOKUP(CONCATENATE(J$38,Sheet1!$C$3,Population!$B45),Sheet1!$B$31:$H$335,J$34,FALSE)</f>
        <v>2477</v>
      </c>
      <c r="K45" s="315">
        <f>VLOOKUP(CONCATENATE(K$38,Sheet1!$C$3,Population!$B45),Sheet1!$B$31:$H$335,K$34,FALSE)</f>
        <v>2456</v>
      </c>
      <c r="L45" s="315">
        <f>VLOOKUP(CONCATENATE(L$38,Sheet1!$C$3,Population!$B45),Sheet1!$B$31:$H$335,L$34,FALSE)</f>
        <v>2359</v>
      </c>
      <c r="M45" s="315">
        <f>VLOOKUP(CONCATENATE(M$38,Sheet1!$C$3,Population!$B45),Sheet1!$B$31:$H$335,M$34,FALSE)</f>
        <v>2550</v>
      </c>
      <c r="N45" s="316">
        <f>VLOOKUP(CONCATENATE(N$38,Sheet1!$C$3,Population!$B45),Sheet1!$B$31:$H$335,N$34,FALSE)</f>
        <v>2186</v>
      </c>
      <c r="O45" s="21"/>
      <c r="P45" s="315" t="str">
        <f>IF(VLOOKUP(CONCATENATE(P$38,Sheet1!$C$3,Population!$B45),Sheet1!$B$31:$H$435,P$34,FALSE)=0,"-",(VLOOKUP(CONCATENATE(P$38,Sheet1!$C$3,Population!$B45),Sheet1!$B$31:$H$435,P$34,FALSE)))</f>
        <v>-</v>
      </c>
      <c r="Q45" s="315" t="str">
        <f>IF(VLOOKUP(CONCATENATE(Q$38,Sheet1!$C$3,Population!$B45),Sheet1!$B$31:$H$435,Q$34,FALSE)=0,"-",(VLOOKUP(CONCATENATE(Q$38,Sheet1!$C$3,Population!$B45),Sheet1!$B$31:$H$435,Q$34,FALSE)))</f>
        <v>-</v>
      </c>
      <c r="R45" s="315" t="str">
        <f>IF(VLOOKUP(CONCATENATE(R$38,Sheet1!$C$3,Population!$B45),Sheet1!$B$31:$H$435,R$34,FALSE)=0,"-",(VLOOKUP(CONCATENATE(R$38,Sheet1!$C$3,Population!$B45),Sheet1!$B$31:$H$435,R$34,FALSE)))</f>
        <v>-</v>
      </c>
      <c r="S45" s="315">
        <f>VLOOKUP(CONCATENATE(S$38,Sheet1!$C$3,Population!$B45),Sheet1!$B$31:$H$435,S$34,FALSE)</f>
        <v>17400</v>
      </c>
      <c r="T45" s="316">
        <f>VLOOKUP(CONCATENATE(T$38,Sheet1!$C$3,Population!$B45),Sheet1!$B$31:$H$435,T$34,FALSE)</f>
        <v>17900</v>
      </c>
      <c r="U45" s="277"/>
      <c r="V45" s="93"/>
      <c r="W45" s="76"/>
      <c r="X45" s="76"/>
      <c r="Y45" s="76"/>
      <c r="Z45" s="76"/>
      <c r="AA45" s="76"/>
      <c r="AB45" s="77"/>
    </row>
    <row r="46" spans="1:30" s="88" customFormat="1" ht="13.5" customHeight="1" x14ac:dyDescent="0.2">
      <c r="A46" s="462">
        <f>VLOOKUP(B46,Sheet1!$AQ$4:$AR$25,2,FALSE)</f>
        <v>0</v>
      </c>
      <c r="B46" s="95" t="s">
        <v>31</v>
      </c>
      <c r="C46" s="927"/>
      <c r="D46" s="315">
        <f>VLOOKUP(CONCATENATE(D$38,Sheet1!$C$3,Population!$B46),Sheet1!$B$31:$H$335,D$34,FALSE)</f>
        <v>21500</v>
      </c>
      <c r="E46" s="315">
        <f>VLOOKUP(CONCATENATE(E$38,Sheet1!$C$3,Population!$B46),Sheet1!$B$31:$H$335,E$34,FALSE)</f>
        <v>21600</v>
      </c>
      <c r="F46" s="315">
        <f>VLOOKUP(CONCATENATE(F$38,Sheet1!$C$3,Population!$B46),Sheet1!$B$31:$H$335,F$34,FALSE)</f>
        <v>21800</v>
      </c>
      <c r="G46" s="315">
        <f>VLOOKUP(CONCATENATE(G$38,Sheet1!$C$3,Population!$B46),Sheet1!$B$31:$H$335,G$34,FALSE)</f>
        <v>22000</v>
      </c>
      <c r="H46" s="316">
        <f>VLOOKUP(CONCATENATE(H$38,Sheet1!$C$3,Population!$B46),Sheet1!$B$31:$H$335,H$34,FALSE)</f>
        <v>22500</v>
      </c>
      <c r="I46" s="21"/>
      <c r="J46" s="315">
        <f>VLOOKUP(CONCATENATE(J$38,Sheet1!$C$3,Population!$B46),Sheet1!$B$31:$H$335,J$34,FALSE)</f>
        <v>4753</v>
      </c>
      <c r="K46" s="315">
        <f>VLOOKUP(CONCATENATE(K$38,Sheet1!$C$3,Population!$B46),Sheet1!$B$31:$H$335,K$34,FALSE)</f>
        <v>4849</v>
      </c>
      <c r="L46" s="315">
        <f>VLOOKUP(CONCATENATE(L$38,Sheet1!$C$3,Population!$B46),Sheet1!$B$31:$H$335,L$34,FALSE)</f>
        <v>4769</v>
      </c>
      <c r="M46" s="315">
        <f>VLOOKUP(CONCATENATE(M$38,Sheet1!$C$3,Population!$B46),Sheet1!$B$31:$H$335,M$34,FALSE)</f>
        <v>4868</v>
      </c>
      <c r="N46" s="316">
        <f>VLOOKUP(CONCATENATE(N$38,Sheet1!$C$3,Population!$B46),Sheet1!$B$31:$H$335,N$34,FALSE)</f>
        <v>4902</v>
      </c>
      <c r="O46" s="21"/>
      <c r="P46" s="315" t="str">
        <f>IF(VLOOKUP(CONCATENATE(P$38,Sheet1!$C$3,Population!$B46),Sheet1!$B$31:$H$435,P$34,FALSE)=0,"-",(VLOOKUP(CONCATENATE(P$38,Sheet1!$C$3,Population!$B46),Sheet1!$B$31:$H$435,P$34,FALSE)))</f>
        <v>-</v>
      </c>
      <c r="Q46" s="315" t="str">
        <f>IF(VLOOKUP(CONCATENATE(Q$38,Sheet1!$C$3,Population!$B46),Sheet1!$B$31:$H$435,Q$34,FALSE)=0,"-",(VLOOKUP(CONCATENATE(Q$38,Sheet1!$C$3,Population!$B46),Sheet1!$B$31:$H$435,Q$34,FALSE)))</f>
        <v>-</v>
      </c>
      <c r="R46" s="315" t="str">
        <f>IF(VLOOKUP(CONCATENATE(R$38,Sheet1!$C$3,Population!$B46),Sheet1!$B$31:$H$435,R$34,FALSE)=0,"-",(VLOOKUP(CONCATENATE(R$38,Sheet1!$C$3,Population!$B46),Sheet1!$B$31:$H$435,R$34,FALSE)))</f>
        <v>-</v>
      </c>
      <c r="S46" s="315">
        <f>VLOOKUP(CONCATENATE(S$38,Sheet1!$C$3,Population!$B46),Sheet1!$B$31:$H$435,S$34,FALSE)</f>
        <v>31200</v>
      </c>
      <c r="T46" s="316">
        <f>VLOOKUP(CONCATENATE(T$38,Sheet1!$C$3,Population!$B46),Sheet1!$B$31:$H$435,T$34,FALSE)</f>
        <v>31600</v>
      </c>
      <c r="U46" s="277"/>
      <c r="V46" s="93"/>
      <c r="W46" s="76"/>
      <c r="X46" s="76"/>
      <c r="Y46" s="76"/>
      <c r="Z46" s="76"/>
      <c r="AA46" s="76"/>
      <c r="AB46" s="77"/>
    </row>
    <row r="47" spans="1:30" s="88" customFormat="1" ht="13.5" customHeight="1" x14ac:dyDescent="0.2">
      <c r="A47" s="462">
        <f>VLOOKUP(B47,Sheet1!$AQ$4:$AR$25,2,FALSE)</f>
        <v>0</v>
      </c>
      <c r="B47" s="707" t="s">
        <v>8</v>
      </c>
      <c r="C47" s="927"/>
      <c r="D47" s="315">
        <f>VLOOKUP(CONCATENATE(D$38,Sheet1!$C$3,Population!$B47),Sheet1!$B$31:$H$335,D$34,FALSE)</f>
        <v>52200</v>
      </c>
      <c r="E47" s="315">
        <f>VLOOKUP(CONCATENATE(E$38,Sheet1!$C$3,Population!$B47),Sheet1!$B$31:$H$335,E$34,FALSE)</f>
        <v>52500</v>
      </c>
      <c r="F47" s="315">
        <f>VLOOKUP(CONCATENATE(F$38,Sheet1!$C$3,Population!$B47),Sheet1!$B$31:$H$335,F$34,FALSE)</f>
        <v>53100</v>
      </c>
      <c r="G47" s="315">
        <f>VLOOKUP(CONCATENATE(G$38,Sheet1!$C$3,Population!$B47),Sheet1!$B$31:$H$335,G$34,FALSE)</f>
        <v>53800</v>
      </c>
      <c r="H47" s="316">
        <f>VLOOKUP(CONCATENATE(H$38,Sheet1!$C$3,Population!$B47),Sheet1!$B$31:$H$335,H$34,FALSE)</f>
        <v>55000</v>
      </c>
      <c r="I47" s="21"/>
      <c r="J47" s="315">
        <f>VLOOKUP(CONCATENATE(J$38,Sheet1!$C$3,Population!$B47),Sheet1!$B$31:$H$335,J$34,FALSE)</f>
        <v>11717</v>
      </c>
      <c r="K47" s="315">
        <f>VLOOKUP(CONCATENATE(K$38,Sheet1!$C$3,Population!$B47),Sheet1!$B$31:$H$335,K$34,FALSE)</f>
        <v>12048</v>
      </c>
      <c r="L47" s="315">
        <f>VLOOKUP(CONCATENATE(L$38,Sheet1!$C$3,Population!$B47),Sheet1!$B$31:$H$335,L$34,FALSE)</f>
        <v>11702</v>
      </c>
      <c r="M47" s="315">
        <f>VLOOKUP(CONCATENATE(M$38,Sheet1!$C$3,Population!$B47),Sheet1!$B$31:$H$335,M$34,FALSE)</f>
        <v>11443</v>
      </c>
      <c r="N47" s="316">
        <f>VLOOKUP(CONCATENATE(N$38,Sheet1!$C$3,Population!$B47),Sheet1!$B$31:$H$335,N$34,FALSE)</f>
        <v>11580</v>
      </c>
      <c r="O47" s="21"/>
      <c r="P47" s="315" t="str">
        <f>IF(VLOOKUP(CONCATENATE(P$38,Sheet1!$C$3,Population!$B47),Sheet1!$B$31:$H$435,P$34,FALSE)=0,"-",(VLOOKUP(CONCATENATE(P$38,Sheet1!$C$3,Population!$B47),Sheet1!$B$31:$H$435,P$34,FALSE)))</f>
        <v>-</v>
      </c>
      <c r="Q47" s="315" t="str">
        <f>IF(VLOOKUP(CONCATENATE(Q$38,Sheet1!$C$3,Population!$B47),Sheet1!$B$31:$H$435,Q$34,FALSE)=0,"-",(VLOOKUP(CONCATENATE(Q$38,Sheet1!$C$3,Population!$B47),Sheet1!$B$31:$H$435,Q$34,FALSE)))</f>
        <v>-</v>
      </c>
      <c r="R47" s="315" t="str">
        <f>IF(VLOOKUP(CONCATENATE(R$38,Sheet1!$C$3,Population!$B47),Sheet1!$B$31:$H$435,R$34,FALSE)=0,"-",(VLOOKUP(CONCATENATE(R$38,Sheet1!$C$3,Population!$B47),Sheet1!$B$31:$H$435,R$34,FALSE)))</f>
        <v>-</v>
      </c>
      <c r="S47" s="315">
        <f>VLOOKUP(CONCATENATE(S$38,Sheet1!$C$3,Population!$B47),Sheet1!$B$31:$H$435,S$34,FALSE)</f>
        <v>77300</v>
      </c>
      <c r="T47" s="316">
        <f>VLOOKUP(CONCATENATE(T$38,Sheet1!$C$3,Population!$B47),Sheet1!$B$31:$H$435,T$34,FALSE)</f>
        <v>78900</v>
      </c>
      <c r="U47" s="277"/>
      <c r="V47" s="93"/>
      <c r="W47" s="76"/>
      <c r="X47" s="76"/>
      <c r="Y47" s="76"/>
      <c r="Z47" s="76"/>
      <c r="AA47" s="76"/>
      <c r="AB47" s="77"/>
    </row>
    <row r="48" spans="1:30" s="88" customFormat="1" ht="13.5" customHeight="1" x14ac:dyDescent="0.2">
      <c r="A48" s="462">
        <f>VLOOKUP(B48,Sheet1!$AQ$4:$AR$25,2,FALSE)</f>
        <v>0</v>
      </c>
      <c r="B48" s="707" t="s">
        <v>4</v>
      </c>
      <c r="C48" s="927"/>
      <c r="D48" s="315">
        <f>VLOOKUP(CONCATENATE(D$38,Sheet1!$C$3,Population!$B48),Sheet1!$B$31:$H$335,D$34,FALSE)</f>
        <v>47900</v>
      </c>
      <c r="E48" s="315">
        <f>VLOOKUP(CONCATENATE(E$38,Sheet1!$C$3,Population!$B48),Sheet1!$B$31:$H$335,E$34,FALSE)</f>
        <v>47400</v>
      </c>
      <c r="F48" s="315">
        <f>VLOOKUP(CONCATENATE(F$38,Sheet1!$C$3,Population!$B48),Sheet1!$B$31:$H$335,F$34,FALSE)</f>
        <v>47400</v>
      </c>
      <c r="G48" s="315">
        <f>VLOOKUP(CONCATENATE(G$38,Sheet1!$C$3,Population!$B48),Sheet1!$B$31:$H$335,G$34,FALSE)</f>
        <v>47500</v>
      </c>
      <c r="H48" s="316">
        <f>VLOOKUP(CONCATENATE(H$38,Sheet1!$C$3,Population!$B48),Sheet1!$B$31:$H$335,H$34,FALSE)</f>
        <v>48100</v>
      </c>
      <c r="I48" s="21"/>
      <c r="J48" s="315">
        <f>VLOOKUP(CONCATENATE(J$38,Sheet1!$C$3,Population!$B48),Sheet1!$B$31:$H$335,J$34,FALSE)</f>
        <v>11485</v>
      </c>
      <c r="K48" s="315">
        <f>VLOOKUP(CONCATENATE(K$38,Sheet1!$C$3,Population!$B48),Sheet1!$B$31:$H$335,K$34,FALSE)</f>
        <v>11399</v>
      </c>
      <c r="L48" s="315">
        <f>VLOOKUP(CONCATENATE(L$38,Sheet1!$C$3,Population!$B48),Sheet1!$B$31:$H$335,L$34,FALSE)</f>
        <v>11146</v>
      </c>
      <c r="M48" s="315">
        <f>VLOOKUP(CONCATENATE(M$38,Sheet1!$C$3,Population!$B48),Sheet1!$B$31:$H$335,M$34,FALSE)</f>
        <v>10823</v>
      </c>
      <c r="N48" s="316">
        <f>VLOOKUP(CONCATENATE(N$38,Sheet1!$C$3,Population!$B48),Sheet1!$B$31:$H$335,N$34,FALSE)</f>
        <v>10539</v>
      </c>
      <c r="O48" s="21"/>
      <c r="P48" s="315" t="str">
        <f>IF(VLOOKUP(CONCATENATE(P$38,Sheet1!$C$3,Population!$B48),Sheet1!$B$31:$H$435,P$34,FALSE)=0,"-",(VLOOKUP(CONCATENATE(P$38,Sheet1!$C$3,Population!$B48),Sheet1!$B$31:$H$435,P$34,FALSE)))</f>
        <v>-</v>
      </c>
      <c r="Q48" s="315" t="str">
        <f>IF(VLOOKUP(CONCATENATE(Q$38,Sheet1!$C$3,Population!$B48),Sheet1!$B$31:$H$435,Q$34,FALSE)=0,"-",(VLOOKUP(CONCATENATE(Q$38,Sheet1!$C$3,Population!$B48),Sheet1!$B$31:$H$435,Q$34,FALSE)))</f>
        <v>-</v>
      </c>
      <c r="R48" s="315" t="str">
        <f>IF(VLOOKUP(CONCATENATE(R$38,Sheet1!$C$3,Population!$B48),Sheet1!$B$31:$H$435,R$34,FALSE)=0,"-",(VLOOKUP(CONCATENATE(R$38,Sheet1!$C$3,Population!$B48),Sheet1!$B$31:$H$435,R$34,FALSE)))</f>
        <v>-</v>
      </c>
      <c r="S48" s="315">
        <f>VLOOKUP(CONCATENATE(S$38,Sheet1!$C$3,Population!$B48),Sheet1!$B$31:$H$435,S$34,FALSE)</f>
        <v>66500</v>
      </c>
      <c r="T48" s="316">
        <f>VLOOKUP(CONCATENATE(T$38,Sheet1!$C$3,Population!$B48),Sheet1!$B$31:$H$435,T$34,FALSE)</f>
        <v>67500</v>
      </c>
      <c r="U48" s="277"/>
      <c r="V48" s="93"/>
      <c r="W48" s="76"/>
      <c r="X48" s="76"/>
      <c r="Y48" s="76"/>
      <c r="Z48" s="76"/>
      <c r="AA48" s="76"/>
      <c r="AB48" s="77"/>
    </row>
    <row r="49" spans="1:28" s="88" customFormat="1" ht="13.5" customHeight="1" x14ac:dyDescent="0.2">
      <c r="A49" s="462">
        <f>VLOOKUP(B49,Sheet1!$AQ$4:$AR$25,2,FALSE)</f>
        <v>0</v>
      </c>
      <c r="B49" s="95" t="s">
        <v>6</v>
      </c>
      <c r="C49" s="927"/>
      <c r="D49" s="315">
        <f>VLOOKUP(CONCATENATE(D$38,Sheet1!$C$3,Population!$B49),Sheet1!$B$31:$H$335,D$34,FALSE)</f>
        <v>123800</v>
      </c>
      <c r="E49" s="315">
        <f>VLOOKUP(CONCATENATE(E$38,Sheet1!$C$3,Population!$B49),Sheet1!$B$31:$H$335,E$34,FALSE)</f>
        <v>123200</v>
      </c>
      <c r="F49" s="315">
        <f>VLOOKUP(CONCATENATE(F$38,Sheet1!$C$3,Population!$B49),Sheet1!$B$31:$H$335,F$34,FALSE)</f>
        <v>123600</v>
      </c>
      <c r="G49" s="315">
        <f>VLOOKUP(CONCATENATE(G$38,Sheet1!$C$3,Population!$B49),Sheet1!$B$31:$H$335,G$34,FALSE)</f>
        <v>124000</v>
      </c>
      <c r="H49" s="316">
        <f>VLOOKUP(CONCATENATE(H$38,Sheet1!$C$3,Population!$B49),Sheet1!$B$31:$H$335,H$34,FALSE)</f>
        <v>125800</v>
      </c>
      <c r="I49" s="21"/>
      <c r="J49" s="315">
        <f>VLOOKUP(CONCATENATE(J$38,Sheet1!$C$3,Population!$B49),Sheet1!$B$31:$H$335,J$34,FALSE)</f>
        <v>27853</v>
      </c>
      <c r="K49" s="315">
        <f>VLOOKUP(CONCATENATE(K$38,Sheet1!$C$3,Population!$B49),Sheet1!$B$31:$H$335,K$34,FALSE)</f>
        <v>27255</v>
      </c>
      <c r="L49" s="315">
        <f>VLOOKUP(CONCATENATE(L$38,Sheet1!$C$3,Population!$B49),Sheet1!$B$31:$H$335,L$34,FALSE)</f>
        <v>28093</v>
      </c>
      <c r="M49" s="315">
        <f>VLOOKUP(CONCATENATE(M$38,Sheet1!$C$3,Population!$B49),Sheet1!$B$31:$H$335,M$34,FALSE)</f>
        <v>28029</v>
      </c>
      <c r="N49" s="316">
        <f>VLOOKUP(CONCATENATE(N$38,Sheet1!$C$3,Population!$B49),Sheet1!$B$31:$H$335,N$34,FALSE)</f>
        <v>26921</v>
      </c>
      <c r="O49" s="21"/>
      <c r="P49" s="315" t="str">
        <f>IF(VLOOKUP(CONCATENATE(P$38,Sheet1!$C$3,Population!$B49),Sheet1!$B$31:$H$435,P$34,FALSE)=0,"-",(VLOOKUP(CONCATENATE(P$38,Sheet1!$C$3,Population!$B49),Sheet1!$B$31:$H$435,P$34,FALSE)))</f>
        <v>-</v>
      </c>
      <c r="Q49" s="315" t="str">
        <f>IF(VLOOKUP(CONCATENATE(Q$38,Sheet1!$C$3,Population!$B49),Sheet1!$B$31:$H$435,Q$34,FALSE)=0,"-",(VLOOKUP(CONCATENATE(Q$38,Sheet1!$C$3,Population!$B49),Sheet1!$B$31:$H$435,Q$34,FALSE)))</f>
        <v>-</v>
      </c>
      <c r="R49" s="315" t="str">
        <f>IF(VLOOKUP(CONCATENATE(R$38,Sheet1!$C$3,Population!$B49),Sheet1!$B$31:$H$435,R$34,FALSE)=0,"-",(VLOOKUP(CONCATENATE(R$38,Sheet1!$C$3,Population!$B49),Sheet1!$B$31:$H$435,R$34,FALSE)))</f>
        <v>-</v>
      </c>
      <c r="S49" s="315">
        <f>VLOOKUP(CONCATENATE(S$38,Sheet1!$C$3,Population!$B49),Sheet1!$B$31:$H$435,S$34,FALSE)</f>
        <v>176600</v>
      </c>
      <c r="T49" s="316">
        <f>VLOOKUP(CONCATENATE(T$38,Sheet1!$C$3,Population!$B49),Sheet1!$B$31:$H$435,T$34,FALSE)</f>
        <v>179200</v>
      </c>
      <c r="U49" s="277"/>
      <c r="V49" s="93"/>
      <c r="W49" s="76"/>
      <c r="X49" s="76"/>
      <c r="Y49" s="76"/>
      <c r="Z49" s="76"/>
      <c r="AA49" s="76"/>
      <c r="AB49" s="77"/>
    </row>
    <row r="50" spans="1:28" s="88" customFormat="1" ht="13.5" customHeight="1" x14ac:dyDescent="0.2">
      <c r="A50" s="462">
        <f>VLOOKUP(B50,Sheet1!$AQ$4:$AR$25,2,FALSE)</f>
        <v>0</v>
      </c>
      <c r="B50" s="707" t="s">
        <v>1</v>
      </c>
      <c r="C50" s="927"/>
      <c r="D50" s="315">
        <f>VLOOKUP(CONCATENATE(D$38,Sheet1!$C$3,Population!$B50),Sheet1!$B$31:$H$335,D$34,FALSE)</f>
        <v>12000</v>
      </c>
      <c r="E50" s="315">
        <f>VLOOKUP(CONCATENATE(E$38,Sheet1!$C$3,Population!$B50),Sheet1!$B$31:$H$335,E$34,FALSE)</f>
        <v>11600</v>
      </c>
      <c r="F50" s="315">
        <f>VLOOKUP(CONCATENATE(F$38,Sheet1!$C$3,Population!$B50),Sheet1!$B$31:$H$335,F$34,FALSE)</f>
        <v>11600</v>
      </c>
      <c r="G50" s="315">
        <f>VLOOKUP(CONCATENATE(G$38,Sheet1!$C$3,Population!$B50),Sheet1!$B$31:$H$335,G$34,FALSE)</f>
        <v>11500</v>
      </c>
      <c r="H50" s="316">
        <f>VLOOKUP(CONCATENATE(H$38,Sheet1!$C$3,Population!$B50),Sheet1!$B$31:$H$335,H$34,FALSE)</f>
        <v>11400</v>
      </c>
      <c r="I50" s="21"/>
      <c r="J50" s="315">
        <f>VLOOKUP(CONCATENATE(J$38,Sheet1!$C$3,Population!$B50),Sheet1!$B$31:$H$335,J$34,FALSE)</f>
        <v>2996</v>
      </c>
      <c r="K50" s="315">
        <f>VLOOKUP(CONCATENATE(K$38,Sheet1!$C$3,Population!$B50),Sheet1!$B$31:$H$335,K$34,FALSE)</f>
        <v>2914</v>
      </c>
      <c r="L50" s="315">
        <f>VLOOKUP(CONCATENATE(L$38,Sheet1!$C$3,Population!$B50),Sheet1!$B$31:$H$335,L$34,FALSE)</f>
        <v>2870</v>
      </c>
      <c r="M50" s="315">
        <f>VLOOKUP(CONCATENATE(M$38,Sheet1!$C$3,Population!$B50),Sheet1!$B$31:$H$335,M$34,FALSE)</f>
        <v>2752</v>
      </c>
      <c r="N50" s="316">
        <f>VLOOKUP(CONCATENATE(N$38,Sheet1!$C$3,Population!$B50),Sheet1!$B$31:$H$335,N$34,FALSE)</f>
        <v>2523</v>
      </c>
      <c r="O50" s="21"/>
      <c r="P50" s="315" t="str">
        <f>IF(VLOOKUP(CONCATENATE(P$38,Sheet1!$C$3,Population!$B50),Sheet1!$B$31:$H$435,P$34,FALSE)=0,"-",(VLOOKUP(CONCATENATE(P$38,Sheet1!$C$3,Population!$B50),Sheet1!$B$31:$H$435,P$34,FALSE)))</f>
        <v>-</v>
      </c>
      <c r="Q50" s="315" t="str">
        <f>IF(VLOOKUP(CONCATENATE(Q$38,Sheet1!$C$3,Population!$B50),Sheet1!$B$31:$H$435,Q$34,FALSE)=0,"-",(VLOOKUP(CONCATENATE(Q$38,Sheet1!$C$3,Population!$B50),Sheet1!$B$31:$H$435,Q$34,FALSE)))</f>
        <v>-</v>
      </c>
      <c r="R50" s="315" t="str">
        <f>IF(VLOOKUP(CONCATENATE(R$38,Sheet1!$C$3,Population!$B50),Sheet1!$B$31:$H$435,R$34,FALSE)=0,"-",(VLOOKUP(CONCATENATE(R$38,Sheet1!$C$3,Population!$B50),Sheet1!$B$31:$H$435,R$34,FALSE)))</f>
        <v>-</v>
      </c>
      <c r="S50" s="315">
        <f>VLOOKUP(CONCATENATE(S$38,Sheet1!$C$3,Population!$B50),Sheet1!$B$31:$H$435,S$34,FALSE)</f>
        <v>15400</v>
      </c>
      <c r="T50" s="316">
        <f>VLOOKUP(CONCATENATE(T$38,Sheet1!$C$3,Population!$B50),Sheet1!$B$31:$H$435,T$34,FALSE)</f>
        <v>15600</v>
      </c>
      <c r="U50" s="277"/>
      <c r="V50" s="93"/>
      <c r="W50" s="76"/>
      <c r="X50" s="76"/>
      <c r="Y50" s="76"/>
      <c r="Z50" s="76"/>
      <c r="AA50" s="76"/>
      <c r="AB50" s="77"/>
    </row>
    <row r="51" spans="1:28" s="88" customFormat="1" ht="13.5" customHeight="1" x14ac:dyDescent="0.2">
      <c r="A51" s="462">
        <f>VLOOKUP(B51,Sheet1!$AQ$4:$AR$25,2,FALSE)</f>
        <v>0</v>
      </c>
      <c r="B51" s="707" t="s">
        <v>9</v>
      </c>
      <c r="C51" s="927"/>
      <c r="D51" s="315">
        <f>VLOOKUP(CONCATENATE(D$38,Sheet1!$C$3,Population!$B51),Sheet1!$B$31:$H$335,D$34,FALSE)</f>
        <v>144800</v>
      </c>
      <c r="E51" s="315">
        <f>VLOOKUP(CONCATENATE(E$38,Sheet1!$C$3,Population!$B51),Sheet1!$B$31:$H$335,E$34,FALSE)</f>
        <v>144200</v>
      </c>
      <c r="F51" s="315">
        <f>VLOOKUP(CONCATENATE(F$38,Sheet1!$C$3,Population!$B51),Sheet1!$B$31:$H$335,F$34,FALSE)</f>
        <v>144500</v>
      </c>
      <c r="G51" s="315">
        <f>VLOOKUP(CONCATENATE(G$38,Sheet1!$C$3,Population!$B51),Sheet1!$B$31:$H$335,G$34,FALSE)</f>
        <v>146000</v>
      </c>
      <c r="H51" s="316">
        <f>VLOOKUP(CONCATENATE(H$38,Sheet1!$C$3,Population!$B51),Sheet1!$B$31:$H$335,H$34,FALSE)</f>
        <v>149100</v>
      </c>
      <c r="I51" s="21"/>
      <c r="J51" s="315">
        <f>VLOOKUP(CONCATENATE(J$38,Sheet1!$C$3,Population!$B51),Sheet1!$B$31:$H$335,J$34,FALSE)</f>
        <v>35668</v>
      </c>
      <c r="K51" s="315">
        <f>VLOOKUP(CONCATENATE(K$38,Sheet1!$C$3,Population!$B51),Sheet1!$B$31:$H$335,K$34,FALSE)</f>
        <v>35305</v>
      </c>
      <c r="L51" s="315">
        <f>VLOOKUP(CONCATENATE(L$38,Sheet1!$C$3,Population!$B51),Sheet1!$B$31:$H$335,L$34,FALSE)</f>
        <v>34055</v>
      </c>
      <c r="M51" s="315">
        <f>VLOOKUP(CONCATENATE(M$38,Sheet1!$C$3,Population!$B51),Sheet1!$B$31:$H$335,M$34,FALSE)</f>
        <v>33090</v>
      </c>
      <c r="N51" s="316">
        <f>VLOOKUP(CONCATENATE(N$38,Sheet1!$C$3,Population!$B51),Sheet1!$B$31:$H$335,N$34,FALSE)</f>
        <v>32582</v>
      </c>
      <c r="O51" s="21"/>
      <c r="P51" s="315" t="str">
        <f>IF(VLOOKUP(CONCATENATE(P$38,Sheet1!$C$3,Population!$B51),Sheet1!$B$31:$H$435,P$34,FALSE)=0,"-",(VLOOKUP(CONCATENATE(P$38,Sheet1!$C$3,Population!$B51),Sheet1!$B$31:$H$435,P$34,FALSE)))</f>
        <v>-</v>
      </c>
      <c r="Q51" s="315" t="str">
        <f>IF(VLOOKUP(CONCATENATE(Q$38,Sheet1!$C$3,Population!$B51),Sheet1!$B$31:$H$435,Q$34,FALSE)=0,"-",(VLOOKUP(CONCATENATE(Q$38,Sheet1!$C$3,Population!$B51),Sheet1!$B$31:$H$435,Q$34,FALSE)))</f>
        <v>-</v>
      </c>
      <c r="R51" s="315" t="str">
        <f>IF(VLOOKUP(CONCATENATE(R$38,Sheet1!$C$3,Population!$B51),Sheet1!$B$31:$H$435,R$34,FALSE)=0,"-",(VLOOKUP(CONCATENATE(R$38,Sheet1!$C$3,Population!$B51),Sheet1!$B$31:$H$435,R$34,FALSE)))</f>
        <v>-</v>
      </c>
      <c r="S51" s="315">
        <f>VLOOKUP(CONCATENATE(S$38,Sheet1!$C$3,Population!$B51),Sheet1!$B$31:$H$435,S$34,FALSE)</f>
        <v>208500</v>
      </c>
      <c r="T51" s="316">
        <f>VLOOKUP(CONCATENATE(T$38,Sheet1!$C$3,Population!$B51),Sheet1!$B$31:$H$435,T$34,FALSE)</f>
        <v>213100</v>
      </c>
      <c r="U51" s="277"/>
      <c r="V51" s="93"/>
      <c r="W51" s="76"/>
      <c r="X51" s="76"/>
      <c r="Y51" s="76"/>
      <c r="Z51" s="76"/>
      <c r="AA51" s="76"/>
      <c r="AB51" s="77"/>
    </row>
    <row r="52" spans="1:28" s="88" customFormat="1" ht="13.5" customHeight="1" x14ac:dyDescent="0.2">
      <c r="A52" s="462">
        <f>VLOOKUP(B52,Sheet1!$AQ$4:$AR$25,2,FALSE)</f>
        <v>0</v>
      </c>
      <c r="B52" s="707" t="s">
        <v>2</v>
      </c>
      <c r="C52" s="927"/>
      <c r="D52" s="315">
        <f>VLOOKUP(CONCATENATE(D$38,Sheet1!$C$3,Population!$B52),Sheet1!$B$31:$H$335,D$34,FALSE)</f>
        <v>26900</v>
      </c>
      <c r="E52" s="315">
        <f>VLOOKUP(CONCATENATE(E$38,Sheet1!$C$3,Population!$B52),Sheet1!$B$31:$H$335,E$34,FALSE)</f>
        <v>26700</v>
      </c>
      <c r="F52" s="315">
        <f>VLOOKUP(CONCATENATE(F$38,Sheet1!$C$3,Population!$B52),Sheet1!$B$31:$H$335,F$34,FALSE)</f>
        <v>26800</v>
      </c>
      <c r="G52" s="315">
        <f>VLOOKUP(CONCATENATE(G$38,Sheet1!$C$3,Population!$B52),Sheet1!$B$31:$H$335,G$34,FALSE)</f>
        <v>26800</v>
      </c>
      <c r="H52" s="316">
        <f>VLOOKUP(CONCATENATE(H$38,Sheet1!$C$3,Population!$B52),Sheet1!$B$31:$H$335,H$34,FALSE)</f>
        <v>27000</v>
      </c>
      <c r="I52" s="21"/>
      <c r="J52" s="315">
        <f>VLOOKUP(CONCATENATE(J$38,Sheet1!$C$3,Population!$B52),Sheet1!$B$31:$H$335,J$34,FALSE)</f>
        <v>6992</v>
      </c>
      <c r="K52" s="315">
        <f>VLOOKUP(CONCATENATE(K$38,Sheet1!$C$3,Population!$B52),Sheet1!$B$31:$H$335,K$34,FALSE)</f>
        <v>6882</v>
      </c>
      <c r="L52" s="315">
        <f>VLOOKUP(CONCATENATE(L$38,Sheet1!$C$3,Population!$B52),Sheet1!$B$31:$H$335,L$34,FALSE)</f>
        <v>6765</v>
      </c>
      <c r="M52" s="315">
        <f>VLOOKUP(CONCATENATE(M$38,Sheet1!$C$3,Population!$B52),Sheet1!$B$31:$H$335,M$34,FALSE)</f>
        <v>6525</v>
      </c>
      <c r="N52" s="316">
        <f>VLOOKUP(CONCATENATE(N$38,Sheet1!$C$3,Population!$B52),Sheet1!$B$31:$H$335,N$34,FALSE)</f>
        <v>6374</v>
      </c>
      <c r="O52" s="21"/>
      <c r="P52" s="315" t="str">
        <f>IF(VLOOKUP(CONCATENATE(P$38,Sheet1!$C$3,Population!$B52),Sheet1!$B$31:$H$435,P$34,FALSE)=0,"-",(VLOOKUP(CONCATENATE(P$38,Sheet1!$C$3,Population!$B52),Sheet1!$B$31:$H$435,P$34,FALSE)))</f>
        <v>-</v>
      </c>
      <c r="Q52" s="315" t="str">
        <f>IF(VLOOKUP(CONCATENATE(Q$38,Sheet1!$C$3,Population!$B52),Sheet1!$B$31:$H$435,Q$34,FALSE)=0,"-",(VLOOKUP(CONCATENATE(Q$38,Sheet1!$C$3,Population!$B52),Sheet1!$B$31:$H$435,Q$34,FALSE)))</f>
        <v>-</v>
      </c>
      <c r="R52" s="315" t="str">
        <f>IF(VLOOKUP(CONCATENATE(R$38,Sheet1!$C$3,Population!$B52),Sheet1!$B$31:$H$435,R$34,FALSE)=0,"-",(VLOOKUP(CONCATENATE(R$38,Sheet1!$C$3,Population!$B52),Sheet1!$B$31:$H$435,R$34,FALSE)))</f>
        <v>-</v>
      </c>
      <c r="S52" s="315">
        <f>VLOOKUP(CONCATENATE(S$38,Sheet1!$C$3,Population!$B52),Sheet1!$B$31:$H$435,S$34,FALSE)</f>
        <v>38700</v>
      </c>
      <c r="T52" s="316">
        <f>VLOOKUP(CONCATENATE(T$38,Sheet1!$C$3,Population!$B52),Sheet1!$B$31:$H$435,T$34,FALSE)</f>
        <v>39400</v>
      </c>
      <c r="U52" s="277"/>
      <c r="V52" s="93"/>
      <c r="W52" s="76"/>
      <c r="X52" s="76"/>
      <c r="Y52" s="76"/>
      <c r="Z52" s="76"/>
      <c r="AA52" s="76"/>
      <c r="AB52" s="77"/>
    </row>
    <row r="53" spans="1:28" s="88" customFormat="1" ht="13.5" customHeight="1" x14ac:dyDescent="0.2">
      <c r="A53" s="462">
        <f>VLOOKUP(B53,Sheet1!$AQ$4:$AR$25,2,FALSE)</f>
        <v>0</v>
      </c>
      <c r="B53" s="707" t="s">
        <v>10</v>
      </c>
      <c r="C53" s="927"/>
      <c r="D53" s="315">
        <f>VLOOKUP(CONCATENATE(D$38,Sheet1!$C$3,Population!$B53),Sheet1!$B$31:$H$335,D$34,FALSE)</f>
        <v>25600</v>
      </c>
      <c r="E53" s="315">
        <f>VLOOKUP(CONCATENATE(E$38,Sheet1!$C$3,Population!$B53),Sheet1!$B$31:$H$335,E$34,FALSE)</f>
        <v>25800</v>
      </c>
      <c r="F53" s="315">
        <f>VLOOKUP(CONCATENATE(F$38,Sheet1!$C$3,Population!$B53),Sheet1!$B$31:$H$335,F$34,FALSE)</f>
        <v>26400</v>
      </c>
      <c r="G53" s="315">
        <f>VLOOKUP(CONCATENATE(G$38,Sheet1!$C$3,Population!$B53),Sheet1!$B$31:$H$335,G$34,FALSE)</f>
        <v>27000</v>
      </c>
      <c r="H53" s="316">
        <f>VLOOKUP(CONCATENATE(H$38,Sheet1!$C$3,Population!$B53),Sheet1!$B$31:$H$335,H$34,FALSE)</f>
        <v>28000</v>
      </c>
      <c r="I53" s="21"/>
      <c r="J53" s="315">
        <f>VLOOKUP(CONCATENATE(J$38,Sheet1!$C$3,Population!$B53),Sheet1!$B$31:$H$335,J$34,FALSE)</f>
        <v>6096</v>
      </c>
      <c r="K53" s="315">
        <f>VLOOKUP(CONCATENATE(K$38,Sheet1!$C$3,Population!$B53),Sheet1!$B$31:$H$335,K$34,FALSE)</f>
        <v>6393</v>
      </c>
      <c r="L53" s="315">
        <f>VLOOKUP(CONCATENATE(L$38,Sheet1!$C$3,Population!$B53),Sheet1!$B$31:$H$335,L$34,FALSE)</f>
        <v>6165</v>
      </c>
      <c r="M53" s="315">
        <f>VLOOKUP(CONCATENATE(M$38,Sheet1!$C$3,Population!$B53),Sheet1!$B$31:$H$335,M$34,FALSE)</f>
        <v>6026</v>
      </c>
      <c r="N53" s="316">
        <f>VLOOKUP(CONCATENATE(N$38,Sheet1!$C$3,Population!$B53),Sheet1!$B$31:$H$335,N$34,FALSE)</f>
        <v>6073</v>
      </c>
      <c r="O53" s="21"/>
      <c r="P53" s="315" t="str">
        <f>IF(VLOOKUP(CONCATENATE(P$38,Sheet1!$C$3,Population!$B53),Sheet1!$B$31:$H$435,P$34,FALSE)=0,"-",(VLOOKUP(CONCATENATE(P$38,Sheet1!$C$3,Population!$B53),Sheet1!$B$31:$H$435,P$34,FALSE)))</f>
        <v>-</v>
      </c>
      <c r="Q53" s="315" t="str">
        <f>IF(VLOOKUP(CONCATENATE(Q$38,Sheet1!$C$3,Population!$B53),Sheet1!$B$31:$H$435,Q$34,FALSE)=0,"-",(VLOOKUP(CONCATENATE(Q$38,Sheet1!$C$3,Population!$B53),Sheet1!$B$31:$H$435,Q$34,FALSE)))</f>
        <v>-</v>
      </c>
      <c r="R53" s="315" t="str">
        <f>IF(VLOOKUP(CONCATENATE(R$38,Sheet1!$C$3,Population!$B53),Sheet1!$B$31:$H$435,R$34,FALSE)=0,"-",(VLOOKUP(CONCATENATE(R$38,Sheet1!$C$3,Population!$B53),Sheet1!$B$31:$H$435,R$34,FALSE)))</f>
        <v>-</v>
      </c>
      <c r="S53" s="315">
        <f>VLOOKUP(CONCATENATE(S$38,Sheet1!$C$3,Population!$B53),Sheet1!$B$31:$H$435,S$34,FALSE)</f>
        <v>42000</v>
      </c>
      <c r="T53" s="316">
        <f>VLOOKUP(CONCATENATE(T$38,Sheet1!$C$3,Population!$B53),Sheet1!$B$31:$H$435,T$34,FALSE)</f>
        <v>43000</v>
      </c>
      <c r="U53" s="277"/>
      <c r="V53" s="93"/>
      <c r="W53" s="76"/>
      <c r="X53" s="76"/>
      <c r="Y53" s="76"/>
      <c r="Z53" s="76"/>
      <c r="AA53" s="76"/>
      <c r="AB53" s="77"/>
    </row>
    <row r="54" spans="1:28" s="88" customFormat="1" ht="13.5" customHeight="1" x14ac:dyDescent="0.2">
      <c r="A54" s="462">
        <f>VLOOKUP(B54,Sheet1!$AQ$4:$AR$25,2,FALSE)</f>
        <v>0</v>
      </c>
      <c r="B54" s="707" t="s">
        <v>11</v>
      </c>
      <c r="C54" s="927"/>
      <c r="D54" s="315">
        <f>VLOOKUP(CONCATENATE(D$38,Sheet1!$C$3,Population!$B54),Sheet1!$B$31:$H$335,D$34,FALSE)</f>
        <v>59700</v>
      </c>
      <c r="E54" s="315">
        <f>VLOOKUP(CONCATENATE(E$38,Sheet1!$C$3,Population!$B54),Sheet1!$B$31:$H$335,E$34,FALSE)</f>
        <v>59800</v>
      </c>
      <c r="F54" s="315">
        <f>VLOOKUP(CONCATENATE(F$38,Sheet1!$C$3,Population!$B54),Sheet1!$B$31:$H$335,F$34,FALSE)</f>
        <v>60500</v>
      </c>
      <c r="G54" s="315">
        <f>VLOOKUP(CONCATENATE(G$38,Sheet1!$C$3,Population!$B54),Sheet1!$B$31:$H$335,G$34,FALSE)</f>
        <v>61400</v>
      </c>
      <c r="H54" s="316">
        <f>VLOOKUP(CONCATENATE(H$38,Sheet1!$C$3,Population!$B54),Sheet1!$B$31:$H$335,H$34,FALSE)</f>
        <v>62600</v>
      </c>
      <c r="I54" s="21"/>
      <c r="J54" s="315">
        <f>VLOOKUP(CONCATENATE(J$38,Sheet1!$C$3,Population!$B54),Sheet1!$B$31:$H$335,J$34,FALSE)</f>
        <v>12661</v>
      </c>
      <c r="K54" s="315">
        <f>VLOOKUP(CONCATENATE(K$38,Sheet1!$C$3,Population!$B54),Sheet1!$B$31:$H$335,K$34,FALSE)</f>
        <v>12756</v>
      </c>
      <c r="L54" s="315">
        <f>VLOOKUP(CONCATENATE(L$38,Sheet1!$C$3,Population!$B54),Sheet1!$B$31:$H$335,L$34,FALSE)</f>
        <v>12707</v>
      </c>
      <c r="M54" s="315">
        <f>VLOOKUP(CONCATENATE(M$38,Sheet1!$C$3,Population!$B54),Sheet1!$B$31:$H$335,M$34,FALSE)</f>
        <v>12590</v>
      </c>
      <c r="N54" s="316">
        <f>VLOOKUP(CONCATENATE(N$38,Sheet1!$C$3,Population!$B54),Sheet1!$B$31:$H$335,N$34,FALSE)</f>
        <v>12451</v>
      </c>
      <c r="O54" s="21"/>
      <c r="P54" s="315" t="str">
        <f>IF(VLOOKUP(CONCATENATE(P$38,Sheet1!$C$3,Population!$B54),Sheet1!$B$31:$H$435,P$34,FALSE)=0,"-",(VLOOKUP(CONCATENATE(P$38,Sheet1!$C$3,Population!$B54),Sheet1!$B$31:$H$435,P$34,FALSE)))</f>
        <v>-</v>
      </c>
      <c r="Q54" s="315" t="str">
        <f>IF(VLOOKUP(CONCATENATE(Q$38,Sheet1!$C$3,Population!$B54),Sheet1!$B$31:$H$435,Q$34,FALSE)=0,"-",(VLOOKUP(CONCATENATE(Q$38,Sheet1!$C$3,Population!$B54),Sheet1!$B$31:$H$435,Q$34,FALSE)))</f>
        <v>-</v>
      </c>
      <c r="R54" s="315" t="str">
        <f>IF(VLOOKUP(CONCATENATE(R$38,Sheet1!$C$3,Population!$B54),Sheet1!$B$31:$H$435,R$34,FALSE)=0,"-",(VLOOKUP(CONCATENATE(R$38,Sheet1!$C$3,Population!$B54),Sheet1!$B$31:$H$435,R$34,FALSE)))</f>
        <v>-</v>
      </c>
      <c r="S54" s="315">
        <f>VLOOKUP(CONCATENATE(S$38,Sheet1!$C$3,Population!$B54),Sheet1!$B$31:$H$435,S$34,FALSE)</f>
        <v>88700</v>
      </c>
      <c r="T54" s="316">
        <f>VLOOKUP(CONCATENATE(T$38,Sheet1!$C$3,Population!$B54),Sheet1!$B$31:$H$435,T$34,FALSE)</f>
        <v>90700</v>
      </c>
      <c r="U54" s="277"/>
      <c r="V54" s="93"/>
      <c r="W54" s="76"/>
      <c r="X54" s="76"/>
      <c r="Y54" s="76"/>
      <c r="Z54" s="76"/>
      <c r="AA54" s="76"/>
      <c r="AB54" s="77"/>
    </row>
    <row r="55" spans="1:28" s="88" customFormat="1" ht="13.5" customHeight="1" x14ac:dyDescent="0.2">
      <c r="A55" s="462">
        <f>VLOOKUP(B55,Sheet1!$AQ$4:$AR$25,2,FALSE)</f>
        <v>0</v>
      </c>
      <c r="B55" s="707" t="s">
        <v>12</v>
      </c>
      <c r="C55" s="927"/>
      <c r="D55" s="315">
        <f>VLOOKUP(CONCATENATE(D$38,Sheet1!$C$3,Population!$B55),Sheet1!$B$31:$H$335,D$34,FALSE)</f>
        <v>17300</v>
      </c>
      <c r="E55" s="315">
        <f>VLOOKUP(CONCATENATE(E$38,Sheet1!$C$3,Population!$B55),Sheet1!$B$31:$H$335,E$34,FALSE)</f>
        <v>17300</v>
      </c>
      <c r="F55" s="315">
        <f>VLOOKUP(CONCATENATE(F$38,Sheet1!$C$3,Population!$B55),Sheet1!$B$31:$H$335,F$34,FALSE)</f>
        <v>17500</v>
      </c>
      <c r="G55" s="315">
        <f>VLOOKUP(CONCATENATE(G$38,Sheet1!$C$3,Population!$B55),Sheet1!$B$31:$H$335,G$34,FALSE)</f>
        <v>17900</v>
      </c>
      <c r="H55" s="316">
        <f>VLOOKUP(CONCATENATE(H$38,Sheet1!$C$3,Population!$B55),Sheet1!$B$31:$H$335,H$34,FALSE)</f>
        <v>18100</v>
      </c>
      <c r="I55" s="21"/>
      <c r="J55" s="315">
        <f>VLOOKUP(CONCATENATE(J$38,Sheet1!$C$3,Population!$B55),Sheet1!$B$31:$H$335,J$34,FALSE)</f>
        <v>3930</v>
      </c>
      <c r="K55" s="315">
        <f>VLOOKUP(CONCATENATE(K$38,Sheet1!$C$3,Population!$B55),Sheet1!$B$31:$H$335,K$34,FALSE)</f>
        <v>3990</v>
      </c>
      <c r="L55" s="315">
        <f>VLOOKUP(CONCATENATE(L$38,Sheet1!$C$3,Population!$B55),Sheet1!$B$31:$H$335,L$34,FALSE)</f>
        <v>3982</v>
      </c>
      <c r="M55" s="315">
        <f>VLOOKUP(CONCATENATE(M$38,Sheet1!$C$3,Population!$B55),Sheet1!$B$31:$H$335,M$34,FALSE)</f>
        <v>3907</v>
      </c>
      <c r="N55" s="316">
        <f>VLOOKUP(CONCATENATE(N$38,Sheet1!$C$3,Population!$B55),Sheet1!$B$31:$H$335,N$34,FALSE)</f>
        <v>3719</v>
      </c>
      <c r="O55" s="21"/>
      <c r="P55" s="315" t="str">
        <f>IF(VLOOKUP(CONCATENATE(P$38,Sheet1!$C$3,Population!$B55),Sheet1!$B$31:$H$435,P$34,FALSE)=0,"-",(VLOOKUP(CONCATENATE(P$38,Sheet1!$C$3,Population!$B55),Sheet1!$B$31:$H$435,P$34,FALSE)))</f>
        <v>-</v>
      </c>
      <c r="Q55" s="315" t="str">
        <f>IF(VLOOKUP(CONCATENATE(Q$38,Sheet1!$C$3,Population!$B55),Sheet1!$B$31:$H$435,Q$34,FALSE)=0,"-",(VLOOKUP(CONCATENATE(Q$38,Sheet1!$C$3,Population!$B55),Sheet1!$B$31:$H$435,Q$34,FALSE)))</f>
        <v>-</v>
      </c>
      <c r="R55" s="315" t="str">
        <f>IF(VLOOKUP(CONCATENATE(R$38,Sheet1!$C$3,Population!$B55),Sheet1!$B$31:$H$435,R$34,FALSE)=0,"-",(VLOOKUP(CONCATENATE(R$38,Sheet1!$C$3,Population!$B55),Sheet1!$B$31:$H$435,R$34,FALSE)))</f>
        <v>-</v>
      </c>
      <c r="S55" s="315">
        <f>VLOOKUP(CONCATENATE(S$38,Sheet1!$C$3,Population!$B55),Sheet1!$B$31:$H$435,S$34,FALSE)</f>
        <v>26800</v>
      </c>
      <c r="T55" s="316">
        <f>VLOOKUP(CONCATENATE(T$38,Sheet1!$C$3,Population!$B55),Sheet1!$B$31:$H$435,T$34,FALSE)</f>
        <v>27200</v>
      </c>
      <c r="U55" s="277"/>
      <c r="V55" s="93"/>
      <c r="W55" s="76"/>
      <c r="X55" s="76"/>
      <c r="Y55" s="76"/>
      <c r="Z55" s="76"/>
      <c r="AA55" s="76"/>
      <c r="AB55" s="77"/>
    </row>
    <row r="56" spans="1:28" s="88" customFormat="1" ht="13.5" customHeight="1" x14ac:dyDescent="0.2">
      <c r="A56" s="462">
        <f>VLOOKUP(B56,Sheet1!$AQ$4:$AR$25,2,FALSE)</f>
        <v>0</v>
      </c>
      <c r="B56" s="707" t="s">
        <v>3</v>
      </c>
      <c r="C56" s="927"/>
      <c r="D56" s="315">
        <f>VLOOKUP(CONCATENATE(D$38,Sheet1!$C$3,Population!$B56),Sheet1!$B$31:$H$335,D$34,FALSE)</f>
        <v>12800</v>
      </c>
      <c r="E56" s="315">
        <f>VLOOKUP(CONCATENATE(E$38,Sheet1!$C$3,Population!$B56),Sheet1!$B$31:$H$335,E$34,FALSE)</f>
        <v>13100</v>
      </c>
      <c r="F56" s="315">
        <f>VLOOKUP(CONCATENATE(F$38,Sheet1!$C$3,Population!$B56),Sheet1!$B$31:$H$335,F$34,FALSE)</f>
        <v>13400</v>
      </c>
      <c r="G56" s="315">
        <f>VLOOKUP(CONCATENATE(G$38,Sheet1!$C$3,Population!$B56),Sheet1!$B$31:$H$335,G$34,FALSE)</f>
        <v>13800</v>
      </c>
      <c r="H56" s="316">
        <f>VLOOKUP(CONCATENATE(H$38,Sheet1!$C$3,Population!$B56),Sheet1!$B$31:$H$335,H$34,FALSE)</f>
        <v>14300</v>
      </c>
      <c r="I56" s="21"/>
      <c r="J56" s="315">
        <f>VLOOKUP(CONCATENATE(J$38,Sheet1!$C$3,Population!$B56),Sheet1!$B$31:$H$335,J$34,FALSE)</f>
        <v>3083</v>
      </c>
      <c r="K56" s="315">
        <f>VLOOKUP(CONCATENATE(K$38,Sheet1!$C$3,Population!$B56),Sheet1!$B$31:$H$335,K$34,FALSE)</f>
        <v>3166</v>
      </c>
      <c r="L56" s="315">
        <f>VLOOKUP(CONCATENATE(L$38,Sheet1!$C$3,Population!$B56),Sheet1!$B$31:$H$335,L$34,FALSE)</f>
        <v>3116</v>
      </c>
      <c r="M56" s="315">
        <f>VLOOKUP(CONCATENATE(M$38,Sheet1!$C$3,Population!$B56),Sheet1!$B$31:$H$335,M$34,FALSE)</f>
        <v>3086</v>
      </c>
      <c r="N56" s="316">
        <f>VLOOKUP(CONCATENATE(N$38,Sheet1!$C$3,Population!$B56),Sheet1!$B$31:$H$335,N$34,FALSE)</f>
        <v>2916</v>
      </c>
      <c r="O56" s="21"/>
      <c r="P56" s="315" t="str">
        <f>IF(VLOOKUP(CONCATENATE(P$38,Sheet1!$C$3,Population!$B56),Sheet1!$B$31:$H$435,P$34,FALSE)=0,"-",(VLOOKUP(CONCATENATE(P$38,Sheet1!$C$3,Population!$B56),Sheet1!$B$31:$H$435,P$34,FALSE)))</f>
        <v>-</v>
      </c>
      <c r="Q56" s="315" t="str">
        <f>IF(VLOOKUP(CONCATENATE(Q$38,Sheet1!$C$3,Population!$B56),Sheet1!$B$31:$H$435,Q$34,FALSE)=0,"-",(VLOOKUP(CONCATENATE(Q$38,Sheet1!$C$3,Population!$B56),Sheet1!$B$31:$H$435,Q$34,FALSE)))</f>
        <v>-</v>
      </c>
      <c r="R56" s="315" t="str">
        <f>IF(VLOOKUP(CONCATENATE(R$38,Sheet1!$C$3,Population!$B56),Sheet1!$B$31:$H$435,R$34,FALSE)=0,"-",(VLOOKUP(CONCATENATE(R$38,Sheet1!$C$3,Population!$B56),Sheet1!$B$31:$H$435,R$34,FALSE)))</f>
        <v>-</v>
      </c>
      <c r="S56" s="315">
        <f>VLOOKUP(CONCATENATE(S$38,Sheet1!$C$3,Population!$B56),Sheet1!$B$31:$H$435,S$34,FALSE)</f>
        <v>21600</v>
      </c>
      <c r="T56" s="316">
        <f>VLOOKUP(CONCATENATE(T$38,Sheet1!$C$3,Population!$B56),Sheet1!$B$31:$H$435,T$34,FALSE)</f>
        <v>22200</v>
      </c>
      <c r="U56" s="277"/>
      <c r="V56" s="93"/>
      <c r="W56" s="76"/>
      <c r="X56" s="76"/>
      <c r="Y56" s="76"/>
      <c r="Z56" s="76"/>
      <c r="AA56" s="76"/>
      <c r="AB56" s="77"/>
    </row>
    <row r="57" spans="1:28" s="88" customFormat="1" ht="13.5" customHeight="1" x14ac:dyDescent="0.2">
      <c r="A57" s="462">
        <f>VLOOKUP(B57,Sheet1!$AQ$4:$AR$25,2,FALSE)</f>
        <v>0</v>
      </c>
      <c r="B57" s="707" t="s">
        <v>13</v>
      </c>
      <c r="C57" s="927"/>
      <c r="D57" s="315">
        <f>VLOOKUP(CONCATENATE(D$38,Sheet1!$C$3,Population!$B57),Sheet1!$B$31:$H$335,D$34,FALSE)</f>
        <v>14700</v>
      </c>
      <c r="E57" s="315">
        <f>VLOOKUP(CONCATENATE(E$38,Sheet1!$C$3,Population!$B57),Sheet1!$B$31:$H$335,E$34,FALSE)</f>
        <v>15000</v>
      </c>
      <c r="F57" s="315">
        <f>VLOOKUP(CONCATENATE(F$38,Sheet1!$C$3,Population!$B57),Sheet1!$B$31:$H$335,F$34,FALSE)</f>
        <v>15500</v>
      </c>
      <c r="G57" s="315">
        <f>VLOOKUP(CONCATENATE(G$38,Sheet1!$C$3,Population!$B57),Sheet1!$B$31:$H$335,G$34,FALSE)</f>
        <v>16300</v>
      </c>
      <c r="H57" s="316">
        <f>VLOOKUP(CONCATENATE(H$38,Sheet1!$C$3,Population!$B57),Sheet1!$B$31:$H$335,H$34,FALSE)</f>
        <v>16800</v>
      </c>
      <c r="I57" s="21"/>
      <c r="J57" s="315">
        <f>VLOOKUP(CONCATENATE(J$38,Sheet1!$C$3,Population!$B57),Sheet1!$B$31:$H$335,J$34,FALSE)</f>
        <v>3404</v>
      </c>
      <c r="K57" s="315">
        <f>VLOOKUP(CONCATENATE(K$38,Sheet1!$C$3,Population!$B57),Sheet1!$B$31:$H$335,K$34,FALSE)</f>
        <v>3443</v>
      </c>
      <c r="L57" s="315">
        <f>VLOOKUP(CONCATENATE(L$38,Sheet1!$C$3,Population!$B57),Sheet1!$B$31:$H$335,L$34,FALSE)</f>
        <v>3494</v>
      </c>
      <c r="M57" s="315">
        <f>VLOOKUP(CONCATENATE(M$38,Sheet1!$C$3,Population!$B57),Sheet1!$B$31:$H$335,M$34,FALSE)</f>
        <v>3630</v>
      </c>
      <c r="N57" s="316">
        <f>VLOOKUP(CONCATENATE(N$38,Sheet1!$C$3,Population!$B57),Sheet1!$B$31:$H$335,N$34,FALSE)</f>
        <v>3722</v>
      </c>
      <c r="O57" s="21"/>
      <c r="P57" s="315" t="str">
        <f>IF(VLOOKUP(CONCATENATE(P$38,Sheet1!$C$3,Population!$B57),Sheet1!$B$31:$H$435,P$34,FALSE)=0,"-",(VLOOKUP(CONCATENATE(P$38,Sheet1!$C$3,Population!$B57),Sheet1!$B$31:$H$435,P$34,FALSE)))</f>
        <v>-</v>
      </c>
      <c r="Q57" s="315" t="str">
        <f>IF(VLOOKUP(CONCATENATE(Q$38,Sheet1!$C$3,Population!$B57),Sheet1!$B$31:$H$435,Q$34,FALSE)=0,"-",(VLOOKUP(CONCATENATE(Q$38,Sheet1!$C$3,Population!$B57),Sheet1!$B$31:$H$435,Q$34,FALSE)))</f>
        <v>-</v>
      </c>
      <c r="R57" s="315" t="str">
        <f>IF(VLOOKUP(CONCATENATE(R$38,Sheet1!$C$3,Population!$B57),Sheet1!$B$31:$H$435,R$34,FALSE)=0,"-",(VLOOKUP(CONCATENATE(R$38,Sheet1!$C$3,Population!$B57),Sheet1!$B$31:$H$435,R$34,FALSE)))</f>
        <v>-</v>
      </c>
      <c r="S57" s="315">
        <f>VLOOKUP(CONCATENATE(S$38,Sheet1!$C$3,Population!$B57),Sheet1!$B$31:$H$435,S$34,FALSE)</f>
        <v>25500</v>
      </c>
      <c r="T57" s="316">
        <f>VLOOKUP(CONCATENATE(T$38,Sheet1!$C$3,Population!$B57),Sheet1!$B$31:$H$435,T$34,FALSE)</f>
        <v>26200</v>
      </c>
      <c r="U57" s="277"/>
      <c r="V57" s="93"/>
      <c r="W57" s="76"/>
      <c r="X57" s="76"/>
      <c r="Y57" s="76"/>
      <c r="Z57" s="76"/>
      <c r="AA57" s="76"/>
      <c r="AB57" s="77"/>
    </row>
    <row r="58" spans="1:28" s="88" customFormat="1" ht="13.5" customHeight="1" x14ac:dyDescent="0.2">
      <c r="A58" s="462">
        <f>VLOOKUP(B58,Sheet1!$AQ$4:$AR$25,2,FALSE)</f>
        <v>0</v>
      </c>
      <c r="B58" s="707" t="s">
        <v>93</v>
      </c>
      <c r="C58" s="927"/>
      <c r="D58" s="315">
        <f>VLOOKUP(CONCATENATE(D$38,Sheet1!$C$3,Population!$B58),Sheet1!$B$31:$H$335,D$34,FALSE)</f>
        <v>49400</v>
      </c>
      <c r="E58" s="315">
        <f>VLOOKUP(CONCATENATE(E$38,Sheet1!$C$3,Population!$B58),Sheet1!$B$31:$H$335,E$34,FALSE)</f>
        <v>49000</v>
      </c>
      <c r="F58" s="315">
        <f>VLOOKUP(CONCATENATE(F$38,Sheet1!$C$3,Population!$B58),Sheet1!$B$31:$H$335,F$34,FALSE)</f>
        <v>48900</v>
      </c>
      <c r="G58" s="315">
        <f>VLOOKUP(CONCATENATE(G$38,Sheet1!$C$3,Population!$B58),Sheet1!$B$31:$H$335,G$34,FALSE)</f>
        <v>49000</v>
      </c>
      <c r="H58" s="316">
        <f>VLOOKUP(CONCATENATE(H$38,Sheet1!$C$3,Population!$B58),Sheet1!$B$31:$H$335,H$34,FALSE)</f>
        <v>49500</v>
      </c>
      <c r="I58" s="21"/>
      <c r="J58" s="315">
        <f>VLOOKUP(CONCATENATE(J$38,Sheet1!$C$3,Population!$B58),Sheet1!$B$31:$H$335,J$34,FALSE)</f>
        <v>12117</v>
      </c>
      <c r="K58" s="315">
        <f>VLOOKUP(CONCATENATE(K$38,Sheet1!$C$3,Population!$B58),Sheet1!$B$31:$H$335,K$34,FALSE)</f>
        <v>11916</v>
      </c>
      <c r="L58" s="315">
        <f>VLOOKUP(CONCATENATE(L$38,Sheet1!$C$3,Population!$B58),Sheet1!$B$31:$H$335,L$34,FALSE)</f>
        <v>11647</v>
      </c>
      <c r="M58" s="315">
        <f>VLOOKUP(CONCATENATE(M$38,Sheet1!$C$3,Population!$B58),Sheet1!$B$31:$H$335,M$34,FALSE)</f>
        <v>11288</v>
      </c>
      <c r="N58" s="316">
        <f>VLOOKUP(CONCATENATE(N$38,Sheet1!$C$3,Population!$B58),Sheet1!$B$31:$H$335,N$34,FALSE)</f>
        <v>10965</v>
      </c>
      <c r="O58" s="21"/>
      <c r="P58" s="315" t="str">
        <f>IF(VLOOKUP(CONCATENATE(P$38,Sheet1!$C$3,Population!$B58),Sheet1!$B$31:$H$435,P$34,FALSE)=0,"-",(VLOOKUP(CONCATENATE(P$38,Sheet1!$C$3,Population!$B58),Sheet1!$B$31:$H$435,P$34,FALSE)))</f>
        <v>-</v>
      </c>
      <c r="Q58" s="315" t="str">
        <f>IF(VLOOKUP(CONCATENATE(Q$38,Sheet1!$C$3,Population!$B58),Sheet1!$B$31:$H$435,Q$34,FALSE)=0,"-",(VLOOKUP(CONCATENATE(Q$38,Sheet1!$C$3,Population!$B58),Sheet1!$B$31:$H$435,Q$34,FALSE)))</f>
        <v>-</v>
      </c>
      <c r="R58" s="315" t="str">
        <f>IF(VLOOKUP(CONCATENATE(R$38,Sheet1!$C$3,Population!$B58),Sheet1!$B$31:$H$435,R$34,FALSE)=0,"-",(VLOOKUP(CONCATENATE(R$38,Sheet1!$C$3,Population!$B58),Sheet1!$B$31:$H$435,R$34,FALSE)))</f>
        <v>-</v>
      </c>
      <c r="S58" s="315">
        <f>VLOOKUP(CONCATENATE(S$38,Sheet1!$C$3,Population!$B58),Sheet1!$B$31:$H$435,S$34,FALSE)</f>
        <v>68300</v>
      </c>
      <c r="T58" s="316">
        <f>VLOOKUP(CONCATENATE(T$38,Sheet1!$C$3,Population!$B58),Sheet1!$B$31:$H$435,T$34,FALSE)</f>
        <v>69700</v>
      </c>
      <c r="U58" s="277"/>
      <c r="V58" s="93"/>
      <c r="W58" s="76"/>
      <c r="X58" s="76"/>
      <c r="Y58" s="76"/>
      <c r="Z58" s="76"/>
      <c r="AA58" s="76"/>
      <c r="AB58" s="77"/>
    </row>
    <row r="59" spans="1:28" s="88" customFormat="1" ht="13.5" customHeight="1" x14ac:dyDescent="0.2">
      <c r="A59" s="462">
        <f>VLOOKUP(B59,Sheet1!$AQ$4:$AR$25,2,FALSE)</f>
        <v>0</v>
      </c>
      <c r="B59" s="707" t="s">
        <v>14</v>
      </c>
      <c r="C59" s="927"/>
      <c r="D59" s="315">
        <f>VLOOKUP(CONCATENATE(D$38,Sheet1!$C$3,Population!$B59),Sheet1!$B$31:$H$335,D$34,FALSE)</f>
        <v>18500</v>
      </c>
      <c r="E59" s="315">
        <f>VLOOKUP(CONCATENATE(E$38,Sheet1!$C$3,Population!$B59),Sheet1!$B$31:$H$335,E$34,FALSE)</f>
        <v>18300</v>
      </c>
      <c r="F59" s="315">
        <f>VLOOKUP(CONCATENATE(F$38,Sheet1!$C$3,Population!$B59),Sheet1!$B$31:$H$335,F$34,FALSE)</f>
        <v>18600</v>
      </c>
      <c r="G59" s="315">
        <f>VLOOKUP(CONCATENATE(G$38,Sheet1!$C$3,Population!$B59),Sheet1!$B$31:$H$335,G$34,FALSE)</f>
        <v>19000</v>
      </c>
      <c r="H59" s="316">
        <f>VLOOKUP(CONCATENATE(H$38,Sheet1!$C$3,Population!$B59),Sheet1!$B$31:$H$335,H$34,FALSE)</f>
        <v>19600</v>
      </c>
      <c r="I59" s="21"/>
      <c r="J59" s="315">
        <f>VLOOKUP(CONCATENATE(J$38,Sheet1!$C$3,Population!$B59),Sheet1!$B$31:$H$335,J$34,FALSE)</f>
        <v>4580</v>
      </c>
      <c r="K59" s="315">
        <f>VLOOKUP(CONCATENATE(K$38,Sheet1!$C$3,Population!$B59),Sheet1!$B$31:$H$335,K$34,FALSE)</f>
        <v>4423</v>
      </c>
      <c r="L59" s="315">
        <f>VLOOKUP(CONCATENATE(L$38,Sheet1!$C$3,Population!$B59),Sheet1!$B$31:$H$335,L$34,FALSE)</f>
        <v>4426</v>
      </c>
      <c r="M59" s="315">
        <f>VLOOKUP(CONCATENATE(M$38,Sheet1!$C$3,Population!$B59),Sheet1!$B$31:$H$335,M$34,FALSE)</f>
        <v>4477</v>
      </c>
      <c r="N59" s="316">
        <f>VLOOKUP(CONCATENATE(N$38,Sheet1!$C$3,Population!$B59),Sheet1!$B$31:$H$335,N$34,FALSE)</f>
        <v>4263</v>
      </c>
      <c r="O59" s="21"/>
      <c r="P59" s="315" t="str">
        <f>IF(VLOOKUP(CONCATENATE(P$38,Sheet1!$C$3,Population!$B59),Sheet1!$B$31:$H$435,P$34,FALSE)=0,"-",(VLOOKUP(CONCATENATE(P$38,Sheet1!$C$3,Population!$B59),Sheet1!$B$31:$H$435,P$34,FALSE)))</f>
        <v>-</v>
      </c>
      <c r="Q59" s="315" t="str">
        <f>IF(VLOOKUP(CONCATENATE(Q$38,Sheet1!$C$3,Population!$B59),Sheet1!$B$31:$H$435,Q$34,FALSE)=0,"-",(VLOOKUP(CONCATENATE(Q$38,Sheet1!$C$3,Population!$B59),Sheet1!$B$31:$H$435,Q$34,FALSE)))</f>
        <v>-</v>
      </c>
      <c r="R59" s="315" t="str">
        <f>IF(VLOOKUP(CONCATENATE(R$38,Sheet1!$C$3,Population!$B59),Sheet1!$B$31:$H$435,R$34,FALSE)=0,"-",(VLOOKUP(CONCATENATE(R$38,Sheet1!$C$3,Population!$B59),Sheet1!$B$31:$H$435,R$34,FALSE)))</f>
        <v>-</v>
      </c>
      <c r="S59" s="315">
        <f>VLOOKUP(CONCATENATE(S$38,Sheet1!$C$3,Population!$B59),Sheet1!$B$31:$H$435,S$34,FALSE)</f>
        <v>29700</v>
      </c>
      <c r="T59" s="316">
        <f>VLOOKUP(CONCATENATE(T$38,Sheet1!$C$3,Population!$B59),Sheet1!$B$31:$H$435,T$34,FALSE)</f>
        <v>30600</v>
      </c>
      <c r="U59" s="277"/>
      <c r="V59" s="93"/>
      <c r="W59" s="76"/>
      <c r="X59" s="76"/>
      <c r="Y59" s="76"/>
      <c r="Z59" s="76"/>
      <c r="AA59" s="76"/>
      <c r="AB59" s="77"/>
    </row>
    <row r="60" spans="1:28" s="88" customFormat="1" ht="13.5" customHeight="1" x14ac:dyDescent="0.2">
      <c r="A60" s="462">
        <f>VLOOKUP(B60,Sheet1!$AQ$4:$AR$25,2,FALSE)</f>
        <v>0</v>
      </c>
      <c r="B60" s="707" t="s">
        <v>7</v>
      </c>
      <c r="C60" s="927"/>
      <c r="D60" s="315">
        <f>VLOOKUP(CONCATENATE(D$38,Sheet1!$C$3,Population!$B60),Sheet1!$B$31:$H$335,D$34,FALSE)</f>
        <v>108300</v>
      </c>
      <c r="E60" s="315">
        <f>VLOOKUP(CONCATENATE(E$38,Sheet1!$C$3,Population!$B60),Sheet1!$B$31:$H$335,E$34,FALSE)</f>
        <v>108800</v>
      </c>
      <c r="F60" s="315">
        <f>VLOOKUP(CONCATENATE(F$38,Sheet1!$C$3,Population!$B60),Sheet1!$B$31:$H$335,F$34,FALSE)</f>
        <v>110200</v>
      </c>
      <c r="G60" s="315">
        <f>VLOOKUP(CONCATENATE(G$38,Sheet1!$C$3,Population!$B60),Sheet1!$B$31:$H$335,G$34,FALSE)</f>
        <v>111600</v>
      </c>
      <c r="H60" s="316">
        <f>VLOOKUP(CONCATENATE(H$38,Sheet1!$C$3,Population!$B60),Sheet1!$B$31:$H$335,H$34,FALSE)</f>
        <v>114100</v>
      </c>
      <c r="I60" s="21"/>
      <c r="J60" s="315">
        <f>VLOOKUP(CONCATENATE(J$38,Sheet1!$C$3,Population!$B60),Sheet1!$B$31:$H$335,J$34,FALSE)</f>
        <v>20529</v>
      </c>
      <c r="K60" s="315">
        <f>VLOOKUP(CONCATENATE(K$38,Sheet1!$C$3,Population!$B60),Sheet1!$B$31:$H$335,K$34,FALSE)</f>
        <v>22197</v>
      </c>
      <c r="L60" s="315">
        <f>VLOOKUP(CONCATENATE(L$38,Sheet1!$C$3,Population!$B60),Sheet1!$B$31:$H$335,L$34,FALSE)</f>
        <v>22595</v>
      </c>
      <c r="M60" s="315">
        <f>VLOOKUP(CONCATENATE(M$38,Sheet1!$C$3,Population!$B60),Sheet1!$B$31:$H$335,M$34,FALSE)</f>
        <v>21987</v>
      </c>
      <c r="N60" s="316">
        <f>VLOOKUP(CONCATENATE(N$38,Sheet1!$C$3,Population!$B60),Sheet1!$B$31:$H$335,N$34,FALSE)</f>
        <v>21342</v>
      </c>
      <c r="O60" s="21"/>
      <c r="P60" s="315" t="str">
        <f>IF(VLOOKUP(CONCATENATE(P$38,Sheet1!$C$3,Population!$B60),Sheet1!$B$31:$H$435,P$34,FALSE)=0,"-",(VLOOKUP(CONCATENATE(P$38,Sheet1!$C$3,Population!$B60),Sheet1!$B$31:$H$435,P$34,FALSE)))</f>
        <v>-</v>
      </c>
      <c r="Q60" s="315" t="str">
        <f>IF(VLOOKUP(CONCATENATE(Q$38,Sheet1!$C$3,Population!$B60),Sheet1!$B$31:$H$435,Q$34,FALSE)=0,"-",(VLOOKUP(CONCATENATE(Q$38,Sheet1!$C$3,Population!$B60),Sheet1!$B$31:$H$435,Q$34,FALSE)))</f>
        <v>-</v>
      </c>
      <c r="R60" s="315" t="str">
        <f>IF(VLOOKUP(CONCATENATE(R$38,Sheet1!$C$3,Population!$B60),Sheet1!$B$31:$H$435,R$34,FALSE)=0,"-",(VLOOKUP(CONCATENATE(R$38,Sheet1!$C$3,Population!$B60),Sheet1!$B$31:$H$435,R$34,FALSE)))</f>
        <v>-</v>
      </c>
      <c r="S60" s="315">
        <f>VLOOKUP(CONCATENATE(S$38,Sheet1!$C$3,Population!$B60),Sheet1!$B$31:$H$435,S$34,FALSE)</f>
        <v>161700</v>
      </c>
      <c r="T60" s="316">
        <f>VLOOKUP(CONCATENATE(T$38,Sheet1!$C$3,Population!$B60),Sheet1!$B$31:$H$435,T$34,FALSE)</f>
        <v>164700</v>
      </c>
      <c r="U60" s="277"/>
      <c r="V60" s="93"/>
      <c r="W60" s="76"/>
      <c r="X60" s="76"/>
      <c r="Y60" s="76"/>
      <c r="Z60" s="76"/>
      <c r="AA60" s="76"/>
      <c r="AB60" s="77"/>
    </row>
    <row r="61" spans="1:28" s="88" customFormat="1" ht="13.5" customHeight="1" x14ac:dyDescent="0.2">
      <c r="A61" s="462">
        <f>VLOOKUP(B61,Sheet1!$AQ$4:$AR$25,2,FALSE)</f>
        <v>0</v>
      </c>
      <c r="B61" s="707" t="s">
        <v>114</v>
      </c>
      <c r="C61" s="927"/>
      <c r="D61" s="315">
        <f>VLOOKUP(CONCATENATE(D$38,Sheet1!$C$3,Population!$B61),Sheet1!$B$31:$H$335,D$34,FALSE)</f>
        <v>19700</v>
      </c>
      <c r="E61" s="315">
        <f>VLOOKUP(CONCATENATE(E$38,Sheet1!$C$3,Population!$B61),Sheet1!$B$31:$H$335,E$34,FALSE)</f>
        <v>19700</v>
      </c>
      <c r="F61" s="315">
        <f>VLOOKUP(CONCATENATE(F$38,Sheet1!$C$3,Population!$B61),Sheet1!$B$31:$H$335,F$34,FALSE)</f>
        <v>19900</v>
      </c>
      <c r="G61" s="315">
        <f>VLOOKUP(CONCATENATE(G$38,Sheet1!$C$3,Population!$B61),Sheet1!$B$31:$H$335,G$34,FALSE)</f>
        <v>20200</v>
      </c>
      <c r="H61" s="316">
        <f>VLOOKUP(CONCATENATE(H$38,Sheet1!$C$3,Population!$B61),Sheet1!$B$31:$H$335,H$34,FALSE)</f>
        <v>20700</v>
      </c>
      <c r="I61" s="21"/>
      <c r="J61" s="315">
        <f>VLOOKUP(CONCATENATE(J$38,Sheet1!$C$3,Population!$B61),Sheet1!$B$31:$H$335,J$34,FALSE)</f>
        <v>5276</v>
      </c>
      <c r="K61" s="315">
        <f>VLOOKUP(CONCATENATE(K$38,Sheet1!$C$3,Population!$B61),Sheet1!$B$31:$H$335,K$34,FALSE)</f>
        <v>5149</v>
      </c>
      <c r="L61" s="315">
        <f>VLOOKUP(CONCATENATE(L$38,Sheet1!$C$3,Population!$B61),Sheet1!$B$31:$H$335,L$34,FALSE)</f>
        <v>4940</v>
      </c>
      <c r="M61" s="315">
        <f>VLOOKUP(CONCATENATE(M$38,Sheet1!$C$3,Population!$B61),Sheet1!$B$31:$H$335,M$34,FALSE)</f>
        <v>4857</v>
      </c>
      <c r="N61" s="316">
        <f>VLOOKUP(CONCATENATE(N$38,Sheet1!$C$3,Population!$B61),Sheet1!$B$31:$H$335,N$34,FALSE)</f>
        <v>4817</v>
      </c>
      <c r="O61" s="21"/>
      <c r="P61" s="315" t="str">
        <f>IF(VLOOKUP(CONCATENATE(P$38,Sheet1!$C$3,Population!$B61),Sheet1!$B$31:$H$435,P$34,FALSE)=0,"-",(VLOOKUP(CONCATENATE(P$38,Sheet1!$C$3,Population!$B61),Sheet1!$B$31:$H$435,P$34,FALSE)))</f>
        <v>-</v>
      </c>
      <c r="Q61" s="315" t="str">
        <f>IF(VLOOKUP(CONCATENATE(Q$38,Sheet1!$C$3,Population!$B61),Sheet1!$B$31:$H$435,Q$34,FALSE)=0,"-",(VLOOKUP(CONCATENATE(Q$38,Sheet1!$C$3,Population!$B61),Sheet1!$B$31:$H$435,Q$34,FALSE)))</f>
        <v>-</v>
      </c>
      <c r="R61" s="315" t="str">
        <f>IF(VLOOKUP(CONCATENATE(R$38,Sheet1!$C$3,Population!$B61),Sheet1!$B$31:$H$435,R$34,FALSE)=0,"-",(VLOOKUP(CONCATENATE(R$38,Sheet1!$C$3,Population!$B61),Sheet1!$B$31:$H$435,R$34,FALSE)))</f>
        <v>-</v>
      </c>
      <c r="S61" s="315">
        <f>VLOOKUP(CONCATENATE(S$38,Sheet1!$C$3,Population!$B61),Sheet1!$B$31:$H$435,S$34,FALSE)</f>
        <v>30200</v>
      </c>
      <c r="T61" s="316">
        <f>VLOOKUP(CONCATENATE(T$38,Sheet1!$C$3,Population!$B61),Sheet1!$B$31:$H$435,T$34,FALSE)</f>
        <v>30900</v>
      </c>
      <c r="U61" s="277"/>
      <c r="V61" s="93"/>
      <c r="W61" s="76"/>
      <c r="X61" s="76"/>
      <c r="Y61" s="76"/>
      <c r="Z61" s="76"/>
      <c r="AA61" s="76"/>
      <c r="AB61" s="77"/>
    </row>
    <row r="62" spans="1:28" s="88" customFormat="1" ht="13.5" customHeight="1" x14ac:dyDescent="0.2">
      <c r="A62" s="462">
        <f>VLOOKUP(B62,Sheet1!$AQ$4:$AR$25,2,FALSE)</f>
        <v>0</v>
      </c>
      <c r="B62" s="707" t="s">
        <v>115</v>
      </c>
      <c r="C62" s="927"/>
      <c r="D62" s="315">
        <f>VLOOKUP(CONCATENATE(D$38,Sheet1!$C$3,Population!$B62),Sheet1!$B$31:$H$335,D$34,FALSE)</f>
        <v>11100</v>
      </c>
      <c r="E62" s="315">
        <f>VLOOKUP(CONCATENATE(E$38,Sheet1!$C$3,Population!$B62),Sheet1!$B$31:$H$335,E$34,FALSE)</f>
        <v>11000</v>
      </c>
      <c r="F62" s="315">
        <f>VLOOKUP(CONCATENATE(F$38,Sheet1!$C$3,Population!$B62),Sheet1!$B$31:$H$335,F$34,FALSE)</f>
        <v>10900</v>
      </c>
      <c r="G62" s="315">
        <f>VLOOKUP(CONCATENATE(G$38,Sheet1!$C$3,Population!$B62),Sheet1!$B$31:$H$335,G$34,FALSE)</f>
        <v>10900</v>
      </c>
      <c r="H62" s="316">
        <f>VLOOKUP(CONCATENATE(H$38,Sheet1!$C$3,Population!$B62),Sheet1!$B$31:$H$335,H$34,FALSE)</f>
        <v>11100</v>
      </c>
      <c r="I62" s="21"/>
      <c r="J62" s="315">
        <f>VLOOKUP(CONCATENATE(J$38,Sheet1!$C$3,Population!$B62),Sheet1!$B$31:$H$335,J$34,FALSE)</f>
        <v>3085</v>
      </c>
      <c r="K62" s="315">
        <f>VLOOKUP(CONCATENATE(K$38,Sheet1!$C$3,Population!$B62),Sheet1!$B$31:$H$335,K$34,FALSE)</f>
        <v>3146</v>
      </c>
      <c r="L62" s="315">
        <f>VLOOKUP(CONCATENATE(L$38,Sheet1!$C$3,Population!$B62),Sheet1!$B$31:$H$335,L$34,FALSE)</f>
        <v>3041</v>
      </c>
      <c r="M62" s="315">
        <f>VLOOKUP(CONCATENATE(M$38,Sheet1!$C$3,Population!$B62),Sheet1!$B$31:$H$335,M$34,FALSE)</f>
        <v>2765</v>
      </c>
      <c r="N62" s="316">
        <f>VLOOKUP(CONCATENATE(N$38,Sheet1!$C$3,Population!$B62),Sheet1!$B$31:$H$335,N$34,FALSE)</f>
        <v>2678</v>
      </c>
      <c r="O62" s="21"/>
      <c r="P62" s="315" t="str">
        <f>IF(VLOOKUP(CONCATENATE(P$38,Sheet1!$C$3,Population!$B62),Sheet1!$B$31:$H$435,P$34,FALSE)=0,"-",(VLOOKUP(CONCATENATE(P$38,Sheet1!$C$3,Population!$B62),Sheet1!$B$31:$H$435,P$34,FALSE)))</f>
        <v>-</v>
      </c>
      <c r="Q62" s="315" t="str">
        <f>IF(VLOOKUP(CONCATENATE(Q$38,Sheet1!$C$3,Population!$B62),Sheet1!$B$31:$H$435,Q$34,FALSE)=0,"-",(VLOOKUP(CONCATENATE(Q$38,Sheet1!$C$3,Population!$B62),Sheet1!$B$31:$H$435,Q$34,FALSE)))</f>
        <v>-</v>
      </c>
      <c r="R62" s="315" t="str">
        <f>IF(VLOOKUP(CONCATENATE(R$38,Sheet1!$C$3,Population!$B62),Sheet1!$B$31:$H$435,R$34,FALSE)=0,"-",(VLOOKUP(CONCATENATE(R$38,Sheet1!$C$3,Population!$B62),Sheet1!$B$31:$H$435,R$34,FALSE)))</f>
        <v>-</v>
      </c>
      <c r="S62" s="315">
        <f>VLOOKUP(CONCATENATE(S$38,Sheet1!$C$3,Population!$B62),Sheet1!$B$31:$H$435,S$34,FALSE)</f>
        <v>15500</v>
      </c>
      <c r="T62" s="316">
        <f>VLOOKUP(CONCATENATE(T$38,Sheet1!$C$3,Population!$B62),Sheet1!$B$31:$H$435,T$34,FALSE)</f>
        <v>15900</v>
      </c>
      <c r="U62" s="277"/>
      <c r="V62" s="93"/>
      <c r="W62" s="76"/>
      <c r="X62" s="76"/>
      <c r="Y62" s="76"/>
      <c r="Z62" s="76"/>
      <c r="AA62" s="76"/>
      <c r="AB62" s="77"/>
    </row>
    <row r="63" spans="1:28" s="88" customFormat="1" ht="13.5" customHeight="1" x14ac:dyDescent="0.2">
      <c r="A63" s="462">
        <f>VLOOKUP(B63,Sheet1!$AQ$4:$AR$25,2,FALSE)</f>
        <v>0</v>
      </c>
      <c r="B63" s="707" t="s">
        <v>15</v>
      </c>
      <c r="C63" s="927"/>
      <c r="D63" s="315">
        <f>VLOOKUP(CONCATENATE(D$38,Sheet1!$C$3,Population!$B63),Sheet1!$B$31:$H$335,D$34,FALSE)</f>
        <v>16000</v>
      </c>
      <c r="E63" s="315">
        <f>VLOOKUP(CONCATENATE(E$38,Sheet1!$C$3,Population!$B63),Sheet1!$B$31:$H$335,E$34,FALSE)</f>
        <v>16000</v>
      </c>
      <c r="F63" s="315">
        <f>VLOOKUP(CONCATENATE(F$38,Sheet1!$C$3,Population!$B63),Sheet1!$B$31:$H$335,F$34,FALSE)</f>
        <v>16100</v>
      </c>
      <c r="G63" s="315">
        <f>VLOOKUP(CONCATENATE(G$38,Sheet1!$C$3,Population!$B63),Sheet1!$B$31:$H$335,G$34,FALSE)</f>
        <v>16200</v>
      </c>
      <c r="H63" s="316">
        <f>VLOOKUP(CONCATENATE(H$38,Sheet1!$C$3,Population!$B63),Sheet1!$B$31:$H$335,H$34,FALSE)</f>
        <v>16300</v>
      </c>
      <c r="I63" s="21"/>
      <c r="J63" s="315">
        <f>VLOOKUP(CONCATENATE(J$38,Sheet1!$C$3,Population!$B63),Sheet1!$B$31:$H$335,J$34,FALSE)</f>
        <v>3390</v>
      </c>
      <c r="K63" s="315">
        <f>VLOOKUP(CONCATENATE(K$38,Sheet1!$C$3,Population!$B63),Sheet1!$B$31:$H$335,K$34,FALSE)</f>
        <v>3376</v>
      </c>
      <c r="L63" s="315">
        <f>VLOOKUP(CONCATENATE(L$38,Sheet1!$C$3,Population!$B63),Sheet1!$B$31:$H$335,L$34,FALSE)</f>
        <v>3531</v>
      </c>
      <c r="M63" s="315">
        <f>VLOOKUP(CONCATENATE(M$38,Sheet1!$C$3,Population!$B63),Sheet1!$B$31:$H$335,M$34,FALSE)</f>
        <v>3397</v>
      </c>
      <c r="N63" s="316">
        <f>VLOOKUP(CONCATENATE(N$38,Sheet1!$C$3,Population!$B63),Sheet1!$B$31:$H$335,N$34,FALSE)</f>
        <v>3245</v>
      </c>
      <c r="O63" s="21"/>
      <c r="P63" s="315" t="str">
        <f>IF(VLOOKUP(CONCATENATE(P$38,Sheet1!$C$3,Population!$B63),Sheet1!$B$31:$H$435,P$34,FALSE)=0,"-",(VLOOKUP(CONCATENATE(P$38,Sheet1!$C$3,Population!$B63),Sheet1!$B$31:$H$435,P$34,FALSE)))</f>
        <v>-</v>
      </c>
      <c r="Q63" s="315" t="str">
        <f>IF(VLOOKUP(CONCATENATE(Q$38,Sheet1!$C$3,Population!$B63),Sheet1!$B$31:$H$435,Q$34,FALSE)=0,"-",(VLOOKUP(CONCATENATE(Q$38,Sheet1!$C$3,Population!$B63),Sheet1!$B$31:$H$435,Q$34,FALSE)))</f>
        <v>-</v>
      </c>
      <c r="R63" s="315" t="str">
        <f>IF(VLOOKUP(CONCATENATE(R$38,Sheet1!$C$3,Population!$B63),Sheet1!$B$31:$H$435,R$34,FALSE)=0,"-",(VLOOKUP(CONCATENATE(R$38,Sheet1!$C$3,Population!$B63),Sheet1!$B$31:$H$435,R$34,FALSE)))</f>
        <v>-</v>
      </c>
      <c r="S63" s="315">
        <f>VLOOKUP(CONCATENATE(S$38,Sheet1!$C$3,Population!$B63),Sheet1!$B$31:$H$435,S$34,FALSE)</f>
        <v>22400</v>
      </c>
      <c r="T63" s="316">
        <f>VLOOKUP(CONCATENATE(T$38,Sheet1!$C$3,Population!$B63),Sheet1!$B$31:$H$435,T$34,FALSE)</f>
        <v>22700</v>
      </c>
      <c r="U63" s="277"/>
      <c r="V63" s="93"/>
      <c r="W63" s="76"/>
      <c r="X63" s="76"/>
      <c r="Y63" s="76"/>
      <c r="Z63" s="76"/>
      <c r="AA63" s="76"/>
      <c r="AB63" s="77"/>
    </row>
    <row r="64" spans="1:28" s="88" customFormat="1" ht="13.5" customHeight="1" x14ac:dyDescent="0.2">
      <c r="A64" s="462">
        <f>VLOOKUP(B64,Sheet1!$AQ$4:$AR$25,2,FALSE)</f>
        <v>0</v>
      </c>
      <c r="B64" s="707" t="s">
        <v>5</v>
      </c>
      <c r="C64" s="927"/>
      <c r="D64" s="315">
        <f>VLOOKUP(CONCATENATE(D$38,Sheet1!$C$3,Population!$B64),Sheet1!$B$31:$H$335,D$34,FALSE)</f>
        <v>73100</v>
      </c>
      <c r="E64" s="315">
        <f>VLOOKUP(CONCATENATE(E$38,Sheet1!$C$3,Population!$B64),Sheet1!$B$31:$H$335,E$34,FALSE)</f>
        <v>73200</v>
      </c>
      <c r="F64" s="315">
        <f>VLOOKUP(CONCATENATE(F$38,Sheet1!$C$3,Population!$B64),Sheet1!$B$31:$H$335,F$34,FALSE)</f>
        <v>73400</v>
      </c>
      <c r="G64" s="315">
        <f>VLOOKUP(CONCATENATE(G$38,Sheet1!$C$3,Population!$B64),Sheet1!$B$31:$H$335,G$34,FALSE)</f>
        <v>74200</v>
      </c>
      <c r="H64" s="316">
        <f>VLOOKUP(CONCATENATE(H$38,Sheet1!$C$3,Population!$B64),Sheet1!$B$31:$H$335,H$34,FALSE)</f>
        <v>75700</v>
      </c>
      <c r="I64" s="21"/>
      <c r="J64" s="315">
        <f>VLOOKUP(CONCATENATE(J$38,Sheet1!$C$3,Population!$B64),Sheet1!$B$31:$H$335,J$34,FALSE)</f>
        <v>17666</v>
      </c>
      <c r="K64" s="315">
        <f>VLOOKUP(CONCATENATE(K$38,Sheet1!$C$3,Population!$B64),Sheet1!$B$31:$H$335,K$34,FALSE)</f>
        <v>18601</v>
      </c>
      <c r="L64" s="315">
        <f>VLOOKUP(CONCATENATE(L$38,Sheet1!$C$3,Population!$B64),Sheet1!$B$31:$H$335,L$34,FALSE)</f>
        <v>17640</v>
      </c>
      <c r="M64" s="315">
        <f>VLOOKUP(CONCATENATE(M$38,Sheet1!$C$3,Population!$B64),Sheet1!$B$31:$H$335,M$34,FALSE)</f>
        <v>17439</v>
      </c>
      <c r="N64" s="316">
        <f>VLOOKUP(CONCATENATE(N$38,Sheet1!$C$3,Population!$B64),Sheet1!$B$31:$H$335,N$34,FALSE)</f>
        <v>16302</v>
      </c>
      <c r="O64" s="21"/>
      <c r="P64" s="315" t="str">
        <f>IF(VLOOKUP(CONCATENATE(P$38,Sheet1!$C$3,Population!$B64),Sheet1!$B$31:$H$435,P$34,FALSE)=0,"-",(VLOOKUP(CONCATENATE(P$38,Sheet1!$C$3,Population!$B64),Sheet1!$B$31:$H$435,P$34,FALSE)))</f>
        <v>-</v>
      </c>
      <c r="Q64" s="315" t="str">
        <f>IF(VLOOKUP(CONCATENATE(Q$38,Sheet1!$C$3,Population!$B64),Sheet1!$B$31:$H$435,Q$34,FALSE)=0,"-",(VLOOKUP(CONCATENATE(Q$38,Sheet1!$C$3,Population!$B64),Sheet1!$B$31:$H$435,Q$34,FALSE)))</f>
        <v>-</v>
      </c>
      <c r="R64" s="315" t="str">
        <f>IF(VLOOKUP(CONCATENATE(R$38,Sheet1!$C$3,Population!$B64),Sheet1!$B$31:$H$435,R$34,FALSE)=0,"-",(VLOOKUP(CONCATENATE(R$38,Sheet1!$C$3,Population!$B64),Sheet1!$B$31:$H$435,R$34,FALSE)))</f>
        <v>-</v>
      </c>
      <c r="S64" s="315">
        <f>VLOOKUP(CONCATENATE(S$38,Sheet1!$C$3,Population!$B64),Sheet1!$B$31:$H$435,S$34,FALSE)</f>
        <v>107800</v>
      </c>
      <c r="T64" s="316">
        <f>VLOOKUP(CONCATENATE(T$38,Sheet1!$C$3,Population!$B64),Sheet1!$B$31:$H$435,T$34,FALSE)</f>
        <v>110000</v>
      </c>
      <c r="U64" s="277"/>
      <c r="V64" s="93"/>
      <c r="W64" s="76"/>
      <c r="X64" s="76"/>
      <c r="Y64" s="76"/>
      <c r="Z64" s="76"/>
      <c r="AA64" s="76"/>
      <c r="AB64" s="77"/>
    </row>
    <row r="65" spans="1:37" s="88" customFormat="1" ht="13.5" customHeight="1" x14ac:dyDescent="0.2">
      <c r="A65" s="462">
        <f>VLOOKUP(B65,Sheet1!$AQ$4:$AR$25,2,FALSE)</f>
        <v>0</v>
      </c>
      <c r="B65" s="95" t="s">
        <v>30</v>
      </c>
      <c r="C65" s="927"/>
      <c r="D65" s="315">
        <f>VLOOKUP(CONCATENATE(D$38,Sheet1!$C$3,Population!$B65),Sheet1!$B$31:$H$335,D$34,FALSE)</f>
        <v>14800</v>
      </c>
      <c r="E65" s="315">
        <f>VLOOKUP(CONCATENATE(E$38,Sheet1!$C$3,Population!$B65),Sheet1!$B$31:$H$335,E$34,FALSE)</f>
        <v>15100</v>
      </c>
      <c r="F65" s="315">
        <f>VLOOKUP(CONCATENATE(F$38,Sheet1!$C$3,Population!$B65),Sheet1!$B$31:$H$335,F$34,FALSE)</f>
        <v>15400</v>
      </c>
      <c r="G65" s="315">
        <f>VLOOKUP(CONCATENATE(G$38,Sheet1!$C$3,Population!$B65),Sheet1!$B$31:$H$335,G$34,FALSE)</f>
        <v>15700</v>
      </c>
      <c r="H65" s="316">
        <f>VLOOKUP(CONCATENATE(H$38,Sheet1!$C$3,Population!$B65),Sheet1!$B$31:$H$335,H$34,FALSE)</f>
        <v>16100</v>
      </c>
      <c r="I65" s="21"/>
      <c r="J65" s="315">
        <f>VLOOKUP(CONCATENATE(J$38,Sheet1!$C$3,Population!$B65),Sheet1!$B$31:$H$335,J$34,FALSE)</f>
        <v>2890</v>
      </c>
      <c r="K65" s="315">
        <f>VLOOKUP(CONCATENATE(K$38,Sheet1!$C$3,Population!$B65),Sheet1!$B$31:$H$335,K$34,FALSE)</f>
        <v>2785</v>
      </c>
      <c r="L65" s="315">
        <f>VLOOKUP(CONCATENATE(L$38,Sheet1!$C$3,Population!$B65),Sheet1!$B$31:$H$335,L$34,FALSE)</f>
        <v>2543</v>
      </c>
      <c r="M65" s="315">
        <f>VLOOKUP(CONCATENATE(M$38,Sheet1!$C$3,Population!$B65),Sheet1!$B$31:$H$335,M$34,FALSE)</f>
        <v>2459</v>
      </c>
      <c r="N65" s="316">
        <f>VLOOKUP(CONCATENATE(N$38,Sheet1!$C$3,Population!$B65),Sheet1!$B$31:$H$335,N$34,FALSE)</f>
        <v>2909</v>
      </c>
      <c r="O65" s="21"/>
      <c r="P65" s="315" t="str">
        <f>IF(VLOOKUP(CONCATENATE(P$38,Sheet1!$C$3,Population!$B65),Sheet1!$B$31:$H$435,P$34,FALSE)=0,"-",(VLOOKUP(CONCATENATE(P$38,Sheet1!$C$3,Population!$B65),Sheet1!$B$31:$H$435,P$34,FALSE)))</f>
        <v>-</v>
      </c>
      <c r="Q65" s="315" t="str">
        <f>IF(VLOOKUP(CONCATENATE(Q$38,Sheet1!$C$3,Population!$B65),Sheet1!$B$31:$H$435,Q$34,FALSE)=0,"-",(VLOOKUP(CONCATENATE(Q$38,Sheet1!$C$3,Population!$B65),Sheet1!$B$31:$H$435,Q$34,FALSE)))</f>
        <v>-</v>
      </c>
      <c r="R65" s="315" t="str">
        <f>IF(VLOOKUP(CONCATENATE(R$38,Sheet1!$C$3,Population!$B65),Sheet1!$B$31:$H$435,R$34,FALSE)=0,"-",(VLOOKUP(CONCATENATE(R$38,Sheet1!$C$3,Population!$B65),Sheet1!$B$31:$H$435,R$34,FALSE)))</f>
        <v>-</v>
      </c>
      <c r="S65" s="315">
        <f>VLOOKUP(CONCATENATE(S$38,Sheet1!$C$3,Population!$B65),Sheet1!$B$31:$H$435,S$34,FALSE)</f>
        <v>21600</v>
      </c>
      <c r="T65" s="316">
        <f>VLOOKUP(CONCATENATE(T$38,Sheet1!$C$3,Population!$B65),Sheet1!$B$31:$H$435,T$34,FALSE)</f>
        <v>21900</v>
      </c>
      <c r="U65" s="277"/>
      <c r="V65" s="93"/>
      <c r="W65" s="76"/>
      <c r="X65" s="76"/>
      <c r="Y65" s="76"/>
      <c r="Z65" s="76"/>
      <c r="AA65" s="76"/>
      <c r="AB65" s="77"/>
    </row>
    <row r="66" spans="1:37" s="88" customFormat="1" ht="13.5" customHeight="1" x14ac:dyDescent="0.2">
      <c r="A66" s="462">
        <f>VLOOKUP(B66,Sheet1!$AQ$4:$AR$25,2,FALSE)</f>
        <v>0</v>
      </c>
      <c r="B66" s="707" t="s">
        <v>16</v>
      </c>
      <c r="C66" s="927"/>
      <c r="D66" s="315">
        <f>VLOOKUP(CONCATENATE(D$38,Sheet1!$C$3,Population!$B66),Sheet1!$B$31:$H$335,D$34,FALSE)</f>
        <v>15900</v>
      </c>
      <c r="E66" s="315">
        <f>VLOOKUP(CONCATENATE(E$38,Sheet1!$C$3,Population!$B66),Sheet1!$B$31:$H$335,E$34,FALSE)</f>
        <v>16100</v>
      </c>
      <c r="F66" s="315">
        <f>VLOOKUP(CONCATENATE(F$38,Sheet1!$C$3,Population!$B66),Sheet1!$B$31:$H$335,F$34,FALSE)</f>
        <v>16400</v>
      </c>
      <c r="G66" s="315">
        <f>VLOOKUP(CONCATENATE(G$38,Sheet1!$C$3,Population!$B66),Sheet1!$B$31:$H$335,G$34,FALSE)</f>
        <v>16800</v>
      </c>
      <c r="H66" s="316">
        <f>VLOOKUP(CONCATENATE(H$38,Sheet1!$C$3,Population!$B66),Sheet1!$B$31:$H$335,H$34,FALSE)</f>
        <v>17500</v>
      </c>
      <c r="I66" s="21"/>
      <c r="J66" s="315">
        <f>VLOOKUP(CONCATENATE(J$38,Sheet1!$C$3,Population!$B66),Sheet1!$B$31:$H$335,J$34,FALSE)</f>
        <v>3416</v>
      </c>
      <c r="K66" s="315">
        <f>VLOOKUP(CONCATENATE(K$38,Sheet1!$C$3,Population!$B66),Sheet1!$B$31:$H$335,K$34,FALSE)</f>
        <v>3400</v>
      </c>
      <c r="L66" s="315">
        <f>VLOOKUP(CONCATENATE(L$38,Sheet1!$C$3,Population!$B66),Sheet1!$B$31:$H$335,L$34,FALSE)</f>
        <v>3293</v>
      </c>
      <c r="M66" s="315">
        <f>VLOOKUP(CONCATENATE(M$38,Sheet1!$C$3,Population!$B66),Sheet1!$B$31:$H$335,M$34,FALSE)</f>
        <v>3301</v>
      </c>
      <c r="N66" s="316">
        <f>VLOOKUP(CONCATENATE(N$38,Sheet1!$C$3,Population!$B66),Sheet1!$B$31:$H$335,N$34,FALSE)</f>
        <v>3424</v>
      </c>
      <c r="O66" s="21"/>
      <c r="P66" s="315" t="str">
        <f>IF(VLOOKUP(CONCATENATE(P$38,Sheet1!$C$3,Population!$B66),Sheet1!$B$31:$H$435,P$34,FALSE)=0,"-",(VLOOKUP(CONCATENATE(P$38,Sheet1!$C$3,Population!$B66),Sheet1!$B$31:$H$435,P$34,FALSE)))</f>
        <v>-</v>
      </c>
      <c r="Q66" s="315" t="str">
        <f>IF(VLOOKUP(CONCATENATE(Q$38,Sheet1!$C$3,Population!$B66),Sheet1!$B$31:$H$435,Q$34,FALSE)=0,"-",(VLOOKUP(CONCATENATE(Q$38,Sheet1!$C$3,Population!$B66),Sheet1!$B$31:$H$435,Q$34,FALSE)))</f>
        <v>-</v>
      </c>
      <c r="R66" s="315" t="str">
        <f>IF(VLOOKUP(CONCATENATE(R$38,Sheet1!$C$3,Population!$B66),Sheet1!$B$31:$H$435,R$34,FALSE)=0,"-",(VLOOKUP(CONCATENATE(R$38,Sheet1!$C$3,Population!$B66),Sheet1!$B$31:$H$435,R$34,FALSE)))</f>
        <v>-</v>
      </c>
      <c r="S66" s="315">
        <f>VLOOKUP(CONCATENATE(S$38,Sheet1!$C$3,Population!$B66),Sheet1!$B$31:$H$435,S$34,FALSE)</f>
        <v>24800</v>
      </c>
      <c r="T66" s="316">
        <f>VLOOKUP(CONCATENATE(T$38,Sheet1!$C$3,Population!$B66),Sheet1!$B$31:$H$435,T$34,FALSE)</f>
        <v>25600</v>
      </c>
      <c r="U66" s="277"/>
      <c r="V66" s="93"/>
      <c r="W66" s="76"/>
      <c r="X66" s="76"/>
      <c r="Y66" s="76"/>
      <c r="Z66" s="76"/>
      <c r="AA66" s="76"/>
      <c r="AB66" s="77"/>
    </row>
    <row r="67" spans="1:37" s="88" customFormat="1" ht="13.5" customHeight="1" x14ac:dyDescent="0.2">
      <c r="A67" s="276"/>
      <c r="B67" s="131" t="s">
        <v>74</v>
      </c>
      <c r="C67" s="927"/>
      <c r="D67" s="930">
        <f>VLOOKUP(CONCATENATE(D$38,Sheet1!$C$3,Population!$B67),Sheet1!$B$31:$H$335,D$34,FALSE)</f>
        <v>817500</v>
      </c>
      <c r="E67" s="930">
        <f>VLOOKUP(CONCATENATE(E$38,Sheet1!$C$3,Population!$B67),Sheet1!$B$31:$H$335,E$34,FALSE)</f>
        <v>817500</v>
      </c>
      <c r="F67" s="930">
        <f>VLOOKUP(CONCATENATE(F$38,Sheet1!$C$3,Population!$B67),Sheet1!$B$31:$H$335,F$34,FALSE)</f>
        <v>824300</v>
      </c>
      <c r="G67" s="930">
        <f>VLOOKUP(CONCATENATE(G$38,Sheet1!$C$3,Population!$B67),Sheet1!$B$31:$H$335,G$34,FALSE)</f>
        <v>833500</v>
      </c>
      <c r="H67" s="931">
        <f>VLOOKUP(CONCATENATE(H$38,Sheet1!$C$3,Population!$B67),Sheet1!$B$31:$H$335,H$34,FALSE)</f>
        <v>850400</v>
      </c>
      <c r="I67" s="21"/>
      <c r="J67" s="930">
        <f>VLOOKUP(CONCATENATE(J$38,Sheet1!$C$3,Population!$B67),Sheet1!$B$31:$H$335,J$34,FALSE)</f>
        <v>185586</v>
      </c>
      <c r="K67" s="930">
        <f>VLOOKUP(CONCATENATE(K$38,Sheet1!$C$3,Population!$B67),Sheet1!$B$31:$H$335,K$34,FALSE)</f>
        <v>187638</v>
      </c>
      <c r="L67" s="930">
        <f>VLOOKUP(CONCATENATE(L$38,Sheet1!$C$3,Population!$B67),Sheet1!$B$31:$H$335,L$34,FALSE)</f>
        <v>185251</v>
      </c>
      <c r="M67" s="930">
        <f>VLOOKUP(CONCATENATE(M$38,Sheet1!$C$3,Population!$B67),Sheet1!$B$31:$H$335,M$34,FALSE)</f>
        <v>182379</v>
      </c>
      <c r="N67" s="931">
        <f>VLOOKUP(CONCATENATE(N$38,Sheet1!$C$3,Population!$B67),Sheet1!$B$31:$H$335,N$34,FALSE)</f>
        <v>177973</v>
      </c>
      <c r="O67" s="21"/>
      <c r="P67" s="930" t="str">
        <f>IF(VLOOKUP(CONCATENATE(P$38,Sheet1!$C$3,Population!$B67),Sheet1!$B$31:$H$435,P$34,FALSE)=0,"-",(VLOOKUP(CONCATENATE(P$38,Sheet1!$C$3,Population!$B67),Sheet1!$B$31:$H$435,P$34,FALSE)))</f>
        <v>-</v>
      </c>
      <c r="Q67" s="930" t="str">
        <f>IF(VLOOKUP(CONCATENATE(Q$38,Sheet1!$C$3,Population!$B67),Sheet1!$B$31:$H$435,Q$34,FALSE)=0,"-",(VLOOKUP(CONCATENATE(Q$38,Sheet1!$C$3,Population!$B67),Sheet1!$B$31:$H$435,Q$34,FALSE)))</f>
        <v>-</v>
      </c>
      <c r="R67" s="930" t="str">
        <f>IF(VLOOKUP(CONCATENATE(R$38,Sheet1!$C$3,Population!$B67),Sheet1!$B$31:$H$435,R$34,FALSE)=0,"-",(VLOOKUP(CONCATENATE(R$38,Sheet1!$C$3,Population!$B67),Sheet1!$B$31:$H$435,R$34,FALSE)))</f>
        <v>-</v>
      </c>
      <c r="S67" s="930">
        <f>VLOOKUP(CONCATENATE(S$38,Sheet1!$C$3,Population!$B67),Sheet1!$B$31:$H$435,S$34,FALSE)</f>
        <v>1204300</v>
      </c>
      <c r="T67" s="931">
        <f>VLOOKUP(CONCATENATE(T$38,Sheet1!$C$3,Population!$B67),Sheet1!$B$31:$H$435,T$34,FALSE)</f>
        <v>1228000</v>
      </c>
      <c r="U67" s="277"/>
      <c r="V67" s="93"/>
      <c r="W67" s="76"/>
      <c r="X67" s="76"/>
      <c r="Y67" s="76"/>
      <c r="Z67" s="76"/>
      <c r="AA67" s="76"/>
      <c r="AB67" s="77"/>
    </row>
    <row r="68" spans="1:37" s="88" customFormat="1" ht="13.5" customHeight="1" x14ac:dyDescent="0.2">
      <c r="A68" s="276"/>
      <c r="B68" s="708" t="s">
        <v>126</v>
      </c>
      <c r="C68" s="927"/>
      <c r="D68" s="929" t="e">
        <f>VLOOKUP(CONCATENATE(D$38,Sheet1!$C$3,Population!$B68),Sheet1!$B$31:$H$335,D$34,FALSE)</f>
        <v>#N/A</v>
      </c>
      <c r="E68" s="929" t="e">
        <f>VLOOKUP(CONCATENATE(E$38,Sheet1!$C$3,Population!$B68),Sheet1!$B$31:$H$335,E$34,FALSE)</f>
        <v>#N/A</v>
      </c>
      <c r="F68" s="929" t="e">
        <f>VLOOKUP(CONCATENATE(F$38,Sheet1!$C$3,Population!$B68),Sheet1!$B$31:$H$335,F$34,FALSE)</f>
        <v>#N/A</v>
      </c>
      <c r="G68" s="929" t="e">
        <f>VLOOKUP(CONCATENATE(G$38,Sheet1!$C$3,Population!$B68),Sheet1!$B$31:$H$335,G$34,FALSE)</f>
        <v>#N/A</v>
      </c>
      <c r="H68" s="932" t="e">
        <f>VLOOKUP(CONCATENATE(H$38,Sheet1!$C$3,Population!$B68),Sheet1!$B$31:$H$335,H$34,FALSE)</f>
        <v>#N/A</v>
      </c>
      <c r="I68" s="21"/>
      <c r="J68" s="929">
        <f>VLOOKUP(CONCATENATE(J$38,Sheet1!$C$3,Population!$B68),Sheet1!$B$31:$H$335,J$34,FALSE)</f>
        <v>1162499</v>
      </c>
      <c r="K68" s="929">
        <f>VLOOKUP(CONCATENATE(K$38,Sheet1!$C$3,Population!$B68),Sheet1!$B$31:$H$335,K$34,FALSE)</f>
        <v>1152097</v>
      </c>
      <c r="L68" s="929">
        <f>VLOOKUP(CONCATENATE(L$38,Sheet1!$C$3,Population!$B68),Sheet1!$B$31:$H$335,L$34,FALSE)</f>
        <v>1157456</v>
      </c>
      <c r="M68" s="929">
        <f>VLOOKUP(CONCATENATE(M$38,Sheet1!$C$3,Population!$B68),Sheet1!$B$31:$H$335,M$34,FALSE)</f>
        <v>1136681</v>
      </c>
      <c r="N68" s="932">
        <f>VLOOKUP(CONCATENATE(N$38,Sheet1!$C$3,Population!$B68),Sheet1!$B$31:$H$335,N$34,FALSE)</f>
        <v>1124120</v>
      </c>
      <c r="O68" s="21"/>
      <c r="P68" s="929" t="str">
        <f>IF(VLOOKUP(CONCATENATE(P$38,Sheet1!$C$3,Population!$B68),Sheet1!$B$31:$H$435,P$34,FALSE)=0,"-",(VLOOKUP(CONCATENATE(P$38,Sheet1!$C$3,Population!$B68),Sheet1!$B$31:$H$435,P$34,FALSE)))</f>
        <v>-</v>
      </c>
      <c r="Q68" s="929" t="str">
        <f>IF(VLOOKUP(CONCATENATE(Q$38,Sheet1!$C$3,Population!$B68),Sheet1!$B$31:$H$435,Q$34,FALSE)=0,"-",(VLOOKUP(CONCATENATE(Q$38,Sheet1!$C$3,Population!$B68),Sheet1!$B$31:$H$435,Q$34,FALSE)))</f>
        <v>-</v>
      </c>
      <c r="R68" s="929" t="str">
        <f>IF(VLOOKUP(CONCATENATE(R$38,Sheet1!$C$3,Population!$B68),Sheet1!$B$31:$H$435,R$34,FALSE)=0,"-",(VLOOKUP(CONCATENATE(R$38,Sheet1!$C$3,Population!$B68),Sheet1!$B$31:$H$435,R$34,FALSE)))</f>
        <v>-</v>
      </c>
      <c r="S68" s="929">
        <f>VLOOKUP(CONCATENATE(S$38,Sheet1!$C$3,Population!$B68),Sheet1!$B$31:$H$435,S$34,FALSE)</f>
        <v>7253000</v>
      </c>
      <c r="T68" s="932">
        <f>VLOOKUP(CONCATENATE(T$38,Sheet1!$C$3,Population!$B68),Sheet1!$B$31:$H$435,T$34,FALSE)</f>
        <v>7401700</v>
      </c>
      <c r="U68" s="277"/>
      <c r="V68" s="93"/>
      <c r="W68" s="76"/>
      <c r="X68" s="76"/>
      <c r="Y68" s="76"/>
      <c r="Z68" s="76"/>
      <c r="AA68" s="76"/>
      <c r="AB68" s="77"/>
    </row>
    <row r="69" spans="1:37" ht="44.25" customHeight="1" x14ac:dyDescent="0.2">
      <c r="A69" s="273"/>
      <c r="B69" s="920"/>
      <c r="C69" s="927"/>
      <c r="D69" s="921">
        <v>3</v>
      </c>
      <c r="E69" s="921">
        <v>4</v>
      </c>
      <c r="F69" s="921">
        <v>5</v>
      </c>
      <c r="G69" s="921">
        <v>6</v>
      </c>
      <c r="H69" s="921">
        <v>7</v>
      </c>
      <c r="I69" s="21"/>
      <c r="J69" s="921">
        <v>3</v>
      </c>
      <c r="K69" s="921">
        <v>4</v>
      </c>
      <c r="L69" s="921">
        <v>5</v>
      </c>
      <c r="M69" s="921">
        <v>6</v>
      </c>
      <c r="N69" s="921">
        <v>7</v>
      </c>
      <c r="O69" s="21"/>
      <c r="P69" s="921">
        <v>3</v>
      </c>
      <c r="Q69" s="921">
        <v>4</v>
      </c>
      <c r="R69" s="921">
        <v>5</v>
      </c>
      <c r="S69" s="921">
        <v>6</v>
      </c>
      <c r="T69" s="921">
        <v>7</v>
      </c>
      <c r="U69" s="272"/>
      <c r="V69" s="91"/>
    </row>
    <row r="70" spans="1:37" ht="7.5" customHeight="1" x14ac:dyDescent="0.2">
      <c r="A70" s="273"/>
      <c r="B70" s="21"/>
      <c r="C70" s="21"/>
      <c r="D70" s="21"/>
      <c r="E70" s="21"/>
      <c r="F70" s="21"/>
      <c r="G70" s="21"/>
      <c r="H70" s="21"/>
      <c r="I70" s="21"/>
      <c r="J70" s="21"/>
      <c r="K70" s="21"/>
      <c r="L70" s="21"/>
      <c r="M70" s="21"/>
      <c r="N70" s="21"/>
      <c r="O70" s="21"/>
      <c r="P70" s="21"/>
      <c r="Q70" s="21"/>
      <c r="R70" s="21"/>
      <c r="S70" s="21"/>
      <c r="T70" s="22"/>
      <c r="U70" s="272"/>
      <c r="V70" s="138"/>
    </row>
    <row r="71" spans="1:37" ht="15" customHeight="1" x14ac:dyDescent="0.2">
      <c r="A71" s="908"/>
      <c r="B71" s="16"/>
      <c r="C71" s="16"/>
      <c r="D71" s="16"/>
      <c r="E71" s="16"/>
      <c r="F71" s="16"/>
      <c r="G71" s="16"/>
      <c r="H71" s="16"/>
      <c r="I71" s="16"/>
      <c r="J71" s="16"/>
      <c r="K71" s="16"/>
      <c r="L71" s="16"/>
      <c r="M71" s="16"/>
      <c r="N71" s="16"/>
      <c r="O71" s="16"/>
      <c r="P71" s="16"/>
      <c r="Q71" s="16"/>
      <c r="R71" s="16"/>
      <c r="S71" s="16"/>
      <c r="T71" s="16"/>
      <c r="U71" s="272"/>
      <c r="V71" s="138"/>
    </row>
    <row r="72" spans="1:37" ht="11.25" customHeight="1" x14ac:dyDescent="0.2">
      <c r="A72" s="233"/>
      <c r="B72" s="234"/>
      <c r="C72" s="926"/>
      <c r="D72" s="256"/>
      <c r="E72" s="256"/>
      <c r="F72" s="256"/>
      <c r="G72" s="256"/>
      <c r="H72" s="234"/>
      <c r="I72" s="926"/>
      <c r="J72" s="234"/>
      <c r="K72" s="234"/>
      <c r="L72" s="234"/>
      <c r="M72" s="234"/>
      <c r="N72" s="234"/>
      <c r="O72" s="926"/>
      <c r="P72" s="926"/>
      <c r="Q72" s="926"/>
      <c r="R72" s="234"/>
      <c r="S72" s="926"/>
      <c r="T72" s="234"/>
      <c r="U72" s="279"/>
      <c r="V72" s="138"/>
    </row>
    <row r="73" spans="1:37" s="76" customFormat="1" ht="11.25" customHeight="1" x14ac:dyDescent="0.2">
      <c r="A73" s="141"/>
      <c r="B73" s="1109"/>
      <c r="C73" s="9"/>
      <c r="D73" s="9"/>
      <c r="E73" s="9"/>
      <c r="F73" s="9"/>
      <c r="G73" s="9"/>
      <c r="H73" s="9"/>
      <c r="I73" s="9"/>
      <c r="J73" s="13"/>
      <c r="K73" s="9"/>
      <c r="L73" s="9"/>
      <c r="M73" s="9"/>
      <c r="N73" s="9"/>
      <c r="O73" s="9"/>
      <c r="P73" s="11"/>
      <c r="Q73" s="12"/>
      <c r="R73" s="12"/>
      <c r="S73" s="12"/>
      <c r="T73" s="12"/>
      <c r="U73" s="12"/>
      <c r="V73" s="241"/>
      <c r="AD73" s="83"/>
      <c r="AE73" s="83"/>
      <c r="AF73" s="84"/>
      <c r="AG73" s="83"/>
      <c r="AH73" s="83"/>
      <c r="AK73" s="77"/>
    </row>
    <row r="74" spans="1:37" s="76" customFormat="1" ht="11.25" customHeight="1" x14ac:dyDescent="0.2">
      <c r="A74" s="141"/>
      <c r="B74" s="1109"/>
      <c r="C74" s="9"/>
      <c r="D74" s="9"/>
      <c r="E74" s="9"/>
      <c r="F74" s="9"/>
      <c r="G74" s="9"/>
      <c r="H74" s="9"/>
      <c r="I74" s="9"/>
      <c r="J74" s="13"/>
      <c r="K74" s="9"/>
      <c r="L74" s="9"/>
      <c r="M74" s="9"/>
      <c r="N74" s="9"/>
      <c r="O74" s="9"/>
      <c r="P74" s="11"/>
      <c r="Q74" s="12"/>
      <c r="R74" s="12"/>
      <c r="S74" s="12"/>
      <c r="T74" s="12"/>
      <c r="U74" s="12"/>
      <c r="V74" s="241"/>
      <c r="AD74" s="83"/>
      <c r="AE74" s="83"/>
      <c r="AF74" s="84"/>
      <c r="AG74" s="83"/>
      <c r="AH74" s="83"/>
      <c r="AK74" s="77"/>
    </row>
    <row r="75" spans="1:37" s="76" customFormat="1" ht="11.25" customHeight="1" x14ac:dyDescent="0.2">
      <c r="A75" s="141"/>
      <c r="B75" s="1367" t="s">
        <v>82</v>
      </c>
      <c r="C75" s="15"/>
      <c r="D75" s="1306"/>
      <c r="E75" s="1306"/>
      <c r="F75" s="9"/>
      <c r="G75" s="9"/>
      <c r="H75" s="9"/>
      <c r="I75" s="9"/>
      <c r="J75" s="13"/>
      <c r="K75" s="9"/>
      <c r="L75" s="9"/>
      <c r="M75" s="9"/>
      <c r="N75" s="9"/>
      <c r="O75" s="9"/>
      <c r="P75" s="11"/>
      <c r="Q75" s="12"/>
      <c r="R75" s="12"/>
      <c r="S75" s="12"/>
      <c r="T75" s="12"/>
      <c r="U75" s="12"/>
      <c r="V75" s="241"/>
      <c r="AD75" s="83"/>
      <c r="AE75" s="83"/>
      <c r="AF75" s="84"/>
      <c r="AG75" s="83"/>
      <c r="AH75" s="83"/>
      <c r="AK75" s="77"/>
    </row>
    <row r="76" spans="1:37" s="76" customFormat="1" ht="11.25" customHeight="1" x14ac:dyDescent="0.2">
      <c r="A76" s="141"/>
      <c r="B76" s="1368"/>
      <c r="C76" s="9"/>
      <c r="D76" s="1306"/>
      <c r="E76" s="1306"/>
      <c r="F76" s="9"/>
      <c r="G76" s="9"/>
      <c r="H76" s="9"/>
      <c r="I76" s="9"/>
      <c r="J76" s="13"/>
      <c r="K76" s="9"/>
      <c r="L76" s="9"/>
      <c r="M76" s="9"/>
      <c r="N76" s="9"/>
      <c r="O76" s="9"/>
      <c r="P76" s="11"/>
      <c r="Q76" s="12"/>
      <c r="R76" s="12"/>
      <c r="S76" s="12"/>
      <c r="T76" s="12"/>
      <c r="U76" s="12"/>
      <c r="V76" s="241"/>
      <c r="AD76" s="83"/>
      <c r="AE76" s="83"/>
      <c r="AF76" s="84"/>
      <c r="AG76" s="83"/>
      <c r="AH76" s="83"/>
      <c r="AI76" s="77"/>
      <c r="AJ76" s="77"/>
      <c r="AK76" s="77"/>
    </row>
    <row r="77" spans="1:37" s="76" customFormat="1" ht="11.25" customHeight="1" x14ac:dyDescent="0.2">
      <c r="A77" s="141"/>
      <c r="B77" s="1366" t="s">
        <v>806</v>
      </c>
      <c r="C77" s="1366"/>
      <c r="D77" s="1366"/>
      <c r="E77" s="1366"/>
      <c r="F77" s="9"/>
      <c r="G77" s="9"/>
      <c r="H77" s="9"/>
      <c r="I77" s="9"/>
      <c r="J77" s="13"/>
      <c r="K77" s="9"/>
      <c r="L77" s="9"/>
      <c r="M77" s="9"/>
      <c r="N77" s="9"/>
      <c r="O77" s="9"/>
      <c r="P77" s="11"/>
      <c r="Q77" s="12"/>
      <c r="R77" s="12"/>
      <c r="S77" s="12"/>
      <c r="T77" s="12"/>
      <c r="U77" s="12"/>
      <c r="V77" s="241"/>
      <c r="AD77" s="83"/>
      <c r="AE77" s="83"/>
      <c r="AF77" s="84"/>
      <c r="AG77" s="83"/>
      <c r="AH77" s="83"/>
      <c r="AI77" s="77"/>
      <c r="AJ77" s="77"/>
      <c r="AK77" s="77"/>
    </row>
    <row r="78" spans="1:37" s="76" customFormat="1" ht="11.25" customHeight="1" x14ac:dyDescent="0.2">
      <c r="A78" s="141"/>
      <c r="B78" s="1366"/>
      <c r="C78" s="1366"/>
      <c r="D78" s="1366"/>
      <c r="E78" s="1366"/>
      <c r="F78" s="9"/>
      <c r="G78" s="9"/>
      <c r="H78" s="9"/>
      <c r="I78" s="9"/>
      <c r="J78" s="13"/>
      <c r="K78" s="9"/>
      <c r="L78" s="9"/>
      <c r="M78" s="9"/>
      <c r="N78" s="9"/>
      <c r="O78" s="9"/>
      <c r="P78" s="11"/>
      <c r="Q78" s="12"/>
      <c r="R78" s="12"/>
      <c r="S78" s="12"/>
      <c r="T78" s="12"/>
      <c r="U78" s="12"/>
      <c r="V78" s="241"/>
      <c r="AD78" s="83"/>
      <c r="AE78" s="83"/>
      <c r="AF78" s="84"/>
      <c r="AG78" s="83"/>
      <c r="AH78" s="83"/>
      <c r="AI78" s="80"/>
      <c r="AJ78" s="80"/>
      <c r="AK78" s="80"/>
    </row>
    <row r="79" spans="1:37" s="78" customFormat="1" ht="11.25" customHeight="1" x14ac:dyDescent="0.2">
      <c r="A79" s="141"/>
      <c r="B79" s="1366" t="s">
        <v>81</v>
      </c>
      <c r="C79" s="1366"/>
      <c r="D79" s="1366"/>
      <c r="E79" s="1366"/>
      <c r="F79" s="9"/>
      <c r="G79" s="9"/>
      <c r="H79" s="9"/>
      <c r="I79" s="9"/>
      <c r="J79" s="13"/>
      <c r="K79" s="9"/>
      <c r="L79" s="9"/>
      <c r="M79" s="9"/>
      <c r="N79" s="9"/>
      <c r="O79" s="9"/>
      <c r="P79" s="11"/>
      <c r="Q79" s="12"/>
      <c r="R79" s="12"/>
      <c r="S79" s="12"/>
      <c r="T79" s="12"/>
      <c r="U79" s="12"/>
      <c r="V79" s="241"/>
      <c r="AD79" s="83"/>
      <c r="AE79" s="83"/>
      <c r="AF79" s="84"/>
      <c r="AG79" s="83"/>
      <c r="AH79" s="83"/>
      <c r="AI79" s="77"/>
      <c r="AJ79" s="77"/>
      <c r="AK79" s="77"/>
    </row>
    <row r="80" spans="1:37" s="76" customFormat="1" ht="11.25" customHeight="1" x14ac:dyDescent="0.2">
      <c r="A80" s="141"/>
      <c r="B80" s="1366"/>
      <c r="C80" s="1366"/>
      <c r="D80" s="1366"/>
      <c r="E80" s="1366"/>
      <c r="F80" s="9"/>
      <c r="G80" s="9"/>
      <c r="H80" s="9"/>
      <c r="I80" s="9"/>
      <c r="J80" s="13"/>
      <c r="K80" s="9"/>
      <c r="L80" s="9"/>
      <c r="M80" s="9"/>
      <c r="N80" s="9"/>
      <c r="O80" s="9"/>
      <c r="P80" s="11"/>
      <c r="Q80" s="12"/>
      <c r="R80" s="12"/>
      <c r="S80" s="12"/>
      <c r="T80" s="12"/>
      <c r="U80" s="12"/>
      <c r="V80" s="241"/>
      <c r="AD80" s="83"/>
      <c r="AE80" s="83"/>
      <c r="AF80" s="84"/>
      <c r="AG80" s="83"/>
      <c r="AH80" s="83"/>
      <c r="AI80" s="77"/>
      <c r="AJ80" s="77"/>
      <c r="AK80" s="77"/>
    </row>
    <row r="81" spans="1:37" s="76" customFormat="1" ht="11.25" customHeight="1" x14ac:dyDescent="0.2">
      <c r="A81" s="141"/>
      <c r="B81" s="1366" t="s">
        <v>78</v>
      </c>
      <c r="C81" s="1366"/>
      <c r="D81" s="1366"/>
      <c r="E81" s="1366"/>
      <c r="F81" s="9"/>
      <c r="G81" s="9"/>
      <c r="H81" s="9"/>
      <c r="I81" s="9"/>
      <c r="J81" s="13"/>
      <c r="K81" s="9"/>
      <c r="L81" s="9"/>
      <c r="M81" s="9"/>
      <c r="N81" s="9"/>
      <c r="O81" s="9"/>
      <c r="P81" s="11"/>
      <c r="Q81" s="12"/>
      <c r="R81" s="12"/>
      <c r="S81" s="12"/>
      <c r="T81" s="12"/>
      <c r="U81" s="12"/>
      <c r="V81" s="241"/>
      <c r="AD81" s="83"/>
      <c r="AE81" s="83"/>
      <c r="AF81" s="84"/>
      <c r="AG81" s="83"/>
      <c r="AH81" s="83"/>
      <c r="AI81" s="77"/>
      <c r="AJ81" s="77"/>
      <c r="AK81" s="77"/>
    </row>
    <row r="82" spans="1:37" s="76" customFormat="1" ht="11.25" customHeight="1" x14ac:dyDescent="0.2">
      <c r="A82" s="141"/>
      <c r="B82" s="1366"/>
      <c r="C82" s="1366"/>
      <c r="D82" s="1366"/>
      <c r="E82" s="1366"/>
      <c r="F82" s="9"/>
      <c r="G82" s="9"/>
      <c r="H82" s="9"/>
      <c r="I82" s="9"/>
      <c r="J82" s="13"/>
      <c r="K82" s="9"/>
      <c r="L82" s="9"/>
      <c r="M82" s="9"/>
      <c r="N82" s="9"/>
      <c r="O82" s="9"/>
      <c r="P82" s="11"/>
      <c r="Q82" s="12"/>
      <c r="R82" s="12"/>
      <c r="S82" s="12"/>
      <c r="T82" s="12"/>
      <c r="U82" s="12"/>
      <c r="V82" s="241"/>
      <c r="AD82" s="83"/>
      <c r="AE82" s="83"/>
      <c r="AF82" s="84"/>
      <c r="AG82" s="83"/>
      <c r="AH82" s="83"/>
      <c r="AI82" s="77"/>
      <c r="AJ82" s="77"/>
      <c r="AK82" s="77"/>
    </row>
    <row r="83" spans="1:37" s="76" customFormat="1" ht="11.25" customHeight="1" x14ac:dyDescent="0.2">
      <c r="A83" s="141"/>
      <c r="B83" s="1366" t="s">
        <v>17</v>
      </c>
      <c r="C83" s="1366"/>
      <c r="D83" s="1366"/>
      <c r="E83" s="1366"/>
      <c r="F83" s="9"/>
      <c r="G83" s="9"/>
      <c r="H83" s="9"/>
      <c r="I83" s="9"/>
      <c r="J83" s="13"/>
      <c r="K83" s="9"/>
      <c r="L83" s="9"/>
      <c r="M83" s="9"/>
      <c r="N83" s="9"/>
      <c r="O83" s="9"/>
      <c r="P83" s="11"/>
      <c r="Q83" s="12"/>
      <c r="R83" s="12"/>
      <c r="S83" s="12"/>
      <c r="T83" s="12"/>
      <c r="U83" s="12"/>
      <c r="V83" s="241"/>
      <c r="AD83" s="83"/>
      <c r="AE83" s="83"/>
      <c r="AF83" s="83"/>
      <c r="AG83" s="84"/>
      <c r="AI83" s="77"/>
      <c r="AJ83" s="77"/>
    </row>
    <row r="84" spans="1:37" s="76" customFormat="1" ht="11.25" customHeight="1" x14ac:dyDescent="0.2">
      <c r="A84" s="141"/>
      <c r="B84" s="1366"/>
      <c r="C84" s="1366"/>
      <c r="D84" s="1366"/>
      <c r="E84" s="1366"/>
      <c r="F84" s="9"/>
      <c r="G84" s="9"/>
      <c r="H84" s="9"/>
      <c r="I84" s="9"/>
      <c r="J84" s="13"/>
      <c r="K84" s="9"/>
      <c r="L84" s="9"/>
      <c r="M84" s="9"/>
      <c r="N84" s="9"/>
      <c r="O84" s="9"/>
      <c r="P84" s="11"/>
      <c r="Q84" s="12"/>
      <c r="R84" s="12"/>
      <c r="S84" s="12"/>
      <c r="T84" s="12"/>
      <c r="U84" s="12"/>
      <c r="V84" s="241"/>
      <c r="AD84" s="83"/>
      <c r="AE84" s="83"/>
      <c r="AF84" s="83"/>
      <c r="AG84" s="84"/>
      <c r="AI84" s="77"/>
      <c r="AJ84" s="77"/>
    </row>
    <row r="85" spans="1:37" s="76" customFormat="1" ht="11.25" customHeight="1" x14ac:dyDescent="0.2">
      <c r="A85" s="141"/>
      <c r="B85" s="1366" t="s">
        <v>80</v>
      </c>
      <c r="C85" s="1366"/>
      <c r="D85" s="1366"/>
      <c r="E85" s="1366"/>
      <c r="F85" s="9"/>
      <c r="G85" s="9"/>
      <c r="H85" s="9"/>
      <c r="I85" s="9"/>
      <c r="J85" s="13"/>
      <c r="K85" s="9"/>
      <c r="L85" s="9"/>
      <c r="M85" s="9"/>
      <c r="N85" s="9"/>
      <c r="O85" s="9"/>
      <c r="P85" s="11"/>
      <c r="Q85" s="12"/>
      <c r="R85" s="12"/>
      <c r="S85" s="12"/>
      <c r="T85" s="12"/>
      <c r="U85" s="12"/>
      <c r="V85" s="241"/>
      <c r="AD85" s="83"/>
      <c r="AE85" s="83"/>
      <c r="AF85" s="83"/>
      <c r="AG85" s="84"/>
      <c r="AI85" s="77"/>
      <c r="AJ85" s="77"/>
    </row>
    <row r="86" spans="1:37" s="76" customFormat="1" ht="11.25" customHeight="1" x14ac:dyDescent="0.2">
      <c r="A86" s="141"/>
      <c r="B86" s="1366"/>
      <c r="C86" s="1366"/>
      <c r="D86" s="1366"/>
      <c r="E86" s="1366"/>
      <c r="F86" s="9"/>
      <c r="G86" s="9"/>
      <c r="H86" s="9"/>
      <c r="I86" s="9"/>
      <c r="J86" s="13"/>
      <c r="K86" s="9"/>
      <c r="L86" s="9"/>
      <c r="M86" s="9"/>
      <c r="N86" s="9"/>
      <c r="O86" s="9"/>
      <c r="P86" s="11"/>
      <c r="Q86" s="12"/>
      <c r="R86" s="12"/>
      <c r="S86" s="12"/>
      <c r="T86" s="12"/>
      <c r="U86" s="12"/>
      <c r="V86" s="241"/>
      <c r="AD86" s="83"/>
      <c r="AE86" s="83"/>
      <c r="AF86" s="83"/>
      <c r="AG86" s="84"/>
      <c r="AI86" s="77"/>
      <c r="AJ86" s="77"/>
    </row>
    <row r="87" spans="1:37" s="76" customFormat="1" ht="11.25" customHeight="1" x14ac:dyDescent="0.2">
      <c r="A87" s="141"/>
      <c r="B87" s="1366" t="s">
        <v>69</v>
      </c>
      <c r="C87" s="1366"/>
      <c r="D87" s="1366"/>
      <c r="E87" s="1366"/>
      <c r="F87" s="9"/>
      <c r="G87" s="9"/>
      <c r="H87" s="9"/>
      <c r="I87" s="9"/>
      <c r="J87" s="13"/>
      <c r="K87" s="9"/>
      <c r="L87" s="9"/>
      <c r="M87" s="9"/>
      <c r="N87" s="9"/>
      <c r="O87" s="9"/>
      <c r="P87" s="11"/>
      <c r="Q87" s="12"/>
      <c r="R87" s="12"/>
      <c r="S87" s="12"/>
      <c r="T87" s="12"/>
      <c r="U87" s="12"/>
      <c r="V87" s="241"/>
      <c r="AD87" s="83"/>
      <c r="AE87" s="83"/>
      <c r="AF87" s="83"/>
      <c r="AG87" s="84"/>
      <c r="AI87" s="77"/>
      <c r="AJ87" s="77"/>
    </row>
    <row r="88" spans="1:37" s="76" customFormat="1" ht="11.25" customHeight="1" x14ac:dyDescent="0.2">
      <c r="A88" s="141"/>
      <c r="B88" s="1366"/>
      <c r="C88" s="1366"/>
      <c r="D88" s="1366"/>
      <c r="E88" s="1366"/>
      <c r="F88" s="9"/>
      <c r="G88" s="9"/>
      <c r="H88" s="9"/>
      <c r="I88" s="9"/>
      <c r="J88" s="13"/>
      <c r="K88" s="9"/>
      <c r="L88" s="9"/>
      <c r="M88" s="9"/>
      <c r="N88" s="9"/>
      <c r="O88" s="9"/>
      <c r="P88" s="11"/>
      <c r="Q88" s="12"/>
      <c r="R88" s="12"/>
      <c r="S88" s="12"/>
      <c r="T88" s="12"/>
      <c r="U88" s="12"/>
      <c r="V88" s="241"/>
      <c r="AD88" s="83"/>
      <c r="AE88" s="83"/>
      <c r="AF88" s="83"/>
      <c r="AG88" s="84"/>
      <c r="AI88" s="77"/>
      <c r="AJ88" s="77"/>
    </row>
    <row r="89" spans="1:37" s="76" customFormat="1" ht="11.25" customHeight="1" x14ac:dyDescent="0.2">
      <c r="A89" s="141"/>
      <c r="B89" s="1366" t="s">
        <v>24</v>
      </c>
      <c r="C89" s="1366"/>
      <c r="D89" s="1366"/>
      <c r="E89" s="1366"/>
      <c r="F89" s="9"/>
      <c r="G89" s="9"/>
      <c r="H89" s="9"/>
      <c r="I89" s="9"/>
      <c r="J89" s="13"/>
      <c r="K89" s="9"/>
      <c r="L89" s="9"/>
      <c r="M89" s="9"/>
      <c r="N89" s="9"/>
      <c r="O89" s="9"/>
      <c r="P89" s="11"/>
      <c r="Q89" s="12"/>
      <c r="R89" s="12"/>
      <c r="S89" s="12"/>
      <c r="T89" s="12"/>
      <c r="U89" s="12"/>
      <c r="V89" s="241"/>
      <c r="AD89" s="83"/>
      <c r="AE89" s="83"/>
      <c r="AF89" s="84"/>
      <c r="AG89" s="83"/>
      <c r="AH89" s="83"/>
      <c r="AI89" s="77"/>
      <c r="AJ89" s="77"/>
      <c r="AK89" s="77"/>
    </row>
    <row r="90" spans="1:37" s="76" customFormat="1" ht="11.25" customHeight="1" x14ac:dyDescent="0.2">
      <c r="A90" s="141"/>
      <c r="B90" s="1366"/>
      <c r="C90" s="1366"/>
      <c r="D90" s="1366"/>
      <c r="E90" s="1366"/>
      <c r="F90" s="9"/>
      <c r="G90" s="9"/>
      <c r="H90" s="9"/>
      <c r="I90" s="9"/>
      <c r="J90" s="13"/>
      <c r="K90" s="9"/>
      <c r="L90" s="9"/>
      <c r="M90" s="9"/>
      <c r="N90" s="9"/>
      <c r="O90" s="9"/>
      <c r="P90" s="11"/>
      <c r="Q90" s="12"/>
      <c r="R90" s="12"/>
      <c r="S90" s="12"/>
      <c r="T90" s="12"/>
      <c r="U90" s="12"/>
      <c r="V90" s="241"/>
      <c r="AD90" s="83"/>
      <c r="AE90" s="83"/>
      <c r="AF90" s="84"/>
      <c r="AG90" s="83"/>
      <c r="AH90" s="83"/>
      <c r="AI90" s="77"/>
      <c r="AJ90" s="77"/>
      <c r="AK90" s="77"/>
    </row>
    <row r="91" spans="1:37" s="76" customFormat="1" ht="11.25" customHeight="1" x14ac:dyDescent="0.2">
      <c r="A91" s="141"/>
      <c r="B91" s="1366" t="s">
        <v>22</v>
      </c>
      <c r="C91" s="1366"/>
      <c r="D91" s="1366"/>
      <c r="E91" s="1366"/>
      <c r="F91" s="9"/>
      <c r="G91" s="9"/>
      <c r="H91" s="9"/>
      <c r="I91" s="9"/>
      <c r="J91" s="13"/>
      <c r="K91" s="9"/>
      <c r="L91" s="9"/>
      <c r="M91" s="9"/>
      <c r="N91" s="9"/>
      <c r="O91" s="9"/>
      <c r="P91" s="11"/>
      <c r="Q91" s="12"/>
      <c r="R91" s="12"/>
      <c r="S91" s="12"/>
      <c r="T91" s="12"/>
      <c r="U91" s="12"/>
      <c r="V91" s="241"/>
      <c r="AD91" s="83"/>
      <c r="AE91" s="83"/>
      <c r="AF91" s="84"/>
      <c r="AG91" s="83"/>
      <c r="AH91" s="83"/>
      <c r="AI91" s="77"/>
      <c r="AJ91" s="77"/>
      <c r="AK91" s="77"/>
    </row>
    <row r="92" spans="1:37" s="76" customFormat="1" ht="11.25" customHeight="1" x14ac:dyDescent="0.2">
      <c r="A92" s="141"/>
      <c r="B92" s="1366"/>
      <c r="C92" s="1366"/>
      <c r="D92" s="1366"/>
      <c r="E92" s="1366"/>
      <c r="F92" s="9"/>
      <c r="G92" s="9"/>
      <c r="H92" s="9"/>
      <c r="I92" s="9"/>
      <c r="J92" s="13"/>
      <c r="K92" s="9"/>
      <c r="L92" s="9"/>
      <c r="M92" s="9"/>
      <c r="N92" s="9"/>
      <c r="O92" s="9"/>
      <c r="P92" s="11"/>
      <c r="Q92" s="12"/>
      <c r="R92" s="12"/>
      <c r="S92" s="12"/>
      <c r="T92" s="12"/>
      <c r="U92" s="12"/>
      <c r="V92" s="241"/>
      <c r="AD92" s="83"/>
      <c r="AE92" s="83"/>
      <c r="AF92" s="84"/>
      <c r="AG92" s="83"/>
      <c r="AH92" s="83"/>
      <c r="AI92" s="77"/>
      <c r="AJ92" s="77"/>
      <c r="AK92" s="77"/>
    </row>
    <row r="93" spans="1:37" s="76" customFormat="1" ht="11.25" customHeight="1" x14ac:dyDescent="0.2">
      <c r="A93" s="141"/>
      <c r="B93" s="1366" t="s">
        <v>25</v>
      </c>
      <c r="C93" s="1366"/>
      <c r="D93" s="1366"/>
      <c r="E93" s="1366"/>
      <c r="F93" s="9"/>
      <c r="G93" s="9"/>
      <c r="H93" s="9"/>
      <c r="I93" s="9"/>
      <c r="J93" s="13"/>
      <c r="K93" s="9"/>
      <c r="L93" s="9"/>
      <c r="M93" s="9"/>
      <c r="N93" s="9"/>
      <c r="O93" s="9"/>
      <c r="P93" s="11"/>
      <c r="Q93" s="12"/>
      <c r="R93" s="12"/>
      <c r="S93" s="12"/>
      <c r="T93" s="12"/>
      <c r="U93" s="12"/>
      <c r="V93" s="241"/>
      <c r="AD93" s="83"/>
      <c r="AE93" s="83"/>
      <c r="AF93" s="84"/>
      <c r="AG93" s="83"/>
      <c r="AH93" s="83"/>
      <c r="AI93" s="77"/>
      <c r="AJ93" s="77"/>
      <c r="AK93" s="77"/>
    </row>
    <row r="94" spans="1:37" s="76" customFormat="1" ht="11.25" customHeight="1" x14ac:dyDescent="0.2">
      <c r="A94" s="141"/>
      <c r="B94" s="1366"/>
      <c r="C94" s="1366"/>
      <c r="D94" s="1366"/>
      <c r="E94" s="1366"/>
      <c r="F94" s="9"/>
      <c r="G94" s="9"/>
      <c r="H94" s="9"/>
      <c r="I94" s="9"/>
      <c r="J94" s="13"/>
      <c r="K94" s="9"/>
      <c r="L94" s="9"/>
      <c r="M94" s="9"/>
      <c r="N94" s="9"/>
      <c r="O94" s="9"/>
      <c r="P94" s="11"/>
      <c r="Q94" s="12"/>
      <c r="R94" s="12"/>
      <c r="S94" s="12"/>
      <c r="T94" s="12"/>
      <c r="U94" s="12"/>
      <c r="V94" s="241"/>
      <c r="AD94" s="83"/>
      <c r="AE94" s="83"/>
      <c r="AF94" s="84"/>
      <c r="AG94" s="83"/>
      <c r="AH94" s="83"/>
      <c r="AI94" s="77"/>
      <c r="AJ94" s="77"/>
      <c r="AK94" s="77"/>
    </row>
    <row r="95" spans="1:37" s="76" customFormat="1" ht="11.25" customHeight="1" x14ac:dyDescent="0.2">
      <c r="A95" s="141"/>
      <c r="B95" s="1366" t="s">
        <v>18</v>
      </c>
      <c r="C95" s="1366"/>
      <c r="D95" s="1366"/>
      <c r="E95" s="1366"/>
      <c r="F95" s="9"/>
      <c r="G95" s="9"/>
      <c r="H95" s="9"/>
      <c r="I95" s="9"/>
      <c r="J95" s="13"/>
      <c r="K95" s="9"/>
      <c r="L95" s="9"/>
      <c r="M95" s="9"/>
      <c r="N95" s="9"/>
      <c r="O95" s="9"/>
      <c r="P95" s="11"/>
      <c r="Q95" s="12"/>
      <c r="R95" s="12"/>
      <c r="S95" s="12"/>
      <c r="T95" s="12"/>
      <c r="U95" s="12"/>
      <c r="V95" s="241"/>
      <c r="AD95" s="83"/>
      <c r="AE95" s="83"/>
      <c r="AF95" s="84"/>
      <c r="AG95" s="83"/>
      <c r="AH95" s="83"/>
      <c r="AI95" s="77"/>
      <c r="AJ95" s="77"/>
      <c r="AK95" s="77"/>
    </row>
    <row r="96" spans="1:37" s="76" customFormat="1" ht="11.25" customHeight="1" x14ac:dyDescent="0.2">
      <c r="A96" s="141"/>
      <c r="B96" s="1366"/>
      <c r="C96" s="1366"/>
      <c r="D96" s="1366"/>
      <c r="E96" s="1366"/>
      <c r="F96" s="9"/>
      <c r="G96" s="9"/>
      <c r="H96" s="9"/>
      <c r="I96" s="9"/>
      <c r="J96" s="13"/>
      <c r="K96" s="9"/>
      <c r="L96" s="9"/>
      <c r="M96" s="9"/>
      <c r="N96" s="9"/>
      <c r="O96" s="9"/>
      <c r="P96" s="11"/>
      <c r="Q96" s="12"/>
      <c r="R96" s="12"/>
      <c r="S96" s="12"/>
      <c r="T96" s="12"/>
      <c r="U96" s="12"/>
      <c r="V96" s="241"/>
      <c r="AD96" s="83"/>
      <c r="AE96" s="83"/>
      <c r="AF96" s="84"/>
      <c r="AG96" s="83"/>
      <c r="AH96" s="83"/>
      <c r="AI96" s="77"/>
      <c r="AJ96" s="77"/>
      <c r="AK96" s="77"/>
    </row>
    <row r="97" spans="1:37" s="76" customFormat="1" ht="11.25" customHeight="1" x14ac:dyDescent="0.2">
      <c r="A97" s="141"/>
      <c r="B97" s="1366" t="s">
        <v>19</v>
      </c>
      <c r="C97" s="1366"/>
      <c r="D97" s="1366"/>
      <c r="E97" s="1366"/>
      <c r="F97" s="9"/>
      <c r="G97" s="9"/>
      <c r="H97" s="9"/>
      <c r="I97" s="9"/>
      <c r="J97" s="13"/>
      <c r="K97" s="9"/>
      <c r="L97" s="9"/>
      <c r="M97" s="9"/>
      <c r="N97" s="9"/>
      <c r="O97" s="9"/>
      <c r="P97" s="11"/>
      <c r="Q97" s="12"/>
      <c r="R97" s="12"/>
      <c r="S97" s="12"/>
      <c r="T97" s="12"/>
      <c r="U97" s="12"/>
      <c r="V97" s="241"/>
      <c r="AD97" s="83"/>
      <c r="AE97" s="83"/>
      <c r="AF97" s="84"/>
      <c r="AG97" s="83"/>
      <c r="AH97" s="83"/>
      <c r="AI97" s="77"/>
      <c r="AJ97" s="77"/>
      <c r="AK97" s="77"/>
    </row>
    <row r="98" spans="1:37" s="76" customFormat="1" ht="11.25" customHeight="1" x14ac:dyDescent="0.2">
      <c r="A98" s="141"/>
      <c r="B98" s="1366"/>
      <c r="C98" s="1366"/>
      <c r="D98" s="1366"/>
      <c r="E98" s="1366"/>
      <c r="F98" s="9"/>
      <c r="G98" s="9"/>
      <c r="H98" s="9"/>
      <c r="I98" s="9"/>
      <c r="J98" s="13"/>
      <c r="K98" s="9"/>
      <c r="L98" s="9"/>
      <c r="M98" s="9"/>
      <c r="N98" s="9"/>
      <c r="O98" s="9"/>
      <c r="P98" s="11"/>
      <c r="Q98" s="12"/>
      <c r="R98" s="12"/>
      <c r="S98" s="12"/>
      <c r="T98" s="12"/>
      <c r="U98" s="12"/>
      <c r="V98" s="241"/>
      <c r="AD98" s="83"/>
      <c r="AE98" s="83"/>
      <c r="AF98" s="84"/>
      <c r="AG98" s="83"/>
      <c r="AH98" s="83"/>
      <c r="AI98" s="77"/>
      <c r="AJ98" s="77"/>
      <c r="AK98" s="77"/>
    </row>
    <row r="99" spans="1:37" s="76" customFormat="1" ht="11.25" customHeight="1" x14ac:dyDescent="0.2">
      <c r="A99" s="141"/>
      <c r="B99" s="1366" t="s">
        <v>20</v>
      </c>
      <c r="C99" s="1366"/>
      <c r="D99" s="1366"/>
      <c r="E99" s="1366"/>
      <c r="F99" s="9"/>
      <c r="G99" s="9"/>
      <c r="H99" s="9"/>
      <c r="I99" s="9"/>
      <c r="J99" s="13"/>
      <c r="K99" s="9"/>
      <c r="L99" s="9"/>
      <c r="M99" s="9"/>
      <c r="N99" s="9"/>
      <c r="O99" s="9"/>
      <c r="P99" s="11"/>
      <c r="Q99" s="12"/>
      <c r="R99" s="12"/>
      <c r="S99" s="12"/>
      <c r="T99" s="12"/>
      <c r="U99" s="12"/>
      <c r="V99" s="241"/>
      <c r="AD99" s="83"/>
      <c r="AE99" s="83"/>
      <c r="AF99" s="84"/>
      <c r="AG99" s="83"/>
      <c r="AH99" s="83"/>
      <c r="AI99" s="77"/>
      <c r="AJ99" s="77"/>
      <c r="AK99" s="77"/>
    </row>
    <row r="100" spans="1:37" s="76" customFormat="1" ht="11.25" customHeight="1" x14ac:dyDescent="0.2">
      <c r="A100" s="141"/>
      <c r="B100" s="1366"/>
      <c r="C100" s="1366"/>
      <c r="D100" s="1366"/>
      <c r="E100" s="1366"/>
      <c r="F100" s="9"/>
      <c r="G100" s="9"/>
      <c r="H100" s="9"/>
      <c r="I100" s="9"/>
      <c r="J100" s="13"/>
      <c r="K100" s="9"/>
      <c r="L100" s="9"/>
      <c r="M100" s="9"/>
      <c r="N100" s="9"/>
      <c r="O100" s="9"/>
      <c r="P100" s="11"/>
      <c r="Q100" s="12"/>
      <c r="R100" s="12"/>
      <c r="S100" s="12"/>
      <c r="T100" s="12"/>
      <c r="U100" s="12"/>
      <c r="V100" s="241"/>
      <c r="AD100" s="83"/>
      <c r="AE100" s="83"/>
      <c r="AF100" s="84"/>
      <c r="AG100" s="83"/>
      <c r="AH100" s="83"/>
      <c r="AI100" s="77"/>
      <c r="AJ100" s="77"/>
      <c r="AK100" s="77"/>
    </row>
    <row r="101" spans="1:37" s="76" customFormat="1" ht="11.25" customHeight="1" x14ac:dyDescent="0.2">
      <c r="A101" s="141"/>
      <c r="B101" s="1366" t="s">
        <v>26</v>
      </c>
      <c r="C101" s="1366"/>
      <c r="D101" s="1366"/>
      <c r="E101" s="1366"/>
      <c r="F101" s="9"/>
      <c r="G101" s="9"/>
      <c r="H101" s="9"/>
      <c r="I101" s="9"/>
      <c r="J101" s="13"/>
      <c r="K101" s="9"/>
      <c r="L101" s="9"/>
      <c r="M101" s="9"/>
      <c r="N101" s="9"/>
      <c r="O101" s="9"/>
      <c r="P101" s="11"/>
      <c r="Q101" s="12"/>
      <c r="R101" s="12"/>
      <c r="S101" s="12"/>
      <c r="T101" s="12"/>
      <c r="U101" s="12"/>
      <c r="V101" s="241"/>
      <c r="AD101" s="83"/>
      <c r="AE101" s="83"/>
      <c r="AF101" s="84"/>
      <c r="AG101" s="83"/>
      <c r="AH101" s="83"/>
      <c r="AI101" s="77"/>
      <c r="AJ101" s="77"/>
      <c r="AK101" s="77"/>
    </row>
    <row r="102" spans="1:37" s="76" customFormat="1" ht="11.25" customHeight="1" x14ac:dyDescent="0.2">
      <c r="A102" s="141"/>
      <c r="B102" s="1366"/>
      <c r="C102" s="1366"/>
      <c r="D102" s="1366"/>
      <c r="E102" s="1366"/>
      <c r="F102" s="9"/>
      <c r="G102" s="9"/>
      <c r="H102" s="9"/>
      <c r="I102" s="9"/>
      <c r="J102" s="13"/>
      <c r="K102" s="9"/>
      <c r="L102" s="9"/>
      <c r="M102" s="9"/>
      <c r="N102" s="9"/>
      <c r="O102" s="9"/>
      <c r="P102" s="11"/>
      <c r="Q102" s="12"/>
      <c r="R102" s="12"/>
      <c r="S102" s="12"/>
      <c r="T102" s="12"/>
      <c r="U102" s="12"/>
      <c r="V102" s="241"/>
      <c r="AD102" s="83"/>
      <c r="AE102" s="83"/>
      <c r="AF102" s="84"/>
      <c r="AG102" s="83"/>
      <c r="AH102" s="83"/>
      <c r="AI102" s="77"/>
      <c r="AJ102" s="77"/>
      <c r="AK102" s="77"/>
    </row>
    <row r="103" spans="1:37" s="76" customFormat="1" ht="11.25" customHeight="1" x14ac:dyDescent="0.2">
      <c r="A103" s="141"/>
      <c r="B103" s="1366" t="s">
        <v>21</v>
      </c>
      <c r="C103" s="1366"/>
      <c r="D103" s="1366"/>
      <c r="E103" s="1366"/>
      <c r="F103" s="9"/>
      <c r="G103" s="9"/>
      <c r="H103" s="9"/>
      <c r="I103" s="9"/>
      <c r="J103" s="13"/>
      <c r="K103" s="9"/>
      <c r="L103" s="9"/>
      <c r="M103" s="9"/>
      <c r="N103" s="9"/>
      <c r="O103" s="9"/>
      <c r="P103" s="11"/>
      <c r="Q103" s="12"/>
      <c r="R103" s="12"/>
      <c r="S103" s="12"/>
      <c r="T103" s="12"/>
      <c r="U103" s="12"/>
      <c r="V103" s="241"/>
      <c r="AD103" s="83"/>
      <c r="AE103" s="83"/>
      <c r="AF103" s="84"/>
      <c r="AG103" s="83"/>
      <c r="AH103" s="83"/>
      <c r="AI103" s="77"/>
      <c r="AJ103" s="77"/>
      <c r="AK103" s="77"/>
    </row>
    <row r="104" spans="1:37" s="76" customFormat="1" ht="11.25" customHeight="1" x14ac:dyDescent="0.2">
      <c r="A104" s="141"/>
      <c r="B104" s="1366"/>
      <c r="C104" s="1366"/>
      <c r="D104" s="1366"/>
      <c r="E104" s="1366"/>
      <c r="F104" s="9"/>
      <c r="G104" s="9"/>
      <c r="H104" s="9"/>
      <c r="I104" s="9"/>
      <c r="J104" s="13"/>
      <c r="K104" s="9"/>
      <c r="L104" s="9"/>
      <c r="M104" s="9"/>
      <c r="N104" s="9"/>
      <c r="O104" s="9"/>
      <c r="P104" s="11"/>
      <c r="Q104" s="12"/>
      <c r="R104" s="12"/>
      <c r="S104" s="12"/>
      <c r="T104" s="12"/>
      <c r="U104" s="12"/>
      <c r="V104" s="241"/>
      <c r="AD104" s="83"/>
      <c r="AE104" s="83"/>
      <c r="AF104" s="84"/>
      <c r="AG104" s="83"/>
      <c r="AH104" s="83"/>
      <c r="AI104" s="77"/>
      <c r="AJ104" s="77"/>
      <c r="AK104" s="77"/>
    </row>
    <row r="105" spans="1:37" s="76" customFormat="1" ht="11.25" customHeight="1" x14ac:dyDescent="0.2">
      <c r="A105" s="141"/>
      <c r="B105" s="1366" t="s">
        <v>930</v>
      </c>
      <c r="C105" s="1366"/>
      <c r="D105" s="1366"/>
      <c r="E105" s="1366"/>
      <c r="F105" s="9"/>
      <c r="G105" s="9"/>
      <c r="H105" s="9"/>
      <c r="I105" s="9"/>
      <c r="J105" s="13"/>
      <c r="K105" s="9"/>
      <c r="L105" s="9"/>
      <c r="M105" s="9"/>
      <c r="N105" s="9"/>
      <c r="O105" s="9"/>
      <c r="P105" s="11"/>
      <c r="Q105" s="12"/>
      <c r="R105" s="12"/>
      <c r="S105" s="12"/>
      <c r="T105" s="12"/>
      <c r="U105" s="12"/>
      <c r="V105" s="241"/>
      <c r="AD105" s="83"/>
      <c r="AE105" s="83"/>
      <c r="AF105" s="84"/>
      <c r="AG105" s="83"/>
      <c r="AH105" s="83"/>
      <c r="AI105" s="77"/>
      <c r="AJ105" s="77"/>
      <c r="AK105" s="77"/>
    </row>
    <row r="106" spans="1:37" s="76" customFormat="1" ht="11.25" customHeight="1" x14ac:dyDescent="0.2">
      <c r="A106" s="141"/>
      <c r="B106" s="1366"/>
      <c r="C106" s="1366"/>
      <c r="D106" s="1366"/>
      <c r="E106" s="1366"/>
      <c r="F106" s="9"/>
      <c r="G106" s="9"/>
      <c r="H106" s="9"/>
      <c r="I106" s="9"/>
      <c r="J106" s="13"/>
      <c r="K106" s="9"/>
      <c r="L106" s="9"/>
      <c r="M106" s="9"/>
      <c r="N106" s="9"/>
      <c r="O106" s="9"/>
      <c r="P106" s="11"/>
      <c r="Q106" s="12"/>
      <c r="R106" s="12"/>
      <c r="S106" s="12"/>
      <c r="T106" s="12"/>
      <c r="U106" s="12"/>
      <c r="V106" s="241"/>
      <c r="AD106" s="83"/>
      <c r="AE106" s="83"/>
      <c r="AF106" s="84"/>
      <c r="AG106" s="83"/>
      <c r="AH106" s="83"/>
      <c r="AI106" s="77"/>
      <c r="AJ106" s="77"/>
      <c r="AK106" s="77"/>
    </row>
    <row r="107" spans="1:37" s="76" customFormat="1" ht="11.25" customHeight="1" x14ac:dyDescent="0.2">
      <c r="A107" s="141"/>
      <c r="B107" s="1366" t="s">
        <v>680</v>
      </c>
      <c r="C107" s="1366"/>
      <c r="D107" s="1366"/>
      <c r="E107" s="1366"/>
      <c r="F107" s="9"/>
      <c r="G107" s="9"/>
      <c r="H107" s="9"/>
      <c r="I107" s="9"/>
      <c r="J107" s="13"/>
      <c r="K107" s="9"/>
      <c r="L107" s="9"/>
      <c r="M107" s="9"/>
      <c r="N107" s="9"/>
      <c r="O107" s="9"/>
      <c r="P107" s="11"/>
      <c r="Q107" s="12"/>
      <c r="R107" s="12"/>
      <c r="S107" s="12"/>
      <c r="T107" s="12"/>
      <c r="U107" s="12"/>
      <c r="V107" s="241"/>
      <c r="AD107" s="83"/>
      <c r="AE107" s="83"/>
      <c r="AF107" s="84"/>
      <c r="AG107" s="83"/>
      <c r="AH107" s="83"/>
      <c r="AI107" s="77"/>
      <c r="AJ107" s="77"/>
      <c r="AK107" s="77"/>
    </row>
    <row r="108" spans="1:37" s="76" customFormat="1" ht="11.25" customHeight="1" x14ac:dyDescent="0.2">
      <c r="A108" s="141"/>
      <c r="B108" s="1366"/>
      <c r="C108" s="1366"/>
      <c r="D108" s="1366"/>
      <c r="E108" s="1366"/>
      <c r="F108" s="9"/>
      <c r="G108" s="9"/>
      <c r="H108" s="9"/>
      <c r="I108" s="9"/>
      <c r="J108" s="13"/>
      <c r="K108" s="9"/>
      <c r="L108" s="9"/>
      <c r="M108" s="9"/>
      <c r="N108" s="9"/>
      <c r="O108" s="9"/>
      <c r="P108" s="11"/>
      <c r="Q108" s="12"/>
      <c r="R108" s="12"/>
      <c r="S108" s="12"/>
      <c r="T108" s="12"/>
      <c r="U108" s="12"/>
      <c r="V108" s="241"/>
      <c r="AD108" s="83"/>
      <c r="AE108" s="83"/>
      <c r="AF108" s="84"/>
      <c r="AG108" s="83"/>
      <c r="AH108" s="83"/>
      <c r="AI108" s="77"/>
      <c r="AJ108" s="77"/>
      <c r="AK108" s="77"/>
    </row>
    <row r="109" spans="1:37" s="76" customFormat="1" ht="11.25" customHeight="1" x14ac:dyDescent="0.2">
      <c r="A109" s="141"/>
      <c r="B109" s="1366" t="s">
        <v>32</v>
      </c>
      <c r="C109" s="1366"/>
      <c r="D109" s="1366"/>
      <c r="E109" s="1366"/>
      <c r="F109" s="9"/>
      <c r="G109" s="9"/>
      <c r="H109" s="9"/>
      <c r="I109" s="9"/>
      <c r="J109" s="13"/>
      <c r="K109" s="9"/>
      <c r="L109" s="9"/>
      <c r="M109" s="9"/>
      <c r="N109" s="9"/>
      <c r="O109" s="9"/>
      <c r="P109" s="11"/>
      <c r="Q109" s="12"/>
      <c r="R109" s="12"/>
      <c r="S109" s="12"/>
      <c r="T109" s="12"/>
      <c r="U109" s="12"/>
      <c r="V109" s="241"/>
      <c r="AD109" s="83"/>
      <c r="AE109" s="83"/>
      <c r="AF109" s="84"/>
      <c r="AG109" s="83"/>
      <c r="AH109" s="83"/>
      <c r="AI109" s="77"/>
      <c r="AJ109" s="77"/>
      <c r="AK109" s="77"/>
    </row>
    <row r="110" spans="1:37" s="76" customFormat="1" ht="11.25" customHeight="1" x14ac:dyDescent="0.2">
      <c r="A110" s="141"/>
      <c r="B110" s="1366"/>
      <c r="C110" s="1366"/>
      <c r="D110" s="1366"/>
      <c r="E110" s="1366"/>
      <c r="F110" s="9"/>
      <c r="G110" s="9"/>
      <c r="H110" s="9"/>
      <c r="I110" s="9"/>
      <c r="J110" s="13"/>
      <c r="K110" s="9"/>
      <c r="L110" s="9"/>
      <c r="M110" s="9"/>
      <c r="N110" s="9"/>
      <c r="O110" s="9"/>
      <c r="P110" s="11"/>
      <c r="Q110" s="12"/>
      <c r="R110" s="12"/>
      <c r="S110" s="12"/>
      <c r="T110" s="12"/>
      <c r="U110" s="12"/>
      <c r="V110" s="241"/>
      <c r="AD110" s="83"/>
      <c r="AE110" s="83"/>
      <c r="AF110" s="84"/>
      <c r="AG110" s="83"/>
      <c r="AH110" s="83"/>
      <c r="AI110" s="77"/>
      <c r="AJ110" s="77"/>
      <c r="AK110" s="77"/>
    </row>
    <row r="111" spans="1:37" s="76" customFormat="1" ht="11.25" customHeight="1" x14ac:dyDescent="0.2">
      <c r="A111" s="248"/>
      <c r="B111" s="1110"/>
      <c r="C111" s="246"/>
      <c r="D111" s="246"/>
      <c r="E111" s="246"/>
      <c r="F111" s="246"/>
      <c r="G111" s="246"/>
      <c r="H111" s="246"/>
      <c r="I111" s="246"/>
      <c r="J111" s="246"/>
      <c r="K111" s="246"/>
      <c r="L111" s="246"/>
      <c r="M111" s="246"/>
      <c r="N111" s="246"/>
      <c r="O111" s="246"/>
      <c r="P111" s="246"/>
      <c r="Q111" s="246"/>
      <c r="R111" s="246"/>
      <c r="S111" s="246"/>
      <c r="T111" s="246"/>
      <c r="U111" s="246"/>
      <c r="V111" s="1307"/>
      <c r="AD111" s="83"/>
      <c r="AE111" s="83"/>
      <c r="AF111" s="84"/>
      <c r="AG111" s="83"/>
      <c r="AH111" s="83"/>
      <c r="AI111" s="77"/>
      <c r="AJ111" s="77"/>
      <c r="AK111" s="77"/>
    </row>
    <row r="112" spans="1:37" s="76" customFormat="1" ht="11.25" customHeight="1" x14ac:dyDescent="0.2">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83"/>
      <c r="AE112" s="83"/>
      <c r="AF112" s="84"/>
      <c r="AG112" s="83"/>
      <c r="AH112" s="83"/>
      <c r="AI112" s="77"/>
      <c r="AJ112" s="77"/>
      <c r="AK112" s="77"/>
    </row>
    <row r="113" spans="23:30" ht="22.5" customHeight="1" x14ac:dyDescent="0.2">
      <c r="W113" s="77"/>
      <c r="X113" s="77"/>
      <c r="Y113" s="77"/>
      <c r="Z113" s="77"/>
      <c r="AA113" s="77"/>
    </row>
    <row r="114" spans="23:30" ht="11.25" customHeight="1" x14ac:dyDescent="0.2">
      <c r="W114" s="77"/>
      <c r="X114" s="77"/>
      <c r="Y114" s="77"/>
      <c r="Z114" s="77"/>
      <c r="AA114" s="77"/>
    </row>
    <row r="115" spans="23:30" ht="11.25" customHeight="1" x14ac:dyDescent="0.2">
      <c r="W115" s="77"/>
      <c r="X115" s="77"/>
      <c r="Y115" s="77"/>
      <c r="Z115" s="77"/>
      <c r="AA115" s="77"/>
    </row>
    <row r="116" spans="23:30" ht="11.25" customHeight="1" x14ac:dyDescent="0.2">
      <c r="W116" s="77"/>
      <c r="X116" s="77"/>
      <c r="Y116" s="77"/>
      <c r="Z116" s="77"/>
      <c r="AA116" s="77"/>
    </row>
    <row r="117" spans="23:30" ht="11.25" customHeight="1" x14ac:dyDescent="0.2">
      <c r="W117" s="77"/>
      <c r="X117" s="77"/>
      <c r="Y117" s="77"/>
      <c r="Z117" s="77"/>
      <c r="AA117" s="77"/>
    </row>
    <row r="118" spans="23:30" ht="11.25" customHeight="1" x14ac:dyDescent="0.2">
      <c r="W118" s="77"/>
      <c r="X118" s="77"/>
      <c r="Y118" s="77"/>
      <c r="Z118" s="77"/>
      <c r="AA118" s="77"/>
    </row>
    <row r="119" spans="23:30" ht="11.25" customHeight="1" x14ac:dyDescent="0.2">
      <c r="W119" s="77"/>
      <c r="X119" s="77"/>
      <c r="Y119" s="77"/>
      <c r="Z119" s="77"/>
      <c r="AA119" s="77"/>
    </row>
    <row r="120" spans="23:30" ht="11.25" customHeight="1" x14ac:dyDescent="0.2">
      <c r="W120" s="77"/>
      <c r="X120" s="77"/>
      <c r="Y120" s="77"/>
      <c r="Z120" s="77"/>
      <c r="AA120" s="77"/>
    </row>
    <row r="121" spans="23:30" ht="11.25" customHeight="1" x14ac:dyDescent="0.2">
      <c r="W121" s="77"/>
      <c r="X121" s="77"/>
      <c r="Y121" s="77"/>
      <c r="Z121" s="77"/>
      <c r="AA121" s="77"/>
    </row>
    <row r="122" spans="23:30" ht="11.25" customHeight="1" x14ac:dyDescent="0.2">
      <c r="W122" s="77"/>
      <c r="X122" s="77"/>
      <c r="Y122" s="77"/>
      <c r="Z122" s="77"/>
      <c r="AA122" s="77"/>
    </row>
    <row r="123" spans="23:30" ht="11.25" customHeight="1" x14ac:dyDescent="0.2">
      <c r="W123" s="77"/>
      <c r="X123" s="77"/>
      <c r="Y123" s="77"/>
      <c r="Z123" s="77"/>
      <c r="AA123" s="77"/>
    </row>
    <row r="124" spans="23:30" ht="11.25" customHeight="1" x14ac:dyDescent="0.2">
      <c r="W124" s="77"/>
      <c r="X124" s="77"/>
      <c r="Y124" s="77"/>
      <c r="Z124" s="77"/>
      <c r="AA124" s="77"/>
    </row>
    <row r="125" spans="23:30" ht="11.25" customHeight="1" x14ac:dyDescent="0.2">
      <c r="W125" s="77"/>
      <c r="X125" s="77"/>
      <c r="Y125" s="77"/>
      <c r="Z125" s="77"/>
      <c r="AA125" s="77"/>
    </row>
    <row r="126" spans="23:30" ht="11.25" customHeight="1" x14ac:dyDescent="0.2">
      <c r="W126" s="77"/>
      <c r="X126" s="77"/>
      <c r="Y126" s="77"/>
      <c r="Z126" s="77"/>
      <c r="AA126" s="77"/>
      <c r="AD126" s="80"/>
    </row>
    <row r="127" spans="23:30" ht="11.25" customHeight="1" x14ac:dyDescent="0.2">
      <c r="W127" s="77"/>
      <c r="X127" s="77"/>
      <c r="Y127" s="77"/>
      <c r="Z127" s="77"/>
      <c r="AA127" s="77"/>
    </row>
    <row r="128" spans="23:30" ht="11.25" customHeight="1" x14ac:dyDescent="0.2">
      <c r="W128" s="77"/>
      <c r="X128" s="77"/>
      <c r="Y128" s="77"/>
      <c r="Z128" s="77"/>
      <c r="AA128" s="77"/>
    </row>
    <row r="129" spans="23:27" ht="11.25" customHeight="1" x14ac:dyDescent="0.2">
      <c r="W129" s="77"/>
      <c r="X129" s="77"/>
      <c r="Y129" s="77"/>
      <c r="Z129" s="77"/>
      <c r="AA129" s="77"/>
    </row>
    <row r="165" spans="29:30" ht="11.25" customHeight="1" x14ac:dyDescent="0.2">
      <c r="AC165" s="76"/>
    </row>
    <row r="166" spans="29:30" ht="11.25" customHeight="1" x14ac:dyDescent="0.2">
      <c r="AC166" s="76"/>
    </row>
    <row r="167" spans="29:30" ht="11.25" customHeight="1" x14ac:dyDescent="0.2">
      <c r="AC167" s="76"/>
    </row>
    <row r="170" spans="29:30" ht="11.25" customHeight="1" x14ac:dyDescent="0.2">
      <c r="AC170" s="80"/>
      <c r="AD170" s="80"/>
    </row>
    <row r="209" spans="28:30" ht="11.25" customHeight="1" x14ac:dyDescent="0.2">
      <c r="AB209" s="76"/>
      <c r="AC209" s="76"/>
    </row>
    <row r="210" spans="28:30" ht="11.25" customHeight="1" x14ac:dyDescent="0.2">
      <c r="AB210" s="76"/>
      <c r="AC210" s="76"/>
    </row>
    <row r="211" spans="28:30" ht="11.25" customHeight="1" x14ac:dyDescent="0.2">
      <c r="AB211" s="76"/>
      <c r="AC211" s="76"/>
    </row>
    <row r="214" spans="28:30" ht="11.25" customHeight="1" x14ac:dyDescent="0.2">
      <c r="AB214" s="80"/>
      <c r="AC214" s="80"/>
      <c r="AD214" s="80"/>
    </row>
    <row r="253" spans="28:29" ht="11.25" customHeight="1" x14ac:dyDescent="0.2">
      <c r="AB253" s="76"/>
      <c r="AC253" s="76"/>
    </row>
    <row r="254" spans="28:29" ht="11.25" customHeight="1" x14ac:dyDescent="0.2">
      <c r="AB254" s="76"/>
      <c r="AC254" s="76"/>
    </row>
    <row r="255" spans="28:29" ht="11.25" customHeight="1" x14ac:dyDescent="0.2">
      <c r="AB255" s="76"/>
      <c r="AC255" s="76"/>
    </row>
    <row r="258" spans="28:30" ht="11.25" customHeight="1" x14ac:dyDescent="0.2">
      <c r="AB258" s="80"/>
      <c r="AC258" s="80"/>
      <c r="AD258" s="80"/>
    </row>
    <row r="297" spans="28:30" ht="11.25" customHeight="1" x14ac:dyDescent="0.2">
      <c r="AB297" s="76"/>
      <c r="AC297" s="76"/>
    </row>
    <row r="298" spans="28:30" ht="11.25" customHeight="1" x14ac:dyDescent="0.2">
      <c r="AB298" s="76"/>
      <c r="AC298" s="76"/>
    </row>
    <row r="299" spans="28:30" ht="11.25" customHeight="1" x14ac:dyDescent="0.2">
      <c r="AB299" s="76"/>
      <c r="AC299" s="76"/>
    </row>
    <row r="302" spans="28:30" ht="11.25" customHeight="1" x14ac:dyDescent="0.2">
      <c r="AB302" s="80"/>
      <c r="AC302" s="80"/>
      <c r="AD302" s="80"/>
    </row>
    <row r="341" spans="28:30" ht="11.25" customHeight="1" x14ac:dyDescent="0.2">
      <c r="AB341" s="76"/>
      <c r="AC341" s="76"/>
    </row>
    <row r="342" spans="28:30" ht="11.25" customHeight="1" x14ac:dyDescent="0.2">
      <c r="AB342" s="76"/>
      <c r="AC342" s="76"/>
    </row>
    <row r="343" spans="28:30" ht="11.25" customHeight="1" x14ac:dyDescent="0.2">
      <c r="AB343" s="76"/>
      <c r="AC343" s="76"/>
    </row>
    <row r="346" spans="28:30" ht="11.25" customHeight="1" x14ac:dyDescent="0.2">
      <c r="AB346" s="80"/>
      <c r="AC346" s="80"/>
      <c r="AD346" s="80"/>
    </row>
    <row r="385" spans="28:30" ht="11.25" customHeight="1" x14ac:dyDescent="0.2">
      <c r="AB385" s="76"/>
      <c r="AC385" s="76"/>
    </row>
    <row r="386" spans="28:30" ht="11.25" customHeight="1" x14ac:dyDescent="0.2">
      <c r="AB386" s="76"/>
      <c r="AC386" s="76"/>
    </row>
    <row r="387" spans="28:30" ht="11.25" customHeight="1" x14ac:dyDescent="0.2">
      <c r="AB387" s="76"/>
      <c r="AC387" s="76"/>
    </row>
    <row r="390" spans="28:30" ht="11.25" customHeight="1" x14ac:dyDescent="0.2">
      <c r="AB390" s="80"/>
      <c r="AC390" s="80"/>
      <c r="AD390" s="80"/>
    </row>
    <row r="429" spans="28:29" ht="11.25" customHeight="1" x14ac:dyDescent="0.2">
      <c r="AB429" s="76"/>
      <c r="AC429" s="76"/>
    </row>
    <row r="430" spans="28:29" ht="11.25" customHeight="1" x14ac:dyDescent="0.2">
      <c r="AB430" s="76"/>
      <c r="AC430" s="76"/>
    </row>
    <row r="431" spans="28:29" ht="11.25" customHeight="1" x14ac:dyDescent="0.2">
      <c r="AB431" s="76"/>
      <c r="AC431" s="76"/>
    </row>
    <row r="434" spans="28:30" ht="11.25" customHeight="1" x14ac:dyDescent="0.2">
      <c r="AB434" s="80"/>
      <c r="AC434" s="80"/>
      <c r="AD434" s="80"/>
    </row>
  </sheetData>
  <sheetProtection sheet="1" objects="1" scenarios="1"/>
  <mergeCells count="42">
    <mergeCell ref="J5:N6"/>
    <mergeCell ref="P5:T6"/>
    <mergeCell ref="B7:B8"/>
    <mergeCell ref="D5:H6"/>
    <mergeCell ref="D39:H40"/>
    <mergeCell ref="J39:N40"/>
    <mergeCell ref="P39:T40"/>
    <mergeCell ref="T43:T44"/>
    <mergeCell ref="N43:N44"/>
    <mergeCell ref="M43:M44"/>
    <mergeCell ref="L43:L44"/>
    <mergeCell ref="K43:K44"/>
    <mergeCell ref="P43:P44"/>
    <mergeCell ref="B83:E84"/>
    <mergeCell ref="B41:B42"/>
    <mergeCell ref="Q43:Q44"/>
    <mergeCell ref="R43:R44"/>
    <mergeCell ref="S43:S44"/>
    <mergeCell ref="B43:B44"/>
    <mergeCell ref="J43:J44"/>
    <mergeCell ref="H43:H44"/>
    <mergeCell ref="G43:G44"/>
    <mergeCell ref="F43:F44"/>
    <mergeCell ref="E43:E44"/>
    <mergeCell ref="D43:D44"/>
    <mergeCell ref="B75:B76"/>
    <mergeCell ref="B77:E78"/>
    <mergeCell ref="B79:E80"/>
    <mergeCell ref="B81:E82"/>
    <mergeCell ref="B103:E104"/>
    <mergeCell ref="B105:E106"/>
    <mergeCell ref="B107:E108"/>
    <mergeCell ref="B109:E110"/>
    <mergeCell ref="B85:E86"/>
    <mergeCell ref="B87:E88"/>
    <mergeCell ref="B89:E90"/>
    <mergeCell ref="B91:E92"/>
    <mergeCell ref="B93:E94"/>
    <mergeCell ref="B95:E96"/>
    <mergeCell ref="B97:E98"/>
    <mergeCell ref="B99:E100"/>
    <mergeCell ref="B101:E102"/>
  </mergeCells>
  <phoneticPr fontId="4" type="noConversion"/>
  <conditionalFormatting sqref="A10:A31">
    <cfRule type="cellIs" dxfId="697" priority="41" operator="equal">
      <formula>0</formula>
    </cfRule>
  </conditionalFormatting>
  <conditionalFormatting sqref="A10:A33">
    <cfRule type="containsErrors" dxfId="696" priority="40">
      <formula>ISERROR(A10)</formula>
    </cfRule>
  </conditionalFormatting>
  <conditionalFormatting sqref="D7:H7">
    <cfRule type="containsErrors" dxfId="695" priority="35">
      <formula>ISERROR(D7)</formula>
    </cfRule>
  </conditionalFormatting>
  <conditionalFormatting sqref="D8:H8">
    <cfRule type="containsErrors" dxfId="694" priority="34">
      <formula>ISERROR(D8)</formula>
    </cfRule>
  </conditionalFormatting>
  <conditionalFormatting sqref="J7:N7">
    <cfRule type="containsErrors" dxfId="693" priority="27">
      <formula>ISERROR(J7)</formula>
    </cfRule>
  </conditionalFormatting>
  <conditionalFormatting sqref="J8:N8">
    <cfRule type="containsErrors" dxfId="692" priority="26">
      <formula>ISERROR(J8)</formula>
    </cfRule>
  </conditionalFormatting>
  <conditionalFormatting sqref="B10:B31 D10:H31 B45:B66 D45:H66 J10:N31 J45:N66 P45:T66">
    <cfRule type="expression" dxfId="691" priority="1196" stopIfTrue="1">
      <formula>$B10=$X$4</formula>
    </cfRule>
  </conditionalFormatting>
  <conditionalFormatting sqref="B32 B67">
    <cfRule type="expression" dxfId="690" priority="1206" stopIfTrue="1">
      <formula>$B32=$AC$4</formula>
    </cfRule>
  </conditionalFormatting>
  <conditionalFormatting sqref="P7:T7">
    <cfRule type="containsErrors" dxfId="689" priority="24">
      <formula>ISERROR(P7)</formula>
    </cfRule>
  </conditionalFormatting>
  <conditionalFormatting sqref="P8:T8">
    <cfRule type="containsErrors" dxfId="688" priority="23">
      <formula>ISERROR(P8)</formula>
    </cfRule>
  </conditionalFormatting>
  <conditionalFormatting sqref="P10:T31">
    <cfRule type="expression" dxfId="687" priority="25" stopIfTrue="1">
      <formula>$B10=$X$4</formula>
    </cfRule>
  </conditionalFormatting>
  <conditionalFormatting sqref="A45:A66">
    <cfRule type="cellIs" dxfId="686" priority="20" operator="equal">
      <formula>0</formula>
    </cfRule>
  </conditionalFormatting>
  <conditionalFormatting sqref="A45:A68">
    <cfRule type="containsErrors" dxfId="685" priority="19">
      <formula>ISERROR(A45)</formula>
    </cfRule>
  </conditionalFormatting>
  <conditionalFormatting sqref="D41:H41">
    <cfRule type="containsErrors" dxfId="684" priority="18">
      <formula>ISERROR(D41)</formula>
    </cfRule>
  </conditionalFormatting>
  <conditionalFormatting sqref="D42:H42">
    <cfRule type="containsErrors" dxfId="683" priority="17">
      <formula>ISERROR(D42)</formula>
    </cfRule>
  </conditionalFormatting>
  <conditionalFormatting sqref="J41:N41">
    <cfRule type="containsErrors" dxfId="682" priority="16">
      <formula>ISERROR(J41)</formula>
    </cfRule>
  </conditionalFormatting>
  <conditionalFormatting sqref="J42:N42">
    <cfRule type="containsErrors" dxfId="681" priority="15">
      <formula>ISERROR(J42)</formula>
    </cfRule>
  </conditionalFormatting>
  <conditionalFormatting sqref="P41:T41">
    <cfRule type="containsErrors" dxfId="680" priority="2">
      <formula>ISERROR(P41)</formula>
    </cfRule>
  </conditionalFormatting>
  <conditionalFormatting sqref="P42:T42">
    <cfRule type="containsErrors" dxfId="679" priority="1">
      <formula>ISERROR(P42)</formula>
    </cfRule>
  </conditionalFormatting>
  <hyperlinks>
    <hyperlink ref="B79:B80" location="Coverage!A1" display="Participating LA's" xr:uid="{778AA2F0-96ED-463C-A7D9-0334ECBE9EF3}"/>
    <hyperlink ref="B81:B82" location="IDACI!A1" display="IDACI" xr:uid="{EF8140A1-255E-4088-9F7F-A8C36E67CC3F}"/>
    <hyperlink ref="B109:B110" location="Adoption!A1" display="Adoption" xr:uid="{05769562-5BDF-41CB-8E30-22619638AA16}"/>
    <hyperlink ref="B103:B104" location="'Looked After Children'!A1" display="Looked After Children" xr:uid="{06E3B0F8-D410-4E4B-B212-9800B8E49D75}"/>
    <hyperlink ref="B101:B102" location="'Court Applications'!A1" display="Court Applications" xr:uid="{5A2B1796-BF92-4E87-8410-97E701576834}"/>
    <hyperlink ref="B99:B100" location="'Child Protection Plans'!A1" display="Child Protection Plans" xr:uid="{65260F2F-825B-4DF3-B8E9-67C597771A46}"/>
    <hyperlink ref="B97:B98" location="'Initial CP Conferences'!A1" display="Initial Child Protection Conferences" xr:uid="{AF499C3B-1E44-463C-8762-84FB3317D908}"/>
    <hyperlink ref="B95:B96" location="'Section 47 Enquiries'!A1" display="Section 47 Enquiries" xr:uid="{995ACC7B-0EA4-4E48-9E19-9227E71CE7F8}"/>
    <hyperlink ref="B93:B94" location="'Children in Need'!A1" display="Children in Need" xr:uid="{3E9A3E58-71EE-4230-9501-1D099E94439E}"/>
    <hyperlink ref="B91:B92" location="Assessments!A1" display="Assessments" xr:uid="{5385902C-CA4C-45E3-BE9E-BA93DCFEA8FA}"/>
    <hyperlink ref="B89:B90" location="'Re-referrals'!A1" display="Re-referrals" xr:uid="{F4D633A6-3088-4910-AD03-7E3793CA6D84}"/>
    <hyperlink ref="B87:B88" location="Referral_Source!A1" display="Referral Source" xr:uid="{E83EE14C-F6A6-44B8-8F8F-DB728D451742}"/>
    <hyperlink ref="B85:B86" location="Referrals!A1" display="Referrals" xr:uid="{ACAF1351-ED0E-4F6D-8589-C1841A205D5F}"/>
    <hyperlink ref="B83:B84" location="Population!A1" display="Population" xr:uid="{FD719320-533E-4C69-8B39-E2DF93EFEC5A}"/>
    <hyperlink ref="B81:C82" location="IDACI!A1" display="IDACI" xr:uid="{4AE96DE3-E42C-4677-BFD0-B0747D1196E9}"/>
    <hyperlink ref="B77:B78" location="Coverage!A1" display="Participating LA's" xr:uid="{D1F12CBB-C738-4E84-A2D5-4EFA9CF3055E}"/>
    <hyperlink ref="B77:C78" location="Indicators!A1" display="Indicators" xr:uid="{D648BE47-B686-441B-B2CC-E0D755EC050A}"/>
    <hyperlink ref="B107:B108" location="'Looked After Children'!A1" display="Looked After Children" xr:uid="{3A2F9516-6EB8-4953-BF88-073E30B2D443}"/>
    <hyperlink ref="B105:B106" location="'Court Applications'!A1" display="Court Applications" xr:uid="{B76FCB27-F0BA-4897-BE2B-41748CB88875}"/>
    <hyperlink ref="B105:C106" location="New_Ceased_LAC!A1" display="New/ Ceased Looked After Children" xr:uid="{F786C9F6-4ED9-4C40-87D4-BFCEA959635B}"/>
    <hyperlink ref="B107:C108" location="Care_Leavers!A1" display="Care Leavers" xr:uid="{9C632140-8737-4AE0-858F-7F10C3573823}"/>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ignoredErrors>
    <ignoredError sqref="A10:A33" evalError="1"/>
  </ignoredErrors>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0">
    <tabColor rgb="FFFFC000"/>
  </sheetPr>
  <dimension ref="A1:BD346"/>
  <sheetViews>
    <sheetView showRowColHeaders="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8" width="6.85546875" style="76" customWidth="1"/>
    <col min="9" max="9" width="7.42578125" style="76" customWidth="1"/>
    <col min="10" max="10" width="1.42578125" style="90" customWidth="1"/>
    <col min="11" max="15" width="6.85546875" style="76" customWidth="1"/>
    <col min="16" max="16" width="7.140625" style="76" customWidth="1"/>
    <col min="17" max="17" width="7.42578125" style="76" customWidth="1"/>
    <col min="18" max="18" width="1.42578125" style="76" customWidth="1"/>
    <col min="19" max="19" width="5.7109375" style="76" customWidth="1"/>
    <col min="20" max="20" width="8.28515625" style="76" customWidth="1"/>
    <col min="21" max="21" width="7.7109375" style="76" bestFit="1" customWidth="1"/>
    <col min="22" max="22" width="2.140625" style="76" customWidth="1"/>
    <col min="23" max="23" width="6.42578125" style="82" customWidth="1"/>
    <col min="24" max="24" width="4.85546875" style="82" customWidth="1"/>
    <col min="25" max="25" width="17.85546875" style="83" hidden="1" customWidth="1"/>
    <col min="26" max="26" width="19.42578125" style="83" hidden="1" customWidth="1"/>
    <col min="27" max="27" width="19.85546875" style="83" hidden="1" customWidth="1"/>
    <col min="28" max="29" width="16.5703125" style="83" hidden="1" customWidth="1"/>
    <col min="30" max="31" width="8.5703125" style="83" hidden="1" customWidth="1"/>
    <col min="32" max="32" width="3.5703125" style="83" hidden="1" customWidth="1"/>
    <col min="33" max="33" width="17" style="83" hidden="1" customWidth="1"/>
    <col min="34" max="34" width="5.5703125" style="83" hidden="1" customWidth="1"/>
    <col min="35" max="35" width="7.140625" style="83" hidden="1" customWidth="1"/>
    <col min="36" max="36" width="5.5703125" style="76" hidden="1" customWidth="1"/>
    <col min="37" max="37" width="31.5703125" style="76" customWidth="1"/>
    <col min="38" max="41" width="9.42578125" style="76" hidden="1" customWidth="1"/>
    <col min="42" max="43" width="13.5703125" style="76" hidden="1" customWidth="1"/>
    <col min="44" max="55" width="9.140625" style="76" hidden="1" customWidth="1"/>
    <col min="56" max="58" width="0" style="76" hidden="1" customWidth="1"/>
    <col min="59" max="16384" width="9.140625" style="76"/>
  </cols>
  <sheetData>
    <row r="1" spans="1:52" ht="18.75" customHeight="1" thickBot="1" x14ac:dyDescent="0.25">
      <c r="A1" s="114"/>
      <c r="B1" s="115"/>
      <c r="C1" s="115"/>
      <c r="D1" s="115"/>
      <c r="E1" s="115"/>
      <c r="F1" s="115"/>
      <c r="G1" s="115"/>
      <c r="H1" s="115"/>
      <c r="I1" s="115"/>
      <c r="J1" s="116"/>
      <c r="K1" s="115"/>
      <c r="L1" s="115"/>
      <c r="M1" s="115"/>
      <c r="N1" s="115"/>
      <c r="O1" s="115"/>
      <c r="P1" s="115"/>
      <c r="Q1" s="115"/>
      <c r="R1" s="115"/>
      <c r="S1" s="115"/>
      <c r="T1" s="115"/>
      <c r="U1" s="115"/>
      <c r="V1" s="117"/>
      <c r="W1" s="268"/>
      <c r="X1" s="151"/>
      <c r="Y1" s="175"/>
      <c r="Z1" s="891" t="str">
        <f>IF(Sheet1!$C$3="Annual"," the year ending 31st March"," the quarter")</f>
        <v xml:space="preserve"> the year ending 31st March</v>
      </c>
      <c r="AA1" s="175"/>
      <c r="AB1" s="175"/>
      <c r="AC1" s="175"/>
      <c r="AD1" s="175"/>
      <c r="AE1" s="175"/>
      <c r="AF1" s="175"/>
      <c r="AG1" s="175"/>
      <c r="AH1" s="175"/>
      <c r="AI1" s="175"/>
      <c r="AJ1" s="176"/>
      <c r="AK1" s="152"/>
    </row>
    <row r="2" spans="1:52" ht="18.75" customHeight="1" x14ac:dyDescent="0.2">
      <c r="A2" s="120"/>
      <c r="B2" s="130" t="s">
        <v>80</v>
      </c>
      <c r="C2" s="9"/>
      <c r="D2" s="9"/>
      <c r="E2" s="9"/>
      <c r="F2" s="9"/>
      <c r="G2" s="9"/>
      <c r="H2" s="9"/>
      <c r="I2" s="9"/>
      <c r="J2" s="13"/>
      <c r="K2" s="9"/>
      <c r="L2" s="9"/>
      <c r="M2" s="9"/>
      <c r="N2" s="9"/>
      <c r="O2" s="9"/>
      <c r="P2" s="9"/>
      <c r="Q2" s="9"/>
      <c r="R2" s="9"/>
      <c r="S2" s="9"/>
      <c r="T2" s="9"/>
      <c r="U2" s="9"/>
      <c r="V2" s="119"/>
      <c r="W2" s="157"/>
      <c r="X2" s="147"/>
      <c r="Y2" s="800">
        <f>IF(Sheet1!$C$3="Annual",1,4)</f>
        <v>1</v>
      </c>
      <c r="Z2" s="760" t="str">
        <f>IF(Sheet1!$C$3="Annual","",Sheet1!$D$26)</f>
        <v/>
      </c>
      <c r="AA2" s="761" t="str">
        <f>IF(Sheet1!$C$3="Annual","",Sheet1!$E$26)</f>
        <v/>
      </c>
      <c r="AB2" s="761" t="str">
        <f>IF(Sheet1!$C$3="Annual","",Sheet1!$F$26)</f>
        <v/>
      </c>
      <c r="AC2" s="761" t="str">
        <f>IF(Sheet1!$C$3="Annual","",Sheet1!$G$26)</f>
        <v/>
      </c>
      <c r="AD2" s="762" t="str">
        <f>IF(Sheet1!$C$3="Annual","",Sheet1!$H$26)</f>
        <v/>
      </c>
      <c r="AJ2" s="179"/>
      <c r="AK2" s="153"/>
    </row>
    <row r="3" spans="1:52" ht="18.75" customHeight="1" thickBot="1" x14ac:dyDescent="0.25">
      <c r="A3" s="126"/>
      <c r="B3" s="127"/>
      <c r="C3" s="127"/>
      <c r="D3" s="127"/>
      <c r="E3" s="127"/>
      <c r="F3" s="127"/>
      <c r="G3" s="127"/>
      <c r="H3" s="127"/>
      <c r="I3" s="260"/>
      <c r="J3" s="128"/>
      <c r="K3" s="127"/>
      <c r="L3" s="127"/>
      <c r="M3" s="127"/>
      <c r="N3" s="127"/>
      <c r="O3" s="127"/>
      <c r="P3" s="528"/>
      <c r="Q3" s="127"/>
      <c r="R3" s="127"/>
      <c r="S3" s="127"/>
      <c r="T3" s="260"/>
      <c r="U3" s="127"/>
      <c r="V3" s="129"/>
      <c r="W3" s="157"/>
      <c r="X3" s="147"/>
      <c r="Y3" s="763"/>
      <c r="Z3" s="763" t="str">
        <f>Sheet1!$D$25</f>
        <v>2014-15</v>
      </c>
      <c r="AA3" s="764" t="str">
        <f>Sheet1!$E$25</f>
        <v>2015-16</v>
      </c>
      <c r="AB3" s="764" t="str">
        <f>Sheet1!$F$25</f>
        <v>2016-17</v>
      </c>
      <c r="AC3" s="764" t="str">
        <f>Sheet1!$G$25</f>
        <v>2017-18</v>
      </c>
      <c r="AD3" s="765" t="str">
        <f>Sheet1!$H$25</f>
        <v>2018-19</v>
      </c>
      <c r="AJ3" s="179"/>
      <c r="AK3" s="153"/>
      <c r="AL3" s="76">
        <v>0</v>
      </c>
    </row>
    <row r="4" spans="1:52" ht="11.25" customHeight="1" x14ac:dyDescent="0.2">
      <c r="A4" s="114"/>
      <c r="B4" s="115"/>
      <c r="C4" s="115"/>
      <c r="D4" s="115"/>
      <c r="E4" s="115"/>
      <c r="F4" s="115"/>
      <c r="G4" s="115"/>
      <c r="H4" s="115"/>
      <c r="I4" s="115"/>
      <c r="J4" s="116"/>
      <c r="K4" s="115"/>
      <c r="L4" s="115"/>
      <c r="M4" s="115"/>
      <c r="N4" s="115"/>
      <c r="O4" s="115"/>
      <c r="P4" s="115"/>
      <c r="Q4" s="115"/>
      <c r="R4" s="115"/>
      <c r="S4" s="115"/>
      <c r="T4" s="115"/>
      <c r="U4" s="115"/>
      <c r="V4" s="117"/>
      <c r="W4" s="138"/>
      <c r="X4" s="147"/>
      <c r="Z4" s="181" t="str">
        <f>Home!$D$10</f>
        <v>(none)</v>
      </c>
      <c r="AA4" s="43" t="str">
        <f>"Selected LA- "&amp;Z4</f>
        <v>Selected LA- (none)</v>
      </c>
      <c r="AJ4" s="179"/>
      <c r="AK4" s="153"/>
    </row>
    <row r="5" spans="1:52" s="78" customFormat="1" ht="15" customHeight="1" x14ac:dyDescent="0.2">
      <c r="A5" s="121"/>
      <c r="B5" s="1435" t="str">
        <f>"Referrals received in"&amp;Z1</f>
        <v>Referrals received in the year ending 31st March</v>
      </c>
      <c r="C5" s="1318"/>
      <c r="D5" s="1318"/>
      <c r="E5" s="1318"/>
      <c r="F5" s="1318"/>
      <c r="G5" s="1318"/>
      <c r="H5" s="1318"/>
      <c r="I5" s="1318"/>
      <c r="J5" s="1318"/>
      <c r="K5" s="1318"/>
      <c r="L5" s="1318"/>
      <c r="M5" s="1318"/>
      <c r="N5" s="1318"/>
      <c r="O5" s="69"/>
      <c r="P5" s="69"/>
      <c r="Q5" s="69"/>
      <c r="R5" s="69"/>
      <c r="S5" s="69"/>
      <c r="T5" s="69"/>
      <c r="U5" s="69"/>
      <c r="V5" s="122"/>
      <c r="W5" s="139"/>
      <c r="X5" s="148"/>
      <c r="Y5" s="83"/>
      <c r="Z5" s="183"/>
      <c r="AA5" s="183"/>
      <c r="AB5" s="183"/>
      <c r="AC5" s="183"/>
      <c r="AD5" s="183"/>
      <c r="AE5" s="183"/>
      <c r="AF5" s="183"/>
      <c r="AG5" s="183"/>
      <c r="AH5" s="183"/>
      <c r="AI5" s="183"/>
      <c r="AJ5" s="183"/>
      <c r="AK5" s="154"/>
      <c r="AL5" s="183" t="str">
        <f>CONCATENATE($I$7,"in Number of "&amp;$B2)</f>
        <v>Average Annual Change in Number of Referrals</v>
      </c>
      <c r="AR5" s="76"/>
      <c r="AS5" s="76"/>
      <c r="AT5" s="76"/>
      <c r="AU5" s="76"/>
      <c r="AV5" s="76"/>
      <c r="AW5" s="76"/>
      <c r="AX5" s="76"/>
      <c r="AY5" s="76"/>
      <c r="AZ5" s="76"/>
    </row>
    <row r="6" spans="1:52" ht="13.5" customHeight="1" x14ac:dyDescent="0.2">
      <c r="A6" s="120"/>
      <c r="B6" s="1318"/>
      <c r="C6" s="1318"/>
      <c r="D6" s="1318"/>
      <c r="E6" s="1318"/>
      <c r="F6" s="1318"/>
      <c r="G6" s="1318"/>
      <c r="H6" s="1318"/>
      <c r="I6" s="1318"/>
      <c r="J6" s="1318"/>
      <c r="K6" s="1318"/>
      <c r="L6" s="1318"/>
      <c r="M6" s="1318"/>
      <c r="N6" s="1318"/>
      <c r="O6" s="69"/>
      <c r="P6" s="69"/>
      <c r="Q6" s="69"/>
      <c r="R6" s="69"/>
      <c r="S6" s="793"/>
      <c r="T6" s="69"/>
      <c r="U6" s="69"/>
      <c r="V6" s="119"/>
      <c r="W6" s="138"/>
      <c r="X6" s="147"/>
      <c r="Z6" s="185"/>
      <c r="AJ6" s="179"/>
      <c r="AK6" s="153"/>
    </row>
    <row r="7" spans="1:52" s="89" customFormat="1" ht="12.75" customHeight="1" x14ac:dyDescent="0.2">
      <c r="A7" s="123"/>
      <c r="B7" s="1449" t="s">
        <v>190</v>
      </c>
      <c r="C7" s="87"/>
      <c r="D7" s="1436" t="s">
        <v>88</v>
      </c>
      <c r="E7" s="1437"/>
      <c r="F7" s="1437"/>
      <c r="G7" s="1437"/>
      <c r="H7" s="1438"/>
      <c r="I7" s="1439" t="str">
        <f>"Average "&amp;Sheet1!C3&amp;" Change "</f>
        <v xml:space="preserve">Average Annual Change </v>
      </c>
      <c r="J7" s="98"/>
      <c r="K7" s="1459" t="s">
        <v>89</v>
      </c>
      <c r="L7" s="1460"/>
      <c r="M7" s="1460"/>
      <c r="N7" s="1460"/>
      <c r="O7" s="1460"/>
      <c r="P7" s="1461"/>
      <c r="Q7" s="1446" t="str">
        <f>IF(ISNA(O9),"SE Rank "&amp;O8,"SE Rank "&amp;O9)</f>
        <v>SE Rank 2018-19</v>
      </c>
      <c r="R7" s="69"/>
      <c r="S7" s="1451" t="str">
        <f>"Distance from Expected "&amp;Sheet1!$B$8</f>
        <v>Distance from Expected 2019</v>
      </c>
      <c r="T7" s="1452"/>
      <c r="U7" s="1453"/>
      <c r="V7" s="124"/>
      <c r="W7" s="140"/>
      <c r="X7" s="149"/>
      <c r="Y7" s="199"/>
      <c r="Z7" s="199"/>
      <c r="AB7" s="200" t="s">
        <v>79</v>
      </c>
      <c r="AC7" s="185"/>
      <c r="AD7" s="185"/>
      <c r="AE7" s="194"/>
      <c r="AF7" s="194"/>
      <c r="AG7" s="201" t="s">
        <v>92</v>
      </c>
      <c r="AH7" s="185"/>
      <c r="AI7" s="185"/>
      <c r="AJ7" s="199"/>
      <c r="AK7" s="156"/>
      <c r="AR7" s="76"/>
      <c r="AS7" s="76"/>
      <c r="AT7" s="76"/>
      <c r="AU7" s="76"/>
      <c r="AV7" s="76"/>
      <c r="AW7" s="76"/>
      <c r="AX7" s="76"/>
      <c r="AY7" s="76"/>
      <c r="AZ7" s="76"/>
    </row>
    <row r="8" spans="1:52" s="89" customFormat="1" ht="12.75" customHeight="1" x14ac:dyDescent="0.2">
      <c r="A8" s="286"/>
      <c r="B8" s="1449"/>
      <c r="C8" s="87"/>
      <c r="D8" s="755" t="str">
        <f>Sheet1!$D$25</f>
        <v>2014-15</v>
      </c>
      <c r="E8" s="756" t="str">
        <f>Sheet1!$E$25</f>
        <v>2015-16</v>
      </c>
      <c r="F8" s="756" t="str">
        <f>Sheet1!$F$25</f>
        <v>2016-17</v>
      </c>
      <c r="G8" s="756" t="str">
        <f>Sheet1!$G$25</f>
        <v>2017-18</v>
      </c>
      <c r="H8" s="757" t="str">
        <f>Sheet1!$H$25</f>
        <v>2018-19</v>
      </c>
      <c r="I8" s="1440"/>
      <c r="J8" s="98"/>
      <c r="K8" s="755" t="str">
        <f>Sheet1!$D$25</f>
        <v>2014-15</v>
      </c>
      <c r="L8" s="756" t="str">
        <f>Sheet1!$E$25</f>
        <v>2015-16</v>
      </c>
      <c r="M8" s="756" t="str">
        <f>Sheet1!$F$25</f>
        <v>2016-17</v>
      </c>
      <c r="N8" s="756" t="str">
        <f>Sheet1!$G$25</f>
        <v>2017-18</v>
      </c>
      <c r="O8" s="1457" t="str">
        <f>Sheet1!$H$25</f>
        <v>2018-19</v>
      </c>
      <c r="P8" s="1458"/>
      <c r="Q8" s="1447"/>
      <c r="R8" s="69"/>
      <c r="S8" s="1454"/>
      <c r="T8" s="1455"/>
      <c r="U8" s="1456"/>
      <c r="V8" s="124"/>
      <c r="W8" s="140"/>
      <c r="X8" s="149"/>
      <c r="Y8" s="199"/>
      <c r="Z8" s="1423" t="s">
        <v>76</v>
      </c>
      <c r="AA8" s="1423" t="s">
        <v>77</v>
      </c>
      <c r="AB8" s="730" t="str">
        <f>Sheet1!$D$25</f>
        <v>2014-15</v>
      </c>
      <c r="AC8" s="730" t="str">
        <f>Sheet1!$E$25</f>
        <v>2015-16</v>
      </c>
      <c r="AD8" s="730" t="str">
        <f>Sheet1!$F$25</f>
        <v>2016-17</v>
      </c>
      <c r="AE8" s="730" t="str">
        <f>Sheet1!$G$25</f>
        <v>2017-18</v>
      </c>
      <c r="AF8" s="730" t="str">
        <f>Sheet1!$H$25</f>
        <v>2018-19</v>
      </c>
      <c r="AG8" s="201"/>
      <c r="AH8" s="185"/>
      <c r="AI8" s="185"/>
      <c r="AJ8" s="199"/>
      <c r="AK8" s="156"/>
      <c r="AR8" s="76"/>
      <c r="AS8" s="76"/>
      <c r="AT8" s="76"/>
      <c r="AU8" s="76"/>
      <c r="AV8" s="76"/>
      <c r="AW8" s="76"/>
      <c r="AX8" s="76"/>
      <c r="AY8" s="76"/>
      <c r="AZ8" s="76"/>
    </row>
    <row r="9" spans="1:52" s="89" customFormat="1" ht="12.75" customHeight="1" x14ac:dyDescent="0.2">
      <c r="A9" s="123"/>
      <c r="B9" s="1450"/>
      <c r="C9" s="87"/>
      <c r="D9" s="758" t="e">
        <f>Sheet1!$D$26</f>
        <v>#N/A</v>
      </c>
      <c r="E9" s="758" t="e">
        <f>Sheet1!$E$26</f>
        <v>#N/A</v>
      </c>
      <c r="F9" s="758" t="e">
        <f>Sheet1!$F$26</f>
        <v>#N/A</v>
      </c>
      <c r="G9" s="758" t="e">
        <f>Sheet1!$G$26</f>
        <v>#N/A</v>
      </c>
      <c r="H9" s="759" t="e">
        <f>Sheet1!$H$26</f>
        <v>#N/A</v>
      </c>
      <c r="I9" s="1441"/>
      <c r="J9" s="98"/>
      <c r="K9" s="758" t="e">
        <f>Sheet1!$D$26</f>
        <v>#N/A</v>
      </c>
      <c r="L9" s="758" t="e">
        <f>Sheet1!$E$26</f>
        <v>#N/A</v>
      </c>
      <c r="M9" s="758" t="e">
        <f>Sheet1!$F$26</f>
        <v>#N/A</v>
      </c>
      <c r="N9" s="758" t="e">
        <f>Sheet1!$G$26</f>
        <v>#N/A</v>
      </c>
      <c r="O9" s="1433" t="e">
        <f>Sheet1!$H$26</f>
        <v>#N/A</v>
      </c>
      <c r="P9" s="1434"/>
      <c r="Q9" s="1448"/>
      <c r="R9" s="69"/>
      <c r="S9" s="788" t="s">
        <v>78</v>
      </c>
      <c r="T9" s="794" t="s">
        <v>127</v>
      </c>
      <c r="U9" s="795" t="s">
        <v>128</v>
      </c>
      <c r="V9" s="124"/>
      <c r="W9" s="140"/>
      <c r="X9" s="149"/>
      <c r="Y9" s="199"/>
      <c r="Z9" s="1424"/>
      <c r="AA9" s="1424"/>
      <c r="AB9" s="730" t="e">
        <f>Sheet1!$D$26</f>
        <v>#N/A</v>
      </c>
      <c r="AC9" s="730" t="e">
        <f>Sheet1!$E$26</f>
        <v>#N/A</v>
      </c>
      <c r="AD9" s="730" t="e">
        <f>Sheet1!$F$26</f>
        <v>#N/A</v>
      </c>
      <c r="AE9" s="730" t="e">
        <f>Sheet1!$G$26</f>
        <v>#N/A</v>
      </c>
      <c r="AF9" s="730" t="e">
        <f>Sheet1!$H$26</f>
        <v>#N/A</v>
      </c>
      <c r="AG9" s="185"/>
      <c r="AH9" s="185">
        <f>COLUMNS($B$4:O$4)</f>
        <v>14</v>
      </c>
      <c r="AI9" s="185"/>
      <c r="AJ9" s="199"/>
      <c r="AK9" s="156"/>
      <c r="AL9" s="787" t="s">
        <v>686</v>
      </c>
      <c r="AM9" s="787" t="s">
        <v>687</v>
      </c>
      <c r="AN9" s="787" t="s">
        <v>688</v>
      </c>
      <c r="AO9" s="787" t="s">
        <v>689</v>
      </c>
      <c r="AP9" s="787" t="s">
        <v>690</v>
      </c>
      <c r="AR9" s="76"/>
      <c r="AS9" s="76"/>
      <c r="AT9" s="76"/>
      <c r="AU9" s="76"/>
      <c r="AV9" s="76"/>
      <c r="AW9" s="76"/>
      <c r="AX9" s="76"/>
      <c r="AY9" s="76"/>
      <c r="AZ9" s="76"/>
    </row>
    <row r="10" spans="1:52" s="89" customFormat="1" ht="13.5" customHeight="1" x14ac:dyDescent="0.2">
      <c r="A10" s="462">
        <f>VLOOKUP(B10,Sheet1!$AQ$4:$AR$25,2,FALSE)</f>
        <v>0</v>
      </c>
      <c r="B10" s="95" t="str">
        <f>Sheet1!$K$4</f>
        <v>Bracknell Forest</v>
      </c>
      <c r="C10" s="87"/>
      <c r="D10" s="96">
        <f>IF(Year1_Bracknell_Forest Year1_Referrals="","",Year1_Bracknell_Forest Year1_Referrals)</f>
        <v>1060</v>
      </c>
      <c r="E10" s="96">
        <f>IF(Year2_Bracknell_Forest Year2_Referrals="","",Year2_Bracknell_Forest Year2_Referrals)</f>
        <v>1306</v>
      </c>
      <c r="F10" s="96">
        <f>IF(Year3_Bracknell_Forest Year3_Referrals="","",Year3_Bracknell_Forest Year3_Referrals)</f>
        <v>1644</v>
      </c>
      <c r="G10" s="96">
        <f>IF(Year4_Bracknell_Forest Year4_Referrals="","",Year4_Bracknell_Forest Year4_Referrals)</f>
        <v>1819</v>
      </c>
      <c r="H10" s="97">
        <f>IF(Year5_Bracknell_Forest Year5_Referrals="","",Year5_Bracknell_Forest Year5_Referrals)</f>
        <v>2240</v>
      </c>
      <c r="I10" s="337">
        <f>AP10</f>
        <v>0.20719363066180496</v>
      </c>
      <c r="J10" s="98"/>
      <c r="K10" s="99">
        <f>IF(ISNUMBER(D10),D10/Population!D10*10000,NA())</f>
        <v>381.29496402877697</v>
      </c>
      <c r="L10" s="99">
        <f>IF(ISNUMBER(E10),E10/Population!E10*10000,NA())</f>
        <v>463.12056737588654</v>
      </c>
      <c r="M10" s="99">
        <f>IF(ISNUMBER(F10),F10/Population!F10*10000,NA())</f>
        <v>582.97872340425533</v>
      </c>
      <c r="N10" s="99">
        <f>IF(ISNUMBER(G10),G10/Population!G10*10000,NA())</f>
        <v>647.3309608540925</v>
      </c>
      <c r="O10" s="100">
        <f>IF(ISNUMBER(H10),H10/Population!H10*10000,NA())</f>
        <v>791.51943462897532</v>
      </c>
      <c r="P10" s="101">
        <f>IF(ISNUMBER(O10),O10,"")</f>
        <v>791.51943462897532</v>
      </c>
      <c r="Q10" s="770">
        <f t="shared" ref="Q10:Q33" si="0">IF(ISNA(VLOOKUP(B10,$AG$10:$AI$28,3,FALSE)),"--",IF(ISNUMBER(H10),VLOOKUP(B10,$AG$10:$AI$28,3,FALSE),NA()))</f>
        <v>18</v>
      </c>
      <c r="R10" s="69"/>
      <c r="S10" s="333">
        <f>IDACI!C9</f>
        <v>8.9</v>
      </c>
      <c r="T10" s="334">
        <f t="shared" ref="T10:T33" si="1">((S10*$Z$44)+$AA$44)/$Y$2</f>
        <v>416.38430789500967</v>
      </c>
      <c r="U10" s="335">
        <f>O10-T10</f>
        <v>375.13512673396565</v>
      </c>
      <c r="V10" s="124"/>
      <c r="W10" s="140"/>
      <c r="X10" s="149"/>
      <c r="Y10" s="71" t="str">
        <f t="shared" ref="Y10:Y33" si="2">B10</f>
        <v>Bracknell Forest</v>
      </c>
      <c r="Z10" s="45">
        <f>IF(ISNUMBER($H10),IDACI!D9,0)</f>
        <v>24849</v>
      </c>
      <c r="AA10" s="45">
        <f>IF(ISNUMBER($H10),IDACI!E9,0)</f>
        <v>2211.5610000000001</v>
      </c>
      <c r="AB10" s="202">
        <f>IF(ISNUMBER(D10),Population!D10,"")</f>
        <v>27800</v>
      </c>
      <c r="AC10" s="202">
        <f>IF(ISNUMBER(E10),Population!E10,"")</f>
        <v>28200</v>
      </c>
      <c r="AD10" s="202">
        <f>IF(ISNUMBER(F10),Population!F10,"")</f>
        <v>28200</v>
      </c>
      <c r="AE10" s="202">
        <f>IF(ISNUMBER(G10),Population!G10,"")</f>
        <v>28100</v>
      </c>
      <c r="AF10" s="202">
        <f>IF(ISNUMBER(H10),Population!H10,"")</f>
        <v>28300</v>
      </c>
      <c r="AG10" s="95" t="str">
        <f>B10</f>
        <v>Bracknell Forest</v>
      </c>
      <c r="AH10" s="225">
        <f t="shared" ref="AH10:AH28" si="3">IFERROR(VLOOKUP(AG10,$B$10:$P$31,$AH$9,FALSE),"")</f>
        <v>791.51943462897532</v>
      </c>
      <c r="AI10" s="203">
        <f>RANK(AH10,$AH$10:$AH$28,1)</f>
        <v>18</v>
      </c>
      <c r="AJ10" s="199"/>
      <c r="AK10" s="156"/>
      <c r="AL10" s="792">
        <f t="shared" ref="AL10:AL33" si="4">IF(ISERROR((E10-D10)/D10),"x",(E10-D10)/D10)</f>
        <v>0.23207547169811321</v>
      </c>
      <c r="AM10" s="792">
        <f t="shared" ref="AM10:AM33" si="5">IF(ISERROR((F10-E10)/E10),"x",(F10-E10)/E10)</f>
        <v>0.25880551301684535</v>
      </c>
      <c r="AN10" s="792">
        <f t="shared" ref="AN10:AN33" si="6">IF(ISERROR((G10-F10)/F10),"x",(G10-F10)/F10)</f>
        <v>0.10644768856447688</v>
      </c>
      <c r="AO10" s="792">
        <f t="shared" ref="AO10:AO33" si="7">IF(ISERROR((H10-G10)/G10),"x",(H10-G10)/G10)</f>
        <v>0.23144584936778451</v>
      </c>
      <c r="AP10" s="792">
        <f>IF(ISERROR(AVERAGE(AL10:AO10)),"",AVERAGE(AL10:AO10))</f>
        <v>0.20719363066180496</v>
      </c>
      <c r="AR10" s="76"/>
      <c r="AS10" s="76"/>
      <c r="AT10" s="76"/>
      <c r="AU10" s="76"/>
      <c r="AV10" s="76"/>
      <c r="AW10" s="76"/>
      <c r="AX10" s="76"/>
      <c r="AY10" s="76"/>
      <c r="AZ10" s="76"/>
    </row>
    <row r="11" spans="1:52" s="89" customFormat="1" ht="13.5" customHeight="1" x14ac:dyDescent="0.2">
      <c r="A11" s="462">
        <f>VLOOKUP(B11,Sheet1!$AQ$4:$AR$25,2,FALSE)</f>
        <v>0</v>
      </c>
      <c r="B11" s="95" t="str">
        <f>Sheet1!$K$5</f>
        <v>Brighton &amp; Hove</v>
      </c>
      <c r="C11" s="87"/>
      <c r="D11" s="96">
        <f>IF(Year1_Brighton_Hove Year1_Referrals="","",Year1_Brighton_Hove Year1_Referrals)</f>
        <v>7307</v>
      </c>
      <c r="E11" s="96">
        <f>IF(Year2_Brighton_Hove Year2_Referrals="","",Year2_Brighton_Hove Year2_Referrals)</f>
        <v>3426</v>
      </c>
      <c r="F11" s="96">
        <f>IF(Year3_Brighton_Hove Year3_Referrals="","",Year3_Brighton_Hove Year3_Referrals)</f>
        <v>3405</v>
      </c>
      <c r="G11" s="96">
        <f>IF(Year4_Brighton_Hove Year4_Referrals="","",Year4_Brighton_Hove Year4_Referrals)</f>
        <v>3344</v>
      </c>
      <c r="H11" s="97">
        <f>IF(Year5_Brighton_Hove Year5_Referrals="","",Year5_Brighton_Hove Year5_Referrals)</f>
        <v>3239</v>
      </c>
      <c r="I11" s="337">
        <f t="shared" ref="I11:I33" si="8">AP11</f>
        <v>-0.14664461959849281</v>
      </c>
      <c r="J11" s="98"/>
      <c r="K11" s="99">
        <f>IF(ISNUMBER(D11),D11/Population!D11*10000,NA())</f>
        <v>1432.7450980392157</v>
      </c>
      <c r="L11" s="99">
        <f>IF(ISNUMBER(E11),E11/Population!E11*10000,NA())</f>
        <v>669.140625</v>
      </c>
      <c r="M11" s="99">
        <f>IF(ISNUMBER(F11),F11/Population!F11*10000,NA())</f>
        <v>663.74269005847941</v>
      </c>
      <c r="N11" s="99">
        <f>IF(ISNUMBER(G11),G11/Population!G11*10000,NA())</f>
        <v>655.68627450980398</v>
      </c>
      <c r="O11" s="100">
        <f>IF(ISNUMBER(H11),H11/Population!H11*10000,NA())</f>
        <v>635.0980392156863</v>
      </c>
      <c r="P11" s="101">
        <f t="shared" ref="P11:P32" si="9">IF(ISNUMBER(O11),O11,"")</f>
        <v>635.0980392156863</v>
      </c>
      <c r="Q11" s="770">
        <f t="shared" si="0"/>
        <v>14</v>
      </c>
      <c r="R11" s="69"/>
      <c r="S11" s="333">
        <f>IDACI!C10</f>
        <v>15.299999999999999</v>
      </c>
      <c r="T11" s="334">
        <f t="shared" si="1"/>
        <v>521.37947510297306</v>
      </c>
      <c r="U11" s="335">
        <f t="shared" ref="U11:U33" si="10">O11-T11</f>
        <v>113.71856411271324</v>
      </c>
      <c r="V11" s="124"/>
      <c r="W11" s="140"/>
      <c r="X11" s="149"/>
      <c r="Y11" s="71" t="str">
        <f t="shared" si="2"/>
        <v>Brighton &amp; Hove</v>
      </c>
      <c r="Z11" s="45">
        <f>IF(ISNUMBER($H11),IDACI!D10,0)</f>
        <v>45576</v>
      </c>
      <c r="AA11" s="45">
        <f>IF(ISNUMBER($H11),IDACI!E10,0)</f>
        <v>6973.1279999999997</v>
      </c>
      <c r="AB11" s="202">
        <f>IF(ISNUMBER(D11),Population!D11,"")</f>
        <v>51000</v>
      </c>
      <c r="AC11" s="202">
        <f>IF(ISNUMBER(E11),Population!E11,"")</f>
        <v>51200</v>
      </c>
      <c r="AD11" s="202">
        <f>IF(ISNUMBER(F11),Population!F11,"")</f>
        <v>51300</v>
      </c>
      <c r="AE11" s="202">
        <f>IF(ISNUMBER(G11),Population!G11,"")</f>
        <v>51000</v>
      </c>
      <c r="AF11" s="202">
        <f>IF(ISNUMBER(H11),Population!H11,"")</f>
        <v>51000</v>
      </c>
      <c r="AG11" s="95" t="s">
        <v>31</v>
      </c>
      <c r="AH11" s="225">
        <f t="shared" si="3"/>
        <v>635.0980392156863</v>
      </c>
      <c r="AI11" s="203">
        <f t="shared" ref="AI11:AI28" si="11">RANK(AH11,$AH$10:$AH$28,1)</f>
        <v>14</v>
      </c>
      <c r="AJ11" s="199"/>
      <c r="AK11" s="156"/>
      <c r="AL11" s="792">
        <f t="shared" si="4"/>
        <v>-0.53113452853428222</v>
      </c>
      <c r="AM11" s="792">
        <f t="shared" si="5"/>
        <v>-6.1295971978984239E-3</v>
      </c>
      <c r="AN11" s="792">
        <f t="shared" si="6"/>
        <v>-1.7914831130690163E-2</v>
      </c>
      <c r="AO11" s="792">
        <f t="shared" si="7"/>
        <v>-3.1399521531100476E-2</v>
      </c>
      <c r="AP11" s="792">
        <f t="shared" ref="AP11:AP33" si="12">IF(ISERROR(AVERAGE(AL11:AO11)),"",AVERAGE(AL11:AO11))</f>
        <v>-0.14664461959849281</v>
      </c>
      <c r="AR11" s="76"/>
      <c r="AS11" s="76"/>
      <c r="AT11" s="76"/>
      <c r="AU11" s="76"/>
      <c r="AV11" s="76"/>
      <c r="AW11" s="76"/>
      <c r="AX11" s="76"/>
      <c r="AY11" s="76"/>
      <c r="AZ11" s="76"/>
    </row>
    <row r="12" spans="1:52" s="89" customFormat="1" ht="13.5" customHeight="1" x14ac:dyDescent="0.2">
      <c r="A12" s="462">
        <f>VLOOKUP(B12,Sheet1!$AQ$4:$AR$25,2,FALSE)</f>
        <v>0</v>
      </c>
      <c r="B12" s="95" t="str">
        <f>Sheet1!$K$6</f>
        <v>Buckinghamshire</v>
      </c>
      <c r="C12" s="87"/>
      <c r="D12" s="96">
        <f>IF(Year1_Buckinghamshire Year1_Referrals="","",Year1_Buckinghamshire Year1_Referrals)</f>
        <v>5129</v>
      </c>
      <c r="E12" s="96">
        <f>IF(Year2_Buckinghamshire Year2_Referrals="","",Year2_Buckinghamshire Year2_Referrals)</f>
        <v>6958</v>
      </c>
      <c r="F12" s="96">
        <f>IF(Year3_Buckinghamshire Year3_Referrals="","",Year3_Buckinghamshire Year3_Referrals)</f>
        <v>9204</v>
      </c>
      <c r="G12" s="96">
        <f>IF(Year4_Buckinghamshire Year4_Referrals="","",Year4_Buckinghamshire Year4_Referrals)</f>
        <v>10337</v>
      </c>
      <c r="H12" s="97">
        <f>IF(Year5_Buckinghamshire Year5_Referrals="","",Year5_Buckinghamshire Year5_Referrals)</f>
        <v>7640</v>
      </c>
      <c r="I12" s="337">
        <f t="shared" si="8"/>
        <v>0.13539621653728251</v>
      </c>
      <c r="J12" s="98"/>
      <c r="K12" s="99">
        <f>IF(ISNUMBER(D12),D12/Population!D12*10000,NA())</f>
        <v>431.37089991589573</v>
      </c>
      <c r="L12" s="99">
        <f>IF(ISNUMBER(E12),E12/Population!E12*10000,NA())</f>
        <v>576.94859038142624</v>
      </c>
      <c r="M12" s="99">
        <f>IF(ISNUMBER(F12),F12/Population!F12*10000,NA())</f>
        <v>753.19148936170211</v>
      </c>
      <c r="N12" s="99">
        <f>IF(ISNUMBER(G12),G12/Population!G12*10000,NA())</f>
        <v>839.7238017871648</v>
      </c>
      <c r="O12" s="100">
        <f>IF(ISNUMBER(H12),H12/Population!H12*10000,NA())</f>
        <v>614.64199517296868</v>
      </c>
      <c r="P12" s="101">
        <f t="shared" si="9"/>
        <v>614.64199517296868</v>
      </c>
      <c r="Q12" s="770">
        <f t="shared" si="0"/>
        <v>12</v>
      </c>
      <c r="R12" s="69"/>
      <c r="S12" s="333">
        <f>IDACI!C11</f>
        <v>8.5</v>
      </c>
      <c r="T12" s="334">
        <f t="shared" si="1"/>
        <v>409.82210994451202</v>
      </c>
      <c r="U12" s="335">
        <f t="shared" si="10"/>
        <v>204.81988522845666</v>
      </c>
      <c r="V12" s="124"/>
      <c r="W12" s="140"/>
      <c r="X12" s="149"/>
      <c r="Y12" s="71" t="str">
        <f t="shared" si="2"/>
        <v>Buckinghamshire</v>
      </c>
      <c r="Z12" s="45">
        <f>IF(ISNUMBER($H12),IDACI!D11,0)</f>
        <v>107385</v>
      </c>
      <c r="AA12" s="45">
        <f>IF(ISNUMBER($H12),IDACI!E11,0)</f>
        <v>9127.7250000000004</v>
      </c>
      <c r="AB12" s="202">
        <f>IF(ISNUMBER(D12),Population!D12,"")</f>
        <v>118900</v>
      </c>
      <c r="AC12" s="202">
        <f>IF(ISNUMBER(E12),Population!E12,"")</f>
        <v>120600</v>
      </c>
      <c r="AD12" s="202">
        <f>IF(ISNUMBER(F12),Population!F12,"")</f>
        <v>122200</v>
      </c>
      <c r="AE12" s="202">
        <f>IF(ISNUMBER(G12),Population!G12,"")</f>
        <v>123100</v>
      </c>
      <c r="AF12" s="202">
        <f>IF(ISNUMBER(H12),Population!H12,"")</f>
        <v>124300</v>
      </c>
      <c r="AG12" s="95" t="s">
        <v>8</v>
      </c>
      <c r="AH12" s="225">
        <f t="shared" si="3"/>
        <v>614.64199517296868</v>
      </c>
      <c r="AI12" s="203">
        <f t="shared" si="11"/>
        <v>12</v>
      </c>
      <c r="AJ12" s="199"/>
      <c r="AK12" s="156"/>
      <c r="AL12" s="792">
        <f t="shared" si="4"/>
        <v>0.35659972704230847</v>
      </c>
      <c r="AM12" s="792">
        <f t="shared" si="5"/>
        <v>0.32279390629491234</v>
      </c>
      <c r="AN12" s="792">
        <f t="shared" si="6"/>
        <v>0.1230986527596697</v>
      </c>
      <c r="AO12" s="792">
        <f t="shared" si="7"/>
        <v>-0.26090741994776045</v>
      </c>
      <c r="AP12" s="792">
        <f t="shared" si="12"/>
        <v>0.13539621653728251</v>
      </c>
      <c r="AR12" s="76"/>
      <c r="AS12" s="76"/>
      <c r="AT12" s="76"/>
      <c r="AU12" s="76"/>
      <c r="AV12" s="76"/>
      <c r="AW12" s="76"/>
      <c r="AX12" s="76"/>
      <c r="AY12" s="76"/>
      <c r="AZ12" s="76"/>
    </row>
    <row r="13" spans="1:52" s="89" customFormat="1" ht="13.5" customHeight="1" x14ac:dyDescent="0.2">
      <c r="A13" s="462">
        <f>VLOOKUP(B13,Sheet1!$AQ$4:$AR$25,2,FALSE)</f>
        <v>0</v>
      </c>
      <c r="B13" s="95" t="str">
        <f>Sheet1!$K$7</f>
        <v>East Sussex</v>
      </c>
      <c r="C13" s="87"/>
      <c r="D13" s="96">
        <f>IF(Year1_East_Sussex Year1_Referrals="","",Year1_East_Sussex Year1_Referrals)</f>
        <v>3990</v>
      </c>
      <c r="E13" s="102">
        <f>IF(Year2_East_Sussex Year2_Referrals="","",Year2_East_Sussex Year2_Referrals)</f>
        <v>3198</v>
      </c>
      <c r="F13" s="96">
        <f>IF(Year3_East_Sussex Year3_Referrals="","",Year3_East_Sussex Year3_Referrals)</f>
        <v>3676</v>
      </c>
      <c r="G13" s="96">
        <f>IF(Year4_East_Sussex Year4_Referrals="","",Year4_East_Sussex Year4_Referrals)</f>
        <v>4367</v>
      </c>
      <c r="H13" s="97">
        <f>IF(Year5_East_Sussex Year5_Referrals="","",Year5_East_Sussex Year5_Referrals)</f>
        <v>4315</v>
      </c>
      <c r="I13" s="337">
        <f t="shared" si="8"/>
        <v>3.1760187529344938E-2</v>
      </c>
      <c r="J13" s="98"/>
      <c r="K13" s="99">
        <f>IF(ISNUMBER(D13),D13/Population!D13*10000,NA())</f>
        <v>378.55787476280835</v>
      </c>
      <c r="L13" s="99">
        <f>IF(ISNUMBER(E13),E13/Population!E13*10000,NA())</f>
        <v>301.98300283286119</v>
      </c>
      <c r="M13" s="99">
        <f>IF(ISNUMBER(F13),F13/Population!F13*10000,NA())</f>
        <v>347.11992445703493</v>
      </c>
      <c r="N13" s="99">
        <f>IF(ISNUMBER(G13),G13/Population!G13*10000,NA())</f>
        <v>411.98113207547169</v>
      </c>
      <c r="O13" s="100">
        <f>IF(ISNUMBER(H13),H13/Population!H13*10000,NA())</f>
        <v>405.54511278195491</v>
      </c>
      <c r="P13" s="101">
        <f t="shared" si="9"/>
        <v>405.54511278195491</v>
      </c>
      <c r="Q13" s="770">
        <f t="shared" si="0"/>
        <v>3</v>
      </c>
      <c r="R13" s="69"/>
      <c r="S13" s="333">
        <f>IDACI!C12</f>
        <v>16.100000000000001</v>
      </c>
      <c r="T13" s="334">
        <f t="shared" si="1"/>
        <v>534.50387100396847</v>
      </c>
      <c r="U13" s="335">
        <f t="shared" si="10"/>
        <v>-128.95875822201356</v>
      </c>
      <c r="V13" s="124"/>
      <c r="W13" s="140"/>
      <c r="X13" s="149"/>
      <c r="Y13" s="71" t="str">
        <f t="shared" si="2"/>
        <v>East Sussex</v>
      </c>
      <c r="Z13" s="45">
        <f>IF(ISNUMBER($H13),IDACI!D12,0)</f>
        <v>93130</v>
      </c>
      <c r="AA13" s="45">
        <f>IF(ISNUMBER($H13),IDACI!E12,0)</f>
        <v>14993.93</v>
      </c>
      <c r="AB13" s="202">
        <f>IF(ISNUMBER(D13),Population!D13,"")</f>
        <v>105400</v>
      </c>
      <c r="AC13" s="202">
        <f>IF(ISNUMBER(E13),Population!E13,"")</f>
        <v>105900</v>
      </c>
      <c r="AD13" s="202">
        <f>IF(ISNUMBER(F13),Population!F13,"")</f>
        <v>105900</v>
      </c>
      <c r="AE13" s="202">
        <f>IF(ISNUMBER(G13),Population!G13,"")</f>
        <v>106000</v>
      </c>
      <c r="AF13" s="202">
        <f>IF(ISNUMBER(H13),Population!H13,"")</f>
        <v>106400</v>
      </c>
      <c r="AG13" s="95" t="s">
        <v>4</v>
      </c>
      <c r="AH13" s="225">
        <f t="shared" si="3"/>
        <v>405.54511278195491</v>
      </c>
      <c r="AI13" s="203">
        <f t="shared" si="11"/>
        <v>3</v>
      </c>
      <c r="AJ13" s="199"/>
      <c r="AK13" s="156"/>
      <c r="AL13" s="792">
        <f t="shared" si="4"/>
        <v>-0.19849624060150375</v>
      </c>
      <c r="AM13" s="792">
        <f t="shared" si="5"/>
        <v>0.14946841776110067</v>
      </c>
      <c r="AN13" s="792">
        <f t="shared" si="6"/>
        <v>0.18797606093579977</v>
      </c>
      <c r="AO13" s="792">
        <f t="shared" si="7"/>
        <v>-1.1907487978016945E-2</v>
      </c>
      <c r="AP13" s="792">
        <f t="shared" si="12"/>
        <v>3.1760187529344938E-2</v>
      </c>
      <c r="AR13" s="76"/>
      <c r="AS13" s="76"/>
      <c r="AT13" s="76"/>
      <c r="AU13" s="76"/>
      <c r="AV13" s="76"/>
      <c r="AW13" s="76"/>
      <c r="AX13" s="76"/>
      <c r="AY13" s="76"/>
      <c r="AZ13" s="76"/>
    </row>
    <row r="14" spans="1:52" s="89" customFormat="1" ht="13.5" customHeight="1" x14ac:dyDescent="0.2">
      <c r="A14" s="462">
        <f>VLOOKUP(B14,Sheet1!$AQ$4:$AR$25,2,FALSE)</f>
        <v>0</v>
      </c>
      <c r="B14" s="95" t="str">
        <f>Sheet1!$K$8</f>
        <v>Hampshire</v>
      </c>
      <c r="C14" s="87"/>
      <c r="D14" s="96">
        <f>IF(Year1_Hampshire Year1_Referrals="","",Year1_Hampshire Year1_Referrals)</f>
        <v>16749</v>
      </c>
      <c r="E14" s="96">
        <f>IF(Year2_Hampshire Year2_Referrals="","",Year2_Hampshire Year2_Referrals)</f>
        <v>16666</v>
      </c>
      <c r="F14" s="103">
        <f>IF(Year3_Hampshire Year3_Referrals="","",Year3_Hampshire Year3_Referrals)</f>
        <v>19435</v>
      </c>
      <c r="G14" s="103">
        <f>IF(Year4_Hampshire Year4_Referrals="","",Year4_Hampshire Year4_Referrals)</f>
        <v>16115</v>
      </c>
      <c r="H14" s="97">
        <f>IF(Year5_Hampshire Year5_Referrals="","",Year5_Hampshire Year5_Referrals)</f>
        <v>18408</v>
      </c>
      <c r="I14" s="337">
        <f t="shared" si="8"/>
        <v>3.3163772140937756E-2</v>
      </c>
      <c r="J14" s="98"/>
      <c r="K14" s="99">
        <f>IF(ISNUMBER(D14),D14/Population!D14*10000,NA())</f>
        <v>594.99111900532853</v>
      </c>
      <c r="L14" s="99">
        <f>IF(ISNUMBER(E14),E14/Population!E14*10000,NA())</f>
        <v>591.20255409719766</v>
      </c>
      <c r="M14" s="99">
        <f>IF(ISNUMBER(F14),F14/Population!F14*10000,NA())</f>
        <v>687.23479490806221</v>
      </c>
      <c r="N14" s="99">
        <f>IF(ISNUMBER(G14),G14/Population!G14*10000,NA())</f>
        <v>568.83162725026466</v>
      </c>
      <c r="O14" s="100">
        <f>IF(ISNUMBER(H14),H14/Population!H14*10000,NA())</f>
        <v>648.16901408450701</v>
      </c>
      <c r="P14" s="101">
        <f t="shared" si="9"/>
        <v>648.16901408450701</v>
      </c>
      <c r="Q14" s="770">
        <f t="shared" si="0"/>
        <v>16</v>
      </c>
      <c r="R14" s="69"/>
      <c r="S14" s="333">
        <f>IDACI!C13</f>
        <v>10.100000000000001</v>
      </c>
      <c r="T14" s="334">
        <f t="shared" si="1"/>
        <v>436.07090174650284</v>
      </c>
      <c r="U14" s="335">
        <f t="shared" si="10"/>
        <v>212.09811233800417</v>
      </c>
      <c r="V14" s="124"/>
      <c r="W14" s="140"/>
      <c r="X14" s="149"/>
      <c r="Y14" s="71" t="str">
        <f t="shared" si="2"/>
        <v>Hampshire</v>
      </c>
      <c r="Z14" s="45">
        <f>IF(ISNUMBER($H14),IDACI!D13,0)</f>
        <v>249483</v>
      </c>
      <c r="AA14" s="45">
        <f>IF(ISNUMBER($H14),IDACI!E13,0)</f>
        <v>25197.783000000007</v>
      </c>
      <c r="AB14" s="202">
        <f>IF(ISNUMBER(D14),Population!D14,"")</f>
        <v>281500</v>
      </c>
      <c r="AC14" s="202">
        <f>IF(ISNUMBER(E14),Population!E14,"")</f>
        <v>281900</v>
      </c>
      <c r="AD14" s="202">
        <f>IF(ISNUMBER(F14),Population!F14,"")</f>
        <v>282800</v>
      </c>
      <c r="AE14" s="202">
        <f>IF(ISNUMBER(G14),Population!G14,"")</f>
        <v>283300</v>
      </c>
      <c r="AF14" s="202">
        <f>IF(ISNUMBER(H14),Population!H14,"")</f>
        <v>284000</v>
      </c>
      <c r="AG14" s="95" t="s">
        <v>6</v>
      </c>
      <c r="AH14" s="225">
        <f t="shared" si="3"/>
        <v>648.16901408450701</v>
      </c>
      <c r="AI14" s="203">
        <f t="shared" si="11"/>
        <v>16</v>
      </c>
      <c r="AJ14" s="199"/>
      <c r="AK14" s="156"/>
      <c r="AL14" s="792">
        <f t="shared" si="4"/>
        <v>-4.9555197325213442E-3</v>
      </c>
      <c r="AM14" s="792">
        <f t="shared" si="5"/>
        <v>0.16614664586583464</v>
      </c>
      <c r="AN14" s="792">
        <f t="shared" si="6"/>
        <v>-0.17082582968870594</v>
      </c>
      <c r="AO14" s="792">
        <f t="shared" si="7"/>
        <v>0.14228979211914367</v>
      </c>
      <c r="AP14" s="792">
        <f t="shared" si="12"/>
        <v>3.3163772140937756E-2</v>
      </c>
      <c r="AR14" s="76"/>
      <c r="AS14" s="76"/>
      <c r="AT14" s="76"/>
      <c r="AU14" s="76"/>
      <c r="AV14" s="76"/>
      <c r="AW14" s="76"/>
      <c r="AX14" s="76"/>
      <c r="AY14" s="76"/>
      <c r="AZ14" s="76"/>
    </row>
    <row r="15" spans="1:52" s="89" customFormat="1" ht="13.5" customHeight="1" x14ac:dyDescent="0.2">
      <c r="A15" s="462">
        <f>VLOOKUP(B15,Sheet1!$AQ$4:$AR$25,2,FALSE)</f>
        <v>0</v>
      </c>
      <c r="B15" s="95" t="str">
        <f>Sheet1!$K$9</f>
        <v>Isle of Wight</v>
      </c>
      <c r="C15" s="87"/>
      <c r="D15" s="96">
        <f>IF(Year1_Isle_of_Wight Year1_Referrals="","",Year1_Isle_of_Wight Year1_Referrals)</f>
        <v>2375</v>
      </c>
      <c r="E15" s="96">
        <f>IF(Year2_Isle_of_Wight Year2_Referrals="","",Year2_Isle_of_Wight Year2_Referrals)</f>
        <v>2389</v>
      </c>
      <c r="F15" s="96">
        <f>IF(Year3_Isle_of_Wight Year3_Referrals="","",Year3_Isle_of_Wight Year3_Referrals)</f>
        <v>2613</v>
      </c>
      <c r="G15" s="96">
        <f>IF(Year4_Isle_of_Wight Year4_Referrals="","",Year4_Isle_of_Wight Year4_Referrals)</f>
        <v>2212</v>
      </c>
      <c r="H15" s="97">
        <f>IF(Year5_Isle_of_Wight Year5_Referrals="","",Year5_Isle_of_Wight Year5_Referrals)</f>
        <v>2424</v>
      </c>
      <c r="I15" s="337">
        <f t="shared" si="8"/>
        <v>1.0508808412724367E-2</v>
      </c>
      <c r="J15" s="98"/>
      <c r="K15" s="99">
        <f>IF(ISNUMBER(D15),D15/Population!D15*10000,NA())</f>
        <v>931.37254901960785</v>
      </c>
      <c r="L15" s="99">
        <f>IF(ISNUMBER(E15),E15/Population!E15*10000,NA())</f>
        <v>944.26877470355737</v>
      </c>
      <c r="M15" s="99">
        <f>IF(ISNUMBER(F15),F15/Population!F15*10000,NA())</f>
        <v>1036.9047619047619</v>
      </c>
      <c r="N15" s="99">
        <f>IF(ISNUMBER(G15),G15/Population!G15*10000,NA())</f>
        <v>881.27490039840632</v>
      </c>
      <c r="O15" s="100">
        <f>IF(ISNUMBER(H15),H15/Population!H15*10000,NA())</f>
        <v>973.49397590361446</v>
      </c>
      <c r="P15" s="101">
        <f t="shared" si="9"/>
        <v>973.49397590361446</v>
      </c>
      <c r="Q15" s="770">
        <f t="shared" si="0"/>
        <v>19</v>
      </c>
      <c r="R15" s="69"/>
      <c r="S15" s="333">
        <f>IDACI!C14</f>
        <v>18</v>
      </c>
      <c r="T15" s="334">
        <f t="shared" si="1"/>
        <v>565.67431126883264</v>
      </c>
      <c r="U15" s="335">
        <f t="shared" si="10"/>
        <v>407.81966463478182</v>
      </c>
      <c r="V15" s="124"/>
      <c r="W15" s="140"/>
      <c r="X15" s="149"/>
      <c r="Y15" s="71" t="str">
        <f t="shared" si="2"/>
        <v>Isle of Wight</v>
      </c>
      <c r="Z15" s="45">
        <f>IF(ISNUMBER($H15),IDACI!D14,0)</f>
        <v>22123</v>
      </c>
      <c r="AA15" s="45">
        <f>IF(ISNUMBER($H15),IDACI!E14,0)</f>
        <v>3982.14</v>
      </c>
      <c r="AB15" s="202">
        <f>IF(ISNUMBER(D15),Population!D15,"")</f>
        <v>25500</v>
      </c>
      <c r="AC15" s="202">
        <f>IF(ISNUMBER(E15),Population!E15,"")</f>
        <v>25300</v>
      </c>
      <c r="AD15" s="202">
        <f>IF(ISNUMBER(F15),Population!F15,"")</f>
        <v>25200</v>
      </c>
      <c r="AE15" s="202">
        <f>IF(ISNUMBER(G15),Population!G15,"")</f>
        <v>25100</v>
      </c>
      <c r="AF15" s="202">
        <f>IF(ISNUMBER(H15),Population!H15,"")</f>
        <v>24900</v>
      </c>
      <c r="AG15" s="95" t="s">
        <v>1</v>
      </c>
      <c r="AH15" s="225">
        <f t="shared" si="3"/>
        <v>973.49397590361446</v>
      </c>
      <c r="AI15" s="203">
        <f t="shared" si="11"/>
        <v>19</v>
      </c>
      <c r="AJ15" s="199"/>
      <c r="AK15" s="156"/>
      <c r="AL15" s="792">
        <f t="shared" si="4"/>
        <v>5.8947368421052634E-3</v>
      </c>
      <c r="AM15" s="792">
        <f t="shared" si="5"/>
        <v>9.3763080786940137E-2</v>
      </c>
      <c r="AN15" s="792">
        <f t="shared" si="6"/>
        <v>-0.15346345197091465</v>
      </c>
      <c r="AO15" s="792">
        <f t="shared" si="7"/>
        <v>9.5840867992766726E-2</v>
      </c>
      <c r="AP15" s="792">
        <f t="shared" si="12"/>
        <v>1.0508808412724367E-2</v>
      </c>
      <c r="AR15" s="76"/>
      <c r="AS15" s="76"/>
      <c r="AT15" s="76"/>
      <c r="AU15" s="76"/>
      <c r="AV15" s="76"/>
      <c r="AW15" s="76"/>
      <c r="AX15" s="76"/>
      <c r="AY15" s="76"/>
      <c r="AZ15" s="76"/>
    </row>
    <row r="16" spans="1:52" s="89" customFormat="1" ht="13.5" customHeight="1" x14ac:dyDescent="0.2">
      <c r="A16" s="462">
        <f>VLOOKUP(B16,Sheet1!$AQ$4:$AR$25,2,FALSE)</f>
        <v>0</v>
      </c>
      <c r="B16" s="95" t="str">
        <f>Sheet1!$K$10</f>
        <v>Kent</v>
      </c>
      <c r="C16" s="87"/>
      <c r="D16" s="96">
        <f>IF(Year1_Kent Year1_Referrals="","",Year1_Kent Year1_Referrals)</f>
        <v>16529</v>
      </c>
      <c r="E16" s="96">
        <f>IF(Year2_Kent Year2_Referrals="","",Year2_Kent Year2_Referrals)</f>
        <v>15342</v>
      </c>
      <c r="F16" s="96">
        <f>IF(Year3_Kent Year3_Referrals="","",Year3_Kent Year3_Referrals)</f>
        <v>15805</v>
      </c>
      <c r="G16" s="96">
        <f>IF(Year4_Kent Year4_Referrals="","",Year4_Kent Year4_Referrals)</f>
        <v>19373</v>
      </c>
      <c r="H16" s="97">
        <f>IF(Year5_Kent Year5_Referrals="","",Year5_Kent Year5_Referrals)</f>
        <v>18283</v>
      </c>
      <c r="I16" s="337">
        <f t="shared" si="8"/>
        <v>3.1963222494533539E-2</v>
      </c>
      <c r="J16" s="98"/>
      <c r="K16" s="99">
        <f>IF(ISNUMBER(D16),D16/Population!D16*10000,NA())</f>
        <v>503.4724337496192</v>
      </c>
      <c r="L16" s="99">
        <f>IF(ISNUMBER(E16),E16/Population!E16*10000,NA())</f>
        <v>464.34624697336562</v>
      </c>
      <c r="M16" s="99">
        <f>IF(ISNUMBER(F16),F16/Population!F16*10000,NA())</f>
        <v>474.62462462462463</v>
      </c>
      <c r="N16" s="99">
        <f>IF(ISNUMBER(G16),G16/Population!G16*10000,NA())</f>
        <v>576.40583159773882</v>
      </c>
      <c r="O16" s="100">
        <f>IF(ISNUMBER(H16),H16/Population!H16*10000,NA())</f>
        <v>537.57718318141724</v>
      </c>
      <c r="P16" s="101">
        <f t="shared" si="9"/>
        <v>537.57718318141724</v>
      </c>
      <c r="Q16" s="770">
        <f t="shared" si="0"/>
        <v>10</v>
      </c>
      <c r="R16" s="69"/>
      <c r="S16" s="333">
        <f>IDACI!C15</f>
        <v>15.8</v>
      </c>
      <c r="T16" s="334">
        <f t="shared" si="1"/>
        <v>529.58222254109523</v>
      </c>
      <c r="U16" s="335">
        <f t="shared" si="10"/>
        <v>7.9949606403220059</v>
      </c>
      <c r="V16" s="124"/>
      <c r="W16" s="140"/>
      <c r="X16" s="149"/>
      <c r="Y16" s="71" t="str">
        <f t="shared" si="2"/>
        <v>Kent</v>
      </c>
      <c r="Z16" s="45">
        <f>IF(ISNUMBER($H16),IDACI!D15,0)</f>
        <v>291866</v>
      </c>
      <c r="AA16" s="45">
        <f>IF(ISNUMBER($H16),IDACI!E15,0)</f>
        <v>46114.828000000001</v>
      </c>
      <c r="AB16" s="202">
        <f>IF(ISNUMBER(D16),Population!D16,"")</f>
        <v>328300</v>
      </c>
      <c r="AC16" s="202">
        <f>IF(ISNUMBER(E16),Population!E16,"")</f>
        <v>330400</v>
      </c>
      <c r="AD16" s="202">
        <f>IF(ISNUMBER(F16),Population!F16,"")</f>
        <v>333000</v>
      </c>
      <c r="AE16" s="202">
        <f>IF(ISNUMBER(G16),Population!G16,"")</f>
        <v>336100</v>
      </c>
      <c r="AF16" s="202">
        <f>IF(ISNUMBER(H16),Population!H16,"")</f>
        <v>340100</v>
      </c>
      <c r="AG16" s="95" t="s">
        <v>9</v>
      </c>
      <c r="AH16" s="225">
        <f t="shared" si="3"/>
        <v>537.57718318141724</v>
      </c>
      <c r="AI16" s="203">
        <f t="shared" si="11"/>
        <v>10</v>
      </c>
      <c r="AJ16" s="199"/>
      <c r="AK16" s="156"/>
      <c r="AL16" s="792">
        <f t="shared" si="4"/>
        <v>-7.1813176840704221E-2</v>
      </c>
      <c r="AM16" s="792">
        <f t="shared" si="5"/>
        <v>3.0178594707339329E-2</v>
      </c>
      <c r="AN16" s="792">
        <f t="shared" si="6"/>
        <v>0.22575134451123063</v>
      </c>
      <c r="AO16" s="792">
        <f t="shared" si="7"/>
        <v>-5.6263872399731588E-2</v>
      </c>
      <c r="AP16" s="792">
        <f t="shared" si="12"/>
        <v>3.1963222494533539E-2</v>
      </c>
      <c r="AR16" s="76"/>
      <c r="AS16" s="76"/>
      <c r="AT16" s="76"/>
      <c r="AU16" s="76"/>
      <c r="AV16" s="76"/>
      <c r="AW16" s="76"/>
      <c r="AX16" s="76"/>
      <c r="AY16" s="76"/>
      <c r="AZ16" s="76"/>
    </row>
    <row r="17" spans="1:52" s="89" customFormat="1" ht="13.5" customHeight="1" x14ac:dyDescent="0.2">
      <c r="A17" s="462">
        <f>VLOOKUP(B17,Sheet1!$AQ$4:$AR$25,2,FALSE)</f>
        <v>0</v>
      </c>
      <c r="B17" s="95" t="str">
        <f>Sheet1!$K$11</f>
        <v>Medway</v>
      </c>
      <c r="C17" s="87"/>
      <c r="D17" s="96">
        <f>IF(Year1_Medway Year1_Referrals="","",Year1_Medway Year1_Referrals)</f>
        <v>3080</v>
      </c>
      <c r="E17" s="96">
        <f>IF(Year2_Medway Year2_Referrals="","",Year2_Medway Year2_Referrals)</f>
        <v>3368</v>
      </c>
      <c r="F17" s="96">
        <f>IF(Year3_Medway Year3_Referrals="","",Year3_Medway Year3_Referrals)</f>
        <v>2732</v>
      </c>
      <c r="G17" s="96">
        <f>IF(Year4_Medway Year4_Referrals="","",Year4_Medway Year4_Referrals)</f>
        <v>2612</v>
      </c>
      <c r="H17" s="97">
        <f>IF(Year5_Medway Year5_Referrals="","",Year5_Medway Year5_Referrals)</f>
        <v>4025</v>
      </c>
      <c r="I17" s="337">
        <f t="shared" si="8"/>
        <v>0.1004278254103039</v>
      </c>
      <c r="J17" s="98"/>
      <c r="K17" s="99">
        <f>IF(ISNUMBER(D17),D17/Population!D17*10000,NA())</f>
        <v>492.79999999999995</v>
      </c>
      <c r="L17" s="99">
        <f>IF(ISNUMBER(E17),E17/Population!E17*10000,NA())</f>
        <v>532.91139240506334</v>
      </c>
      <c r="M17" s="99">
        <f>IF(ISNUMBER(F17),F17/Population!F17*10000,NA())</f>
        <v>428.88540031397173</v>
      </c>
      <c r="N17" s="99">
        <f>IF(ISNUMBER(G17),G17/Population!G17*10000,NA())</f>
        <v>408.76369327073553</v>
      </c>
      <c r="O17" s="100">
        <f>IF(ISNUMBER(H17),H17/Population!H17*10000,NA())</f>
        <v>625</v>
      </c>
      <c r="P17" s="101">
        <f t="shared" si="9"/>
        <v>625</v>
      </c>
      <c r="Q17" s="770">
        <f t="shared" si="0"/>
        <v>13</v>
      </c>
      <c r="R17" s="69"/>
      <c r="S17" s="333">
        <f>IDACI!C16</f>
        <v>18.899999999999999</v>
      </c>
      <c r="T17" s="334">
        <f t="shared" si="1"/>
        <v>580.43925665745246</v>
      </c>
      <c r="U17" s="335">
        <f t="shared" si="10"/>
        <v>44.560743342547539</v>
      </c>
      <c r="V17" s="124"/>
      <c r="W17" s="140"/>
      <c r="X17" s="149"/>
      <c r="Y17" s="71" t="str">
        <f t="shared" si="2"/>
        <v>Medway</v>
      </c>
      <c r="Z17" s="45">
        <f>IF(ISNUMBER($H17),IDACI!D16,0)</f>
        <v>55993</v>
      </c>
      <c r="AA17" s="45">
        <f>IF(ISNUMBER($H17),IDACI!E16,0)</f>
        <v>10582.676999999998</v>
      </c>
      <c r="AB17" s="202">
        <f>IF(ISNUMBER(D17),Population!D17,"")</f>
        <v>62500</v>
      </c>
      <c r="AC17" s="202">
        <f>IF(ISNUMBER(E17),Population!E17,"")</f>
        <v>63200</v>
      </c>
      <c r="AD17" s="202">
        <f>IF(ISNUMBER(F17),Population!F17,"")</f>
        <v>63700</v>
      </c>
      <c r="AE17" s="202">
        <f>IF(ISNUMBER(G17),Population!G17,"")</f>
        <v>63900</v>
      </c>
      <c r="AF17" s="202">
        <f>IF(ISNUMBER(H17),Population!H17,"")</f>
        <v>64400</v>
      </c>
      <c r="AG17" s="95" t="s">
        <v>2</v>
      </c>
      <c r="AH17" s="225">
        <f t="shared" si="3"/>
        <v>625</v>
      </c>
      <c r="AI17" s="203">
        <f t="shared" si="11"/>
        <v>13</v>
      </c>
      <c r="AJ17" s="199"/>
      <c r="AK17" s="156"/>
      <c r="AL17" s="792">
        <f t="shared" si="4"/>
        <v>9.350649350649351E-2</v>
      </c>
      <c r="AM17" s="792">
        <f t="shared" si="5"/>
        <v>-0.18883610451306412</v>
      </c>
      <c r="AN17" s="792">
        <f t="shared" si="6"/>
        <v>-4.3923865300146414E-2</v>
      </c>
      <c r="AO17" s="792">
        <f t="shared" si="7"/>
        <v>0.54096477794793263</v>
      </c>
      <c r="AP17" s="792">
        <f t="shared" si="12"/>
        <v>0.1004278254103039</v>
      </c>
      <c r="AR17" s="76"/>
      <c r="AS17" s="76"/>
      <c r="AT17" s="76"/>
      <c r="AU17" s="76"/>
      <c r="AV17" s="76"/>
      <c r="AW17" s="76"/>
      <c r="AX17" s="76"/>
      <c r="AY17" s="76"/>
      <c r="AZ17" s="76"/>
    </row>
    <row r="18" spans="1:52" s="89" customFormat="1" ht="13.5" customHeight="1" x14ac:dyDescent="0.2">
      <c r="A18" s="462">
        <f>VLOOKUP(B18,Sheet1!$AQ$4:$AR$25,2,FALSE)</f>
        <v>0</v>
      </c>
      <c r="B18" s="95" t="str">
        <f>Sheet1!$K$12</f>
        <v>Milton Keynes</v>
      </c>
      <c r="C18" s="87"/>
      <c r="D18" s="96">
        <f>IF(Year1_Milton_Keynes Year1_Referrals="","",Year1_Milton_Keynes Year1_Referrals)</f>
        <v>2569</v>
      </c>
      <c r="E18" s="96">
        <f>IF(Year2_Milton_Keynes Year2_Referrals="","",Year2_Milton_Keynes Year2_Referrals)</f>
        <v>2769</v>
      </c>
      <c r="F18" s="96">
        <f>IF(Year3_Milton_Keynes Year3_Referrals="","",Year3_Milton_Keynes Year3_Referrals)</f>
        <v>3083</v>
      </c>
      <c r="G18" s="96">
        <f>IF(Year4_Milton_Keynes Year4_Referrals="","",Year4_Milton_Keynes Year4_Referrals)</f>
        <v>2359</v>
      </c>
      <c r="H18" s="97">
        <f>IF(Year5_Milton_Keynes Year5_Referrals="","",Year5_Milton_Keynes Year5_Referrals)</f>
        <v>2717</v>
      </c>
      <c r="I18" s="337">
        <f t="shared" si="8"/>
        <v>2.7043166065081239E-2</v>
      </c>
      <c r="J18" s="98"/>
      <c r="K18" s="99">
        <f>IF(ISNUMBER(D18),D18/Population!D18*10000,NA())</f>
        <v>394.01840490797548</v>
      </c>
      <c r="L18" s="99">
        <f>IF(ISNUMBER(E18),E18/Population!E18*10000,NA())</f>
        <v>418.91074130105898</v>
      </c>
      <c r="M18" s="99">
        <f>IF(ISNUMBER(F18),F18/Population!F18*10000,NA())</f>
        <v>459.46348733233981</v>
      </c>
      <c r="N18" s="99">
        <f>IF(ISNUMBER(G18),G18/Population!G18*10000,NA())</f>
        <v>348.96449704142009</v>
      </c>
      <c r="O18" s="100">
        <f>IF(ISNUMBER(H18),H18/Population!H18*10000,NA())</f>
        <v>397.80380673499269</v>
      </c>
      <c r="P18" s="101">
        <f t="shared" si="9"/>
        <v>397.80380673499269</v>
      </c>
      <c r="Q18" s="770">
        <f t="shared" si="0"/>
        <v>2</v>
      </c>
      <c r="R18" s="69"/>
      <c r="S18" s="333">
        <f>IDACI!C17</f>
        <v>15</v>
      </c>
      <c r="T18" s="334">
        <f t="shared" si="1"/>
        <v>516.45782664009971</v>
      </c>
      <c r="U18" s="335">
        <f t="shared" si="10"/>
        <v>-118.65401990510702</v>
      </c>
      <c r="V18" s="124"/>
      <c r="W18" s="140"/>
      <c r="X18" s="149"/>
      <c r="Y18" s="71" t="str">
        <f t="shared" si="2"/>
        <v>Milton Keynes</v>
      </c>
      <c r="Z18" s="45">
        <f>IF(ISNUMBER($H18),IDACI!D17,0)</f>
        <v>59903</v>
      </c>
      <c r="AA18" s="45">
        <f>IF(ISNUMBER($H18),IDACI!E17,0)</f>
        <v>8985.4499999999989</v>
      </c>
      <c r="AB18" s="202">
        <f>IF(ISNUMBER(D18),Population!D18,"")</f>
        <v>65200</v>
      </c>
      <c r="AC18" s="202">
        <f>IF(ISNUMBER(E18),Population!E18,"")</f>
        <v>66100</v>
      </c>
      <c r="AD18" s="202">
        <f>IF(ISNUMBER(F18),Population!F18,"")</f>
        <v>67100</v>
      </c>
      <c r="AE18" s="202">
        <f>IF(ISNUMBER(G18),Population!G18,"")</f>
        <v>67600</v>
      </c>
      <c r="AF18" s="202">
        <f>IF(ISNUMBER(H18),Population!H18,"")</f>
        <v>68300</v>
      </c>
      <c r="AG18" s="95" t="s">
        <v>10</v>
      </c>
      <c r="AH18" s="225">
        <f t="shared" si="3"/>
        <v>397.80380673499269</v>
      </c>
      <c r="AI18" s="203">
        <f t="shared" si="11"/>
        <v>2</v>
      </c>
      <c r="AJ18" s="199"/>
      <c r="AK18" s="156"/>
      <c r="AL18" s="792">
        <f t="shared" si="4"/>
        <v>7.7851304009342162E-2</v>
      </c>
      <c r="AM18" s="792">
        <f t="shared" si="5"/>
        <v>0.11339833875045142</v>
      </c>
      <c r="AN18" s="792">
        <f t="shared" si="6"/>
        <v>-0.23483619850794679</v>
      </c>
      <c r="AO18" s="792">
        <f t="shared" si="7"/>
        <v>0.15175922000847816</v>
      </c>
      <c r="AP18" s="792">
        <f t="shared" si="12"/>
        <v>2.7043166065081239E-2</v>
      </c>
      <c r="AR18" s="76"/>
      <c r="AS18" s="76"/>
      <c r="AT18" s="76"/>
      <c r="AU18" s="76"/>
      <c r="AV18" s="76"/>
      <c r="AW18" s="76"/>
      <c r="AX18" s="76"/>
      <c r="AY18" s="76"/>
      <c r="AZ18" s="76"/>
    </row>
    <row r="19" spans="1:52" s="89" customFormat="1" ht="13.5" customHeight="1" x14ac:dyDescent="0.2">
      <c r="A19" s="462">
        <f>VLOOKUP(B19,Sheet1!$AQ$4:$AR$25,2,FALSE)</f>
        <v>0</v>
      </c>
      <c r="B19" s="95" t="str">
        <f>Sheet1!$K$13</f>
        <v>Oxfordshire</v>
      </c>
      <c r="C19" s="87"/>
      <c r="D19" s="96">
        <f>IF(Year1_Oxfordshire Year1_Referrals="","",Year1_Oxfordshire Year1_Referrals)</f>
        <v>5663</v>
      </c>
      <c r="E19" s="96">
        <f>IF(Year2_Oxfordshire Year2_Referrals="","",Year2_Oxfordshire Year2_Referrals)</f>
        <v>6750</v>
      </c>
      <c r="F19" s="96">
        <f>IF(Year3_Oxfordshire Year3_Referrals="","",Year3_Oxfordshire Year3_Referrals)</f>
        <v>7066</v>
      </c>
      <c r="G19" s="96">
        <f>IF(Year4_Oxfordshire Year4_Referrals="","",Year4_Oxfordshire Year4_Referrals)</f>
        <v>6814</v>
      </c>
      <c r="H19" s="97">
        <f>IF(Year5_Oxfordshire Year5_Referrals="","",Year5_Oxfordshire Year5_Referrals)</f>
        <v>6779</v>
      </c>
      <c r="I19" s="337">
        <f t="shared" si="8"/>
        <v>4.9490580031764056E-2</v>
      </c>
      <c r="J19" s="98"/>
      <c r="K19" s="99">
        <f>IF(ISNUMBER(D19),D19/Population!D19*10000,NA())</f>
        <v>401.06232294617564</v>
      </c>
      <c r="L19" s="99">
        <f>IF(ISNUMBER(E19),E19/Population!E19*10000,NA())</f>
        <v>476.02256699576873</v>
      </c>
      <c r="M19" s="99">
        <f>IF(ISNUMBER(F19),F19/Population!F19*10000,NA())</f>
        <v>494.47165850244926</v>
      </c>
      <c r="N19" s="99">
        <f>IF(ISNUMBER(G19),G19/Population!G19*10000,NA())</f>
        <v>475.17433751743374</v>
      </c>
      <c r="O19" s="100">
        <f>IF(ISNUMBER(H19),H19/Population!H19*10000,NA())</f>
        <v>468.16298342541438</v>
      </c>
      <c r="P19" s="101">
        <f t="shared" si="9"/>
        <v>468.16298342541438</v>
      </c>
      <c r="Q19" s="770">
        <f t="shared" si="0"/>
        <v>7</v>
      </c>
      <c r="R19" s="69"/>
      <c r="S19" s="333">
        <f>IDACI!C18</f>
        <v>10.100000000000001</v>
      </c>
      <c r="T19" s="334">
        <f t="shared" si="1"/>
        <v>436.07090174650284</v>
      </c>
      <c r="U19" s="335">
        <f t="shared" si="10"/>
        <v>32.092081678911541</v>
      </c>
      <c r="V19" s="124"/>
      <c r="W19" s="140"/>
      <c r="X19" s="149"/>
      <c r="Y19" s="71" t="str">
        <f t="shared" si="2"/>
        <v>Oxfordshire</v>
      </c>
      <c r="Z19" s="45">
        <f>IF(ISNUMBER($H19),IDACI!D18,0)</f>
        <v>126119</v>
      </c>
      <c r="AA19" s="45">
        <f>IF(ISNUMBER($H19),IDACI!E18,0)</f>
        <v>12738.019000000002</v>
      </c>
      <c r="AB19" s="202">
        <f>IF(ISNUMBER(D19),Population!D19,"")</f>
        <v>141200</v>
      </c>
      <c r="AC19" s="202">
        <f>IF(ISNUMBER(E19),Population!E19,"")</f>
        <v>141800</v>
      </c>
      <c r="AD19" s="202">
        <f>IF(ISNUMBER(F19),Population!F19,"")</f>
        <v>142900</v>
      </c>
      <c r="AE19" s="202">
        <f>IF(ISNUMBER(G19),Population!G19,"")</f>
        <v>143400</v>
      </c>
      <c r="AF19" s="202">
        <f>IF(ISNUMBER(H19),Population!H19,"")</f>
        <v>144800</v>
      </c>
      <c r="AG19" s="95" t="s">
        <v>11</v>
      </c>
      <c r="AH19" s="225">
        <f t="shared" si="3"/>
        <v>468.16298342541438</v>
      </c>
      <c r="AI19" s="203">
        <f t="shared" si="11"/>
        <v>7</v>
      </c>
      <c r="AJ19" s="199"/>
      <c r="AK19" s="156"/>
      <c r="AL19" s="792">
        <f t="shared" si="4"/>
        <v>0.19194773088469008</v>
      </c>
      <c r="AM19" s="792">
        <f t="shared" si="5"/>
        <v>4.6814814814814816E-2</v>
      </c>
      <c r="AN19" s="792">
        <f t="shared" si="6"/>
        <v>-3.5663741862439854E-2</v>
      </c>
      <c r="AO19" s="792">
        <f t="shared" si="7"/>
        <v>-5.1364837100088051E-3</v>
      </c>
      <c r="AP19" s="792">
        <f t="shared" si="12"/>
        <v>4.9490580031764056E-2</v>
      </c>
      <c r="AR19" s="76"/>
      <c r="AS19" s="76"/>
      <c r="AT19" s="76"/>
      <c r="AU19" s="76"/>
      <c r="AV19" s="76"/>
      <c r="AW19" s="76"/>
      <c r="AX19" s="76"/>
      <c r="AY19" s="76"/>
      <c r="AZ19" s="76"/>
    </row>
    <row r="20" spans="1:52" s="89" customFormat="1" ht="13.5" customHeight="1" x14ac:dyDescent="0.2">
      <c r="A20" s="462">
        <f>VLOOKUP(B20,Sheet1!$AQ$4:$AR$25,2,FALSE)</f>
        <v>0</v>
      </c>
      <c r="B20" s="95" t="str">
        <f>Sheet1!$K$14</f>
        <v>Portsmouth</v>
      </c>
      <c r="C20" s="87"/>
      <c r="D20" s="96">
        <f>IF(Year1_Portsmouth Year1_Referrals="","",Year1_Portsmouth Year1_Referrals)</f>
        <v>1921</v>
      </c>
      <c r="E20" s="96">
        <f>IF(Year2_Portsmouth Year2_Referrals="","",Year2_Portsmouth Year2_Referrals)</f>
        <v>2093</v>
      </c>
      <c r="F20" s="96">
        <f>IF(Year3_Portsmouth Year3_Referrals="","",Year3_Portsmouth Year3_Referrals)</f>
        <v>2487</v>
      </c>
      <c r="G20" s="96">
        <f>IF(Year4_Portsmouth Year4_Referrals="","",Year4_Portsmouth Year4_Referrals)</f>
        <v>2845</v>
      </c>
      <c r="H20" s="97">
        <f>IF(Year5_Portsmouth Year5_Referrals="","",Year5_Portsmouth Year5_Referrals)</f>
        <v>2844</v>
      </c>
      <c r="I20" s="337">
        <f t="shared" si="8"/>
        <v>0.10534506855692177</v>
      </c>
      <c r="J20" s="98"/>
      <c r="K20" s="99">
        <f>IF(ISNUMBER(D20),D20/Population!D20*10000,NA())</f>
        <v>442.62672811059912</v>
      </c>
      <c r="L20" s="99">
        <f>IF(ISNUMBER(E20),E20/Population!E20*10000,NA())</f>
        <v>477.85388127853878</v>
      </c>
      <c r="M20" s="99">
        <f>IF(ISNUMBER(F20),F20/Population!F20*10000,NA())</f>
        <v>565.22727272727275</v>
      </c>
      <c r="N20" s="99">
        <f>IF(ISNUMBER(G20),G20/Population!G20*10000,NA())</f>
        <v>643.66515837104066</v>
      </c>
      <c r="O20" s="100">
        <f>IF(ISNUMBER(H20),H20/Population!H20*10000,NA())</f>
        <v>646.36363636363626</v>
      </c>
      <c r="P20" s="101">
        <f t="shared" si="9"/>
        <v>646.36363636363626</v>
      </c>
      <c r="Q20" s="770">
        <f t="shared" si="0"/>
        <v>15</v>
      </c>
      <c r="R20" s="69"/>
      <c r="S20" s="333">
        <f>IDACI!C19</f>
        <v>20.200000000000003</v>
      </c>
      <c r="T20" s="334">
        <f t="shared" si="1"/>
        <v>601.76639999657004</v>
      </c>
      <c r="U20" s="335">
        <f t="shared" si="10"/>
        <v>44.597236367066216</v>
      </c>
      <c r="V20" s="124"/>
      <c r="W20" s="140"/>
      <c r="X20" s="149"/>
      <c r="Y20" s="71" t="str">
        <f t="shared" si="2"/>
        <v>Portsmouth</v>
      </c>
      <c r="Z20" s="45">
        <f>IF(ISNUMBER($H20),IDACI!D19,0)</f>
        <v>39325</v>
      </c>
      <c r="AA20" s="45">
        <f>IF(ISNUMBER($H20),IDACI!E19,0)</f>
        <v>7943.6500000000015</v>
      </c>
      <c r="AB20" s="202">
        <f>IF(ISNUMBER(D20),Population!D20,"")</f>
        <v>43400</v>
      </c>
      <c r="AC20" s="202">
        <f>IF(ISNUMBER(E20),Population!E20,"")</f>
        <v>43800</v>
      </c>
      <c r="AD20" s="202">
        <f>IF(ISNUMBER(F20),Population!F20,"")</f>
        <v>44000</v>
      </c>
      <c r="AE20" s="202">
        <f>IF(ISNUMBER(G20),Population!G20,"")</f>
        <v>44200</v>
      </c>
      <c r="AF20" s="202">
        <f>IF(ISNUMBER(H20),Population!H20,"")</f>
        <v>44000</v>
      </c>
      <c r="AG20" s="95" t="s">
        <v>12</v>
      </c>
      <c r="AH20" s="225">
        <f t="shared" si="3"/>
        <v>646.36363636363626</v>
      </c>
      <c r="AI20" s="203">
        <f t="shared" si="11"/>
        <v>15</v>
      </c>
      <c r="AJ20" s="199"/>
      <c r="AK20" s="156"/>
      <c r="AL20" s="792">
        <f t="shared" si="4"/>
        <v>8.9536699635606454E-2</v>
      </c>
      <c r="AM20" s="792">
        <f t="shared" si="5"/>
        <v>0.18824653607262304</v>
      </c>
      <c r="AN20" s="792">
        <f t="shared" si="6"/>
        <v>0.14394853236831523</v>
      </c>
      <c r="AO20" s="792">
        <f t="shared" si="7"/>
        <v>-3.5149384885764501E-4</v>
      </c>
      <c r="AP20" s="792">
        <f t="shared" si="12"/>
        <v>0.10534506855692177</v>
      </c>
      <c r="AR20" s="76"/>
      <c r="AS20" s="76"/>
      <c r="AT20" s="76"/>
      <c r="AU20" s="76"/>
      <c r="AV20" s="76"/>
      <c r="AW20" s="76"/>
      <c r="AX20" s="76"/>
      <c r="AY20" s="76"/>
      <c r="AZ20" s="76"/>
    </row>
    <row r="21" spans="1:52" s="89" customFormat="1" ht="13.5" customHeight="1" x14ac:dyDescent="0.2">
      <c r="A21" s="462">
        <f>VLOOKUP(B21,Sheet1!$AQ$4:$AR$25,2,FALSE)</f>
        <v>0</v>
      </c>
      <c r="B21" s="95" t="str">
        <f>Sheet1!$K$15</f>
        <v>Reading</v>
      </c>
      <c r="C21" s="87"/>
      <c r="D21" s="96">
        <f>IF(Year1_Reading Year1_Referrals="","",Year1_Reading Year1_Referrals)</f>
        <v>1673</v>
      </c>
      <c r="E21" s="96">
        <f>IF(Year2_Reading Year2_Referrals="","",Year2_Reading Year2_Referrals)</f>
        <v>3078</v>
      </c>
      <c r="F21" s="96">
        <f>IF(Year3_Reading Year3_Referrals="","",Year3_Reading Year3_Referrals)</f>
        <v>3267</v>
      </c>
      <c r="G21" s="96">
        <f>IF(Year4_Reading Year4_Referrals="","",Year4_Reading Year4_Referrals)</f>
        <v>2628</v>
      </c>
      <c r="H21" s="97">
        <f>IF(Year5_Reading Year5_Referrals="","",Year5_Reading Year5_Referrals)</f>
        <v>2739</v>
      </c>
      <c r="I21" s="337">
        <f t="shared" si="8"/>
        <v>0.18696434800773559</v>
      </c>
      <c r="J21" s="98"/>
      <c r="K21" s="99">
        <f>IF(ISNUMBER(D21),D21/Population!D21*10000,NA())</f>
        <v>466.01671309192204</v>
      </c>
      <c r="L21" s="99">
        <f>IF(ISNUMBER(E21),E21/Population!E21*10000,NA())</f>
        <v>845.60439560439556</v>
      </c>
      <c r="M21" s="99">
        <f>IF(ISNUMBER(F21),F21/Population!F21*10000,NA())</f>
        <v>892.62295081967216</v>
      </c>
      <c r="N21" s="99">
        <f>IF(ISNUMBER(G21),G21/Population!G21*10000,NA())</f>
        <v>708.35579514824803</v>
      </c>
      <c r="O21" s="100">
        <f>IF(ISNUMBER(H21),H21/Population!H21*10000,NA())</f>
        <v>738.27493261455527</v>
      </c>
      <c r="P21" s="101">
        <f t="shared" si="9"/>
        <v>738.27493261455527</v>
      </c>
      <c r="Q21" s="770">
        <f t="shared" si="0"/>
        <v>17</v>
      </c>
      <c r="R21" s="69"/>
      <c r="S21" s="333">
        <f>IDACI!C20</f>
        <v>16</v>
      </c>
      <c r="T21" s="334">
        <f t="shared" si="1"/>
        <v>532.86332151634406</v>
      </c>
      <c r="U21" s="335">
        <f t="shared" si="10"/>
        <v>205.41161109821121</v>
      </c>
      <c r="V21" s="124"/>
      <c r="W21" s="140"/>
      <c r="X21" s="149"/>
      <c r="Y21" s="71" t="str">
        <f t="shared" si="2"/>
        <v>Reading</v>
      </c>
      <c r="Z21" s="45">
        <f>IF(ISNUMBER($H21),IDACI!D20,0)</f>
        <v>33203</v>
      </c>
      <c r="AA21" s="45">
        <f>IF(ISNUMBER($H21),IDACI!E20,0)</f>
        <v>5312.4800000000005</v>
      </c>
      <c r="AB21" s="202">
        <f>IF(ISNUMBER(D21),Population!D21,"")</f>
        <v>35900</v>
      </c>
      <c r="AC21" s="202">
        <f>IF(ISNUMBER(E21),Population!E21,"")</f>
        <v>36400</v>
      </c>
      <c r="AD21" s="202">
        <f>IF(ISNUMBER(F21),Population!F21,"")</f>
        <v>36600</v>
      </c>
      <c r="AE21" s="202">
        <f>IF(ISNUMBER(G21),Population!G21,"")</f>
        <v>37100</v>
      </c>
      <c r="AF21" s="202">
        <f>IF(ISNUMBER(H21),Population!H21,"")</f>
        <v>37100</v>
      </c>
      <c r="AG21" s="95" t="s">
        <v>3</v>
      </c>
      <c r="AH21" s="225">
        <f t="shared" si="3"/>
        <v>738.27493261455527</v>
      </c>
      <c r="AI21" s="203">
        <f t="shared" si="11"/>
        <v>17</v>
      </c>
      <c r="AJ21" s="199"/>
      <c r="AK21" s="156"/>
      <c r="AL21" s="792">
        <f t="shared" si="4"/>
        <v>0.83980872683801555</v>
      </c>
      <c r="AM21" s="792">
        <f t="shared" si="5"/>
        <v>6.1403508771929821E-2</v>
      </c>
      <c r="AN21" s="792">
        <f t="shared" si="6"/>
        <v>-0.19559228650137742</v>
      </c>
      <c r="AO21" s="792">
        <f t="shared" si="7"/>
        <v>4.2237442922374427E-2</v>
      </c>
      <c r="AP21" s="792">
        <f t="shared" si="12"/>
        <v>0.18696434800773559</v>
      </c>
      <c r="AR21" s="76"/>
      <c r="AS21" s="76"/>
      <c r="AT21" s="76"/>
      <c r="AU21" s="76"/>
      <c r="AV21" s="76"/>
      <c r="AW21" s="76"/>
      <c r="AX21" s="76"/>
      <c r="AY21" s="76"/>
      <c r="AZ21" s="76"/>
    </row>
    <row r="22" spans="1:52" s="89" customFormat="1" ht="13.5" customHeight="1" x14ac:dyDescent="0.2">
      <c r="A22" s="462">
        <f>VLOOKUP(B22,Sheet1!$AQ$4:$AR$25,2,FALSE)</f>
        <v>0</v>
      </c>
      <c r="B22" s="95" t="str">
        <f>Sheet1!$K$16</f>
        <v>Slough</v>
      </c>
      <c r="C22" s="87"/>
      <c r="D22" s="96">
        <f>IF(Year1_Slough Year1_Referrals="","",Year1_Slough Year1_Referrals)</f>
        <v>2282</v>
      </c>
      <c r="E22" s="96">
        <f>IF(Year2_Slough Year2_Referrals="","",Year2_Slough Year2_Referrals)</f>
        <v>2774</v>
      </c>
      <c r="F22" s="96">
        <f>IF(Year3_Slough Year3_Referrals="","",Year3_Slough Year3_Referrals)</f>
        <v>5688</v>
      </c>
      <c r="G22" s="96">
        <f>IF(Year4_Slough Year4_Referrals="","",Year4_Slough Year4_Referrals)</f>
        <v>1591</v>
      </c>
      <c r="H22" s="97">
        <f>IF(Year5_Slough Year5_Referrals="","",Year5_Slough Year5_Referrals)</f>
        <v>1985</v>
      </c>
      <c r="I22" s="337">
        <f t="shared" si="8"/>
        <v>0.19835591336113034</v>
      </c>
      <c r="J22" s="98"/>
      <c r="K22" s="99">
        <f>IF(ISNUMBER(D22),D22/Population!D22*10000,NA())</f>
        <v>571.92982456140351</v>
      </c>
      <c r="L22" s="99">
        <f>IF(ISNUMBER(E22),E22/Population!E22*10000,NA())</f>
        <v>683.25123152709364</v>
      </c>
      <c r="M22" s="99">
        <f>IF(ISNUMBER(F22),F22/Population!F22*10000,NA())</f>
        <v>1373.913043478261</v>
      </c>
      <c r="N22" s="99">
        <f>IF(ISNUMBER(G22),G22/Population!G22*10000,NA())</f>
        <v>377.01421800947867</v>
      </c>
      <c r="O22" s="100">
        <f>IF(ISNUMBER(H22),H22/Population!H22*10000,NA())</f>
        <v>464.87119437939111</v>
      </c>
      <c r="P22" s="101">
        <f t="shared" si="9"/>
        <v>464.87119437939111</v>
      </c>
      <c r="Q22" s="770">
        <f t="shared" si="0"/>
        <v>6</v>
      </c>
      <c r="R22" s="69"/>
      <c r="S22" s="333">
        <f>IDACI!C21</f>
        <v>14.7</v>
      </c>
      <c r="T22" s="334">
        <f t="shared" si="1"/>
        <v>511.53617817722647</v>
      </c>
      <c r="U22" s="335">
        <f t="shared" si="10"/>
        <v>-46.664983797835362</v>
      </c>
      <c r="V22" s="124"/>
      <c r="W22" s="140"/>
      <c r="X22" s="149"/>
      <c r="Y22" s="71" t="str">
        <f t="shared" si="2"/>
        <v>Slough</v>
      </c>
      <c r="Z22" s="45">
        <f>IF(ISNUMBER($H22),IDACI!D21,0)</f>
        <v>37031</v>
      </c>
      <c r="AA22" s="45">
        <f>IF(ISNUMBER($H22),IDACI!E21,0)</f>
        <v>5443.5569999999998</v>
      </c>
      <c r="AB22" s="202">
        <f>IF(ISNUMBER(D22),Population!D22,"")</f>
        <v>39900</v>
      </c>
      <c r="AC22" s="202">
        <f>IF(ISNUMBER(E22),Population!E22,"")</f>
        <v>40600</v>
      </c>
      <c r="AD22" s="202">
        <f>IF(ISNUMBER(F22),Population!F22,"")</f>
        <v>41400</v>
      </c>
      <c r="AE22" s="202">
        <f>IF(ISNUMBER(G22),Population!G22,"")</f>
        <v>42200</v>
      </c>
      <c r="AF22" s="202">
        <f>IF(ISNUMBER(H22),Population!H22,"")</f>
        <v>42700</v>
      </c>
      <c r="AG22" s="95" t="s">
        <v>13</v>
      </c>
      <c r="AH22" s="225">
        <f t="shared" si="3"/>
        <v>464.87119437939111</v>
      </c>
      <c r="AI22" s="203">
        <f t="shared" si="11"/>
        <v>6</v>
      </c>
      <c r="AJ22" s="199"/>
      <c r="AK22" s="156"/>
      <c r="AL22" s="792">
        <f t="shared" si="4"/>
        <v>0.21560035056967572</v>
      </c>
      <c r="AM22" s="792">
        <f t="shared" si="5"/>
        <v>1.0504686373467917</v>
      </c>
      <c r="AN22" s="792">
        <f t="shared" si="6"/>
        <v>-0.72028832630098449</v>
      </c>
      <c r="AO22" s="792">
        <f t="shared" si="7"/>
        <v>0.24764299182903834</v>
      </c>
      <c r="AP22" s="792">
        <f t="shared" si="12"/>
        <v>0.19835591336113034</v>
      </c>
      <c r="AR22" s="76"/>
      <c r="AS22" s="76"/>
      <c r="AT22" s="76"/>
      <c r="AU22" s="76"/>
      <c r="AV22" s="76"/>
      <c r="AW22" s="76"/>
      <c r="AX22" s="76"/>
      <c r="AY22" s="76"/>
      <c r="AZ22" s="76"/>
    </row>
    <row r="23" spans="1:52" s="89" customFormat="1" ht="13.5" customHeight="1" x14ac:dyDescent="0.2">
      <c r="A23" s="462">
        <f>VLOOKUP(B23,Sheet1!$AQ$4:$AR$25,2,FALSE)</f>
        <v>0</v>
      </c>
      <c r="B23" s="95" t="str">
        <f>Sheet1!$K$17</f>
        <v>Somerset</v>
      </c>
      <c r="C23" s="87"/>
      <c r="D23" s="96">
        <f>IF(Year1_Somerset Year1_Referrals="","",Year1_Somerset Year1_Referrals)</f>
        <v>5591</v>
      </c>
      <c r="E23" s="96">
        <f>IF(Year2_Somerset Year2_Referrals="","",Year2_Somerset Year2_Referrals)</f>
        <v>4133</v>
      </c>
      <c r="F23" s="96">
        <f>IF(Year3_Somerset Year3_Referrals="","",Year3_Somerset Year3_Referrals)</f>
        <v>4777</v>
      </c>
      <c r="G23" s="96">
        <f>IF(Year4_Somerset Year4_Referrals="","",Year4_Somerset Year4_Referrals)</f>
        <v>5165</v>
      </c>
      <c r="H23" s="97">
        <f>IF(Year5_Somerset Year5_Referrals="","",Year5_Somerset Year5_Referrals)</f>
        <v>3830</v>
      </c>
      <c r="I23" s="337">
        <f t="shared" si="8"/>
        <v>-7.0551294906877907E-2</v>
      </c>
      <c r="J23" s="98"/>
      <c r="K23" s="99">
        <f>IF(ISNUMBER(D23),D23/Population!D23*10000,NA())</f>
        <v>513.40679522497703</v>
      </c>
      <c r="L23" s="99">
        <f>IF(ISNUMBER(E23),E23/Population!E23*10000,NA())</f>
        <v>378.47985347985349</v>
      </c>
      <c r="M23" s="99">
        <f>IF(ISNUMBER(F23),F23/Population!F23*10000,NA())</f>
        <v>435.46034639927075</v>
      </c>
      <c r="N23" s="99">
        <f>IF(ISNUMBER(G23),G23/Population!G23*10000,NA())</f>
        <v>469.11898274296095</v>
      </c>
      <c r="O23" s="100">
        <f>IF(ISNUMBER(H23),H23/Population!H23*10000,NA())</f>
        <v>345.98012646793137</v>
      </c>
      <c r="P23" s="101">
        <f t="shared" si="9"/>
        <v>345.98012646793137</v>
      </c>
      <c r="Q23" s="766" t="str">
        <f t="shared" si="0"/>
        <v>--</v>
      </c>
      <c r="R23" s="69"/>
      <c r="S23" s="333">
        <f>IDACI!C22</f>
        <v>13.600000000000001</v>
      </c>
      <c r="T23" s="334">
        <f t="shared" si="1"/>
        <v>493.49013381335783</v>
      </c>
      <c r="U23" s="335">
        <f t="shared" si="10"/>
        <v>-147.51000734542646</v>
      </c>
      <c r="V23" s="124"/>
      <c r="W23" s="140"/>
      <c r="X23" s="149"/>
      <c r="Y23" s="71" t="str">
        <f t="shared" si="2"/>
        <v>Somerset</v>
      </c>
      <c r="Z23" s="45">
        <f>IF(ISNUMBER($H23),IDACI!D22,0)</f>
        <v>95875</v>
      </c>
      <c r="AA23" s="45">
        <f>IF(ISNUMBER($H23),IDACI!E22,0)</f>
        <v>13039.000000000002</v>
      </c>
      <c r="AB23" s="202">
        <f>IF(ISNUMBER(D23),Population!D23,"")</f>
        <v>108900</v>
      </c>
      <c r="AC23" s="202">
        <f>IF(ISNUMBER(E23),Population!E23,"")</f>
        <v>109200</v>
      </c>
      <c r="AD23" s="202">
        <f>IF(ISNUMBER(F23),Population!F23,"")</f>
        <v>109700</v>
      </c>
      <c r="AE23" s="202">
        <f>IF(ISNUMBER(G23),Population!G23,"")</f>
        <v>110100</v>
      </c>
      <c r="AF23" s="202">
        <f>IF(ISNUMBER(H23),Population!H23,"")</f>
        <v>110700</v>
      </c>
      <c r="AG23" s="95" t="s">
        <v>14</v>
      </c>
      <c r="AH23" s="225">
        <f t="shared" si="3"/>
        <v>511.41732283464569</v>
      </c>
      <c r="AI23" s="203">
        <f t="shared" si="11"/>
        <v>9</v>
      </c>
      <c r="AJ23" s="199"/>
      <c r="AK23" s="156"/>
      <c r="AL23" s="792">
        <f t="shared" si="4"/>
        <v>-0.2607762475406904</v>
      </c>
      <c r="AM23" s="792">
        <f t="shared" si="5"/>
        <v>0.15581901766271475</v>
      </c>
      <c r="AN23" s="792">
        <f t="shared" si="6"/>
        <v>8.1222524597027418E-2</v>
      </c>
      <c r="AO23" s="792">
        <f t="shared" si="7"/>
        <v>-0.25847047434656339</v>
      </c>
      <c r="AP23" s="792">
        <f t="shared" si="12"/>
        <v>-7.0551294906877907E-2</v>
      </c>
      <c r="AR23" s="76"/>
      <c r="AS23" s="76"/>
      <c r="AT23" s="76"/>
      <c r="AU23" s="76"/>
      <c r="AV23" s="76"/>
      <c r="AW23" s="76"/>
      <c r="AX23" s="76"/>
      <c r="AY23" s="76"/>
      <c r="AZ23" s="76"/>
    </row>
    <row r="24" spans="1:52" s="89" customFormat="1" ht="13.5" customHeight="1" x14ac:dyDescent="0.2">
      <c r="A24" s="462">
        <f>VLOOKUP(B24,Sheet1!$AQ$4:$AR$25,2,FALSE)</f>
        <v>0</v>
      </c>
      <c r="B24" s="95" t="str">
        <f>Sheet1!$K$18</f>
        <v>Southampton</v>
      </c>
      <c r="C24" s="87"/>
      <c r="D24" s="96">
        <f>IF(Year1_Southampton Year1_Referrals="","",Year1_Southampton Year1_Referrals)</f>
        <v>6407</v>
      </c>
      <c r="E24" s="96">
        <f>IF(Year2_Southampton Year2_Referrals="","",Year2_Southampton Year2_Referrals)</f>
        <v>4116</v>
      </c>
      <c r="F24" s="96">
        <f>IF(Year3_Southampton Year3_Referrals="","",Year3_Southampton Year3_Referrals)</f>
        <v>3044</v>
      </c>
      <c r="G24" s="96">
        <f>IF(Year4_Southampton Year4_Referrals="","",Year4_Southampton Year4_Referrals)</f>
        <v>2613</v>
      </c>
      <c r="H24" s="97">
        <f>IF(Year5_Southampton Year5_Referrals="","",Year5_Southampton Year5_Referrals)</f>
        <v>2598</v>
      </c>
      <c r="I24" s="337">
        <f t="shared" si="8"/>
        <v>-0.19133880666808772</v>
      </c>
      <c r="J24" s="98"/>
      <c r="K24" s="99">
        <f>IF(ISNUMBER(D24),D24/Population!D24*10000,NA())</f>
        <v>1318.3127572016463</v>
      </c>
      <c r="L24" s="99">
        <f>IF(ISNUMBER(E24),E24/Population!E24*10000,NA())</f>
        <v>836.58536585365857</v>
      </c>
      <c r="M24" s="99">
        <f>IF(ISNUMBER(F24),F24/Population!F24*10000,NA())</f>
        <v>610.02004008016036</v>
      </c>
      <c r="N24" s="99">
        <f>IF(ISNUMBER(G24),G24/Population!G24*10000,NA())</f>
        <v>519.48310139165005</v>
      </c>
      <c r="O24" s="100">
        <f>IF(ISNUMBER(H24),H24/Population!H24*10000,NA())</f>
        <v>511.41732283464569</v>
      </c>
      <c r="P24" s="101">
        <f t="shared" si="9"/>
        <v>511.41732283464569</v>
      </c>
      <c r="Q24" s="770">
        <f t="shared" si="0"/>
        <v>9</v>
      </c>
      <c r="R24" s="69"/>
      <c r="S24" s="333">
        <f>IDACI!C23</f>
        <v>20.5</v>
      </c>
      <c r="T24" s="334">
        <f t="shared" si="1"/>
        <v>606.68804845944328</v>
      </c>
      <c r="U24" s="335">
        <f t="shared" si="10"/>
        <v>-95.270725624797592</v>
      </c>
      <c r="V24" s="124"/>
      <c r="W24" s="140"/>
      <c r="X24" s="149"/>
      <c r="Y24" s="71" t="str">
        <f t="shared" si="2"/>
        <v>Southampton</v>
      </c>
      <c r="Z24" s="45">
        <f>IF(ISNUMBER($H24),IDACI!D23,0)</f>
        <v>44295</v>
      </c>
      <c r="AA24" s="45">
        <f>IF(ISNUMBER($H24),IDACI!E23,0)</f>
        <v>9080.4750000000004</v>
      </c>
      <c r="AB24" s="202">
        <f>IF(ISNUMBER(D24),Population!D24,"")</f>
        <v>48600</v>
      </c>
      <c r="AC24" s="202">
        <f>IF(ISNUMBER(E24),Population!E24,"")</f>
        <v>49200</v>
      </c>
      <c r="AD24" s="202">
        <f>IF(ISNUMBER(F24),Population!F24,"")</f>
        <v>49900</v>
      </c>
      <c r="AE24" s="202">
        <f>IF(ISNUMBER(G24),Population!G24,"")</f>
        <v>50300</v>
      </c>
      <c r="AF24" s="202">
        <f>IF(ISNUMBER(H24),Population!H24,"")</f>
        <v>50800</v>
      </c>
      <c r="AG24" s="95" t="s">
        <v>7</v>
      </c>
      <c r="AH24" s="225">
        <f t="shared" si="3"/>
        <v>406.07101947308132</v>
      </c>
      <c r="AI24" s="203">
        <f t="shared" si="11"/>
        <v>4</v>
      </c>
      <c r="AJ24" s="199"/>
      <c r="AK24" s="156"/>
      <c r="AL24" s="792">
        <f t="shared" si="4"/>
        <v>-0.35757764944591852</v>
      </c>
      <c r="AM24" s="792">
        <f t="shared" si="5"/>
        <v>-0.26044703595724006</v>
      </c>
      <c r="AN24" s="792">
        <f t="shared" si="6"/>
        <v>-0.14159001314060446</v>
      </c>
      <c r="AO24" s="792">
        <f t="shared" si="7"/>
        <v>-5.7405281285878304E-3</v>
      </c>
      <c r="AP24" s="792">
        <f t="shared" si="12"/>
        <v>-0.19133880666808772</v>
      </c>
      <c r="AR24" s="76"/>
      <c r="AS24" s="76"/>
      <c r="AT24" s="76"/>
      <c r="AU24" s="76"/>
      <c r="AV24" s="76"/>
      <c r="AW24" s="76"/>
      <c r="AX24" s="76"/>
      <c r="AY24" s="76"/>
      <c r="AZ24" s="76"/>
    </row>
    <row r="25" spans="1:52" s="89" customFormat="1" ht="13.5" customHeight="1" x14ac:dyDescent="0.2">
      <c r="A25" s="462">
        <f>VLOOKUP(B25,Sheet1!$AQ$4:$AR$25,2,FALSE)</f>
        <v>0</v>
      </c>
      <c r="B25" s="95" t="str">
        <f>Sheet1!$K$19</f>
        <v>Surrey</v>
      </c>
      <c r="C25" s="87"/>
      <c r="D25" s="96">
        <f>IF(Year1_Surrey Year1_Referrals="","",Year1_Surrey Year1_Referrals)</f>
        <v>9979</v>
      </c>
      <c r="E25" s="96">
        <f>IF(Year2_Surrey Year2_Referrals="","",Year2_Surrey Year2_Referrals)</f>
        <v>11768</v>
      </c>
      <c r="F25" s="96">
        <f>IF(Year3_Surrey Year3_Referrals="","",Year3_Surrey Year3_Referrals)</f>
        <v>11679</v>
      </c>
      <c r="G25" s="96">
        <f>IF(Year4_Surrey Year4_Referrals="","",Year4_Surrey Year4_Referrals)</f>
        <v>13626</v>
      </c>
      <c r="H25" s="97">
        <f>IF(Year5_Surrey Year5_Referrals="","",Year5_Surrey Year5_Referrals)</f>
        <v>10635</v>
      </c>
      <c r="I25" s="337">
        <f t="shared" si="8"/>
        <v>2.9729062895113269E-2</v>
      </c>
      <c r="J25" s="98"/>
      <c r="K25" s="99">
        <f>IF(ISNUMBER(D25),D25/Population!D25*10000,NA())</f>
        <v>391.9481539670071</v>
      </c>
      <c r="L25" s="99">
        <f>IF(ISNUMBER(E25),E25/Population!E25*10000,NA())</f>
        <v>458.97035881435261</v>
      </c>
      <c r="M25" s="99">
        <f>IF(ISNUMBER(F25),F25/Population!F25*10000,NA())</f>
        <v>450.92664092664091</v>
      </c>
      <c r="N25" s="99">
        <f>IF(ISNUMBER(G25),G25/Population!G25*10000,NA())</f>
        <v>523.47291586630809</v>
      </c>
      <c r="O25" s="100">
        <f>IF(ISNUMBER(H25),H25/Population!H25*10000,NA())</f>
        <v>406.07101947308132</v>
      </c>
      <c r="P25" s="101">
        <f t="shared" si="9"/>
        <v>406.07101947308132</v>
      </c>
      <c r="Q25" s="770">
        <f t="shared" si="0"/>
        <v>4</v>
      </c>
      <c r="R25" s="69"/>
      <c r="S25" s="333">
        <f>IDACI!C24</f>
        <v>8.3000000000000007</v>
      </c>
      <c r="T25" s="334">
        <f t="shared" si="1"/>
        <v>406.54101096926314</v>
      </c>
      <c r="U25" s="335">
        <f t="shared" si="10"/>
        <v>-0.46999149618181946</v>
      </c>
      <c r="V25" s="124"/>
      <c r="W25" s="140"/>
      <c r="X25" s="149"/>
      <c r="Y25" s="71" t="str">
        <f t="shared" si="2"/>
        <v>Surrey</v>
      </c>
      <c r="Z25" s="45">
        <f>IF(ISNUMBER($H25),IDACI!D24,0)</f>
        <v>228466</v>
      </c>
      <c r="AA25" s="45">
        <f>IF(ISNUMBER($H25),IDACI!E24,0)</f>
        <v>18962.678</v>
      </c>
      <c r="AB25" s="202">
        <f>IF(ISNUMBER(D25),Population!D25,"")</f>
        <v>254600</v>
      </c>
      <c r="AC25" s="202">
        <f>IF(ISNUMBER(E25),Population!E25,"")</f>
        <v>256400</v>
      </c>
      <c r="AD25" s="202">
        <f>IF(ISNUMBER(F25),Population!F25,"")</f>
        <v>259000</v>
      </c>
      <c r="AE25" s="202">
        <f>IF(ISNUMBER(G25),Population!G25,"")</f>
        <v>260300</v>
      </c>
      <c r="AF25" s="202">
        <f>IF(ISNUMBER(H25),Population!H25,"")</f>
        <v>261900</v>
      </c>
      <c r="AG25" s="95" t="s">
        <v>15</v>
      </c>
      <c r="AH25" s="225">
        <f t="shared" si="3"/>
        <v>473.59550561797755</v>
      </c>
      <c r="AI25" s="203">
        <f t="shared" si="11"/>
        <v>8</v>
      </c>
      <c r="AJ25" s="199"/>
      <c r="AK25" s="156"/>
      <c r="AL25" s="792">
        <f t="shared" si="4"/>
        <v>0.17927648060927948</v>
      </c>
      <c r="AM25" s="792">
        <f t="shared" si="5"/>
        <v>-7.5628823929299793E-3</v>
      </c>
      <c r="AN25" s="792">
        <f t="shared" si="6"/>
        <v>0.16670947855124582</v>
      </c>
      <c r="AO25" s="792">
        <f t="shared" si="7"/>
        <v>-0.21950682518714223</v>
      </c>
      <c r="AP25" s="792">
        <f t="shared" si="12"/>
        <v>2.9729062895113269E-2</v>
      </c>
      <c r="AR25" s="76"/>
      <c r="AS25" s="76"/>
      <c r="AT25" s="76"/>
      <c r="AU25" s="76"/>
      <c r="AV25" s="76"/>
      <c r="AW25" s="76"/>
      <c r="AX25" s="76"/>
      <c r="AY25" s="76"/>
      <c r="AZ25" s="76"/>
    </row>
    <row r="26" spans="1:52" s="89" customFormat="1" ht="13.5" customHeight="1" x14ac:dyDescent="0.2">
      <c r="A26" s="462">
        <f>VLOOKUP(B26,Sheet1!$AQ$4:$AR$25,2,FALSE)</f>
        <v>0</v>
      </c>
      <c r="B26" s="95" t="str">
        <f>Sheet1!$K$20</f>
        <v>Swindon</v>
      </c>
      <c r="C26" s="87"/>
      <c r="D26" s="96">
        <f>IF(Year1_Swindon Year1_Referrals="","",Year1_Swindon Year1_Referrals)</f>
        <v>2650</v>
      </c>
      <c r="E26" s="96">
        <f>IF(Year2_Swindon Year2_Referrals="","",Year2_Swindon Year2_Referrals)</f>
        <v>3405</v>
      </c>
      <c r="F26" s="96">
        <f>IF(Year3_Swindon Year3_Referrals="","",Year3_Swindon Year3_Referrals)</f>
        <v>3021</v>
      </c>
      <c r="G26" s="96">
        <f>IF(Year4_Swindon Year4_Referrals="","",Year4_Swindon Year4_Referrals)</f>
        <v>3627</v>
      </c>
      <c r="H26" s="97">
        <f>IF(Year5_Swindon Year5_Referrals="","",Year5_Swindon Year5_Referrals)</f>
        <v>3242</v>
      </c>
      <c r="I26" s="337">
        <f t="shared" si="8"/>
        <v>6.6644456805432434E-2</v>
      </c>
      <c r="J26" s="98"/>
      <c r="K26" s="99">
        <f>IF(ISNUMBER(D26),D26/Population!D26*10000,NA())</f>
        <v>545.26748971193422</v>
      </c>
      <c r="L26" s="99">
        <f>IF(ISNUMBER(E26),E26/Population!E26*10000,NA())</f>
        <v>694.89795918367349</v>
      </c>
      <c r="M26" s="99">
        <f>IF(ISNUMBER(F26),F26/Population!F26*10000,NA())</f>
        <v>610.30303030303037</v>
      </c>
      <c r="N26" s="99">
        <f>IF(ISNUMBER(G26),G26/Population!G26*10000,NA())</f>
        <v>726.85370741482973</v>
      </c>
      <c r="O26" s="100">
        <f>IF(ISNUMBER(H26),H26/Population!H26*10000,NA())</f>
        <v>645.81673306772905</v>
      </c>
      <c r="P26" s="101">
        <f t="shared" si="9"/>
        <v>645.81673306772905</v>
      </c>
      <c r="Q26" s="766" t="str">
        <f t="shared" si="0"/>
        <v>--</v>
      </c>
      <c r="R26" s="69"/>
      <c r="S26" s="333">
        <f>IDACI!C25</f>
        <v>14.899999999999999</v>
      </c>
      <c r="T26" s="334">
        <f t="shared" si="1"/>
        <v>514.8172771524753</v>
      </c>
      <c r="U26" s="335">
        <f t="shared" si="10"/>
        <v>130.99945591525375</v>
      </c>
      <c r="V26" s="124"/>
      <c r="W26" s="140"/>
      <c r="X26" s="149"/>
      <c r="Y26" s="71" t="str">
        <f t="shared" si="2"/>
        <v>Swindon</v>
      </c>
      <c r="Z26" s="45">
        <f>IF(ISNUMBER($H26),IDACI!D25,0)</f>
        <v>43899</v>
      </c>
      <c r="AA26" s="45">
        <f>IF(ISNUMBER($H26),IDACI!E25,0)</f>
        <v>6540.951</v>
      </c>
      <c r="AB26" s="202">
        <f>IF(ISNUMBER(D26),Population!D26,"")</f>
        <v>48600</v>
      </c>
      <c r="AC26" s="202">
        <f>IF(ISNUMBER(E26),Population!E26,"")</f>
        <v>49000</v>
      </c>
      <c r="AD26" s="202">
        <f>IF(ISNUMBER(F26),Population!F26,"")</f>
        <v>49500</v>
      </c>
      <c r="AE26" s="202">
        <f>IF(ISNUMBER(G26),Population!G26,"")</f>
        <v>49900</v>
      </c>
      <c r="AF26" s="202">
        <f>IF(ISNUMBER(H26),Population!H26,"")</f>
        <v>50200</v>
      </c>
      <c r="AG26" s="95" t="s">
        <v>5</v>
      </c>
      <c r="AH26" s="225">
        <f t="shared" si="3"/>
        <v>543.21694333142534</v>
      </c>
      <c r="AI26" s="203">
        <f t="shared" si="11"/>
        <v>11</v>
      </c>
      <c r="AJ26" s="199"/>
      <c r="AK26" s="156"/>
      <c r="AL26" s="792">
        <f t="shared" si="4"/>
        <v>0.28490566037735848</v>
      </c>
      <c r="AM26" s="792">
        <f t="shared" si="5"/>
        <v>-0.11277533039647578</v>
      </c>
      <c r="AN26" s="792">
        <f t="shared" si="6"/>
        <v>0.2005958291956306</v>
      </c>
      <c r="AO26" s="792">
        <f t="shared" si="7"/>
        <v>-0.10614833195478357</v>
      </c>
      <c r="AP26" s="792">
        <f t="shared" si="12"/>
        <v>6.6644456805432434E-2</v>
      </c>
      <c r="AR26" s="76"/>
      <c r="AS26" s="76"/>
      <c r="AT26" s="76"/>
      <c r="AU26" s="76"/>
      <c r="AV26" s="76"/>
      <c r="AW26" s="76"/>
      <c r="AX26" s="76"/>
      <c r="AY26" s="76"/>
      <c r="AZ26" s="76"/>
    </row>
    <row r="27" spans="1:52" s="89" customFormat="1" ht="13.5" customHeight="1" x14ac:dyDescent="0.2">
      <c r="A27" s="462">
        <f>VLOOKUP(B27,Sheet1!$AQ$4:$AR$25,2,FALSE)</f>
        <v>0</v>
      </c>
      <c r="B27" s="95" t="str">
        <f>Sheet1!$K$21</f>
        <v>Torbay</v>
      </c>
      <c r="C27" s="87"/>
      <c r="D27" s="96">
        <f>IF(Year1_Torbay Year1_Referrals="","",Year1_Torbay Year1_Referrals)</f>
        <v>2134</v>
      </c>
      <c r="E27" s="96">
        <f>IF(Year2_Torbay Year2_Referrals="","",Year2_Torbay Year2_Referrals)</f>
        <v>1988</v>
      </c>
      <c r="F27" s="96">
        <f>IF(Year3_Torbay Year3_Referrals="","",Year3_Torbay Year3_Referrals)</f>
        <v>1616</v>
      </c>
      <c r="G27" s="96">
        <f>IF(Year4_Torbay Year4_Referrals="","",Year4_Torbay Year4_Referrals)</f>
        <v>1805</v>
      </c>
      <c r="H27" s="97">
        <f>IF(Year5_Torbay Year5_Referrals="","",Year5_Torbay Year5_Referrals)</f>
        <v>1766</v>
      </c>
      <c r="I27" s="337">
        <f t="shared" si="8"/>
        <v>-4.0047514758978588E-2</v>
      </c>
      <c r="J27" s="98"/>
      <c r="K27" s="99">
        <f>IF(ISNUMBER(D27),D27/Population!D27*10000,NA())</f>
        <v>850.19920318725099</v>
      </c>
      <c r="L27" s="99">
        <f>IF(ISNUMBER(E27),E27/Population!E27*10000,NA())</f>
        <v>788.8888888888888</v>
      </c>
      <c r="M27" s="99">
        <f>IF(ISNUMBER(F27),F27/Population!F27*10000,NA())</f>
        <v>636.22047244094483</v>
      </c>
      <c r="N27" s="99">
        <f>IF(ISNUMBER(G27),G27/Population!G27*10000,NA())</f>
        <v>710.6299212598426</v>
      </c>
      <c r="O27" s="100">
        <f>IF(ISNUMBER(H27),H27/Population!H27*10000,NA())</f>
        <v>695.27559055118104</v>
      </c>
      <c r="P27" s="101">
        <f t="shared" si="9"/>
        <v>695.27559055118104</v>
      </c>
      <c r="Q27" s="766" t="str">
        <f t="shared" si="0"/>
        <v>--</v>
      </c>
      <c r="R27" s="69"/>
      <c r="S27" s="333">
        <f>IDACI!C26</f>
        <v>21.9</v>
      </c>
      <c r="T27" s="334">
        <f t="shared" si="1"/>
        <v>629.65574128618528</v>
      </c>
      <c r="U27" s="335">
        <f t="shared" si="10"/>
        <v>65.619849264995764</v>
      </c>
      <c r="V27" s="124"/>
      <c r="W27" s="140"/>
      <c r="X27" s="149"/>
      <c r="Y27" s="71" t="str">
        <f t="shared" si="2"/>
        <v>Torbay</v>
      </c>
      <c r="Z27" s="45">
        <f>IF(ISNUMBER($H27),IDACI!D26,0)</f>
        <v>22257</v>
      </c>
      <c r="AA27" s="45">
        <f>IF(ISNUMBER($H27),IDACI!E26,0)</f>
        <v>4874.2829999999994</v>
      </c>
      <c r="AB27" s="202">
        <f>IF(ISNUMBER(D27),Population!D27,"")</f>
        <v>25100</v>
      </c>
      <c r="AC27" s="202">
        <f>IF(ISNUMBER(E27),Population!E27,"")</f>
        <v>25200</v>
      </c>
      <c r="AD27" s="202">
        <f>IF(ISNUMBER(F27),Population!F27,"")</f>
        <v>25400</v>
      </c>
      <c r="AE27" s="202">
        <f>IF(ISNUMBER(G27),Population!G27,"")</f>
        <v>25400</v>
      </c>
      <c r="AF27" s="202">
        <f>IF(ISNUMBER(H27),Population!H27,"")</f>
        <v>25400</v>
      </c>
      <c r="AG27" s="95" t="s">
        <v>30</v>
      </c>
      <c r="AH27" s="225">
        <f t="shared" si="3"/>
        <v>328.03468208092482</v>
      </c>
      <c r="AI27" s="203">
        <f t="shared" si="11"/>
        <v>1</v>
      </c>
      <c r="AJ27" s="199"/>
      <c r="AK27" s="156"/>
      <c r="AL27" s="792">
        <f t="shared" si="4"/>
        <v>-6.8416119962511721E-2</v>
      </c>
      <c r="AM27" s="792">
        <f t="shared" si="5"/>
        <v>-0.18712273641851107</v>
      </c>
      <c r="AN27" s="792">
        <f t="shared" si="6"/>
        <v>0.11695544554455446</v>
      </c>
      <c r="AO27" s="792">
        <f t="shared" si="7"/>
        <v>-2.1606648199445983E-2</v>
      </c>
      <c r="AP27" s="792">
        <f t="shared" si="12"/>
        <v>-4.0047514758978588E-2</v>
      </c>
      <c r="AR27" s="76"/>
      <c r="AS27" s="76"/>
      <c r="AT27" s="76"/>
      <c r="AU27" s="76"/>
      <c r="AV27" s="76"/>
      <c r="AW27" s="76"/>
      <c r="AX27" s="76"/>
      <c r="AY27" s="76"/>
      <c r="AZ27" s="76"/>
    </row>
    <row r="28" spans="1:52" s="89" customFormat="1" ht="13.5" customHeight="1" x14ac:dyDescent="0.2">
      <c r="A28" s="462">
        <f>VLOOKUP(B28,Sheet1!$AQ$4:$AR$25,2,FALSE)</f>
        <v>0</v>
      </c>
      <c r="B28" s="95" t="str">
        <f>Sheet1!$K$22</f>
        <v>West Berkshire</v>
      </c>
      <c r="C28" s="87"/>
      <c r="D28" s="96">
        <f>IF(Year1_West_Berkshire Year1_Referrals="","",Year1_West_Berkshire Year1_Referrals)</f>
        <v>1259</v>
      </c>
      <c r="E28" s="102">
        <f>IF(Year2_West_Berkshire Year2_Referrals="","",Year2_West_Berkshire Year2_Referrals)</f>
        <v>1365</v>
      </c>
      <c r="F28" s="96">
        <f>IF(Year3_West_Berkshire Year3_Referrals="","",Year3_West_Berkshire Year3_Referrals)</f>
        <v>1652</v>
      </c>
      <c r="G28" s="96">
        <f>IF(Year4_West_Berkshire Year4_Referrals="","",Year4_West_Berkshire Year4_Referrals)</f>
        <v>1512</v>
      </c>
      <c r="H28" s="97">
        <f>IF(Year5_West_Berkshire Year5_Referrals="","",Year5_West_Berkshire Year5_Referrals)</f>
        <v>1686</v>
      </c>
      <c r="I28" s="337">
        <f t="shared" si="8"/>
        <v>8.1195954307685433E-2</v>
      </c>
      <c r="J28" s="98"/>
      <c r="K28" s="99">
        <f>IF(ISNUMBER(D28),D28/Population!D28*10000,NA())</f>
        <v>353.65168539325845</v>
      </c>
      <c r="L28" s="99">
        <f>IF(ISNUMBER(E28),E28/Population!E28*10000,NA())</f>
        <v>382.35294117647061</v>
      </c>
      <c r="M28" s="99">
        <f>IF(ISNUMBER(F28),F28/Population!F28*10000,NA())</f>
        <v>460.16713091922003</v>
      </c>
      <c r="N28" s="99">
        <f>IF(ISNUMBER(G28),G28/Population!G28*10000,NA())</f>
        <v>422.34636871508377</v>
      </c>
      <c r="O28" s="100">
        <f>IF(ISNUMBER(H28),H28/Population!H28*10000,NA())</f>
        <v>473.59550561797755</v>
      </c>
      <c r="P28" s="101">
        <f t="shared" si="9"/>
        <v>473.59550561797755</v>
      </c>
      <c r="Q28" s="770">
        <f t="shared" si="0"/>
        <v>8</v>
      </c>
      <c r="R28" s="69"/>
      <c r="S28" s="333">
        <f>IDACI!C27</f>
        <v>8.6999999999999993</v>
      </c>
      <c r="T28" s="334">
        <f t="shared" si="1"/>
        <v>413.10320891976085</v>
      </c>
      <c r="U28" s="335">
        <f t="shared" si="10"/>
        <v>60.492296698216705</v>
      </c>
      <c r="V28" s="124"/>
      <c r="W28" s="140"/>
      <c r="X28" s="149"/>
      <c r="Y28" s="71" t="str">
        <f t="shared" si="2"/>
        <v>West Berkshire</v>
      </c>
      <c r="Z28" s="45">
        <f>IF(ISNUMBER($H28),IDACI!D27,0)</f>
        <v>31625</v>
      </c>
      <c r="AA28" s="45">
        <f>IF(ISNUMBER($H28),IDACI!E27,0)</f>
        <v>2751.375</v>
      </c>
      <c r="AB28" s="202">
        <f>IF(ISNUMBER(D28),Population!D28,"")</f>
        <v>35600</v>
      </c>
      <c r="AC28" s="202">
        <f>IF(ISNUMBER(E28),Population!E28,"")</f>
        <v>35700</v>
      </c>
      <c r="AD28" s="202">
        <f>IF(ISNUMBER(F28),Population!F28,"")</f>
        <v>35900</v>
      </c>
      <c r="AE28" s="202">
        <f>IF(ISNUMBER(G28),Population!G28,"")</f>
        <v>35800</v>
      </c>
      <c r="AF28" s="202">
        <f>IF(ISNUMBER(H28),Population!H28,"")</f>
        <v>35600</v>
      </c>
      <c r="AG28" s="95" t="s">
        <v>16</v>
      </c>
      <c r="AH28" s="225">
        <f t="shared" si="3"/>
        <v>431.64556962025313</v>
      </c>
      <c r="AI28" s="203">
        <f t="shared" si="11"/>
        <v>5</v>
      </c>
      <c r="AJ28" s="199"/>
      <c r="AK28" s="156"/>
      <c r="AL28" s="792">
        <f t="shared" si="4"/>
        <v>8.4193804606830819E-2</v>
      </c>
      <c r="AM28" s="792">
        <f t="shared" si="5"/>
        <v>0.21025641025641026</v>
      </c>
      <c r="AN28" s="792">
        <f t="shared" si="6"/>
        <v>-8.4745762711864403E-2</v>
      </c>
      <c r="AO28" s="792">
        <f t="shared" si="7"/>
        <v>0.11507936507936507</v>
      </c>
      <c r="AP28" s="792">
        <f t="shared" si="12"/>
        <v>8.1195954307685433E-2</v>
      </c>
      <c r="AR28" s="76"/>
      <c r="AS28" s="76"/>
      <c r="AT28" s="76"/>
      <c r="AU28" s="76"/>
      <c r="AV28" s="76"/>
      <c r="AW28" s="76"/>
      <c r="AX28" s="76"/>
      <c r="AY28" s="76"/>
      <c r="AZ28" s="76"/>
    </row>
    <row r="29" spans="1:52" s="89" customFormat="1" ht="13.5" customHeight="1" x14ac:dyDescent="0.2">
      <c r="A29" s="462">
        <f>VLOOKUP(B29,Sheet1!$AQ$4:$AR$25,2,FALSE)</f>
        <v>0</v>
      </c>
      <c r="B29" s="95" t="str">
        <f>Sheet1!$K$23</f>
        <v>West Sussex</v>
      </c>
      <c r="C29" s="87"/>
      <c r="D29" s="96">
        <f>IF(Year1_West_Sussex Year1_Referrals="","",Year1_West_Sussex Year1_Referrals)</f>
        <v>6917</v>
      </c>
      <c r="E29" s="102">
        <f>IF(Year2_West_Sussex Year2_Referrals="","",Year2_West_Sussex Year2_Referrals)</f>
        <v>8147</v>
      </c>
      <c r="F29" s="96">
        <f>IF(Year3_West_Sussex Year3_Referrals="","",Year3_West_Sussex Year3_Referrals)</f>
        <v>8741</v>
      </c>
      <c r="G29" s="96">
        <f>IF(Year4_West_Sussex Year4_Referrals="","",Year4_West_Sussex Year4_Referrals)</f>
        <v>9995</v>
      </c>
      <c r="H29" s="97">
        <f>IF(Year5_West_Sussex Year5_Referrals="","",Year5_West_Sussex Year5_Referrals)</f>
        <v>9490</v>
      </c>
      <c r="I29" s="337">
        <f t="shared" si="8"/>
        <v>8.5917403272395429E-2</v>
      </c>
      <c r="J29" s="98"/>
      <c r="K29" s="99">
        <f>IF(ISNUMBER(D29),D29/Population!D29*10000,NA())</f>
        <v>409.7748815165877</v>
      </c>
      <c r="L29" s="99">
        <f>IF(ISNUMBER(E29),E29/Population!E29*10000,NA())</f>
        <v>478.11032863849766</v>
      </c>
      <c r="M29" s="99">
        <f>IF(ISNUMBER(F29),F29/Population!F29*10000,NA())</f>
        <v>508.78928987194411</v>
      </c>
      <c r="N29" s="99">
        <f>IF(ISNUMBER(G29),G29/Population!G29*10000,NA())</f>
        <v>576.74552798615116</v>
      </c>
      <c r="O29" s="100">
        <f>IF(ISNUMBER(H29),H29/Population!H29*10000,NA())</f>
        <v>543.21694333142534</v>
      </c>
      <c r="P29" s="101">
        <f t="shared" si="9"/>
        <v>543.21694333142534</v>
      </c>
      <c r="Q29" s="770">
        <f t="shared" si="0"/>
        <v>11</v>
      </c>
      <c r="R29" s="69"/>
      <c r="S29" s="333">
        <f>IDACI!C28</f>
        <v>11</v>
      </c>
      <c r="T29" s="334">
        <f t="shared" si="1"/>
        <v>450.83584713512266</v>
      </c>
      <c r="U29" s="335">
        <f t="shared" si="10"/>
        <v>92.381096196302678</v>
      </c>
      <c r="V29" s="124"/>
      <c r="W29" s="140"/>
      <c r="X29" s="149"/>
      <c r="Y29" s="71" t="str">
        <f t="shared" si="2"/>
        <v>West Sussex</v>
      </c>
      <c r="Z29" s="45">
        <f>IF(ISNUMBER($H29),IDACI!D28,0)</f>
        <v>151487</v>
      </c>
      <c r="AA29" s="45">
        <f>IF(ISNUMBER($H29),IDACI!E28,0)</f>
        <v>16663.57</v>
      </c>
      <c r="AB29" s="202">
        <f>IF(ISNUMBER(D29),Population!D29,"")</f>
        <v>168800</v>
      </c>
      <c r="AC29" s="202">
        <f>IF(ISNUMBER(E29),Population!E29,"")</f>
        <v>170400</v>
      </c>
      <c r="AD29" s="202">
        <f>IF(ISNUMBER(F29),Population!F29,"")</f>
        <v>171800</v>
      </c>
      <c r="AE29" s="202">
        <f>IF(ISNUMBER(G29),Population!G29,"")</f>
        <v>173300</v>
      </c>
      <c r="AF29" s="202">
        <f>IF(ISNUMBER(H29),Population!H29,"")</f>
        <v>174700</v>
      </c>
      <c r="AG29" s="199"/>
      <c r="AH29" s="199"/>
      <c r="AI29" s="185"/>
      <c r="AJ29" s="199"/>
      <c r="AK29" s="156"/>
      <c r="AL29" s="792">
        <f t="shared" si="4"/>
        <v>0.17782275552985399</v>
      </c>
      <c r="AM29" s="792">
        <f t="shared" si="5"/>
        <v>7.2910273720387872E-2</v>
      </c>
      <c r="AN29" s="792">
        <f t="shared" si="6"/>
        <v>0.14346184647065552</v>
      </c>
      <c r="AO29" s="792">
        <f t="shared" si="7"/>
        <v>-5.0525262631315661E-2</v>
      </c>
      <c r="AP29" s="792">
        <f t="shared" si="12"/>
        <v>8.5917403272395429E-2</v>
      </c>
      <c r="AR29" s="76"/>
      <c r="AS29" s="76"/>
      <c r="AT29" s="76"/>
      <c r="AU29" s="76"/>
      <c r="AV29" s="76"/>
      <c r="AW29" s="76"/>
      <c r="AX29" s="76"/>
      <c r="AY29" s="76"/>
      <c r="AZ29" s="76"/>
    </row>
    <row r="30" spans="1:52" s="89" customFormat="1" ht="13.5" customHeight="1" x14ac:dyDescent="0.2">
      <c r="A30" s="462">
        <f>VLOOKUP(B30,Sheet1!$AQ$4:$AR$25,2,FALSE)</f>
        <v>0</v>
      </c>
      <c r="B30" s="95" t="str">
        <f>Sheet1!$K$24</f>
        <v>Windsor &amp; Maidenhead</v>
      </c>
      <c r="C30" s="87"/>
      <c r="D30" s="102">
        <f>IF(Year1_Windsor_Maidenhead Year1_Referrals="","",Year1_Windsor_Maidenhead Year1_Referrals)</f>
        <v>1048</v>
      </c>
      <c r="E30" s="96">
        <f>IF(Year2_Windsor_Maidenhead Year2_Referrals="","",Year2_Windsor_Maidenhead Year2_Referrals)</f>
        <v>1115</v>
      </c>
      <c r="F30" s="96">
        <f>IF(Year3_Windsor_Maidenhead Year3_Referrals="","",Year3_Windsor_Maidenhead Year3_Referrals)</f>
        <v>992</v>
      </c>
      <c r="G30" s="96">
        <f>IF(Year4_Windsor_Maidenhead Year4_Referrals="","",Year4_Windsor_Maidenhead Year4_Referrals)</f>
        <v>1061</v>
      </c>
      <c r="H30" s="97">
        <f>IF(Year5_Windsor_Maidenhead Year5_Referrals="","",Year5_Windsor_Maidenhead Year5_Referrals)</f>
        <v>1135</v>
      </c>
      <c r="I30" s="337">
        <f t="shared" si="8"/>
        <v>2.3229842767239647E-2</v>
      </c>
      <c r="J30" s="98"/>
      <c r="K30" s="99">
        <f>IF(ISNUMBER(D30),D30/Population!D30*10000,NA())</f>
        <v>313.77245508982037</v>
      </c>
      <c r="L30" s="99">
        <f>IF(ISNUMBER(E30),E30/Population!E30*10000,NA())</f>
        <v>330.86053412462905</v>
      </c>
      <c r="M30" s="99">
        <f>IF(ISNUMBER(F30),F30/Population!F30*10000,NA())</f>
        <v>290.05847953216374</v>
      </c>
      <c r="N30" s="99">
        <f>IF(ISNUMBER(G30),G30/Population!G30*10000,NA())</f>
        <v>308.43023255813955</v>
      </c>
      <c r="O30" s="100">
        <f>IF(ISNUMBER(H30),H30/Population!H30*10000,NA())</f>
        <v>328.03468208092482</v>
      </c>
      <c r="P30" s="101">
        <f t="shared" si="9"/>
        <v>328.03468208092482</v>
      </c>
      <c r="Q30" s="770">
        <f t="shared" si="0"/>
        <v>1</v>
      </c>
      <c r="R30" s="69"/>
      <c r="S30" s="333">
        <f>IDACI!C29</f>
        <v>6.7</v>
      </c>
      <c r="T30" s="334">
        <f t="shared" si="1"/>
        <v>380.29221916727226</v>
      </c>
      <c r="U30" s="335">
        <f t="shared" si="10"/>
        <v>-52.25753708634744</v>
      </c>
      <c r="V30" s="124"/>
      <c r="W30" s="140"/>
      <c r="X30" s="149"/>
      <c r="Y30" s="71" t="str">
        <f t="shared" si="2"/>
        <v>Windsor &amp; Maidenhead</v>
      </c>
      <c r="Z30" s="45">
        <f>IF(ISNUMBER($H30),IDACI!D29,0)</f>
        <v>29792</v>
      </c>
      <c r="AA30" s="45">
        <f>IF(ISNUMBER($H30),IDACI!E29,0)</f>
        <v>1996.0640000000001</v>
      </c>
      <c r="AB30" s="202">
        <f>IF(ISNUMBER(D30),Population!D30,"")</f>
        <v>33400</v>
      </c>
      <c r="AC30" s="202">
        <f>IF(ISNUMBER(E30),Population!E30,"")</f>
        <v>33700</v>
      </c>
      <c r="AD30" s="202">
        <f>IF(ISNUMBER(F30),Population!F30,"")</f>
        <v>34200</v>
      </c>
      <c r="AE30" s="202">
        <f>IF(ISNUMBER(G30),Population!G30,"")</f>
        <v>34400</v>
      </c>
      <c r="AF30" s="202">
        <f>IF(ISNUMBER(H30),Population!H30,"")</f>
        <v>34600</v>
      </c>
      <c r="AG30" s="199"/>
      <c r="AH30" s="199"/>
      <c r="AI30" s="185"/>
      <c r="AJ30" s="199"/>
      <c r="AK30" s="156"/>
      <c r="AL30" s="792">
        <f t="shared" si="4"/>
        <v>6.393129770992366E-2</v>
      </c>
      <c r="AM30" s="792">
        <f t="shared" si="5"/>
        <v>-0.11031390134529148</v>
      </c>
      <c r="AN30" s="792">
        <f t="shared" si="6"/>
        <v>6.955645161290322E-2</v>
      </c>
      <c r="AO30" s="792">
        <f t="shared" si="7"/>
        <v>6.9745523091423192E-2</v>
      </c>
      <c r="AP30" s="792">
        <f t="shared" si="12"/>
        <v>2.3229842767239647E-2</v>
      </c>
      <c r="AR30" s="76"/>
      <c r="AS30" s="76"/>
      <c r="AT30" s="76"/>
      <c r="AU30" s="76"/>
      <c r="AV30" s="76"/>
      <c r="AW30" s="76"/>
      <c r="AX30" s="76"/>
      <c r="AY30" s="76"/>
      <c r="AZ30" s="76"/>
    </row>
    <row r="31" spans="1:52" s="89" customFormat="1" ht="13.5" customHeight="1" x14ac:dyDescent="0.2">
      <c r="A31" s="462">
        <f>VLOOKUP(B31,Sheet1!$AQ$4:$AR$25,2,FALSE)</f>
        <v>0</v>
      </c>
      <c r="B31" s="95" t="str">
        <f>Sheet1!$K$25</f>
        <v>Wokingham</v>
      </c>
      <c r="C31" s="87"/>
      <c r="D31" s="102">
        <f>IF(Year1_Wokingham Year1_Referrals="","",Year1_Wokingham Year1_Referrals)</f>
        <v>990</v>
      </c>
      <c r="E31" s="96">
        <f>IF(Year2_Wokingham Year2_Referrals="","",Year2_Wokingham Year2_Referrals)</f>
        <v>1131</v>
      </c>
      <c r="F31" s="96">
        <f>IF(Year3_Wokingham Year3_Referrals="","",Year3_Wokingham Year3_Referrals)</f>
        <v>907</v>
      </c>
      <c r="G31" s="96">
        <f>IF(Year4_Wokingham Year4_Referrals="","",Year4_Wokingham Year4_Referrals)</f>
        <v>1371</v>
      </c>
      <c r="H31" s="97">
        <f>IF(Year5_Wokingham Year5_Referrals="","",Year5_Wokingham Year5_Referrals)</f>
        <v>1705</v>
      </c>
      <c r="I31" s="337">
        <f t="shared" si="8"/>
        <v>0.17489096178710545</v>
      </c>
      <c r="J31" s="98"/>
      <c r="K31" s="99">
        <f>IF(ISNUMBER(D31),D31/Population!D31*10000,NA())</f>
        <v>268.29268292682929</v>
      </c>
      <c r="L31" s="99">
        <f>IF(ISNUMBER(E31),E31/Population!E31*10000,NA())</f>
        <v>303.21715817694371</v>
      </c>
      <c r="M31" s="99">
        <f>IF(ISNUMBER(F31),F31/Population!F31*10000,NA())</f>
        <v>238.68421052631581</v>
      </c>
      <c r="N31" s="99">
        <f>IF(ISNUMBER(G31),G31/Population!G31*10000,NA())</f>
        <v>354.26356589147287</v>
      </c>
      <c r="O31" s="100">
        <f>IF(ISNUMBER(H31),H31/Population!H31*10000,NA())</f>
        <v>431.64556962025313</v>
      </c>
      <c r="P31" s="101">
        <f t="shared" si="9"/>
        <v>431.64556962025313</v>
      </c>
      <c r="Q31" s="770">
        <f t="shared" si="0"/>
        <v>5</v>
      </c>
      <c r="R31" s="69"/>
      <c r="S31" s="333">
        <f>IDACI!C30</f>
        <v>5.6000000000000005</v>
      </c>
      <c r="T31" s="334">
        <f t="shared" si="1"/>
        <v>362.24617480340362</v>
      </c>
      <c r="U31" s="335">
        <f t="shared" si="10"/>
        <v>69.399394816849508</v>
      </c>
      <c r="V31" s="124"/>
      <c r="W31" s="140"/>
      <c r="X31" s="149"/>
      <c r="Y31" s="71" t="str">
        <f t="shared" si="2"/>
        <v>Wokingham</v>
      </c>
      <c r="Z31" s="45">
        <f>IF(ISNUMBER($H31),IDACI!D30,0)</f>
        <v>33327</v>
      </c>
      <c r="AA31" s="45">
        <f>IF(ISNUMBER($H31),IDACI!E30,0)</f>
        <v>1866.3120000000004</v>
      </c>
      <c r="AB31" s="202">
        <f>IF(ISNUMBER(D31),Population!D31,"")</f>
        <v>36900</v>
      </c>
      <c r="AC31" s="202">
        <f>IF(ISNUMBER(E31),Population!E31,"")</f>
        <v>37300</v>
      </c>
      <c r="AD31" s="202">
        <f>IF(ISNUMBER(F31),Population!F31,"")</f>
        <v>38000</v>
      </c>
      <c r="AE31" s="202">
        <f>IF(ISNUMBER(G31),Population!G31,"")</f>
        <v>38700</v>
      </c>
      <c r="AF31" s="202">
        <f>IF(ISNUMBER(H31),Population!H31,"")</f>
        <v>39500</v>
      </c>
      <c r="AG31" s="199"/>
      <c r="AH31" s="199"/>
      <c r="AI31" s="185"/>
      <c r="AJ31" s="199"/>
      <c r="AK31" s="156"/>
      <c r="AL31" s="792">
        <f t="shared" si="4"/>
        <v>0.14242424242424243</v>
      </c>
      <c r="AM31" s="792">
        <f t="shared" si="5"/>
        <v>-0.19805481874447392</v>
      </c>
      <c r="AN31" s="792">
        <f t="shared" si="6"/>
        <v>0.51157662624035283</v>
      </c>
      <c r="AO31" s="792">
        <f t="shared" si="7"/>
        <v>0.24361779722830051</v>
      </c>
      <c r="AP31" s="792">
        <f t="shared" si="12"/>
        <v>0.17489096178710545</v>
      </c>
      <c r="AR31" s="76"/>
      <c r="AS31" s="76"/>
      <c r="AT31" s="76"/>
      <c r="AU31" s="76"/>
      <c r="AV31" s="76"/>
      <c r="AW31" s="76"/>
      <c r="AX31" s="76"/>
      <c r="AY31" s="76"/>
      <c r="AZ31" s="76"/>
    </row>
    <row r="32" spans="1:52" s="89" customFormat="1" ht="13.5" customHeight="1" x14ac:dyDescent="0.2">
      <c r="A32" s="123"/>
      <c r="B32" s="131" t="str">
        <f>Sheet1!$K$26</f>
        <v>South East</v>
      </c>
      <c r="C32" s="87"/>
      <c r="D32" s="132">
        <f>IF(Year1_SouthEast Year1_Referrals="","",Year1_SouthEast Year1_Referrals)</f>
        <v>96900</v>
      </c>
      <c r="E32" s="132">
        <f>IF(Year2_SouthEast Year2_Referrals="","",Year2_SouthEast Year2_Referrals)</f>
        <v>97760</v>
      </c>
      <c r="F32" s="132">
        <f>IF(Year3_SouthEast Year3_Referrals="","",Year3_SouthEast Year3_Referrals)</f>
        <v>107120</v>
      </c>
      <c r="G32" s="132">
        <f>IF(Year4_SouthEast Year4_Referrals="","",Year4_SouthEast Year4_Referrals)</f>
        <v>106590</v>
      </c>
      <c r="H32" s="414">
        <f>IF(Year5_SouthEast Year5_Referrals="","",Year5_SouthEast Year5_Referrals)</f>
        <v>104890</v>
      </c>
      <c r="I32" s="350">
        <f>AP32</f>
        <v>1.3924874359104864E-2</v>
      </c>
      <c r="J32" s="98"/>
      <c r="K32" s="134">
        <f>IF(ISNUMBER(D32),D32/AB32*10000,NA())</f>
        <v>508.82167611846251</v>
      </c>
      <c r="L32" s="134">
        <f>IF(ISNUMBER(E32),E32/AC32*10000,NA())</f>
        <v>509.67102862207395</v>
      </c>
      <c r="M32" s="134">
        <f>IF(ISNUMBER(F32),F32/AD32*10000,NA())</f>
        <v>554.13584398117018</v>
      </c>
      <c r="N32" s="134">
        <f>IF(ISNUMBER(G32),G32/AE32*10000,NA())</f>
        <v>548.33067544626783</v>
      </c>
      <c r="O32" s="135">
        <f>IF(ISNUMBER(H32),H32/AF32*10000,NA())</f>
        <v>535.86390109328704</v>
      </c>
      <c r="P32" s="101">
        <f t="shared" si="9"/>
        <v>535.86390109328704</v>
      </c>
      <c r="Q32" s="136" t="str">
        <f t="shared" si="0"/>
        <v>--</v>
      </c>
      <c r="R32" s="69"/>
      <c r="S32" s="331">
        <f>AA32/Z32*100</f>
        <v>12.371268250968637</v>
      </c>
      <c r="T32" s="331">
        <f t="shared" si="1"/>
        <v>473.33218140034512</v>
      </c>
      <c r="U32" s="336">
        <f t="shared" si="10"/>
        <v>62.53171969294192</v>
      </c>
      <c r="V32" s="124"/>
      <c r="W32" s="140"/>
      <c r="X32" s="149"/>
      <c r="Y32" s="71" t="str">
        <f t="shared" si="2"/>
        <v>South East</v>
      </c>
      <c r="Z32" s="45">
        <f>SUM(Z24:Z25,Z10:Z22,Z28:Z31)</f>
        <v>1704978</v>
      </c>
      <c r="AA32" s="45">
        <f>SUM(AA24:AA25,AA10:AA22,AA28:AA31)</f>
        <v>210927.40200000003</v>
      </c>
      <c r="AB32" s="202">
        <f>SUM(AB10:AB22,AB24:AB25,AB28:AB31)</f>
        <v>1904400</v>
      </c>
      <c r="AC32" s="202">
        <f t="shared" ref="AC32:AF32" si="13">SUM(AC10:AC22,AC24:AC25,AC28:AC31)</f>
        <v>1918100</v>
      </c>
      <c r="AD32" s="202">
        <f t="shared" si="13"/>
        <v>1933100</v>
      </c>
      <c r="AE32" s="202">
        <f t="shared" si="13"/>
        <v>1943900</v>
      </c>
      <c r="AF32" s="202">
        <f t="shared" si="13"/>
        <v>1957400</v>
      </c>
      <c r="AG32" s="199"/>
      <c r="AH32" s="199"/>
      <c r="AI32" s="185"/>
      <c r="AJ32" s="199"/>
      <c r="AK32" s="156"/>
      <c r="AL32" s="792">
        <f>IF(ISERROR((L32-K32)/K32),"x",(L32-K32)/K32)</f>
        <v>1.6692537748995151E-3</v>
      </c>
      <c r="AM32" s="792">
        <f t="shared" ref="AM32:AO32" si="14">IF(ISERROR((M32-L32)/L32),"x",(M32-L32)/L32)</f>
        <v>8.724218733662284E-2</v>
      </c>
      <c r="AN32" s="792">
        <f t="shared" si="14"/>
        <v>-1.0476074771116254E-2</v>
      </c>
      <c r="AO32" s="792">
        <f t="shared" si="14"/>
        <v>-2.2735868903986642E-2</v>
      </c>
      <c r="AP32" s="792">
        <f t="shared" si="12"/>
        <v>1.3924874359104864E-2</v>
      </c>
      <c r="AR32" s="76"/>
      <c r="AS32" s="76"/>
      <c r="AT32" s="76"/>
      <c r="AU32" s="76"/>
      <c r="AV32" s="76"/>
      <c r="AW32" s="76"/>
      <c r="AX32" s="76"/>
      <c r="AY32" s="76"/>
      <c r="AZ32" s="76"/>
    </row>
    <row r="33" spans="1:54" s="89" customFormat="1" ht="13.5" customHeight="1" x14ac:dyDescent="0.2">
      <c r="A33" s="286"/>
      <c r="B33" s="318" t="str">
        <f>Sheet1!$K$27</f>
        <v>England</v>
      </c>
      <c r="C33" s="87"/>
      <c r="D33" s="319">
        <f>IF(Year1_England Year1_Referrals="","",Year1_England Year1_Referrals)</f>
        <v>635600</v>
      </c>
      <c r="E33" s="319">
        <f>IF(Year2_England Year2_Referrals="","",Year2_England Year2_Referrals)</f>
        <v>621470</v>
      </c>
      <c r="F33" s="319">
        <f>IF(Year3_England Year3_Referrals="","",Year3_England Year3_Referrals)</f>
        <v>646120</v>
      </c>
      <c r="G33" s="319">
        <f>IF(Year4_England Year4_Referrals="","",Year4_England Year4_Referrals)</f>
        <v>655630</v>
      </c>
      <c r="H33" s="415">
        <f>IF(Year5_England Year5_Referrals="","",Year5_England Year5_Referrals)</f>
        <v>650930</v>
      </c>
      <c r="I33" s="351">
        <f t="shared" si="8"/>
        <v>6.2457525480302725E-3</v>
      </c>
      <c r="J33" s="98"/>
      <c r="K33" s="321">
        <f>IF(ISNUMBER(D33),D33/Population!D33*10000,NA())</f>
        <v>548.32336930734925</v>
      </c>
      <c r="L33" s="321">
        <f>IF(ISNUMBER(E33),E33/Population!E33*10000,NA())</f>
        <v>532.17616180991445</v>
      </c>
      <c r="M33" s="321">
        <f>IF(ISNUMBER(F33),F33/Population!F33*10000,NA())</f>
        <v>548.24230185061049</v>
      </c>
      <c r="N33" s="321">
        <f>IF(ISNUMBER(G33),G33/Population!G33*10000,NA())</f>
        <v>552.48167186314993</v>
      </c>
      <c r="O33" s="322">
        <f>IF(ISNUMBER(H33),H33/Population!H33*10000,NA())</f>
        <v>544.50169809111139</v>
      </c>
      <c r="P33" s="322"/>
      <c r="Q33" s="796" t="str">
        <f t="shared" si="0"/>
        <v>--</v>
      </c>
      <c r="R33" s="69"/>
      <c r="S33" s="332">
        <f>IDACI!C32</f>
        <v>17.084413405029373</v>
      </c>
      <c r="T33" s="332">
        <f t="shared" si="1"/>
        <v>550.65366007628404</v>
      </c>
      <c r="U33" s="598">
        <f t="shared" si="10"/>
        <v>-6.1519619851726475</v>
      </c>
      <c r="V33" s="124"/>
      <c r="W33" s="140"/>
      <c r="X33" s="149"/>
      <c r="Y33" s="71" t="str">
        <f t="shared" si="2"/>
        <v>England</v>
      </c>
      <c r="Z33" s="45">
        <f>IF(H33&gt;0,IDACI!D32,0)</f>
        <v>10405050</v>
      </c>
      <c r="AA33" s="45">
        <f>IF(H33&gt;0,IDACI!E32,0)</f>
        <v>1777641.7570000088</v>
      </c>
      <c r="AB33" s="202">
        <f>IF(ISNUMBER(D33),Population!D33,"")</f>
        <v>11591700</v>
      </c>
      <c r="AC33" s="202">
        <f>IF(ISNUMBER(E33),Population!E33,"")</f>
        <v>11677900</v>
      </c>
      <c r="AD33" s="202">
        <f>IF(ISNUMBER(F33),Population!F33,"")</f>
        <v>11785300</v>
      </c>
      <c r="AE33" s="202">
        <f>IF(ISNUMBER(G33),Population!G33,"")</f>
        <v>11867000</v>
      </c>
      <c r="AF33" s="202">
        <f>IF(ISNUMBER(H33),Population!H33,"")</f>
        <v>11954600</v>
      </c>
      <c r="AG33" s="199"/>
      <c r="AH33" s="199"/>
      <c r="AI33" s="185"/>
      <c r="AJ33" s="199"/>
      <c r="AK33" s="156"/>
      <c r="AL33" s="792">
        <f t="shared" si="4"/>
        <v>-2.2230962869729389E-2</v>
      </c>
      <c r="AM33" s="792">
        <f t="shared" si="5"/>
        <v>3.9664022398506769E-2</v>
      </c>
      <c r="AN33" s="792">
        <f t="shared" si="6"/>
        <v>1.4718628118615736E-2</v>
      </c>
      <c r="AO33" s="792">
        <f t="shared" si="7"/>
        <v>-7.1686774552720284E-3</v>
      </c>
      <c r="AP33" s="792">
        <f t="shared" si="12"/>
        <v>6.2457525480302725E-3</v>
      </c>
      <c r="AR33" s="76"/>
      <c r="AS33" s="76"/>
      <c r="AT33" s="76"/>
      <c r="AU33" s="76"/>
      <c r="AV33" s="76"/>
      <c r="AW33" s="76"/>
      <c r="AX33" s="76"/>
      <c r="AY33" s="76"/>
      <c r="AZ33" s="76"/>
    </row>
    <row r="34" spans="1:54" s="83" customFormat="1" ht="13.5" customHeight="1" x14ac:dyDescent="0.2">
      <c r="A34" s="120"/>
      <c r="B34" s="125" t="s">
        <v>90</v>
      </c>
      <c r="C34" s="63"/>
      <c r="D34" s="63"/>
      <c r="E34" s="63"/>
      <c r="F34" s="63"/>
      <c r="G34" s="63"/>
      <c r="H34" s="63"/>
      <c r="I34" s="63"/>
      <c r="J34" s="63"/>
      <c r="K34" s="63"/>
      <c r="L34" s="63"/>
      <c r="M34" s="63"/>
      <c r="N34" s="63"/>
      <c r="O34" s="63"/>
      <c r="P34" s="63"/>
      <c r="Q34" s="137" t="s">
        <v>109</v>
      </c>
      <c r="S34" s="63"/>
      <c r="T34" s="63"/>
      <c r="U34" s="63"/>
      <c r="V34" s="119"/>
      <c r="W34" s="138"/>
      <c r="X34" s="147"/>
      <c r="Y34" s="82"/>
      <c r="Z34" s="179"/>
      <c r="AA34" s="179"/>
      <c r="AB34" s="179"/>
      <c r="AC34" s="179"/>
      <c r="AD34" s="179"/>
      <c r="AE34" s="179"/>
      <c r="AF34" s="179"/>
      <c r="AG34" s="179"/>
      <c r="AH34" s="179"/>
      <c r="AJ34" s="179"/>
      <c r="AK34" s="157"/>
      <c r="AR34" s="76"/>
      <c r="AS34" s="76"/>
      <c r="AT34" s="76"/>
      <c r="AU34" s="76"/>
      <c r="AV34" s="76"/>
      <c r="AW34" s="76"/>
      <c r="AX34" s="76"/>
      <c r="AY34" s="76"/>
      <c r="AZ34" s="76"/>
    </row>
    <row r="35" spans="1:54" s="83" customFormat="1" ht="25.5" customHeight="1" x14ac:dyDescent="0.2">
      <c r="A35" s="120"/>
      <c r="B35" s="1425" t="s">
        <v>761</v>
      </c>
      <c r="C35" s="1426"/>
      <c r="D35" s="1426"/>
      <c r="E35" s="1426"/>
      <c r="F35" s="1426"/>
      <c r="G35" s="1426"/>
      <c r="H35" s="1426"/>
      <c r="I35" s="1426"/>
      <c r="J35" s="1426"/>
      <c r="K35" s="1426"/>
      <c r="L35" s="1426"/>
      <c r="M35" s="1426"/>
      <c r="N35" s="1426"/>
      <c r="O35" s="1426"/>
      <c r="P35" s="1426"/>
      <c r="Q35" s="1426"/>
      <c r="R35" s="1426"/>
      <c r="S35" s="1426"/>
      <c r="T35" s="1426"/>
      <c r="U35" s="1427"/>
      <c r="V35" s="119"/>
      <c r="W35" s="138"/>
      <c r="X35" s="147"/>
      <c r="Y35" s="82"/>
      <c r="Z35" s="179"/>
      <c r="AA35" s="179"/>
      <c r="AB35" s="179"/>
      <c r="AC35" s="179"/>
      <c r="AD35" s="179"/>
      <c r="AE35" s="179"/>
      <c r="AF35" s="179"/>
      <c r="AG35" s="179"/>
      <c r="AH35" s="179"/>
      <c r="AJ35" s="179"/>
      <c r="AK35" s="153"/>
      <c r="AL35" s="76"/>
      <c r="AM35" s="76"/>
      <c r="AN35" s="76"/>
      <c r="AO35" s="76"/>
      <c r="AP35" s="76"/>
      <c r="AQ35" s="76"/>
      <c r="AR35" s="76"/>
    </row>
    <row r="36" spans="1:54" s="83" customFormat="1" ht="7.5" customHeight="1" x14ac:dyDescent="0.2">
      <c r="A36" s="120"/>
      <c r="B36" s="18"/>
      <c r="C36" s="18"/>
      <c r="D36" s="17"/>
      <c r="E36" s="17"/>
      <c r="F36" s="17"/>
      <c r="G36" s="17"/>
      <c r="H36" s="17"/>
      <c r="I36" s="17"/>
      <c r="J36" s="13"/>
      <c r="K36" s="19"/>
      <c r="L36" s="19"/>
      <c r="M36" s="19"/>
      <c r="N36" s="19"/>
      <c r="O36" s="19"/>
      <c r="P36" s="19"/>
      <c r="Q36" s="19"/>
      <c r="R36" s="19"/>
      <c r="S36" s="19"/>
      <c r="T36" s="19"/>
      <c r="U36" s="20"/>
      <c r="V36" s="119"/>
      <c r="W36" s="138"/>
      <c r="X36" s="147"/>
      <c r="Z36" s="185"/>
      <c r="AJ36" s="179"/>
      <c r="AK36" s="153"/>
      <c r="AL36" s="76"/>
      <c r="AM36" s="76"/>
      <c r="AN36" s="76"/>
      <c r="AO36" s="76"/>
      <c r="AP36" s="76"/>
      <c r="AQ36" s="76"/>
      <c r="AR36" s="76"/>
    </row>
    <row r="37" spans="1:54"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1"/>
      <c r="V37" s="1422"/>
      <c r="W37" s="138"/>
      <c r="X37" s="147"/>
      <c r="Z37" s="185"/>
      <c r="AK37" s="157"/>
      <c r="AM37" s="83">
        <f>COLUMNS($B$4:K$4)</f>
        <v>10</v>
      </c>
      <c r="AN37" s="83">
        <f>COLUMNS($B$4:L$4)</f>
        <v>11</v>
      </c>
      <c r="AO37" s="83">
        <f>COLUMNS($B$4:M$4)</f>
        <v>12</v>
      </c>
      <c r="AP37" s="83">
        <f>COLUMNS($B$4:N$4)</f>
        <v>13</v>
      </c>
      <c r="AQ37" s="83">
        <f>COLUMNS($B$4:O$4)</f>
        <v>14</v>
      </c>
      <c r="AR37" s="83">
        <f>COLUMNS($B$4:S$4)</f>
        <v>18</v>
      </c>
      <c r="AS37" s="83">
        <f>COLUMNS($B$4:D$4)</f>
        <v>3</v>
      </c>
      <c r="AT37" s="83">
        <f>COLUMNS($B$4:E$4)</f>
        <v>4</v>
      </c>
      <c r="AU37" s="83">
        <f>COLUMNS($B$4:F$4)</f>
        <v>5</v>
      </c>
      <c r="AV37" s="83">
        <f>COLUMNS($B$4:G$4)</f>
        <v>6</v>
      </c>
      <c r="AW37" s="83">
        <f>COLUMNS($B$4:H$4)</f>
        <v>7</v>
      </c>
      <c r="AX37" s="83">
        <f>COLUMNS($B$4:D$4)</f>
        <v>3</v>
      </c>
      <c r="AY37" s="83">
        <f>COLUMNS($B$4:E$4)</f>
        <v>4</v>
      </c>
      <c r="AZ37" s="83">
        <f>COLUMNS($B$4:F$4)</f>
        <v>5</v>
      </c>
      <c r="BA37" s="83">
        <f>COLUMNS($B$4:G$4)</f>
        <v>6</v>
      </c>
      <c r="BB37" s="83">
        <f>COLUMNS($B$4:H$4)</f>
        <v>7</v>
      </c>
    </row>
    <row r="38" spans="1:54"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0"/>
      <c r="J38" s="1429"/>
      <c r="K38" s="1429"/>
      <c r="L38" s="1429"/>
      <c r="M38" s="1429"/>
      <c r="N38" s="1429"/>
      <c r="O38" s="1429"/>
      <c r="P38" s="1431"/>
      <c r="Q38" s="1429"/>
      <c r="R38" s="1429"/>
      <c r="S38" s="1429"/>
      <c r="T38" s="1430"/>
      <c r="U38" s="1429"/>
      <c r="V38" s="1432"/>
      <c r="W38" s="138"/>
      <c r="X38" s="147"/>
      <c r="Z38" s="185"/>
      <c r="AJ38" s="179"/>
      <c r="AK38" s="156"/>
      <c r="AL38" s="89"/>
      <c r="AM38" s="1465" t="s">
        <v>89</v>
      </c>
      <c r="AN38" s="1465"/>
      <c r="AO38" s="1465"/>
      <c r="AP38" s="1465"/>
      <c r="AQ38" s="1465"/>
      <c r="AR38" s="1465" t="s">
        <v>95</v>
      </c>
      <c r="AS38" s="1464" t="s">
        <v>86</v>
      </c>
      <c r="AT38" s="1464"/>
      <c r="AU38" s="1464"/>
      <c r="AV38" s="1464"/>
      <c r="AW38" s="1464"/>
      <c r="AX38" s="1464" t="s">
        <v>224</v>
      </c>
      <c r="AY38" s="1464"/>
      <c r="AZ38" s="1464"/>
      <c r="BA38" s="1464"/>
      <c r="BB38" s="1464"/>
    </row>
    <row r="39" spans="1:54" s="83" customFormat="1" ht="11.25" customHeight="1" x14ac:dyDescent="0.2">
      <c r="A39" s="114"/>
      <c r="B39" s="115"/>
      <c r="C39" s="115"/>
      <c r="D39" s="115"/>
      <c r="E39" s="115"/>
      <c r="F39" s="115"/>
      <c r="G39" s="115"/>
      <c r="H39" s="115"/>
      <c r="I39" s="115"/>
      <c r="J39" s="116"/>
      <c r="K39" s="115"/>
      <c r="L39" s="115"/>
      <c r="M39" s="115"/>
      <c r="N39" s="115"/>
      <c r="O39" s="115"/>
      <c r="P39" s="115"/>
      <c r="Q39" s="115"/>
      <c r="R39" s="115"/>
      <c r="S39" s="115"/>
      <c r="T39" s="115"/>
      <c r="U39" s="115"/>
      <c r="V39" s="117"/>
      <c r="W39" s="138"/>
      <c r="X39" s="146" t="s">
        <v>102</v>
      </c>
      <c r="Y39" s="192"/>
      <c r="Z39" s="192"/>
      <c r="AA39" s="192"/>
      <c r="AB39" s="192"/>
      <c r="AC39" s="192"/>
      <c r="AJ39" s="179"/>
      <c r="AK39" s="156"/>
      <c r="AL39" s="89"/>
      <c r="AM39" s="142" t="str">
        <f>Sheet1!$D$25</f>
        <v>2014-15</v>
      </c>
      <c r="AN39" s="270" t="str">
        <f>Sheet1!$E$25</f>
        <v>2015-16</v>
      </c>
      <c r="AO39" s="270" t="str">
        <f>Sheet1!$F$25</f>
        <v>2016-17</v>
      </c>
      <c r="AP39" s="270" t="str">
        <f>Sheet1!$G$25</f>
        <v>2017-18</v>
      </c>
      <c r="AQ39" s="270" t="str">
        <f>Sheet1!$H$25</f>
        <v>2018-19</v>
      </c>
      <c r="AR39" s="1465"/>
      <c r="AS39" s="270" t="str">
        <f>Sheet1!$D$25</f>
        <v>2014-15</v>
      </c>
      <c r="AT39" s="270" t="str">
        <f>Sheet1!$E$25</f>
        <v>2015-16</v>
      </c>
      <c r="AU39" s="270" t="str">
        <f>Sheet1!$F$25</f>
        <v>2016-17</v>
      </c>
      <c r="AV39" s="270" t="str">
        <f>Sheet1!$G$25</f>
        <v>2017-18</v>
      </c>
      <c r="AW39" s="270" t="str">
        <f>Sheet1!$H$25</f>
        <v>2018-19</v>
      </c>
      <c r="AX39" s="474" t="str">
        <f>Sheet1!$D$25</f>
        <v>2014-15</v>
      </c>
      <c r="AY39" s="474" t="str">
        <f>Sheet1!$E$25</f>
        <v>2015-16</v>
      </c>
      <c r="AZ39" s="474" t="str">
        <f>Sheet1!$F$25</f>
        <v>2016-17</v>
      </c>
      <c r="BA39" s="474" t="str">
        <f>Sheet1!$G$25</f>
        <v>2017-18</v>
      </c>
      <c r="BB39" s="474" t="str">
        <f>Sheet1!$H$25</f>
        <v>2018-19</v>
      </c>
    </row>
    <row r="40" spans="1:54" s="83" customFormat="1" ht="3.75" customHeight="1" x14ac:dyDescent="0.25">
      <c r="A40" s="118"/>
      <c r="B40" s="9"/>
      <c r="C40" s="9"/>
      <c r="D40" s="9"/>
      <c r="E40" s="9"/>
      <c r="F40" s="9"/>
      <c r="G40" s="9"/>
      <c r="H40" s="9"/>
      <c r="I40" s="9"/>
      <c r="J40" s="13"/>
      <c r="K40" s="9"/>
      <c r="L40" s="9"/>
      <c r="M40" s="9"/>
      <c r="N40" s="9"/>
      <c r="O40" s="9"/>
      <c r="P40" s="9"/>
      <c r="Q40" s="9"/>
      <c r="R40" s="9"/>
      <c r="S40" s="9"/>
      <c r="T40" s="9"/>
      <c r="U40" s="9"/>
      <c r="V40" s="119"/>
      <c r="W40" s="138"/>
      <c r="X40" s="288"/>
      <c r="AD40" s="1188" t="s">
        <v>1002</v>
      </c>
      <c r="AK40" s="156"/>
      <c r="AL40" s="89"/>
      <c r="AM40" s="270" t="e">
        <f>Sheet1!$D$26</f>
        <v>#N/A</v>
      </c>
      <c r="AN40" s="270" t="e">
        <f>Sheet1!$E$26</f>
        <v>#N/A</v>
      </c>
      <c r="AO40" s="270" t="e">
        <f>Sheet1!$F$26</f>
        <v>#N/A</v>
      </c>
      <c r="AP40" s="270" t="e">
        <f>Sheet1!$G$26</f>
        <v>#N/A</v>
      </c>
      <c r="AQ40" s="270" t="e">
        <f>Sheet1!$H$26</f>
        <v>#N/A</v>
      </c>
      <c r="AR40" s="1465"/>
      <c r="AS40" s="270" t="e">
        <f>Sheet1!$D$26</f>
        <v>#N/A</v>
      </c>
      <c r="AT40" s="270" t="e">
        <f>Sheet1!$E$26</f>
        <v>#N/A</v>
      </c>
      <c r="AU40" s="270" t="e">
        <f>Sheet1!$F$26</f>
        <v>#N/A</v>
      </c>
      <c r="AV40" s="270" t="e">
        <f>Sheet1!$G$26</f>
        <v>#N/A</v>
      </c>
      <c r="AW40" s="270" t="e">
        <f>Sheet1!$H$26</f>
        <v>#N/A</v>
      </c>
      <c r="AX40" s="474" t="e">
        <f>Sheet1!$D$26</f>
        <v>#N/A</v>
      </c>
      <c r="AY40" s="474" t="e">
        <f>Sheet1!$E$26</f>
        <v>#N/A</v>
      </c>
      <c r="AZ40" s="474" t="e">
        <f>Sheet1!$F$26</f>
        <v>#N/A</v>
      </c>
      <c r="BA40" s="474" t="e">
        <f>Sheet1!$G$26</f>
        <v>#N/A</v>
      </c>
      <c r="BB40" s="474" t="e">
        <f>Sheet1!$H$26</f>
        <v>#N/A</v>
      </c>
    </row>
    <row r="41" spans="1:54" s="83" customFormat="1" ht="14.25" customHeight="1" x14ac:dyDescent="0.2">
      <c r="A41" s="120"/>
      <c r="B41" s="9"/>
      <c r="C41" s="9"/>
      <c r="D41" s="9"/>
      <c r="E41" s="9"/>
      <c r="F41" s="9"/>
      <c r="G41" s="9"/>
      <c r="H41" s="9"/>
      <c r="I41" s="9"/>
      <c r="J41" s="13"/>
      <c r="K41" s="9"/>
      <c r="L41" s="9"/>
      <c r="M41" s="9"/>
      <c r="N41" s="9"/>
      <c r="O41" s="9"/>
      <c r="P41" s="9"/>
      <c r="Q41" s="9"/>
      <c r="R41" s="9"/>
      <c r="S41" s="9"/>
      <c r="T41" s="9"/>
      <c r="U41" s="9"/>
      <c r="V41" s="119"/>
      <c r="W41" s="138"/>
      <c r="X41" s="288"/>
      <c r="Y41" s="44" t="s">
        <v>72</v>
      </c>
      <c r="Z41" s="44" t="s">
        <v>70</v>
      </c>
      <c r="AA41" s="44" t="s">
        <v>71</v>
      </c>
      <c r="AB41" s="1061">
        <v>5</v>
      </c>
      <c r="AC41" s="212">
        <f>(AB41*Z42)+AA42</f>
        <v>464.12322886167107</v>
      </c>
      <c r="AD41" s="203">
        <f>ROUND(ChartLabels!$AA7,3)</f>
        <v>0.123</v>
      </c>
      <c r="AJ41" s="560" t="b">
        <v>1</v>
      </c>
      <c r="AK41" s="156" t="s">
        <v>0</v>
      </c>
      <c r="AL41" s="89" t="str">
        <f t="shared" ref="AL41:AL64" si="15">IF(AJ41=TRUE,B10,"")</f>
        <v>Bracknell Forest</v>
      </c>
      <c r="AM41" s="143">
        <f t="shared" ref="AM41:AQ50" si="16">VLOOKUP($AL41,$B$10:$O$33,AM$37,FALSE)</f>
        <v>381.29496402877697</v>
      </c>
      <c r="AN41" s="143">
        <f t="shared" si="16"/>
        <v>463.12056737588654</v>
      </c>
      <c r="AO41" s="143">
        <f t="shared" si="16"/>
        <v>582.97872340425533</v>
      </c>
      <c r="AP41" s="143">
        <f t="shared" si="16"/>
        <v>647.3309608540925</v>
      </c>
      <c r="AQ41" s="143">
        <f t="shared" si="16"/>
        <v>791.51943462897532</v>
      </c>
      <c r="AR41" s="144">
        <f t="shared" ref="AR41:AR64" si="17">VLOOKUP(AL41,$B$10:$U$33,$AR$37,FALSE)</f>
        <v>8.9</v>
      </c>
      <c r="AS41" s="341">
        <f t="shared" ref="AS41:AW50" si="18">VLOOKUP($AL41,$B$148:$H$171,AS$37,FALSE)</f>
        <v>0.89339622641509431</v>
      </c>
      <c r="AT41" s="341">
        <f t="shared" si="18"/>
        <v>0.82695252679938747</v>
      </c>
      <c r="AU41" s="341">
        <f t="shared" si="18"/>
        <v>0.87591240875912413</v>
      </c>
      <c r="AV41" s="341">
        <f t="shared" si="18"/>
        <v>0.9279824079164376</v>
      </c>
      <c r="AW41" s="341">
        <f t="shared" si="18"/>
        <v>0.71875</v>
      </c>
      <c r="AX41" s="341" t="e">
        <f t="shared" ref="AX41:BB50" si="19">VLOOKUP($AL41,$B$112:$H$135,AX$37,FALSE)</f>
        <v>#N/A</v>
      </c>
      <c r="AY41" s="341" t="e">
        <f t="shared" si="19"/>
        <v>#N/A</v>
      </c>
      <c r="AZ41" s="341" t="e">
        <f t="shared" si="19"/>
        <v>#N/A</v>
      </c>
      <c r="BA41" s="341" t="e">
        <f t="shared" si="19"/>
        <v>#N/A</v>
      </c>
      <c r="BB41" s="341" t="e">
        <f t="shared" si="19"/>
        <v>#N/A</v>
      </c>
    </row>
    <row r="42" spans="1:54" s="83" customFormat="1" ht="14.25" customHeight="1" x14ac:dyDescent="0.2">
      <c r="A42" s="120"/>
      <c r="B42" s="9"/>
      <c r="C42" s="9"/>
      <c r="D42" s="9"/>
      <c r="E42" s="9"/>
      <c r="F42" s="9"/>
      <c r="G42" s="9"/>
      <c r="H42" s="9"/>
      <c r="I42" s="9"/>
      <c r="J42" s="13"/>
      <c r="K42" s="9"/>
      <c r="L42" s="9"/>
      <c r="M42" s="9"/>
      <c r="N42" s="9"/>
      <c r="O42" s="9"/>
      <c r="P42" s="9"/>
      <c r="Q42" s="9"/>
      <c r="R42" s="9"/>
      <c r="S42" s="9"/>
      <c r="T42" s="9"/>
      <c r="U42" s="9"/>
      <c r="V42" s="119"/>
      <c r="W42" s="138"/>
      <c r="X42" s="288"/>
      <c r="Y42" s="208" t="str">
        <f>"Y= "&amp;Z42&amp;"x + "&amp;AA42</f>
        <v>Y= 11.8784941530226x + 404.730758096558</v>
      </c>
      <c r="Z42" s="712">
        <f>ChartLabels!$Y7</f>
        <v>11.878494153022634</v>
      </c>
      <c r="AA42" s="712">
        <f>ChartLabels!$Z7</f>
        <v>404.73075809655791</v>
      </c>
      <c r="AB42" s="211">
        <v>35</v>
      </c>
      <c r="AC42" s="212">
        <f>(AB42*Z42)+AA42</f>
        <v>820.4780534523502</v>
      </c>
      <c r="AD42" s="1187" t="str">
        <f>AD40&amp;" = "&amp;AD41</f>
        <v>r² = 0.123</v>
      </c>
      <c r="AJ42" s="560" t="b">
        <v>1</v>
      </c>
      <c r="AK42" s="156" t="s">
        <v>31</v>
      </c>
      <c r="AL42" s="89" t="str">
        <f t="shared" si="15"/>
        <v>Brighton &amp; Hove</v>
      </c>
      <c r="AM42" s="143">
        <f t="shared" si="16"/>
        <v>1432.7450980392157</v>
      </c>
      <c r="AN42" s="143">
        <f t="shared" si="16"/>
        <v>669.140625</v>
      </c>
      <c r="AO42" s="143">
        <f t="shared" si="16"/>
        <v>663.74269005847941</v>
      </c>
      <c r="AP42" s="143">
        <f t="shared" si="16"/>
        <v>655.68627450980398</v>
      </c>
      <c r="AQ42" s="143">
        <f t="shared" si="16"/>
        <v>635.0980392156863</v>
      </c>
      <c r="AR42" s="144">
        <f t="shared" si="17"/>
        <v>15.299999999999999</v>
      </c>
      <c r="AS42" s="341">
        <f t="shared" si="18"/>
        <v>0.48816203640344874</v>
      </c>
      <c r="AT42" s="341">
        <f t="shared" si="18"/>
        <v>0.90455341506129594</v>
      </c>
      <c r="AU42" s="341">
        <f t="shared" si="18"/>
        <v>0.90249632892804699</v>
      </c>
      <c r="AV42" s="341">
        <f t="shared" si="18"/>
        <v>0.9087918660287081</v>
      </c>
      <c r="AW42" s="341">
        <f t="shared" si="18"/>
        <v>0.92466810744056804</v>
      </c>
      <c r="AX42" s="341" t="e">
        <f t="shared" si="19"/>
        <v>#N/A</v>
      </c>
      <c r="AY42" s="341" t="e">
        <f t="shared" si="19"/>
        <v>#N/A</v>
      </c>
      <c r="AZ42" s="341" t="e">
        <f t="shared" si="19"/>
        <v>#N/A</v>
      </c>
      <c r="BA42" s="341" t="e">
        <f t="shared" si="19"/>
        <v>#N/A</v>
      </c>
      <c r="BB42" s="341" t="e">
        <f t="shared" si="19"/>
        <v>#N/A</v>
      </c>
    </row>
    <row r="43" spans="1:54" ht="14.25" customHeight="1" x14ac:dyDescent="0.2">
      <c r="A43" s="120"/>
      <c r="B43" s="9"/>
      <c r="C43" s="9"/>
      <c r="D43" s="9"/>
      <c r="E43" s="9"/>
      <c r="F43" s="9"/>
      <c r="G43" s="9"/>
      <c r="H43" s="9"/>
      <c r="I43" s="9"/>
      <c r="J43" s="13"/>
      <c r="K43" s="9"/>
      <c r="L43" s="9"/>
      <c r="M43" s="9"/>
      <c r="N43" s="9"/>
      <c r="O43" s="9"/>
      <c r="P43" s="9"/>
      <c r="Q43" s="9"/>
      <c r="R43" s="9"/>
      <c r="S43" s="9"/>
      <c r="T43" s="9"/>
      <c r="U43" s="9"/>
      <c r="V43" s="119"/>
      <c r="W43" s="138"/>
      <c r="X43" s="288"/>
      <c r="Y43" s="44" t="str">
        <f>"National Trend "&amp;Sheet1!$B$8</f>
        <v>National Trend 2019</v>
      </c>
      <c r="Z43" s="44" t="s">
        <v>70</v>
      </c>
      <c r="AA43" s="44" t="s">
        <v>71</v>
      </c>
      <c r="AB43" s="1061">
        <v>5</v>
      </c>
      <c r="AC43" s="212">
        <f>((AB43*Z44)+AA44)/$Y$2</f>
        <v>352.40287787765703</v>
      </c>
      <c r="AD43" s="714" t="str">
        <f>"r² = "&amp;ROUND(AD44,3)</f>
        <v>r² = 0.312</v>
      </c>
      <c r="AJ43" s="560" t="b">
        <v>1</v>
      </c>
      <c r="AK43" s="156" t="s">
        <v>8</v>
      </c>
      <c r="AL43" s="89" t="str">
        <f t="shared" si="15"/>
        <v>Buckinghamshire</v>
      </c>
      <c r="AM43" s="143">
        <f t="shared" si="16"/>
        <v>431.37089991589573</v>
      </c>
      <c r="AN43" s="143">
        <f t="shared" si="16"/>
        <v>576.94859038142624</v>
      </c>
      <c r="AO43" s="143">
        <f t="shared" si="16"/>
        <v>753.19148936170211</v>
      </c>
      <c r="AP43" s="143">
        <f t="shared" si="16"/>
        <v>839.7238017871648</v>
      </c>
      <c r="AQ43" s="143">
        <f t="shared" si="16"/>
        <v>614.64199517296868</v>
      </c>
      <c r="AR43" s="144">
        <f t="shared" si="17"/>
        <v>8.5</v>
      </c>
      <c r="AS43" s="341">
        <f t="shared" si="18"/>
        <v>0.97426398908169232</v>
      </c>
      <c r="AT43" s="341">
        <f t="shared" si="18"/>
        <v>0.83702213279678073</v>
      </c>
      <c r="AU43" s="341">
        <f t="shared" si="18"/>
        <v>0.89710995219469791</v>
      </c>
      <c r="AV43" s="341">
        <f t="shared" si="18"/>
        <v>0.74102737738221924</v>
      </c>
      <c r="AW43" s="341">
        <f t="shared" si="18"/>
        <v>0.73390052356020941</v>
      </c>
      <c r="AX43" s="341" t="e">
        <f t="shared" si="19"/>
        <v>#N/A</v>
      </c>
      <c r="AY43" s="341" t="e">
        <f t="shared" si="19"/>
        <v>#N/A</v>
      </c>
      <c r="AZ43" s="341" t="e">
        <f t="shared" si="19"/>
        <v>#N/A</v>
      </c>
      <c r="BA43" s="341" t="e">
        <f t="shared" si="19"/>
        <v>#N/A</v>
      </c>
      <c r="BB43" s="341" t="e">
        <f t="shared" si="19"/>
        <v>#N/A</v>
      </c>
    </row>
    <row r="44" spans="1:54" ht="14.25" customHeight="1" x14ac:dyDescent="0.2">
      <c r="A44" s="120"/>
      <c r="B44" s="9"/>
      <c r="C44" s="9"/>
      <c r="D44" s="9"/>
      <c r="E44" s="9"/>
      <c r="F44" s="9"/>
      <c r="G44" s="9"/>
      <c r="H44" s="9"/>
      <c r="I44" s="9"/>
      <c r="J44" s="13"/>
      <c r="K44" s="14"/>
      <c r="L44" s="14"/>
      <c r="M44" s="14"/>
      <c r="N44" s="14"/>
      <c r="O44" s="15"/>
      <c r="P44" s="15"/>
      <c r="Q44" s="15"/>
      <c r="R44" s="15"/>
      <c r="S44" s="15"/>
      <c r="T44" s="15"/>
      <c r="U44" s="15"/>
      <c r="V44" s="119"/>
      <c r="W44" s="138"/>
      <c r="X44" s="288"/>
      <c r="Y44" s="71" t="str">
        <f>"Y= "&amp;Z44&amp;"x + "&amp;AA44</f>
        <v>Y= 16.4054948762443x + 270.375403496436</v>
      </c>
      <c r="Z44" s="1063">
        <f>Sheet1!D7</f>
        <v>16.405494876244276</v>
      </c>
      <c r="AA44" s="1063">
        <f>Sheet1!D8</f>
        <v>270.37540349643564</v>
      </c>
      <c r="AB44" s="211">
        <v>35</v>
      </c>
      <c r="AC44" s="212">
        <f>((AB44*Z44)+AA44)/$Y$2</f>
        <v>844.56772416498529</v>
      </c>
      <c r="AD44" s="83">
        <f>Sheet1!D9</f>
        <v>0.31209338830083383</v>
      </c>
      <c r="AJ44" s="560" t="b">
        <v>1</v>
      </c>
      <c r="AK44" s="156" t="s">
        <v>4</v>
      </c>
      <c r="AL44" s="89" t="str">
        <f t="shared" si="15"/>
        <v>East Sussex</v>
      </c>
      <c r="AM44" s="143">
        <f t="shared" si="16"/>
        <v>378.55787476280835</v>
      </c>
      <c r="AN44" s="143">
        <f t="shared" si="16"/>
        <v>301.98300283286119</v>
      </c>
      <c r="AO44" s="143">
        <f t="shared" si="16"/>
        <v>347.11992445703493</v>
      </c>
      <c r="AP44" s="143">
        <f t="shared" si="16"/>
        <v>411.98113207547169</v>
      </c>
      <c r="AQ44" s="143">
        <f t="shared" si="16"/>
        <v>405.54511278195491</v>
      </c>
      <c r="AR44" s="144">
        <f t="shared" si="17"/>
        <v>16.100000000000001</v>
      </c>
      <c r="AS44" s="341">
        <f t="shared" si="18"/>
        <v>0.94260651629072678</v>
      </c>
      <c r="AT44" s="341">
        <f t="shared" si="18"/>
        <v>0.97467166979362097</v>
      </c>
      <c r="AU44" s="341">
        <f t="shared" si="18"/>
        <v>0.98150163220892273</v>
      </c>
      <c r="AV44" s="341">
        <f t="shared" si="18"/>
        <v>0.9814517975727044</v>
      </c>
      <c r="AW44" s="341">
        <f t="shared" si="18"/>
        <v>0.98146002317497105</v>
      </c>
      <c r="AX44" s="341" t="e">
        <f t="shared" si="19"/>
        <v>#N/A</v>
      </c>
      <c r="AY44" s="341" t="e">
        <f t="shared" si="19"/>
        <v>#N/A</v>
      </c>
      <c r="AZ44" s="341" t="e">
        <f t="shared" si="19"/>
        <v>#N/A</v>
      </c>
      <c r="BA44" s="341" t="e">
        <f t="shared" si="19"/>
        <v>#N/A</v>
      </c>
      <c r="BB44" s="341" t="e">
        <f t="shared" si="19"/>
        <v>#N/A</v>
      </c>
    </row>
    <row r="45" spans="1:54" s="78" customFormat="1" ht="14.25" customHeight="1" x14ac:dyDescent="0.2">
      <c r="A45" s="121"/>
      <c r="B45" s="109"/>
      <c r="C45" s="109"/>
      <c r="D45" s="110"/>
      <c r="E45" s="110"/>
      <c r="F45" s="110"/>
      <c r="G45" s="110"/>
      <c r="H45" s="110"/>
      <c r="I45" s="221"/>
      <c r="J45" s="16"/>
      <c r="K45" s="9"/>
      <c r="L45" s="9"/>
      <c r="M45" s="9"/>
      <c r="N45" s="9"/>
      <c r="O45" s="9"/>
      <c r="P45" s="9"/>
      <c r="Q45" s="9"/>
      <c r="R45" s="9"/>
      <c r="S45" s="9"/>
      <c r="T45" s="9"/>
      <c r="U45" s="9"/>
      <c r="V45" s="122"/>
      <c r="W45" s="139"/>
      <c r="X45" s="289"/>
      <c r="AD45" s="83"/>
      <c r="AE45" s="83"/>
      <c r="AF45" s="83"/>
      <c r="AG45" s="83"/>
      <c r="AH45" s="83"/>
      <c r="AI45" s="83"/>
      <c r="AJ45" s="560" t="b">
        <v>1</v>
      </c>
      <c r="AK45" s="156" t="s">
        <v>6</v>
      </c>
      <c r="AL45" s="89" t="str">
        <f t="shared" si="15"/>
        <v>Hampshire</v>
      </c>
      <c r="AM45" s="143">
        <f t="shared" si="16"/>
        <v>594.99111900532853</v>
      </c>
      <c r="AN45" s="143">
        <f t="shared" si="16"/>
        <v>591.20255409719766</v>
      </c>
      <c r="AO45" s="143">
        <f t="shared" si="16"/>
        <v>687.23479490806221</v>
      </c>
      <c r="AP45" s="143">
        <f t="shared" si="16"/>
        <v>568.83162725026466</v>
      </c>
      <c r="AQ45" s="143">
        <f t="shared" si="16"/>
        <v>648.16901408450701</v>
      </c>
      <c r="AR45" s="144">
        <f t="shared" si="17"/>
        <v>10.100000000000001</v>
      </c>
      <c r="AS45" s="341">
        <f t="shared" si="18"/>
        <v>0.89671025135829008</v>
      </c>
      <c r="AT45" s="341">
        <f t="shared" si="18"/>
        <v>0.89961598463938552</v>
      </c>
      <c r="AU45" s="341">
        <f t="shared" si="18"/>
        <v>0.82588114226910214</v>
      </c>
      <c r="AV45" s="341">
        <f t="shared" si="18"/>
        <v>0.83599131244182434</v>
      </c>
      <c r="AW45" s="341">
        <f t="shared" si="18"/>
        <v>0.85495436766623212</v>
      </c>
      <c r="AX45" s="341" t="e">
        <f t="shared" si="19"/>
        <v>#N/A</v>
      </c>
      <c r="AY45" s="341" t="e">
        <f t="shared" si="19"/>
        <v>#N/A</v>
      </c>
      <c r="AZ45" s="341" t="e">
        <f t="shared" si="19"/>
        <v>#N/A</v>
      </c>
      <c r="BA45" s="341" t="e">
        <f t="shared" si="19"/>
        <v>#N/A</v>
      </c>
      <c r="BB45" s="341" t="e">
        <f t="shared" si="19"/>
        <v>#N/A</v>
      </c>
    </row>
    <row r="46" spans="1:54" ht="14.25" customHeight="1" x14ac:dyDescent="0.2">
      <c r="A46" s="120"/>
      <c r="B46" s="110"/>
      <c r="C46" s="110"/>
      <c r="D46" s="110"/>
      <c r="E46" s="110"/>
      <c r="F46" s="110"/>
      <c r="G46" s="110"/>
      <c r="H46" s="110"/>
      <c r="I46" s="221"/>
      <c r="J46" s="13"/>
      <c r="K46" s="15"/>
      <c r="L46" s="15"/>
      <c r="M46" s="15"/>
      <c r="N46" s="15"/>
      <c r="O46" s="9"/>
      <c r="P46" s="9"/>
      <c r="Q46" s="9"/>
      <c r="R46" s="9"/>
      <c r="S46" s="9"/>
      <c r="T46" s="9"/>
      <c r="U46" s="9"/>
      <c r="V46" s="119"/>
      <c r="W46" s="138"/>
      <c r="X46" s="288"/>
      <c r="AJ46" s="560" t="b">
        <v>1</v>
      </c>
      <c r="AK46" s="156" t="s">
        <v>1</v>
      </c>
      <c r="AL46" s="89" t="str">
        <f t="shared" si="15"/>
        <v>Isle of Wight</v>
      </c>
      <c r="AM46" s="143">
        <f t="shared" si="16"/>
        <v>931.37254901960785</v>
      </c>
      <c r="AN46" s="143">
        <f t="shared" si="16"/>
        <v>944.26877470355737</v>
      </c>
      <c r="AO46" s="143">
        <f t="shared" si="16"/>
        <v>1036.9047619047619</v>
      </c>
      <c r="AP46" s="143">
        <f t="shared" si="16"/>
        <v>881.27490039840632</v>
      </c>
      <c r="AQ46" s="143">
        <f t="shared" si="16"/>
        <v>973.49397590361446</v>
      </c>
      <c r="AR46" s="144">
        <f t="shared" si="17"/>
        <v>18</v>
      </c>
      <c r="AS46" s="341">
        <f t="shared" si="18"/>
        <v>0.85978947368421055</v>
      </c>
      <c r="AT46" s="341">
        <f t="shared" si="18"/>
        <v>0.89284219338635418</v>
      </c>
      <c r="AU46" s="341">
        <f t="shared" si="18"/>
        <v>0.83773440489858397</v>
      </c>
      <c r="AV46" s="341">
        <f t="shared" si="18"/>
        <v>0.80605786618444841</v>
      </c>
      <c r="AW46" s="341">
        <f t="shared" si="18"/>
        <v>0.77846534653465349</v>
      </c>
      <c r="AX46" s="341" t="e">
        <f t="shared" si="19"/>
        <v>#N/A</v>
      </c>
      <c r="AY46" s="341" t="e">
        <f t="shared" si="19"/>
        <v>#N/A</v>
      </c>
      <c r="AZ46" s="341" t="e">
        <f t="shared" si="19"/>
        <v>#N/A</v>
      </c>
      <c r="BA46" s="341" t="e">
        <f t="shared" si="19"/>
        <v>#N/A</v>
      </c>
      <c r="BB46" s="341" t="e">
        <f t="shared" si="19"/>
        <v>#N/A</v>
      </c>
    </row>
    <row r="47" spans="1:54" ht="14.25" customHeight="1" x14ac:dyDescent="0.2">
      <c r="A47" s="120"/>
      <c r="B47" s="110"/>
      <c r="C47" s="110"/>
      <c r="D47" s="110"/>
      <c r="E47" s="110"/>
      <c r="F47" s="110"/>
      <c r="G47" s="110"/>
      <c r="H47" s="110"/>
      <c r="I47" s="221"/>
      <c r="J47" s="13"/>
      <c r="K47" s="15"/>
      <c r="L47" s="15"/>
      <c r="M47" s="15"/>
      <c r="N47" s="15"/>
      <c r="O47" s="9"/>
      <c r="P47" s="9"/>
      <c r="Q47" s="9"/>
      <c r="R47" s="9"/>
      <c r="S47" s="9"/>
      <c r="T47" s="9"/>
      <c r="U47" s="9"/>
      <c r="V47" s="119"/>
      <c r="W47" s="138"/>
      <c r="X47" s="288"/>
      <c r="AD47" s="204"/>
      <c r="AJ47" s="560" t="b">
        <v>1</v>
      </c>
      <c r="AK47" s="156" t="s">
        <v>9</v>
      </c>
      <c r="AL47" s="89" t="str">
        <f t="shared" si="15"/>
        <v>Kent</v>
      </c>
      <c r="AM47" s="143">
        <f t="shared" si="16"/>
        <v>503.4724337496192</v>
      </c>
      <c r="AN47" s="143">
        <f t="shared" si="16"/>
        <v>464.34624697336562</v>
      </c>
      <c r="AO47" s="143">
        <f t="shared" si="16"/>
        <v>474.62462462462463</v>
      </c>
      <c r="AP47" s="143">
        <f t="shared" si="16"/>
        <v>576.40583159773882</v>
      </c>
      <c r="AQ47" s="143">
        <f t="shared" si="16"/>
        <v>537.57718318141724</v>
      </c>
      <c r="AR47" s="144">
        <f t="shared" si="17"/>
        <v>15.8</v>
      </c>
      <c r="AS47" s="341">
        <f t="shared" si="18"/>
        <v>0.72127775425010587</v>
      </c>
      <c r="AT47" s="341">
        <f t="shared" si="18"/>
        <v>0.99302568113674883</v>
      </c>
      <c r="AU47" s="341">
        <f t="shared" si="18"/>
        <v>0.99462195507750717</v>
      </c>
      <c r="AV47" s="341">
        <f t="shared" si="18"/>
        <v>0.99236050172921075</v>
      </c>
      <c r="AW47" s="341">
        <f t="shared" si="18"/>
        <v>0.99431165563638357</v>
      </c>
      <c r="AX47" s="341" t="e">
        <f t="shared" si="19"/>
        <v>#N/A</v>
      </c>
      <c r="AY47" s="341" t="e">
        <f t="shared" si="19"/>
        <v>#N/A</v>
      </c>
      <c r="AZ47" s="341" t="e">
        <f t="shared" si="19"/>
        <v>#N/A</v>
      </c>
      <c r="BA47" s="341" t="e">
        <f t="shared" si="19"/>
        <v>#N/A</v>
      </c>
      <c r="BB47" s="341" t="e">
        <f t="shared" si="19"/>
        <v>#N/A</v>
      </c>
    </row>
    <row r="48" spans="1:54" ht="14.25" customHeight="1" x14ac:dyDescent="0.2">
      <c r="A48" s="120"/>
      <c r="B48" s="58"/>
      <c r="C48" s="58"/>
      <c r="D48" s="58"/>
      <c r="E48" s="58"/>
      <c r="F48" s="58"/>
      <c r="G48" s="58"/>
      <c r="H48" s="58"/>
      <c r="I48" s="58"/>
      <c r="J48" s="13"/>
      <c r="K48" s="15"/>
      <c r="L48" s="15"/>
      <c r="M48" s="15"/>
      <c r="N48" s="15"/>
      <c r="O48" s="9"/>
      <c r="P48" s="9"/>
      <c r="Q48" s="9"/>
      <c r="R48" s="9"/>
      <c r="S48" s="9"/>
      <c r="T48" s="9"/>
      <c r="U48" s="9"/>
      <c r="V48" s="119"/>
      <c r="W48" s="138"/>
      <c r="X48" s="288"/>
      <c r="AD48" s="179"/>
      <c r="AJ48" s="560" t="b">
        <v>1</v>
      </c>
      <c r="AK48" s="156" t="s">
        <v>2</v>
      </c>
      <c r="AL48" s="89" t="str">
        <f t="shared" si="15"/>
        <v>Medway</v>
      </c>
      <c r="AM48" s="143">
        <f t="shared" si="16"/>
        <v>492.79999999999995</v>
      </c>
      <c r="AN48" s="143">
        <f t="shared" si="16"/>
        <v>532.91139240506334</v>
      </c>
      <c r="AO48" s="143">
        <f t="shared" si="16"/>
        <v>428.88540031397173</v>
      </c>
      <c r="AP48" s="143">
        <f t="shared" si="16"/>
        <v>408.76369327073553</v>
      </c>
      <c r="AQ48" s="143">
        <f t="shared" si="16"/>
        <v>625</v>
      </c>
      <c r="AR48" s="144">
        <f t="shared" si="17"/>
        <v>18.899999999999999</v>
      </c>
      <c r="AS48" s="341">
        <f t="shared" si="18"/>
        <v>0.95292207792207795</v>
      </c>
      <c r="AT48" s="341">
        <f t="shared" si="18"/>
        <v>0.88004750593824232</v>
      </c>
      <c r="AU48" s="341">
        <f t="shared" si="18"/>
        <v>0.91617862371888725</v>
      </c>
      <c r="AV48" s="341">
        <f t="shared" si="18"/>
        <v>0.92534456355283312</v>
      </c>
      <c r="AW48" s="341">
        <f t="shared" si="18"/>
        <v>0.92670807453416149</v>
      </c>
      <c r="AX48" s="341" t="e">
        <f t="shared" si="19"/>
        <v>#N/A</v>
      </c>
      <c r="AY48" s="341" t="e">
        <f t="shared" si="19"/>
        <v>#N/A</v>
      </c>
      <c r="AZ48" s="341" t="e">
        <f t="shared" si="19"/>
        <v>#N/A</v>
      </c>
      <c r="BA48" s="341" t="e">
        <f t="shared" si="19"/>
        <v>#N/A</v>
      </c>
      <c r="BB48" s="341" t="e">
        <f t="shared" si="19"/>
        <v>#N/A</v>
      </c>
    </row>
    <row r="49" spans="1:54" ht="14.25" customHeight="1" x14ac:dyDescent="0.2">
      <c r="A49" s="120"/>
      <c r="B49" s="58"/>
      <c r="C49" s="58"/>
      <c r="D49" s="68"/>
      <c r="E49" s="69"/>
      <c r="F49" s="68"/>
      <c r="G49" s="69"/>
      <c r="H49" s="69"/>
      <c r="I49" s="69"/>
      <c r="J49" s="13"/>
      <c r="K49" s="15"/>
      <c r="L49" s="15"/>
      <c r="M49" s="15"/>
      <c r="N49" s="15"/>
      <c r="O49" s="9"/>
      <c r="P49" s="9"/>
      <c r="Q49" s="9"/>
      <c r="R49" s="9"/>
      <c r="S49" s="9"/>
      <c r="T49" s="9"/>
      <c r="U49" s="9"/>
      <c r="V49" s="119"/>
      <c r="W49" s="138"/>
      <c r="X49" s="288"/>
      <c r="AJ49" s="560" t="b">
        <v>1</v>
      </c>
      <c r="AK49" s="156" t="s">
        <v>10</v>
      </c>
      <c r="AL49" s="89" t="str">
        <f t="shared" si="15"/>
        <v>Milton Keynes</v>
      </c>
      <c r="AM49" s="143">
        <f t="shared" si="16"/>
        <v>394.01840490797548</v>
      </c>
      <c r="AN49" s="143">
        <f t="shared" si="16"/>
        <v>418.91074130105898</v>
      </c>
      <c r="AO49" s="143">
        <f t="shared" si="16"/>
        <v>459.46348733233981</v>
      </c>
      <c r="AP49" s="143">
        <f t="shared" si="16"/>
        <v>348.96449704142009</v>
      </c>
      <c r="AQ49" s="143">
        <f t="shared" si="16"/>
        <v>397.80380673499269</v>
      </c>
      <c r="AR49" s="144">
        <f t="shared" si="17"/>
        <v>15</v>
      </c>
      <c r="AS49" s="341">
        <f t="shared" si="18"/>
        <v>0.79174776177500972</v>
      </c>
      <c r="AT49" s="341">
        <f t="shared" si="18"/>
        <v>0.76778620440592271</v>
      </c>
      <c r="AU49" s="341">
        <f t="shared" si="18"/>
        <v>0.81673694453454426</v>
      </c>
      <c r="AV49" s="341">
        <f t="shared" si="18"/>
        <v>0.81644764730818142</v>
      </c>
      <c r="AW49" s="341">
        <f t="shared" si="18"/>
        <v>0.83216783216783219</v>
      </c>
      <c r="AX49" s="341" t="e">
        <f t="shared" si="19"/>
        <v>#N/A</v>
      </c>
      <c r="AY49" s="341" t="e">
        <f t="shared" si="19"/>
        <v>#N/A</v>
      </c>
      <c r="AZ49" s="341" t="e">
        <f t="shared" si="19"/>
        <v>#N/A</v>
      </c>
      <c r="BA49" s="341" t="e">
        <f t="shared" si="19"/>
        <v>#N/A</v>
      </c>
      <c r="BB49" s="341" t="e">
        <f t="shared" si="19"/>
        <v>#N/A</v>
      </c>
    </row>
    <row r="50" spans="1:54" ht="14.25" customHeight="1" x14ac:dyDescent="0.2">
      <c r="A50" s="120"/>
      <c r="B50" s="58"/>
      <c r="C50" s="58"/>
      <c r="D50" s="61"/>
      <c r="E50" s="61"/>
      <c r="F50" s="61"/>
      <c r="G50" s="61"/>
      <c r="H50" s="61"/>
      <c r="I50" s="61"/>
      <c r="J50" s="13"/>
      <c r="K50" s="15"/>
      <c r="L50" s="15"/>
      <c r="M50" s="15"/>
      <c r="N50" s="15"/>
      <c r="O50" s="9"/>
      <c r="P50" s="9"/>
      <c r="Q50" s="9"/>
      <c r="R50" s="9"/>
      <c r="S50" s="9"/>
      <c r="T50" s="9"/>
      <c r="U50" s="9"/>
      <c r="V50" s="119"/>
      <c r="W50" s="138"/>
      <c r="X50" s="288"/>
      <c r="AJ50" s="560" t="b">
        <v>1</v>
      </c>
      <c r="AK50" s="156" t="s">
        <v>11</v>
      </c>
      <c r="AL50" s="89" t="str">
        <f t="shared" si="15"/>
        <v>Oxfordshire</v>
      </c>
      <c r="AM50" s="143">
        <f t="shared" si="16"/>
        <v>401.06232294617564</v>
      </c>
      <c r="AN50" s="143">
        <f t="shared" si="16"/>
        <v>476.02256699576873</v>
      </c>
      <c r="AO50" s="143">
        <f t="shared" si="16"/>
        <v>494.47165850244926</v>
      </c>
      <c r="AP50" s="143">
        <f t="shared" si="16"/>
        <v>475.17433751743374</v>
      </c>
      <c r="AQ50" s="143">
        <f t="shared" si="16"/>
        <v>468.16298342541438</v>
      </c>
      <c r="AR50" s="144">
        <f t="shared" si="17"/>
        <v>10.100000000000001</v>
      </c>
      <c r="AS50" s="341">
        <f t="shared" si="18"/>
        <v>0.70174819000529753</v>
      </c>
      <c r="AT50" s="341">
        <f t="shared" si="18"/>
        <v>0.91629629629629628</v>
      </c>
      <c r="AU50" s="341">
        <f t="shared" si="18"/>
        <v>0.93362581375601472</v>
      </c>
      <c r="AV50" s="341">
        <f t="shared" si="18"/>
        <v>0.79439389492221901</v>
      </c>
      <c r="AW50" s="341">
        <f t="shared" si="18"/>
        <v>0.82873580174066974</v>
      </c>
      <c r="AX50" s="341" t="e">
        <f t="shared" si="19"/>
        <v>#N/A</v>
      </c>
      <c r="AY50" s="341" t="e">
        <f t="shared" si="19"/>
        <v>#N/A</v>
      </c>
      <c r="AZ50" s="341" t="e">
        <f t="shared" si="19"/>
        <v>#N/A</v>
      </c>
      <c r="BA50" s="341" t="e">
        <f t="shared" si="19"/>
        <v>#N/A</v>
      </c>
      <c r="BB50" s="341" t="e">
        <f t="shared" si="19"/>
        <v>#N/A</v>
      </c>
    </row>
    <row r="51" spans="1:54" ht="14.25" customHeight="1" x14ac:dyDescent="0.2">
      <c r="A51" s="120"/>
      <c r="B51" s="67"/>
      <c r="C51" s="67"/>
      <c r="D51" s="58"/>
      <c r="E51" s="58"/>
      <c r="F51" s="58"/>
      <c r="G51" s="58"/>
      <c r="H51" s="58"/>
      <c r="I51" s="58"/>
      <c r="J51" s="13"/>
      <c r="K51" s="15"/>
      <c r="L51" s="15"/>
      <c r="M51" s="15"/>
      <c r="N51" s="15"/>
      <c r="O51" s="9"/>
      <c r="P51" s="9"/>
      <c r="Q51" s="9"/>
      <c r="R51" s="9"/>
      <c r="S51" s="9"/>
      <c r="T51" s="9"/>
      <c r="U51" s="9"/>
      <c r="V51" s="119"/>
      <c r="W51" s="138"/>
      <c r="X51" s="288"/>
      <c r="AJ51" s="560" t="b">
        <v>1</v>
      </c>
      <c r="AK51" s="156" t="s">
        <v>12</v>
      </c>
      <c r="AL51" s="89" t="str">
        <f t="shared" si="15"/>
        <v>Portsmouth</v>
      </c>
      <c r="AM51" s="143">
        <f t="shared" ref="AM51:AQ64" si="20">VLOOKUP($AL51,$B$10:$O$33,AM$37,FALSE)</f>
        <v>442.62672811059912</v>
      </c>
      <c r="AN51" s="143">
        <f t="shared" si="20"/>
        <v>477.85388127853878</v>
      </c>
      <c r="AO51" s="143">
        <f t="shared" si="20"/>
        <v>565.22727272727275</v>
      </c>
      <c r="AP51" s="143">
        <f t="shared" si="20"/>
        <v>643.66515837104066</v>
      </c>
      <c r="AQ51" s="143">
        <f t="shared" si="20"/>
        <v>646.36363636363626</v>
      </c>
      <c r="AR51" s="144">
        <f t="shared" si="17"/>
        <v>20.200000000000003</v>
      </c>
      <c r="AS51" s="341">
        <f t="shared" ref="AS51:AW64" si="21">VLOOKUP($AL51,$B$148:$H$171,AS$37,FALSE)</f>
        <v>0.95731389901093178</v>
      </c>
      <c r="AT51" s="341">
        <f t="shared" si="21"/>
        <v>0.97515527950310554</v>
      </c>
      <c r="AU51" s="341">
        <f t="shared" si="21"/>
        <v>0.9545637314032972</v>
      </c>
      <c r="AV51" s="341">
        <f t="shared" si="21"/>
        <v>0.98137082601054482</v>
      </c>
      <c r="AW51" s="341">
        <f t="shared" si="21"/>
        <v>0.9743319268635724</v>
      </c>
      <c r="AX51" s="341" t="e">
        <f t="shared" ref="AX51:BB64" si="22">VLOOKUP($AL51,$B$112:$H$135,AX$37,FALSE)</f>
        <v>#N/A</v>
      </c>
      <c r="AY51" s="341" t="e">
        <f t="shared" si="22"/>
        <v>#N/A</v>
      </c>
      <c r="AZ51" s="341" t="e">
        <f t="shared" si="22"/>
        <v>#N/A</v>
      </c>
      <c r="BA51" s="341" t="e">
        <f t="shared" si="22"/>
        <v>#N/A</v>
      </c>
      <c r="BB51" s="341" t="e">
        <f t="shared" si="22"/>
        <v>#N/A</v>
      </c>
    </row>
    <row r="52" spans="1:54" ht="14.25" customHeight="1" x14ac:dyDescent="0.2">
      <c r="A52" s="120"/>
      <c r="B52" s="67"/>
      <c r="C52" s="67"/>
      <c r="D52" s="58"/>
      <c r="E52" s="58"/>
      <c r="F52" s="58"/>
      <c r="G52" s="58"/>
      <c r="H52" s="58"/>
      <c r="I52" s="58"/>
      <c r="J52" s="13"/>
      <c r="K52" s="15"/>
      <c r="L52" s="15"/>
      <c r="M52" s="15"/>
      <c r="N52" s="15"/>
      <c r="O52" s="9"/>
      <c r="P52" s="9"/>
      <c r="Q52" s="9"/>
      <c r="R52" s="9"/>
      <c r="S52" s="9"/>
      <c r="T52" s="9"/>
      <c r="U52" s="9"/>
      <c r="V52" s="119"/>
      <c r="W52" s="138"/>
      <c r="X52" s="288"/>
      <c r="AJ52" s="560" t="b">
        <v>1</v>
      </c>
      <c r="AK52" s="156" t="s">
        <v>3</v>
      </c>
      <c r="AL52" s="89" t="str">
        <f t="shared" si="15"/>
        <v>Reading</v>
      </c>
      <c r="AM52" s="143">
        <f t="shared" si="20"/>
        <v>466.01671309192204</v>
      </c>
      <c r="AN52" s="143">
        <f t="shared" si="20"/>
        <v>845.60439560439556</v>
      </c>
      <c r="AO52" s="143">
        <f t="shared" si="20"/>
        <v>892.62295081967216</v>
      </c>
      <c r="AP52" s="143">
        <f t="shared" si="20"/>
        <v>708.35579514824803</v>
      </c>
      <c r="AQ52" s="143">
        <f t="shared" si="20"/>
        <v>738.27493261455527</v>
      </c>
      <c r="AR52" s="144">
        <f t="shared" si="17"/>
        <v>16</v>
      </c>
      <c r="AS52" s="341">
        <f t="shared" si="21"/>
        <v>0.79438135086670647</v>
      </c>
      <c r="AT52" s="341">
        <f t="shared" si="21"/>
        <v>0.89993502274204029</v>
      </c>
      <c r="AU52" s="341">
        <f t="shared" si="21"/>
        <v>0.95102540557086013</v>
      </c>
      <c r="AV52" s="341">
        <f t="shared" si="21"/>
        <v>0.98820395738203959</v>
      </c>
      <c r="AW52" s="341">
        <f t="shared" si="21"/>
        <v>0.98612632347572104</v>
      </c>
      <c r="AX52" s="341" t="e">
        <f t="shared" si="22"/>
        <v>#N/A</v>
      </c>
      <c r="AY52" s="341" t="e">
        <f t="shared" si="22"/>
        <v>#N/A</v>
      </c>
      <c r="AZ52" s="341" t="e">
        <f t="shared" si="22"/>
        <v>#N/A</v>
      </c>
      <c r="BA52" s="341" t="e">
        <f t="shared" si="22"/>
        <v>#N/A</v>
      </c>
      <c r="BB52" s="341" t="e">
        <f t="shared" si="22"/>
        <v>#N/A</v>
      </c>
    </row>
    <row r="53" spans="1:54" ht="14.25" customHeight="1" x14ac:dyDescent="0.2">
      <c r="A53" s="120"/>
      <c r="B53" s="67"/>
      <c r="C53" s="67"/>
      <c r="D53" s="58"/>
      <c r="E53" s="58"/>
      <c r="F53" s="58"/>
      <c r="G53" s="58"/>
      <c r="H53" s="58"/>
      <c r="I53" s="58"/>
      <c r="J53" s="13"/>
      <c r="K53" s="15"/>
      <c r="L53" s="15"/>
      <c r="M53" s="15"/>
      <c r="N53" s="15"/>
      <c r="O53" s="9"/>
      <c r="P53" s="9"/>
      <c r="Q53" s="9"/>
      <c r="R53" s="9"/>
      <c r="S53" s="9"/>
      <c r="T53" s="9"/>
      <c r="U53" s="9"/>
      <c r="V53" s="119"/>
      <c r="W53" s="138"/>
      <c r="X53" s="288"/>
      <c r="AJ53" s="560" t="b">
        <v>1</v>
      </c>
      <c r="AK53" s="156" t="s">
        <v>13</v>
      </c>
      <c r="AL53" s="89" t="str">
        <f t="shared" si="15"/>
        <v>Slough</v>
      </c>
      <c r="AM53" s="143">
        <f t="shared" si="20"/>
        <v>571.92982456140351</v>
      </c>
      <c r="AN53" s="143">
        <f t="shared" si="20"/>
        <v>683.25123152709364</v>
      </c>
      <c r="AO53" s="143">
        <f t="shared" si="20"/>
        <v>1373.913043478261</v>
      </c>
      <c r="AP53" s="143">
        <f t="shared" si="20"/>
        <v>377.01421800947867</v>
      </c>
      <c r="AQ53" s="143">
        <f t="shared" si="20"/>
        <v>464.87119437939111</v>
      </c>
      <c r="AR53" s="144">
        <f t="shared" si="17"/>
        <v>14.7</v>
      </c>
      <c r="AS53" s="341">
        <f t="shared" si="21"/>
        <v>0.97896581945661698</v>
      </c>
      <c r="AT53" s="341">
        <f t="shared" si="21"/>
        <v>0.9895457822638789</v>
      </c>
      <c r="AU53" s="341">
        <f t="shared" si="21"/>
        <v>0.39170182841068918</v>
      </c>
      <c r="AV53" s="341">
        <f t="shared" si="21"/>
        <v>0.99245757385292266</v>
      </c>
      <c r="AW53" s="341">
        <f t="shared" si="21"/>
        <v>0.95516372795969773</v>
      </c>
      <c r="AX53" s="341" t="e">
        <f t="shared" si="22"/>
        <v>#N/A</v>
      </c>
      <c r="AY53" s="341" t="e">
        <f t="shared" si="22"/>
        <v>#N/A</v>
      </c>
      <c r="AZ53" s="341" t="e">
        <f t="shared" si="22"/>
        <v>#N/A</v>
      </c>
      <c r="BA53" s="341" t="e">
        <f t="shared" si="22"/>
        <v>#N/A</v>
      </c>
      <c r="BB53" s="341" t="e">
        <f t="shared" si="22"/>
        <v>#N/A</v>
      </c>
    </row>
    <row r="54" spans="1:54" ht="14.25" customHeight="1" x14ac:dyDescent="0.2">
      <c r="A54" s="120"/>
      <c r="B54" s="67"/>
      <c r="C54" s="67"/>
      <c r="D54" s="58"/>
      <c r="E54" s="58"/>
      <c r="F54" s="58"/>
      <c r="G54" s="58"/>
      <c r="H54" s="58"/>
      <c r="I54" s="58"/>
      <c r="J54" s="13"/>
      <c r="K54" s="15"/>
      <c r="L54" s="15"/>
      <c r="M54" s="15"/>
      <c r="N54" s="15"/>
      <c r="O54" s="9"/>
      <c r="P54" s="9"/>
      <c r="Q54" s="9"/>
      <c r="R54" s="9"/>
      <c r="S54" s="9"/>
      <c r="T54" s="9"/>
      <c r="U54" s="9"/>
      <c r="V54" s="119"/>
      <c r="W54" s="138"/>
      <c r="X54" s="288"/>
      <c r="AJ54" s="560" t="b">
        <v>1</v>
      </c>
      <c r="AK54" s="156" t="s">
        <v>93</v>
      </c>
      <c r="AL54" s="89" t="str">
        <f t="shared" si="15"/>
        <v>Somerset</v>
      </c>
      <c r="AM54" s="143">
        <f t="shared" si="20"/>
        <v>513.40679522497703</v>
      </c>
      <c r="AN54" s="143">
        <f t="shared" si="20"/>
        <v>378.47985347985349</v>
      </c>
      <c r="AO54" s="143">
        <f t="shared" si="20"/>
        <v>435.46034639927075</v>
      </c>
      <c r="AP54" s="143">
        <f t="shared" si="20"/>
        <v>469.11898274296095</v>
      </c>
      <c r="AQ54" s="143">
        <f t="shared" si="20"/>
        <v>345.98012646793137</v>
      </c>
      <c r="AR54" s="144">
        <f t="shared" si="17"/>
        <v>13.600000000000001</v>
      </c>
      <c r="AS54" s="341">
        <f t="shared" si="21"/>
        <v>0.98676444285458775</v>
      </c>
      <c r="AT54" s="341">
        <f t="shared" si="21"/>
        <v>0.99395112509073313</v>
      </c>
      <c r="AU54" s="341">
        <f t="shared" si="21"/>
        <v>0.99267322587397944</v>
      </c>
      <c r="AV54" s="341">
        <f t="shared" si="21"/>
        <v>0.97715392061955475</v>
      </c>
      <c r="AW54" s="341">
        <f t="shared" si="21"/>
        <v>0.94908616187989558</v>
      </c>
      <c r="AX54" s="341" t="e">
        <f t="shared" si="22"/>
        <v>#N/A</v>
      </c>
      <c r="AY54" s="341" t="e">
        <f t="shared" si="22"/>
        <v>#N/A</v>
      </c>
      <c r="AZ54" s="341" t="e">
        <f t="shared" si="22"/>
        <v>#N/A</v>
      </c>
      <c r="BA54" s="341" t="e">
        <f t="shared" si="22"/>
        <v>#N/A</v>
      </c>
      <c r="BB54" s="341" t="e">
        <f t="shared" si="22"/>
        <v>#N/A</v>
      </c>
    </row>
    <row r="55" spans="1:54" ht="14.25" customHeight="1" x14ac:dyDescent="0.2">
      <c r="A55" s="120"/>
      <c r="B55" s="67"/>
      <c r="C55" s="67"/>
      <c r="D55" s="58"/>
      <c r="E55" s="58"/>
      <c r="F55" s="58"/>
      <c r="G55" s="58"/>
      <c r="H55" s="58"/>
      <c r="I55" s="58"/>
      <c r="J55" s="13"/>
      <c r="K55" s="15"/>
      <c r="L55" s="15"/>
      <c r="M55" s="15"/>
      <c r="N55" s="15"/>
      <c r="O55" s="9"/>
      <c r="P55" s="9"/>
      <c r="Q55" s="9"/>
      <c r="R55" s="9"/>
      <c r="S55" s="9"/>
      <c r="T55" s="9"/>
      <c r="U55" s="9"/>
      <c r="V55" s="119"/>
      <c r="W55" s="138"/>
      <c r="X55" s="288"/>
      <c r="AJ55" s="560" t="b">
        <v>1</v>
      </c>
      <c r="AK55" s="156" t="s">
        <v>14</v>
      </c>
      <c r="AL55" s="89" t="str">
        <f t="shared" si="15"/>
        <v>Southampton</v>
      </c>
      <c r="AM55" s="143">
        <f t="shared" si="20"/>
        <v>1318.3127572016463</v>
      </c>
      <c r="AN55" s="143">
        <f t="shared" si="20"/>
        <v>836.58536585365857</v>
      </c>
      <c r="AO55" s="143">
        <f t="shared" si="20"/>
        <v>610.02004008016036</v>
      </c>
      <c r="AP55" s="143">
        <f t="shared" si="20"/>
        <v>519.48310139165005</v>
      </c>
      <c r="AQ55" s="143">
        <f t="shared" si="20"/>
        <v>511.41732283464569</v>
      </c>
      <c r="AR55" s="144">
        <f t="shared" si="17"/>
        <v>20.5</v>
      </c>
      <c r="AS55" s="341">
        <f t="shared" si="21"/>
        <v>0.88044326517871074</v>
      </c>
      <c r="AT55" s="341">
        <f t="shared" si="21"/>
        <v>1</v>
      </c>
      <c r="AU55" s="341">
        <f t="shared" si="21"/>
        <v>0.99737187910643887</v>
      </c>
      <c r="AV55" s="341">
        <f t="shared" si="21"/>
        <v>0.99540757749712971</v>
      </c>
      <c r="AW55" s="341">
        <f t="shared" si="21"/>
        <v>0.87336412625096227</v>
      </c>
      <c r="AX55" s="341" t="e">
        <f t="shared" si="22"/>
        <v>#N/A</v>
      </c>
      <c r="AY55" s="341" t="e">
        <f t="shared" si="22"/>
        <v>#N/A</v>
      </c>
      <c r="AZ55" s="341" t="e">
        <f t="shared" si="22"/>
        <v>#N/A</v>
      </c>
      <c r="BA55" s="341" t="e">
        <f t="shared" si="22"/>
        <v>#N/A</v>
      </c>
      <c r="BB55" s="341" t="e">
        <f t="shared" si="22"/>
        <v>#N/A</v>
      </c>
    </row>
    <row r="56" spans="1:54" ht="14.25" customHeight="1" x14ac:dyDescent="0.2">
      <c r="A56" s="120"/>
      <c r="B56" s="67"/>
      <c r="C56" s="67"/>
      <c r="D56" s="58"/>
      <c r="E56" s="58"/>
      <c r="F56" s="58"/>
      <c r="G56" s="58"/>
      <c r="H56" s="58"/>
      <c r="I56" s="58"/>
      <c r="J56" s="13"/>
      <c r="K56" s="15"/>
      <c r="L56" s="15"/>
      <c r="M56" s="15"/>
      <c r="N56" s="15"/>
      <c r="O56" s="9"/>
      <c r="P56" s="9"/>
      <c r="Q56" s="9"/>
      <c r="R56" s="9"/>
      <c r="S56" s="9"/>
      <c r="T56" s="9"/>
      <c r="U56" s="9"/>
      <c r="V56" s="119"/>
      <c r="W56" s="138"/>
      <c r="X56" s="288"/>
      <c r="AJ56" s="560" t="b">
        <v>1</v>
      </c>
      <c r="AK56" s="156" t="s">
        <v>7</v>
      </c>
      <c r="AL56" s="89" t="str">
        <f t="shared" si="15"/>
        <v>Surrey</v>
      </c>
      <c r="AM56" s="143">
        <f t="shared" si="20"/>
        <v>391.9481539670071</v>
      </c>
      <c r="AN56" s="143">
        <f t="shared" si="20"/>
        <v>458.97035881435261</v>
      </c>
      <c r="AO56" s="143">
        <f t="shared" si="20"/>
        <v>450.92664092664091</v>
      </c>
      <c r="AP56" s="143">
        <f t="shared" si="20"/>
        <v>523.47291586630809</v>
      </c>
      <c r="AQ56" s="143">
        <f t="shared" si="20"/>
        <v>406.07101947308132</v>
      </c>
      <c r="AR56" s="144">
        <f t="shared" si="17"/>
        <v>8.3000000000000007</v>
      </c>
      <c r="AS56" s="341">
        <f t="shared" si="21"/>
        <v>0.96783244814109626</v>
      </c>
      <c r="AT56" s="341">
        <f t="shared" si="21"/>
        <v>0.9845343303874915</v>
      </c>
      <c r="AU56" s="341">
        <f t="shared" si="21"/>
        <v>0.99075263293090166</v>
      </c>
      <c r="AV56" s="341">
        <f t="shared" si="21"/>
        <v>0.99288125642154701</v>
      </c>
      <c r="AW56" s="341">
        <f t="shared" si="21"/>
        <v>0.98627174424071462</v>
      </c>
      <c r="AX56" s="341" t="e">
        <f t="shared" si="22"/>
        <v>#N/A</v>
      </c>
      <c r="AY56" s="341" t="e">
        <f t="shared" si="22"/>
        <v>#N/A</v>
      </c>
      <c r="AZ56" s="341" t="e">
        <f t="shared" si="22"/>
        <v>#N/A</v>
      </c>
      <c r="BA56" s="341" t="e">
        <f t="shared" si="22"/>
        <v>#N/A</v>
      </c>
      <c r="BB56" s="341" t="e">
        <f t="shared" si="22"/>
        <v>#N/A</v>
      </c>
    </row>
    <row r="57" spans="1:54" ht="14.25" customHeight="1" x14ac:dyDescent="0.2">
      <c r="A57" s="271"/>
      <c r="B57" s="67"/>
      <c r="C57" s="67"/>
      <c r="D57" s="58"/>
      <c r="E57" s="58"/>
      <c r="F57" s="58"/>
      <c r="G57" s="58"/>
      <c r="H57" s="58"/>
      <c r="I57" s="58"/>
      <c r="J57" s="13"/>
      <c r="K57" s="15"/>
      <c r="L57" s="15"/>
      <c r="M57" s="15"/>
      <c r="N57" s="15"/>
      <c r="O57" s="9"/>
      <c r="P57" s="9"/>
      <c r="Q57" s="9"/>
      <c r="R57" s="9"/>
      <c r="S57" s="9"/>
      <c r="T57" s="9"/>
      <c r="U57" s="9"/>
      <c r="V57" s="119"/>
      <c r="W57" s="138"/>
      <c r="X57" s="288"/>
      <c r="AJ57" s="560" t="b">
        <v>1</v>
      </c>
      <c r="AK57" s="156" t="s">
        <v>114</v>
      </c>
      <c r="AL57" s="89" t="str">
        <f t="shared" si="15"/>
        <v>Swindon</v>
      </c>
      <c r="AM57" s="143">
        <f t="shared" si="20"/>
        <v>545.26748971193422</v>
      </c>
      <c r="AN57" s="143">
        <f t="shared" si="20"/>
        <v>694.89795918367349</v>
      </c>
      <c r="AO57" s="143">
        <f t="shared" si="20"/>
        <v>610.30303030303037</v>
      </c>
      <c r="AP57" s="143">
        <f t="shared" si="20"/>
        <v>726.85370741482973</v>
      </c>
      <c r="AQ57" s="143">
        <f t="shared" si="20"/>
        <v>645.81673306772905</v>
      </c>
      <c r="AR57" s="144">
        <f t="shared" si="17"/>
        <v>14.899999999999999</v>
      </c>
      <c r="AS57" s="341">
        <f t="shared" si="21"/>
        <v>0.95245283018867921</v>
      </c>
      <c r="AT57" s="341">
        <f t="shared" si="21"/>
        <v>0.87900146842878124</v>
      </c>
      <c r="AU57" s="341">
        <f t="shared" si="21"/>
        <v>0.96722939424031773</v>
      </c>
      <c r="AV57" s="341">
        <f t="shared" si="21"/>
        <v>0.92390405293631095</v>
      </c>
      <c r="AW57" s="341">
        <f t="shared" si="21"/>
        <v>0.93522516964836522</v>
      </c>
      <c r="AX57" s="341" t="e">
        <f t="shared" si="22"/>
        <v>#N/A</v>
      </c>
      <c r="AY57" s="341" t="e">
        <f t="shared" si="22"/>
        <v>#N/A</v>
      </c>
      <c r="AZ57" s="341" t="e">
        <f t="shared" si="22"/>
        <v>#N/A</v>
      </c>
      <c r="BA57" s="341" t="e">
        <f t="shared" si="22"/>
        <v>#N/A</v>
      </c>
      <c r="BB57" s="341" t="e">
        <f t="shared" si="22"/>
        <v>#N/A</v>
      </c>
    </row>
    <row r="58" spans="1:54" ht="14.25" customHeight="1" x14ac:dyDescent="0.2">
      <c r="A58" s="271"/>
      <c r="B58" s="67"/>
      <c r="C58" s="67"/>
      <c r="D58" s="58"/>
      <c r="E58" s="58"/>
      <c r="F58" s="58"/>
      <c r="G58" s="58"/>
      <c r="H58" s="58"/>
      <c r="I58" s="58"/>
      <c r="J58" s="13"/>
      <c r="K58" s="15"/>
      <c r="L58" s="15"/>
      <c r="M58" s="15"/>
      <c r="N58" s="15"/>
      <c r="O58" s="9"/>
      <c r="P58" s="9"/>
      <c r="Q58" s="9"/>
      <c r="R58" s="9"/>
      <c r="S58" s="9"/>
      <c r="T58" s="9"/>
      <c r="U58" s="9"/>
      <c r="V58" s="119"/>
      <c r="W58" s="138"/>
      <c r="X58" s="288"/>
      <c r="AJ58" s="560" t="b">
        <v>1</v>
      </c>
      <c r="AK58" s="156" t="s">
        <v>521</v>
      </c>
      <c r="AL58" s="89" t="str">
        <f t="shared" si="15"/>
        <v>Torbay</v>
      </c>
      <c r="AM58" s="143">
        <f t="shared" si="20"/>
        <v>850.19920318725099</v>
      </c>
      <c r="AN58" s="143">
        <f t="shared" si="20"/>
        <v>788.8888888888888</v>
      </c>
      <c r="AO58" s="143">
        <f t="shared" si="20"/>
        <v>636.22047244094483</v>
      </c>
      <c r="AP58" s="143">
        <f t="shared" si="20"/>
        <v>710.6299212598426</v>
      </c>
      <c r="AQ58" s="143">
        <f t="shared" si="20"/>
        <v>695.27559055118104</v>
      </c>
      <c r="AR58" s="144">
        <f t="shared" si="17"/>
        <v>21.9</v>
      </c>
      <c r="AS58" s="341">
        <f t="shared" si="21"/>
        <v>0.66776007497656986</v>
      </c>
      <c r="AT58" s="341">
        <f t="shared" si="21"/>
        <v>0.85412474849094566</v>
      </c>
      <c r="AU58" s="341">
        <f t="shared" si="21"/>
        <v>0.85767326732673266</v>
      </c>
      <c r="AV58" s="341">
        <f t="shared" si="21"/>
        <v>0.87922437673130194</v>
      </c>
      <c r="AW58" s="341">
        <f t="shared" si="21"/>
        <v>0.87146092865232161</v>
      </c>
      <c r="AX58" s="341" t="e">
        <f t="shared" si="22"/>
        <v>#N/A</v>
      </c>
      <c r="AY58" s="341" t="e">
        <f t="shared" si="22"/>
        <v>#N/A</v>
      </c>
      <c r="AZ58" s="341" t="e">
        <f t="shared" si="22"/>
        <v>#N/A</v>
      </c>
      <c r="BA58" s="341" t="e">
        <f t="shared" si="22"/>
        <v>#N/A</v>
      </c>
      <c r="BB58" s="341" t="e">
        <f t="shared" si="22"/>
        <v>#N/A</v>
      </c>
    </row>
    <row r="59" spans="1:54" ht="14.25" customHeight="1" x14ac:dyDescent="0.2">
      <c r="A59" s="120"/>
      <c r="B59" s="67"/>
      <c r="C59" s="67"/>
      <c r="D59" s="58"/>
      <c r="E59" s="58"/>
      <c r="F59" s="58"/>
      <c r="G59" s="58"/>
      <c r="H59" s="58"/>
      <c r="I59" s="58"/>
      <c r="J59" s="13"/>
      <c r="K59" s="15"/>
      <c r="L59" s="15"/>
      <c r="M59" s="15"/>
      <c r="N59" s="15"/>
      <c r="O59" s="9"/>
      <c r="P59" s="9"/>
      <c r="Q59" s="9"/>
      <c r="R59" s="9"/>
      <c r="S59" s="9"/>
      <c r="T59" s="9"/>
      <c r="U59" s="9"/>
      <c r="V59" s="119"/>
      <c r="W59" s="138"/>
      <c r="X59" s="288"/>
      <c r="AJ59" s="560" t="b">
        <v>1</v>
      </c>
      <c r="AK59" s="156" t="s">
        <v>15</v>
      </c>
      <c r="AL59" s="89" t="str">
        <f t="shared" si="15"/>
        <v>West Berkshire</v>
      </c>
      <c r="AM59" s="143">
        <f t="shared" si="20"/>
        <v>353.65168539325845</v>
      </c>
      <c r="AN59" s="143">
        <f t="shared" si="20"/>
        <v>382.35294117647061</v>
      </c>
      <c r="AO59" s="143">
        <f t="shared" si="20"/>
        <v>460.16713091922003</v>
      </c>
      <c r="AP59" s="143">
        <f t="shared" si="20"/>
        <v>422.34636871508377</v>
      </c>
      <c r="AQ59" s="143">
        <f t="shared" si="20"/>
        <v>473.59550561797755</v>
      </c>
      <c r="AR59" s="144">
        <f t="shared" si="17"/>
        <v>8.6999999999999993</v>
      </c>
      <c r="AS59" s="341">
        <f t="shared" si="21"/>
        <v>1</v>
      </c>
      <c r="AT59" s="341">
        <f t="shared" si="21"/>
        <v>1</v>
      </c>
      <c r="AU59" s="341">
        <f t="shared" si="21"/>
        <v>1</v>
      </c>
      <c r="AV59" s="341">
        <f t="shared" si="21"/>
        <v>1</v>
      </c>
      <c r="AW59" s="341">
        <f t="shared" si="21"/>
        <v>1</v>
      </c>
      <c r="AX59" s="341" t="e">
        <f t="shared" si="22"/>
        <v>#N/A</v>
      </c>
      <c r="AY59" s="341" t="e">
        <f t="shared" si="22"/>
        <v>#N/A</v>
      </c>
      <c r="AZ59" s="341" t="e">
        <f t="shared" si="22"/>
        <v>#N/A</v>
      </c>
      <c r="BA59" s="341" t="e">
        <f t="shared" si="22"/>
        <v>#N/A</v>
      </c>
      <c r="BB59" s="341" t="e">
        <f t="shared" si="22"/>
        <v>#N/A</v>
      </c>
    </row>
    <row r="60" spans="1:54" ht="14.25" customHeight="1" x14ac:dyDescent="0.2">
      <c r="A60" s="120"/>
      <c r="B60" s="67"/>
      <c r="C60" s="67"/>
      <c r="D60" s="58"/>
      <c r="E60" s="58"/>
      <c r="F60" s="58"/>
      <c r="G60" s="58"/>
      <c r="H60" s="58"/>
      <c r="I60" s="58"/>
      <c r="J60" s="13"/>
      <c r="K60" s="15"/>
      <c r="L60" s="15"/>
      <c r="M60" s="15"/>
      <c r="N60" s="15"/>
      <c r="O60" s="9"/>
      <c r="P60" s="9"/>
      <c r="Q60" s="9"/>
      <c r="R60" s="9"/>
      <c r="S60" s="9"/>
      <c r="T60" s="9"/>
      <c r="U60" s="9"/>
      <c r="V60" s="119"/>
      <c r="W60" s="138"/>
      <c r="X60" s="288"/>
      <c r="AJ60" s="560" t="b">
        <v>1</v>
      </c>
      <c r="AK60" s="156" t="s">
        <v>5</v>
      </c>
      <c r="AL60" s="89" t="str">
        <f t="shared" si="15"/>
        <v>West Sussex</v>
      </c>
      <c r="AM60" s="143">
        <f t="shared" si="20"/>
        <v>409.7748815165877</v>
      </c>
      <c r="AN60" s="143">
        <f t="shared" si="20"/>
        <v>478.11032863849766</v>
      </c>
      <c r="AO60" s="143">
        <f t="shared" si="20"/>
        <v>508.78928987194411</v>
      </c>
      <c r="AP60" s="143">
        <f t="shared" si="20"/>
        <v>576.74552798615116</v>
      </c>
      <c r="AQ60" s="143">
        <f t="shared" si="20"/>
        <v>543.21694333142534</v>
      </c>
      <c r="AR60" s="144">
        <f t="shared" si="17"/>
        <v>11</v>
      </c>
      <c r="AS60" s="341">
        <f t="shared" si="21"/>
        <v>0.90530576839670374</v>
      </c>
      <c r="AT60" s="341">
        <f t="shared" si="21"/>
        <v>0.87786915428992263</v>
      </c>
      <c r="AU60" s="341">
        <f t="shared" si="21"/>
        <v>0.87106738359455438</v>
      </c>
      <c r="AV60" s="341">
        <f t="shared" si="21"/>
        <v>1</v>
      </c>
      <c r="AW60" s="341">
        <f t="shared" si="21"/>
        <v>1</v>
      </c>
      <c r="AX60" s="341" t="e">
        <f t="shared" si="22"/>
        <v>#N/A</v>
      </c>
      <c r="AY60" s="341" t="e">
        <f t="shared" si="22"/>
        <v>#N/A</v>
      </c>
      <c r="AZ60" s="341" t="e">
        <f t="shared" si="22"/>
        <v>#N/A</v>
      </c>
      <c r="BA60" s="341" t="e">
        <f t="shared" si="22"/>
        <v>#N/A</v>
      </c>
      <c r="BB60" s="341" t="e">
        <f t="shared" si="22"/>
        <v>#N/A</v>
      </c>
    </row>
    <row r="61" spans="1:54" s="83" customFormat="1" ht="14.25" customHeight="1" x14ac:dyDescent="0.2">
      <c r="A61" s="120"/>
      <c r="B61" s="67"/>
      <c r="C61" s="67"/>
      <c r="D61" s="58"/>
      <c r="E61" s="58"/>
      <c r="F61" s="58"/>
      <c r="G61" s="58"/>
      <c r="H61" s="58"/>
      <c r="I61" s="58"/>
      <c r="J61" s="13"/>
      <c r="K61" s="15"/>
      <c r="L61" s="15"/>
      <c r="M61" s="15"/>
      <c r="N61" s="15"/>
      <c r="O61" s="9"/>
      <c r="P61" s="9"/>
      <c r="Q61" s="9"/>
      <c r="R61" s="9"/>
      <c r="S61" s="9"/>
      <c r="T61" s="9"/>
      <c r="U61" s="9"/>
      <c r="V61" s="119"/>
      <c r="W61" s="138"/>
      <c r="X61" s="288"/>
      <c r="AJ61" s="560" t="b">
        <v>1</v>
      </c>
      <c r="AK61" s="156" t="s">
        <v>30</v>
      </c>
      <c r="AL61" s="89" t="str">
        <f t="shared" si="15"/>
        <v>Windsor &amp; Maidenhead</v>
      </c>
      <c r="AM61" s="143">
        <f t="shared" si="20"/>
        <v>313.77245508982037</v>
      </c>
      <c r="AN61" s="143">
        <f t="shared" si="20"/>
        <v>330.86053412462905</v>
      </c>
      <c r="AO61" s="143">
        <f t="shared" si="20"/>
        <v>290.05847953216374</v>
      </c>
      <c r="AP61" s="143">
        <f t="shared" si="20"/>
        <v>308.43023255813955</v>
      </c>
      <c r="AQ61" s="143">
        <f t="shared" si="20"/>
        <v>328.03468208092482</v>
      </c>
      <c r="AR61" s="144">
        <f t="shared" si="17"/>
        <v>6.7</v>
      </c>
      <c r="AS61" s="341">
        <f t="shared" si="21"/>
        <v>0.94179389312977102</v>
      </c>
      <c r="AT61" s="341">
        <f t="shared" si="21"/>
        <v>0.81434977578475332</v>
      </c>
      <c r="AU61" s="341">
        <f t="shared" si="21"/>
        <v>0.88306451612903225</v>
      </c>
      <c r="AV61" s="341">
        <f t="shared" si="21"/>
        <v>0.85768143261074459</v>
      </c>
      <c r="AW61" s="341">
        <f t="shared" si="21"/>
        <v>0.945374449339207</v>
      </c>
      <c r="AX61" s="341" t="e">
        <f t="shared" si="22"/>
        <v>#N/A</v>
      </c>
      <c r="AY61" s="341" t="e">
        <f t="shared" si="22"/>
        <v>#N/A</v>
      </c>
      <c r="AZ61" s="341" t="e">
        <f t="shared" si="22"/>
        <v>#N/A</v>
      </c>
      <c r="BA61" s="341" t="e">
        <f t="shared" si="22"/>
        <v>#N/A</v>
      </c>
      <c r="BB61" s="341" t="e">
        <f t="shared" si="22"/>
        <v>#N/A</v>
      </c>
    </row>
    <row r="62" spans="1:54" s="83" customFormat="1" ht="14.25" customHeight="1" x14ac:dyDescent="0.2">
      <c r="A62" s="120"/>
      <c r="B62" s="67"/>
      <c r="C62" s="67"/>
      <c r="D62" s="58"/>
      <c r="E62" s="58"/>
      <c r="F62" s="58"/>
      <c r="G62" s="58"/>
      <c r="H62" s="58"/>
      <c r="I62" s="58"/>
      <c r="J62" s="13"/>
      <c r="K62" s="15"/>
      <c r="L62" s="15"/>
      <c r="M62" s="15"/>
      <c r="N62" s="15"/>
      <c r="O62" s="9"/>
      <c r="P62" s="9"/>
      <c r="Q62" s="9"/>
      <c r="R62" s="9"/>
      <c r="S62" s="9"/>
      <c r="T62" s="9"/>
      <c r="U62" s="9"/>
      <c r="V62" s="119"/>
      <c r="W62" s="138"/>
      <c r="X62" s="288"/>
      <c r="AJ62" s="560" t="b">
        <v>1</v>
      </c>
      <c r="AK62" s="156" t="s">
        <v>16</v>
      </c>
      <c r="AL62" s="89" t="str">
        <f t="shared" si="15"/>
        <v>Wokingham</v>
      </c>
      <c r="AM62" s="143">
        <f t="shared" si="20"/>
        <v>268.29268292682929</v>
      </c>
      <c r="AN62" s="143">
        <f t="shared" si="20"/>
        <v>303.21715817694371</v>
      </c>
      <c r="AO62" s="143">
        <f t="shared" si="20"/>
        <v>238.68421052631581</v>
      </c>
      <c r="AP62" s="143">
        <f t="shared" si="20"/>
        <v>354.26356589147287</v>
      </c>
      <c r="AQ62" s="143">
        <f t="shared" si="20"/>
        <v>431.64556962025313</v>
      </c>
      <c r="AR62" s="144">
        <f t="shared" si="17"/>
        <v>5.6000000000000005</v>
      </c>
      <c r="AS62" s="341">
        <f t="shared" si="21"/>
        <v>0.99494949494949492</v>
      </c>
      <c r="AT62" s="341">
        <f t="shared" si="21"/>
        <v>1</v>
      </c>
      <c r="AU62" s="341">
        <f t="shared" si="21"/>
        <v>0.99228224917309815</v>
      </c>
      <c r="AV62" s="341">
        <f t="shared" si="21"/>
        <v>0.96425966447848288</v>
      </c>
      <c r="AW62" s="341">
        <f t="shared" si="21"/>
        <v>0.98768328445747799</v>
      </c>
      <c r="AX62" s="341" t="e">
        <f t="shared" si="22"/>
        <v>#N/A</v>
      </c>
      <c r="AY62" s="341" t="e">
        <f t="shared" si="22"/>
        <v>#N/A</v>
      </c>
      <c r="AZ62" s="341" t="e">
        <f t="shared" si="22"/>
        <v>#N/A</v>
      </c>
      <c r="BA62" s="341" t="e">
        <f t="shared" si="22"/>
        <v>#N/A</v>
      </c>
      <c r="BB62" s="341" t="e">
        <f t="shared" si="22"/>
        <v>#N/A</v>
      </c>
    </row>
    <row r="63" spans="1:54" s="83" customFormat="1" ht="14.25" customHeight="1" x14ac:dyDescent="0.2">
      <c r="A63" s="120"/>
      <c r="B63" s="67"/>
      <c r="C63" s="67"/>
      <c r="D63" s="58"/>
      <c r="E63" s="58"/>
      <c r="F63" s="58"/>
      <c r="G63" s="58"/>
      <c r="H63" s="58"/>
      <c r="I63" s="58"/>
      <c r="J63" s="13"/>
      <c r="K63" s="15"/>
      <c r="L63" s="15"/>
      <c r="M63" s="15"/>
      <c r="N63" s="15"/>
      <c r="O63" s="9"/>
      <c r="P63" s="9"/>
      <c r="Q63" s="9"/>
      <c r="R63" s="9"/>
      <c r="S63" s="9"/>
      <c r="T63" s="9"/>
      <c r="U63" s="9"/>
      <c r="V63" s="119"/>
      <c r="W63" s="138"/>
      <c r="X63" s="288"/>
      <c r="AJ63" s="560" t="b">
        <v>1</v>
      </c>
      <c r="AK63" s="156" t="s">
        <v>74</v>
      </c>
      <c r="AL63" s="89" t="str">
        <f t="shared" si="15"/>
        <v>South East</v>
      </c>
      <c r="AM63" s="143">
        <f t="shared" si="20"/>
        <v>508.82167611846251</v>
      </c>
      <c r="AN63" s="143">
        <f t="shared" si="20"/>
        <v>509.67102862207395</v>
      </c>
      <c r="AO63" s="143">
        <f t="shared" si="20"/>
        <v>554.13584398117018</v>
      </c>
      <c r="AP63" s="143">
        <f t="shared" si="20"/>
        <v>548.33067544626783</v>
      </c>
      <c r="AQ63" s="143">
        <f t="shared" si="20"/>
        <v>535.86390109328704</v>
      </c>
      <c r="AR63" s="144">
        <f t="shared" si="17"/>
        <v>12.371268250968637</v>
      </c>
      <c r="AS63" s="341">
        <f t="shared" si="21"/>
        <v>0.84004127966976261</v>
      </c>
      <c r="AT63" s="341">
        <f t="shared" si="21"/>
        <v>0.92645253682487727</v>
      </c>
      <c r="AU63" s="341">
        <f t="shared" si="21"/>
        <v>0.88974981329350267</v>
      </c>
      <c r="AV63" s="341">
        <f t="shared" si="21"/>
        <v>0.91697157331832257</v>
      </c>
      <c r="AW63" s="341">
        <f t="shared" si="21"/>
        <v>0.9144818381161216</v>
      </c>
      <c r="AX63" s="341" t="e">
        <f t="shared" si="22"/>
        <v>#N/A</v>
      </c>
      <c r="AY63" s="341" t="e">
        <f t="shared" si="22"/>
        <v>#N/A</v>
      </c>
      <c r="AZ63" s="341" t="e">
        <f t="shared" si="22"/>
        <v>#N/A</v>
      </c>
      <c r="BA63" s="341" t="e">
        <f t="shared" si="22"/>
        <v>#N/A</v>
      </c>
      <c r="BB63" s="341" t="e">
        <f t="shared" si="22"/>
        <v>#N/A</v>
      </c>
    </row>
    <row r="64" spans="1:54" s="83" customFormat="1" ht="14.25" customHeight="1" x14ac:dyDescent="0.2">
      <c r="A64" s="120"/>
      <c r="B64" s="67"/>
      <c r="C64" s="67"/>
      <c r="D64" s="58"/>
      <c r="E64" s="58"/>
      <c r="F64" s="58"/>
      <c r="G64" s="58"/>
      <c r="H64" s="58"/>
      <c r="I64" s="58"/>
      <c r="J64" s="13"/>
      <c r="K64" s="9"/>
      <c r="L64" s="112"/>
      <c r="M64" s="1468" t="s">
        <v>72</v>
      </c>
      <c r="N64" s="1450"/>
      <c r="O64" s="1450"/>
      <c r="P64" s="1469"/>
      <c r="Q64" s="357"/>
      <c r="R64" s="1462" t="s">
        <v>101</v>
      </c>
      <c r="S64" s="1463"/>
      <c r="T64" s="1463"/>
      <c r="U64" s="1470"/>
      <c r="V64" s="119"/>
      <c r="W64" s="138"/>
      <c r="X64" s="288"/>
      <c r="AJ64" s="560" t="b">
        <v>1</v>
      </c>
      <c r="AK64" s="156" t="s">
        <v>126</v>
      </c>
      <c r="AL64" s="89" t="str">
        <f t="shared" si="15"/>
        <v>England</v>
      </c>
      <c r="AM64" s="143">
        <f t="shared" si="20"/>
        <v>548.32336930734925</v>
      </c>
      <c r="AN64" s="143">
        <f t="shared" si="20"/>
        <v>532.17616180991445</v>
      </c>
      <c r="AO64" s="143">
        <f t="shared" si="20"/>
        <v>548.24230185061049</v>
      </c>
      <c r="AP64" s="143">
        <f t="shared" si="20"/>
        <v>552.48167186314993</v>
      </c>
      <c r="AQ64" s="143">
        <f t="shared" si="20"/>
        <v>544.50169809111139</v>
      </c>
      <c r="AR64" s="144">
        <f t="shared" si="17"/>
        <v>17.084413405029373</v>
      </c>
      <c r="AS64" s="341">
        <f t="shared" si="21"/>
        <v>0.86233480176211452</v>
      </c>
      <c r="AT64" s="341">
        <f t="shared" si="21"/>
        <v>0.90055835358102565</v>
      </c>
      <c r="AU64" s="341">
        <f t="shared" si="21"/>
        <v>0.89778988423203121</v>
      </c>
      <c r="AV64" s="341">
        <f t="shared" si="21"/>
        <v>0.90590729527324865</v>
      </c>
      <c r="AW64" s="341">
        <f t="shared" si="21"/>
        <v>0.91917717726944526</v>
      </c>
      <c r="AX64" s="341" t="e">
        <f t="shared" si="22"/>
        <v>#N/A</v>
      </c>
      <c r="AY64" s="341" t="e">
        <f t="shared" si="22"/>
        <v>#N/A</v>
      </c>
      <c r="AZ64" s="341" t="e">
        <f t="shared" si="22"/>
        <v>#N/A</v>
      </c>
      <c r="BA64" s="341" t="e">
        <f t="shared" si="22"/>
        <v>#N/A</v>
      </c>
      <c r="BB64" s="341" t="e">
        <f t="shared" si="22"/>
        <v>#N/A</v>
      </c>
    </row>
    <row r="65" spans="1:54" s="83" customFormat="1" ht="14.25" customHeight="1" x14ac:dyDescent="0.2">
      <c r="A65" s="120"/>
      <c r="B65" s="67"/>
      <c r="C65" s="67"/>
      <c r="D65" s="58"/>
      <c r="E65" s="58"/>
      <c r="F65" s="58"/>
      <c r="G65" s="58"/>
      <c r="H65" s="58"/>
      <c r="I65" s="58"/>
      <c r="J65" s="13"/>
      <c r="K65" s="9"/>
      <c r="L65" s="113"/>
      <c r="M65" s="1462" t="str">
        <f>AA4</f>
        <v>Selected LA- (none)</v>
      </c>
      <c r="N65" s="1463"/>
      <c r="O65" s="1463"/>
      <c r="P65" s="1463"/>
      <c r="Q65" s="112"/>
      <c r="R65" s="1466" t="s">
        <v>184</v>
      </c>
      <c r="S65" s="1466"/>
      <c r="T65" s="1466"/>
      <c r="U65" s="1467"/>
      <c r="V65" s="119"/>
      <c r="W65" s="138"/>
      <c r="X65" s="147"/>
      <c r="AK65" s="157"/>
      <c r="AL65" s="76" t="str">
        <f>AA4</f>
        <v>Selected LA- (none)</v>
      </c>
      <c r="AM65" s="145" t="e">
        <f>VLOOKUP($Z4,$B$10:$O$32,AM$37,FALSE)</f>
        <v>#N/A</v>
      </c>
      <c r="AN65" s="145" t="e">
        <f>VLOOKUP($Z4,$B$10:$O$32,AN$37,FALSE)</f>
        <v>#N/A</v>
      </c>
      <c r="AO65" s="145" t="e">
        <f>VLOOKUP($Z4,$B$10:$O$32,AO$37,FALSE)</f>
        <v>#N/A</v>
      </c>
      <c r="AP65" s="145" t="e">
        <f>VLOOKUP($Z4,$B$10:$O$32,AP$37,FALSE)</f>
        <v>#N/A</v>
      </c>
      <c r="AQ65" s="145" t="e">
        <f>VLOOKUP($Z4,$B$10:$O$32,AQ$37,FALSE)</f>
        <v>#N/A</v>
      </c>
      <c r="AR65" s="144" t="e">
        <f>VLOOKUP($Z$4,$B$10:$U$32,$AR$37,FALSE)</f>
        <v>#N/A</v>
      </c>
      <c r="AS65" s="167" t="e">
        <f>VLOOKUP($Z$4,$B$148:$H$171,AS$37,FALSE)</f>
        <v>#N/A</v>
      </c>
      <c r="AT65" s="167" t="e">
        <f>VLOOKUP($Z$4,$B$148:$H$171,AT$37,FALSE)</f>
        <v>#N/A</v>
      </c>
      <c r="AU65" s="167" t="e">
        <f>VLOOKUP($Z$4,$B$148:$H$171,AU$37,FALSE)</f>
        <v>#N/A</v>
      </c>
      <c r="AV65" s="167" t="e">
        <f>VLOOKUP($Z$4,$B$148:$H$171,AV$37,FALSE)</f>
        <v>#N/A</v>
      </c>
      <c r="AW65" s="167" t="e">
        <f>VLOOKUP($Z$4,$B$148:$H$171,AW$37,FALSE)</f>
        <v>#N/A</v>
      </c>
      <c r="AX65" s="167" t="e">
        <f>VLOOKUP($Z$4,$B$112:$H$135,AX$37,FALSE)</f>
        <v>#N/A</v>
      </c>
      <c r="AY65" s="167" t="e">
        <f>VLOOKUP($Z$4,$B$112:$H$135,AY$37,FALSE)</f>
        <v>#N/A</v>
      </c>
      <c r="AZ65" s="167" t="e">
        <f>VLOOKUP($Z$4,$B$112:$H$135,AZ$37,FALSE)</f>
        <v>#N/A</v>
      </c>
      <c r="BA65" s="167" t="e">
        <f>VLOOKUP($Z$4,$B$112:$H$135,BA$37,FALSE)</f>
        <v>#N/A</v>
      </c>
      <c r="BB65" s="167" t="e">
        <f>VLOOKUP($Z$4,$B$112:$H$135,BB$37,FALSE)</f>
        <v>#N/A</v>
      </c>
    </row>
    <row r="66" spans="1:54" s="83" customFormat="1" ht="42" customHeight="1" x14ac:dyDescent="0.2">
      <c r="A66" s="120"/>
      <c r="B66" s="67"/>
      <c r="C66" s="67"/>
      <c r="D66" s="58"/>
      <c r="E66" s="58"/>
      <c r="F66" s="58"/>
      <c r="G66" s="58"/>
      <c r="H66" s="58"/>
      <c r="I66" s="58"/>
      <c r="J66" s="13"/>
      <c r="K66" s="9"/>
      <c r="L66" s="9"/>
      <c r="M66" s="9"/>
      <c r="N66" s="9"/>
      <c r="O66" s="9"/>
      <c r="P66" s="9"/>
      <c r="Q66" s="9"/>
      <c r="R66" s="9"/>
      <c r="S66" s="9"/>
      <c r="T66" s="9"/>
      <c r="U66" s="9"/>
      <c r="V66" s="119"/>
      <c r="W66" s="138"/>
      <c r="X66" s="147"/>
      <c r="AK66" s="157"/>
    </row>
    <row r="67" spans="1:54" s="89" customFormat="1" ht="42" customHeight="1" x14ac:dyDescent="0.2">
      <c r="A67" s="123"/>
      <c r="B67" s="111"/>
      <c r="C67" s="111"/>
      <c r="D67" s="111"/>
      <c r="E67" s="111"/>
      <c r="F67" s="111"/>
      <c r="G67" s="111"/>
      <c r="H67" s="111"/>
      <c r="I67" s="111"/>
      <c r="J67" s="98"/>
      <c r="K67" s="87"/>
      <c r="L67" s="87"/>
      <c r="M67" s="87"/>
      <c r="N67" s="87"/>
      <c r="O67" s="87"/>
      <c r="P67" s="87"/>
      <c r="Q67" s="87"/>
      <c r="R67" s="87"/>
      <c r="S67" s="87"/>
      <c r="T67" s="87"/>
      <c r="U67" s="87"/>
      <c r="V67" s="124"/>
      <c r="W67" s="140"/>
      <c r="X67" s="149"/>
      <c r="AE67" s="185"/>
      <c r="AF67" s="185"/>
      <c r="AG67" s="185"/>
      <c r="AH67" s="185"/>
      <c r="AI67" s="185"/>
      <c r="AJ67" s="199"/>
      <c r="AK67" s="156"/>
    </row>
    <row r="68" spans="1:54" s="89" customFormat="1" ht="42" customHeight="1" x14ac:dyDescent="0.2">
      <c r="A68" s="123"/>
      <c r="B68" s="111"/>
      <c r="C68" s="111"/>
      <c r="D68" s="111"/>
      <c r="E68" s="111"/>
      <c r="F68" s="111"/>
      <c r="G68" s="111"/>
      <c r="H68" s="111"/>
      <c r="I68" s="111"/>
      <c r="J68" s="98"/>
      <c r="K68" s="87"/>
      <c r="L68" s="87"/>
      <c r="M68" s="87"/>
      <c r="N68" s="87"/>
      <c r="O68" s="87"/>
      <c r="P68" s="87"/>
      <c r="Q68" s="87"/>
      <c r="R68" s="87"/>
      <c r="S68" s="87"/>
      <c r="T68" s="87"/>
      <c r="U68" s="87"/>
      <c r="V68" s="124"/>
      <c r="W68" s="140"/>
      <c r="X68" s="364"/>
      <c r="AE68" s="185"/>
      <c r="AF68" s="185"/>
      <c r="AG68" s="185"/>
      <c r="AH68" s="185"/>
      <c r="AI68" s="185"/>
      <c r="AJ68" s="199"/>
      <c r="AK68" s="156"/>
    </row>
    <row r="69" spans="1:54" ht="7.5" customHeight="1" x14ac:dyDescent="0.2">
      <c r="A69" s="120"/>
      <c r="B69" s="18"/>
      <c r="C69" s="18"/>
      <c r="D69" s="17"/>
      <c r="E69" s="17"/>
      <c r="F69" s="17"/>
      <c r="G69" s="17"/>
      <c r="H69" s="17"/>
      <c r="I69" s="17"/>
      <c r="J69" s="13"/>
      <c r="K69" s="19"/>
      <c r="L69" s="19"/>
      <c r="M69" s="19"/>
      <c r="N69" s="19"/>
      <c r="O69" s="19"/>
      <c r="P69" s="19"/>
      <c r="Q69" s="19"/>
      <c r="R69" s="19"/>
      <c r="S69" s="19"/>
      <c r="T69" s="19"/>
      <c r="U69" s="20"/>
      <c r="V69" s="119"/>
      <c r="W69" s="138"/>
      <c r="X69" s="147"/>
      <c r="Y69" s="89"/>
      <c r="Z69" s="89"/>
      <c r="AA69" s="89"/>
      <c r="AB69" s="89"/>
      <c r="AC69" s="89"/>
      <c r="AJ69" s="179"/>
      <c r="AK69" s="153"/>
    </row>
    <row r="70" spans="1:54"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1"/>
      <c r="V70" s="1422"/>
      <c r="W70" s="138"/>
      <c r="X70" s="147"/>
      <c r="Y70" s="89"/>
      <c r="Z70" s="89"/>
      <c r="AA70" s="89"/>
      <c r="AB70" s="89"/>
      <c r="AC70" s="89"/>
      <c r="AJ70" s="179"/>
      <c r="AK70" s="153"/>
    </row>
    <row r="71" spans="1:54"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0"/>
      <c r="J71" s="1429"/>
      <c r="K71" s="1429"/>
      <c r="L71" s="1429"/>
      <c r="M71" s="1429"/>
      <c r="N71" s="1429"/>
      <c r="O71" s="1429"/>
      <c r="P71" s="1431"/>
      <c r="Q71" s="1429"/>
      <c r="R71" s="1429"/>
      <c r="S71" s="1429"/>
      <c r="T71" s="1430"/>
      <c r="U71" s="1429"/>
      <c r="V71" s="1432"/>
      <c r="W71" s="138"/>
      <c r="X71" s="147"/>
      <c r="Y71" s="89"/>
      <c r="Z71" s="89"/>
      <c r="AA71" s="89"/>
      <c r="AB71" s="89"/>
      <c r="AC71" s="89"/>
      <c r="AJ71" s="179"/>
      <c r="AK71" s="153"/>
    </row>
    <row r="72" spans="1:54" ht="11.25" customHeight="1" x14ac:dyDescent="0.2">
      <c r="A72" s="114"/>
      <c r="B72" s="115"/>
      <c r="C72" s="115"/>
      <c r="D72" s="115"/>
      <c r="E72" s="115"/>
      <c r="F72" s="115"/>
      <c r="G72" s="115"/>
      <c r="H72" s="115"/>
      <c r="I72" s="115"/>
      <c r="J72" s="116"/>
      <c r="K72" s="115"/>
      <c r="L72" s="115"/>
      <c r="M72" s="115"/>
      <c r="N72" s="115"/>
      <c r="O72" s="115"/>
      <c r="P72" s="115"/>
      <c r="Q72" s="115"/>
      <c r="R72" s="115"/>
      <c r="S72" s="115"/>
      <c r="T72" s="115"/>
      <c r="U72" s="115"/>
      <c r="V72" s="117"/>
      <c r="W72" s="138"/>
      <c r="X72" s="147"/>
      <c r="Y72" s="183"/>
      <c r="Z72" s="183"/>
      <c r="AA72" s="183"/>
      <c r="AJ72" s="179"/>
      <c r="AK72" s="153"/>
    </row>
    <row r="73" spans="1:54" s="78" customFormat="1" ht="17.25" customHeight="1" x14ac:dyDescent="0.2">
      <c r="A73" s="121"/>
      <c r="B73" s="59"/>
      <c r="C73" s="302"/>
      <c r="D73" s="302"/>
      <c r="E73" s="302"/>
      <c r="F73" s="302"/>
      <c r="G73" s="302"/>
      <c r="H73" s="302"/>
      <c r="I73" s="302"/>
      <c r="J73" s="69"/>
      <c r="K73" s="69"/>
      <c r="L73" s="69"/>
      <c r="M73" s="69"/>
      <c r="N73" s="301"/>
      <c r="O73" s="69"/>
      <c r="P73" s="69"/>
      <c r="Q73" s="69"/>
      <c r="R73" s="69"/>
      <c r="S73" s="69"/>
      <c r="T73" s="69"/>
      <c r="U73" s="69"/>
      <c r="V73" s="122"/>
      <c r="W73" s="139"/>
      <c r="X73" s="148"/>
      <c r="Y73" s="183"/>
      <c r="Z73" s="183"/>
      <c r="AA73" s="183"/>
      <c r="AB73" s="183"/>
      <c r="AC73" s="183"/>
      <c r="AD73" s="183"/>
      <c r="AE73" s="183"/>
      <c r="AF73" s="183"/>
      <c r="AG73" s="183"/>
      <c r="AH73" s="183"/>
      <c r="AI73" s="183"/>
      <c r="AJ73" s="183"/>
      <c r="AK73" s="154"/>
    </row>
    <row r="74" spans="1:54" ht="13.5" customHeight="1" x14ac:dyDescent="0.2">
      <c r="A74" s="120"/>
      <c r="B74" s="302"/>
      <c r="C74" s="302"/>
      <c r="D74" s="302"/>
      <c r="E74" s="302"/>
      <c r="F74" s="302"/>
      <c r="G74" s="302"/>
      <c r="H74" s="302"/>
      <c r="I74" s="302"/>
      <c r="J74" s="69"/>
      <c r="K74" s="69"/>
      <c r="L74" s="69"/>
      <c r="M74" s="69"/>
      <c r="N74" s="301"/>
      <c r="O74" s="69"/>
      <c r="P74" s="69"/>
      <c r="Q74" s="69"/>
      <c r="R74" s="10"/>
      <c r="S74" s="69"/>
      <c r="T74" s="69"/>
      <c r="U74" s="69"/>
      <c r="V74" s="119"/>
      <c r="W74" s="138"/>
      <c r="X74" s="147"/>
      <c r="Y74" s="183"/>
      <c r="Z74" s="183"/>
      <c r="AA74" s="191"/>
      <c r="AB74" s="191"/>
      <c r="AC74" s="192"/>
      <c r="AD74" s="192"/>
      <c r="AJ74" s="179"/>
      <c r="AK74" s="153"/>
    </row>
    <row r="75" spans="1:54" s="89" customFormat="1" ht="12" customHeight="1" x14ac:dyDescent="0.2">
      <c r="A75" s="123"/>
      <c r="B75" s="302"/>
      <c r="C75" s="302"/>
      <c r="D75" s="302"/>
      <c r="E75" s="302"/>
      <c r="F75" s="302"/>
      <c r="G75" s="302"/>
      <c r="H75" s="302"/>
      <c r="I75" s="98"/>
      <c r="J75" s="98"/>
      <c r="K75" s="61"/>
      <c r="L75" s="61"/>
      <c r="M75" s="61"/>
      <c r="N75" s="61"/>
      <c r="O75" s="61"/>
      <c r="P75" s="61"/>
      <c r="Q75" s="303"/>
      <c r="R75" s="303"/>
      <c r="S75" s="155"/>
      <c r="T75" s="155"/>
      <c r="U75" s="304"/>
      <c r="V75" s="124"/>
      <c r="W75" s="140"/>
      <c r="X75" s="149"/>
      <c r="Y75" s="183"/>
      <c r="Z75" s="183"/>
      <c r="AA75" s="191"/>
      <c r="AB75" s="191"/>
      <c r="AC75" s="192"/>
      <c r="AD75" s="192"/>
      <c r="AE75" s="194"/>
      <c r="AF75" s="185"/>
      <c r="AG75" s="185"/>
      <c r="AH75" s="185"/>
      <c r="AI75" s="185"/>
      <c r="AJ75" s="199"/>
      <c r="AK75" s="156"/>
    </row>
    <row r="76" spans="1:54" s="89" customFormat="1" ht="24" customHeight="1" x14ac:dyDescent="0.2">
      <c r="A76" s="123"/>
      <c r="B76" s="302"/>
      <c r="C76" s="302"/>
      <c r="D76" s="302"/>
      <c r="E76" s="302"/>
      <c r="F76" s="302"/>
      <c r="G76" s="302"/>
      <c r="H76" s="302"/>
      <c r="I76" s="98"/>
      <c r="J76" s="98"/>
      <c r="K76" s="162"/>
      <c r="L76" s="162"/>
      <c r="M76" s="162"/>
      <c r="N76" s="162"/>
      <c r="O76" s="162"/>
      <c r="P76" s="162"/>
      <c r="Q76" s="162"/>
      <c r="R76" s="163"/>
      <c r="S76" s="155"/>
      <c r="T76" s="155"/>
      <c r="U76" s="162"/>
      <c r="V76" s="124"/>
      <c r="W76" s="140"/>
      <c r="X76" s="149"/>
      <c r="Z76" s="346" t="s">
        <v>129</v>
      </c>
      <c r="AA76" s="347" t="s">
        <v>130</v>
      </c>
      <c r="AB76" s="191"/>
      <c r="AC76" s="192"/>
      <c r="AD76" s="192"/>
      <c r="AE76" s="194"/>
      <c r="AF76" s="185"/>
      <c r="AG76" s="185"/>
      <c r="AH76" s="185"/>
      <c r="AI76" s="185"/>
      <c r="AJ76" s="199"/>
      <c r="AK76" s="156"/>
    </row>
    <row r="77" spans="1:54" s="89" customFormat="1" ht="12.75" customHeight="1" x14ac:dyDescent="0.2">
      <c r="A77" s="123"/>
      <c r="B77" s="302"/>
      <c r="C77" s="302"/>
      <c r="D77" s="302"/>
      <c r="E77" s="302"/>
      <c r="F77" s="302"/>
      <c r="G77" s="302"/>
      <c r="H77" s="302"/>
      <c r="I77" s="98"/>
      <c r="J77" s="98"/>
      <c r="K77" s="162"/>
      <c r="L77" s="162"/>
      <c r="M77" s="162"/>
      <c r="N77" s="162"/>
      <c r="O77" s="162"/>
      <c r="P77" s="162"/>
      <c r="Q77" s="162"/>
      <c r="R77" s="163"/>
      <c r="S77" s="155"/>
      <c r="T77" s="155"/>
      <c r="U77" s="162"/>
      <c r="V77" s="124"/>
      <c r="W77" s="140"/>
      <c r="X77" s="149"/>
      <c r="Y77" s="348" t="str">
        <f t="shared" ref="Y77:Y100" si="23">B10</f>
        <v>Bracknell Forest</v>
      </c>
      <c r="Z77" s="349" t="e">
        <f t="shared" ref="Z77:Z100" si="24">IF(Y77=$Z$4,I10,#N/A)</f>
        <v>#N/A</v>
      </c>
      <c r="AA77" s="349" t="e">
        <f>IF(Y77=$Z$4,U10,#N/A)</f>
        <v>#N/A</v>
      </c>
      <c r="AB77" s="191"/>
      <c r="AC77" s="192"/>
      <c r="AD77" s="192"/>
      <c r="AE77" s="194"/>
      <c r="AF77" s="185"/>
      <c r="AG77" s="185"/>
      <c r="AH77" s="185"/>
      <c r="AI77" s="185"/>
      <c r="AJ77" s="199"/>
      <c r="AK77" s="156"/>
    </row>
    <row r="78" spans="1:54" s="89" customFormat="1" ht="12.75" customHeight="1" x14ac:dyDescent="0.2">
      <c r="A78" s="123"/>
      <c r="B78" s="302"/>
      <c r="C78" s="302"/>
      <c r="D78" s="302"/>
      <c r="E78" s="302"/>
      <c r="F78" s="302"/>
      <c r="G78" s="302"/>
      <c r="H78" s="302"/>
      <c r="I78" s="98"/>
      <c r="J78" s="98"/>
      <c r="K78" s="162"/>
      <c r="L78" s="162"/>
      <c r="M78" s="162"/>
      <c r="N78" s="162"/>
      <c r="O78" s="162"/>
      <c r="P78" s="162"/>
      <c r="Q78" s="162"/>
      <c r="R78" s="163"/>
      <c r="S78" s="155"/>
      <c r="T78" s="155"/>
      <c r="U78" s="162"/>
      <c r="V78" s="124"/>
      <c r="W78" s="140"/>
      <c r="X78" s="149"/>
      <c r="Y78" s="348" t="str">
        <f t="shared" si="23"/>
        <v>Brighton &amp; Hove</v>
      </c>
      <c r="Z78" s="349" t="e">
        <f t="shared" si="24"/>
        <v>#N/A</v>
      </c>
      <c r="AA78" s="349" t="e">
        <f t="shared" ref="AA78:AA100" si="25">IF(Y78=$Z$4,U11,#N/A)</f>
        <v>#N/A</v>
      </c>
      <c r="AB78" s="191"/>
      <c r="AC78" s="192"/>
      <c r="AD78" s="192"/>
      <c r="AE78" s="194"/>
      <c r="AF78" s="185"/>
      <c r="AG78" s="185"/>
      <c r="AH78" s="185"/>
      <c r="AI78" s="185"/>
      <c r="AJ78" s="199"/>
      <c r="AK78" s="156"/>
    </row>
    <row r="79" spans="1:54" s="89" customFormat="1" ht="12.75" customHeight="1" x14ac:dyDescent="0.2">
      <c r="A79" s="123"/>
      <c r="B79" s="302"/>
      <c r="C79" s="302"/>
      <c r="D79" s="302"/>
      <c r="E79" s="302"/>
      <c r="F79" s="302"/>
      <c r="G79" s="302"/>
      <c r="H79" s="302"/>
      <c r="I79" s="98"/>
      <c r="J79" s="98"/>
      <c r="K79" s="162"/>
      <c r="L79" s="162"/>
      <c r="M79" s="162"/>
      <c r="N79" s="162"/>
      <c r="O79" s="162"/>
      <c r="P79" s="162"/>
      <c r="Q79" s="162"/>
      <c r="R79" s="163"/>
      <c r="S79" s="155"/>
      <c r="T79" s="155"/>
      <c r="U79" s="162"/>
      <c r="V79" s="124"/>
      <c r="W79" s="140"/>
      <c r="X79" s="149"/>
      <c r="Y79" s="348" t="str">
        <f t="shared" si="23"/>
        <v>Buckinghamshire</v>
      </c>
      <c r="Z79" s="349" t="e">
        <f t="shared" si="24"/>
        <v>#N/A</v>
      </c>
      <c r="AA79" s="349" t="e">
        <f t="shared" si="25"/>
        <v>#N/A</v>
      </c>
      <c r="AB79" s="191"/>
      <c r="AC79" s="192"/>
      <c r="AD79" s="192"/>
      <c r="AE79" s="194"/>
      <c r="AF79" s="185"/>
      <c r="AG79" s="185"/>
      <c r="AH79" s="185"/>
      <c r="AI79" s="185"/>
      <c r="AJ79" s="199"/>
      <c r="AK79" s="156"/>
    </row>
    <row r="80" spans="1:54" s="89" customFormat="1" ht="12.75" customHeight="1" x14ac:dyDescent="0.2">
      <c r="A80" s="123"/>
      <c r="B80" s="302"/>
      <c r="C80" s="302"/>
      <c r="D80" s="302"/>
      <c r="E80" s="302"/>
      <c r="F80" s="302"/>
      <c r="G80" s="302"/>
      <c r="H80" s="302"/>
      <c r="I80" s="98"/>
      <c r="J80" s="98"/>
      <c r="K80" s="162"/>
      <c r="L80" s="162"/>
      <c r="M80" s="162"/>
      <c r="N80" s="162"/>
      <c r="O80" s="162"/>
      <c r="P80" s="162"/>
      <c r="Q80" s="162"/>
      <c r="R80" s="163"/>
      <c r="S80" s="155"/>
      <c r="T80" s="155"/>
      <c r="U80" s="162"/>
      <c r="V80" s="124"/>
      <c r="W80" s="140"/>
      <c r="X80" s="149"/>
      <c r="Y80" s="348" t="str">
        <f t="shared" si="23"/>
        <v>East Sussex</v>
      </c>
      <c r="Z80" s="349" t="e">
        <f t="shared" si="24"/>
        <v>#N/A</v>
      </c>
      <c r="AA80" s="349" t="e">
        <f t="shared" si="25"/>
        <v>#N/A</v>
      </c>
      <c r="AB80" s="191"/>
      <c r="AC80" s="192"/>
      <c r="AD80" s="192"/>
      <c r="AE80" s="194"/>
      <c r="AF80" s="185"/>
      <c r="AG80" s="185"/>
      <c r="AH80" s="185"/>
      <c r="AI80" s="185"/>
      <c r="AJ80" s="199"/>
      <c r="AK80" s="156"/>
    </row>
    <row r="81" spans="1:45" s="89" customFormat="1" ht="12.75" customHeight="1" x14ac:dyDescent="0.2">
      <c r="A81" s="123"/>
      <c r="B81" s="302"/>
      <c r="C81" s="302"/>
      <c r="D81" s="302"/>
      <c r="E81" s="302"/>
      <c r="F81" s="302"/>
      <c r="G81" s="302"/>
      <c r="H81" s="302"/>
      <c r="I81" s="98"/>
      <c r="J81" s="98"/>
      <c r="K81" s="162"/>
      <c r="L81" s="162"/>
      <c r="M81" s="162"/>
      <c r="N81" s="162"/>
      <c r="O81" s="162"/>
      <c r="P81" s="162"/>
      <c r="Q81" s="162"/>
      <c r="R81" s="163"/>
      <c r="S81" s="155"/>
      <c r="T81" s="155"/>
      <c r="U81" s="162"/>
      <c r="V81" s="124"/>
      <c r="W81" s="140"/>
      <c r="X81" s="149"/>
      <c r="Y81" s="348" t="str">
        <f t="shared" si="23"/>
        <v>Hampshire</v>
      </c>
      <c r="Z81" s="349" t="e">
        <f t="shared" si="24"/>
        <v>#N/A</v>
      </c>
      <c r="AA81" s="349" t="e">
        <f t="shared" si="25"/>
        <v>#N/A</v>
      </c>
      <c r="AB81" s="191"/>
      <c r="AC81" s="192"/>
      <c r="AD81" s="192"/>
      <c r="AE81" s="194"/>
      <c r="AF81" s="185"/>
      <c r="AG81" s="185"/>
      <c r="AH81" s="185"/>
      <c r="AI81" s="185"/>
      <c r="AJ81" s="199"/>
      <c r="AK81" s="156"/>
      <c r="AS81" s="89" t="s">
        <v>103</v>
      </c>
    </row>
    <row r="82" spans="1:45" s="89" customFormat="1" ht="12.75" customHeight="1" x14ac:dyDescent="0.2">
      <c r="A82" s="123"/>
      <c r="B82" s="302"/>
      <c r="C82" s="302"/>
      <c r="D82" s="302"/>
      <c r="E82" s="302"/>
      <c r="F82" s="302"/>
      <c r="G82" s="302"/>
      <c r="H82" s="302"/>
      <c r="I82" s="98"/>
      <c r="J82" s="98"/>
      <c r="K82" s="162"/>
      <c r="L82" s="162"/>
      <c r="M82" s="162"/>
      <c r="N82" s="162"/>
      <c r="O82" s="162"/>
      <c r="P82" s="162"/>
      <c r="Q82" s="162"/>
      <c r="R82" s="163"/>
      <c r="S82" s="155"/>
      <c r="T82" s="155"/>
      <c r="U82" s="162"/>
      <c r="V82" s="124"/>
      <c r="W82" s="140"/>
      <c r="X82" s="149"/>
      <c r="Y82" s="348" t="str">
        <f t="shared" si="23"/>
        <v>Isle of Wight</v>
      </c>
      <c r="Z82" s="349" t="e">
        <f t="shared" si="24"/>
        <v>#N/A</v>
      </c>
      <c r="AA82" s="349" t="e">
        <f t="shared" si="25"/>
        <v>#N/A</v>
      </c>
      <c r="AB82" s="191"/>
      <c r="AC82" s="192"/>
      <c r="AD82" s="192"/>
      <c r="AE82" s="194"/>
      <c r="AF82" s="185"/>
      <c r="AG82" s="185"/>
      <c r="AH82" s="185"/>
      <c r="AI82" s="185"/>
      <c r="AJ82" s="199"/>
      <c r="AK82" s="156"/>
    </row>
    <row r="83" spans="1:45" s="89" customFormat="1" ht="12.75" customHeight="1" x14ac:dyDescent="0.2">
      <c r="A83" s="123"/>
      <c r="B83" s="302"/>
      <c r="C83" s="302"/>
      <c r="D83" s="302"/>
      <c r="E83" s="302"/>
      <c r="F83" s="302"/>
      <c r="G83" s="302"/>
      <c r="H83" s="302"/>
      <c r="I83" s="98"/>
      <c r="J83" s="98"/>
      <c r="K83" s="162"/>
      <c r="L83" s="162"/>
      <c r="M83" s="162"/>
      <c r="N83" s="162"/>
      <c r="O83" s="162"/>
      <c r="P83" s="162"/>
      <c r="Q83" s="162"/>
      <c r="R83" s="163"/>
      <c r="S83" s="155"/>
      <c r="T83" s="155"/>
      <c r="U83" s="162"/>
      <c r="V83" s="124"/>
      <c r="W83" s="140"/>
      <c r="X83" s="149"/>
      <c r="Y83" s="348" t="str">
        <f t="shared" si="23"/>
        <v>Kent</v>
      </c>
      <c r="Z83" s="349" t="e">
        <f t="shared" si="24"/>
        <v>#N/A</v>
      </c>
      <c r="AA83" s="349" t="e">
        <f t="shared" si="25"/>
        <v>#N/A</v>
      </c>
      <c r="AB83" s="191"/>
      <c r="AC83" s="192"/>
      <c r="AD83" s="192"/>
      <c r="AE83" s="194"/>
      <c r="AF83" s="185"/>
      <c r="AG83" s="185"/>
      <c r="AH83" s="185"/>
      <c r="AI83" s="185"/>
      <c r="AJ83" s="199"/>
      <c r="AK83" s="156"/>
    </row>
    <row r="84" spans="1:45" s="89" customFormat="1" ht="12.75" customHeight="1" x14ac:dyDescent="0.2">
      <c r="A84" s="123"/>
      <c r="B84" s="302"/>
      <c r="C84" s="302"/>
      <c r="D84" s="302"/>
      <c r="E84" s="302"/>
      <c r="F84" s="302"/>
      <c r="G84" s="302"/>
      <c r="H84" s="302"/>
      <c r="I84" s="98"/>
      <c r="J84" s="98"/>
      <c r="K84" s="162"/>
      <c r="L84" s="162"/>
      <c r="M84" s="162"/>
      <c r="N84" s="162"/>
      <c r="O84" s="162"/>
      <c r="P84" s="162"/>
      <c r="Q84" s="162"/>
      <c r="R84" s="163"/>
      <c r="S84" s="155"/>
      <c r="T84" s="155"/>
      <c r="U84" s="162"/>
      <c r="V84" s="124"/>
      <c r="W84" s="140"/>
      <c r="X84" s="149"/>
      <c r="Y84" s="348" t="str">
        <f t="shared" si="23"/>
        <v>Medway</v>
      </c>
      <c r="Z84" s="349" t="e">
        <f t="shared" si="24"/>
        <v>#N/A</v>
      </c>
      <c r="AA84" s="349" t="e">
        <f t="shared" si="25"/>
        <v>#N/A</v>
      </c>
      <c r="AB84" s="191"/>
      <c r="AC84" s="192"/>
      <c r="AD84" s="192"/>
      <c r="AE84" s="194"/>
      <c r="AF84" s="185"/>
      <c r="AG84" s="185"/>
      <c r="AH84" s="185"/>
      <c r="AI84" s="185"/>
      <c r="AJ84" s="199"/>
      <c r="AK84" s="156"/>
    </row>
    <row r="85" spans="1:45" s="89" customFormat="1" ht="12.75" customHeight="1" x14ac:dyDescent="0.2">
      <c r="A85" s="123"/>
      <c r="B85" s="302"/>
      <c r="C85" s="302"/>
      <c r="D85" s="302"/>
      <c r="E85" s="302"/>
      <c r="F85" s="302"/>
      <c r="G85" s="302"/>
      <c r="H85" s="302"/>
      <c r="I85" s="98"/>
      <c r="J85" s="98"/>
      <c r="K85" s="162"/>
      <c r="L85" s="162"/>
      <c r="M85" s="162"/>
      <c r="N85" s="162"/>
      <c r="O85" s="162"/>
      <c r="P85" s="162"/>
      <c r="Q85" s="162"/>
      <c r="R85" s="163"/>
      <c r="S85" s="155"/>
      <c r="T85" s="155"/>
      <c r="U85" s="162"/>
      <c r="V85" s="124"/>
      <c r="W85" s="140"/>
      <c r="X85" s="149"/>
      <c r="Y85" s="348" t="str">
        <f t="shared" si="23"/>
        <v>Milton Keynes</v>
      </c>
      <c r="Z85" s="349" t="e">
        <f t="shared" si="24"/>
        <v>#N/A</v>
      </c>
      <c r="AA85" s="349" t="e">
        <f t="shared" si="25"/>
        <v>#N/A</v>
      </c>
      <c r="AB85" s="191"/>
      <c r="AC85" s="192"/>
      <c r="AD85" s="192"/>
      <c r="AE85" s="194"/>
      <c r="AF85" s="185"/>
      <c r="AG85" s="185"/>
      <c r="AH85" s="185"/>
      <c r="AI85" s="185"/>
      <c r="AJ85" s="199"/>
      <c r="AK85" s="156"/>
    </row>
    <row r="86" spans="1:45" s="89" customFormat="1" ht="12.75" customHeight="1" x14ac:dyDescent="0.2">
      <c r="A86" s="123"/>
      <c r="B86" s="302"/>
      <c r="C86" s="302"/>
      <c r="D86" s="302"/>
      <c r="E86" s="302"/>
      <c r="F86" s="302"/>
      <c r="G86" s="302"/>
      <c r="H86" s="302"/>
      <c r="I86" s="98"/>
      <c r="J86" s="98"/>
      <c r="K86" s="162"/>
      <c r="L86" s="162"/>
      <c r="M86" s="162"/>
      <c r="N86" s="162"/>
      <c r="O86" s="162"/>
      <c r="P86" s="162"/>
      <c r="Q86" s="162"/>
      <c r="R86" s="163"/>
      <c r="S86" s="155"/>
      <c r="T86" s="155"/>
      <c r="U86" s="162"/>
      <c r="V86" s="124"/>
      <c r="W86" s="140"/>
      <c r="X86" s="149"/>
      <c r="Y86" s="348" t="str">
        <f t="shared" si="23"/>
        <v>Oxfordshire</v>
      </c>
      <c r="Z86" s="349" t="e">
        <f t="shared" si="24"/>
        <v>#N/A</v>
      </c>
      <c r="AA86" s="349" t="e">
        <f t="shared" si="25"/>
        <v>#N/A</v>
      </c>
      <c r="AB86" s="191"/>
      <c r="AC86" s="192"/>
      <c r="AD86" s="192"/>
      <c r="AE86" s="194"/>
      <c r="AF86" s="185"/>
      <c r="AG86" s="185"/>
      <c r="AH86" s="185"/>
      <c r="AI86" s="185"/>
      <c r="AJ86" s="199"/>
      <c r="AK86" s="156"/>
    </row>
    <row r="87" spans="1:45" s="89" customFormat="1" ht="12.75" customHeight="1" x14ac:dyDescent="0.2">
      <c r="A87" s="123"/>
      <c r="B87" s="302"/>
      <c r="C87" s="302"/>
      <c r="D87" s="302"/>
      <c r="E87" s="302"/>
      <c r="F87" s="302"/>
      <c r="G87" s="302"/>
      <c r="H87" s="302"/>
      <c r="I87" s="98"/>
      <c r="J87" s="98"/>
      <c r="K87" s="162"/>
      <c r="L87" s="162"/>
      <c r="M87" s="162"/>
      <c r="N87" s="162"/>
      <c r="O87" s="162"/>
      <c r="P87" s="162"/>
      <c r="Q87" s="162"/>
      <c r="R87" s="163"/>
      <c r="S87" s="155"/>
      <c r="T87" s="155"/>
      <c r="U87" s="162"/>
      <c r="V87" s="124"/>
      <c r="W87" s="140"/>
      <c r="X87" s="149"/>
      <c r="Y87" s="348" t="str">
        <f t="shared" si="23"/>
        <v>Portsmouth</v>
      </c>
      <c r="Z87" s="349" t="e">
        <f t="shared" si="24"/>
        <v>#N/A</v>
      </c>
      <c r="AA87" s="349" t="e">
        <f t="shared" si="25"/>
        <v>#N/A</v>
      </c>
      <c r="AB87" s="191"/>
      <c r="AC87" s="192"/>
      <c r="AD87" s="192"/>
      <c r="AE87" s="194"/>
      <c r="AF87" s="185"/>
      <c r="AG87" s="185"/>
      <c r="AH87" s="185"/>
      <c r="AI87" s="185"/>
      <c r="AJ87" s="199"/>
      <c r="AK87" s="156"/>
    </row>
    <row r="88" spans="1:45" s="89" customFormat="1" ht="12.75" customHeight="1" x14ac:dyDescent="0.2">
      <c r="A88" s="123"/>
      <c r="B88" s="302"/>
      <c r="C88" s="302"/>
      <c r="D88" s="302"/>
      <c r="E88" s="302"/>
      <c r="F88" s="302"/>
      <c r="G88" s="302"/>
      <c r="H88" s="302"/>
      <c r="I88" s="98"/>
      <c r="J88" s="98"/>
      <c r="K88" s="162"/>
      <c r="L88" s="162"/>
      <c r="M88" s="162"/>
      <c r="N88" s="162"/>
      <c r="O88" s="162"/>
      <c r="P88" s="162"/>
      <c r="Q88" s="162"/>
      <c r="R88" s="163"/>
      <c r="S88" s="155"/>
      <c r="T88" s="155"/>
      <c r="U88" s="162"/>
      <c r="V88" s="124"/>
      <c r="W88" s="140"/>
      <c r="X88" s="149"/>
      <c r="Y88" s="348" t="str">
        <f t="shared" si="23"/>
        <v>Reading</v>
      </c>
      <c r="Z88" s="349" t="e">
        <f t="shared" si="24"/>
        <v>#N/A</v>
      </c>
      <c r="AA88" s="349" t="e">
        <f t="shared" si="25"/>
        <v>#N/A</v>
      </c>
      <c r="AB88" s="191"/>
      <c r="AC88" s="192"/>
      <c r="AD88" s="192"/>
      <c r="AE88" s="194"/>
      <c r="AF88" s="185"/>
      <c r="AG88" s="185"/>
      <c r="AH88" s="185"/>
      <c r="AI88" s="185"/>
      <c r="AJ88" s="199"/>
      <c r="AK88" s="156"/>
    </row>
    <row r="89" spans="1:45" s="89" customFormat="1" ht="12.75" customHeight="1" x14ac:dyDescent="0.2">
      <c r="A89" s="123"/>
      <c r="B89" s="302"/>
      <c r="C89" s="302"/>
      <c r="D89" s="302"/>
      <c r="E89" s="302"/>
      <c r="F89" s="302"/>
      <c r="G89" s="302"/>
      <c r="H89" s="302"/>
      <c r="I89" s="98"/>
      <c r="J89" s="98"/>
      <c r="K89" s="162"/>
      <c r="L89" s="162"/>
      <c r="M89" s="162"/>
      <c r="N89" s="162"/>
      <c r="O89" s="162"/>
      <c r="P89" s="162"/>
      <c r="Q89" s="162"/>
      <c r="R89" s="163"/>
      <c r="S89" s="155"/>
      <c r="T89" s="155"/>
      <c r="U89" s="162"/>
      <c r="V89" s="124"/>
      <c r="W89" s="140"/>
      <c r="X89" s="149"/>
      <c r="Y89" s="348" t="str">
        <f t="shared" si="23"/>
        <v>Slough</v>
      </c>
      <c r="Z89" s="349" t="e">
        <f t="shared" si="24"/>
        <v>#N/A</v>
      </c>
      <c r="AA89" s="349" t="e">
        <f t="shared" si="25"/>
        <v>#N/A</v>
      </c>
      <c r="AB89" s="191"/>
      <c r="AC89" s="192"/>
      <c r="AD89" s="192"/>
      <c r="AE89" s="194"/>
      <c r="AF89" s="185"/>
      <c r="AG89" s="185"/>
      <c r="AH89" s="185"/>
      <c r="AI89" s="185"/>
      <c r="AJ89" s="199"/>
      <c r="AK89" s="156"/>
    </row>
    <row r="90" spans="1:45" s="89" customFormat="1" ht="12.75" customHeight="1" x14ac:dyDescent="0.2">
      <c r="A90" s="123"/>
      <c r="B90" s="302"/>
      <c r="C90" s="302"/>
      <c r="D90" s="302"/>
      <c r="E90" s="302"/>
      <c r="F90" s="302"/>
      <c r="G90" s="302"/>
      <c r="H90" s="302"/>
      <c r="I90" s="98"/>
      <c r="J90" s="98"/>
      <c r="K90" s="162"/>
      <c r="L90" s="162"/>
      <c r="M90" s="162"/>
      <c r="N90" s="162"/>
      <c r="O90" s="162"/>
      <c r="P90" s="162"/>
      <c r="Q90" s="162"/>
      <c r="R90" s="163"/>
      <c r="S90" s="155"/>
      <c r="T90" s="155"/>
      <c r="U90" s="162"/>
      <c r="V90" s="124"/>
      <c r="W90" s="140"/>
      <c r="X90" s="149"/>
      <c r="Y90" s="348" t="str">
        <f t="shared" si="23"/>
        <v>Somerset</v>
      </c>
      <c r="Z90" s="349" t="e">
        <f t="shared" si="24"/>
        <v>#N/A</v>
      </c>
      <c r="AA90" s="349" t="e">
        <f t="shared" si="25"/>
        <v>#N/A</v>
      </c>
      <c r="AB90" s="191"/>
      <c r="AC90" s="192"/>
      <c r="AD90" s="192"/>
      <c r="AE90" s="194"/>
      <c r="AF90" s="185"/>
      <c r="AG90" s="185"/>
      <c r="AH90" s="185"/>
      <c r="AI90" s="185"/>
      <c r="AJ90" s="199"/>
      <c r="AK90" s="156"/>
    </row>
    <row r="91" spans="1:45" s="89" customFormat="1" ht="12.75" customHeight="1" x14ac:dyDescent="0.2">
      <c r="A91" s="123"/>
      <c r="B91" s="302"/>
      <c r="C91" s="302"/>
      <c r="D91" s="302"/>
      <c r="E91" s="302"/>
      <c r="F91" s="302"/>
      <c r="G91" s="302"/>
      <c r="H91" s="302"/>
      <c r="I91" s="98"/>
      <c r="J91" s="98"/>
      <c r="K91" s="162"/>
      <c r="L91" s="162"/>
      <c r="M91" s="162"/>
      <c r="N91" s="162"/>
      <c r="O91" s="162"/>
      <c r="P91" s="162"/>
      <c r="Q91" s="162"/>
      <c r="R91" s="163"/>
      <c r="S91" s="155"/>
      <c r="T91" s="155"/>
      <c r="U91" s="162"/>
      <c r="V91" s="124"/>
      <c r="W91" s="140"/>
      <c r="X91" s="149"/>
      <c r="Y91" s="348" t="str">
        <f t="shared" si="23"/>
        <v>Southampton</v>
      </c>
      <c r="Z91" s="349" t="e">
        <f t="shared" si="24"/>
        <v>#N/A</v>
      </c>
      <c r="AA91" s="349" t="e">
        <f t="shared" si="25"/>
        <v>#N/A</v>
      </c>
      <c r="AB91" s="191"/>
      <c r="AC91" s="192"/>
      <c r="AD91" s="192"/>
      <c r="AE91" s="194"/>
      <c r="AF91" s="185"/>
      <c r="AG91" s="185"/>
      <c r="AH91" s="185"/>
      <c r="AI91" s="185"/>
      <c r="AJ91" s="199"/>
      <c r="AK91" s="156"/>
    </row>
    <row r="92" spans="1:45" s="89" customFormat="1" ht="12.75" customHeight="1" x14ac:dyDescent="0.2">
      <c r="A92" s="286"/>
      <c r="B92" s="302"/>
      <c r="C92" s="302"/>
      <c r="D92" s="302"/>
      <c r="E92" s="302"/>
      <c r="F92" s="302"/>
      <c r="G92" s="302"/>
      <c r="H92" s="302"/>
      <c r="I92" s="98"/>
      <c r="J92" s="98"/>
      <c r="K92" s="162"/>
      <c r="L92" s="162"/>
      <c r="M92" s="162"/>
      <c r="N92" s="162"/>
      <c r="O92" s="162"/>
      <c r="P92" s="162"/>
      <c r="Q92" s="162"/>
      <c r="R92" s="163"/>
      <c r="S92" s="155"/>
      <c r="T92" s="155"/>
      <c r="U92" s="162"/>
      <c r="V92" s="124"/>
      <c r="W92" s="140"/>
      <c r="X92" s="149"/>
      <c r="Y92" s="348" t="str">
        <f t="shared" si="23"/>
        <v>Surrey</v>
      </c>
      <c r="Z92" s="349" t="e">
        <f t="shared" si="24"/>
        <v>#N/A</v>
      </c>
      <c r="AA92" s="349" t="e">
        <f t="shared" si="25"/>
        <v>#N/A</v>
      </c>
      <c r="AB92" s="191"/>
      <c r="AC92" s="192"/>
      <c r="AD92" s="192"/>
      <c r="AE92" s="194"/>
      <c r="AF92" s="185"/>
      <c r="AG92" s="185"/>
      <c r="AH92" s="185"/>
      <c r="AI92" s="185"/>
      <c r="AJ92" s="199"/>
      <c r="AK92" s="156"/>
    </row>
    <row r="93" spans="1:45" s="89" customFormat="1" ht="12.75" customHeight="1" x14ac:dyDescent="0.2">
      <c r="A93" s="286"/>
      <c r="B93" s="302"/>
      <c r="C93" s="302"/>
      <c r="D93" s="302"/>
      <c r="E93" s="302"/>
      <c r="F93" s="302"/>
      <c r="G93" s="302"/>
      <c r="H93" s="302"/>
      <c r="I93" s="98"/>
      <c r="J93" s="98"/>
      <c r="K93" s="162"/>
      <c r="L93" s="162"/>
      <c r="M93" s="162"/>
      <c r="N93" s="162"/>
      <c r="O93" s="162"/>
      <c r="P93" s="162"/>
      <c r="Q93" s="162"/>
      <c r="R93" s="163"/>
      <c r="S93" s="155"/>
      <c r="T93" s="155"/>
      <c r="U93" s="162"/>
      <c r="V93" s="124"/>
      <c r="W93" s="140"/>
      <c r="X93" s="149"/>
      <c r="Y93" s="348" t="str">
        <f t="shared" si="23"/>
        <v>Swindon</v>
      </c>
      <c r="Z93" s="349" t="e">
        <f t="shared" si="24"/>
        <v>#N/A</v>
      </c>
      <c r="AA93" s="349" t="e">
        <f t="shared" si="25"/>
        <v>#N/A</v>
      </c>
      <c r="AB93" s="191"/>
      <c r="AC93" s="192"/>
      <c r="AD93" s="192"/>
      <c r="AE93" s="194"/>
      <c r="AF93" s="185"/>
      <c r="AG93" s="185"/>
      <c r="AH93" s="185"/>
      <c r="AI93" s="185"/>
      <c r="AJ93" s="199"/>
      <c r="AK93" s="156"/>
    </row>
    <row r="94" spans="1:45" s="89" customFormat="1" ht="12.75" customHeight="1" x14ac:dyDescent="0.2">
      <c r="A94" s="123"/>
      <c r="B94" s="302"/>
      <c r="C94" s="302"/>
      <c r="D94" s="302"/>
      <c r="E94" s="302"/>
      <c r="F94" s="302"/>
      <c r="G94" s="302"/>
      <c r="H94" s="302"/>
      <c r="I94" s="98"/>
      <c r="J94" s="98"/>
      <c r="K94" s="162"/>
      <c r="L94" s="162"/>
      <c r="M94" s="162"/>
      <c r="N94" s="162"/>
      <c r="O94" s="162"/>
      <c r="P94" s="162"/>
      <c r="Q94" s="162"/>
      <c r="R94" s="163"/>
      <c r="S94" s="155"/>
      <c r="T94" s="155"/>
      <c r="U94" s="162"/>
      <c r="V94" s="124"/>
      <c r="W94" s="140"/>
      <c r="X94" s="149"/>
      <c r="Y94" s="348" t="str">
        <f t="shared" si="23"/>
        <v>Torbay</v>
      </c>
      <c r="Z94" s="349" t="e">
        <f t="shared" si="24"/>
        <v>#N/A</v>
      </c>
      <c r="AA94" s="349" t="e">
        <f t="shared" si="25"/>
        <v>#N/A</v>
      </c>
      <c r="AB94" s="191"/>
      <c r="AC94" s="192"/>
      <c r="AD94" s="192"/>
      <c r="AE94" s="194"/>
      <c r="AF94" s="199"/>
      <c r="AG94" s="185"/>
      <c r="AH94" s="185"/>
      <c r="AI94" s="185"/>
      <c r="AJ94" s="199"/>
      <c r="AK94" s="156"/>
    </row>
    <row r="95" spans="1:45" s="89" customFormat="1" ht="12.75" customHeight="1" x14ac:dyDescent="0.2">
      <c r="A95" s="123"/>
      <c r="B95" s="302"/>
      <c r="C95" s="302"/>
      <c r="D95" s="302"/>
      <c r="E95" s="302"/>
      <c r="F95" s="302"/>
      <c r="G95" s="302"/>
      <c r="H95" s="302"/>
      <c r="I95" s="98"/>
      <c r="J95" s="98"/>
      <c r="K95" s="162"/>
      <c r="L95" s="162"/>
      <c r="M95" s="162"/>
      <c r="N95" s="162"/>
      <c r="O95" s="162"/>
      <c r="P95" s="162"/>
      <c r="Q95" s="162"/>
      <c r="R95" s="163"/>
      <c r="S95" s="155"/>
      <c r="T95" s="155"/>
      <c r="U95" s="162"/>
      <c r="V95" s="124"/>
      <c r="W95" s="140"/>
      <c r="X95" s="149"/>
      <c r="Y95" s="348" t="str">
        <f t="shared" si="23"/>
        <v>West Berkshire</v>
      </c>
      <c r="Z95" s="349" t="e">
        <f t="shared" si="24"/>
        <v>#N/A</v>
      </c>
      <c r="AA95" s="349" t="e">
        <f t="shared" si="25"/>
        <v>#N/A</v>
      </c>
      <c r="AB95" s="191"/>
      <c r="AC95" s="192"/>
      <c r="AD95" s="192"/>
      <c r="AE95" s="194"/>
      <c r="AF95" s="199"/>
      <c r="AG95" s="185"/>
      <c r="AH95" s="185"/>
      <c r="AI95" s="185"/>
      <c r="AJ95" s="199"/>
      <c r="AK95" s="156"/>
    </row>
    <row r="96" spans="1:45" s="89" customFormat="1" ht="12.75" customHeight="1" x14ac:dyDescent="0.2">
      <c r="A96" s="123"/>
      <c r="B96" s="302"/>
      <c r="C96" s="302"/>
      <c r="D96" s="302"/>
      <c r="E96" s="302"/>
      <c r="F96" s="302"/>
      <c r="G96" s="302"/>
      <c r="H96" s="302"/>
      <c r="I96" s="98"/>
      <c r="J96" s="98"/>
      <c r="K96" s="162"/>
      <c r="L96" s="162"/>
      <c r="M96" s="162"/>
      <c r="N96" s="162"/>
      <c r="O96" s="162"/>
      <c r="P96" s="162"/>
      <c r="Q96" s="162"/>
      <c r="R96" s="163"/>
      <c r="S96" s="155"/>
      <c r="T96" s="155"/>
      <c r="U96" s="162"/>
      <c r="V96" s="124"/>
      <c r="W96" s="140"/>
      <c r="X96" s="149"/>
      <c r="Y96" s="348" t="str">
        <f t="shared" si="23"/>
        <v>West Sussex</v>
      </c>
      <c r="Z96" s="349" t="e">
        <f t="shared" si="24"/>
        <v>#N/A</v>
      </c>
      <c r="AA96" s="349" t="e">
        <f t="shared" si="25"/>
        <v>#N/A</v>
      </c>
      <c r="AB96" s="191"/>
      <c r="AC96" s="192"/>
      <c r="AD96" s="192"/>
      <c r="AE96" s="194"/>
      <c r="AF96" s="199"/>
      <c r="AG96" s="199"/>
      <c r="AH96" s="199"/>
      <c r="AI96" s="185"/>
      <c r="AJ96" s="199"/>
      <c r="AK96" s="156"/>
    </row>
    <row r="97" spans="1:46" s="89" customFormat="1" ht="12.75" customHeight="1" x14ac:dyDescent="0.2">
      <c r="A97" s="123"/>
      <c r="B97" s="302"/>
      <c r="C97" s="302"/>
      <c r="D97" s="302"/>
      <c r="E97" s="302"/>
      <c r="F97" s="302"/>
      <c r="G97" s="302"/>
      <c r="H97" s="302"/>
      <c r="I97" s="98"/>
      <c r="J97" s="98"/>
      <c r="K97" s="162"/>
      <c r="L97" s="162"/>
      <c r="M97" s="162"/>
      <c r="N97" s="162"/>
      <c r="O97" s="162"/>
      <c r="P97" s="162"/>
      <c r="Q97" s="162"/>
      <c r="R97" s="163"/>
      <c r="S97" s="155"/>
      <c r="T97" s="155"/>
      <c r="U97" s="162"/>
      <c r="V97" s="124"/>
      <c r="W97" s="140"/>
      <c r="X97" s="149"/>
      <c r="Y97" s="348" t="str">
        <f t="shared" si="23"/>
        <v>Windsor &amp; Maidenhead</v>
      </c>
      <c r="Z97" s="349" t="e">
        <f t="shared" si="24"/>
        <v>#N/A</v>
      </c>
      <c r="AA97" s="349" t="e">
        <f t="shared" si="25"/>
        <v>#N/A</v>
      </c>
      <c r="AB97" s="191"/>
      <c r="AC97" s="192"/>
      <c r="AD97" s="192"/>
      <c r="AE97" s="194"/>
      <c r="AF97" s="199"/>
      <c r="AG97" s="199"/>
      <c r="AH97" s="199"/>
      <c r="AI97" s="185"/>
      <c r="AJ97" s="199"/>
      <c r="AK97" s="156"/>
    </row>
    <row r="98" spans="1:46" s="89" customFormat="1" ht="12.75" customHeight="1" x14ac:dyDescent="0.2">
      <c r="A98" s="123"/>
      <c r="B98" s="302"/>
      <c r="C98" s="302"/>
      <c r="D98" s="302"/>
      <c r="E98" s="302"/>
      <c r="F98" s="302"/>
      <c r="G98" s="302"/>
      <c r="H98" s="302"/>
      <c r="I98" s="98"/>
      <c r="J98" s="98"/>
      <c r="K98" s="164"/>
      <c r="L98" s="164"/>
      <c r="M98" s="164"/>
      <c r="N98" s="164"/>
      <c r="O98" s="164"/>
      <c r="P98" s="164"/>
      <c r="Q98" s="164"/>
      <c r="R98" s="165"/>
      <c r="S98" s="155"/>
      <c r="T98" s="155"/>
      <c r="U98" s="166"/>
      <c r="V98" s="124"/>
      <c r="W98" s="140"/>
      <c r="X98" s="149"/>
      <c r="Y98" s="348" t="str">
        <f t="shared" si="23"/>
        <v>Wokingham</v>
      </c>
      <c r="Z98" s="349" t="e">
        <f t="shared" si="24"/>
        <v>#N/A</v>
      </c>
      <c r="AA98" s="349" t="e">
        <f t="shared" si="25"/>
        <v>#N/A</v>
      </c>
      <c r="AB98" s="191"/>
      <c r="AC98" s="192"/>
      <c r="AD98" s="192"/>
      <c r="AE98" s="194"/>
      <c r="AF98" s="199"/>
      <c r="AG98" s="199"/>
      <c r="AH98" s="199"/>
      <c r="AI98" s="185"/>
      <c r="AJ98" s="199"/>
      <c r="AK98" s="156"/>
    </row>
    <row r="99" spans="1:46" s="89" customFormat="1" ht="12.75" customHeight="1" x14ac:dyDescent="0.2">
      <c r="A99" s="123"/>
      <c r="B99" s="302"/>
      <c r="C99" s="302"/>
      <c r="D99" s="302"/>
      <c r="E99" s="302"/>
      <c r="F99" s="302"/>
      <c r="G99" s="302"/>
      <c r="H99" s="302"/>
      <c r="I99" s="98"/>
      <c r="J99" s="98"/>
      <c r="K99" s="164"/>
      <c r="L99" s="164"/>
      <c r="M99" s="164"/>
      <c r="N99" s="164"/>
      <c r="O99" s="164"/>
      <c r="P99" s="164"/>
      <c r="Q99" s="164"/>
      <c r="R99" s="165"/>
      <c r="S99" s="155"/>
      <c r="T99" s="155"/>
      <c r="U99" s="166"/>
      <c r="V99" s="124"/>
      <c r="W99" s="140"/>
      <c r="X99" s="149"/>
      <c r="Y99" s="348" t="str">
        <f t="shared" si="23"/>
        <v>South East</v>
      </c>
      <c r="Z99" s="349" t="e">
        <f t="shared" si="24"/>
        <v>#N/A</v>
      </c>
      <c r="AA99" s="349" t="e">
        <f t="shared" si="25"/>
        <v>#N/A</v>
      </c>
      <c r="AB99" s="191"/>
      <c r="AC99" s="192"/>
      <c r="AD99" s="192"/>
      <c r="AE99" s="194"/>
      <c r="AF99" s="199"/>
      <c r="AG99" s="199"/>
      <c r="AH99" s="199"/>
      <c r="AI99" s="185"/>
      <c r="AJ99" s="199"/>
      <c r="AK99" s="156"/>
    </row>
    <row r="100" spans="1:46" s="89" customFormat="1" ht="11.25" customHeight="1" x14ac:dyDescent="0.2">
      <c r="A100" s="286"/>
      <c r="B100" s="302"/>
      <c r="C100" s="302"/>
      <c r="D100" s="302"/>
      <c r="E100" s="302"/>
      <c r="F100" s="302"/>
      <c r="G100" s="302"/>
      <c r="H100" s="302"/>
      <c r="I100" s="98"/>
      <c r="J100" s="98"/>
      <c r="K100" s="164"/>
      <c r="L100" s="164"/>
      <c r="M100" s="164"/>
      <c r="N100" s="164"/>
      <c r="O100" s="164"/>
      <c r="P100" s="164"/>
      <c r="Q100" s="164"/>
      <c r="R100" s="165"/>
      <c r="S100" s="155"/>
      <c r="T100" s="155"/>
      <c r="U100" s="166"/>
      <c r="V100" s="124"/>
      <c r="W100" s="140"/>
      <c r="X100" s="149"/>
      <c r="Y100" s="348" t="str">
        <f t="shared" si="23"/>
        <v>England</v>
      </c>
      <c r="Z100" s="349" t="e">
        <f t="shared" si="24"/>
        <v>#N/A</v>
      </c>
      <c r="AA100" s="349" t="e">
        <f t="shared" si="25"/>
        <v>#N/A</v>
      </c>
      <c r="AB100" s="191"/>
      <c r="AC100" s="192"/>
      <c r="AD100" s="192"/>
      <c r="AE100" s="194"/>
      <c r="AF100" s="199"/>
      <c r="AG100" s="199"/>
      <c r="AH100" s="199"/>
      <c r="AI100" s="185"/>
      <c r="AJ100" s="199"/>
      <c r="AK100" s="156"/>
    </row>
    <row r="101" spans="1:46" s="83" customFormat="1" ht="38.25" customHeight="1" x14ac:dyDescent="0.2">
      <c r="A101" s="213"/>
      <c r="B101" s="302"/>
      <c r="C101" s="302"/>
      <c r="D101" s="302"/>
      <c r="E101" s="302"/>
      <c r="F101" s="302"/>
      <c r="G101" s="302"/>
      <c r="H101" s="302"/>
      <c r="I101" s="305"/>
      <c r="J101" s="168"/>
      <c r="K101" s="168"/>
      <c r="L101" s="168"/>
      <c r="M101" s="168"/>
      <c r="N101" s="168"/>
      <c r="O101" s="168"/>
      <c r="P101" s="168"/>
      <c r="Q101" s="168"/>
      <c r="R101" s="137"/>
      <c r="S101" s="168"/>
      <c r="T101" s="168"/>
      <c r="U101" s="168"/>
      <c r="V101" s="119"/>
      <c r="W101" s="138"/>
      <c r="X101" s="147"/>
      <c r="AD101" s="192"/>
      <c r="AE101" s="194"/>
      <c r="AF101" s="179"/>
      <c r="AG101" s="179"/>
      <c r="AH101" s="179"/>
      <c r="AJ101" s="179"/>
      <c r="AK101" s="157"/>
    </row>
    <row r="102" spans="1:46" s="83" customFormat="1" ht="38.25" customHeight="1" x14ac:dyDescent="0.2">
      <c r="A102" s="213"/>
      <c r="B102" s="302"/>
      <c r="C102" s="302"/>
      <c r="D102" s="302"/>
      <c r="E102" s="302"/>
      <c r="F102" s="302"/>
      <c r="G102" s="302"/>
      <c r="H102" s="302"/>
      <c r="I102" s="305"/>
      <c r="J102" s="168"/>
      <c r="K102" s="168"/>
      <c r="L102" s="168"/>
      <c r="M102" s="168"/>
      <c r="N102" s="168"/>
      <c r="O102" s="168"/>
      <c r="P102" s="168"/>
      <c r="Q102" s="168"/>
      <c r="R102" s="137"/>
      <c r="S102" s="168"/>
      <c r="T102" s="168"/>
      <c r="U102" s="168"/>
      <c r="V102" s="119"/>
      <c r="W102" s="138"/>
      <c r="X102" s="147"/>
      <c r="Z102" s="185"/>
      <c r="AE102" s="194"/>
      <c r="AF102" s="179"/>
      <c r="AG102" s="179"/>
      <c r="AH102" s="179"/>
      <c r="AJ102" s="179"/>
      <c r="AK102" s="157"/>
    </row>
    <row r="103" spans="1:46" s="83" customFormat="1" ht="38.25" customHeight="1" x14ac:dyDescent="0.2">
      <c r="A103" s="213"/>
      <c r="B103" s="305"/>
      <c r="C103" s="305"/>
      <c r="D103" s="305"/>
      <c r="E103" s="305"/>
      <c r="F103" s="305"/>
      <c r="G103" s="305"/>
      <c r="H103" s="305"/>
      <c r="I103" s="305"/>
      <c r="J103" s="168"/>
      <c r="K103" s="168"/>
      <c r="L103" s="168"/>
      <c r="M103" s="168"/>
      <c r="N103" s="168"/>
      <c r="O103" s="168"/>
      <c r="P103" s="168"/>
      <c r="Q103" s="168"/>
      <c r="R103" s="137"/>
      <c r="S103" s="168"/>
      <c r="T103" s="168"/>
      <c r="U103" s="168"/>
      <c r="V103" s="119"/>
      <c r="W103" s="138"/>
      <c r="X103" s="147"/>
      <c r="Z103" s="185"/>
      <c r="AE103" s="194"/>
      <c r="AF103" s="179"/>
      <c r="AG103" s="179"/>
      <c r="AH103" s="179"/>
      <c r="AJ103" s="179"/>
      <c r="AK103" s="157"/>
    </row>
    <row r="104" spans="1:46" s="83" customFormat="1" ht="7.5" customHeight="1" x14ac:dyDescent="0.2">
      <c r="A104" s="120"/>
      <c r="B104" s="18"/>
      <c r="C104" s="18"/>
      <c r="D104" s="17"/>
      <c r="E104" s="17"/>
      <c r="F104" s="17"/>
      <c r="G104" s="17"/>
      <c r="H104" s="17"/>
      <c r="I104" s="17"/>
      <c r="J104" s="13"/>
      <c r="K104" s="19"/>
      <c r="L104" s="19"/>
      <c r="M104" s="19"/>
      <c r="N104" s="19"/>
      <c r="O104" s="19"/>
      <c r="P104" s="19"/>
      <c r="Q104" s="19"/>
      <c r="R104" s="19"/>
      <c r="S104" s="19"/>
      <c r="T104" s="19"/>
      <c r="U104" s="20"/>
      <c r="V104" s="119"/>
      <c r="W104" s="138"/>
      <c r="X104" s="147"/>
      <c r="Z104" s="185"/>
      <c r="AJ104" s="179"/>
      <c r="AK104" s="153"/>
      <c r="AL104" s="76"/>
      <c r="AM104" s="76"/>
      <c r="AN104" s="76"/>
      <c r="AO104" s="76"/>
      <c r="AP104" s="76"/>
      <c r="AQ104" s="76"/>
      <c r="AR104" s="76"/>
    </row>
    <row r="105" spans="1:46" s="83" customFormat="1" ht="15" customHeight="1" x14ac:dyDescent="0.2">
      <c r="A105" s="1443"/>
      <c r="B105" s="1444"/>
      <c r="C105" s="1444"/>
      <c r="D105" s="1444"/>
      <c r="E105" s="1444"/>
      <c r="F105" s="1444"/>
      <c r="G105" s="1444"/>
      <c r="H105" s="1444"/>
      <c r="I105" s="1444"/>
      <c r="J105" s="1444"/>
      <c r="K105" s="1444"/>
      <c r="L105" s="1444"/>
      <c r="M105" s="1444"/>
      <c r="N105" s="1444"/>
      <c r="O105" s="1444"/>
      <c r="P105" s="1444"/>
      <c r="Q105" s="1444"/>
      <c r="R105" s="1444"/>
      <c r="S105" s="1444"/>
      <c r="T105" s="1444"/>
      <c r="U105" s="1444"/>
      <c r="V105" s="1445"/>
      <c r="W105" s="138"/>
      <c r="X105" s="147"/>
      <c r="Y105" s="183"/>
      <c r="Z105" s="183"/>
      <c r="AK105" s="157"/>
      <c r="AT105" s="76"/>
    </row>
    <row r="106" spans="1:46" s="83" customFormat="1" ht="11.25" customHeight="1" x14ac:dyDescent="0.2">
      <c r="A106" s="1471" t="str">
        <f>Home!$A$40</f>
        <v>LA's provide quarterly data on the condition that it is used by the benchmarking group for internal reporting only. Please DO NOT share other LA's data with any external partners or the public</v>
      </c>
      <c r="B106" s="1472"/>
      <c r="C106" s="1472"/>
      <c r="D106" s="1472"/>
      <c r="E106" s="1472"/>
      <c r="F106" s="1472"/>
      <c r="G106" s="1472"/>
      <c r="H106" s="1472"/>
      <c r="I106" s="1472"/>
      <c r="J106" s="1472"/>
      <c r="K106" s="1472"/>
      <c r="L106" s="1472"/>
      <c r="M106" s="1472"/>
      <c r="N106" s="1472"/>
      <c r="O106" s="1472"/>
      <c r="P106" s="1472"/>
      <c r="Q106" s="1472"/>
      <c r="R106" s="1472"/>
      <c r="S106" s="1472"/>
      <c r="T106" s="1472"/>
      <c r="U106" s="1472"/>
      <c r="V106" s="1473"/>
      <c r="W106" s="138"/>
      <c r="X106" s="147"/>
      <c r="Y106" s="183"/>
      <c r="Z106" s="183"/>
      <c r="AJ106" s="179"/>
      <c r="AK106" s="156"/>
      <c r="AL106" s="89"/>
      <c r="AT106" s="76"/>
    </row>
    <row r="107" spans="1:46" ht="11.25" hidden="1" customHeight="1" x14ac:dyDescent="0.2">
      <c r="A107" s="114"/>
      <c r="B107" s="115"/>
      <c r="C107" s="115"/>
      <c r="D107" s="115"/>
      <c r="E107" s="115"/>
      <c r="F107" s="115"/>
      <c r="G107" s="115"/>
      <c r="H107" s="115"/>
      <c r="I107" s="115"/>
      <c r="J107" s="116"/>
      <c r="K107" s="115"/>
      <c r="L107" s="115"/>
      <c r="M107" s="115"/>
      <c r="N107" s="115"/>
      <c r="O107" s="115"/>
      <c r="P107" s="115"/>
      <c r="Q107" s="115"/>
      <c r="R107" s="115"/>
      <c r="S107" s="115"/>
      <c r="T107" s="115"/>
      <c r="U107" s="115"/>
      <c r="V107" s="117"/>
      <c r="W107" s="138"/>
      <c r="X107" s="147"/>
      <c r="Z107" s="191"/>
      <c r="AA107" s="183"/>
      <c r="AJ107" s="179"/>
      <c r="AK107" s="153"/>
    </row>
    <row r="108" spans="1:46" s="78" customFormat="1" ht="15" hidden="1" customHeight="1" x14ac:dyDescent="0.2">
      <c r="A108" s="121"/>
      <c r="B108" s="1442" t="s">
        <v>223</v>
      </c>
      <c r="C108" s="1442"/>
      <c r="D108" s="1442"/>
      <c r="E108" s="1442"/>
      <c r="F108" s="1442"/>
      <c r="G108" s="1442"/>
      <c r="H108" s="1442"/>
      <c r="I108" s="1442"/>
      <c r="J108" s="69"/>
      <c r="K108" s="69"/>
      <c r="L108" s="69"/>
      <c r="M108" s="69"/>
      <c r="N108" s="473"/>
      <c r="O108" s="69"/>
      <c r="P108" s="69"/>
      <c r="Q108" s="69"/>
      <c r="R108" s="69"/>
      <c r="S108" s="69"/>
      <c r="T108" s="69"/>
      <c r="U108" s="69"/>
      <c r="V108" s="122"/>
      <c r="W108" s="139"/>
      <c r="X108" s="148"/>
      <c r="Y108" s="193" t="s">
        <v>225</v>
      </c>
      <c r="Z108" s="183"/>
      <c r="AA108" s="183"/>
      <c r="AB108" s="183"/>
      <c r="AC108" s="183"/>
      <c r="AD108" s="183"/>
      <c r="AE108" s="183"/>
      <c r="AF108" s="193" t="s">
        <v>760</v>
      </c>
      <c r="AH108" s="183"/>
      <c r="AI108" s="183"/>
      <c r="AJ108" s="183"/>
      <c r="AK108" s="154"/>
    </row>
    <row r="109" spans="1:46" ht="15" hidden="1" customHeight="1" x14ac:dyDescent="0.2">
      <c r="A109" s="120"/>
      <c r="B109" s="1442"/>
      <c r="C109" s="1442"/>
      <c r="D109" s="1442"/>
      <c r="E109" s="1442"/>
      <c r="F109" s="1442"/>
      <c r="G109" s="1442"/>
      <c r="H109" s="1442"/>
      <c r="I109" s="1442"/>
      <c r="J109" s="69"/>
      <c r="K109" s="69"/>
      <c r="L109" s="69"/>
      <c r="M109" s="69"/>
      <c r="N109" s="473"/>
      <c r="O109" s="69"/>
      <c r="P109" s="69"/>
      <c r="Q109" s="69"/>
      <c r="R109" s="10"/>
      <c r="S109" s="69"/>
      <c r="T109" s="69"/>
      <c r="U109" s="69"/>
      <c r="V109" s="119"/>
      <c r="W109" s="138"/>
      <c r="X109" s="147"/>
      <c r="Y109" s="76"/>
      <c r="Z109" s="755" t="str">
        <f>Sheet1!$D$25</f>
        <v>2014-15</v>
      </c>
      <c r="AA109" s="756" t="str">
        <f>Sheet1!$E$25</f>
        <v>2015-16</v>
      </c>
      <c r="AB109" s="756" t="str">
        <f>Sheet1!$F$25</f>
        <v>2016-17</v>
      </c>
      <c r="AC109" s="756" t="str">
        <f>Sheet1!$G$25</f>
        <v>2017-18</v>
      </c>
      <c r="AD109" s="757" t="str">
        <f>Sheet1!$H$25</f>
        <v>2018-19</v>
      </c>
      <c r="AF109" s="755" t="str">
        <f>Sheet1!$D$25</f>
        <v>2014-15</v>
      </c>
      <c r="AG109" s="756" t="str">
        <f>Sheet1!$E$25</f>
        <v>2015-16</v>
      </c>
      <c r="AH109" s="756" t="str">
        <f>Sheet1!$F$25</f>
        <v>2016-17</v>
      </c>
      <c r="AI109" s="756" t="str">
        <f>Sheet1!$G$25</f>
        <v>2017-18</v>
      </c>
      <c r="AJ109" s="757" t="str">
        <f>Sheet1!$H$25</f>
        <v>2018-19</v>
      </c>
      <c r="AK109" s="153"/>
    </row>
    <row r="110" spans="1:46" ht="13.5" hidden="1" customHeight="1" x14ac:dyDescent="0.2">
      <c r="A110" s="271"/>
      <c r="B110" s="1474" t="s">
        <v>190</v>
      </c>
      <c r="C110" s="744"/>
      <c r="D110" s="755" t="str">
        <f>Sheet1!$D$25</f>
        <v>2014-15</v>
      </c>
      <c r="E110" s="756" t="str">
        <f>Sheet1!$E$25</f>
        <v>2015-16</v>
      </c>
      <c r="F110" s="756" t="str">
        <f>Sheet1!$F$25</f>
        <v>2016-17</v>
      </c>
      <c r="G110" s="756" t="str">
        <f>Sheet1!$G$25</f>
        <v>2017-18</v>
      </c>
      <c r="H110" s="757" t="str">
        <f>Sheet1!$H$25</f>
        <v>2018-19</v>
      </c>
      <c r="I110" s="744"/>
      <c r="J110" s="69"/>
      <c r="K110" s="69"/>
      <c r="L110" s="69"/>
      <c r="M110" s="69"/>
      <c r="N110" s="742"/>
      <c r="O110" s="69"/>
      <c r="P110" s="69"/>
      <c r="Q110" s="69"/>
      <c r="R110" s="10"/>
      <c r="S110" s="69"/>
      <c r="T110" s="69"/>
      <c r="U110" s="69"/>
      <c r="V110" s="119"/>
      <c r="W110" s="138"/>
      <c r="X110" s="147"/>
      <c r="Y110" s="76"/>
      <c r="Z110" s="758" t="e">
        <f>Sheet1!$D$26</f>
        <v>#N/A</v>
      </c>
      <c r="AA110" s="758" t="e">
        <f>Sheet1!$E$26</f>
        <v>#N/A</v>
      </c>
      <c r="AB110" s="758" t="e">
        <f>Sheet1!$F$26</f>
        <v>#N/A</v>
      </c>
      <c r="AC110" s="758" t="e">
        <f>Sheet1!$G$26</f>
        <v>#N/A</v>
      </c>
      <c r="AD110" s="759" t="e">
        <f>Sheet1!$H$26</f>
        <v>#N/A</v>
      </c>
      <c r="AF110" s="758" t="e">
        <f>Sheet1!$D$26</f>
        <v>#N/A</v>
      </c>
      <c r="AG110" s="758" t="e">
        <f>Sheet1!$E$26</f>
        <v>#N/A</v>
      </c>
      <c r="AH110" s="758" t="e">
        <f>Sheet1!$F$26</f>
        <v>#N/A</v>
      </c>
      <c r="AI110" s="758" t="e">
        <f>Sheet1!$G$26</f>
        <v>#N/A</v>
      </c>
      <c r="AJ110" s="759" t="e">
        <f>Sheet1!$H$26</f>
        <v>#N/A</v>
      </c>
      <c r="AK110" s="153"/>
    </row>
    <row r="111" spans="1:46" s="89" customFormat="1" ht="13.5" hidden="1" customHeight="1" x14ac:dyDescent="0.2">
      <c r="A111" s="123"/>
      <c r="B111" s="1475"/>
      <c r="C111" s="87"/>
      <c r="D111" s="758" t="e">
        <f>Sheet1!$D$26</f>
        <v>#N/A</v>
      </c>
      <c r="E111" s="758" t="e">
        <f>Sheet1!$E$26</f>
        <v>#N/A</v>
      </c>
      <c r="F111" s="758" t="e">
        <f>Sheet1!$F$26</f>
        <v>#N/A</v>
      </c>
      <c r="G111" s="758" t="e">
        <f>Sheet1!$G$26</f>
        <v>#N/A</v>
      </c>
      <c r="H111" s="759" t="e">
        <f>Sheet1!$H$26</f>
        <v>#N/A</v>
      </c>
      <c r="I111" s="98"/>
      <c r="J111" s="98"/>
      <c r="K111" s="61"/>
      <c r="L111" s="61"/>
      <c r="M111" s="61"/>
      <c r="N111" s="61"/>
      <c r="O111" s="61"/>
      <c r="P111" s="61"/>
      <c r="Q111" s="475"/>
      <c r="R111" s="475"/>
      <c r="S111" s="155"/>
      <c r="T111" s="155"/>
      <c r="U111" s="476"/>
      <c r="V111" s="124"/>
      <c r="W111" s="140"/>
      <c r="X111" s="149"/>
      <c r="Y111" s="46" t="str">
        <f t="shared" ref="Y111:Y134" si="26">B112</f>
        <v>Bracknell Forest</v>
      </c>
      <c r="Z111" s="42" t="str">
        <f>IF(Year1_Bracknell_Forest Year1_ReferralsPriorEH="","",Year1_Bracknell_Forest Year1_ReferralsPriorEH)</f>
        <v/>
      </c>
      <c r="AA111" s="42" t="str">
        <f>IF(Year2_Bracknell_Forest Year2_ReferralsPriorEH="","",Year2_Bracknell_Forest Year2_ReferralsPriorEH)</f>
        <v/>
      </c>
      <c r="AB111" s="42" t="str">
        <f>IF(Year3_Bracknell_Forest Year3_ReferralsPriorEH="","",Year3_Bracknell_Forest Year3_ReferralsPriorEH)</f>
        <v/>
      </c>
      <c r="AC111" s="42" t="str">
        <f>IF(Year4_Bracknell_Forest Year4_ReferralsPriorEH="","",Year4_Bracknell_Forest Year4_ReferralsPriorEH)</f>
        <v/>
      </c>
      <c r="AD111" s="42" t="str">
        <f>IF(Year5_Bracknell_Forest Year5_ReferralsPriorEH="","",Year5_Bracknell_Forest Year5_ReferralsPriorEH)</f>
        <v/>
      </c>
      <c r="AE111" s="194"/>
      <c r="AF111" s="185">
        <f>IF(ISNUMBER(Z111),D10,0)</f>
        <v>0</v>
      </c>
      <c r="AG111" s="185">
        <f t="shared" ref="AG111:AJ111" si="27">IF(ISNUMBER(AA111),E10,0)</f>
        <v>0</v>
      </c>
      <c r="AH111" s="185">
        <f t="shared" si="27"/>
        <v>0</v>
      </c>
      <c r="AI111" s="185">
        <f t="shared" si="27"/>
        <v>0</v>
      </c>
      <c r="AJ111" s="185">
        <f t="shared" si="27"/>
        <v>0</v>
      </c>
      <c r="AK111" s="156"/>
    </row>
    <row r="112" spans="1:46" s="89" customFormat="1" ht="12.75" hidden="1" customHeight="1" x14ac:dyDescent="0.2">
      <c r="A112" s="462">
        <f>VLOOKUP(B112,Sheet1!$AQ$4:$AR$25,2,FALSE)</f>
        <v>0</v>
      </c>
      <c r="B112" s="95" t="str">
        <f t="shared" ref="B112:B135" si="28">B10</f>
        <v>Bracknell Forest</v>
      </c>
      <c r="C112" s="87"/>
      <c r="D112" s="158" t="e">
        <f>IF(AND(ISNUMBER(Z111),ISNUMBER(AF111)),Z111/AF111,NA())</f>
        <v>#N/A</v>
      </c>
      <c r="E112" s="158" t="e">
        <f t="shared" ref="E112:H112" si="29">IF(AND(ISNUMBER(AA111),ISNUMBER(AG111)),AA111/AG111,NA())</f>
        <v>#N/A</v>
      </c>
      <c r="F112" s="158" t="e">
        <f t="shared" si="29"/>
        <v>#N/A</v>
      </c>
      <c r="G112" s="158" t="e">
        <f t="shared" si="29"/>
        <v>#N/A</v>
      </c>
      <c r="H112" s="535" t="e">
        <f t="shared" si="29"/>
        <v>#N/A</v>
      </c>
      <c r="I112" s="98"/>
      <c r="J112" s="98"/>
      <c r="K112" s="162"/>
      <c r="L112" s="162"/>
      <c r="M112" s="162"/>
      <c r="N112" s="162"/>
      <c r="O112" s="162"/>
      <c r="P112" s="162"/>
      <c r="Q112" s="162"/>
      <c r="R112" s="163"/>
      <c r="S112" s="155"/>
      <c r="T112" s="155"/>
      <c r="U112" s="162"/>
      <c r="V112" s="124"/>
      <c r="W112" s="140"/>
      <c r="X112" s="149"/>
      <c r="Y112" s="46" t="str">
        <f t="shared" si="26"/>
        <v>Brighton &amp; Hove</v>
      </c>
      <c r="Z112" s="42" t="str">
        <f>IF(Year1_Brighton_Hove Year1_ReferralsPriorEH="","",Year1_Brighton_Hove Year1_ReferralsPriorEH)</f>
        <v/>
      </c>
      <c r="AA112" s="42" t="str">
        <f>IF(Year2_Brighton_Hove Year2_ReferralsPriorEH="","",Year2_Brighton_Hove Year2_ReferralsPriorEH)</f>
        <v/>
      </c>
      <c r="AB112" s="42" t="str">
        <f>IF(Year3_Brighton_Hove Year3_ReferralsPriorEH="","",Year3_Brighton_Hove Year3_ReferralsPriorEH)</f>
        <v/>
      </c>
      <c r="AC112" s="42" t="str">
        <f>IF(Year4_Brighton_Hove Year4_ReferralsPriorEH="","",Year4_Brighton_Hove Year4_ReferralsPriorEH)</f>
        <v/>
      </c>
      <c r="AD112" s="42" t="str">
        <f>IF(Year5_Brighton_Hove Year5_ReferralsPriorEH="","",Year5_Brighton_Hove Year5_ReferralsPriorEH)</f>
        <v/>
      </c>
      <c r="AE112" s="194"/>
      <c r="AF112" s="185">
        <f t="shared" ref="AF112:AF132" si="30">IF(ISNUMBER(Z112),D11,0)</f>
        <v>0</v>
      </c>
      <c r="AG112" s="185">
        <f t="shared" ref="AG112:AG132" si="31">IF(ISNUMBER(AA112),E11,0)</f>
        <v>0</v>
      </c>
      <c r="AH112" s="185">
        <f t="shared" ref="AH112:AH132" si="32">IF(ISNUMBER(AB112),F11,0)</f>
        <v>0</v>
      </c>
      <c r="AI112" s="185">
        <f t="shared" ref="AI112:AI132" si="33">IF(ISNUMBER(AC112),G11,0)</f>
        <v>0</v>
      </c>
      <c r="AJ112" s="185">
        <f t="shared" ref="AJ112:AJ132" si="34">IF(ISNUMBER(AD112),H11,0)</f>
        <v>0</v>
      </c>
      <c r="AK112" s="156"/>
    </row>
    <row r="113" spans="1:45" s="89" customFormat="1" ht="12.75" hidden="1" customHeight="1" x14ac:dyDescent="0.2">
      <c r="A113" s="462">
        <f>VLOOKUP(B113,Sheet1!$AQ$4:$AR$25,2,FALSE)</f>
        <v>0</v>
      </c>
      <c r="B113" s="95" t="str">
        <f t="shared" si="28"/>
        <v>Brighton &amp; Hove</v>
      </c>
      <c r="C113" s="87"/>
      <c r="D113" s="158" t="e">
        <f t="shared" ref="D113:D135" si="35">IF(AND(ISNUMBER(Z112),ISNUMBER(AF112)),Z112/AF112,NA())</f>
        <v>#N/A</v>
      </c>
      <c r="E113" s="158" t="e">
        <f t="shared" ref="E113:E135" si="36">IF(AND(ISNUMBER(AA112),ISNUMBER(AG112)),AA112/AG112,NA())</f>
        <v>#N/A</v>
      </c>
      <c r="F113" s="158" t="e">
        <f t="shared" ref="F113:F135" si="37">IF(AND(ISNUMBER(AB112),ISNUMBER(AH112)),AB112/AH112,NA())</f>
        <v>#N/A</v>
      </c>
      <c r="G113" s="158" t="e">
        <f t="shared" ref="G113:G135" si="38">IF(AND(ISNUMBER(AC112),ISNUMBER(AI112)),AC112/AI112,NA())</f>
        <v>#N/A</v>
      </c>
      <c r="H113" s="535" t="e">
        <f t="shared" ref="H113:H135" si="39">IF(AND(ISNUMBER(AD112),ISNUMBER(AJ112)),AD112/AJ112,NA())</f>
        <v>#N/A</v>
      </c>
      <c r="I113" s="98"/>
      <c r="J113" s="98"/>
      <c r="K113" s="162"/>
      <c r="L113" s="162"/>
      <c r="M113" s="162"/>
      <c r="N113" s="162"/>
      <c r="O113" s="162"/>
      <c r="P113" s="162"/>
      <c r="Q113" s="162"/>
      <c r="R113" s="163"/>
      <c r="S113" s="155"/>
      <c r="T113" s="155"/>
      <c r="U113" s="162"/>
      <c r="V113" s="124"/>
      <c r="W113" s="140"/>
      <c r="X113" s="149"/>
      <c r="Y113" s="46" t="str">
        <f t="shared" si="26"/>
        <v>Buckinghamshire</v>
      </c>
      <c r="Z113" s="42" t="str">
        <f>IF(Year1_Buckinghamshire Year1_ReferralsPriorEH="","",Year1_Buckinghamshire Year1_ReferralsPriorEH)</f>
        <v/>
      </c>
      <c r="AA113" s="42" t="str">
        <f>IF(Year2_Buckinghamshire Year2_ReferralsPriorEH="","",Year2_Buckinghamshire Year2_ReferralsPriorEH)</f>
        <v/>
      </c>
      <c r="AB113" s="42" t="str">
        <f>IF(Year3_Buckinghamshire Year3_ReferralsPriorEH="","",Year3_Buckinghamshire Year3_ReferralsPriorEH)</f>
        <v/>
      </c>
      <c r="AC113" s="42" t="str">
        <f>IF(Year4_Buckinghamshire Year4_ReferralsPriorEH="","",Year4_Buckinghamshire Year4_ReferralsPriorEH)</f>
        <v/>
      </c>
      <c r="AD113" s="42" t="str">
        <f>IF(Year5_Buckinghamshire Year5_ReferralsPriorEH="","",Year5_Buckinghamshire Year5_ReferralsPriorEH)</f>
        <v/>
      </c>
      <c r="AE113" s="194"/>
      <c r="AF113" s="185">
        <f t="shared" si="30"/>
        <v>0</v>
      </c>
      <c r="AG113" s="185">
        <f t="shared" si="31"/>
        <v>0</v>
      </c>
      <c r="AH113" s="185">
        <f t="shared" si="32"/>
        <v>0</v>
      </c>
      <c r="AI113" s="185">
        <f t="shared" si="33"/>
        <v>0</v>
      </c>
      <c r="AJ113" s="185">
        <f t="shared" si="34"/>
        <v>0</v>
      </c>
      <c r="AK113" s="156"/>
    </row>
    <row r="114" spans="1:45" s="89" customFormat="1" ht="12.75" hidden="1" customHeight="1" x14ac:dyDescent="0.2">
      <c r="A114" s="462">
        <f>VLOOKUP(B114,Sheet1!$AQ$4:$AR$25,2,FALSE)</f>
        <v>0</v>
      </c>
      <c r="B114" s="95" t="str">
        <f t="shared" si="28"/>
        <v>Buckinghamshire</v>
      </c>
      <c r="C114" s="87"/>
      <c r="D114" s="158" t="e">
        <f t="shared" si="35"/>
        <v>#N/A</v>
      </c>
      <c r="E114" s="158" t="e">
        <f t="shared" si="36"/>
        <v>#N/A</v>
      </c>
      <c r="F114" s="158" t="e">
        <f t="shared" si="37"/>
        <v>#N/A</v>
      </c>
      <c r="G114" s="158" t="e">
        <f t="shared" si="38"/>
        <v>#N/A</v>
      </c>
      <c r="H114" s="535" t="e">
        <f t="shared" si="39"/>
        <v>#N/A</v>
      </c>
      <c r="I114" s="98"/>
      <c r="J114" s="98"/>
      <c r="K114" s="162"/>
      <c r="L114" s="162"/>
      <c r="M114" s="162"/>
      <c r="N114" s="162"/>
      <c r="O114" s="162"/>
      <c r="P114" s="162"/>
      <c r="Q114" s="162"/>
      <c r="R114" s="163"/>
      <c r="S114" s="155"/>
      <c r="T114" s="155"/>
      <c r="U114" s="162"/>
      <c r="V114" s="124"/>
      <c r="W114" s="140"/>
      <c r="X114" s="149"/>
      <c r="Y114" s="46" t="str">
        <f t="shared" si="26"/>
        <v>East Sussex</v>
      </c>
      <c r="Z114" s="42" t="str">
        <f>IF(Year1_East_Sussex Year1_ReferralsPriorEH="","",Year1_East_Sussex Year1_ReferralsPriorEH)</f>
        <v/>
      </c>
      <c r="AA114" s="42" t="str">
        <f>IF(Year2_East_Sussex Year2_ReferralsPriorEH="","",Year2_East_Sussex Year2_ReferralsPriorEH)</f>
        <v/>
      </c>
      <c r="AB114" s="42" t="str">
        <f>IF(Year3_East_Sussex Year3_ReferralsPriorEH="","",Year3_East_Sussex Year3_ReferralsPriorEH)</f>
        <v/>
      </c>
      <c r="AC114" s="42" t="str">
        <f>IF(Year4_East_Sussex Year4_ReferralsPriorEH="","",Year4_East_Sussex Year4_ReferralsPriorEH)</f>
        <v/>
      </c>
      <c r="AD114" s="42" t="str">
        <f>IF(Year5_East_Sussex Year5_ReferralsPriorEH="","",Year5_East_Sussex Year5_ReferralsPriorEH)</f>
        <v/>
      </c>
      <c r="AE114" s="194"/>
      <c r="AF114" s="185">
        <f t="shared" si="30"/>
        <v>0</v>
      </c>
      <c r="AG114" s="185">
        <f t="shared" si="31"/>
        <v>0</v>
      </c>
      <c r="AH114" s="185">
        <f t="shared" si="32"/>
        <v>0</v>
      </c>
      <c r="AI114" s="185">
        <f t="shared" si="33"/>
        <v>0</v>
      </c>
      <c r="AJ114" s="185">
        <f t="shared" si="34"/>
        <v>0</v>
      </c>
      <c r="AK114" s="156"/>
    </row>
    <row r="115" spans="1:45" s="89" customFormat="1" ht="12.75" hidden="1" customHeight="1" x14ac:dyDescent="0.2">
      <c r="A115" s="462">
        <f>VLOOKUP(B115,Sheet1!$AQ$4:$AR$25,2,FALSE)</f>
        <v>0</v>
      </c>
      <c r="B115" s="95" t="str">
        <f t="shared" si="28"/>
        <v>East Sussex</v>
      </c>
      <c r="C115" s="87"/>
      <c r="D115" s="158" t="e">
        <f t="shared" si="35"/>
        <v>#N/A</v>
      </c>
      <c r="E115" s="158" t="e">
        <f t="shared" si="36"/>
        <v>#N/A</v>
      </c>
      <c r="F115" s="158" t="e">
        <f t="shared" si="37"/>
        <v>#N/A</v>
      </c>
      <c r="G115" s="158" t="e">
        <f t="shared" si="38"/>
        <v>#N/A</v>
      </c>
      <c r="H115" s="535" t="e">
        <f t="shared" si="39"/>
        <v>#N/A</v>
      </c>
      <c r="I115" s="98"/>
      <c r="J115" s="98"/>
      <c r="K115" s="162"/>
      <c r="L115" s="162"/>
      <c r="M115" s="162"/>
      <c r="N115" s="162"/>
      <c r="O115" s="162"/>
      <c r="P115" s="162"/>
      <c r="Q115" s="162"/>
      <c r="R115" s="163"/>
      <c r="S115" s="155"/>
      <c r="T115" s="155"/>
      <c r="U115" s="162"/>
      <c r="V115" s="124"/>
      <c r="W115" s="140"/>
      <c r="X115" s="149"/>
      <c r="Y115" s="46" t="str">
        <f t="shared" si="26"/>
        <v>Hampshire</v>
      </c>
      <c r="Z115" s="42" t="str">
        <f>IF(Year1_Hampshire Year1_ReferralsPriorEH="","",Year1_Hampshire Year1_ReferralsPriorEH)</f>
        <v/>
      </c>
      <c r="AA115" s="42" t="str">
        <f>IF(Year2_Hampshire Year2_ReferralsPriorEH="","",Year2_Hampshire Year2_ReferralsPriorEH)</f>
        <v/>
      </c>
      <c r="AB115" s="42" t="str">
        <f>IF(Year3_Hampshire Year3_ReferralsPriorEH="","",Year3_Hampshire Year3_ReferralsPriorEH)</f>
        <v/>
      </c>
      <c r="AC115" s="42" t="str">
        <f>IF(Year4_Hampshire Year4_ReferralsPriorEH="","",Year4_Hampshire Year4_ReferralsPriorEH)</f>
        <v/>
      </c>
      <c r="AD115" s="42" t="str">
        <f>IF(Year5_Hampshire Year5_ReferralsPriorEH="","",Year5_Hampshire Year5_ReferralsPriorEH)</f>
        <v/>
      </c>
      <c r="AE115" s="194"/>
      <c r="AF115" s="185">
        <f t="shared" si="30"/>
        <v>0</v>
      </c>
      <c r="AG115" s="185">
        <f t="shared" si="31"/>
        <v>0</v>
      </c>
      <c r="AH115" s="185">
        <f t="shared" si="32"/>
        <v>0</v>
      </c>
      <c r="AI115" s="185">
        <f t="shared" si="33"/>
        <v>0</v>
      </c>
      <c r="AJ115" s="185">
        <f t="shared" si="34"/>
        <v>0</v>
      </c>
      <c r="AK115" s="156"/>
    </row>
    <row r="116" spans="1:45" s="89" customFormat="1" ht="12.75" hidden="1" customHeight="1" x14ac:dyDescent="0.2">
      <c r="A116" s="462">
        <f>VLOOKUP(B116,Sheet1!$AQ$4:$AR$25,2,FALSE)</f>
        <v>0</v>
      </c>
      <c r="B116" s="95" t="str">
        <f t="shared" si="28"/>
        <v>Hampshire</v>
      </c>
      <c r="C116" s="87"/>
      <c r="D116" s="158" t="e">
        <f t="shared" si="35"/>
        <v>#N/A</v>
      </c>
      <c r="E116" s="158" t="e">
        <f t="shared" si="36"/>
        <v>#N/A</v>
      </c>
      <c r="F116" s="158" t="e">
        <f t="shared" si="37"/>
        <v>#N/A</v>
      </c>
      <c r="G116" s="158" t="e">
        <f t="shared" si="38"/>
        <v>#N/A</v>
      </c>
      <c r="H116" s="535" t="e">
        <f t="shared" si="39"/>
        <v>#N/A</v>
      </c>
      <c r="I116" s="98"/>
      <c r="J116" s="98"/>
      <c r="K116" s="162"/>
      <c r="L116" s="162"/>
      <c r="M116" s="162"/>
      <c r="N116" s="162"/>
      <c r="O116" s="162"/>
      <c r="P116" s="162"/>
      <c r="Q116" s="162"/>
      <c r="R116" s="163"/>
      <c r="S116" s="155"/>
      <c r="T116" s="155"/>
      <c r="U116" s="162"/>
      <c r="V116" s="124"/>
      <c r="W116" s="140"/>
      <c r="X116" s="149"/>
      <c r="Y116" s="46" t="str">
        <f t="shared" si="26"/>
        <v>Isle of Wight</v>
      </c>
      <c r="Z116" s="42" t="str">
        <f>IF(Year1_Isle_of_Wight Year1_ReferralsPriorEH="","",Year1_Isle_of_Wight Year1_ReferralsPriorEH)</f>
        <v/>
      </c>
      <c r="AA116" s="42" t="str">
        <f>IF(Year2_Isle_of_Wight Year2_ReferralsPriorEH="","",Year2_Isle_of_Wight Year2_ReferralsPriorEH)</f>
        <v/>
      </c>
      <c r="AB116" s="42" t="str">
        <f>IF(Year3_Isle_of_Wight Year3_ReferralsPriorEH="","",Year3_Isle_of_Wight Year3_ReferralsPriorEH)</f>
        <v/>
      </c>
      <c r="AC116" s="42" t="str">
        <f>IF(Year4_Isle_of_Wight Year4_ReferralsPriorEH="","",Year4_Isle_of_Wight Year4_ReferralsPriorEH)</f>
        <v/>
      </c>
      <c r="AD116" s="42" t="str">
        <f>IF(Year5_Isle_of_Wight Year5_ReferralsPriorEH="","",Year5_Isle_of_Wight Year5_ReferralsPriorEH)</f>
        <v/>
      </c>
      <c r="AE116" s="194"/>
      <c r="AF116" s="185">
        <f t="shared" si="30"/>
        <v>0</v>
      </c>
      <c r="AG116" s="185">
        <f t="shared" si="31"/>
        <v>0</v>
      </c>
      <c r="AH116" s="185">
        <f t="shared" si="32"/>
        <v>0</v>
      </c>
      <c r="AI116" s="185">
        <f t="shared" si="33"/>
        <v>0</v>
      </c>
      <c r="AJ116" s="185">
        <f t="shared" si="34"/>
        <v>0</v>
      </c>
      <c r="AK116" s="156"/>
    </row>
    <row r="117" spans="1:45" s="89" customFormat="1" ht="12.75" hidden="1" customHeight="1" x14ac:dyDescent="0.2">
      <c r="A117" s="462">
        <f>VLOOKUP(B117,Sheet1!$AQ$4:$AR$25,2,FALSE)</f>
        <v>0</v>
      </c>
      <c r="B117" s="95" t="str">
        <f t="shared" si="28"/>
        <v>Isle of Wight</v>
      </c>
      <c r="C117" s="87"/>
      <c r="D117" s="158" t="e">
        <f t="shared" si="35"/>
        <v>#N/A</v>
      </c>
      <c r="E117" s="158" t="e">
        <f t="shared" si="36"/>
        <v>#N/A</v>
      </c>
      <c r="F117" s="158" t="e">
        <f t="shared" si="37"/>
        <v>#N/A</v>
      </c>
      <c r="G117" s="158" t="e">
        <f t="shared" si="38"/>
        <v>#N/A</v>
      </c>
      <c r="H117" s="535" t="e">
        <f t="shared" si="39"/>
        <v>#N/A</v>
      </c>
      <c r="I117" s="98"/>
      <c r="J117" s="98"/>
      <c r="K117" s="162"/>
      <c r="L117" s="162"/>
      <c r="M117" s="162"/>
      <c r="N117" s="162"/>
      <c r="O117" s="162"/>
      <c r="P117" s="162"/>
      <c r="Q117" s="162"/>
      <c r="R117" s="163"/>
      <c r="S117" s="155"/>
      <c r="T117" s="155"/>
      <c r="U117" s="162"/>
      <c r="V117" s="124"/>
      <c r="W117" s="140"/>
      <c r="X117" s="149"/>
      <c r="Y117" s="46" t="str">
        <f t="shared" si="26"/>
        <v>Kent</v>
      </c>
      <c r="Z117" s="42" t="str">
        <f>IF(Year1_Kent Year1_ReferralsPriorEH="","",Year1_Kent Year1_ReferralsPriorEH)</f>
        <v/>
      </c>
      <c r="AA117" s="42" t="str">
        <f>IF(Year2_Kent Year2_ReferralsPriorEH="","",Year2_Kent Year2_ReferralsPriorEH)</f>
        <v/>
      </c>
      <c r="AB117" s="42" t="str">
        <f>IF(Year3_Kent Year3_ReferralsPriorEH="","",Year3_Kent Year3_ReferralsPriorEH)</f>
        <v/>
      </c>
      <c r="AC117" s="42" t="str">
        <f>IF(Year4_Kent Year4_ReferralsPriorEH="","",Year4_Kent Year4_ReferralsPriorEH)</f>
        <v/>
      </c>
      <c r="AD117" s="42" t="str">
        <f>IF(Year5_Kent Year5_ReferralsPriorEH="","",Year5_Kent Year5_ReferralsPriorEH)</f>
        <v/>
      </c>
      <c r="AE117" s="194"/>
      <c r="AF117" s="185">
        <f t="shared" si="30"/>
        <v>0</v>
      </c>
      <c r="AG117" s="185">
        <f t="shared" si="31"/>
        <v>0</v>
      </c>
      <c r="AH117" s="185">
        <f t="shared" si="32"/>
        <v>0</v>
      </c>
      <c r="AI117" s="185">
        <f t="shared" si="33"/>
        <v>0</v>
      </c>
      <c r="AJ117" s="185">
        <f t="shared" si="34"/>
        <v>0</v>
      </c>
      <c r="AK117" s="156"/>
      <c r="AS117" s="89" t="s">
        <v>103</v>
      </c>
    </row>
    <row r="118" spans="1:45" s="89" customFormat="1" ht="12.75" hidden="1" customHeight="1" x14ac:dyDescent="0.2">
      <c r="A118" s="462">
        <f>VLOOKUP(B118,Sheet1!$AQ$4:$AR$25,2,FALSE)</f>
        <v>0</v>
      </c>
      <c r="B118" s="95" t="str">
        <f t="shared" si="28"/>
        <v>Kent</v>
      </c>
      <c r="C118" s="87"/>
      <c r="D118" s="158" t="e">
        <f t="shared" si="35"/>
        <v>#N/A</v>
      </c>
      <c r="E118" s="158" t="e">
        <f t="shared" si="36"/>
        <v>#N/A</v>
      </c>
      <c r="F118" s="158" t="e">
        <f t="shared" si="37"/>
        <v>#N/A</v>
      </c>
      <c r="G118" s="158" t="e">
        <f t="shared" si="38"/>
        <v>#N/A</v>
      </c>
      <c r="H118" s="535" t="e">
        <f t="shared" si="39"/>
        <v>#N/A</v>
      </c>
      <c r="I118" s="98"/>
      <c r="J118" s="98"/>
      <c r="K118" s="162"/>
      <c r="L118" s="162"/>
      <c r="M118" s="162"/>
      <c r="N118" s="162"/>
      <c r="O118" s="162"/>
      <c r="P118" s="162"/>
      <c r="Q118" s="162"/>
      <c r="R118" s="163"/>
      <c r="S118" s="155"/>
      <c r="T118" s="155"/>
      <c r="U118" s="162"/>
      <c r="V118" s="124"/>
      <c r="W118" s="140"/>
      <c r="X118" s="149"/>
      <c r="Y118" s="46" t="str">
        <f t="shared" si="26"/>
        <v>Medway</v>
      </c>
      <c r="Z118" s="42" t="str">
        <f>IF(Year1_Medway Year1_ReferralsPriorEH="","",Year1_Medway Year1_ReferralsPriorEH)</f>
        <v/>
      </c>
      <c r="AA118" s="42" t="str">
        <f>IF(Year2_Medway Year2_ReferralsPriorEH="","",Year2_Medway Year2_ReferralsPriorEH)</f>
        <v/>
      </c>
      <c r="AB118" s="42" t="str">
        <f>IF(Year3_Medway Year3_ReferralsPriorEH="","",Year3_Medway Year3_ReferralsPriorEH)</f>
        <v/>
      </c>
      <c r="AC118" s="42" t="str">
        <f>IF(Year4_Medway Year4_ReferralsPriorEH="","",Year4_Medway Year4_ReferralsPriorEH)</f>
        <v/>
      </c>
      <c r="AD118" s="42" t="str">
        <f>IF(Year5_Medway Year5_ReferralsPriorEH="","",Year5_Medway Year5_ReferralsPriorEH)</f>
        <v/>
      </c>
      <c r="AE118" s="194"/>
      <c r="AF118" s="185">
        <f t="shared" si="30"/>
        <v>0</v>
      </c>
      <c r="AG118" s="185">
        <f t="shared" si="31"/>
        <v>0</v>
      </c>
      <c r="AH118" s="185">
        <f t="shared" si="32"/>
        <v>0</v>
      </c>
      <c r="AI118" s="185">
        <f t="shared" si="33"/>
        <v>0</v>
      </c>
      <c r="AJ118" s="185">
        <f t="shared" si="34"/>
        <v>0</v>
      </c>
      <c r="AK118" s="156"/>
    </row>
    <row r="119" spans="1:45" s="89" customFormat="1" ht="12.75" hidden="1" customHeight="1" x14ac:dyDescent="0.2">
      <c r="A119" s="462">
        <f>VLOOKUP(B119,Sheet1!$AQ$4:$AR$25,2,FALSE)</f>
        <v>0</v>
      </c>
      <c r="B119" s="95" t="str">
        <f t="shared" si="28"/>
        <v>Medway</v>
      </c>
      <c r="C119" s="87"/>
      <c r="D119" s="158" t="e">
        <f t="shared" si="35"/>
        <v>#N/A</v>
      </c>
      <c r="E119" s="158" t="e">
        <f t="shared" si="36"/>
        <v>#N/A</v>
      </c>
      <c r="F119" s="158" t="e">
        <f t="shared" si="37"/>
        <v>#N/A</v>
      </c>
      <c r="G119" s="158" t="e">
        <f t="shared" si="38"/>
        <v>#N/A</v>
      </c>
      <c r="H119" s="535" t="e">
        <f t="shared" si="39"/>
        <v>#N/A</v>
      </c>
      <c r="I119" s="98"/>
      <c r="J119" s="98"/>
      <c r="K119" s="162"/>
      <c r="L119" s="162"/>
      <c r="M119" s="162"/>
      <c r="N119" s="162"/>
      <c r="O119" s="162"/>
      <c r="P119" s="162"/>
      <c r="Q119" s="162"/>
      <c r="R119" s="163"/>
      <c r="S119" s="155"/>
      <c r="T119" s="155"/>
      <c r="U119" s="162"/>
      <c r="V119" s="124"/>
      <c r="W119" s="140"/>
      <c r="X119" s="149"/>
      <c r="Y119" s="46" t="str">
        <f t="shared" si="26"/>
        <v>Milton Keynes</v>
      </c>
      <c r="Z119" s="42" t="str">
        <f>IF(Year1_Milton_Keynes Year1_ReferralsPriorEH="","",Year1_Milton_Keynes Year1_ReferralsPriorEH)</f>
        <v/>
      </c>
      <c r="AA119" s="42" t="str">
        <f>IF(Year2_Milton_Keynes Year2_ReferralsPriorEH="","",Year2_Milton_Keynes Year2_ReferralsPriorEH)</f>
        <v/>
      </c>
      <c r="AB119" s="42" t="str">
        <f>IF(Year3_Milton_Keynes Year3_ReferralsPriorEH="","",Year3_Milton_Keynes Year3_ReferralsPriorEH)</f>
        <v/>
      </c>
      <c r="AC119" s="42" t="str">
        <f>IF(Year4_Milton_Keynes Year4_ReferralsPriorEH="","",Year4_Milton_Keynes Year4_ReferralsPriorEH)</f>
        <v/>
      </c>
      <c r="AD119" s="42" t="str">
        <f>IF(Year5_Milton_Keynes Year5_ReferralsPriorEH="","",Year5_Milton_Keynes Year5_ReferralsPriorEH)</f>
        <v/>
      </c>
      <c r="AE119" s="194"/>
      <c r="AF119" s="185">
        <f t="shared" si="30"/>
        <v>0</v>
      </c>
      <c r="AG119" s="185">
        <f t="shared" si="31"/>
        <v>0</v>
      </c>
      <c r="AH119" s="185">
        <f t="shared" si="32"/>
        <v>0</v>
      </c>
      <c r="AI119" s="185">
        <f t="shared" si="33"/>
        <v>0</v>
      </c>
      <c r="AJ119" s="185">
        <f t="shared" si="34"/>
        <v>0</v>
      </c>
      <c r="AK119" s="156"/>
    </row>
    <row r="120" spans="1:45" s="89" customFormat="1" ht="12.75" hidden="1" customHeight="1" x14ac:dyDescent="0.2">
      <c r="A120" s="462">
        <f>VLOOKUP(B120,Sheet1!$AQ$4:$AR$25,2,FALSE)</f>
        <v>0</v>
      </c>
      <c r="B120" s="95" t="str">
        <f t="shared" si="28"/>
        <v>Milton Keynes</v>
      </c>
      <c r="C120" s="87"/>
      <c r="D120" s="158" t="e">
        <f t="shared" si="35"/>
        <v>#N/A</v>
      </c>
      <c r="E120" s="158" t="e">
        <f t="shared" si="36"/>
        <v>#N/A</v>
      </c>
      <c r="F120" s="158" t="e">
        <f t="shared" si="37"/>
        <v>#N/A</v>
      </c>
      <c r="G120" s="158" t="e">
        <f t="shared" si="38"/>
        <v>#N/A</v>
      </c>
      <c r="H120" s="535" t="e">
        <f t="shared" si="39"/>
        <v>#N/A</v>
      </c>
      <c r="I120" s="98"/>
      <c r="J120" s="98"/>
      <c r="K120" s="162"/>
      <c r="L120" s="162"/>
      <c r="M120" s="162"/>
      <c r="N120" s="162"/>
      <c r="O120" s="162"/>
      <c r="P120" s="162"/>
      <c r="Q120" s="162"/>
      <c r="R120" s="163"/>
      <c r="S120" s="155"/>
      <c r="T120" s="155"/>
      <c r="U120" s="162"/>
      <c r="V120" s="124"/>
      <c r="W120" s="140"/>
      <c r="X120" s="149"/>
      <c r="Y120" s="46" t="str">
        <f t="shared" si="26"/>
        <v>Oxfordshire</v>
      </c>
      <c r="Z120" s="42" t="str">
        <f>IF(Year1_Oxfordshire Year1_ReferralsPriorEH="","",Year1_Oxfordshire Year1_ReferralsPriorEH)</f>
        <v/>
      </c>
      <c r="AA120" s="42" t="str">
        <f>IF(Year2_Oxfordshire Year2_ReferralsPriorEH="","",Year2_Oxfordshire Year2_ReferralsPriorEH)</f>
        <v/>
      </c>
      <c r="AB120" s="42" t="str">
        <f>IF(Year3_Oxfordshire Year3_ReferralsPriorEH="","",Year3_Oxfordshire Year3_ReferralsPriorEH)</f>
        <v/>
      </c>
      <c r="AC120" s="42" t="str">
        <f>IF(Year4_Oxfordshire Year4_ReferralsPriorEH="","",Year4_Oxfordshire Year4_ReferralsPriorEH)</f>
        <v/>
      </c>
      <c r="AD120" s="42" t="str">
        <f>IF(Year5_Oxfordshire Year5_ReferralsPriorEH="","",Year5_Oxfordshire Year5_ReferralsPriorEH)</f>
        <v/>
      </c>
      <c r="AE120" s="194"/>
      <c r="AF120" s="185">
        <f t="shared" si="30"/>
        <v>0</v>
      </c>
      <c r="AG120" s="185">
        <f t="shared" si="31"/>
        <v>0</v>
      </c>
      <c r="AH120" s="185">
        <f t="shared" si="32"/>
        <v>0</v>
      </c>
      <c r="AI120" s="185">
        <f t="shared" si="33"/>
        <v>0</v>
      </c>
      <c r="AJ120" s="185">
        <f t="shared" si="34"/>
        <v>0</v>
      </c>
      <c r="AK120" s="156"/>
    </row>
    <row r="121" spans="1:45" s="89" customFormat="1" ht="12.75" hidden="1" customHeight="1" x14ac:dyDescent="0.2">
      <c r="A121" s="462">
        <f>VLOOKUP(B121,Sheet1!$AQ$4:$AR$25,2,FALSE)</f>
        <v>0</v>
      </c>
      <c r="B121" s="95" t="str">
        <f t="shared" si="28"/>
        <v>Oxfordshire</v>
      </c>
      <c r="C121" s="87"/>
      <c r="D121" s="158" t="e">
        <f t="shared" si="35"/>
        <v>#N/A</v>
      </c>
      <c r="E121" s="158" t="e">
        <f t="shared" si="36"/>
        <v>#N/A</v>
      </c>
      <c r="F121" s="158" t="e">
        <f t="shared" si="37"/>
        <v>#N/A</v>
      </c>
      <c r="G121" s="158" t="e">
        <f t="shared" si="38"/>
        <v>#N/A</v>
      </c>
      <c r="H121" s="535" t="e">
        <f t="shared" si="39"/>
        <v>#N/A</v>
      </c>
      <c r="I121" s="98"/>
      <c r="J121" s="98"/>
      <c r="K121" s="162"/>
      <c r="L121" s="162"/>
      <c r="M121" s="162"/>
      <c r="N121" s="162"/>
      <c r="O121" s="162"/>
      <c r="P121" s="162"/>
      <c r="Q121" s="162"/>
      <c r="R121" s="163"/>
      <c r="S121" s="155"/>
      <c r="T121" s="155"/>
      <c r="U121" s="162"/>
      <c r="V121" s="124"/>
      <c r="W121" s="140"/>
      <c r="X121" s="149"/>
      <c r="Y121" s="46" t="str">
        <f t="shared" si="26"/>
        <v>Portsmouth</v>
      </c>
      <c r="Z121" s="42" t="str">
        <f>IF(Year1_Portsmouth Year1_ReferralsPriorEH="","",Year1_Portsmouth Year1_ReferralsPriorEH)</f>
        <v/>
      </c>
      <c r="AA121" s="42" t="str">
        <f>IF(Year2_Portsmouth Year2_ReferralsPriorEH="","",Year2_Portsmouth Year2_ReferralsPriorEH)</f>
        <v/>
      </c>
      <c r="AB121" s="42" t="str">
        <f>IF(Year3_Portsmouth Year3_ReferralsPriorEH="","",Year3_Portsmouth Year3_ReferralsPriorEH)</f>
        <v/>
      </c>
      <c r="AC121" s="42" t="str">
        <f>IF(Year4_Portsmouth Year4_ReferralsPriorEH="","",Year4_Portsmouth Year4_ReferralsPriorEH)</f>
        <v/>
      </c>
      <c r="AD121" s="42" t="str">
        <f>IF(Year5_Portsmouth Year5_ReferralsPriorEH="","",Year5_Portsmouth Year5_ReferralsPriorEH)</f>
        <v/>
      </c>
      <c r="AE121" s="194"/>
      <c r="AF121" s="185">
        <f t="shared" si="30"/>
        <v>0</v>
      </c>
      <c r="AG121" s="185">
        <f t="shared" si="31"/>
        <v>0</v>
      </c>
      <c r="AH121" s="185">
        <f t="shared" si="32"/>
        <v>0</v>
      </c>
      <c r="AI121" s="185">
        <f t="shared" si="33"/>
        <v>0</v>
      </c>
      <c r="AJ121" s="185">
        <f t="shared" si="34"/>
        <v>0</v>
      </c>
      <c r="AK121" s="156"/>
    </row>
    <row r="122" spans="1:45" s="89" customFormat="1" ht="12.75" hidden="1" customHeight="1" x14ac:dyDescent="0.2">
      <c r="A122" s="462">
        <f>VLOOKUP(B122,Sheet1!$AQ$4:$AR$25,2,FALSE)</f>
        <v>0</v>
      </c>
      <c r="B122" s="95" t="str">
        <f t="shared" si="28"/>
        <v>Portsmouth</v>
      </c>
      <c r="C122" s="87"/>
      <c r="D122" s="158" t="e">
        <f t="shared" si="35"/>
        <v>#N/A</v>
      </c>
      <c r="E122" s="158" t="e">
        <f t="shared" si="36"/>
        <v>#N/A</v>
      </c>
      <c r="F122" s="158" t="e">
        <f t="shared" si="37"/>
        <v>#N/A</v>
      </c>
      <c r="G122" s="158" t="e">
        <f t="shared" si="38"/>
        <v>#N/A</v>
      </c>
      <c r="H122" s="535" t="e">
        <f t="shared" si="39"/>
        <v>#N/A</v>
      </c>
      <c r="I122" s="98"/>
      <c r="J122" s="98"/>
      <c r="K122" s="162"/>
      <c r="L122" s="162"/>
      <c r="M122" s="162"/>
      <c r="N122" s="162"/>
      <c r="O122" s="162"/>
      <c r="P122" s="162"/>
      <c r="Q122" s="162"/>
      <c r="R122" s="163"/>
      <c r="S122" s="155"/>
      <c r="T122" s="155"/>
      <c r="U122" s="162"/>
      <c r="V122" s="124"/>
      <c r="W122" s="140"/>
      <c r="X122" s="149"/>
      <c r="Y122" s="46" t="str">
        <f t="shared" si="26"/>
        <v>Reading</v>
      </c>
      <c r="Z122" s="42" t="str">
        <f>IF(Year1_Reading Year1_ReferralsPriorEH="","",Year1_Reading Year1_ReferralsPriorEH)</f>
        <v/>
      </c>
      <c r="AA122" s="42" t="str">
        <f>IF(Year2_Reading Year2_ReferralsPriorEH="","",Year2_Reading Year2_ReferralsPriorEH)</f>
        <v/>
      </c>
      <c r="AB122" s="42" t="str">
        <f>IF(Year3_Reading Year3_ReferralsPriorEH="","",Year3_Reading Year3_ReferralsPriorEH)</f>
        <v/>
      </c>
      <c r="AC122" s="42" t="str">
        <f>IF(Year4_Reading Year4_ReferralsPriorEH="","",Year4_Reading Year4_ReferralsPriorEH)</f>
        <v/>
      </c>
      <c r="AD122" s="42" t="str">
        <f>IF(Year5_Reading Year5_ReferralsPriorEH="","",Year5_Reading Year5_ReferralsPriorEH)</f>
        <v/>
      </c>
      <c r="AE122" s="194"/>
      <c r="AF122" s="185">
        <f t="shared" si="30"/>
        <v>0</v>
      </c>
      <c r="AG122" s="185">
        <f t="shared" si="31"/>
        <v>0</v>
      </c>
      <c r="AH122" s="185">
        <f t="shared" si="32"/>
        <v>0</v>
      </c>
      <c r="AI122" s="185">
        <f t="shared" si="33"/>
        <v>0</v>
      </c>
      <c r="AJ122" s="185">
        <f t="shared" si="34"/>
        <v>0</v>
      </c>
      <c r="AK122" s="156"/>
    </row>
    <row r="123" spans="1:45" s="89" customFormat="1" ht="12.75" hidden="1" customHeight="1" x14ac:dyDescent="0.2">
      <c r="A123" s="462">
        <f>VLOOKUP(B123,Sheet1!$AQ$4:$AR$25,2,FALSE)</f>
        <v>0</v>
      </c>
      <c r="B123" s="95" t="str">
        <f t="shared" si="28"/>
        <v>Reading</v>
      </c>
      <c r="C123" s="87"/>
      <c r="D123" s="158" t="e">
        <f t="shared" si="35"/>
        <v>#N/A</v>
      </c>
      <c r="E123" s="158" t="e">
        <f t="shared" si="36"/>
        <v>#N/A</v>
      </c>
      <c r="F123" s="158" t="e">
        <f t="shared" si="37"/>
        <v>#N/A</v>
      </c>
      <c r="G123" s="158" t="e">
        <f t="shared" si="38"/>
        <v>#N/A</v>
      </c>
      <c r="H123" s="535" t="e">
        <f t="shared" si="39"/>
        <v>#N/A</v>
      </c>
      <c r="I123" s="98"/>
      <c r="J123" s="98"/>
      <c r="K123" s="162"/>
      <c r="L123" s="162"/>
      <c r="M123" s="162"/>
      <c r="N123" s="162"/>
      <c r="O123" s="162"/>
      <c r="P123" s="162"/>
      <c r="Q123" s="162"/>
      <c r="R123" s="163"/>
      <c r="S123" s="155"/>
      <c r="T123" s="155"/>
      <c r="U123" s="162"/>
      <c r="V123" s="124"/>
      <c r="W123" s="140"/>
      <c r="X123" s="149"/>
      <c r="Y123" s="46" t="str">
        <f t="shared" si="26"/>
        <v>Slough</v>
      </c>
      <c r="Z123" s="42" t="str">
        <f>IF(Year1_Slough Year1_ReferralsPriorEH="","",Year1_Slough Year1_ReferralsPriorEH)</f>
        <v/>
      </c>
      <c r="AA123" s="42" t="str">
        <f>IF(Year2_Slough Year2_ReferralsPriorEH="","",Year2_Slough Year2_ReferralsPriorEH)</f>
        <v/>
      </c>
      <c r="AB123" s="42" t="str">
        <f>IF(Year3_Slough Year3_ReferralsPriorEH="","",Year3_Slough Year3_ReferralsPriorEH)</f>
        <v/>
      </c>
      <c r="AC123" s="42" t="str">
        <f>IF(Year4_Slough Year4_ReferralsPriorEH="","",Year4_Slough Year4_ReferralsPriorEH)</f>
        <v/>
      </c>
      <c r="AD123" s="42" t="str">
        <f>IF(Year5_Slough Year5_ReferralsPriorEH="","",Year5_Slough Year5_ReferralsPriorEH)</f>
        <v/>
      </c>
      <c r="AE123" s="194"/>
      <c r="AF123" s="185">
        <f t="shared" si="30"/>
        <v>0</v>
      </c>
      <c r="AG123" s="185">
        <f t="shared" si="31"/>
        <v>0</v>
      </c>
      <c r="AH123" s="185">
        <f t="shared" si="32"/>
        <v>0</v>
      </c>
      <c r="AI123" s="185">
        <f t="shared" si="33"/>
        <v>0</v>
      </c>
      <c r="AJ123" s="185">
        <f t="shared" si="34"/>
        <v>0</v>
      </c>
      <c r="AK123" s="156"/>
    </row>
    <row r="124" spans="1:45" s="89" customFormat="1" ht="12.75" hidden="1" customHeight="1" x14ac:dyDescent="0.2">
      <c r="A124" s="462">
        <f>VLOOKUP(B124,Sheet1!$AQ$4:$AR$25,2,FALSE)</f>
        <v>0</v>
      </c>
      <c r="B124" s="95" t="str">
        <f t="shared" si="28"/>
        <v>Slough</v>
      </c>
      <c r="C124" s="87"/>
      <c r="D124" s="158" t="e">
        <f t="shared" si="35"/>
        <v>#N/A</v>
      </c>
      <c r="E124" s="158" t="e">
        <f t="shared" si="36"/>
        <v>#N/A</v>
      </c>
      <c r="F124" s="158" t="e">
        <f t="shared" si="37"/>
        <v>#N/A</v>
      </c>
      <c r="G124" s="158" t="e">
        <f t="shared" si="38"/>
        <v>#N/A</v>
      </c>
      <c r="H124" s="535" t="e">
        <f t="shared" si="39"/>
        <v>#N/A</v>
      </c>
      <c r="I124" s="98"/>
      <c r="J124" s="98"/>
      <c r="K124" s="162"/>
      <c r="L124" s="162"/>
      <c r="M124" s="162"/>
      <c r="N124" s="162"/>
      <c r="O124" s="162"/>
      <c r="P124" s="162"/>
      <c r="Q124" s="162"/>
      <c r="R124" s="163"/>
      <c r="S124" s="155"/>
      <c r="T124" s="155"/>
      <c r="U124" s="162"/>
      <c r="V124" s="124"/>
      <c r="W124" s="140"/>
      <c r="X124" s="149"/>
      <c r="Y124" s="46" t="str">
        <f t="shared" si="26"/>
        <v>Somerset</v>
      </c>
      <c r="Z124" s="42" t="str">
        <f>IF(Year1_Somerset Year1_ReferralsPriorEH="","",Year1_Somerset Year1_ReferralsPriorEH)</f>
        <v/>
      </c>
      <c r="AA124" s="42" t="str">
        <f>IF(Year2_Somerset Year2_ReferralsPriorEH="","",Year2_Somerset Year2_ReferralsPriorEH)</f>
        <v/>
      </c>
      <c r="AB124" s="42" t="str">
        <f>IF(Year3_Somerset Year3_ReferralsPriorEH="","",Year3_Somerset Year3_ReferralsPriorEH)</f>
        <v/>
      </c>
      <c r="AC124" s="42" t="str">
        <f>IF(Year4_Somerset Year4_ReferralsPriorEH="","",Year4_Somerset Year4_ReferralsPriorEH)</f>
        <v/>
      </c>
      <c r="AD124" s="42" t="str">
        <f>IF(Year5_Somerset Year5_ReferralsPriorEH="","",Year5_Somerset Year5_ReferralsPriorEH)</f>
        <v/>
      </c>
      <c r="AE124" s="194"/>
      <c r="AF124" s="185">
        <f t="shared" si="30"/>
        <v>0</v>
      </c>
      <c r="AG124" s="185">
        <f t="shared" si="31"/>
        <v>0</v>
      </c>
      <c r="AH124" s="185">
        <f t="shared" si="32"/>
        <v>0</v>
      </c>
      <c r="AI124" s="185">
        <f t="shared" si="33"/>
        <v>0</v>
      </c>
      <c r="AJ124" s="185">
        <f t="shared" si="34"/>
        <v>0</v>
      </c>
      <c r="AK124" s="156"/>
    </row>
    <row r="125" spans="1:45" s="89" customFormat="1" ht="12.75" hidden="1" customHeight="1" x14ac:dyDescent="0.2">
      <c r="A125" s="462">
        <f>VLOOKUP(B125,Sheet1!$AQ$4:$AR$25,2,FALSE)</f>
        <v>0</v>
      </c>
      <c r="B125" s="95" t="str">
        <f t="shared" si="28"/>
        <v>Somerset</v>
      </c>
      <c r="C125" s="87"/>
      <c r="D125" s="158" t="e">
        <f t="shared" si="35"/>
        <v>#N/A</v>
      </c>
      <c r="E125" s="158" t="e">
        <f t="shared" si="36"/>
        <v>#N/A</v>
      </c>
      <c r="F125" s="158" t="e">
        <f t="shared" si="37"/>
        <v>#N/A</v>
      </c>
      <c r="G125" s="158" t="e">
        <f t="shared" si="38"/>
        <v>#N/A</v>
      </c>
      <c r="H125" s="535" t="e">
        <f t="shared" si="39"/>
        <v>#N/A</v>
      </c>
      <c r="I125" s="98"/>
      <c r="J125" s="98"/>
      <c r="K125" s="162"/>
      <c r="L125" s="162"/>
      <c r="M125" s="162"/>
      <c r="N125" s="162"/>
      <c r="O125" s="162"/>
      <c r="P125" s="162"/>
      <c r="Q125" s="162"/>
      <c r="R125" s="163"/>
      <c r="S125" s="155"/>
      <c r="T125" s="155"/>
      <c r="U125" s="162"/>
      <c r="V125" s="124"/>
      <c r="W125" s="140"/>
      <c r="X125" s="149"/>
      <c r="Y125" s="46" t="str">
        <f t="shared" si="26"/>
        <v>Southampton</v>
      </c>
      <c r="Z125" s="42" t="str">
        <f>IF(Year1_Southampton Year1_ReferralsPriorEH="","",Year1_Southampton Year1_ReferralsPriorEH)</f>
        <v/>
      </c>
      <c r="AA125" s="42" t="str">
        <f>IF(Year2_Southampton Year2_ReferralsPriorEH="","",Year2_Southampton Year2_ReferralsPriorEH)</f>
        <v/>
      </c>
      <c r="AB125" s="42" t="str">
        <f>IF(Year3_Southampton Year3_ReferralsPriorEH="","",Year3_Southampton Year3_ReferralsPriorEH)</f>
        <v/>
      </c>
      <c r="AC125" s="42" t="str">
        <f>IF(Year4_Southampton Year4_ReferralsPriorEH="","",Year4_Southampton Year4_ReferralsPriorEH)</f>
        <v/>
      </c>
      <c r="AD125" s="42" t="str">
        <f>IF(Year5_Southampton Year5_ReferralsPriorEH="","",Year5_Southampton Year5_ReferralsPriorEH)</f>
        <v/>
      </c>
      <c r="AE125" s="194"/>
      <c r="AF125" s="185">
        <f t="shared" si="30"/>
        <v>0</v>
      </c>
      <c r="AG125" s="185">
        <f t="shared" si="31"/>
        <v>0</v>
      </c>
      <c r="AH125" s="185">
        <f t="shared" si="32"/>
        <v>0</v>
      </c>
      <c r="AI125" s="185">
        <f t="shared" si="33"/>
        <v>0</v>
      </c>
      <c r="AJ125" s="185">
        <f t="shared" si="34"/>
        <v>0</v>
      </c>
      <c r="AK125" s="156"/>
    </row>
    <row r="126" spans="1:45" s="89" customFormat="1" ht="12.75" hidden="1" customHeight="1" x14ac:dyDescent="0.2">
      <c r="A126" s="462">
        <f>VLOOKUP(B126,Sheet1!$AQ$4:$AR$25,2,FALSE)</f>
        <v>0</v>
      </c>
      <c r="B126" s="95" t="str">
        <f t="shared" si="28"/>
        <v>Southampton</v>
      </c>
      <c r="C126" s="87"/>
      <c r="D126" s="158" t="e">
        <f t="shared" si="35"/>
        <v>#N/A</v>
      </c>
      <c r="E126" s="158" t="e">
        <f t="shared" si="36"/>
        <v>#N/A</v>
      </c>
      <c r="F126" s="158" t="e">
        <f t="shared" si="37"/>
        <v>#N/A</v>
      </c>
      <c r="G126" s="158" t="e">
        <f t="shared" si="38"/>
        <v>#N/A</v>
      </c>
      <c r="H126" s="535" t="e">
        <f t="shared" si="39"/>
        <v>#N/A</v>
      </c>
      <c r="I126" s="98"/>
      <c r="J126" s="98"/>
      <c r="K126" s="162"/>
      <c r="L126" s="162"/>
      <c r="M126" s="162"/>
      <c r="N126" s="162"/>
      <c r="O126" s="162"/>
      <c r="P126" s="162"/>
      <c r="Q126" s="162"/>
      <c r="R126" s="163"/>
      <c r="S126" s="155"/>
      <c r="T126" s="155"/>
      <c r="U126" s="162"/>
      <c r="V126" s="124"/>
      <c r="W126" s="140"/>
      <c r="X126" s="149"/>
      <c r="Y126" s="46" t="str">
        <f t="shared" si="26"/>
        <v>Surrey</v>
      </c>
      <c r="Z126" s="42" t="str">
        <f>IF(Year1_Surrey Year1_ReferralsPriorEH="","",Year1_Surrey Year1_ReferralsPriorEH)</f>
        <v/>
      </c>
      <c r="AA126" s="42" t="str">
        <f>IF(Year2_Surrey Year2_ReferralsPriorEH="","",Year2_Surrey Year2_ReferralsPriorEH)</f>
        <v/>
      </c>
      <c r="AB126" s="42" t="str">
        <f>IF(Year3_Surrey Year3_ReferralsPriorEH="","",Year3_Surrey Year3_ReferralsPriorEH)</f>
        <v/>
      </c>
      <c r="AC126" s="42" t="str">
        <f>IF(Year4_Surrey Year4_ReferralsPriorEH="","",Year4_Surrey Year4_ReferralsPriorEH)</f>
        <v/>
      </c>
      <c r="AD126" s="42" t="str">
        <f>IF(Year5_Surrey Year5_ReferralsPriorEH="","",Year5_Surrey Year5_ReferralsPriorEH)</f>
        <v/>
      </c>
      <c r="AE126" s="194"/>
      <c r="AF126" s="185">
        <f t="shared" si="30"/>
        <v>0</v>
      </c>
      <c r="AG126" s="185">
        <f t="shared" si="31"/>
        <v>0</v>
      </c>
      <c r="AH126" s="185">
        <f t="shared" si="32"/>
        <v>0</v>
      </c>
      <c r="AI126" s="185">
        <f t="shared" si="33"/>
        <v>0</v>
      </c>
      <c r="AJ126" s="185">
        <f t="shared" si="34"/>
        <v>0</v>
      </c>
      <c r="AK126" s="156"/>
    </row>
    <row r="127" spans="1:45" s="89" customFormat="1" ht="12.75" hidden="1" customHeight="1" x14ac:dyDescent="0.2">
      <c r="A127" s="462">
        <f>VLOOKUP(B127,Sheet1!$AQ$4:$AR$25,2,FALSE)</f>
        <v>0</v>
      </c>
      <c r="B127" s="95" t="str">
        <f t="shared" si="28"/>
        <v>Surrey</v>
      </c>
      <c r="C127" s="87"/>
      <c r="D127" s="158" t="e">
        <f t="shared" si="35"/>
        <v>#N/A</v>
      </c>
      <c r="E127" s="158" t="e">
        <f t="shared" si="36"/>
        <v>#N/A</v>
      </c>
      <c r="F127" s="158" t="e">
        <f t="shared" si="37"/>
        <v>#N/A</v>
      </c>
      <c r="G127" s="158" t="e">
        <f t="shared" si="38"/>
        <v>#N/A</v>
      </c>
      <c r="H127" s="535" t="e">
        <f t="shared" si="39"/>
        <v>#N/A</v>
      </c>
      <c r="I127" s="98"/>
      <c r="J127" s="98"/>
      <c r="K127" s="162"/>
      <c r="L127" s="162"/>
      <c r="M127" s="162"/>
      <c r="N127" s="162"/>
      <c r="O127" s="162"/>
      <c r="P127" s="162"/>
      <c r="Q127" s="162"/>
      <c r="R127" s="163"/>
      <c r="S127" s="155"/>
      <c r="T127" s="155"/>
      <c r="U127" s="162"/>
      <c r="V127" s="124"/>
      <c r="W127" s="140"/>
      <c r="X127" s="149"/>
      <c r="Y127" s="46" t="str">
        <f t="shared" si="26"/>
        <v>Swindon</v>
      </c>
      <c r="Z127" s="42" t="str">
        <f>IF(Year1_Swindon Year1_ReferralsPriorEH="","",Year1_Swindon Year1_ReferralsPriorEH)</f>
        <v/>
      </c>
      <c r="AA127" s="42" t="str">
        <f>IF(Year2_Swindon Year2_ReferralsPriorEH="","",Year2_Swindon Year2_ReferralsPriorEH)</f>
        <v/>
      </c>
      <c r="AB127" s="42" t="str">
        <f>IF(Year3_Swindon Year3_ReferralsPriorEH="","",Year3_Swindon Year3_ReferralsPriorEH)</f>
        <v/>
      </c>
      <c r="AC127" s="42" t="str">
        <f>IF(Year4_Swindon Year4_ReferralsPriorEH="","",Year4_Swindon Year4_ReferralsPriorEH)</f>
        <v/>
      </c>
      <c r="AD127" s="42" t="str">
        <f>IF(Year5_Swindon Year5_ReferralsPriorEH="","",Year5_Swindon Year5_ReferralsPriorEH)</f>
        <v/>
      </c>
      <c r="AE127" s="194"/>
      <c r="AF127" s="185">
        <f t="shared" si="30"/>
        <v>0</v>
      </c>
      <c r="AG127" s="185">
        <f t="shared" si="31"/>
        <v>0</v>
      </c>
      <c r="AH127" s="185">
        <f t="shared" si="32"/>
        <v>0</v>
      </c>
      <c r="AI127" s="185">
        <f t="shared" si="33"/>
        <v>0</v>
      </c>
      <c r="AJ127" s="185">
        <f t="shared" si="34"/>
        <v>0</v>
      </c>
      <c r="AK127" s="156"/>
    </row>
    <row r="128" spans="1:45" s="89" customFormat="1" ht="12.75" hidden="1" customHeight="1" x14ac:dyDescent="0.2">
      <c r="A128" s="462">
        <f>VLOOKUP(B128,Sheet1!$AQ$4:$AR$25,2,FALSE)</f>
        <v>0</v>
      </c>
      <c r="B128" s="95" t="str">
        <f t="shared" si="28"/>
        <v>Swindon</v>
      </c>
      <c r="C128" s="87"/>
      <c r="D128" s="158" t="e">
        <f t="shared" si="35"/>
        <v>#N/A</v>
      </c>
      <c r="E128" s="158" t="e">
        <f t="shared" si="36"/>
        <v>#N/A</v>
      </c>
      <c r="F128" s="158" t="e">
        <f t="shared" si="37"/>
        <v>#N/A</v>
      </c>
      <c r="G128" s="158" t="e">
        <f t="shared" si="38"/>
        <v>#N/A</v>
      </c>
      <c r="H128" s="535" t="e">
        <f t="shared" si="39"/>
        <v>#N/A</v>
      </c>
      <c r="I128" s="98"/>
      <c r="J128" s="98"/>
      <c r="K128" s="162"/>
      <c r="L128" s="162"/>
      <c r="M128" s="162"/>
      <c r="N128" s="162"/>
      <c r="O128" s="162"/>
      <c r="P128" s="162"/>
      <c r="Q128" s="162"/>
      <c r="R128" s="163"/>
      <c r="S128" s="155"/>
      <c r="T128" s="155"/>
      <c r="U128" s="162"/>
      <c r="V128" s="124"/>
      <c r="W128" s="140"/>
      <c r="X128" s="149"/>
      <c r="Y128" s="46" t="str">
        <f t="shared" si="26"/>
        <v>Torbay</v>
      </c>
      <c r="Z128" s="42" t="str">
        <f>IF(Year1_Torbay Year1_ReferralsPriorEH="","",Year1_Torbay Year1_ReferralsPriorEH)</f>
        <v/>
      </c>
      <c r="AA128" s="42" t="str">
        <f>IF(Year2_Torbay Year2_ReferralsPriorEH="","",Year2_Torbay Year2_ReferralsPriorEH)</f>
        <v/>
      </c>
      <c r="AB128" s="42" t="str">
        <f>IF(Year3_Torbay Year3_ReferralsPriorEH="","",Year3_Torbay Year3_ReferralsPriorEH)</f>
        <v/>
      </c>
      <c r="AC128" s="42" t="str">
        <f>IF(Year4_Torbay Year4_ReferralsPriorEH="","",Year4_Torbay Year4_ReferralsPriorEH)</f>
        <v/>
      </c>
      <c r="AD128" s="42" t="str">
        <f>IF(Year5_Torbay Year5_ReferralsPriorEH="","",Year5_Torbay Year5_ReferralsPriorEH)</f>
        <v/>
      </c>
      <c r="AE128" s="194"/>
      <c r="AF128" s="185">
        <f t="shared" si="30"/>
        <v>0</v>
      </c>
      <c r="AG128" s="185">
        <f t="shared" si="31"/>
        <v>0</v>
      </c>
      <c r="AH128" s="185">
        <f t="shared" si="32"/>
        <v>0</v>
      </c>
      <c r="AI128" s="185">
        <f t="shared" si="33"/>
        <v>0</v>
      </c>
      <c r="AJ128" s="185">
        <f t="shared" si="34"/>
        <v>0</v>
      </c>
      <c r="AK128" s="156"/>
    </row>
    <row r="129" spans="1:46" s="89" customFormat="1" ht="12.75" hidden="1" customHeight="1" x14ac:dyDescent="0.2">
      <c r="A129" s="462">
        <f>VLOOKUP(B129,Sheet1!$AQ$4:$AR$25,2,FALSE)</f>
        <v>0</v>
      </c>
      <c r="B129" s="95" t="str">
        <f t="shared" si="28"/>
        <v>Torbay</v>
      </c>
      <c r="C129" s="87"/>
      <c r="D129" s="158" t="e">
        <f t="shared" si="35"/>
        <v>#N/A</v>
      </c>
      <c r="E129" s="158" t="e">
        <f t="shared" si="36"/>
        <v>#N/A</v>
      </c>
      <c r="F129" s="158" t="e">
        <f t="shared" si="37"/>
        <v>#N/A</v>
      </c>
      <c r="G129" s="158" t="e">
        <f t="shared" si="38"/>
        <v>#N/A</v>
      </c>
      <c r="H129" s="535" t="e">
        <f t="shared" si="39"/>
        <v>#N/A</v>
      </c>
      <c r="I129" s="98"/>
      <c r="J129" s="98"/>
      <c r="K129" s="162"/>
      <c r="L129" s="162"/>
      <c r="M129" s="162"/>
      <c r="N129" s="162"/>
      <c r="O129" s="162"/>
      <c r="P129" s="162"/>
      <c r="Q129" s="162"/>
      <c r="R129" s="163"/>
      <c r="S129" s="155"/>
      <c r="T129" s="155"/>
      <c r="U129" s="162"/>
      <c r="V129" s="124"/>
      <c r="W129" s="140"/>
      <c r="X129" s="149"/>
      <c r="Y129" s="46" t="str">
        <f t="shared" si="26"/>
        <v>West Berkshire</v>
      </c>
      <c r="Z129" s="42" t="str">
        <f>IF(Year1_West_Berkshire Year1_ReferralsPriorEH="","",Year1_West_Berkshire Year1_ReferralsPriorEH)</f>
        <v/>
      </c>
      <c r="AA129" s="42" t="str">
        <f>IF(Year2_West_Berkshire Year2_ReferralsPriorEH="","",Year2_West_Berkshire Year2_ReferralsPriorEH)</f>
        <v/>
      </c>
      <c r="AB129" s="42" t="str">
        <f>IF(Year3_West_Berkshire Year3_ReferralsPriorEH="","",Year3_West_Berkshire Year3_ReferralsPriorEH)</f>
        <v/>
      </c>
      <c r="AC129" s="42" t="str">
        <f>IF(Year4_West_Berkshire Year4_ReferralsPriorEH="","",Year4_West_Berkshire Year4_ReferralsPriorEH)</f>
        <v/>
      </c>
      <c r="AD129" s="42" t="str">
        <f>IF(Year5_West_Berkshire Year5_ReferralsPriorEH="","",Year5_West_Berkshire Year5_ReferralsPriorEH)</f>
        <v/>
      </c>
      <c r="AE129" s="194"/>
      <c r="AF129" s="185">
        <f t="shared" si="30"/>
        <v>0</v>
      </c>
      <c r="AG129" s="185">
        <f t="shared" si="31"/>
        <v>0</v>
      </c>
      <c r="AH129" s="185">
        <f t="shared" si="32"/>
        <v>0</v>
      </c>
      <c r="AI129" s="185">
        <f t="shared" si="33"/>
        <v>0</v>
      </c>
      <c r="AJ129" s="185">
        <f t="shared" si="34"/>
        <v>0</v>
      </c>
      <c r="AK129" s="156"/>
    </row>
    <row r="130" spans="1:46" s="89" customFormat="1" ht="12.75" hidden="1" customHeight="1" x14ac:dyDescent="0.2">
      <c r="A130" s="462">
        <f>VLOOKUP(B130,Sheet1!$AQ$4:$AR$25,2,FALSE)</f>
        <v>0</v>
      </c>
      <c r="B130" s="95" t="str">
        <f t="shared" si="28"/>
        <v>West Berkshire</v>
      </c>
      <c r="C130" s="87"/>
      <c r="D130" s="158" t="e">
        <f t="shared" si="35"/>
        <v>#N/A</v>
      </c>
      <c r="E130" s="158" t="e">
        <f t="shared" si="36"/>
        <v>#N/A</v>
      </c>
      <c r="F130" s="158" t="e">
        <f t="shared" si="37"/>
        <v>#N/A</v>
      </c>
      <c r="G130" s="158" t="e">
        <f t="shared" si="38"/>
        <v>#N/A</v>
      </c>
      <c r="H130" s="535" t="e">
        <f t="shared" si="39"/>
        <v>#N/A</v>
      </c>
      <c r="I130" s="98"/>
      <c r="J130" s="98"/>
      <c r="K130" s="162"/>
      <c r="L130" s="162"/>
      <c r="M130" s="162"/>
      <c r="N130" s="162"/>
      <c r="O130" s="162"/>
      <c r="P130" s="162"/>
      <c r="Q130" s="162"/>
      <c r="R130" s="163"/>
      <c r="S130" s="155"/>
      <c r="T130" s="155"/>
      <c r="U130" s="162"/>
      <c r="V130" s="124"/>
      <c r="W130" s="140"/>
      <c r="X130" s="149"/>
      <c r="Y130" s="46" t="str">
        <f t="shared" si="26"/>
        <v>West Sussex</v>
      </c>
      <c r="Z130" s="42" t="str">
        <f>IF(Year1_West_Sussex Year1_ReferralsPriorEH="","",Year1_West_Sussex Year1_ReferralsPriorEH)</f>
        <v/>
      </c>
      <c r="AA130" s="42" t="str">
        <f>IF(Year2_West_Sussex Year2_ReferralsPriorEH="","",Year2_West_Sussex Year2_ReferralsPriorEH)</f>
        <v/>
      </c>
      <c r="AB130" s="42" t="str">
        <f>IF(Year3_West_Sussex Year3_ReferralsPriorEH="","",Year3_West_Sussex Year3_ReferralsPriorEH)</f>
        <v/>
      </c>
      <c r="AC130" s="42" t="str">
        <f>IF(Year4_West_Sussex Year4_ReferralsPriorEH="","",Year4_West_Sussex Year4_ReferralsPriorEH)</f>
        <v/>
      </c>
      <c r="AD130" s="42" t="str">
        <f>IF(Year5_West_Sussex Year5_ReferralsPriorEH="","",Year5_West_Sussex Year5_ReferralsPriorEH)</f>
        <v/>
      </c>
      <c r="AE130" s="194"/>
      <c r="AF130" s="185">
        <f t="shared" si="30"/>
        <v>0</v>
      </c>
      <c r="AG130" s="185">
        <f t="shared" si="31"/>
        <v>0</v>
      </c>
      <c r="AH130" s="185">
        <f t="shared" si="32"/>
        <v>0</v>
      </c>
      <c r="AI130" s="185">
        <f t="shared" si="33"/>
        <v>0</v>
      </c>
      <c r="AJ130" s="185">
        <f t="shared" si="34"/>
        <v>0</v>
      </c>
      <c r="AK130" s="156"/>
    </row>
    <row r="131" spans="1:46" s="89" customFormat="1" ht="12.75" hidden="1" customHeight="1" x14ac:dyDescent="0.2">
      <c r="A131" s="462">
        <f>VLOOKUP(B131,Sheet1!$AQ$4:$AR$25,2,FALSE)</f>
        <v>0</v>
      </c>
      <c r="B131" s="95" t="str">
        <f t="shared" si="28"/>
        <v>West Sussex</v>
      </c>
      <c r="C131" s="87"/>
      <c r="D131" s="158" t="e">
        <f t="shared" si="35"/>
        <v>#N/A</v>
      </c>
      <c r="E131" s="158" t="e">
        <f t="shared" si="36"/>
        <v>#N/A</v>
      </c>
      <c r="F131" s="158" t="e">
        <f t="shared" si="37"/>
        <v>#N/A</v>
      </c>
      <c r="G131" s="158" t="e">
        <f t="shared" si="38"/>
        <v>#N/A</v>
      </c>
      <c r="H131" s="535" t="e">
        <f t="shared" si="39"/>
        <v>#N/A</v>
      </c>
      <c r="I131" s="98"/>
      <c r="J131" s="98"/>
      <c r="K131" s="162"/>
      <c r="L131" s="162"/>
      <c r="M131" s="162"/>
      <c r="N131" s="162"/>
      <c r="O131" s="162"/>
      <c r="P131" s="162"/>
      <c r="Q131" s="162"/>
      <c r="R131" s="163"/>
      <c r="S131" s="155"/>
      <c r="T131" s="155"/>
      <c r="U131" s="162"/>
      <c r="V131" s="124"/>
      <c r="W131" s="140"/>
      <c r="X131" s="149"/>
      <c r="Y131" s="46" t="str">
        <f t="shared" si="26"/>
        <v>Windsor &amp; Maidenhead</v>
      </c>
      <c r="Z131" s="42" t="str">
        <f>IF(Year1_Windsor_Maidenhead Year1_ReferralsPriorEH="","",Year1_Windsor_Maidenhead Year1_ReferralsPriorEH)</f>
        <v/>
      </c>
      <c r="AA131" s="42" t="str">
        <f>IF(Year2_Windsor_Maidenhead Year2_ReferralsPriorEH="","",Year2_Windsor_Maidenhead Year2_ReferralsPriorEH)</f>
        <v/>
      </c>
      <c r="AB131" s="42" t="str">
        <f>IF(Year3_Windsor_Maidenhead Year3_ReferralsPriorEH="","",Year3_Windsor_Maidenhead Year3_ReferralsPriorEH)</f>
        <v/>
      </c>
      <c r="AC131" s="42" t="str">
        <f>IF(Year4_Windsor_Maidenhead Year4_ReferralsPriorEH="","",Year4_Windsor_Maidenhead Year4_ReferralsPriorEH)</f>
        <v/>
      </c>
      <c r="AD131" s="42" t="str">
        <f>IF(Year5_Windsor_Maidenhead Year5_ReferralsPriorEH="","",Year5_Windsor_Maidenhead Year5_ReferralsPriorEH)</f>
        <v/>
      </c>
      <c r="AE131" s="194"/>
      <c r="AF131" s="185">
        <f t="shared" si="30"/>
        <v>0</v>
      </c>
      <c r="AG131" s="185">
        <f t="shared" si="31"/>
        <v>0</v>
      </c>
      <c r="AH131" s="185">
        <f t="shared" si="32"/>
        <v>0</v>
      </c>
      <c r="AI131" s="185">
        <f t="shared" si="33"/>
        <v>0</v>
      </c>
      <c r="AJ131" s="185">
        <f t="shared" si="34"/>
        <v>0</v>
      </c>
      <c r="AK131" s="156"/>
    </row>
    <row r="132" spans="1:46" s="89" customFormat="1" ht="12.75" hidden="1" customHeight="1" x14ac:dyDescent="0.2">
      <c r="A132" s="462">
        <f>VLOOKUP(B132,Sheet1!$AQ$4:$AR$25,2,FALSE)</f>
        <v>0</v>
      </c>
      <c r="B132" s="95" t="str">
        <f t="shared" si="28"/>
        <v>Windsor &amp; Maidenhead</v>
      </c>
      <c r="C132" s="87"/>
      <c r="D132" s="158" t="e">
        <f t="shared" si="35"/>
        <v>#N/A</v>
      </c>
      <c r="E132" s="158" t="e">
        <f t="shared" si="36"/>
        <v>#N/A</v>
      </c>
      <c r="F132" s="158" t="e">
        <f t="shared" si="37"/>
        <v>#N/A</v>
      </c>
      <c r="G132" s="158" t="e">
        <f t="shared" si="38"/>
        <v>#N/A</v>
      </c>
      <c r="H132" s="535" t="e">
        <f t="shared" si="39"/>
        <v>#N/A</v>
      </c>
      <c r="I132" s="98"/>
      <c r="J132" s="98"/>
      <c r="K132" s="162"/>
      <c r="L132" s="162"/>
      <c r="M132" s="162"/>
      <c r="N132" s="162"/>
      <c r="O132" s="162"/>
      <c r="P132" s="162"/>
      <c r="Q132" s="162"/>
      <c r="R132" s="163"/>
      <c r="S132" s="155"/>
      <c r="T132" s="155"/>
      <c r="U132" s="162"/>
      <c r="V132" s="124"/>
      <c r="W132" s="140"/>
      <c r="X132" s="149"/>
      <c r="Y132" s="46" t="str">
        <f t="shared" si="26"/>
        <v>Wokingham</v>
      </c>
      <c r="Z132" s="42" t="str">
        <f>IF(Year1_Wokingham Year1_ReferralsPriorEH="","",Year1_Wokingham Year1_ReferralsPriorEH)</f>
        <v/>
      </c>
      <c r="AA132" s="42" t="str">
        <f>IF(Year2_Wokingham Year2_ReferralsPriorEH="","",Year2_Wokingham Year2_ReferralsPriorEH)</f>
        <v/>
      </c>
      <c r="AB132" s="42" t="str">
        <f>IF(Year3_Wokingham Year3_ReferralsPriorEH="","",Year3_Wokingham Year3_ReferralsPriorEH)</f>
        <v/>
      </c>
      <c r="AC132" s="42" t="str">
        <f>IF(Year4_Wokingham Year4_ReferralsPriorEH="","",Year4_Wokingham Year4_ReferralsPriorEH)</f>
        <v/>
      </c>
      <c r="AD132" s="42" t="str">
        <f>IF(Year5_Wokingham Year5_ReferralsPriorEH="","",Year5_Wokingham Year5_ReferralsPriorEH)</f>
        <v/>
      </c>
      <c r="AE132" s="194"/>
      <c r="AF132" s="185">
        <f t="shared" si="30"/>
        <v>0</v>
      </c>
      <c r="AG132" s="185">
        <f t="shared" si="31"/>
        <v>0</v>
      </c>
      <c r="AH132" s="185">
        <f t="shared" si="32"/>
        <v>0</v>
      </c>
      <c r="AI132" s="185">
        <f t="shared" si="33"/>
        <v>0</v>
      </c>
      <c r="AJ132" s="185">
        <f t="shared" si="34"/>
        <v>0</v>
      </c>
      <c r="AK132" s="156"/>
    </row>
    <row r="133" spans="1:46" s="89" customFormat="1" ht="12.75" hidden="1" customHeight="1" x14ac:dyDescent="0.2">
      <c r="A133" s="462">
        <f>VLOOKUP(B133,Sheet1!$AQ$4:$AR$25,2,FALSE)</f>
        <v>0</v>
      </c>
      <c r="B133" s="95" t="str">
        <f t="shared" si="28"/>
        <v>Wokingham</v>
      </c>
      <c r="C133" s="87"/>
      <c r="D133" s="158" t="e">
        <f t="shared" si="35"/>
        <v>#N/A</v>
      </c>
      <c r="E133" s="158" t="e">
        <f t="shared" si="36"/>
        <v>#N/A</v>
      </c>
      <c r="F133" s="158" t="e">
        <f t="shared" si="37"/>
        <v>#N/A</v>
      </c>
      <c r="G133" s="158" t="e">
        <f t="shared" si="38"/>
        <v>#N/A</v>
      </c>
      <c r="H133" s="535" t="e">
        <f t="shared" si="39"/>
        <v>#N/A</v>
      </c>
      <c r="I133" s="98"/>
      <c r="J133" s="98"/>
      <c r="K133" s="162"/>
      <c r="L133" s="162"/>
      <c r="M133" s="162"/>
      <c r="N133" s="162"/>
      <c r="O133" s="162"/>
      <c r="P133" s="162"/>
      <c r="Q133" s="162"/>
      <c r="R133" s="163"/>
      <c r="S133" s="155"/>
      <c r="T133" s="155"/>
      <c r="U133" s="162"/>
      <c r="V133" s="124"/>
      <c r="W133" s="140"/>
      <c r="X133" s="149"/>
      <c r="Y133" s="46" t="str">
        <f t="shared" si="26"/>
        <v>South East</v>
      </c>
      <c r="Z133" s="55" t="e">
        <f>IF(Year1_SouthEast Year1_ReferralsPriorEH=0,NA(),Year1_SouthEast Year1_ReferralsPriorEH)</f>
        <v>#N/A</v>
      </c>
      <c r="AA133" s="55" t="e">
        <f>IF(Year2_SouthEast Year2_ReferralsPriorEH=0,NA(),Year2_SouthEast Year2_ReferralsPriorEH)</f>
        <v>#N/A</v>
      </c>
      <c r="AB133" s="55" t="e">
        <f>IF(Year3_SouthEast Year3_ReferralsPriorEH=0,NA(),Year3_SouthEast Year3_ReferralsPriorEH)</f>
        <v>#N/A</v>
      </c>
      <c r="AC133" s="55" t="e">
        <f>IF(Year4_SouthEast Year4_ReferralsPriorEH=0,NA(),Year4_SouthEast Year4_ReferralsPriorEH)</f>
        <v>#N/A</v>
      </c>
      <c r="AD133" s="55" t="e">
        <f>IF(Year5_SouthEast Year5_ReferralsPriorEH=0,NA(),Year5_SouthEast Year5_ReferralsPriorEH)</f>
        <v>#N/A</v>
      </c>
      <c r="AE133" s="194"/>
      <c r="AF133" s="199">
        <f>SUM(AF111:AF123,AF125:AF126,AF129:AF132)</f>
        <v>0</v>
      </c>
      <c r="AG133" s="199">
        <f t="shared" ref="AG133:AJ133" si="40">SUM(AG111:AG123,AG125:AG126,AG129:AG132)</f>
        <v>0</v>
      </c>
      <c r="AH133" s="199">
        <f t="shared" si="40"/>
        <v>0</v>
      </c>
      <c r="AI133" s="199">
        <f t="shared" si="40"/>
        <v>0</v>
      </c>
      <c r="AJ133" s="199">
        <f t="shared" si="40"/>
        <v>0</v>
      </c>
      <c r="AK133" s="156"/>
    </row>
    <row r="134" spans="1:46" s="89" customFormat="1" ht="12.75" hidden="1" customHeight="1" x14ac:dyDescent="0.2">
      <c r="A134" s="123"/>
      <c r="B134" s="131" t="str">
        <f t="shared" si="28"/>
        <v>South East</v>
      </c>
      <c r="C134" s="87"/>
      <c r="D134" s="159" t="e">
        <f t="shared" si="35"/>
        <v>#N/A</v>
      </c>
      <c r="E134" s="159" t="e">
        <f t="shared" si="36"/>
        <v>#N/A</v>
      </c>
      <c r="F134" s="159" t="e">
        <f t="shared" si="37"/>
        <v>#N/A</v>
      </c>
      <c r="G134" s="159" t="e">
        <f t="shared" si="38"/>
        <v>#N/A</v>
      </c>
      <c r="H134" s="536" t="e">
        <f t="shared" si="39"/>
        <v>#N/A</v>
      </c>
      <c r="I134" s="98"/>
      <c r="J134" s="98"/>
      <c r="K134" s="164"/>
      <c r="L134" s="164"/>
      <c r="M134" s="164"/>
      <c r="N134" s="164"/>
      <c r="O134" s="164"/>
      <c r="P134" s="164"/>
      <c r="Q134" s="164"/>
      <c r="R134" s="165"/>
      <c r="S134" s="155"/>
      <c r="T134" s="155"/>
      <c r="U134" s="166"/>
      <c r="V134" s="124"/>
      <c r="W134" s="140"/>
      <c r="X134" s="149"/>
      <c r="Y134" s="46" t="str">
        <f t="shared" si="26"/>
        <v>England</v>
      </c>
      <c r="Z134" s="55"/>
      <c r="AA134" s="55"/>
      <c r="AB134" s="55"/>
      <c r="AC134" s="55"/>
      <c r="AD134" s="55"/>
      <c r="AE134" s="194"/>
      <c r="AF134" s="185">
        <f t="shared" ref="AF134" si="41">IF(ISNUMBER(Z134),D33,0)</f>
        <v>0</v>
      </c>
      <c r="AG134" s="185">
        <f t="shared" ref="AG134" si="42">IF(ISNUMBER(AA134),E33,0)</f>
        <v>0</v>
      </c>
      <c r="AH134" s="185">
        <f t="shared" ref="AH134" si="43">IF(ISNUMBER(AB134),F33,0)</f>
        <v>0</v>
      </c>
      <c r="AI134" s="185">
        <f t="shared" ref="AI134" si="44">IF(ISNUMBER(AC134),G33,0)</f>
        <v>0</v>
      </c>
      <c r="AJ134" s="185">
        <f t="shared" ref="AJ134" si="45">IF(ISNUMBER(AD134),H33,0)</f>
        <v>0</v>
      </c>
      <c r="AK134" s="156"/>
    </row>
    <row r="135" spans="1:46" s="89" customFormat="1" ht="12.75" hidden="1" customHeight="1" x14ac:dyDescent="0.2">
      <c r="A135" s="123"/>
      <c r="B135" s="318" t="str">
        <f t="shared" si="28"/>
        <v>England</v>
      </c>
      <c r="C135" s="87"/>
      <c r="D135" s="344" t="e">
        <f t="shared" si="35"/>
        <v>#N/A</v>
      </c>
      <c r="E135" s="344" t="e">
        <f t="shared" si="36"/>
        <v>#N/A</v>
      </c>
      <c r="F135" s="344" t="e">
        <f t="shared" si="37"/>
        <v>#N/A</v>
      </c>
      <c r="G135" s="344" t="e">
        <f t="shared" si="38"/>
        <v>#N/A</v>
      </c>
      <c r="H135" s="537" t="e">
        <f t="shared" si="39"/>
        <v>#N/A</v>
      </c>
      <c r="I135" s="98"/>
      <c r="J135" s="98"/>
      <c r="K135" s="164"/>
      <c r="L135" s="164"/>
      <c r="M135" s="164"/>
      <c r="N135" s="164"/>
      <c r="O135" s="164"/>
      <c r="P135" s="164"/>
      <c r="Q135" s="164"/>
      <c r="R135" s="165"/>
      <c r="S135" s="155"/>
      <c r="T135" s="155"/>
      <c r="U135" s="166"/>
      <c r="V135" s="124"/>
      <c r="W135" s="140"/>
      <c r="X135" s="149"/>
      <c r="Y135" s="83"/>
      <c r="Z135" s="83"/>
      <c r="AA135" s="191"/>
      <c r="AB135" s="191"/>
      <c r="AC135" s="192"/>
      <c r="AD135" s="192"/>
      <c r="AE135" s="194"/>
      <c r="AF135" s="199"/>
      <c r="AG135" s="199"/>
      <c r="AH135" s="199"/>
      <c r="AI135" s="185"/>
      <c r="AJ135" s="199"/>
      <c r="AK135" s="156"/>
    </row>
    <row r="136" spans="1:46" s="89" customFormat="1" ht="7.5" hidden="1" customHeight="1" x14ac:dyDescent="0.2">
      <c r="A136" s="286"/>
      <c r="B136" s="98"/>
      <c r="C136" s="98"/>
      <c r="D136" s="98"/>
      <c r="E136" s="98"/>
      <c r="F136" s="98"/>
      <c r="G136" s="98"/>
      <c r="H136" s="98"/>
      <c r="I136" s="98"/>
      <c r="J136" s="98"/>
      <c r="K136" s="164"/>
      <c r="L136" s="164"/>
      <c r="M136" s="164"/>
      <c r="N136" s="164"/>
      <c r="O136" s="164"/>
      <c r="P136" s="164"/>
      <c r="Q136" s="164"/>
      <c r="R136" s="165"/>
      <c r="S136" s="155"/>
      <c r="T136" s="155"/>
      <c r="U136" s="166"/>
      <c r="V136" s="124"/>
      <c r="W136" s="140"/>
      <c r="X136" s="149"/>
      <c r="Y136" s="83"/>
      <c r="Z136" s="83"/>
      <c r="AA136" s="191"/>
      <c r="AB136" s="191"/>
      <c r="AC136" s="192"/>
      <c r="AD136" s="192"/>
      <c r="AE136" s="194"/>
      <c r="AF136" s="199"/>
      <c r="AG136" s="199"/>
      <c r="AH136" s="199"/>
      <c r="AI136" s="185"/>
      <c r="AJ136" s="199"/>
      <c r="AK136" s="156"/>
    </row>
    <row r="137" spans="1:46" s="83" customFormat="1" ht="39" hidden="1" customHeight="1" x14ac:dyDescent="0.2">
      <c r="A137" s="213"/>
      <c r="B137" s="385"/>
      <c r="C137" s="385"/>
      <c r="D137" s="385"/>
      <c r="E137" s="385"/>
      <c r="F137" s="385"/>
      <c r="G137" s="385"/>
      <c r="H137" s="385"/>
      <c r="I137" s="385"/>
      <c r="J137" s="168"/>
      <c r="K137" s="168"/>
      <c r="L137" s="168"/>
      <c r="M137" s="168"/>
      <c r="N137" s="168"/>
      <c r="O137" s="168"/>
      <c r="P137" s="168"/>
      <c r="Q137" s="168"/>
      <c r="R137" s="137"/>
      <c r="S137" s="168"/>
      <c r="T137" s="168"/>
      <c r="U137" s="168"/>
      <c r="V137" s="119"/>
      <c r="W137" s="138"/>
      <c r="X137" s="147"/>
      <c r="AD137" s="192"/>
      <c r="AE137" s="194"/>
      <c r="AF137" s="179"/>
      <c r="AG137" s="179"/>
      <c r="AH137" s="179"/>
      <c r="AJ137" s="179"/>
      <c r="AK137" s="157"/>
    </row>
    <row r="138" spans="1:46" s="83" customFormat="1" ht="38.25" hidden="1" customHeight="1" x14ac:dyDescent="0.2">
      <c r="A138" s="213"/>
      <c r="B138" s="385"/>
      <c r="C138" s="385"/>
      <c r="D138" s="385"/>
      <c r="E138" s="385"/>
      <c r="F138" s="385"/>
      <c r="G138" s="385"/>
      <c r="H138" s="385"/>
      <c r="I138" s="385"/>
      <c r="J138" s="168"/>
      <c r="K138" s="168"/>
      <c r="L138" s="168"/>
      <c r="M138" s="168"/>
      <c r="N138" s="168"/>
      <c r="O138" s="168"/>
      <c r="P138" s="168"/>
      <c r="Q138" s="168"/>
      <c r="R138" s="137"/>
      <c r="S138" s="168"/>
      <c r="T138" s="168"/>
      <c r="U138" s="168"/>
      <c r="V138" s="119"/>
      <c r="W138" s="138"/>
      <c r="X138" s="147"/>
      <c r="Z138" s="185"/>
      <c r="AE138" s="194"/>
      <c r="AF138" s="179"/>
      <c r="AG138" s="179"/>
      <c r="AH138" s="179"/>
      <c r="AJ138" s="179"/>
      <c r="AK138" s="157"/>
    </row>
    <row r="139" spans="1:46" s="83" customFormat="1" ht="38.25" hidden="1" customHeight="1" x14ac:dyDescent="0.2">
      <c r="A139" s="213"/>
      <c r="B139" s="385"/>
      <c r="C139" s="385"/>
      <c r="D139" s="385"/>
      <c r="E139" s="385"/>
      <c r="F139" s="385"/>
      <c r="G139" s="385"/>
      <c r="H139" s="385"/>
      <c r="I139" s="385"/>
      <c r="J139" s="168"/>
      <c r="K139" s="168"/>
      <c r="L139" s="168"/>
      <c r="M139" s="168"/>
      <c r="N139" s="168"/>
      <c r="O139" s="168"/>
      <c r="P139" s="168"/>
      <c r="Q139" s="168"/>
      <c r="R139" s="137"/>
      <c r="S139" s="168"/>
      <c r="T139" s="168"/>
      <c r="U139" s="168"/>
      <c r="V139" s="119"/>
      <c r="W139" s="138"/>
      <c r="X139" s="147"/>
      <c r="Z139" s="185"/>
      <c r="AE139" s="194"/>
      <c r="AF139" s="179"/>
      <c r="AG139" s="179"/>
      <c r="AH139" s="179"/>
      <c r="AJ139" s="179"/>
      <c r="AK139" s="157"/>
    </row>
    <row r="140" spans="1:46" s="83" customFormat="1" ht="7.5" hidden="1" customHeight="1" x14ac:dyDescent="0.2">
      <c r="A140" s="120"/>
      <c r="B140" s="18"/>
      <c r="C140" s="18"/>
      <c r="D140" s="17"/>
      <c r="E140" s="17"/>
      <c r="F140" s="17"/>
      <c r="G140" s="17"/>
      <c r="H140" s="17"/>
      <c r="I140" s="17"/>
      <c r="J140" s="13"/>
      <c r="K140" s="19"/>
      <c r="L140" s="19"/>
      <c r="M140" s="19"/>
      <c r="N140" s="19"/>
      <c r="O140" s="19"/>
      <c r="P140" s="19"/>
      <c r="Q140" s="19"/>
      <c r="R140" s="19"/>
      <c r="S140" s="19"/>
      <c r="T140" s="19"/>
      <c r="U140" s="20"/>
      <c r="V140" s="119"/>
      <c r="W140" s="138"/>
      <c r="X140" s="147"/>
      <c r="Z140" s="185"/>
      <c r="AJ140" s="179"/>
      <c r="AK140" s="153"/>
      <c r="AL140" s="76"/>
      <c r="AM140" s="76"/>
      <c r="AN140" s="76"/>
      <c r="AO140" s="76"/>
      <c r="AP140" s="76"/>
      <c r="AQ140" s="76"/>
      <c r="AR140" s="76"/>
    </row>
    <row r="141" spans="1:46" s="83" customFormat="1" ht="15" hidden="1" customHeight="1" x14ac:dyDescent="0.2">
      <c r="A141" s="1399"/>
      <c r="B141" s="1421"/>
      <c r="C141" s="1421"/>
      <c r="D141" s="1421"/>
      <c r="E141" s="1421"/>
      <c r="F141" s="1421"/>
      <c r="G141" s="1421"/>
      <c r="H141" s="1421"/>
      <c r="I141" s="1421"/>
      <c r="J141" s="1421"/>
      <c r="K141" s="1421"/>
      <c r="L141" s="1421"/>
      <c r="M141" s="1421"/>
      <c r="N141" s="1421"/>
      <c r="O141" s="1421"/>
      <c r="P141" s="1421"/>
      <c r="Q141" s="1421"/>
      <c r="R141" s="1421"/>
      <c r="S141" s="1421"/>
      <c r="T141" s="1421"/>
      <c r="U141" s="1421"/>
      <c r="V141" s="1422"/>
      <c r="W141" s="138"/>
      <c r="X141" s="147"/>
      <c r="AK141" s="157"/>
      <c r="AT141" s="76"/>
    </row>
    <row r="142" spans="1:46" s="83" customFormat="1" ht="11.25" hidden="1" customHeight="1" x14ac:dyDescent="0.2">
      <c r="A142" s="1428" t="str">
        <f>Home!$A$40</f>
        <v>LA's provide quarterly data on the condition that it is used by the benchmarking group for internal reporting only. Please DO NOT share other LA's data with any external partners or the public</v>
      </c>
      <c r="B142" s="1429"/>
      <c r="C142" s="1429"/>
      <c r="D142" s="1429"/>
      <c r="E142" s="1429"/>
      <c r="F142" s="1429"/>
      <c r="G142" s="1429"/>
      <c r="H142" s="1429"/>
      <c r="I142" s="1430"/>
      <c r="J142" s="1429"/>
      <c r="K142" s="1429"/>
      <c r="L142" s="1429"/>
      <c r="M142" s="1429"/>
      <c r="N142" s="1429"/>
      <c r="O142" s="1429"/>
      <c r="P142" s="1431"/>
      <c r="Q142" s="1429"/>
      <c r="R142" s="1429"/>
      <c r="S142" s="1429"/>
      <c r="T142" s="1430"/>
      <c r="U142" s="1429"/>
      <c r="V142" s="1432"/>
      <c r="W142" s="138"/>
      <c r="X142" s="147"/>
      <c r="AJ142" s="179"/>
      <c r="AK142" s="156"/>
      <c r="AL142" s="89"/>
      <c r="AT142" s="76"/>
    </row>
    <row r="143" spans="1:46" ht="11.25" customHeight="1" x14ac:dyDescent="0.2">
      <c r="A143" s="114"/>
      <c r="B143" s="115"/>
      <c r="C143" s="115"/>
      <c r="D143" s="115"/>
      <c r="E143" s="115"/>
      <c r="F143" s="115"/>
      <c r="G143" s="115"/>
      <c r="H143" s="115"/>
      <c r="I143" s="115"/>
      <c r="J143" s="116"/>
      <c r="K143" s="115"/>
      <c r="L143" s="115"/>
      <c r="M143" s="115"/>
      <c r="N143" s="115"/>
      <c r="O143" s="115"/>
      <c r="P143" s="115"/>
      <c r="Q143" s="115"/>
      <c r="R143" s="115"/>
      <c r="S143" s="115"/>
      <c r="T143" s="115"/>
      <c r="U143" s="115"/>
      <c r="V143" s="117"/>
      <c r="W143" s="138"/>
      <c r="X143" s="147"/>
      <c r="Z143" s="191"/>
      <c r="AA143" s="183"/>
      <c r="AJ143" s="179"/>
      <c r="AK143" s="153"/>
    </row>
    <row r="144" spans="1:46" s="78" customFormat="1" ht="15" customHeight="1" x14ac:dyDescent="0.2">
      <c r="A144" s="121"/>
      <c r="B144" s="59" t="s">
        <v>27</v>
      </c>
      <c r="C144" s="302"/>
      <c r="D144" s="302"/>
      <c r="E144" s="302"/>
      <c r="F144" s="302"/>
      <c r="G144" s="302"/>
      <c r="H144" s="302"/>
      <c r="I144" s="302"/>
      <c r="J144" s="69"/>
      <c r="K144" s="69"/>
      <c r="L144" s="69"/>
      <c r="M144" s="69"/>
      <c r="N144" s="301"/>
      <c r="O144" s="69"/>
      <c r="P144" s="69"/>
      <c r="Q144" s="69"/>
      <c r="R144" s="69"/>
      <c r="S144" s="69"/>
      <c r="T144" s="69"/>
      <c r="U144" s="69"/>
      <c r="V144" s="122"/>
      <c r="W144" s="139"/>
      <c r="X144" s="148"/>
      <c r="Y144" s="183"/>
      <c r="Z144" s="183"/>
      <c r="AA144" s="183"/>
      <c r="AB144" s="183"/>
      <c r="AC144" s="183"/>
      <c r="AD144" s="183"/>
      <c r="AE144" s="183"/>
      <c r="AF144" s="183"/>
      <c r="AG144" s="183"/>
      <c r="AH144" s="183"/>
      <c r="AI144" s="183"/>
      <c r="AJ144" s="183"/>
      <c r="AK144" s="154"/>
    </row>
    <row r="145" spans="1:45" ht="15" customHeight="1" x14ac:dyDescent="0.2">
      <c r="A145" s="120"/>
      <c r="B145" s="597" t="s">
        <v>623</v>
      </c>
      <c r="C145" s="302"/>
      <c r="D145" s="302"/>
      <c r="E145" s="302"/>
      <c r="F145" s="302"/>
      <c r="G145" s="302"/>
      <c r="H145" s="302"/>
      <c r="I145" s="302"/>
      <c r="J145" s="69"/>
      <c r="K145" s="69"/>
      <c r="L145" s="69"/>
      <c r="M145" s="69"/>
      <c r="N145" s="301"/>
      <c r="O145" s="69"/>
      <c r="P145" s="69"/>
      <c r="Q145" s="69"/>
      <c r="R145" s="10"/>
      <c r="S145" s="69"/>
      <c r="T145" s="69"/>
      <c r="U145" s="69"/>
      <c r="V145" s="119"/>
      <c r="W145" s="138"/>
      <c r="X145" s="147"/>
      <c r="Y145" s="193" t="s">
        <v>86</v>
      </c>
      <c r="AJ145" s="179"/>
      <c r="AK145" s="153"/>
    </row>
    <row r="146" spans="1:45" ht="13.5" customHeight="1" x14ac:dyDescent="0.2">
      <c r="A146" s="271"/>
      <c r="B146" s="1419" t="s">
        <v>190</v>
      </c>
      <c r="C146" s="744"/>
      <c r="D146" s="755" t="str">
        <f>Sheet1!$D$25</f>
        <v>2014-15</v>
      </c>
      <c r="E146" s="756" t="str">
        <f>Sheet1!$E$25</f>
        <v>2015-16</v>
      </c>
      <c r="F146" s="756" t="str">
        <f>Sheet1!$F$25</f>
        <v>2016-17</v>
      </c>
      <c r="G146" s="756" t="str">
        <f>Sheet1!$G$25</f>
        <v>2017-18</v>
      </c>
      <c r="H146" s="757" t="str">
        <f>Sheet1!$H$25</f>
        <v>2018-19</v>
      </c>
      <c r="I146" s="743"/>
      <c r="J146" s="69"/>
      <c r="K146" s="69"/>
      <c r="L146" s="69"/>
      <c r="M146" s="69"/>
      <c r="N146" s="742"/>
      <c r="O146" s="69"/>
      <c r="P146" s="69"/>
      <c r="Q146" s="69"/>
      <c r="R146" s="10"/>
      <c r="S146" s="69"/>
      <c r="T146" s="69"/>
      <c r="U146" s="69"/>
      <c r="V146" s="119"/>
      <c r="W146" s="138"/>
      <c r="X146" s="147"/>
      <c r="Z146" s="755" t="str">
        <f>Sheet1!$D$25</f>
        <v>2014-15</v>
      </c>
      <c r="AA146" s="756" t="str">
        <f>Sheet1!$E$25</f>
        <v>2015-16</v>
      </c>
      <c r="AB146" s="756" t="str">
        <f>Sheet1!$F$25</f>
        <v>2016-17</v>
      </c>
      <c r="AC146" s="756" t="str">
        <f>Sheet1!$G$25</f>
        <v>2017-18</v>
      </c>
      <c r="AD146" s="757" t="str">
        <f>Sheet1!$H$25</f>
        <v>2018-19</v>
      </c>
      <c r="AJ146" s="179"/>
      <c r="AK146" s="153"/>
    </row>
    <row r="147" spans="1:45" s="89" customFormat="1" ht="13.5" customHeight="1" x14ac:dyDescent="0.2">
      <c r="A147" s="123"/>
      <c r="B147" s="1420"/>
      <c r="C147" s="87"/>
      <c r="D147" s="758" t="e">
        <f>Sheet1!$D$26</f>
        <v>#N/A</v>
      </c>
      <c r="E147" s="758" t="e">
        <f>Sheet1!$E$26</f>
        <v>#N/A</v>
      </c>
      <c r="F147" s="758" t="e">
        <f>Sheet1!$F$26</f>
        <v>#N/A</v>
      </c>
      <c r="G147" s="758" t="e">
        <f>Sheet1!$G$26</f>
        <v>#N/A</v>
      </c>
      <c r="H147" s="759" t="e">
        <f>Sheet1!$H$26</f>
        <v>#N/A</v>
      </c>
      <c r="I147" s="98"/>
      <c r="J147" s="98"/>
      <c r="K147" s="61"/>
      <c r="L147" s="61"/>
      <c r="M147" s="61"/>
      <c r="N147" s="61"/>
      <c r="O147" s="61"/>
      <c r="P147" s="61"/>
      <c r="Q147" s="303"/>
      <c r="R147" s="303"/>
      <c r="S147" s="155"/>
      <c r="T147" s="155"/>
      <c r="U147" s="304"/>
      <c r="V147" s="124"/>
      <c r="W147" s="140"/>
      <c r="X147" s="149"/>
      <c r="Z147" s="758" t="e">
        <f>Sheet1!$D$26</f>
        <v>#N/A</v>
      </c>
      <c r="AA147" s="758" t="e">
        <f>Sheet1!$E$26</f>
        <v>#N/A</v>
      </c>
      <c r="AB147" s="758" t="e">
        <f>Sheet1!$F$26</f>
        <v>#N/A</v>
      </c>
      <c r="AC147" s="758" t="e">
        <f>Sheet1!$G$26</f>
        <v>#N/A</v>
      </c>
      <c r="AD147" s="759" t="e">
        <f>Sheet1!$H$26</f>
        <v>#N/A</v>
      </c>
      <c r="AE147" s="194"/>
      <c r="AF147" s="185"/>
      <c r="AG147" s="185"/>
      <c r="AH147" s="185"/>
      <c r="AI147" s="185"/>
      <c r="AJ147" s="199"/>
      <c r="AK147" s="156"/>
    </row>
    <row r="148" spans="1:45" s="89" customFormat="1" ht="12.75" customHeight="1" x14ac:dyDescent="0.2">
      <c r="A148" s="462">
        <f>VLOOKUP(B148,Sheet1!$AQ$4:$AR$25,2,FALSE)</f>
        <v>0</v>
      </c>
      <c r="B148" s="95" t="str">
        <f t="shared" ref="B148:B171" si="46">B10</f>
        <v>Bracknell Forest</v>
      </c>
      <c r="C148" s="87"/>
      <c r="D148" s="158">
        <f t="shared" ref="D148:D171" si="47">IF(ISNUMBER(Z148),Z148/D10,NA())</f>
        <v>0.89339622641509431</v>
      </c>
      <c r="E148" s="158">
        <f t="shared" ref="E148:E171" si="48">IF(ISNUMBER(AA148),AA148/E10,NA())</f>
        <v>0.82695252679938747</v>
      </c>
      <c r="F148" s="158">
        <f t="shared" ref="F148:F171" si="49">IF(ISNUMBER(AB148),AB148/F10,NA())</f>
        <v>0.87591240875912413</v>
      </c>
      <c r="G148" s="158">
        <f t="shared" ref="G148:G171" si="50">IF(ISNUMBER(AC148),AC148/G10,NA())</f>
        <v>0.9279824079164376</v>
      </c>
      <c r="H148" s="160">
        <f t="shared" ref="H148:H171" si="51">IF(ISNUMBER(AD148),AD148/H10,NA())</f>
        <v>0.71875</v>
      </c>
      <c r="I148" s="98"/>
      <c r="J148" s="98"/>
      <c r="K148" s="162"/>
      <c r="L148" s="162"/>
      <c r="M148" s="162"/>
      <c r="N148" s="162"/>
      <c r="O148" s="162"/>
      <c r="P148" s="162"/>
      <c r="Q148" s="162"/>
      <c r="R148" s="163"/>
      <c r="S148" s="155"/>
      <c r="T148" s="155"/>
      <c r="U148" s="162"/>
      <c r="V148" s="124"/>
      <c r="W148" s="140"/>
      <c r="X148" s="149"/>
      <c r="Y148" s="46" t="str">
        <f t="shared" ref="Y148:Y171" si="52">B10</f>
        <v>Bracknell Forest</v>
      </c>
      <c r="Z148" s="42">
        <f>IF(Year1_Bracknell_Forest Year1_ReferralsAssessment="","",Year1_Bracknell_Forest Year1_ReferralsAssessment)</f>
        <v>947</v>
      </c>
      <c r="AA148" s="42">
        <f>IF(Year2_Bracknell_Forest Year2_ReferralsAssessment="","",Year2_Bracknell_Forest Year2_ReferralsAssessment)</f>
        <v>1080</v>
      </c>
      <c r="AB148" s="42">
        <f>IF(Year3_Bracknell_Forest Year3_ReferralsAssessment="","",Year3_Bracknell_Forest Year3_ReferralsAssessment)</f>
        <v>1440</v>
      </c>
      <c r="AC148" s="42">
        <f>IF(Year4_Bracknell_Forest Year4_ReferralsAssessment="","",Year4_Bracknell_Forest Year4_ReferralsAssessment)</f>
        <v>1688</v>
      </c>
      <c r="AD148" s="42">
        <f>IF(Year5_Bracknell_Forest Year5_ReferralsAssessment="","",Year5_Bracknell_Forest Year5_ReferralsAssessment)</f>
        <v>1610</v>
      </c>
      <c r="AE148" s="194"/>
      <c r="AF148" s="185"/>
      <c r="AG148" s="185"/>
      <c r="AH148" s="185"/>
      <c r="AI148" s="185"/>
      <c r="AJ148" s="199"/>
      <c r="AK148" s="156"/>
    </row>
    <row r="149" spans="1:45" s="89" customFormat="1" ht="12.75" customHeight="1" x14ac:dyDescent="0.2">
      <c r="A149" s="462">
        <f>VLOOKUP(B149,Sheet1!$AQ$4:$AR$25,2,FALSE)</f>
        <v>0</v>
      </c>
      <c r="B149" s="95" t="str">
        <f t="shared" si="46"/>
        <v>Brighton &amp; Hove</v>
      </c>
      <c r="C149" s="87"/>
      <c r="D149" s="158">
        <f t="shared" si="47"/>
        <v>0.48816203640344874</v>
      </c>
      <c r="E149" s="158">
        <f t="shared" si="48"/>
        <v>0.90455341506129594</v>
      </c>
      <c r="F149" s="158">
        <f t="shared" si="49"/>
        <v>0.90249632892804699</v>
      </c>
      <c r="G149" s="158">
        <f t="shared" si="50"/>
        <v>0.9087918660287081</v>
      </c>
      <c r="H149" s="160">
        <f t="shared" si="51"/>
        <v>0.92466810744056804</v>
      </c>
      <c r="I149" s="98"/>
      <c r="J149" s="98"/>
      <c r="K149" s="162"/>
      <c r="L149" s="162"/>
      <c r="M149" s="162"/>
      <c r="N149" s="162"/>
      <c r="O149" s="162"/>
      <c r="P149" s="162"/>
      <c r="Q149" s="162"/>
      <c r="R149" s="163"/>
      <c r="S149" s="155"/>
      <c r="T149" s="155"/>
      <c r="U149" s="162"/>
      <c r="V149" s="124"/>
      <c r="W149" s="140"/>
      <c r="X149" s="149"/>
      <c r="Y149" s="46" t="str">
        <f t="shared" si="52"/>
        <v>Brighton &amp; Hove</v>
      </c>
      <c r="Z149" s="42">
        <f>IF(Year1_Brighton_Hove Year1_ReferralsAssessment="","",Year1_Brighton_Hove Year1_ReferralsAssessment)</f>
        <v>3567</v>
      </c>
      <c r="AA149" s="42">
        <f>IF(Year2_Brighton_Hove Year2_ReferralsAssessment="","",Year2_Brighton_Hove Year2_ReferralsAssessment)</f>
        <v>3099</v>
      </c>
      <c r="AB149" s="42">
        <f>IF(Year3_Brighton_Hove Year3_ReferralsAssessment="","",Year3_Brighton_Hove Year3_ReferralsAssessment)</f>
        <v>3073</v>
      </c>
      <c r="AC149" s="42">
        <f>IF(Year4_Brighton_Hove Year4_ReferralsAssessment="","",Year4_Brighton_Hove Year4_ReferralsAssessment)</f>
        <v>3039</v>
      </c>
      <c r="AD149" s="42">
        <f>IF(Year5_Brighton_Hove Year5_ReferralsAssessment="","",Year5_Brighton_Hove Year5_ReferralsAssessment)</f>
        <v>2995</v>
      </c>
      <c r="AE149" s="194"/>
      <c r="AF149" s="185"/>
      <c r="AG149" s="185"/>
      <c r="AH149" s="185"/>
      <c r="AI149" s="185"/>
      <c r="AJ149" s="199"/>
      <c r="AK149" s="156"/>
    </row>
    <row r="150" spans="1:45" s="89" customFormat="1" ht="12.75" customHeight="1" x14ac:dyDescent="0.2">
      <c r="A150" s="462">
        <f>VLOOKUP(B150,Sheet1!$AQ$4:$AR$25,2,FALSE)</f>
        <v>0</v>
      </c>
      <c r="B150" s="95" t="str">
        <f t="shared" si="46"/>
        <v>Buckinghamshire</v>
      </c>
      <c r="C150" s="87"/>
      <c r="D150" s="158">
        <f t="shared" si="47"/>
        <v>0.97426398908169232</v>
      </c>
      <c r="E150" s="158">
        <f t="shared" si="48"/>
        <v>0.83702213279678073</v>
      </c>
      <c r="F150" s="158">
        <f t="shared" si="49"/>
        <v>0.89710995219469791</v>
      </c>
      <c r="G150" s="158">
        <f t="shared" si="50"/>
        <v>0.74102737738221924</v>
      </c>
      <c r="H150" s="160">
        <f t="shared" si="51"/>
        <v>0.73390052356020941</v>
      </c>
      <c r="I150" s="98"/>
      <c r="J150" s="98"/>
      <c r="K150" s="162"/>
      <c r="L150" s="162"/>
      <c r="M150" s="162"/>
      <c r="N150" s="162"/>
      <c r="O150" s="162"/>
      <c r="P150" s="162"/>
      <c r="Q150" s="162"/>
      <c r="R150" s="163"/>
      <c r="S150" s="155"/>
      <c r="T150" s="155"/>
      <c r="U150" s="162"/>
      <c r="V150" s="124"/>
      <c r="W150" s="140"/>
      <c r="X150" s="149"/>
      <c r="Y150" s="46" t="str">
        <f t="shared" si="52"/>
        <v>Buckinghamshire</v>
      </c>
      <c r="Z150" s="42">
        <f>IF(Year1_Buckinghamshire Year1_ReferralsAssessment="","",Year1_Buckinghamshire Year1_ReferralsAssessment)</f>
        <v>4997</v>
      </c>
      <c r="AA150" s="42">
        <f>IF(Year2_Buckinghamshire Year2_ReferralsAssessment="","",Year2_Buckinghamshire Year2_ReferralsAssessment)</f>
        <v>5824</v>
      </c>
      <c r="AB150" s="42">
        <f>IF(Year3_Buckinghamshire Year3_ReferralsAssessment="","",Year3_Buckinghamshire Year3_ReferralsAssessment)</f>
        <v>8257</v>
      </c>
      <c r="AC150" s="42">
        <f>IF(Year4_Buckinghamshire Year4_ReferralsAssessment="","",Year4_Buckinghamshire Year4_ReferralsAssessment)</f>
        <v>7660</v>
      </c>
      <c r="AD150" s="42">
        <f>IF(Year5_Buckinghamshire Year5_ReferralsAssessment="","",Year5_Buckinghamshire Year5_ReferralsAssessment)</f>
        <v>5607</v>
      </c>
      <c r="AE150" s="194"/>
      <c r="AF150" s="185"/>
      <c r="AG150" s="185"/>
      <c r="AH150" s="185"/>
      <c r="AI150" s="185"/>
      <c r="AJ150" s="199"/>
      <c r="AK150" s="156"/>
    </row>
    <row r="151" spans="1:45" s="89" customFormat="1" ht="12.75" customHeight="1" x14ac:dyDescent="0.2">
      <c r="A151" s="462">
        <f>VLOOKUP(B151,Sheet1!$AQ$4:$AR$25,2,FALSE)</f>
        <v>0</v>
      </c>
      <c r="B151" s="95" t="str">
        <f t="shared" si="46"/>
        <v>East Sussex</v>
      </c>
      <c r="C151" s="87"/>
      <c r="D151" s="158">
        <f t="shared" si="47"/>
        <v>0.94260651629072678</v>
      </c>
      <c r="E151" s="158">
        <f t="shared" si="48"/>
        <v>0.97467166979362097</v>
      </c>
      <c r="F151" s="158">
        <f t="shared" si="49"/>
        <v>0.98150163220892273</v>
      </c>
      <c r="G151" s="158">
        <f t="shared" si="50"/>
        <v>0.9814517975727044</v>
      </c>
      <c r="H151" s="160">
        <f t="shared" si="51"/>
        <v>0.98146002317497105</v>
      </c>
      <c r="I151" s="98"/>
      <c r="J151" s="98"/>
      <c r="K151" s="162"/>
      <c r="L151" s="162"/>
      <c r="M151" s="162"/>
      <c r="N151" s="162"/>
      <c r="O151" s="162"/>
      <c r="P151" s="162"/>
      <c r="Q151" s="162"/>
      <c r="R151" s="163"/>
      <c r="S151" s="155"/>
      <c r="T151" s="155"/>
      <c r="U151" s="162"/>
      <c r="V151" s="124"/>
      <c r="W151" s="140"/>
      <c r="X151" s="149"/>
      <c r="Y151" s="46" t="str">
        <f t="shared" si="52"/>
        <v>East Sussex</v>
      </c>
      <c r="Z151" s="42">
        <f>IF(Year1_East_Sussex Year1_ReferralsAssessment="","",Year1_East_Sussex Year1_ReferralsAssessment)</f>
        <v>3761</v>
      </c>
      <c r="AA151" s="42">
        <f>IF(Year2_East_Sussex Year2_ReferralsAssessment="","",Year2_East_Sussex Year2_ReferralsAssessment)</f>
        <v>3117</v>
      </c>
      <c r="AB151" s="42">
        <f>IF(Year3_East_Sussex Year3_ReferralsAssessment="","",Year3_East_Sussex Year3_ReferralsAssessment)</f>
        <v>3608</v>
      </c>
      <c r="AC151" s="42">
        <f>IF(Year4_East_Sussex Year4_ReferralsAssessment="","",Year4_East_Sussex Year4_ReferralsAssessment)</f>
        <v>4286</v>
      </c>
      <c r="AD151" s="42">
        <f>IF(Year5_East_Sussex Year5_ReferralsAssessment="","",Year5_East_Sussex Year5_ReferralsAssessment)</f>
        <v>4235</v>
      </c>
      <c r="AE151" s="194"/>
      <c r="AF151" s="185"/>
      <c r="AG151" s="185"/>
      <c r="AH151" s="185"/>
      <c r="AI151" s="185"/>
      <c r="AJ151" s="199"/>
      <c r="AK151" s="156"/>
    </row>
    <row r="152" spans="1:45" s="89" customFormat="1" ht="12.75" customHeight="1" x14ac:dyDescent="0.2">
      <c r="A152" s="462">
        <f>VLOOKUP(B152,Sheet1!$AQ$4:$AR$25,2,FALSE)</f>
        <v>0</v>
      </c>
      <c r="B152" s="95" t="str">
        <f t="shared" si="46"/>
        <v>Hampshire</v>
      </c>
      <c r="C152" s="87"/>
      <c r="D152" s="158">
        <f t="shared" si="47"/>
        <v>0.89671025135829008</v>
      </c>
      <c r="E152" s="158">
        <f t="shared" si="48"/>
        <v>0.89961598463938552</v>
      </c>
      <c r="F152" s="158">
        <f t="shared" si="49"/>
        <v>0.82588114226910214</v>
      </c>
      <c r="G152" s="158">
        <f t="shared" si="50"/>
        <v>0.83599131244182434</v>
      </c>
      <c r="H152" s="160">
        <f t="shared" si="51"/>
        <v>0.85495436766623212</v>
      </c>
      <c r="I152" s="98"/>
      <c r="J152" s="98"/>
      <c r="K152" s="162"/>
      <c r="L152" s="162"/>
      <c r="M152" s="162"/>
      <c r="N152" s="162"/>
      <c r="O152" s="162"/>
      <c r="P152" s="162"/>
      <c r="Q152" s="162"/>
      <c r="R152" s="163"/>
      <c r="S152" s="155"/>
      <c r="T152" s="155"/>
      <c r="U152" s="162"/>
      <c r="V152" s="124"/>
      <c r="W152" s="140"/>
      <c r="X152" s="149"/>
      <c r="Y152" s="46" t="str">
        <f t="shared" si="52"/>
        <v>Hampshire</v>
      </c>
      <c r="Z152" s="42">
        <f>IF(Year1_Hampshire Year1_ReferralsAssessment="","",Year1_Hampshire Year1_ReferralsAssessment)</f>
        <v>15019</v>
      </c>
      <c r="AA152" s="42">
        <f>IF(Year2_Hampshire Year2_ReferralsAssessment="","",Year2_Hampshire Year2_ReferralsAssessment)</f>
        <v>14993</v>
      </c>
      <c r="AB152" s="42">
        <f>IF(Year3_Hampshire Year3_ReferralsAssessment="","",Year3_Hampshire Year3_ReferralsAssessment)</f>
        <v>16051</v>
      </c>
      <c r="AC152" s="42">
        <f>IF(Year4_Hampshire Year4_ReferralsAssessment="","",Year4_Hampshire Year4_ReferralsAssessment)</f>
        <v>13472</v>
      </c>
      <c r="AD152" s="42">
        <f>IF(Year5_Hampshire Year5_ReferralsAssessment="","",Year5_Hampshire Year5_ReferralsAssessment)</f>
        <v>15738</v>
      </c>
      <c r="AE152" s="194"/>
      <c r="AF152" s="185"/>
      <c r="AG152" s="185"/>
      <c r="AH152" s="185"/>
      <c r="AI152" s="185"/>
      <c r="AJ152" s="199"/>
      <c r="AK152" s="156"/>
    </row>
    <row r="153" spans="1:45" s="89" customFormat="1" ht="12.75" customHeight="1" x14ac:dyDescent="0.2">
      <c r="A153" s="462">
        <f>VLOOKUP(B153,Sheet1!$AQ$4:$AR$25,2,FALSE)</f>
        <v>0</v>
      </c>
      <c r="B153" s="95" t="str">
        <f t="shared" si="46"/>
        <v>Isle of Wight</v>
      </c>
      <c r="C153" s="87"/>
      <c r="D153" s="158">
        <f t="shared" si="47"/>
        <v>0.85978947368421055</v>
      </c>
      <c r="E153" s="158">
        <f t="shared" si="48"/>
        <v>0.89284219338635418</v>
      </c>
      <c r="F153" s="158">
        <f t="shared" si="49"/>
        <v>0.83773440489858397</v>
      </c>
      <c r="G153" s="158">
        <f t="shared" si="50"/>
        <v>0.80605786618444841</v>
      </c>
      <c r="H153" s="160">
        <f t="shared" si="51"/>
        <v>0.77846534653465349</v>
      </c>
      <c r="I153" s="98"/>
      <c r="J153" s="98"/>
      <c r="K153" s="162"/>
      <c r="L153" s="162"/>
      <c r="M153" s="162"/>
      <c r="N153" s="162"/>
      <c r="O153" s="162"/>
      <c r="P153" s="162"/>
      <c r="Q153" s="162"/>
      <c r="R153" s="163"/>
      <c r="S153" s="155"/>
      <c r="T153" s="155"/>
      <c r="U153" s="162"/>
      <c r="V153" s="124"/>
      <c r="W153" s="140"/>
      <c r="X153" s="149"/>
      <c r="Y153" s="46" t="str">
        <f t="shared" si="52"/>
        <v>Isle of Wight</v>
      </c>
      <c r="Z153" s="42">
        <f>IF(Year1_Isle_of_Wight Year1_ReferralsAssessment="","",Year1_Isle_of_Wight Year1_ReferralsAssessment)</f>
        <v>2042</v>
      </c>
      <c r="AA153" s="42">
        <f>IF(Year2_Isle_of_Wight Year2_ReferralsAssessment="","",Year2_Isle_of_Wight Year2_ReferralsAssessment)</f>
        <v>2133</v>
      </c>
      <c r="AB153" s="42">
        <f>IF(Year3_Isle_of_Wight Year3_ReferralsAssessment="","",Year3_Isle_of_Wight Year3_ReferralsAssessment)</f>
        <v>2189</v>
      </c>
      <c r="AC153" s="42">
        <f>IF(Year4_Isle_of_Wight Year4_ReferralsAssessment="","",Year4_Isle_of_Wight Year4_ReferralsAssessment)</f>
        <v>1783</v>
      </c>
      <c r="AD153" s="42">
        <f>IF(Year5_Isle_of_Wight Year5_ReferralsAssessment="","",Year5_Isle_of_Wight Year5_ReferralsAssessment)</f>
        <v>1887</v>
      </c>
      <c r="AE153" s="194"/>
      <c r="AF153" s="185"/>
      <c r="AG153" s="185"/>
      <c r="AH153" s="185"/>
      <c r="AI153" s="185"/>
      <c r="AJ153" s="199"/>
      <c r="AK153" s="156"/>
      <c r="AS153" s="89" t="s">
        <v>103</v>
      </c>
    </row>
    <row r="154" spans="1:45" s="89" customFormat="1" ht="12.75" customHeight="1" x14ac:dyDescent="0.2">
      <c r="A154" s="462">
        <f>VLOOKUP(B154,Sheet1!$AQ$4:$AR$25,2,FALSE)</f>
        <v>0</v>
      </c>
      <c r="B154" s="95" t="str">
        <f t="shared" si="46"/>
        <v>Kent</v>
      </c>
      <c r="C154" s="87"/>
      <c r="D154" s="158">
        <f t="shared" si="47"/>
        <v>0.72127775425010587</v>
      </c>
      <c r="E154" s="158">
        <f t="shared" si="48"/>
        <v>0.99302568113674883</v>
      </c>
      <c r="F154" s="158">
        <f t="shared" si="49"/>
        <v>0.99462195507750717</v>
      </c>
      <c r="G154" s="158">
        <f t="shared" si="50"/>
        <v>0.99236050172921075</v>
      </c>
      <c r="H154" s="160">
        <f t="shared" si="51"/>
        <v>0.99431165563638357</v>
      </c>
      <c r="I154" s="98"/>
      <c r="J154" s="98"/>
      <c r="K154" s="162"/>
      <c r="L154" s="162"/>
      <c r="M154" s="162"/>
      <c r="N154" s="162"/>
      <c r="O154" s="162"/>
      <c r="P154" s="162"/>
      <c r="Q154" s="162"/>
      <c r="R154" s="163"/>
      <c r="S154" s="155"/>
      <c r="T154" s="155"/>
      <c r="U154" s="162"/>
      <c r="V154" s="124"/>
      <c r="W154" s="140"/>
      <c r="X154" s="149"/>
      <c r="Y154" s="46" t="str">
        <f t="shared" si="52"/>
        <v>Kent</v>
      </c>
      <c r="Z154" s="42">
        <f>IF(Year1_Kent Year1_ReferralsAssessment="","",Year1_Kent Year1_ReferralsAssessment)</f>
        <v>11922</v>
      </c>
      <c r="AA154" s="42">
        <f>IF(Year2_Kent Year2_ReferralsAssessment="","",Year2_Kent Year2_ReferralsAssessment)</f>
        <v>15235</v>
      </c>
      <c r="AB154" s="42">
        <f>IF(Year3_Kent Year3_ReferralsAssessment="","",Year3_Kent Year3_ReferralsAssessment)</f>
        <v>15720</v>
      </c>
      <c r="AC154" s="42">
        <f>IF(Year4_Kent Year4_ReferralsAssessment="","",Year4_Kent Year4_ReferralsAssessment)</f>
        <v>19225</v>
      </c>
      <c r="AD154" s="42">
        <f>IF(Year5_Kent Year5_ReferralsAssessment="","",Year5_Kent Year5_ReferralsAssessment)</f>
        <v>18179</v>
      </c>
      <c r="AE154" s="194"/>
      <c r="AF154" s="185"/>
      <c r="AG154" s="185"/>
      <c r="AH154" s="185"/>
      <c r="AI154" s="185"/>
      <c r="AJ154" s="199"/>
      <c r="AK154" s="156"/>
    </row>
    <row r="155" spans="1:45" s="89" customFormat="1" ht="12.75" customHeight="1" x14ac:dyDescent="0.2">
      <c r="A155" s="462">
        <f>VLOOKUP(B155,Sheet1!$AQ$4:$AR$25,2,FALSE)</f>
        <v>0</v>
      </c>
      <c r="B155" s="95" t="str">
        <f t="shared" si="46"/>
        <v>Medway</v>
      </c>
      <c r="C155" s="87"/>
      <c r="D155" s="158">
        <f t="shared" si="47"/>
        <v>0.95292207792207795</v>
      </c>
      <c r="E155" s="158">
        <f t="shared" si="48"/>
        <v>0.88004750593824232</v>
      </c>
      <c r="F155" s="158">
        <f t="shared" si="49"/>
        <v>0.91617862371888725</v>
      </c>
      <c r="G155" s="158">
        <f t="shared" si="50"/>
        <v>0.92534456355283312</v>
      </c>
      <c r="H155" s="160">
        <f t="shared" si="51"/>
        <v>0.92670807453416149</v>
      </c>
      <c r="I155" s="98"/>
      <c r="J155" s="98"/>
      <c r="K155" s="162"/>
      <c r="L155" s="162"/>
      <c r="M155" s="162"/>
      <c r="N155" s="162"/>
      <c r="O155" s="162"/>
      <c r="P155" s="162"/>
      <c r="Q155" s="162"/>
      <c r="R155" s="163"/>
      <c r="S155" s="155"/>
      <c r="T155" s="155"/>
      <c r="U155" s="162"/>
      <c r="V155" s="124"/>
      <c r="W155" s="140"/>
      <c r="X155" s="149"/>
      <c r="Y155" s="46" t="str">
        <f t="shared" si="52"/>
        <v>Medway</v>
      </c>
      <c r="Z155" s="42">
        <f>IF(Year1_Medway Year1_ReferralsAssessment="","",Year1_Medway Year1_ReferralsAssessment)</f>
        <v>2935</v>
      </c>
      <c r="AA155" s="42">
        <f>IF(Year2_Medway Year2_ReferralsAssessment="","",Year2_Medway Year2_ReferralsAssessment)</f>
        <v>2964</v>
      </c>
      <c r="AB155" s="42">
        <f>IF(Year3_Medway Year3_ReferralsAssessment="","",Year3_Medway Year3_ReferralsAssessment)</f>
        <v>2503</v>
      </c>
      <c r="AC155" s="42">
        <f>IF(Year4_Medway Year4_ReferralsAssessment="","",Year4_Medway Year4_ReferralsAssessment)</f>
        <v>2417</v>
      </c>
      <c r="AD155" s="42">
        <f>IF(Year5_Medway Year5_ReferralsAssessment="","",Year5_Medway Year5_ReferralsAssessment)</f>
        <v>3730</v>
      </c>
      <c r="AE155" s="194"/>
      <c r="AF155" s="185"/>
      <c r="AG155" s="185"/>
      <c r="AH155" s="185"/>
      <c r="AI155" s="185"/>
      <c r="AJ155" s="199"/>
      <c r="AK155" s="156"/>
    </row>
    <row r="156" spans="1:45" s="89" customFormat="1" ht="12.75" customHeight="1" x14ac:dyDescent="0.2">
      <c r="A156" s="462">
        <f>VLOOKUP(B156,Sheet1!$AQ$4:$AR$25,2,FALSE)</f>
        <v>0</v>
      </c>
      <c r="B156" s="95" t="str">
        <f t="shared" si="46"/>
        <v>Milton Keynes</v>
      </c>
      <c r="C156" s="87"/>
      <c r="D156" s="158">
        <f t="shared" si="47"/>
        <v>0.79174776177500972</v>
      </c>
      <c r="E156" s="158">
        <f t="shared" si="48"/>
        <v>0.76778620440592271</v>
      </c>
      <c r="F156" s="158">
        <f t="shared" si="49"/>
        <v>0.81673694453454426</v>
      </c>
      <c r="G156" s="158">
        <f t="shared" si="50"/>
        <v>0.81644764730818142</v>
      </c>
      <c r="H156" s="160">
        <f t="shared" si="51"/>
        <v>0.83216783216783219</v>
      </c>
      <c r="I156" s="98"/>
      <c r="J156" s="98"/>
      <c r="K156" s="162"/>
      <c r="L156" s="162"/>
      <c r="M156" s="162"/>
      <c r="N156" s="162"/>
      <c r="O156" s="162"/>
      <c r="P156" s="162"/>
      <c r="Q156" s="162"/>
      <c r="R156" s="163"/>
      <c r="S156" s="155"/>
      <c r="T156" s="155"/>
      <c r="U156" s="162"/>
      <c r="V156" s="124"/>
      <c r="W156" s="140"/>
      <c r="X156" s="149"/>
      <c r="Y156" s="46" t="str">
        <f t="shared" si="52"/>
        <v>Milton Keynes</v>
      </c>
      <c r="Z156" s="42">
        <f>IF(Year1_Milton_Keynes Year1_ReferralsAssessment="","",Year1_Milton_Keynes Year1_ReferralsAssessment)</f>
        <v>2034</v>
      </c>
      <c r="AA156" s="42">
        <f>IF(Year2_Milton_Keynes Year2_ReferralsAssessment="","",Year2_Milton_Keynes Year2_ReferralsAssessment)</f>
        <v>2126</v>
      </c>
      <c r="AB156" s="42">
        <f>IF(Year3_Milton_Keynes Year3_ReferralsAssessment="","",Year3_Milton_Keynes Year3_ReferralsAssessment)</f>
        <v>2518</v>
      </c>
      <c r="AC156" s="42">
        <f>IF(Year4_Milton_Keynes Year4_ReferralsAssessment="","",Year4_Milton_Keynes Year4_ReferralsAssessment)</f>
        <v>1926</v>
      </c>
      <c r="AD156" s="42">
        <f>IF(Year5_Milton_Keynes Year5_ReferralsAssessment="","",Year5_Milton_Keynes Year5_ReferralsAssessment)</f>
        <v>2261</v>
      </c>
      <c r="AE156" s="194"/>
      <c r="AF156" s="185"/>
      <c r="AG156" s="185"/>
      <c r="AH156" s="185"/>
      <c r="AI156" s="185"/>
      <c r="AJ156" s="199"/>
      <c r="AK156" s="156"/>
    </row>
    <row r="157" spans="1:45" s="89" customFormat="1" ht="12.75" customHeight="1" x14ac:dyDescent="0.2">
      <c r="A157" s="462">
        <f>VLOOKUP(B157,Sheet1!$AQ$4:$AR$25,2,FALSE)</f>
        <v>0</v>
      </c>
      <c r="B157" s="95" t="str">
        <f t="shared" si="46"/>
        <v>Oxfordshire</v>
      </c>
      <c r="C157" s="87"/>
      <c r="D157" s="158">
        <f t="shared" si="47"/>
        <v>0.70174819000529753</v>
      </c>
      <c r="E157" s="158">
        <f t="shared" si="48"/>
        <v>0.91629629629629628</v>
      </c>
      <c r="F157" s="158">
        <f t="shared" si="49"/>
        <v>0.93362581375601472</v>
      </c>
      <c r="G157" s="158">
        <f t="shared" si="50"/>
        <v>0.79439389492221901</v>
      </c>
      <c r="H157" s="160">
        <f t="shared" si="51"/>
        <v>0.82873580174066974</v>
      </c>
      <c r="I157" s="98"/>
      <c r="J157" s="98"/>
      <c r="K157" s="162"/>
      <c r="L157" s="162"/>
      <c r="M157" s="162"/>
      <c r="N157" s="162"/>
      <c r="O157" s="162"/>
      <c r="P157" s="162"/>
      <c r="Q157" s="162"/>
      <c r="R157" s="163"/>
      <c r="S157" s="155"/>
      <c r="T157" s="155"/>
      <c r="U157" s="162"/>
      <c r="V157" s="124"/>
      <c r="W157" s="140"/>
      <c r="X157" s="149"/>
      <c r="Y157" s="46" t="str">
        <f t="shared" si="52"/>
        <v>Oxfordshire</v>
      </c>
      <c r="Z157" s="42">
        <f>IF(Year1_Oxfordshire Year1_ReferralsAssessment="","",Year1_Oxfordshire Year1_ReferralsAssessment)</f>
        <v>3974</v>
      </c>
      <c r="AA157" s="42">
        <f>IF(Year2_Oxfordshire Year2_ReferralsAssessment="","",Year2_Oxfordshire Year2_ReferralsAssessment)</f>
        <v>6185</v>
      </c>
      <c r="AB157" s="42">
        <f>IF(Year3_Oxfordshire Year3_ReferralsAssessment="","",Year3_Oxfordshire Year3_ReferralsAssessment)</f>
        <v>6597</v>
      </c>
      <c r="AC157" s="42">
        <f>IF(Year4_Oxfordshire Year4_ReferralsAssessment="","",Year4_Oxfordshire Year4_ReferralsAssessment)</f>
        <v>5413</v>
      </c>
      <c r="AD157" s="42">
        <f>IF(Year5_Oxfordshire Year5_ReferralsAssessment="","",Year5_Oxfordshire Year5_ReferralsAssessment)</f>
        <v>5618</v>
      </c>
      <c r="AE157" s="194"/>
      <c r="AF157" s="185"/>
      <c r="AG157" s="185"/>
      <c r="AH157" s="185"/>
      <c r="AI157" s="185"/>
      <c r="AJ157" s="199"/>
      <c r="AK157" s="156"/>
    </row>
    <row r="158" spans="1:45" s="89" customFormat="1" ht="12.75" customHeight="1" x14ac:dyDescent="0.2">
      <c r="A158" s="462">
        <f>VLOOKUP(B158,Sheet1!$AQ$4:$AR$25,2,FALSE)</f>
        <v>0</v>
      </c>
      <c r="B158" s="95" t="str">
        <f t="shared" si="46"/>
        <v>Portsmouth</v>
      </c>
      <c r="C158" s="87"/>
      <c r="D158" s="158">
        <f t="shared" si="47"/>
        <v>0.95731389901093178</v>
      </c>
      <c r="E158" s="158">
        <f t="shared" si="48"/>
        <v>0.97515527950310554</v>
      </c>
      <c r="F158" s="158">
        <f t="shared" si="49"/>
        <v>0.9545637314032972</v>
      </c>
      <c r="G158" s="158">
        <f t="shared" si="50"/>
        <v>0.98137082601054482</v>
      </c>
      <c r="H158" s="160">
        <f t="shared" si="51"/>
        <v>0.9743319268635724</v>
      </c>
      <c r="I158" s="98"/>
      <c r="J158" s="98"/>
      <c r="K158" s="162"/>
      <c r="L158" s="162"/>
      <c r="M158" s="162"/>
      <c r="N158" s="162"/>
      <c r="O158" s="162"/>
      <c r="P158" s="162"/>
      <c r="Q158" s="162"/>
      <c r="R158" s="163"/>
      <c r="S158" s="155"/>
      <c r="T158" s="155"/>
      <c r="U158" s="162"/>
      <c r="V158" s="124"/>
      <c r="W158" s="140"/>
      <c r="X158" s="149"/>
      <c r="Y158" s="46" t="str">
        <f t="shared" si="52"/>
        <v>Portsmouth</v>
      </c>
      <c r="Z158" s="42">
        <f>IF(Year1_Portsmouth Year1_ReferralsAssessment="","",Year1_Portsmouth Year1_ReferralsAssessment)</f>
        <v>1839</v>
      </c>
      <c r="AA158" s="42">
        <f>IF(Year2_Portsmouth Year2_ReferralsAssessment="","",Year2_Portsmouth Year2_ReferralsAssessment)</f>
        <v>2041</v>
      </c>
      <c r="AB158" s="42">
        <f>IF(Year3_Portsmouth Year3_ReferralsAssessment="","",Year3_Portsmouth Year3_ReferralsAssessment)</f>
        <v>2374</v>
      </c>
      <c r="AC158" s="42">
        <f>IF(Year4_Portsmouth Year4_ReferralsAssessment="","",Year4_Portsmouth Year4_ReferralsAssessment)</f>
        <v>2792</v>
      </c>
      <c r="AD158" s="42">
        <f>IF(Year5_Portsmouth Year5_ReferralsAssessment="","",Year5_Portsmouth Year5_ReferralsAssessment)</f>
        <v>2771</v>
      </c>
      <c r="AE158" s="194"/>
      <c r="AF158" s="185"/>
      <c r="AG158" s="185"/>
      <c r="AH158" s="185"/>
      <c r="AI158" s="185"/>
      <c r="AJ158" s="199"/>
      <c r="AK158" s="156"/>
    </row>
    <row r="159" spans="1:45" s="89" customFormat="1" ht="12.75" customHeight="1" x14ac:dyDescent="0.2">
      <c r="A159" s="462">
        <f>VLOOKUP(B159,Sheet1!$AQ$4:$AR$25,2,FALSE)</f>
        <v>0</v>
      </c>
      <c r="B159" s="95" t="str">
        <f t="shared" si="46"/>
        <v>Reading</v>
      </c>
      <c r="C159" s="87"/>
      <c r="D159" s="158">
        <f t="shared" si="47"/>
        <v>0.79438135086670647</v>
      </c>
      <c r="E159" s="158">
        <f t="shared" si="48"/>
        <v>0.89993502274204029</v>
      </c>
      <c r="F159" s="158">
        <f t="shared" si="49"/>
        <v>0.95102540557086013</v>
      </c>
      <c r="G159" s="158">
        <f t="shared" si="50"/>
        <v>0.98820395738203959</v>
      </c>
      <c r="H159" s="160">
        <f t="shared" si="51"/>
        <v>0.98612632347572104</v>
      </c>
      <c r="I159" s="98"/>
      <c r="J159" s="98"/>
      <c r="K159" s="162"/>
      <c r="L159" s="162"/>
      <c r="M159" s="162"/>
      <c r="N159" s="162"/>
      <c r="O159" s="162"/>
      <c r="P159" s="162"/>
      <c r="Q159" s="162"/>
      <c r="R159" s="163"/>
      <c r="S159" s="155"/>
      <c r="T159" s="155"/>
      <c r="U159" s="162"/>
      <c r="V159" s="124"/>
      <c r="W159" s="140"/>
      <c r="X159" s="149"/>
      <c r="Y159" s="46" t="str">
        <f t="shared" si="52"/>
        <v>Reading</v>
      </c>
      <c r="Z159" s="42">
        <f>IF(Year1_Reading Year1_ReferralsAssessment="","",Year1_Reading Year1_ReferralsAssessment)</f>
        <v>1329</v>
      </c>
      <c r="AA159" s="42">
        <f>IF(Year2_Reading Year2_ReferralsAssessment="","",Year2_Reading Year2_ReferralsAssessment)</f>
        <v>2770</v>
      </c>
      <c r="AB159" s="42">
        <f>IF(Year3_Reading Year3_ReferralsAssessment="","",Year3_Reading Year3_ReferralsAssessment)</f>
        <v>3107</v>
      </c>
      <c r="AC159" s="42">
        <f>IF(Year4_Reading Year4_ReferralsAssessment="","",Year4_Reading Year4_ReferralsAssessment)</f>
        <v>2597</v>
      </c>
      <c r="AD159" s="42">
        <f>IF(Year5_Reading Year5_ReferralsAssessment="","",Year5_Reading Year5_ReferralsAssessment)</f>
        <v>2701</v>
      </c>
      <c r="AE159" s="194"/>
      <c r="AF159" s="185"/>
      <c r="AG159" s="185"/>
      <c r="AH159" s="185"/>
      <c r="AI159" s="185"/>
      <c r="AJ159" s="199"/>
      <c r="AK159" s="156"/>
    </row>
    <row r="160" spans="1:45" s="89" customFormat="1" ht="12.75" customHeight="1" x14ac:dyDescent="0.2">
      <c r="A160" s="462">
        <f>VLOOKUP(B160,Sheet1!$AQ$4:$AR$25,2,FALSE)</f>
        <v>0</v>
      </c>
      <c r="B160" s="95" t="str">
        <f t="shared" si="46"/>
        <v>Slough</v>
      </c>
      <c r="C160" s="87"/>
      <c r="D160" s="158">
        <f t="shared" si="47"/>
        <v>0.97896581945661698</v>
      </c>
      <c r="E160" s="158">
        <f t="shared" si="48"/>
        <v>0.9895457822638789</v>
      </c>
      <c r="F160" s="158">
        <f t="shared" si="49"/>
        <v>0.39170182841068918</v>
      </c>
      <c r="G160" s="158">
        <f t="shared" si="50"/>
        <v>0.99245757385292266</v>
      </c>
      <c r="H160" s="160">
        <f t="shared" si="51"/>
        <v>0.95516372795969773</v>
      </c>
      <c r="I160" s="98"/>
      <c r="J160" s="98"/>
      <c r="K160" s="162"/>
      <c r="L160" s="162"/>
      <c r="M160" s="162"/>
      <c r="N160" s="162"/>
      <c r="O160" s="162"/>
      <c r="P160" s="162"/>
      <c r="Q160" s="162"/>
      <c r="R160" s="163"/>
      <c r="S160" s="155"/>
      <c r="T160" s="155"/>
      <c r="U160" s="162"/>
      <c r="V160" s="124"/>
      <c r="W160" s="140"/>
      <c r="X160" s="149"/>
      <c r="Y160" s="46" t="str">
        <f t="shared" si="52"/>
        <v>Slough</v>
      </c>
      <c r="Z160" s="42">
        <f>IF(Year1_Slough Year1_ReferralsAssessment="","",Year1_Slough Year1_ReferralsAssessment)</f>
        <v>2234</v>
      </c>
      <c r="AA160" s="42">
        <f>IF(Year2_Slough Year2_ReferralsAssessment="","",Year2_Slough Year2_ReferralsAssessment)</f>
        <v>2745</v>
      </c>
      <c r="AB160" s="42">
        <f>IF(Year3_Slough Year3_ReferralsAssessment="","",Year3_Slough Year3_ReferralsAssessment)</f>
        <v>2228</v>
      </c>
      <c r="AC160" s="42">
        <f>IF(Year4_Slough Year4_ReferralsAssessment="","",Year4_Slough Year4_ReferralsAssessment)</f>
        <v>1579</v>
      </c>
      <c r="AD160" s="42">
        <f>IF(Year5_Slough Year5_ReferralsAssessment="","",Year5_Slough Year5_ReferralsAssessment)</f>
        <v>1896</v>
      </c>
      <c r="AE160" s="194"/>
      <c r="AF160" s="185"/>
      <c r="AG160" s="185"/>
      <c r="AH160" s="185"/>
      <c r="AI160" s="185"/>
      <c r="AJ160" s="199"/>
      <c r="AK160" s="156"/>
    </row>
    <row r="161" spans="1:44" s="89" customFormat="1" ht="12.75" customHeight="1" x14ac:dyDescent="0.2">
      <c r="A161" s="462">
        <f>VLOOKUP(B161,Sheet1!$AQ$4:$AR$25,2,FALSE)</f>
        <v>0</v>
      </c>
      <c r="B161" s="95" t="str">
        <f t="shared" si="46"/>
        <v>Somerset</v>
      </c>
      <c r="C161" s="87"/>
      <c r="D161" s="158">
        <f t="shared" si="47"/>
        <v>0.98676444285458775</v>
      </c>
      <c r="E161" s="158">
        <f t="shared" si="48"/>
        <v>0.99395112509073313</v>
      </c>
      <c r="F161" s="158">
        <f t="shared" si="49"/>
        <v>0.99267322587397944</v>
      </c>
      <c r="G161" s="158">
        <f t="shared" si="50"/>
        <v>0.97715392061955475</v>
      </c>
      <c r="H161" s="160">
        <f t="shared" si="51"/>
        <v>0.94908616187989558</v>
      </c>
      <c r="I161" s="98"/>
      <c r="J161" s="98"/>
      <c r="K161" s="162"/>
      <c r="L161" s="162"/>
      <c r="M161" s="162"/>
      <c r="N161" s="162"/>
      <c r="O161" s="162"/>
      <c r="P161" s="162"/>
      <c r="Q161" s="162"/>
      <c r="R161" s="163"/>
      <c r="S161" s="155"/>
      <c r="T161" s="155"/>
      <c r="U161" s="162"/>
      <c r="V161" s="124"/>
      <c r="W161" s="140"/>
      <c r="X161" s="149"/>
      <c r="Y161" s="46" t="str">
        <f t="shared" si="52"/>
        <v>Somerset</v>
      </c>
      <c r="Z161" s="42">
        <f>IF(Year1_Somerset Year1_ReferralsAssessment="","",Year1_Somerset Year1_ReferralsAssessment)</f>
        <v>5517</v>
      </c>
      <c r="AA161" s="42">
        <f>IF(Year2_Somerset Year2_ReferralsAssessment="","",Year2_Somerset Year2_ReferralsAssessment)</f>
        <v>4108</v>
      </c>
      <c r="AB161" s="42">
        <f>IF(Year3_Somerset Year3_ReferralsAssessment="","",Year3_Somerset Year3_ReferralsAssessment)</f>
        <v>4742</v>
      </c>
      <c r="AC161" s="42">
        <f>IF(Year4_Somerset Year4_ReferralsAssessment="","",Year4_Somerset Year4_ReferralsAssessment)</f>
        <v>5047</v>
      </c>
      <c r="AD161" s="42">
        <f>IF(Year5_Somerset Year5_ReferralsAssessment="","",Year5_Somerset Year5_ReferralsAssessment)</f>
        <v>3635</v>
      </c>
      <c r="AE161" s="194"/>
      <c r="AF161" s="185"/>
      <c r="AG161" s="185"/>
      <c r="AH161" s="185"/>
      <c r="AI161" s="185"/>
      <c r="AJ161" s="199"/>
      <c r="AK161" s="156"/>
    </row>
    <row r="162" spans="1:44" s="89" customFormat="1" ht="12.75" customHeight="1" x14ac:dyDescent="0.2">
      <c r="A162" s="462">
        <f>VLOOKUP(B162,Sheet1!$AQ$4:$AR$25,2,FALSE)</f>
        <v>0</v>
      </c>
      <c r="B162" s="95" t="str">
        <f t="shared" si="46"/>
        <v>Southampton</v>
      </c>
      <c r="C162" s="87"/>
      <c r="D162" s="158">
        <f t="shared" si="47"/>
        <v>0.88044326517871074</v>
      </c>
      <c r="E162" s="158">
        <f t="shared" si="48"/>
        <v>1</v>
      </c>
      <c r="F162" s="158">
        <f t="shared" si="49"/>
        <v>0.99737187910643887</v>
      </c>
      <c r="G162" s="158">
        <f t="shared" si="50"/>
        <v>0.99540757749712971</v>
      </c>
      <c r="H162" s="160">
        <f t="shared" si="51"/>
        <v>0.87336412625096227</v>
      </c>
      <c r="I162" s="98"/>
      <c r="J162" s="98"/>
      <c r="K162" s="162"/>
      <c r="L162" s="162"/>
      <c r="M162" s="162"/>
      <c r="N162" s="162"/>
      <c r="O162" s="162"/>
      <c r="P162" s="162"/>
      <c r="Q162" s="162"/>
      <c r="R162" s="163"/>
      <c r="S162" s="155"/>
      <c r="T162" s="155"/>
      <c r="U162" s="162"/>
      <c r="V162" s="124"/>
      <c r="W162" s="140"/>
      <c r="X162" s="149"/>
      <c r="Y162" s="46" t="str">
        <f t="shared" si="52"/>
        <v>Southampton</v>
      </c>
      <c r="Z162" s="42">
        <f>IF(Year1_Southampton Year1_ReferralsAssessment="","",Year1_Southampton Year1_ReferralsAssessment)</f>
        <v>5641</v>
      </c>
      <c r="AA162" s="42">
        <f>IF(Year2_Southampton Year2_ReferralsAssessment="","",Year2_Southampton Year2_ReferralsAssessment)</f>
        <v>4116</v>
      </c>
      <c r="AB162" s="42">
        <f>IF(Year3_Southampton Year3_ReferralsAssessment="","",Year3_Southampton Year3_ReferralsAssessment)</f>
        <v>3036</v>
      </c>
      <c r="AC162" s="42">
        <f>IF(Year4_Southampton Year4_ReferralsAssessment="","",Year4_Southampton Year4_ReferralsAssessment)</f>
        <v>2601</v>
      </c>
      <c r="AD162" s="42">
        <f>IF(Year5_Southampton Year5_ReferralsAssessment="","",Year5_Southampton Year5_ReferralsAssessment)</f>
        <v>2269</v>
      </c>
      <c r="AE162" s="194"/>
      <c r="AF162" s="185"/>
      <c r="AG162" s="185"/>
      <c r="AH162" s="185"/>
      <c r="AI162" s="185"/>
      <c r="AJ162" s="199"/>
      <c r="AK162" s="156"/>
    </row>
    <row r="163" spans="1:44" s="89" customFormat="1" ht="12.75" customHeight="1" x14ac:dyDescent="0.2">
      <c r="A163" s="462">
        <f>VLOOKUP(B163,Sheet1!$AQ$4:$AR$25,2,FALSE)</f>
        <v>0</v>
      </c>
      <c r="B163" s="95" t="str">
        <f t="shared" si="46"/>
        <v>Surrey</v>
      </c>
      <c r="C163" s="87"/>
      <c r="D163" s="158">
        <f t="shared" si="47"/>
        <v>0.96783244814109626</v>
      </c>
      <c r="E163" s="158">
        <f t="shared" si="48"/>
        <v>0.9845343303874915</v>
      </c>
      <c r="F163" s="158">
        <f t="shared" si="49"/>
        <v>0.99075263293090166</v>
      </c>
      <c r="G163" s="158">
        <f t="shared" si="50"/>
        <v>0.99288125642154701</v>
      </c>
      <c r="H163" s="160">
        <f t="shared" si="51"/>
        <v>0.98627174424071462</v>
      </c>
      <c r="I163" s="98"/>
      <c r="J163" s="98"/>
      <c r="K163" s="162"/>
      <c r="L163" s="162"/>
      <c r="M163" s="162"/>
      <c r="N163" s="162"/>
      <c r="O163" s="162"/>
      <c r="P163" s="162"/>
      <c r="Q163" s="162"/>
      <c r="R163" s="163"/>
      <c r="S163" s="155"/>
      <c r="T163" s="155"/>
      <c r="U163" s="162"/>
      <c r="V163" s="124"/>
      <c r="W163" s="140"/>
      <c r="X163" s="149"/>
      <c r="Y163" s="46" t="str">
        <f t="shared" si="52"/>
        <v>Surrey</v>
      </c>
      <c r="Z163" s="42">
        <f>IF(Year1_Surrey Year1_ReferralsAssessment="","",Year1_Surrey Year1_ReferralsAssessment)</f>
        <v>9658</v>
      </c>
      <c r="AA163" s="42">
        <f>IF(Year2_Surrey Year2_ReferralsAssessment="","",Year2_Surrey Year2_ReferralsAssessment)</f>
        <v>11586</v>
      </c>
      <c r="AB163" s="42">
        <f>IF(Year3_Surrey Year3_ReferralsAssessment="","",Year3_Surrey Year3_ReferralsAssessment)</f>
        <v>11571</v>
      </c>
      <c r="AC163" s="42">
        <f>IF(Year4_Surrey Year4_ReferralsAssessment="","",Year4_Surrey Year4_ReferralsAssessment)</f>
        <v>13529</v>
      </c>
      <c r="AD163" s="42">
        <f>IF(Year5_Surrey Year5_ReferralsAssessment="","",Year5_Surrey Year5_ReferralsAssessment)</f>
        <v>10489</v>
      </c>
      <c r="AE163" s="194"/>
      <c r="AF163" s="185"/>
      <c r="AG163" s="185"/>
      <c r="AH163" s="185"/>
      <c r="AI163" s="185"/>
      <c r="AJ163" s="199"/>
      <c r="AK163" s="156"/>
    </row>
    <row r="164" spans="1:44" s="89" customFormat="1" ht="12.75" customHeight="1" x14ac:dyDescent="0.2">
      <c r="A164" s="462">
        <f>VLOOKUP(B164,Sheet1!$AQ$4:$AR$25,2,FALSE)</f>
        <v>0</v>
      </c>
      <c r="B164" s="95" t="str">
        <f t="shared" si="46"/>
        <v>Swindon</v>
      </c>
      <c r="C164" s="87"/>
      <c r="D164" s="158">
        <f t="shared" si="47"/>
        <v>0.95245283018867921</v>
      </c>
      <c r="E164" s="158">
        <f t="shared" si="48"/>
        <v>0.87900146842878124</v>
      </c>
      <c r="F164" s="158">
        <f t="shared" si="49"/>
        <v>0.96722939424031773</v>
      </c>
      <c r="G164" s="158">
        <f t="shared" si="50"/>
        <v>0.92390405293631095</v>
      </c>
      <c r="H164" s="160">
        <f t="shared" si="51"/>
        <v>0.93522516964836522</v>
      </c>
      <c r="I164" s="98"/>
      <c r="J164" s="98"/>
      <c r="K164" s="162"/>
      <c r="L164" s="162"/>
      <c r="M164" s="162"/>
      <c r="N164" s="162"/>
      <c r="O164" s="162"/>
      <c r="P164" s="162"/>
      <c r="Q164" s="162"/>
      <c r="R164" s="163"/>
      <c r="S164" s="155"/>
      <c r="T164" s="155"/>
      <c r="U164" s="162"/>
      <c r="V164" s="124"/>
      <c r="W164" s="140"/>
      <c r="X164" s="149"/>
      <c r="Y164" s="46" t="str">
        <f t="shared" si="52"/>
        <v>Swindon</v>
      </c>
      <c r="Z164" s="42">
        <f>IF(Year1_Swindon Year1_ReferralsAssessment="","",Year1_Swindon Year1_ReferralsAssessment)</f>
        <v>2524</v>
      </c>
      <c r="AA164" s="42">
        <f>IF(Year2_Swindon Year2_ReferralsAssessment="","",Year2_Swindon Year2_ReferralsAssessment)</f>
        <v>2993</v>
      </c>
      <c r="AB164" s="42">
        <f>IF(Year3_Swindon Year3_ReferralsAssessment="","",Year3_Swindon Year3_ReferralsAssessment)</f>
        <v>2922</v>
      </c>
      <c r="AC164" s="42">
        <f>IF(Year4_Swindon Year4_ReferralsAssessment="","",Year4_Swindon Year4_ReferralsAssessment)</f>
        <v>3351</v>
      </c>
      <c r="AD164" s="42">
        <f>IF(Year5_Swindon Year5_ReferralsAssessment="","",Year5_Swindon Year5_ReferralsAssessment)</f>
        <v>3032</v>
      </c>
      <c r="AE164" s="194"/>
      <c r="AF164" s="185"/>
      <c r="AG164" s="185"/>
      <c r="AH164" s="185"/>
      <c r="AI164" s="185"/>
      <c r="AJ164" s="199"/>
      <c r="AK164" s="156"/>
    </row>
    <row r="165" spans="1:44" s="89" customFormat="1" ht="12.75" customHeight="1" x14ac:dyDescent="0.2">
      <c r="A165" s="462">
        <f>VLOOKUP(B165,Sheet1!$AQ$4:$AR$25,2,FALSE)</f>
        <v>0</v>
      </c>
      <c r="B165" s="95" t="str">
        <f t="shared" si="46"/>
        <v>Torbay</v>
      </c>
      <c r="C165" s="87"/>
      <c r="D165" s="158">
        <f t="shared" si="47"/>
        <v>0.66776007497656986</v>
      </c>
      <c r="E165" s="158">
        <f t="shared" si="48"/>
        <v>0.85412474849094566</v>
      </c>
      <c r="F165" s="158">
        <f t="shared" si="49"/>
        <v>0.85767326732673266</v>
      </c>
      <c r="G165" s="158">
        <f t="shared" si="50"/>
        <v>0.87922437673130194</v>
      </c>
      <c r="H165" s="160">
        <f t="shared" si="51"/>
        <v>0.87146092865232161</v>
      </c>
      <c r="I165" s="98"/>
      <c r="J165" s="98"/>
      <c r="K165" s="162"/>
      <c r="L165" s="162"/>
      <c r="M165" s="162"/>
      <c r="N165" s="162"/>
      <c r="O165" s="162"/>
      <c r="P165" s="162"/>
      <c r="Q165" s="162"/>
      <c r="R165" s="163"/>
      <c r="S165" s="155"/>
      <c r="T165" s="155"/>
      <c r="U165" s="162"/>
      <c r="V165" s="124"/>
      <c r="W165" s="140"/>
      <c r="X165" s="149"/>
      <c r="Y165" s="46" t="str">
        <f t="shared" si="52"/>
        <v>Torbay</v>
      </c>
      <c r="Z165" s="42">
        <f>IF(Year1_Torbay Year1_ReferralsAssessment="","",Year1_Torbay Year1_ReferralsAssessment)</f>
        <v>1425</v>
      </c>
      <c r="AA165" s="42">
        <f>IF(Year2_Torbay Year2_ReferralsAssessment="","",Year2_Torbay Year2_ReferralsAssessment)</f>
        <v>1698</v>
      </c>
      <c r="AB165" s="42">
        <f>IF(Year3_Torbay Year3_ReferralsAssessment="","",Year3_Torbay Year3_ReferralsAssessment)</f>
        <v>1386</v>
      </c>
      <c r="AC165" s="42">
        <f>IF(Year4_Torbay Year4_ReferralsAssessment="","",Year4_Torbay Year4_ReferralsAssessment)</f>
        <v>1587</v>
      </c>
      <c r="AD165" s="42">
        <f>IF(Year5_Torbay Year5_ReferralsAssessment="","",Year5_Torbay Year5_ReferralsAssessment)</f>
        <v>1539</v>
      </c>
      <c r="AE165" s="194"/>
      <c r="AF165" s="185"/>
      <c r="AG165" s="185"/>
      <c r="AH165" s="185"/>
      <c r="AI165" s="185"/>
      <c r="AJ165" s="199"/>
      <c r="AK165" s="156"/>
    </row>
    <row r="166" spans="1:44" s="89" customFormat="1" ht="12.75" customHeight="1" x14ac:dyDescent="0.2">
      <c r="A166" s="462">
        <f>VLOOKUP(B166,Sheet1!$AQ$4:$AR$25,2,FALSE)</f>
        <v>0</v>
      </c>
      <c r="B166" s="95" t="str">
        <f t="shared" si="46"/>
        <v>West Berkshire</v>
      </c>
      <c r="C166" s="87"/>
      <c r="D166" s="158">
        <f t="shared" si="47"/>
        <v>1</v>
      </c>
      <c r="E166" s="158">
        <f t="shared" si="48"/>
        <v>1</v>
      </c>
      <c r="F166" s="158">
        <f t="shared" si="49"/>
        <v>1</v>
      </c>
      <c r="G166" s="158">
        <f t="shared" si="50"/>
        <v>1</v>
      </c>
      <c r="H166" s="160">
        <f t="shared" si="51"/>
        <v>1</v>
      </c>
      <c r="I166" s="98"/>
      <c r="J166" s="98"/>
      <c r="K166" s="162"/>
      <c r="L166" s="162"/>
      <c r="M166" s="162"/>
      <c r="N166" s="162"/>
      <c r="O166" s="162"/>
      <c r="P166" s="162"/>
      <c r="Q166" s="162"/>
      <c r="R166" s="163"/>
      <c r="S166" s="155"/>
      <c r="T166" s="155"/>
      <c r="U166" s="162"/>
      <c r="V166" s="124"/>
      <c r="W166" s="140"/>
      <c r="X166" s="149"/>
      <c r="Y166" s="46" t="str">
        <f t="shared" si="52"/>
        <v>West Berkshire</v>
      </c>
      <c r="Z166" s="42">
        <f>IF(Year1_West_Berkshire Year1_ReferralsAssessment="","",Year1_West_Berkshire Year1_ReferralsAssessment)</f>
        <v>1259</v>
      </c>
      <c r="AA166" s="42">
        <f>IF(Year2_West_Berkshire Year2_ReferralsAssessment="","",Year2_West_Berkshire Year2_ReferralsAssessment)</f>
        <v>1365</v>
      </c>
      <c r="AB166" s="42">
        <f>IF(Year3_West_Berkshire Year3_ReferralsAssessment="","",Year3_West_Berkshire Year3_ReferralsAssessment)</f>
        <v>1652</v>
      </c>
      <c r="AC166" s="42">
        <f>IF(Year4_West_Berkshire Year4_ReferralsAssessment="","",Year4_West_Berkshire Year4_ReferralsAssessment)</f>
        <v>1512</v>
      </c>
      <c r="AD166" s="42">
        <f>IF(Year5_West_Berkshire Year5_ReferralsAssessment="","",Year5_West_Berkshire Year5_ReferralsAssessment)</f>
        <v>1686</v>
      </c>
      <c r="AE166" s="194"/>
      <c r="AF166" s="199"/>
      <c r="AG166" s="185"/>
      <c r="AH166" s="185"/>
      <c r="AI166" s="185"/>
      <c r="AJ166" s="199"/>
      <c r="AK166" s="156"/>
    </row>
    <row r="167" spans="1:44" s="89" customFormat="1" ht="12.75" customHeight="1" x14ac:dyDescent="0.2">
      <c r="A167" s="462">
        <f>VLOOKUP(B167,Sheet1!$AQ$4:$AR$25,2,FALSE)</f>
        <v>0</v>
      </c>
      <c r="B167" s="95" t="str">
        <f t="shared" si="46"/>
        <v>West Sussex</v>
      </c>
      <c r="C167" s="87"/>
      <c r="D167" s="158">
        <f t="shared" si="47"/>
        <v>0.90530576839670374</v>
      </c>
      <c r="E167" s="158">
        <f t="shared" si="48"/>
        <v>0.87786915428992263</v>
      </c>
      <c r="F167" s="158">
        <f t="shared" si="49"/>
        <v>0.87106738359455438</v>
      </c>
      <c r="G167" s="158">
        <f t="shared" si="50"/>
        <v>1</v>
      </c>
      <c r="H167" s="160">
        <f t="shared" si="51"/>
        <v>1</v>
      </c>
      <c r="I167" s="98"/>
      <c r="J167" s="98"/>
      <c r="K167" s="162"/>
      <c r="L167" s="162"/>
      <c r="M167" s="162"/>
      <c r="N167" s="162"/>
      <c r="O167" s="162"/>
      <c r="P167" s="162"/>
      <c r="Q167" s="162"/>
      <c r="R167" s="163"/>
      <c r="S167" s="155"/>
      <c r="T167" s="155"/>
      <c r="U167" s="162"/>
      <c r="V167" s="124"/>
      <c r="W167" s="140"/>
      <c r="X167" s="149"/>
      <c r="Y167" s="46" t="str">
        <f t="shared" si="52"/>
        <v>West Sussex</v>
      </c>
      <c r="Z167" s="42">
        <f>IF(Year1_West_Sussex Year1_ReferralsAssessment="","",Year1_West_Sussex Year1_ReferralsAssessment)</f>
        <v>6262</v>
      </c>
      <c r="AA167" s="42">
        <f>IF(Year2_West_Sussex Year2_ReferralsAssessment="","",Year2_West_Sussex Year2_ReferralsAssessment)</f>
        <v>7152</v>
      </c>
      <c r="AB167" s="42">
        <f>IF(Year3_West_Sussex Year3_ReferralsAssessment="","",Year3_West_Sussex Year3_ReferralsAssessment)</f>
        <v>7614</v>
      </c>
      <c r="AC167" s="42">
        <f>IF(Year4_West_Sussex Year4_ReferralsAssessment="","",Year4_West_Sussex Year4_ReferralsAssessment)</f>
        <v>9995</v>
      </c>
      <c r="AD167" s="42">
        <f>IF(Year5_West_Sussex Year5_ReferralsAssessment="","",Year5_West_Sussex Year5_ReferralsAssessment)</f>
        <v>9490</v>
      </c>
      <c r="AE167" s="194"/>
      <c r="AF167" s="199"/>
      <c r="AG167" s="185"/>
      <c r="AH167" s="185"/>
      <c r="AI167" s="185"/>
      <c r="AJ167" s="199"/>
      <c r="AK167" s="156"/>
    </row>
    <row r="168" spans="1:44" s="89" customFormat="1" ht="12.75" customHeight="1" x14ac:dyDescent="0.2">
      <c r="A168" s="462">
        <f>VLOOKUP(B168,Sheet1!$AQ$4:$AR$25,2,FALSE)</f>
        <v>0</v>
      </c>
      <c r="B168" s="95" t="str">
        <f t="shared" si="46"/>
        <v>Windsor &amp; Maidenhead</v>
      </c>
      <c r="C168" s="87"/>
      <c r="D168" s="158">
        <f t="shared" si="47"/>
        <v>0.94179389312977102</v>
      </c>
      <c r="E168" s="158">
        <f t="shared" si="48"/>
        <v>0.81434977578475332</v>
      </c>
      <c r="F168" s="158">
        <f t="shared" si="49"/>
        <v>0.88306451612903225</v>
      </c>
      <c r="G168" s="158">
        <f t="shared" si="50"/>
        <v>0.85768143261074459</v>
      </c>
      <c r="H168" s="160">
        <f t="shared" si="51"/>
        <v>0.945374449339207</v>
      </c>
      <c r="I168" s="98"/>
      <c r="J168" s="98"/>
      <c r="K168" s="162"/>
      <c r="L168" s="162"/>
      <c r="M168" s="162"/>
      <c r="N168" s="162"/>
      <c r="O168" s="162"/>
      <c r="P168" s="162"/>
      <c r="Q168" s="162"/>
      <c r="R168" s="163"/>
      <c r="S168" s="155"/>
      <c r="T168" s="155"/>
      <c r="U168" s="162"/>
      <c r="V168" s="124"/>
      <c r="W168" s="140"/>
      <c r="X168" s="149"/>
      <c r="Y168" s="46" t="str">
        <f t="shared" si="52"/>
        <v>Windsor &amp; Maidenhead</v>
      </c>
      <c r="Z168" s="42">
        <f>IF(Year1_Windsor_Maidenhead Year1_ReferralsAssessment="","",Year1_Windsor_Maidenhead Year1_ReferralsAssessment)</f>
        <v>987</v>
      </c>
      <c r="AA168" s="42">
        <f>IF(Year2_Windsor_Maidenhead Year2_ReferralsAssessment="","",Year2_Windsor_Maidenhead Year2_ReferralsAssessment)</f>
        <v>908</v>
      </c>
      <c r="AB168" s="42">
        <f>IF(Year3_Windsor_Maidenhead Year3_ReferralsAssessment="","",Year3_Windsor_Maidenhead Year3_ReferralsAssessment)</f>
        <v>876</v>
      </c>
      <c r="AC168" s="42">
        <f>IF(Year4_Windsor_Maidenhead Year4_ReferralsAssessment="","",Year4_Windsor_Maidenhead Year4_ReferralsAssessment)</f>
        <v>910</v>
      </c>
      <c r="AD168" s="42">
        <f>IF(Year5_Windsor_Maidenhead Year5_ReferralsAssessment="","",Year5_Windsor_Maidenhead Year5_ReferralsAssessment)</f>
        <v>1073</v>
      </c>
      <c r="AE168" s="194"/>
      <c r="AF168" s="199"/>
      <c r="AG168" s="199"/>
      <c r="AH168" s="199"/>
      <c r="AI168" s="185"/>
      <c r="AJ168" s="199"/>
      <c r="AK168" s="156"/>
    </row>
    <row r="169" spans="1:44" s="89" customFormat="1" ht="12.75" customHeight="1" x14ac:dyDescent="0.2">
      <c r="A169" s="462">
        <f>VLOOKUP(B169,Sheet1!$AQ$4:$AR$25,2,FALSE)</f>
        <v>0</v>
      </c>
      <c r="B169" s="95" t="str">
        <f t="shared" si="46"/>
        <v>Wokingham</v>
      </c>
      <c r="C169" s="87"/>
      <c r="D169" s="158">
        <f t="shared" si="47"/>
        <v>0.99494949494949492</v>
      </c>
      <c r="E169" s="158">
        <f t="shared" si="48"/>
        <v>1</v>
      </c>
      <c r="F169" s="158">
        <f t="shared" si="49"/>
        <v>0.99228224917309815</v>
      </c>
      <c r="G169" s="158">
        <f t="shared" si="50"/>
        <v>0.96425966447848288</v>
      </c>
      <c r="H169" s="160">
        <f t="shared" si="51"/>
        <v>0.98768328445747799</v>
      </c>
      <c r="I169" s="98"/>
      <c r="J169" s="98"/>
      <c r="K169" s="162"/>
      <c r="L169" s="162"/>
      <c r="M169" s="162"/>
      <c r="N169" s="162"/>
      <c r="O169" s="162"/>
      <c r="P169" s="162"/>
      <c r="Q169" s="162"/>
      <c r="R169" s="163"/>
      <c r="S169" s="155"/>
      <c r="T169" s="155"/>
      <c r="U169" s="162"/>
      <c r="V169" s="124"/>
      <c r="W169" s="140"/>
      <c r="X169" s="149"/>
      <c r="Y169" s="46" t="str">
        <f t="shared" si="52"/>
        <v>Wokingham</v>
      </c>
      <c r="Z169" s="42">
        <f>IF(Year1_Wokingham Year1_ReferralsAssessment="","",Year1_Wokingham Year1_ReferralsAssessment)</f>
        <v>985</v>
      </c>
      <c r="AA169" s="42">
        <f>IF(Year2_Wokingham Year2_ReferralsAssessment="","",Year2_Wokingham Year2_ReferralsAssessment)</f>
        <v>1131</v>
      </c>
      <c r="AB169" s="42">
        <f>IF(Year3_Wokingham Year3_ReferralsAssessment="","",Year3_Wokingham Year3_ReferralsAssessment)</f>
        <v>900</v>
      </c>
      <c r="AC169" s="42">
        <f>IF(Year4_Wokingham Year4_ReferralsAssessment="","",Year4_Wokingham Year4_ReferralsAssessment)</f>
        <v>1322</v>
      </c>
      <c r="AD169" s="42">
        <f>IF(Year5_Wokingham Year5_ReferralsAssessment="","",Year5_Wokingham Year5_ReferralsAssessment)</f>
        <v>1684</v>
      </c>
      <c r="AE169" s="194"/>
      <c r="AF169" s="199"/>
      <c r="AG169" s="199"/>
      <c r="AH169" s="199"/>
      <c r="AI169" s="185"/>
      <c r="AJ169" s="199"/>
      <c r="AK169" s="156"/>
    </row>
    <row r="170" spans="1:44" s="89" customFormat="1" ht="12.75" customHeight="1" x14ac:dyDescent="0.2">
      <c r="A170" s="123"/>
      <c r="B170" s="131" t="str">
        <f t="shared" si="46"/>
        <v>South East</v>
      </c>
      <c r="C170" s="87"/>
      <c r="D170" s="159">
        <f t="shared" si="47"/>
        <v>0.84004127966976261</v>
      </c>
      <c r="E170" s="159">
        <f t="shared" si="48"/>
        <v>0.92645253682487727</v>
      </c>
      <c r="F170" s="159">
        <f t="shared" si="49"/>
        <v>0.88974981329350267</v>
      </c>
      <c r="G170" s="159">
        <f t="shared" si="50"/>
        <v>0.91697157331832257</v>
      </c>
      <c r="H170" s="161">
        <f t="shared" si="51"/>
        <v>0.9144818381161216</v>
      </c>
      <c r="I170" s="98"/>
      <c r="J170" s="98"/>
      <c r="K170" s="164"/>
      <c r="L170" s="164"/>
      <c r="M170" s="164"/>
      <c r="N170" s="164"/>
      <c r="O170" s="164"/>
      <c r="P170" s="164"/>
      <c r="Q170" s="164"/>
      <c r="R170" s="165"/>
      <c r="S170" s="155"/>
      <c r="T170" s="155"/>
      <c r="U170" s="166"/>
      <c r="V170" s="124"/>
      <c r="W170" s="140"/>
      <c r="X170" s="149"/>
      <c r="Y170" s="46" t="str">
        <f t="shared" si="52"/>
        <v>South East</v>
      </c>
      <c r="Z170" s="55">
        <f>IF(Year1_SouthEast Year1_ReferralsAssessment="","",Year1_SouthEast Year1_ReferralsAssessment)</f>
        <v>81400</v>
      </c>
      <c r="AA170" s="55">
        <f>IF(Year2_SouthEast Year2_ReferralsAssessment="","",Year2_SouthEast Year2_ReferralsAssessment)</f>
        <v>90570</v>
      </c>
      <c r="AB170" s="55">
        <f>IF(Year3_SouthEast Year3_ReferralsAssessment="","",Year3_SouthEast Year3_ReferralsAssessment)</f>
        <v>95310</v>
      </c>
      <c r="AC170" s="55">
        <f>IF(Year4_SouthEast Year4_ReferralsAssessment="","",Year4_SouthEast Year4_ReferralsAssessment)</f>
        <v>97740</v>
      </c>
      <c r="AD170" s="55">
        <f>IF(Year5_SouthEast Year5_ReferralsAssessment="","",Year5_SouthEast Year5_ReferralsAssessment)</f>
        <v>95920</v>
      </c>
      <c r="AE170" s="194"/>
      <c r="AF170" s="199"/>
      <c r="AG170" s="199"/>
      <c r="AH170" s="199"/>
      <c r="AI170" s="185"/>
      <c r="AJ170" s="199"/>
      <c r="AK170" s="156"/>
    </row>
    <row r="171" spans="1:44" s="89" customFormat="1" ht="12.75" customHeight="1" x14ac:dyDescent="0.2">
      <c r="A171" s="123"/>
      <c r="B171" s="318" t="str">
        <f t="shared" si="46"/>
        <v>England</v>
      </c>
      <c r="C171" s="87"/>
      <c r="D171" s="344">
        <f t="shared" si="47"/>
        <v>0.86233480176211452</v>
      </c>
      <c r="E171" s="344">
        <f t="shared" si="48"/>
        <v>0.90055835358102565</v>
      </c>
      <c r="F171" s="344">
        <f t="shared" si="49"/>
        <v>0.89778988423203121</v>
      </c>
      <c r="G171" s="344">
        <f t="shared" si="50"/>
        <v>0.90590729527324865</v>
      </c>
      <c r="H171" s="345">
        <f t="shared" si="51"/>
        <v>0.91917717726944526</v>
      </c>
      <c r="I171" s="98"/>
      <c r="J171" s="98"/>
      <c r="K171" s="164"/>
      <c r="L171" s="164"/>
      <c r="M171" s="164"/>
      <c r="N171" s="164"/>
      <c r="O171" s="164"/>
      <c r="P171" s="164"/>
      <c r="Q171" s="164"/>
      <c r="R171" s="165"/>
      <c r="S171" s="155"/>
      <c r="T171" s="155"/>
      <c r="U171" s="166"/>
      <c r="V171" s="124"/>
      <c r="W171" s="140"/>
      <c r="X171" s="149"/>
      <c r="Y171" s="46" t="str">
        <f t="shared" si="52"/>
        <v>England</v>
      </c>
      <c r="Z171" s="55">
        <f>IF(Year1_England Year1_ReferralsAssessment="","",Year1_England Year1_ReferralsAssessment)</f>
        <v>548100</v>
      </c>
      <c r="AA171" s="55">
        <f>IF(Year2_England Year2_ReferralsAssessment="","",Year2_England Year2_ReferralsAssessment)</f>
        <v>559670</v>
      </c>
      <c r="AB171" s="55">
        <f>IF(Year3_England Year3_ReferralsAssessment="","",Year3_England Year3_ReferralsAssessment)</f>
        <v>580080</v>
      </c>
      <c r="AC171" s="55">
        <f>IF(Year4_England Year4_ReferralsAssessment="","",Year4_England Year4_ReferralsAssessment)</f>
        <v>593940</v>
      </c>
      <c r="AD171" s="55">
        <f>IF(Year5_England Year5_ReferralsAssessment="","",Year5_England Year5_ReferralsAssessment)</f>
        <v>598320</v>
      </c>
      <c r="AE171" s="194"/>
      <c r="AF171" s="199"/>
      <c r="AG171" s="199"/>
      <c r="AH171" s="199"/>
      <c r="AI171" s="185"/>
      <c r="AJ171" s="199"/>
      <c r="AK171" s="156"/>
    </row>
    <row r="172" spans="1:44" s="89" customFormat="1" ht="7.5" customHeight="1" x14ac:dyDescent="0.2">
      <c r="A172" s="286"/>
      <c r="B172" s="98"/>
      <c r="C172" s="98"/>
      <c r="D172" s="98"/>
      <c r="E172" s="98"/>
      <c r="F172" s="98"/>
      <c r="G172" s="98"/>
      <c r="H172" s="98"/>
      <c r="I172" s="98"/>
      <c r="J172" s="98"/>
      <c r="K172" s="164"/>
      <c r="L172" s="164"/>
      <c r="M172" s="164"/>
      <c r="N172" s="164"/>
      <c r="O172" s="164"/>
      <c r="P172" s="164"/>
      <c r="Q172" s="164"/>
      <c r="R172" s="165"/>
      <c r="S172" s="155"/>
      <c r="T172" s="155"/>
      <c r="U172" s="166"/>
      <c r="V172" s="124"/>
      <c r="W172" s="140"/>
      <c r="X172" s="149"/>
      <c r="Y172" s="83"/>
      <c r="Z172" s="83"/>
      <c r="AA172" s="191"/>
      <c r="AB172" s="191"/>
      <c r="AC172" s="192"/>
      <c r="AD172" s="192"/>
      <c r="AE172" s="194"/>
      <c r="AF172" s="199"/>
      <c r="AG172" s="199"/>
      <c r="AH172" s="199"/>
      <c r="AI172" s="185"/>
      <c r="AJ172" s="199"/>
      <c r="AK172" s="156"/>
    </row>
    <row r="173" spans="1:44" s="83" customFormat="1" ht="39" customHeight="1" x14ac:dyDescent="0.2">
      <c r="A173" s="213"/>
      <c r="B173" s="218"/>
      <c r="C173" s="218"/>
      <c r="D173" s="218"/>
      <c r="E173" s="218"/>
      <c r="F173" s="218"/>
      <c r="G173" s="218"/>
      <c r="H173" s="218"/>
      <c r="I173" s="305"/>
      <c r="J173" s="168"/>
      <c r="K173" s="168"/>
      <c r="L173" s="168"/>
      <c r="M173" s="168"/>
      <c r="N173" s="168"/>
      <c r="O173" s="168"/>
      <c r="P173" s="168"/>
      <c r="Q173" s="168"/>
      <c r="R173" s="137"/>
      <c r="S173" s="168"/>
      <c r="T173" s="168"/>
      <c r="U173" s="168"/>
      <c r="V173" s="119"/>
      <c r="W173" s="138"/>
      <c r="X173" s="147"/>
      <c r="AD173" s="192"/>
      <c r="AE173" s="194"/>
      <c r="AF173" s="179"/>
      <c r="AG173" s="179"/>
      <c r="AH173" s="179"/>
      <c r="AJ173" s="179"/>
      <c r="AK173" s="157"/>
    </row>
    <row r="174" spans="1:44" s="83" customFormat="1" ht="38.25" customHeight="1" x14ac:dyDescent="0.2">
      <c r="A174" s="213"/>
      <c r="B174" s="218"/>
      <c r="C174" s="218"/>
      <c r="D174" s="218"/>
      <c r="E174" s="218"/>
      <c r="F174" s="218"/>
      <c r="G174" s="218"/>
      <c r="H174" s="218"/>
      <c r="I174" s="305"/>
      <c r="J174" s="168"/>
      <c r="K174" s="168"/>
      <c r="L174" s="168"/>
      <c r="M174" s="168"/>
      <c r="N174" s="168"/>
      <c r="O174" s="168"/>
      <c r="P174" s="168"/>
      <c r="Q174" s="168"/>
      <c r="R174" s="137"/>
      <c r="S174" s="168"/>
      <c r="T174" s="168"/>
      <c r="U174" s="168"/>
      <c r="V174" s="119"/>
      <c r="W174" s="138"/>
      <c r="X174" s="147"/>
      <c r="Z174" s="185"/>
      <c r="AE174" s="194"/>
      <c r="AF174" s="179"/>
      <c r="AG174" s="179"/>
      <c r="AH174" s="179"/>
      <c r="AJ174" s="179"/>
      <c r="AK174" s="157"/>
    </row>
    <row r="175" spans="1:44" s="83" customFormat="1" ht="38.25" customHeight="1" x14ac:dyDescent="0.2">
      <c r="A175" s="213"/>
      <c r="B175" s="218"/>
      <c r="C175" s="218"/>
      <c r="D175" s="218"/>
      <c r="E175" s="218"/>
      <c r="F175" s="218"/>
      <c r="G175" s="218"/>
      <c r="H175" s="218"/>
      <c r="I175" s="305"/>
      <c r="J175" s="168"/>
      <c r="K175" s="168"/>
      <c r="L175" s="168"/>
      <c r="M175" s="168"/>
      <c r="N175" s="168"/>
      <c r="O175" s="168"/>
      <c r="P175" s="168"/>
      <c r="Q175" s="168"/>
      <c r="R175" s="137"/>
      <c r="S175" s="168"/>
      <c r="T175" s="168"/>
      <c r="U175" s="168"/>
      <c r="V175" s="119"/>
      <c r="W175" s="138"/>
      <c r="X175" s="147"/>
      <c r="Z175" s="185"/>
      <c r="AE175" s="194"/>
      <c r="AF175" s="179"/>
      <c r="AG175" s="179"/>
      <c r="AH175" s="179"/>
      <c r="AJ175" s="179"/>
      <c r="AK175" s="157"/>
    </row>
    <row r="176" spans="1:44" s="83" customFormat="1" ht="7.5" customHeight="1" x14ac:dyDescent="0.2">
      <c r="A176" s="120"/>
      <c r="B176" s="18"/>
      <c r="C176" s="18"/>
      <c r="D176" s="17"/>
      <c r="E176" s="17"/>
      <c r="F176" s="17"/>
      <c r="G176" s="17"/>
      <c r="H176" s="17"/>
      <c r="I176" s="17"/>
      <c r="J176" s="13"/>
      <c r="K176" s="19"/>
      <c r="L176" s="19"/>
      <c r="M176" s="19"/>
      <c r="N176" s="19"/>
      <c r="O176" s="19"/>
      <c r="P176" s="19"/>
      <c r="Q176" s="19"/>
      <c r="R176" s="19"/>
      <c r="S176" s="19"/>
      <c r="T176" s="19"/>
      <c r="U176" s="20"/>
      <c r="V176" s="119"/>
      <c r="W176" s="138"/>
      <c r="X176" s="147"/>
      <c r="Z176" s="185"/>
      <c r="AJ176" s="179"/>
      <c r="AK176" s="153"/>
      <c r="AL176" s="76"/>
      <c r="AM176" s="76"/>
      <c r="AN176" s="76"/>
      <c r="AO176" s="76"/>
      <c r="AP176" s="76"/>
      <c r="AQ176" s="76"/>
      <c r="AR176" s="76"/>
    </row>
    <row r="177" spans="1:46" s="83" customFormat="1" ht="15" customHeight="1" x14ac:dyDescent="0.2">
      <c r="A177" s="1399"/>
      <c r="B177" s="1421"/>
      <c r="C177" s="1421"/>
      <c r="D177" s="1421"/>
      <c r="E177" s="1421"/>
      <c r="F177" s="1421"/>
      <c r="G177" s="1421"/>
      <c r="H177" s="1421"/>
      <c r="I177" s="1421"/>
      <c r="J177" s="1421"/>
      <c r="K177" s="1421"/>
      <c r="L177" s="1421"/>
      <c r="M177" s="1421"/>
      <c r="N177" s="1421"/>
      <c r="O177" s="1421"/>
      <c r="P177" s="1421"/>
      <c r="Q177" s="1421"/>
      <c r="R177" s="1421"/>
      <c r="S177" s="1421"/>
      <c r="T177" s="1421"/>
      <c r="U177" s="1421"/>
      <c r="V177" s="1422"/>
      <c r="W177" s="138"/>
      <c r="X177" s="147"/>
      <c r="AK177" s="157"/>
      <c r="AT177" s="76"/>
    </row>
    <row r="178" spans="1:46" s="83" customFormat="1" ht="11.25" customHeight="1" x14ac:dyDescent="0.2">
      <c r="A178" s="1428" t="str">
        <f>Home!$A$40</f>
        <v>LA's provide quarterly data on the condition that it is used by the benchmarking group for internal reporting only. Please DO NOT share other LA's data with any external partners or the public</v>
      </c>
      <c r="B178" s="1429"/>
      <c r="C178" s="1429"/>
      <c r="D178" s="1429"/>
      <c r="E178" s="1429"/>
      <c r="F178" s="1429"/>
      <c r="G178" s="1429"/>
      <c r="H178" s="1429"/>
      <c r="I178" s="1430"/>
      <c r="J178" s="1429"/>
      <c r="K178" s="1429"/>
      <c r="L178" s="1429"/>
      <c r="M178" s="1429"/>
      <c r="N178" s="1429"/>
      <c r="O178" s="1429"/>
      <c r="P178" s="1431"/>
      <c r="Q178" s="1429"/>
      <c r="R178" s="1429"/>
      <c r="S178" s="1429"/>
      <c r="T178" s="1430"/>
      <c r="U178" s="1429"/>
      <c r="V178" s="1432"/>
      <c r="W178" s="138"/>
      <c r="X178" s="147"/>
      <c r="AJ178" s="179"/>
      <c r="AK178" s="156"/>
      <c r="AL178" s="89"/>
      <c r="AT178" s="76"/>
    </row>
    <row r="179" spans="1:46" ht="11.25" customHeight="1" x14ac:dyDescent="0.2">
      <c r="A179" s="141"/>
      <c r="B179" s="1109"/>
      <c r="C179" s="9"/>
      <c r="D179" s="9"/>
      <c r="E179" s="9"/>
      <c r="F179" s="9"/>
      <c r="G179" s="9"/>
      <c r="H179" s="9"/>
      <c r="I179" s="9"/>
      <c r="J179" s="13"/>
      <c r="K179" s="9"/>
      <c r="L179" s="9"/>
      <c r="M179" s="9"/>
      <c r="N179" s="9"/>
      <c r="O179" s="9"/>
      <c r="P179" s="9"/>
      <c r="Q179" s="9"/>
      <c r="R179" s="9"/>
      <c r="S179" s="9"/>
      <c r="T179" s="9"/>
      <c r="U179" s="11"/>
      <c r="V179" s="11"/>
      <c r="W179" s="1311"/>
      <c r="X179" s="12"/>
      <c r="Y179" s="12"/>
      <c r="Z179" s="12"/>
      <c r="AA179" s="12"/>
      <c r="AB179" s="12"/>
      <c r="AC179" s="241"/>
      <c r="AF179" s="84"/>
      <c r="AI179" s="179"/>
      <c r="AJ179" s="179"/>
      <c r="AK179" s="153"/>
      <c r="AM179" s="83"/>
      <c r="AN179" s="83"/>
      <c r="AO179" s="83"/>
      <c r="AP179" s="83"/>
      <c r="AQ179" s="83"/>
      <c r="AR179" s="83"/>
    </row>
    <row r="180" spans="1:46" ht="11.25" customHeight="1" x14ac:dyDescent="0.2">
      <c r="A180" s="141"/>
      <c r="B180" s="1109"/>
      <c r="C180" s="9"/>
      <c r="D180" s="9"/>
      <c r="E180" s="9"/>
      <c r="F180" s="9"/>
      <c r="G180" s="9"/>
      <c r="H180" s="9"/>
      <c r="I180" s="9"/>
      <c r="J180" s="13"/>
      <c r="K180" s="9"/>
      <c r="L180" s="9"/>
      <c r="M180" s="9"/>
      <c r="N180" s="9"/>
      <c r="O180" s="9"/>
      <c r="P180" s="9"/>
      <c r="Q180" s="9"/>
      <c r="R180" s="9"/>
      <c r="S180" s="9"/>
      <c r="T180" s="9"/>
      <c r="U180" s="11"/>
      <c r="V180" s="11"/>
      <c r="W180" s="11"/>
      <c r="X180" s="12"/>
      <c r="Y180" s="12"/>
      <c r="Z180" s="12"/>
      <c r="AA180" s="12"/>
      <c r="AB180" s="12"/>
      <c r="AC180" s="241"/>
      <c r="AF180" s="84"/>
      <c r="AI180" s="179"/>
      <c r="AJ180" s="179"/>
      <c r="AK180" s="153"/>
      <c r="AM180" s="83"/>
      <c r="AN180" s="83"/>
      <c r="AO180" s="83"/>
      <c r="AP180" s="83"/>
      <c r="AQ180" s="83"/>
      <c r="AR180" s="83"/>
    </row>
    <row r="181" spans="1:46" ht="11.25" customHeight="1" x14ac:dyDescent="0.2">
      <c r="A181" s="141"/>
      <c r="B181" s="1367" t="s">
        <v>82</v>
      </c>
      <c r="C181" s="15"/>
      <c r="D181" s="1306"/>
      <c r="E181" s="1306"/>
      <c r="F181" s="9"/>
      <c r="G181" s="9"/>
      <c r="H181" s="9"/>
      <c r="I181" s="9"/>
      <c r="J181" s="13"/>
      <c r="K181" s="9"/>
      <c r="L181" s="9"/>
      <c r="M181" s="9"/>
      <c r="N181" s="9"/>
      <c r="O181" s="9"/>
      <c r="P181" s="9"/>
      <c r="Q181" s="9"/>
      <c r="R181" s="9"/>
      <c r="S181" s="9"/>
      <c r="T181" s="9"/>
      <c r="U181" s="11"/>
      <c r="V181" s="11"/>
      <c r="W181" s="11"/>
      <c r="X181" s="12"/>
      <c r="Y181" s="12"/>
      <c r="Z181" s="12"/>
      <c r="AA181" s="12"/>
      <c r="AB181" s="12"/>
      <c r="AC181" s="241"/>
      <c r="AF181" s="84"/>
      <c r="AI181" s="179"/>
      <c r="AJ181" s="179"/>
      <c r="AK181" s="153"/>
      <c r="AM181" s="83"/>
      <c r="AN181" s="83"/>
      <c r="AO181" s="83"/>
      <c r="AP181" s="83"/>
      <c r="AQ181" s="83"/>
      <c r="AR181" s="83"/>
    </row>
    <row r="182" spans="1:46" ht="11.25" customHeight="1" x14ac:dyDescent="0.2">
      <c r="A182" s="141"/>
      <c r="B182" s="1368"/>
      <c r="C182" s="9"/>
      <c r="D182" s="1306"/>
      <c r="E182" s="1306"/>
      <c r="F182" s="9"/>
      <c r="G182" s="9"/>
      <c r="H182" s="9"/>
      <c r="I182" s="9"/>
      <c r="J182" s="13"/>
      <c r="K182" s="9"/>
      <c r="L182" s="9"/>
      <c r="M182" s="9"/>
      <c r="N182" s="9"/>
      <c r="O182" s="9"/>
      <c r="P182" s="9"/>
      <c r="Q182" s="9"/>
      <c r="R182" s="9"/>
      <c r="S182" s="9"/>
      <c r="T182" s="9"/>
      <c r="U182" s="11"/>
      <c r="V182" s="11"/>
      <c r="W182" s="11"/>
      <c r="X182" s="12"/>
      <c r="Y182" s="12"/>
      <c r="Z182" s="12"/>
      <c r="AA182" s="12"/>
      <c r="AB182" s="12"/>
      <c r="AC182" s="241"/>
      <c r="AF182" s="84"/>
      <c r="AI182" s="179"/>
      <c r="AJ182" s="179"/>
      <c r="AK182" s="153"/>
    </row>
    <row r="183" spans="1:46" ht="11.25" customHeight="1" x14ac:dyDescent="0.2">
      <c r="A183" s="141"/>
      <c r="B183" s="1366" t="s">
        <v>806</v>
      </c>
      <c r="C183" s="1366"/>
      <c r="D183" s="1366"/>
      <c r="E183" s="1366"/>
      <c r="F183" s="9"/>
      <c r="G183" s="9"/>
      <c r="H183" s="9"/>
      <c r="I183" s="9"/>
      <c r="J183" s="13"/>
      <c r="K183" s="9"/>
      <c r="L183" s="9"/>
      <c r="M183" s="9"/>
      <c r="N183" s="9"/>
      <c r="O183" s="9"/>
      <c r="P183" s="9"/>
      <c r="Q183" s="9"/>
      <c r="R183" s="9"/>
      <c r="S183" s="9"/>
      <c r="T183" s="9"/>
      <c r="U183" s="11"/>
      <c r="V183" s="11"/>
      <c r="W183" s="11"/>
      <c r="X183" s="12"/>
      <c r="Y183" s="12"/>
      <c r="Z183" s="12"/>
      <c r="AA183" s="12"/>
      <c r="AB183" s="12"/>
      <c r="AC183" s="241"/>
      <c r="AF183" s="84"/>
      <c r="AI183" s="179"/>
      <c r="AJ183" s="179"/>
      <c r="AK183" s="153"/>
    </row>
    <row r="184" spans="1:46" ht="11.25" customHeight="1" x14ac:dyDescent="0.2">
      <c r="A184" s="141"/>
      <c r="B184" s="1366"/>
      <c r="C184" s="1366"/>
      <c r="D184" s="1366"/>
      <c r="E184" s="1366"/>
      <c r="F184" s="9"/>
      <c r="G184" s="9"/>
      <c r="H184" s="9"/>
      <c r="I184" s="9"/>
      <c r="J184" s="13"/>
      <c r="K184" s="9"/>
      <c r="L184" s="9"/>
      <c r="M184" s="9"/>
      <c r="N184" s="9"/>
      <c r="O184" s="9"/>
      <c r="P184" s="9"/>
      <c r="Q184" s="9"/>
      <c r="R184" s="9"/>
      <c r="S184" s="9"/>
      <c r="T184" s="9"/>
      <c r="U184" s="11"/>
      <c r="V184" s="11"/>
      <c r="W184" s="11"/>
      <c r="X184" s="12"/>
      <c r="Y184" s="12"/>
      <c r="Z184" s="12"/>
      <c r="AA184" s="12"/>
      <c r="AB184" s="12"/>
      <c r="AC184" s="241"/>
      <c r="AF184" s="84"/>
      <c r="AI184" s="183"/>
      <c r="AJ184" s="183"/>
      <c r="AK184" s="154"/>
    </row>
    <row r="185" spans="1:46" s="78" customFormat="1" ht="11.25" customHeight="1" x14ac:dyDescent="0.2">
      <c r="A185" s="141"/>
      <c r="B185" s="1366" t="s">
        <v>81</v>
      </c>
      <c r="C185" s="1366"/>
      <c r="D185" s="1366"/>
      <c r="E185" s="1366"/>
      <c r="F185" s="9"/>
      <c r="G185" s="9"/>
      <c r="H185" s="9"/>
      <c r="I185" s="9"/>
      <c r="J185" s="13"/>
      <c r="K185" s="9"/>
      <c r="L185" s="9"/>
      <c r="M185" s="9"/>
      <c r="N185" s="9"/>
      <c r="O185" s="9"/>
      <c r="P185" s="9"/>
      <c r="Q185" s="9"/>
      <c r="R185" s="9"/>
      <c r="S185" s="9"/>
      <c r="T185" s="9"/>
      <c r="U185" s="11"/>
      <c r="V185" s="11"/>
      <c r="W185" s="11"/>
      <c r="X185" s="12"/>
      <c r="Y185" s="12"/>
      <c r="Z185" s="12"/>
      <c r="AA185" s="12"/>
      <c r="AB185" s="12"/>
      <c r="AC185" s="241"/>
      <c r="AD185" s="83"/>
      <c r="AE185" s="83"/>
      <c r="AF185" s="84"/>
      <c r="AG185" s="83"/>
      <c r="AH185" s="83"/>
      <c r="AI185" s="179"/>
      <c r="AJ185" s="179"/>
      <c r="AK185" s="153"/>
    </row>
    <row r="186" spans="1:46" ht="11.25" customHeight="1" x14ac:dyDescent="0.2">
      <c r="A186" s="141"/>
      <c r="B186" s="1366"/>
      <c r="C186" s="1366"/>
      <c r="D186" s="1366"/>
      <c r="E186" s="1366"/>
      <c r="F186" s="9"/>
      <c r="G186" s="9"/>
      <c r="H186" s="9"/>
      <c r="I186" s="9"/>
      <c r="J186" s="13"/>
      <c r="K186" s="9"/>
      <c r="L186" s="9"/>
      <c r="M186" s="9"/>
      <c r="N186" s="9"/>
      <c r="O186" s="9"/>
      <c r="P186" s="9"/>
      <c r="Q186" s="9"/>
      <c r="R186" s="9"/>
      <c r="S186" s="9"/>
      <c r="T186" s="9"/>
      <c r="U186" s="11"/>
      <c r="V186" s="11"/>
      <c r="W186" s="11"/>
      <c r="X186" s="12"/>
      <c r="Y186" s="12"/>
      <c r="Z186" s="12"/>
      <c r="AA186" s="12"/>
      <c r="AB186" s="12"/>
      <c r="AC186" s="241"/>
      <c r="AF186" s="84"/>
      <c r="AI186" s="179"/>
      <c r="AJ186" s="179"/>
      <c r="AK186" s="153"/>
    </row>
    <row r="187" spans="1:46" ht="11.25" customHeight="1" x14ac:dyDescent="0.2">
      <c r="A187" s="141"/>
      <c r="B187" s="1366" t="s">
        <v>78</v>
      </c>
      <c r="C187" s="1366"/>
      <c r="D187" s="1366"/>
      <c r="E187" s="1366"/>
      <c r="F187" s="9"/>
      <c r="G187" s="9"/>
      <c r="H187" s="9"/>
      <c r="I187" s="9"/>
      <c r="J187" s="13"/>
      <c r="K187" s="9"/>
      <c r="L187" s="9"/>
      <c r="M187" s="9"/>
      <c r="N187" s="9"/>
      <c r="O187" s="9"/>
      <c r="P187" s="9"/>
      <c r="Q187" s="9"/>
      <c r="R187" s="9"/>
      <c r="S187" s="9"/>
      <c r="T187" s="9"/>
      <c r="U187" s="11"/>
      <c r="V187" s="11"/>
      <c r="W187" s="11"/>
      <c r="X187" s="12"/>
      <c r="Y187" s="12"/>
      <c r="Z187" s="12"/>
      <c r="AA187" s="12"/>
      <c r="AB187" s="12"/>
      <c r="AC187" s="241"/>
      <c r="AF187" s="84"/>
      <c r="AI187" s="179"/>
      <c r="AJ187" s="179"/>
      <c r="AK187" s="153"/>
    </row>
    <row r="188" spans="1:46" ht="11.25" customHeight="1" x14ac:dyDescent="0.2">
      <c r="A188" s="141"/>
      <c r="B188" s="1366"/>
      <c r="C188" s="1366"/>
      <c r="D188" s="1366"/>
      <c r="E188" s="1366"/>
      <c r="F188" s="9"/>
      <c r="G188" s="9"/>
      <c r="H188" s="9"/>
      <c r="I188" s="9"/>
      <c r="J188" s="13"/>
      <c r="K188" s="9"/>
      <c r="L188" s="9"/>
      <c r="M188" s="9"/>
      <c r="N188" s="9"/>
      <c r="O188" s="9"/>
      <c r="P188" s="9"/>
      <c r="Q188" s="9"/>
      <c r="R188" s="9"/>
      <c r="S188" s="9"/>
      <c r="T188" s="9"/>
      <c r="U188" s="11"/>
      <c r="V188" s="11"/>
      <c r="W188" s="11"/>
      <c r="X188" s="12"/>
      <c r="Y188" s="12"/>
      <c r="Z188" s="12"/>
      <c r="AA188" s="12"/>
      <c r="AB188" s="12"/>
      <c r="AC188" s="241"/>
      <c r="AF188" s="84"/>
      <c r="AI188" s="179"/>
      <c r="AJ188" s="179"/>
      <c r="AK188" s="153"/>
    </row>
    <row r="189" spans="1:46" ht="11.25" customHeight="1" x14ac:dyDescent="0.2">
      <c r="A189" s="141"/>
      <c r="B189" s="1366" t="s">
        <v>17</v>
      </c>
      <c r="C189" s="1366"/>
      <c r="D189" s="1366"/>
      <c r="E189" s="1366"/>
      <c r="F189" s="9"/>
      <c r="G189" s="9"/>
      <c r="H189" s="9"/>
      <c r="I189" s="9"/>
      <c r="J189" s="13"/>
      <c r="K189" s="9"/>
      <c r="L189" s="9"/>
      <c r="M189" s="9"/>
      <c r="N189" s="9"/>
      <c r="O189" s="9"/>
      <c r="P189" s="9"/>
      <c r="Q189" s="9"/>
      <c r="R189" s="9"/>
      <c r="S189" s="9"/>
      <c r="T189" s="9"/>
      <c r="U189" s="11"/>
      <c r="V189" s="11"/>
      <c r="W189" s="11"/>
      <c r="X189" s="12"/>
      <c r="Y189" s="12"/>
      <c r="Z189" s="12"/>
      <c r="AA189" s="12"/>
      <c r="AB189" s="12"/>
      <c r="AC189" s="241"/>
      <c r="AF189" s="84"/>
      <c r="AI189" s="179"/>
      <c r="AJ189" s="179"/>
      <c r="AK189" s="153"/>
    </row>
    <row r="190" spans="1:46" ht="11.25" customHeight="1" x14ac:dyDescent="0.2">
      <c r="A190" s="141"/>
      <c r="B190" s="1366"/>
      <c r="C190" s="1366"/>
      <c r="D190" s="1366"/>
      <c r="E190" s="1366"/>
      <c r="F190" s="9"/>
      <c r="G190" s="9"/>
      <c r="H190" s="9"/>
      <c r="I190" s="9"/>
      <c r="J190" s="13"/>
      <c r="K190" s="9"/>
      <c r="L190" s="9"/>
      <c r="M190" s="9"/>
      <c r="N190" s="9"/>
      <c r="O190" s="9"/>
      <c r="P190" s="9"/>
      <c r="Q190" s="9"/>
      <c r="R190" s="9"/>
      <c r="S190" s="9"/>
      <c r="T190" s="9"/>
      <c r="U190" s="11"/>
      <c r="V190" s="11"/>
      <c r="W190" s="11"/>
      <c r="X190" s="12"/>
      <c r="Y190" s="12"/>
      <c r="Z190" s="12"/>
      <c r="AA190" s="12"/>
      <c r="AB190" s="12"/>
      <c r="AC190" s="241"/>
      <c r="AF190" s="84"/>
      <c r="AI190" s="179"/>
      <c r="AJ190" s="179"/>
      <c r="AK190" s="153"/>
    </row>
    <row r="191" spans="1:46" ht="11.25" customHeight="1" x14ac:dyDescent="0.2">
      <c r="A191" s="141"/>
      <c r="B191" s="1366" t="s">
        <v>80</v>
      </c>
      <c r="C191" s="1366"/>
      <c r="D191" s="1366"/>
      <c r="E191" s="1366"/>
      <c r="F191" s="9"/>
      <c r="G191" s="9"/>
      <c r="H191" s="9"/>
      <c r="I191" s="9"/>
      <c r="J191" s="13"/>
      <c r="K191" s="9"/>
      <c r="L191" s="9"/>
      <c r="M191" s="9"/>
      <c r="N191" s="9"/>
      <c r="O191" s="9"/>
      <c r="P191" s="9"/>
      <c r="Q191" s="9"/>
      <c r="R191" s="9"/>
      <c r="S191" s="9"/>
      <c r="T191" s="9"/>
      <c r="U191" s="11"/>
      <c r="V191" s="11"/>
      <c r="W191" s="11"/>
      <c r="X191" s="12"/>
      <c r="Y191" s="12"/>
      <c r="Z191" s="12"/>
      <c r="AA191" s="12"/>
      <c r="AB191" s="12"/>
      <c r="AC191" s="241"/>
      <c r="AF191" s="84"/>
      <c r="AI191" s="179"/>
      <c r="AJ191" s="179"/>
      <c r="AK191" s="153"/>
    </row>
    <row r="192" spans="1:46" ht="11.25" customHeight="1" x14ac:dyDescent="0.2">
      <c r="A192" s="141"/>
      <c r="B192" s="1366"/>
      <c r="C192" s="1366"/>
      <c r="D192" s="1366"/>
      <c r="E192" s="1366"/>
      <c r="F192" s="9"/>
      <c r="G192" s="9"/>
      <c r="H192" s="9"/>
      <c r="I192" s="9"/>
      <c r="J192" s="13"/>
      <c r="K192" s="9"/>
      <c r="L192" s="9"/>
      <c r="M192" s="9"/>
      <c r="N192" s="9"/>
      <c r="O192" s="9"/>
      <c r="P192" s="9"/>
      <c r="Q192" s="9"/>
      <c r="R192" s="9"/>
      <c r="S192" s="9"/>
      <c r="T192" s="9"/>
      <c r="U192" s="11"/>
      <c r="V192" s="11"/>
      <c r="W192" s="11"/>
      <c r="X192" s="12"/>
      <c r="Y192" s="12"/>
      <c r="Z192" s="12"/>
      <c r="AA192" s="12"/>
      <c r="AB192" s="12"/>
      <c r="AC192" s="241"/>
      <c r="AF192" s="84"/>
      <c r="AI192" s="179"/>
      <c r="AJ192" s="179"/>
      <c r="AK192" s="153"/>
    </row>
    <row r="193" spans="1:37" ht="11.25" customHeight="1" x14ac:dyDescent="0.2">
      <c r="A193" s="141"/>
      <c r="B193" s="1366" t="s">
        <v>69</v>
      </c>
      <c r="C193" s="1366"/>
      <c r="D193" s="1366"/>
      <c r="E193" s="1366"/>
      <c r="F193" s="9"/>
      <c r="G193" s="9"/>
      <c r="H193" s="9"/>
      <c r="I193" s="9"/>
      <c r="J193" s="13"/>
      <c r="K193" s="9"/>
      <c r="L193" s="9"/>
      <c r="M193" s="9"/>
      <c r="N193" s="9"/>
      <c r="O193" s="9"/>
      <c r="P193" s="9"/>
      <c r="Q193" s="9"/>
      <c r="R193" s="9"/>
      <c r="S193" s="9"/>
      <c r="T193" s="9"/>
      <c r="U193" s="11"/>
      <c r="V193" s="11"/>
      <c r="W193" s="11"/>
      <c r="X193" s="12"/>
      <c r="Y193" s="12"/>
      <c r="Z193" s="12"/>
      <c r="AA193" s="12"/>
      <c r="AB193" s="12"/>
      <c r="AC193" s="241"/>
      <c r="AF193" s="84"/>
      <c r="AI193" s="179"/>
      <c r="AJ193" s="179"/>
      <c r="AK193" s="153"/>
    </row>
    <row r="194" spans="1:37" ht="11.25" customHeight="1" x14ac:dyDescent="0.2">
      <c r="A194" s="141"/>
      <c r="B194" s="1366"/>
      <c r="C194" s="1366"/>
      <c r="D194" s="1366"/>
      <c r="E194" s="1366"/>
      <c r="F194" s="9"/>
      <c r="G194" s="9"/>
      <c r="H194" s="9"/>
      <c r="I194" s="9"/>
      <c r="J194" s="13"/>
      <c r="K194" s="9"/>
      <c r="L194" s="9"/>
      <c r="M194" s="9"/>
      <c r="N194" s="9"/>
      <c r="O194" s="9"/>
      <c r="P194" s="9"/>
      <c r="Q194" s="9"/>
      <c r="R194" s="9"/>
      <c r="S194" s="9"/>
      <c r="T194" s="9"/>
      <c r="U194" s="11"/>
      <c r="V194" s="11"/>
      <c r="W194" s="11"/>
      <c r="X194" s="12"/>
      <c r="Y194" s="12"/>
      <c r="Z194" s="12"/>
      <c r="AA194" s="12"/>
      <c r="AB194" s="12"/>
      <c r="AC194" s="241"/>
      <c r="AF194" s="84"/>
      <c r="AI194" s="179"/>
      <c r="AJ194" s="179"/>
      <c r="AK194" s="153"/>
    </row>
    <row r="195" spans="1:37" ht="11.25" customHeight="1" x14ac:dyDescent="0.2">
      <c r="A195" s="141"/>
      <c r="B195" s="1366" t="s">
        <v>24</v>
      </c>
      <c r="C195" s="1366"/>
      <c r="D195" s="1366"/>
      <c r="E195" s="1366"/>
      <c r="F195" s="9"/>
      <c r="G195" s="9"/>
      <c r="H195" s="9"/>
      <c r="I195" s="9"/>
      <c r="J195" s="13"/>
      <c r="K195" s="9"/>
      <c r="L195" s="9"/>
      <c r="M195" s="9"/>
      <c r="N195" s="9"/>
      <c r="O195" s="9"/>
      <c r="P195" s="9"/>
      <c r="Q195" s="9"/>
      <c r="R195" s="9"/>
      <c r="S195" s="9"/>
      <c r="T195" s="9"/>
      <c r="U195" s="11"/>
      <c r="V195" s="11"/>
      <c r="W195" s="11"/>
      <c r="X195" s="12"/>
      <c r="Y195" s="12"/>
      <c r="Z195" s="12"/>
      <c r="AA195" s="12"/>
      <c r="AB195" s="12"/>
      <c r="AC195" s="241"/>
      <c r="AF195" s="84"/>
      <c r="AI195" s="179"/>
      <c r="AJ195" s="179"/>
      <c r="AK195" s="153"/>
    </row>
    <row r="196" spans="1:37" ht="11.25" customHeight="1" x14ac:dyDescent="0.2">
      <c r="A196" s="141"/>
      <c r="B196" s="1366"/>
      <c r="C196" s="1366"/>
      <c r="D196" s="1366"/>
      <c r="E196" s="1366"/>
      <c r="F196" s="9"/>
      <c r="G196" s="9"/>
      <c r="H196" s="9"/>
      <c r="I196" s="9"/>
      <c r="J196" s="13"/>
      <c r="K196" s="9"/>
      <c r="L196" s="9"/>
      <c r="M196" s="9"/>
      <c r="N196" s="9"/>
      <c r="O196" s="9"/>
      <c r="P196" s="9"/>
      <c r="Q196" s="9"/>
      <c r="R196" s="9"/>
      <c r="S196" s="9"/>
      <c r="T196" s="9"/>
      <c r="U196" s="11"/>
      <c r="V196" s="11"/>
      <c r="W196" s="11"/>
      <c r="X196" s="12"/>
      <c r="Y196" s="12"/>
      <c r="Z196" s="12"/>
      <c r="AA196" s="12"/>
      <c r="AB196" s="12"/>
      <c r="AC196" s="241"/>
      <c r="AF196" s="84"/>
      <c r="AI196" s="179"/>
      <c r="AJ196" s="179"/>
      <c r="AK196" s="153"/>
    </row>
    <row r="197" spans="1:37" ht="11.25" customHeight="1" x14ac:dyDescent="0.2">
      <c r="A197" s="141"/>
      <c r="B197" s="1366" t="s">
        <v>22</v>
      </c>
      <c r="C197" s="1366"/>
      <c r="D197" s="1366"/>
      <c r="E197" s="1366"/>
      <c r="F197" s="9"/>
      <c r="G197" s="9"/>
      <c r="H197" s="9"/>
      <c r="I197" s="9"/>
      <c r="J197" s="13"/>
      <c r="K197" s="9"/>
      <c r="L197" s="9"/>
      <c r="M197" s="9"/>
      <c r="N197" s="9"/>
      <c r="O197" s="9"/>
      <c r="P197" s="9"/>
      <c r="Q197" s="9"/>
      <c r="R197" s="9"/>
      <c r="S197" s="9"/>
      <c r="T197" s="9"/>
      <c r="U197" s="11"/>
      <c r="V197" s="11"/>
      <c r="W197" s="11"/>
      <c r="X197" s="12"/>
      <c r="Y197" s="12"/>
      <c r="Z197" s="12"/>
      <c r="AA197" s="12"/>
      <c r="AB197" s="12"/>
      <c r="AC197" s="241"/>
      <c r="AF197" s="84"/>
      <c r="AI197" s="179"/>
      <c r="AJ197" s="179"/>
      <c r="AK197" s="153"/>
    </row>
    <row r="198" spans="1:37" ht="11.25" customHeight="1" x14ac:dyDescent="0.2">
      <c r="A198" s="141"/>
      <c r="B198" s="1366"/>
      <c r="C198" s="1366"/>
      <c r="D198" s="1366"/>
      <c r="E198" s="1366"/>
      <c r="F198" s="9"/>
      <c r="G198" s="9"/>
      <c r="H198" s="9"/>
      <c r="I198" s="9"/>
      <c r="J198" s="13"/>
      <c r="K198" s="9"/>
      <c r="L198" s="9"/>
      <c r="M198" s="9"/>
      <c r="N198" s="9"/>
      <c r="O198" s="9"/>
      <c r="P198" s="9"/>
      <c r="Q198" s="9"/>
      <c r="R198" s="9"/>
      <c r="S198" s="9"/>
      <c r="T198" s="9"/>
      <c r="U198" s="11"/>
      <c r="V198" s="11"/>
      <c r="W198" s="11"/>
      <c r="X198" s="12"/>
      <c r="Y198" s="12"/>
      <c r="Z198" s="12"/>
      <c r="AA198" s="12"/>
      <c r="AB198" s="12"/>
      <c r="AC198" s="241"/>
      <c r="AF198" s="84"/>
      <c r="AI198" s="179"/>
      <c r="AJ198" s="179"/>
      <c r="AK198" s="153"/>
    </row>
    <row r="199" spans="1:37" ht="11.25" customHeight="1" x14ac:dyDescent="0.2">
      <c r="A199" s="141"/>
      <c r="B199" s="1366" t="s">
        <v>25</v>
      </c>
      <c r="C199" s="1366"/>
      <c r="D199" s="1366"/>
      <c r="E199" s="1366"/>
      <c r="F199" s="9"/>
      <c r="G199" s="9"/>
      <c r="H199" s="9"/>
      <c r="I199" s="9"/>
      <c r="J199" s="13"/>
      <c r="K199" s="9"/>
      <c r="L199" s="9"/>
      <c r="M199" s="9"/>
      <c r="N199" s="9"/>
      <c r="O199" s="9"/>
      <c r="P199" s="9"/>
      <c r="Q199" s="9"/>
      <c r="R199" s="9"/>
      <c r="S199" s="9"/>
      <c r="T199" s="9"/>
      <c r="U199" s="11"/>
      <c r="V199" s="11"/>
      <c r="W199" s="11"/>
      <c r="X199" s="12"/>
      <c r="Y199" s="12"/>
      <c r="Z199" s="12"/>
      <c r="AA199" s="12"/>
      <c r="AB199" s="12"/>
      <c r="AC199" s="241"/>
      <c r="AF199" s="84"/>
      <c r="AI199" s="179"/>
      <c r="AJ199" s="179"/>
      <c r="AK199" s="153"/>
    </row>
    <row r="200" spans="1:37" ht="11.25" customHeight="1" x14ac:dyDescent="0.2">
      <c r="A200" s="141"/>
      <c r="B200" s="1366"/>
      <c r="C200" s="1366"/>
      <c r="D200" s="1366"/>
      <c r="E200" s="1366"/>
      <c r="F200" s="9"/>
      <c r="G200" s="9"/>
      <c r="H200" s="9"/>
      <c r="I200" s="9"/>
      <c r="J200" s="13"/>
      <c r="K200" s="9"/>
      <c r="L200" s="9"/>
      <c r="M200" s="9"/>
      <c r="N200" s="9"/>
      <c r="O200" s="9"/>
      <c r="P200" s="9"/>
      <c r="Q200" s="9"/>
      <c r="R200" s="9"/>
      <c r="S200" s="9"/>
      <c r="T200" s="9"/>
      <c r="U200" s="11"/>
      <c r="V200" s="11"/>
      <c r="W200" s="11"/>
      <c r="X200" s="12"/>
      <c r="Y200" s="12"/>
      <c r="Z200" s="12"/>
      <c r="AA200" s="12"/>
      <c r="AB200" s="12"/>
      <c r="AC200" s="241"/>
      <c r="AF200" s="84"/>
      <c r="AI200" s="179"/>
      <c r="AJ200" s="179"/>
      <c r="AK200" s="153"/>
    </row>
    <row r="201" spans="1:37" ht="11.25" customHeight="1" x14ac:dyDescent="0.2">
      <c r="A201" s="141"/>
      <c r="B201" s="1366" t="s">
        <v>18</v>
      </c>
      <c r="C201" s="1366"/>
      <c r="D201" s="1366"/>
      <c r="E201" s="1366"/>
      <c r="F201" s="9"/>
      <c r="G201" s="9"/>
      <c r="H201" s="9"/>
      <c r="I201" s="9"/>
      <c r="J201" s="13"/>
      <c r="K201" s="9"/>
      <c r="L201" s="9"/>
      <c r="M201" s="9"/>
      <c r="N201" s="9"/>
      <c r="O201" s="9"/>
      <c r="P201" s="9"/>
      <c r="Q201" s="9"/>
      <c r="R201" s="9"/>
      <c r="S201" s="9"/>
      <c r="T201" s="9"/>
      <c r="U201" s="11"/>
      <c r="V201" s="11"/>
      <c r="W201" s="11"/>
      <c r="X201" s="12"/>
      <c r="Y201" s="12"/>
      <c r="Z201" s="12"/>
      <c r="AA201" s="12"/>
      <c r="AB201" s="12"/>
      <c r="AC201" s="241"/>
      <c r="AF201" s="84"/>
      <c r="AI201" s="179"/>
      <c r="AJ201" s="179"/>
      <c r="AK201" s="153"/>
    </row>
    <row r="202" spans="1:37" ht="11.25" customHeight="1" x14ac:dyDescent="0.2">
      <c r="A202" s="141"/>
      <c r="B202" s="1366"/>
      <c r="C202" s="1366"/>
      <c r="D202" s="1366"/>
      <c r="E202" s="1366"/>
      <c r="F202" s="9"/>
      <c r="G202" s="9"/>
      <c r="H202" s="9"/>
      <c r="I202" s="9"/>
      <c r="J202" s="13"/>
      <c r="K202" s="9"/>
      <c r="L202" s="9"/>
      <c r="M202" s="9"/>
      <c r="N202" s="9"/>
      <c r="O202" s="9"/>
      <c r="P202" s="9"/>
      <c r="Q202" s="9"/>
      <c r="R202" s="9"/>
      <c r="S202" s="9"/>
      <c r="T202" s="9"/>
      <c r="U202" s="11"/>
      <c r="V202" s="11"/>
      <c r="W202" s="11"/>
      <c r="X202" s="12"/>
      <c r="Y202" s="12"/>
      <c r="Z202" s="12"/>
      <c r="AA202" s="12"/>
      <c r="AB202" s="12"/>
      <c r="AC202" s="241"/>
      <c r="AF202" s="84"/>
      <c r="AI202" s="179"/>
      <c r="AJ202" s="179"/>
      <c r="AK202" s="153"/>
    </row>
    <row r="203" spans="1:37" ht="11.25" customHeight="1" x14ac:dyDescent="0.2">
      <c r="A203" s="141"/>
      <c r="B203" s="1366" t="s">
        <v>19</v>
      </c>
      <c r="C203" s="1366"/>
      <c r="D203" s="1366"/>
      <c r="E203" s="1366"/>
      <c r="F203" s="1366"/>
      <c r="G203" s="9"/>
      <c r="H203" s="9"/>
      <c r="I203" s="9"/>
      <c r="J203" s="13"/>
      <c r="K203" s="9"/>
      <c r="L203" s="9"/>
      <c r="M203" s="9"/>
      <c r="N203" s="9"/>
      <c r="O203" s="9"/>
      <c r="P203" s="9"/>
      <c r="Q203" s="9"/>
      <c r="R203" s="9"/>
      <c r="S203" s="9"/>
      <c r="T203" s="9"/>
      <c r="U203" s="11"/>
      <c r="V203" s="11"/>
      <c r="W203" s="11"/>
      <c r="X203" s="12"/>
      <c r="Y203" s="12"/>
      <c r="Z203" s="12"/>
      <c r="AA203" s="12"/>
      <c r="AB203" s="12"/>
      <c r="AC203" s="241"/>
      <c r="AF203" s="84"/>
      <c r="AI203" s="179"/>
      <c r="AJ203" s="179"/>
      <c r="AK203" s="153"/>
    </row>
    <row r="204" spans="1:37" ht="11.25" customHeight="1" x14ac:dyDescent="0.2">
      <c r="A204" s="141"/>
      <c r="B204" s="1366"/>
      <c r="C204" s="1366"/>
      <c r="D204" s="1366"/>
      <c r="E204" s="1366"/>
      <c r="F204" s="1366"/>
      <c r="G204" s="9"/>
      <c r="H204" s="9"/>
      <c r="I204" s="9"/>
      <c r="J204" s="13"/>
      <c r="K204" s="9"/>
      <c r="L204" s="9"/>
      <c r="M204" s="9"/>
      <c r="N204" s="9"/>
      <c r="O204" s="9"/>
      <c r="P204" s="9"/>
      <c r="Q204" s="9"/>
      <c r="R204" s="9"/>
      <c r="S204" s="9"/>
      <c r="T204" s="9"/>
      <c r="U204" s="11"/>
      <c r="V204" s="11"/>
      <c r="W204" s="11"/>
      <c r="X204" s="12"/>
      <c r="Y204" s="12"/>
      <c r="Z204" s="12"/>
      <c r="AA204" s="12"/>
      <c r="AB204" s="12"/>
      <c r="AC204" s="241"/>
      <c r="AF204" s="84"/>
      <c r="AI204" s="179"/>
      <c r="AJ204" s="179"/>
      <c r="AK204" s="153"/>
    </row>
    <row r="205" spans="1:37" ht="11.25" customHeight="1" x14ac:dyDescent="0.2">
      <c r="A205" s="141"/>
      <c r="B205" s="1366" t="s">
        <v>20</v>
      </c>
      <c r="C205" s="1366"/>
      <c r="D205" s="1366"/>
      <c r="E205" s="1366"/>
      <c r="F205" s="9"/>
      <c r="G205" s="9"/>
      <c r="H205" s="9"/>
      <c r="I205" s="9"/>
      <c r="J205" s="13"/>
      <c r="K205" s="9"/>
      <c r="L205" s="9"/>
      <c r="M205" s="9"/>
      <c r="N205" s="9"/>
      <c r="O205" s="9"/>
      <c r="P205" s="9"/>
      <c r="Q205" s="9"/>
      <c r="R205" s="9"/>
      <c r="S205" s="9"/>
      <c r="T205" s="9"/>
      <c r="U205" s="11"/>
      <c r="V205" s="11"/>
      <c r="W205" s="11"/>
      <c r="X205" s="12"/>
      <c r="Y205" s="12"/>
      <c r="Z205" s="12"/>
      <c r="AA205" s="12"/>
      <c r="AB205" s="12"/>
      <c r="AC205" s="241"/>
      <c r="AF205" s="84"/>
      <c r="AI205" s="179"/>
      <c r="AJ205" s="179"/>
      <c r="AK205" s="153"/>
    </row>
    <row r="206" spans="1:37" ht="11.25" customHeight="1" x14ac:dyDescent="0.2">
      <c r="A206" s="141"/>
      <c r="B206" s="1366"/>
      <c r="C206" s="1366"/>
      <c r="D206" s="1366"/>
      <c r="E206" s="1366"/>
      <c r="F206" s="9"/>
      <c r="G206" s="9"/>
      <c r="H206" s="9"/>
      <c r="I206" s="9"/>
      <c r="J206" s="13"/>
      <c r="K206" s="9"/>
      <c r="L206" s="9"/>
      <c r="M206" s="9"/>
      <c r="N206" s="9"/>
      <c r="O206" s="9"/>
      <c r="P206" s="9"/>
      <c r="Q206" s="9"/>
      <c r="R206" s="9"/>
      <c r="S206" s="9"/>
      <c r="T206" s="9"/>
      <c r="U206" s="11"/>
      <c r="V206" s="11"/>
      <c r="W206" s="11"/>
      <c r="X206" s="12"/>
      <c r="Y206" s="12"/>
      <c r="Z206" s="12"/>
      <c r="AA206" s="12"/>
      <c r="AB206" s="12"/>
      <c r="AC206" s="241"/>
      <c r="AF206" s="84"/>
      <c r="AI206" s="179"/>
      <c r="AJ206" s="179"/>
      <c r="AK206" s="153"/>
    </row>
    <row r="207" spans="1:37" ht="11.25" customHeight="1" x14ac:dyDescent="0.2">
      <c r="A207" s="141"/>
      <c r="B207" s="1366" t="s">
        <v>26</v>
      </c>
      <c r="C207" s="1366"/>
      <c r="D207" s="1366"/>
      <c r="E207" s="1366"/>
      <c r="F207" s="9"/>
      <c r="G207" s="9"/>
      <c r="H207" s="9"/>
      <c r="I207" s="9"/>
      <c r="J207" s="13"/>
      <c r="K207" s="9"/>
      <c r="L207" s="9"/>
      <c r="M207" s="9"/>
      <c r="N207" s="9"/>
      <c r="O207" s="9"/>
      <c r="P207" s="9"/>
      <c r="Q207" s="9"/>
      <c r="R207" s="9"/>
      <c r="S207" s="9"/>
      <c r="T207" s="9"/>
      <c r="U207" s="11"/>
      <c r="V207" s="11"/>
      <c r="W207" s="11"/>
      <c r="X207" s="12"/>
      <c r="Y207" s="12"/>
      <c r="Z207" s="12"/>
      <c r="AA207" s="12"/>
      <c r="AB207" s="12"/>
      <c r="AC207" s="241"/>
      <c r="AF207" s="84"/>
      <c r="AI207" s="179"/>
      <c r="AJ207" s="179"/>
      <c r="AK207" s="153"/>
    </row>
    <row r="208" spans="1:37" ht="11.25" customHeight="1" x14ac:dyDescent="0.2">
      <c r="A208" s="141"/>
      <c r="B208" s="1366"/>
      <c r="C208" s="1366"/>
      <c r="D208" s="1366"/>
      <c r="E208" s="1366"/>
      <c r="F208" s="9"/>
      <c r="G208" s="9"/>
      <c r="H208" s="9"/>
      <c r="I208" s="9"/>
      <c r="J208" s="13"/>
      <c r="K208" s="9"/>
      <c r="L208" s="9"/>
      <c r="M208" s="9"/>
      <c r="N208" s="9"/>
      <c r="O208" s="9"/>
      <c r="P208" s="9"/>
      <c r="Q208" s="9"/>
      <c r="R208" s="9"/>
      <c r="S208" s="9"/>
      <c r="T208" s="9"/>
      <c r="U208" s="11"/>
      <c r="V208" s="11"/>
      <c r="W208" s="11"/>
      <c r="X208" s="12"/>
      <c r="Y208" s="12"/>
      <c r="Z208" s="12"/>
      <c r="AA208" s="12"/>
      <c r="AB208" s="12"/>
      <c r="AC208" s="241"/>
      <c r="AF208" s="84"/>
      <c r="AI208" s="179"/>
      <c r="AJ208" s="179"/>
      <c r="AK208" s="153"/>
    </row>
    <row r="209" spans="1:56" ht="11.25" customHeight="1" x14ac:dyDescent="0.2">
      <c r="A209" s="141"/>
      <c r="B209" s="1366" t="s">
        <v>21</v>
      </c>
      <c r="C209" s="1366"/>
      <c r="D209" s="1366"/>
      <c r="E209" s="1366"/>
      <c r="F209" s="9"/>
      <c r="G209" s="9"/>
      <c r="H209" s="9"/>
      <c r="I209" s="9"/>
      <c r="J209" s="13"/>
      <c r="K209" s="9"/>
      <c r="L209" s="9"/>
      <c r="M209" s="9"/>
      <c r="N209" s="9"/>
      <c r="O209" s="9"/>
      <c r="P209" s="9"/>
      <c r="Q209" s="9"/>
      <c r="R209" s="9"/>
      <c r="S209" s="9"/>
      <c r="T209" s="9"/>
      <c r="U209" s="11"/>
      <c r="V209" s="11"/>
      <c r="W209" s="11"/>
      <c r="X209" s="12"/>
      <c r="Y209" s="12"/>
      <c r="Z209" s="12"/>
      <c r="AA209" s="12"/>
      <c r="AB209" s="12"/>
      <c r="AC209" s="241"/>
      <c r="AF209" s="84"/>
      <c r="AI209" s="179"/>
      <c r="AJ209" s="179"/>
      <c r="AK209" s="153"/>
    </row>
    <row r="210" spans="1:56" ht="11.25" customHeight="1" x14ac:dyDescent="0.2">
      <c r="A210" s="141"/>
      <c r="B210" s="1366"/>
      <c r="C210" s="1366"/>
      <c r="D210" s="1366"/>
      <c r="E210" s="1366"/>
      <c r="F210" s="9"/>
      <c r="G210" s="9"/>
      <c r="H210" s="9"/>
      <c r="I210" s="9"/>
      <c r="J210" s="13"/>
      <c r="K210" s="9"/>
      <c r="L210" s="9"/>
      <c r="M210" s="9"/>
      <c r="N210" s="9"/>
      <c r="O210" s="9"/>
      <c r="P210" s="9"/>
      <c r="Q210" s="9"/>
      <c r="R210" s="9"/>
      <c r="S210" s="9"/>
      <c r="T210" s="9"/>
      <c r="U210" s="11"/>
      <c r="V210" s="11"/>
      <c r="W210" s="11"/>
      <c r="X210" s="12"/>
      <c r="Y210" s="12"/>
      <c r="Z210" s="12"/>
      <c r="AA210" s="12"/>
      <c r="AB210" s="12"/>
      <c r="AC210" s="241"/>
      <c r="AF210" s="84"/>
      <c r="AI210" s="179"/>
      <c r="AJ210" s="179"/>
      <c r="AK210" s="153"/>
    </row>
    <row r="211" spans="1:56" ht="11.25" customHeight="1" x14ac:dyDescent="0.2">
      <c r="A211" s="141"/>
      <c r="B211" s="1366" t="s">
        <v>930</v>
      </c>
      <c r="C211" s="1366"/>
      <c r="D211" s="1366"/>
      <c r="E211" s="1366"/>
      <c r="F211" s="1366"/>
      <c r="G211" s="9"/>
      <c r="H211" s="9"/>
      <c r="I211" s="9"/>
      <c r="J211" s="13"/>
      <c r="K211" s="9"/>
      <c r="L211" s="9"/>
      <c r="M211" s="9"/>
      <c r="N211" s="9"/>
      <c r="O211" s="9"/>
      <c r="P211" s="9"/>
      <c r="Q211" s="9"/>
      <c r="R211" s="9"/>
      <c r="S211" s="9"/>
      <c r="T211" s="9"/>
      <c r="U211" s="11"/>
      <c r="V211" s="11"/>
      <c r="W211" s="11"/>
      <c r="X211" s="12"/>
      <c r="Y211" s="12"/>
      <c r="Z211" s="12"/>
      <c r="AA211" s="12"/>
      <c r="AB211" s="12"/>
      <c r="AC211" s="241"/>
      <c r="AF211" s="84"/>
      <c r="AI211" s="179"/>
      <c r="AJ211" s="179"/>
      <c r="AK211" s="153"/>
    </row>
    <row r="212" spans="1:56" ht="11.25" customHeight="1" x14ac:dyDescent="0.2">
      <c r="A212" s="141"/>
      <c r="B212" s="1366"/>
      <c r="C212" s="1366"/>
      <c r="D212" s="1366"/>
      <c r="E212" s="1366"/>
      <c r="F212" s="1366"/>
      <c r="G212" s="9"/>
      <c r="H212" s="9"/>
      <c r="I212" s="9"/>
      <c r="J212" s="13"/>
      <c r="K212" s="9"/>
      <c r="L212" s="9"/>
      <c r="M212" s="9"/>
      <c r="N212" s="9"/>
      <c r="O212" s="9"/>
      <c r="P212" s="9"/>
      <c r="Q212" s="9"/>
      <c r="R212" s="9"/>
      <c r="S212" s="9"/>
      <c r="T212" s="9"/>
      <c r="U212" s="11"/>
      <c r="V212" s="11"/>
      <c r="W212" s="11"/>
      <c r="X212" s="12"/>
      <c r="Y212" s="12"/>
      <c r="Z212" s="12"/>
      <c r="AA212" s="12"/>
      <c r="AB212" s="12"/>
      <c r="AC212" s="241"/>
      <c r="AF212" s="84"/>
      <c r="AI212" s="179"/>
      <c r="AJ212" s="179"/>
      <c r="AK212" s="153"/>
    </row>
    <row r="213" spans="1:56" ht="11.25" customHeight="1" x14ac:dyDescent="0.2">
      <c r="A213" s="141"/>
      <c r="B213" s="1366" t="s">
        <v>680</v>
      </c>
      <c r="C213" s="1366"/>
      <c r="D213" s="1366"/>
      <c r="E213" s="1366"/>
      <c r="F213" s="9"/>
      <c r="G213" s="9"/>
      <c r="H213" s="9"/>
      <c r="I213" s="9"/>
      <c r="J213" s="13"/>
      <c r="K213" s="9"/>
      <c r="L213" s="9"/>
      <c r="M213" s="9"/>
      <c r="N213" s="9"/>
      <c r="O213" s="9"/>
      <c r="P213" s="9"/>
      <c r="Q213" s="9"/>
      <c r="R213" s="9"/>
      <c r="S213" s="9"/>
      <c r="T213" s="9"/>
      <c r="U213" s="11"/>
      <c r="V213" s="11"/>
      <c r="W213" s="11"/>
      <c r="X213" s="12"/>
      <c r="Y213" s="12"/>
      <c r="Z213" s="12"/>
      <c r="AA213" s="12"/>
      <c r="AB213" s="12"/>
      <c r="AC213" s="241"/>
      <c r="AF213" s="84"/>
      <c r="AI213" s="179"/>
      <c r="AJ213" s="179"/>
      <c r="AK213" s="153"/>
    </row>
    <row r="214" spans="1:56" ht="11.25" customHeight="1" x14ac:dyDescent="0.2">
      <c r="A214" s="141"/>
      <c r="B214" s="1366"/>
      <c r="C214" s="1366"/>
      <c r="D214" s="1366"/>
      <c r="E214" s="1366"/>
      <c r="F214" s="9"/>
      <c r="G214" s="9"/>
      <c r="H214" s="9"/>
      <c r="I214" s="9"/>
      <c r="J214" s="13"/>
      <c r="K214" s="9"/>
      <c r="L214" s="9"/>
      <c r="M214" s="9"/>
      <c r="N214" s="9"/>
      <c r="O214" s="9"/>
      <c r="P214" s="9"/>
      <c r="Q214" s="9"/>
      <c r="R214" s="9"/>
      <c r="S214" s="9"/>
      <c r="T214" s="9"/>
      <c r="U214" s="11"/>
      <c r="V214" s="11"/>
      <c r="W214" s="11"/>
      <c r="X214" s="12"/>
      <c r="Y214" s="12"/>
      <c r="Z214" s="12"/>
      <c r="AA214" s="12"/>
      <c r="AB214" s="12"/>
      <c r="AC214" s="241"/>
      <c r="AF214" s="84"/>
      <c r="AI214" s="179"/>
      <c r="AJ214" s="179"/>
      <c r="AK214" s="153"/>
    </row>
    <row r="215" spans="1:56" ht="11.25" customHeight="1" x14ac:dyDescent="0.2">
      <c r="A215" s="141"/>
      <c r="B215" s="1366" t="s">
        <v>32</v>
      </c>
      <c r="C215" s="1366"/>
      <c r="D215" s="1366"/>
      <c r="E215" s="1366"/>
      <c r="F215" s="9"/>
      <c r="G215" s="9"/>
      <c r="H215" s="9"/>
      <c r="I215" s="9"/>
      <c r="J215" s="13"/>
      <c r="K215" s="9"/>
      <c r="L215" s="9"/>
      <c r="M215" s="9"/>
      <c r="N215" s="9"/>
      <c r="O215" s="9"/>
      <c r="P215" s="9"/>
      <c r="Q215" s="9"/>
      <c r="R215" s="9"/>
      <c r="S215" s="9"/>
      <c r="T215" s="9"/>
      <c r="U215" s="11"/>
      <c r="V215" s="11"/>
      <c r="W215" s="11"/>
      <c r="X215" s="12"/>
      <c r="Y215" s="12"/>
      <c r="Z215" s="12"/>
      <c r="AA215" s="12"/>
      <c r="AB215" s="12"/>
      <c r="AC215" s="241"/>
      <c r="AF215" s="84"/>
      <c r="AI215" s="179"/>
      <c r="AJ215" s="179"/>
      <c r="AK215" s="153"/>
    </row>
    <row r="216" spans="1:56" ht="11.25" customHeight="1" x14ac:dyDescent="0.2">
      <c r="A216" s="141"/>
      <c r="B216" s="1366"/>
      <c r="C216" s="1366"/>
      <c r="D216" s="1366"/>
      <c r="E216" s="1366"/>
      <c r="F216" s="9"/>
      <c r="G216" s="9"/>
      <c r="H216" s="9"/>
      <c r="I216" s="9"/>
      <c r="J216" s="13"/>
      <c r="K216" s="9"/>
      <c r="L216" s="9"/>
      <c r="M216" s="9"/>
      <c r="N216" s="9"/>
      <c r="O216" s="9"/>
      <c r="P216" s="9"/>
      <c r="Q216" s="9"/>
      <c r="R216" s="9"/>
      <c r="S216" s="9"/>
      <c r="T216" s="9"/>
      <c r="U216" s="11"/>
      <c r="V216" s="11"/>
      <c r="W216" s="11"/>
      <c r="X216" s="12"/>
      <c r="Y216" s="12"/>
      <c r="Z216" s="12"/>
      <c r="AA216" s="12"/>
      <c r="AB216" s="12"/>
      <c r="AC216" s="241"/>
      <c r="AF216" s="84"/>
      <c r="AI216" s="179"/>
      <c r="AJ216" s="179"/>
      <c r="AK216" s="153"/>
    </row>
    <row r="217" spans="1:56" ht="11.25" customHeight="1" x14ac:dyDescent="0.2">
      <c r="A217" s="248"/>
      <c r="B217" s="1110"/>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1307"/>
      <c r="AF217" s="84"/>
      <c r="AI217" s="179"/>
      <c r="AJ217" s="179"/>
      <c r="AK217" s="242"/>
    </row>
    <row r="218" spans="1:56" ht="11.25" customHeight="1" x14ac:dyDescent="0.2">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F218" s="84"/>
      <c r="AI218" s="179"/>
      <c r="AJ218" s="179"/>
    </row>
    <row r="219" spans="1:56" x14ac:dyDescent="0.2">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F219" s="84"/>
      <c r="AI219" s="179"/>
      <c r="AJ219" s="179"/>
    </row>
    <row r="220" spans="1:56" s="82" customFormat="1" ht="11.25" customHeight="1" x14ac:dyDescent="0.2">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83"/>
      <c r="AE220" s="83"/>
      <c r="AF220" s="84"/>
      <c r="AG220" s="83"/>
      <c r="AH220" s="83"/>
      <c r="AI220" s="179"/>
      <c r="AJ220" s="179"/>
      <c r="AL220" s="76"/>
      <c r="AM220" s="76"/>
      <c r="AN220" s="76"/>
      <c r="AO220" s="76"/>
      <c r="AP220" s="76"/>
      <c r="AQ220" s="76"/>
      <c r="AR220" s="76"/>
      <c r="AS220" s="76"/>
      <c r="AT220" s="76"/>
      <c r="AU220" s="76"/>
      <c r="AV220" s="76"/>
      <c r="AW220" s="76"/>
      <c r="AX220" s="76"/>
      <c r="AY220" s="76"/>
      <c r="AZ220" s="76"/>
      <c r="BA220" s="76"/>
      <c r="BB220" s="76"/>
      <c r="BC220" s="76"/>
      <c r="BD220" s="76"/>
    </row>
    <row r="221" spans="1:56" ht="11.25" customHeight="1" x14ac:dyDescent="0.2">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F221" s="84"/>
      <c r="AI221" s="179"/>
      <c r="AJ221" s="179"/>
    </row>
    <row r="222" spans="1:56" ht="11.25" customHeight="1" x14ac:dyDescent="0.2">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F222" s="84"/>
      <c r="AI222" s="179"/>
      <c r="AJ222" s="179"/>
    </row>
    <row r="223" spans="1:56" ht="11.25" customHeight="1" x14ac:dyDescent="0.2">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F223" s="84"/>
      <c r="AI223" s="179"/>
      <c r="AJ223" s="179"/>
    </row>
    <row r="224" spans="1:56" ht="11.25" customHeight="1" x14ac:dyDescent="0.2">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F224" s="84"/>
      <c r="AI224" s="179"/>
      <c r="AJ224" s="179"/>
    </row>
    <row r="225" spans="1:36" ht="11.25" customHeight="1" x14ac:dyDescent="0.2">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F225" s="84"/>
      <c r="AI225" s="179"/>
      <c r="AJ225" s="179"/>
    </row>
    <row r="226" spans="1:36" ht="11.25" customHeight="1" x14ac:dyDescent="0.2">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F226" s="84"/>
      <c r="AI226" s="179"/>
      <c r="AJ226" s="179"/>
    </row>
    <row r="227" spans="1:36" ht="11.25" customHeight="1" x14ac:dyDescent="0.2">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F227" s="84"/>
      <c r="AI227" s="179"/>
      <c r="AJ227" s="179"/>
    </row>
    <row r="228" spans="1:36" ht="11.25" customHeight="1" x14ac:dyDescent="0.2">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F228" s="84"/>
      <c r="AI228" s="179"/>
      <c r="AJ228" s="179"/>
    </row>
    <row r="229" spans="1:36" ht="11.25" customHeight="1" x14ac:dyDescent="0.2">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F229" s="84"/>
      <c r="AI229" s="179"/>
      <c r="AJ229" s="179"/>
    </row>
    <row r="230" spans="1:36" ht="11.25" customHeight="1" x14ac:dyDescent="0.2">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F230" s="84"/>
      <c r="AI230" s="179"/>
      <c r="AJ230" s="179"/>
    </row>
    <row r="231" spans="1:36" ht="11.25" customHeight="1" x14ac:dyDescent="0.2">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F231" s="84"/>
      <c r="AI231" s="179"/>
      <c r="AJ231" s="179"/>
    </row>
    <row r="232" spans="1:36" ht="11.25" customHeight="1" x14ac:dyDescent="0.2">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F232" s="84"/>
      <c r="AI232" s="179"/>
      <c r="AJ232" s="179"/>
    </row>
    <row r="233" spans="1:36" ht="11.25" customHeight="1" x14ac:dyDescent="0.2">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F233" s="84"/>
      <c r="AI233" s="179"/>
      <c r="AJ233" s="179"/>
    </row>
    <row r="234" spans="1:36" ht="11.25" customHeight="1" x14ac:dyDescent="0.2">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F234" s="84"/>
      <c r="AI234" s="179"/>
      <c r="AJ234" s="179"/>
    </row>
    <row r="235" spans="1:36" ht="11.25" customHeight="1" x14ac:dyDescent="0.2">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197"/>
      <c r="AE235" s="197"/>
      <c r="AF235" s="1132"/>
      <c r="AG235" s="197"/>
      <c r="AH235" s="197"/>
      <c r="AI235" s="198"/>
      <c r="AJ235" s="198"/>
    </row>
    <row r="346" spans="38:38" ht="11.25" customHeight="1" x14ac:dyDescent="0.2">
      <c r="AL346" s="76" t="b">
        <v>1</v>
      </c>
    </row>
  </sheetData>
  <sheetProtection sheet="1" objects="1" scenarios="1"/>
  <mergeCells count="51">
    <mergeCell ref="AX38:BB38"/>
    <mergeCell ref="AS38:AW38"/>
    <mergeCell ref="AM38:AQ38"/>
    <mergeCell ref="AR38:AR40"/>
    <mergeCell ref="A142:V142"/>
    <mergeCell ref="R65:U65"/>
    <mergeCell ref="M64:P64"/>
    <mergeCell ref="R64:U64"/>
    <mergeCell ref="A106:V106"/>
    <mergeCell ref="B110:B111"/>
    <mergeCell ref="AA8:AA9"/>
    <mergeCell ref="B181:B182"/>
    <mergeCell ref="B5:N6"/>
    <mergeCell ref="D7:H7"/>
    <mergeCell ref="I7:I9"/>
    <mergeCell ref="A177:V177"/>
    <mergeCell ref="A178:V178"/>
    <mergeCell ref="B108:I109"/>
    <mergeCell ref="A105:V105"/>
    <mergeCell ref="Q7:Q9"/>
    <mergeCell ref="B7:B9"/>
    <mergeCell ref="S7:U8"/>
    <mergeCell ref="A70:V70"/>
    <mergeCell ref="A71:V71"/>
    <mergeCell ref="O8:P8"/>
    <mergeCell ref="K7:P7"/>
    <mergeCell ref="B146:B147"/>
    <mergeCell ref="A141:V141"/>
    <mergeCell ref="Z8:Z9"/>
    <mergeCell ref="B183:E184"/>
    <mergeCell ref="B185:E186"/>
    <mergeCell ref="B35:U35"/>
    <mergeCell ref="A37:V37"/>
    <mergeCell ref="A38:V38"/>
    <mergeCell ref="O9:P9"/>
    <mergeCell ref="M65:P65"/>
    <mergeCell ref="B187:E188"/>
    <mergeCell ref="B189:E190"/>
    <mergeCell ref="B191:E192"/>
    <mergeCell ref="B193:E194"/>
    <mergeCell ref="B195:E196"/>
    <mergeCell ref="B197:E198"/>
    <mergeCell ref="B199:E200"/>
    <mergeCell ref="B201:E202"/>
    <mergeCell ref="B215:E216"/>
    <mergeCell ref="B211:F212"/>
    <mergeCell ref="B203:F204"/>
    <mergeCell ref="B205:E206"/>
    <mergeCell ref="B207:E208"/>
    <mergeCell ref="B209:E210"/>
    <mergeCell ref="B213:E214"/>
  </mergeCells>
  <conditionalFormatting sqref="AB9:AF9">
    <cfRule type="cellIs" dxfId="678" priority="80" stopIfTrue="1" operator="equal">
      <formula>0</formula>
    </cfRule>
  </conditionalFormatting>
  <conditionalFormatting sqref="B10:B31 B51:C66 B148:B169 H148:H169 K10:O31">
    <cfRule type="containsErrors" dxfId="677" priority="88">
      <formula>ISERROR(B10)</formula>
    </cfRule>
  </conditionalFormatting>
  <conditionalFormatting sqref="B32 B134:B135 B170:B171">
    <cfRule type="expression" dxfId="676" priority="83" stopIfTrue="1">
      <formula>$B32=$Z$4</formula>
    </cfRule>
  </conditionalFormatting>
  <conditionalFormatting sqref="S10:T31">
    <cfRule type="containsErrors" dxfId="675" priority="62">
      <formula>ISERROR(S10)</formula>
    </cfRule>
  </conditionalFormatting>
  <conditionalFormatting sqref="K10:O31 B10:B31 D10:I31 P10:Q32 S10:U31 B112:B133 H112:H133 B148:B169 G148:H169 B51:C66">
    <cfRule type="expression" dxfId="674" priority="56">
      <formula>$B10=$Z$4</formula>
    </cfRule>
  </conditionalFormatting>
  <conditionalFormatting sqref="D112:G133 D148:G169">
    <cfRule type="expression" dxfId="673" priority="58">
      <formula>$B112=$Z$4</formula>
    </cfRule>
    <cfRule type="containsErrors" dxfId="672" priority="59">
      <formula>ISERROR(D112)</formula>
    </cfRule>
  </conditionalFormatting>
  <conditionalFormatting sqref="A10:A31">
    <cfRule type="cellIs" dxfId="671" priority="57" operator="equal">
      <formula>0</formula>
    </cfRule>
  </conditionalFormatting>
  <conditionalFormatting sqref="A148:A169">
    <cfRule type="cellIs" dxfId="670" priority="84" operator="equal">
      <formula>0</formula>
    </cfRule>
  </conditionalFormatting>
  <conditionalFormatting sqref="A1:A70 A143:A177 A72:A105 A236:A1048576">
    <cfRule type="containsErrors" dxfId="669" priority="55">
      <formula>ISERROR(A1)</formula>
    </cfRule>
  </conditionalFormatting>
  <conditionalFormatting sqref="B112:B133 H112:H133">
    <cfRule type="containsErrors" dxfId="668" priority="53">
      <formula>ISERROR(B112)</formula>
    </cfRule>
  </conditionalFormatting>
  <conditionalFormatting sqref="A112:A133">
    <cfRule type="cellIs" dxfId="667" priority="48" operator="equal">
      <formula>0</formula>
    </cfRule>
  </conditionalFormatting>
  <conditionalFormatting sqref="A107:A141">
    <cfRule type="containsErrors" dxfId="666" priority="47">
      <formula>ISERROR(A107)</formula>
    </cfRule>
  </conditionalFormatting>
  <conditionalFormatting sqref="G148:G169">
    <cfRule type="containsErrors" dxfId="665" priority="46">
      <formula>ISERROR(G148)</formula>
    </cfRule>
  </conditionalFormatting>
  <conditionalFormatting sqref="D10:H31">
    <cfRule type="containsErrors" dxfId="664" priority="44">
      <formula>ISERROR(D10)</formula>
    </cfRule>
  </conditionalFormatting>
  <conditionalFormatting sqref="AG10:AG28">
    <cfRule type="containsErrors" dxfId="663" priority="42">
      <formula>ISERROR(AG10)</formula>
    </cfRule>
  </conditionalFormatting>
  <conditionalFormatting sqref="AG10:AG21">
    <cfRule type="expression" dxfId="662" priority="41">
      <formula>$B10=$X$4</formula>
    </cfRule>
  </conditionalFormatting>
  <conditionalFormatting sqref="D134:H134 D170:H170 D32:I32 K32:O32 S32:T32 Q32">
    <cfRule type="containsErrors" dxfId="661" priority="38">
      <formula>ISERROR(D32)</formula>
    </cfRule>
  </conditionalFormatting>
  <conditionalFormatting sqref="A71">
    <cfRule type="containsErrors" dxfId="660" priority="37">
      <formula>ISERROR(A71)</formula>
    </cfRule>
  </conditionalFormatting>
  <conditionalFormatting sqref="A106">
    <cfRule type="containsErrors" dxfId="659" priority="36">
      <formula>ISERROR(A106)</formula>
    </cfRule>
  </conditionalFormatting>
  <conditionalFormatting sqref="A142">
    <cfRule type="containsErrors" dxfId="658" priority="35">
      <formula>ISERROR(A142)</formula>
    </cfRule>
  </conditionalFormatting>
  <conditionalFormatting sqref="A178">
    <cfRule type="containsErrors" dxfId="657" priority="34">
      <formula>ISERROR(A178)</formula>
    </cfRule>
  </conditionalFormatting>
  <conditionalFormatting sqref="D8:H8">
    <cfRule type="containsErrors" dxfId="656" priority="33">
      <formula>ISERROR(D8)</formula>
    </cfRule>
  </conditionalFormatting>
  <conditionalFormatting sqref="D9:H9">
    <cfRule type="containsErrors" dxfId="655" priority="86">
      <formula>ISERROR(D9)</formula>
    </cfRule>
  </conditionalFormatting>
  <conditionalFormatting sqref="K8:O9">
    <cfRule type="containsErrors" dxfId="654" priority="89">
      <formula>ISERROR(K8)</formula>
    </cfRule>
  </conditionalFormatting>
  <conditionalFormatting sqref="D110:H110">
    <cfRule type="containsErrors" dxfId="653" priority="28">
      <formula>ISERROR(D110)</formula>
    </cfRule>
  </conditionalFormatting>
  <conditionalFormatting sqref="D111:H111">
    <cfRule type="containsErrors" dxfId="652" priority="29">
      <formula>ISERROR(D111)</formula>
    </cfRule>
  </conditionalFormatting>
  <conditionalFormatting sqref="Z146:AD146">
    <cfRule type="containsErrors" dxfId="651" priority="24">
      <formula>ISERROR(Z146)</formula>
    </cfRule>
  </conditionalFormatting>
  <conditionalFormatting sqref="D146:H146">
    <cfRule type="containsErrors" dxfId="650" priority="26">
      <formula>ISERROR(D146)</formula>
    </cfRule>
  </conditionalFormatting>
  <conditionalFormatting sqref="D147:H147">
    <cfRule type="containsErrors" dxfId="649" priority="27">
      <formula>ISERROR(D147)</formula>
    </cfRule>
  </conditionalFormatting>
  <conditionalFormatting sqref="Z147:AD147">
    <cfRule type="containsErrors" dxfId="648" priority="25">
      <formula>ISERROR(Z147)</formula>
    </cfRule>
  </conditionalFormatting>
  <conditionalFormatting sqref="Z109:AD109">
    <cfRule type="containsErrors" dxfId="647" priority="22">
      <formula>ISERROR(Z109)</formula>
    </cfRule>
  </conditionalFormatting>
  <conditionalFormatting sqref="Z110:AD110">
    <cfRule type="containsErrors" dxfId="646" priority="23">
      <formula>ISERROR(Z110)</formula>
    </cfRule>
  </conditionalFormatting>
  <conditionalFormatting sqref="I10:I31">
    <cfRule type="containsErrors" dxfId="645" priority="19">
      <formula>ISERROR(I10)</formula>
    </cfRule>
  </conditionalFormatting>
  <conditionalFormatting sqref="Q10:Q31">
    <cfRule type="containsErrors" dxfId="644" priority="18">
      <formula>ISERROR(Q10)</formula>
    </cfRule>
  </conditionalFormatting>
  <conditionalFormatting sqref="B33:T33">
    <cfRule type="containsErrors" dxfId="643" priority="17">
      <formula>ISERROR(B33)</formula>
    </cfRule>
  </conditionalFormatting>
  <conditionalFormatting sqref="P32">
    <cfRule type="containsErrors" dxfId="642" priority="15">
      <formula>ISERROR(P32)</formula>
    </cfRule>
  </conditionalFormatting>
  <conditionalFormatting sqref="P10:P32">
    <cfRule type="containsErrors" dxfId="641" priority="13">
      <formula>ISERROR(P10)</formula>
    </cfRule>
    <cfRule type="dataBar" priority="14">
      <dataBar showValue="0">
        <cfvo type="min"/>
        <cfvo type="max"/>
        <color theme="9"/>
      </dataBar>
      <extLst>
        <ext xmlns:x14="http://schemas.microsoft.com/office/spreadsheetml/2009/9/main" uri="{B025F937-C7B1-47D3-B67F-A62EFF666E3E}">
          <x14:id>{88103D56-1589-4710-8C9C-228A0803790D}</x14:id>
        </ext>
      </extLst>
    </cfRule>
  </conditionalFormatting>
  <conditionalFormatting sqref="Y2">
    <cfRule type="containsErrors" dxfId="640" priority="11">
      <formula>ISERROR(Y2)</formula>
    </cfRule>
  </conditionalFormatting>
  <conditionalFormatting sqref="Y3">
    <cfRule type="containsErrors" dxfId="639" priority="12">
      <formula>ISERROR(Y3)</formula>
    </cfRule>
  </conditionalFormatting>
  <conditionalFormatting sqref="AF109:AJ109">
    <cfRule type="containsErrors" dxfId="638" priority="9">
      <formula>ISERROR(AF109)</formula>
    </cfRule>
  </conditionalFormatting>
  <conditionalFormatting sqref="AF110:AJ110">
    <cfRule type="containsErrors" dxfId="637" priority="10">
      <formula>ISERROR(AF110)</formula>
    </cfRule>
  </conditionalFormatting>
  <conditionalFormatting sqref="U10:U31">
    <cfRule type="containsErrors" dxfId="636" priority="8">
      <formula>ISERROR(U10)</formula>
    </cfRule>
  </conditionalFormatting>
  <conditionalFormatting sqref="U32">
    <cfRule type="containsErrors" dxfId="635" priority="6">
      <formula>ISERROR(U32)</formula>
    </cfRule>
  </conditionalFormatting>
  <conditionalFormatting sqref="U33">
    <cfRule type="containsErrors" dxfId="634" priority="5">
      <formula>ISERROR(U33)</formula>
    </cfRule>
  </conditionalFormatting>
  <conditionalFormatting sqref="Z3:AD3">
    <cfRule type="containsErrors" dxfId="633" priority="4">
      <formula>ISERROR(Z3)</formula>
    </cfRule>
  </conditionalFormatting>
  <conditionalFormatting sqref="Z2:AD2">
    <cfRule type="containsErrors" dxfId="632" priority="3">
      <formula>ISERROR(Z2)</formula>
    </cfRule>
  </conditionalFormatting>
  <conditionalFormatting sqref="D135:H135">
    <cfRule type="containsErrors" dxfId="631" priority="2">
      <formula>ISERROR(D135)</formula>
    </cfRule>
  </conditionalFormatting>
  <conditionalFormatting sqref="D171:H171">
    <cfRule type="containsErrors" dxfId="630" priority="1">
      <formula>ISERROR(D171)</formula>
    </cfRule>
  </conditionalFormatting>
  <hyperlinks>
    <hyperlink ref="B185:B186" location="Coverage!A1" display="Participating LA's" xr:uid="{DA706D9A-9213-4C69-A485-54B8CF652876}"/>
    <hyperlink ref="B187:B188" location="IDACI!A1" display="IDACI" xr:uid="{DB441809-F11F-40F8-8F4B-321D7799F653}"/>
    <hyperlink ref="B215:B216" location="Adoption!A1" display="Adoption" xr:uid="{943D4C0B-C0D2-436B-BB7F-2AABB903088F}"/>
    <hyperlink ref="B209:B210" location="'Looked After Children'!A1" display="Looked After Children" xr:uid="{373C6A35-7A20-4553-A39A-25EC98E0F6A9}"/>
    <hyperlink ref="B207:B208" location="'Court Applications'!A1" display="Court Applications" xr:uid="{0EDA2521-A986-4716-9934-F412642DF27F}"/>
    <hyperlink ref="B205:B206" location="'Child Protection Plans'!A1" display="Child Protection Plans" xr:uid="{25E07611-AD0F-481B-81E6-CE62BDB3B248}"/>
    <hyperlink ref="B203:B204" location="'Initial CP Conferences'!A1" display="Initial Child Protection Conferences" xr:uid="{CAEE54B6-41BC-4F23-A778-5B686C3EF171}"/>
    <hyperlink ref="B201:B202" location="'Section 47 Enquiries'!A1" display="Section 47 Enquiries" xr:uid="{A71AE4E1-06D5-439C-A798-2B8431D08C93}"/>
    <hyperlink ref="B199:B200" location="'Children in Need'!A1" display="Children in Need" xr:uid="{AF9ED0AA-026D-4D0E-BDAE-4458F5700CAF}"/>
    <hyperlink ref="B197:B198" location="Assessments!A1" display="Assessments" xr:uid="{BD8085DC-B282-4C81-9818-AB9DCB50F997}"/>
    <hyperlink ref="B195:B196" location="'Re-referrals'!A1" display="Re-referrals" xr:uid="{EFD61D9F-FB3C-453E-AEEA-ED3F4A575BEF}"/>
    <hyperlink ref="B193:B194" location="Referral_Source!A1" display="Referral Source" xr:uid="{DA8442F2-047F-44A2-A3BA-531F04FDED84}"/>
    <hyperlink ref="B191:B192" location="Referrals!A1" display="Referrals" xr:uid="{81972DC2-26DC-405B-B5B3-913F615B2A04}"/>
    <hyperlink ref="B189:B190" location="Population!A1" display="Population" xr:uid="{B4058EC6-A908-47B6-8442-F35AA4223063}"/>
    <hyperlink ref="B187:C188" location="IDACI!A1" display="IDACI" xr:uid="{B549F518-A710-464A-97F0-6CC42BD80931}"/>
    <hyperlink ref="B183:B184" location="Coverage!A1" display="Participating LA's" xr:uid="{553316EA-7179-43DD-8999-C0FAC84DDCCC}"/>
    <hyperlink ref="B183:C184" location="Indicators!A1" display="Indicators" xr:uid="{861233D2-1819-4378-82F1-729F95D40585}"/>
    <hyperlink ref="B213:B214" location="'Looked After Children'!A1" display="Looked After Children" xr:uid="{6F11F4A5-B958-4728-94AC-878C35FE01A0}"/>
    <hyperlink ref="B211:B212" location="'Court Applications'!A1" display="Court Applications" xr:uid="{F8ECEF68-9306-47EA-9A21-074CDDE0A4E7}"/>
    <hyperlink ref="B211:C212" location="New_Ceased_LAC!A1" display="New/ Ceased Looked After Children" xr:uid="{426B0141-2BF9-4084-848A-94F40A3DCB01}"/>
    <hyperlink ref="B213:C214" location="Care_Leavers!A1" display="Care Leavers" xr:uid="{5FF8942D-B9A6-415B-8FF8-8789EEE96887}"/>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8" max="18" man="1"/>
    <brk id="71" max="20" man="1"/>
    <brk id="142" max="20" man="1"/>
  </rowBreaks>
  <ignoredErrors>
    <ignoredError sqref="A10:A31 A148:A171 D8:O9 D7:H7 J7:K7 D110:H111 D147:H147"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macro="[0]!CheckBox1_Click" altText="">
                <anchor>
                  <from>
                    <xdr:col>23</xdr:col>
                    <xdr:colOff>76200</xdr:colOff>
                    <xdr:row>39</xdr:row>
                    <xdr:rowOff>28575</xdr:rowOff>
                  </from>
                  <to>
                    <xdr:col>36</xdr:col>
                    <xdr:colOff>47625</xdr:colOff>
                    <xdr:row>41</xdr:row>
                    <xdr:rowOff>9525</xdr:rowOff>
                  </to>
                </anchor>
              </controlPr>
            </control>
          </mc:Choice>
        </mc:AlternateContent>
        <mc:AlternateContent xmlns:mc="http://schemas.openxmlformats.org/markup-compatibility/2006">
          <mc:Choice Requires="x14">
            <control shapeId="34818" r:id="rId5" name="Check Box 2">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34819" r:id="rId6" name="Check Box 3">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34820" r:id="rId7" name="Check Box 4">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34821" r:id="rId8" name="Check Box 5">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34822" r:id="rId9" name="Check Box 6">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34823" r:id="rId10" name="Check Box 7">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34824" r:id="rId11" name="Check Box 8">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34825" r:id="rId12" name="Check Box 9">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34826" r:id="rId13" name="Check Box 10">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34827" r:id="rId14" name="Check Box 11">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34828" r:id="rId15" name="Check Box 12">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34829" r:id="rId16" name="Check Box 13">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34830" r:id="rId17" name="Check Box 14">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34831" r:id="rId18" name="Check Box 15">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34832" r:id="rId19" name="Check Box 16">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34833" r:id="rId20" name="Check Box 17">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34834" r:id="rId21" name="Check Box 18">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34835" r:id="rId22" name="Check Box 19">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34836" r:id="rId23" name="Check Box 20">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34837" r:id="rId24" name="Check Box 21">
              <controlPr defaultSize="0" autoFill="0" autoLine="0" autoPict="0" macro="[0]!CheckBox1_Click" altText="">
                <anchor>
                  <from>
                    <xdr:col>23</xdr:col>
                    <xdr:colOff>76200</xdr:colOff>
                    <xdr:row>61</xdr:row>
                    <xdr:rowOff>152400</xdr:rowOff>
                  </from>
                  <to>
                    <xdr:col>36</xdr:col>
                    <xdr:colOff>47625</xdr:colOff>
                    <xdr:row>63</xdr:row>
                    <xdr:rowOff>9525</xdr:rowOff>
                  </to>
                </anchor>
              </controlPr>
            </control>
          </mc:Choice>
        </mc:AlternateContent>
        <mc:AlternateContent xmlns:mc="http://schemas.openxmlformats.org/markup-compatibility/2006">
          <mc:Choice Requires="x14">
            <control shapeId="34838" r:id="rId25" name="Check Box 22">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34839" r:id="rId26" name="Check Box 23">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34840" r:id="rId27" name="Check Box 24">
              <controlPr defaultSize="0" autoFill="0" autoLine="0" autoPict="0" macro="[0]!CheckBox1_Click" altText="">
                <anchor>
                  <from>
                    <xdr:col>23</xdr:col>
                    <xdr:colOff>76200</xdr:colOff>
                    <xdr:row>62</xdr:row>
                    <xdr:rowOff>152400</xdr:rowOff>
                  </from>
                  <to>
                    <xdr:col>36</xdr:col>
                    <xdr:colOff>47625</xdr:colOff>
                    <xdr:row>64</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88103D56-1589-4710-8C9C-228A0803790D}">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1">
    <tabColor rgb="FFFFC000"/>
  </sheetPr>
  <dimension ref="A1:ED215"/>
  <sheetViews>
    <sheetView showRowColHeaders="0" zoomScaleNormal="100" workbookViewId="0"/>
  </sheetViews>
  <sheetFormatPr defaultColWidth="9.140625" defaultRowHeight="11.25" customHeight="1" x14ac:dyDescent="0.2"/>
  <cols>
    <col min="1" max="1" width="2.140625" style="76" customWidth="1"/>
    <col min="2" max="2" width="18.42578125" style="76" customWidth="1"/>
    <col min="3" max="3" width="1.42578125" style="76" customWidth="1"/>
    <col min="4" max="14" width="5.42578125" style="76" customWidth="1"/>
    <col min="15" max="15" width="5.42578125" style="90" customWidth="1"/>
    <col min="16" max="23" width="5.42578125" style="76" customWidth="1"/>
    <col min="24" max="24" width="5" style="76" customWidth="1"/>
    <col min="25" max="25" width="2.140625" style="76" customWidth="1"/>
    <col min="26" max="26" width="6.42578125" style="82" customWidth="1"/>
    <col min="27" max="27" width="4.85546875" style="82" hidden="1" customWidth="1"/>
    <col min="28" max="28" width="17" style="83" hidden="1" customWidth="1"/>
    <col min="29" max="29" width="11.5703125" style="83" hidden="1" customWidth="1"/>
    <col min="30" max="30" width="30.42578125" style="83" hidden="1" customWidth="1"/>
    <col min="31" max="38" width="6.42578125" style="83" hidden="1" customWidth="1"/>
    <col min="39" max="77" width="6.42578125" style="76" hidden="1" customWidth="1"/>
    <col min="78" max="132" width="6.5703125" style="76" hidden="1" customWidth="1"/>
    <col min="133" max="133" width="9.140625" style="76" hidden="1" customWidth="1"/>
    <col min="134" max="16384" width="9.140625" style="76"/>
  </cols>
  <sheetData>
    <row r="1" spans="1:55" ht="18.75" customHeight="1" thickBot="1" x14ac:dyDescent="0.25">
      <c r="A1" s="114"/>
      <c r="B1" s="115"/>
      <c r="C1" s="115"/>
      <c r="D1" s="115"/>
      <c r="E1" s="115"/>
      <c r="F1" s="115"/>
      <c r="G1" s="115"/>
      <c r="H1" s="115"/>
      <c r="I1" s="115"/>
      <c r="J1" s="115"/>
      <c r="K1" s="115"/>
      <c r="L1" s="115"/>
      <c r="M1" s="115"/>
      <c r="N1" s="115"/>
      <c r="O1" s="116"/>
      <c r="P1" s="115"/>
      <c r="Q1" s="115"/>
      <c r="R1" s="115"/>
      <c r="S1" s="115"/>
      <c r="T1" s="115"/>
      <c r="U1" s="115"/>
      <c r="V1" s="115"/>
      <c r="W1" s="115"/>
      <c r="X1" s="115"/>
      <c r="Y1" s="117"/>
      <c r="Z1" s="268"/>
      <c r="AA1" s="1274"/>
      <c r="AB1" s="175"/>
      <c r="AC1" s="175"/>
      <c r="AD1" s="175"/>
      <c r="AE1" s="175"/>
      <c r="AF1" s="175"/>
      <c r="AG1" s="175"/>
      <c r="AH1" s="175"/>
      <c r="AI1" s="175"/>
      <c r="AJ1" s="175"/>
      <c r="AK1" s="175"/>
      <c r="AL1" s="175"/>
      <c r="AM1" s="176"/>
      <c r="AN1" s="177"/>
    </row>
    <row r="2" spans="1:55" ht="18.75" customHeight="1" x14ac:dyDescent="0.2">
      <c r="A2" s="120"/>
      <c r="B2" s="130" t="s">
        <v>69</v>
      </c>
      <c r="C2" s="9"/>
      <c r="D2" s="9"/>
      <c r="E2" s="9"/>
      <c r="F2" s="9"/>
      <c r="G2" s="9"/>
      <c r="H2" s="9"/>
      <c r="I2" s="9"/>
      <c r="J2" s="9"/>
      <c r="K2" s="9"/>
      <c r="L2" s="9"/>
      <c r="M2" s="9"/>
      <c r="N2" s="9"/>
      <c r="O2" s="13"/>
      <c r="P2" s="9"/>
      <c r="Q2" s="9"/>
      <c r="R2" s="9"/>
      <c r="S2" s="9"/>
      <c r="T2" s="9"/>
      <c r="U2" s="9"/>
      <c r="V2" s="9"/>
      <c r="W2" s="9"/>
      <c r="X2" s="9"/>
      <c r="Y2" s="119"/>
      <c r="Z2" s="157"/>
      <c r="AA2" s="178"/>
      <c r="AB2" s="800">
        <f>IF(Sheet1!$C$3="Annual",1,4)</f>
        <v>1</v>
      </c>
      <c r="AC2" s="760" t="str">
        <f>IF(Sheet1!$C$3="Annual","",Sheet1!$D$26)</f>
        <v/>
      </c>
      <c r="AD2" s="761" t="str">
        <f>IF(Sheet1!$C$3="Annual","",Sheet1!$E$26)</f>
        <v/>
      </c>
      <c r="AE2" s="761" t="str">
        <f>IF(Sheet1!$C$3="Annual","",Sheet1!$F$26)</f>
        <v/>
      </c>
      <c r="AF2" s="761" t="str">
        <f>IF(Sheet1!$C$3="Annual","",Sheet1!$G$26)</f>
        <v/>
      </c>
      <c r="AG2" s="762" t="str">
        <f>IF(Sheet1!$C$3="Annual","",Sheet1!$H$26)</f>
        <v/>
      </c>
      <c r="AM2" s="179"/>
      <c r="AN2" s="180"/>
    </row>
    <row r="3" spans="1:55" ht="18.75" customHeight="1" thickBot="1" x14ac:dyDescent="0.25">
      <c r="A3" s="126"/>
      <c r="B3" s="127"/>
      <c r="C3" s="127"/>
      <c r="D3" s="127"/>
      <c r="E3" s="127"/>
      <c r="F3" s="127"/>
      <c r="G3" s="127"/>
      <c r="H3" s="127"/>
      <c r="I3" s="127"/>
      <c r="J3" s="127"/>
      <c r="K3" s="127"/>
      <c r="L3" s="127"/>
      <c r="M3" s="127"/>
      <c r="N3" s="127"/>
      <c r="O3" s="128"/>
      <c r="P3" s="127"/>
      <c r="Q3" s="127"/>
      <c r="R3" s="127"/>
      <c r="S3" s="127"/>
      <c r="T3" s="127"/>
      <c r="U3" s="127"/>
      <c r="V3" s="127"/>
      <c r="W3" s="127"/>
      <c r="X3" s="127"/>
      <c r="Y3" s="129"/>
      <c r="Z3" s="157"/>
      <c r="AA3" s="178"/>
      <c r="AB3" s="763"/>
      <c r="AC3" s="763" t="str">
        <f>Sheet1!$D$25</f>
        <v>2014-15</v>
      </c>
      <c r="AD3" s="764" t="str">
        <f>Sheet1!$E$25</f>
        <v>2015-16</v>
      </c>
      <c r="AE3" s="764" t="str">
        <f>Sheet1!$F$25</f>
        <v>2016-17</v>
      </c>
      <c r="AF3" s="764" t="str">
        <f>Sheet1!$G$25</f>
        <v>2017-18</v>
      </c>
      <c r="AG3" s="765" t="str">
        <f>Sheet1!$H$25</f>
        <v>2018-19</v>
      </c>
      <c r="AM3" s="179"/>
      <c r="AN3" s="180"/>
    </row>
    <row r="4" spans="1:55" ht="11.25" hidden="1" customHeight="1" x14ac:dyDescent="0.2">
      <c r="A4" s="114"/>
      <c r="B4" s="115"/>
      <c r="C4" s="115"/>
      <c r="D4" s="115"/>
      <c r="E4" s="115"/>
      <c r="F4" s="115"/>
      <c r="G4" s="115"/>
      <c r="H4" s="115"/>
      <c r="I4" s="115"/>
      <c r="J4" s="115"/>
      <c r="K4" s="115"/>
      <c r="L4" s="115"/>
      <c r="M4" s="115"/>
      <c r="N4" s="115"/>
      <c r="O4" s="116"/>
      <c r="P4" s="115"/>
      <c r="Q4" s="115"/>
      <c r="R4" s="115"/>
      <c r="S4" s="115"/>
      <c r="T4" s="115"/>
      <c r="U4" s="115"/>
      <c r="V4" s="115"/>
      <c r="W4" s="115"/>
      <c r="X4" s="115"/>
      <c r="Y4" s="117"/>
      <c r="Z4" s="138"/>
      <c r="AA4" s="178"/>
      <c r="AB4" s="181"/>
      <c r="AC4" s="79" t="str">
        <f>Home!$D$10</f>
        <v>(none)</v>
      </c>
      <c r="AD4" s="43" t="str">
        <f>"Selected LA- "&amp;AC4</f>
        <v>Selected LA- (none)</v>
      </c>
      <c r="AM4" s="179"/>
      <c r="AN4" s="180"/>
    </row>
    <row r="5" spans="1:55" s="78" customFormat="1" ht="17.25" hidden="1" customHeight="1" x14ac:dyDescent="0.2">
      <c r="A5" s="438"/>
      <c r="B5" s="612" t="str">
        <f>AB8&amp;" of Referrals from each Source "&amp;Frontpage!J5</f>
        <v>Proportion (%) of Referrals from each Source 2018-19</v>
      </c>
      <c r="C5" s="609"/>
      <c r="D5" s="609"/>
      <c r="E5" s="609"/>
      <c r="F5" s="609"/>
      <c r="G5" s="609"/>
      <c r="H5" s="609"/>
      <c r="I5" s="609"/>
      <c r="J5" s="609"/>
      <c r="K5" s="609"/>
      <c r="L5" s="609"/>
      <c r="M5" s="62"/>
      <c r="N5" s="69"/>
      <c r="O5" s="69"/>
      <c r="P5" s="69"/>
      <c r="Q5" s="69"/>
      <c r="R5" s="69"/>
      <c r="S5" s="69"/>
      <c r="T5" s="69"/>
      <c r="U5" s="69"/>
      <c r="V5" s="69"/>
      <c r="W5" s="69"/>
      <c r="X5" s="69"/>
      <c r="Y5" s="122"/>
      <c r="Z5" s="139"/>
      <c r="AA5" s="182"/>
      <c r="AB5" s="854" t="s">
        <v>88</v>
      </c>
      <c r="AC5" s="183"/>
      <c r="AD5" s="183"/>
      <c r="AE5" s="183"/>
      <c r="AF5" s="183"/>
      <c r="AG5" s="183"/>
      <c r="AH5" s="183"/>
      <c r="AI5" s="183"/>
      <c r="AJ5" s="183"/>
      <c r="AK5" s="183"/>
      <c r="AL5" s="183"/>
      <c r="AM5" s="183"/>
      <c r="AN5" s="184"/>
    </row>
    <row r="6" spans="1:55" ht="13.5" hidden="1" customHeight="1" x14ac:dyDescent="0.2">
      <c r="A6" s="271"/>
      <c r="B6" s="611" t="s">
        <v>111</v>
      </c>
      <c r="C6" s="609"/>
      <c r="D6" s="609"/>
      <c r="E6" s="609"/>
      <c r="F6" s="609"/>
      <c r="G6" s="609"/>
      <c r="H6" s="609"/>
      <c r="I6" s="609"/>
      <c r="J6" s="609"/>
      <c r="K6" s="609"/>
      <c r="L6" s="609"/>
      <c r="M6" s="69"/>
      <c r="N6" s="69"/>
      <c r="O6" s="69"/>
      <c r="P6" s="69"/>
      <c r="Q6" s="69"/>
      <c r="R6" s="69"/>
      <c r="S6" s="69"/>
      <c r="T6" s="69"/>
      <c r="U6" s="69"/>
      <c r="V6" s="58"/>
      <c r="W6" s="69"/>
      <c r="X6" s="69"/>
      <c r="Y6" s="119"/>
      <c r="Z6" s="138"/>
      <c r="AA6" s="178"/>
      <c r="AB6" s="854" t="s">
        <v>105</v>
      </c>
      <c r="AC6" s="185"/>
      <c r="AF6" s="83">
        <v>3</v>
      </c>
      <c r="AG6" s="83">
        <v>4</v>
      </c>
      <c r="AH6" s="83">
        <v>5</v>
      </c>
      <c r="AI6" s="83">
        <v>6</v>
      </c>
      <c r="AJ6" s="83">
        <v>7</v>
      </c>
      <c r="AK6" s="83">
        <v>8</v>
      </c>
      <c r="AL6" s="83">
        <v>9</v>
      </c>
      <c r="AM6" s="83">
        <v>10</v>
      </c>
      <c r="AN6" s="83">
        <v>11</v>
      </c>
      <c r="AO6" s="83">
        <v>12</v>
      </c>
      <c r="AP6" s="83">
        <v>13</v>
      </c>
      <c r="AQ6" s="83">
        <v>14</v>
      </c>
      <c r="AR6" s="83">
        <v>15</v>
      </c>
      <c r="AS6" s="83">
        <v>16</v>
      </c>
      <c r="AT6" s="83">
        <v>17</v>
      </c>
      <c r="AU6" s="83">
        <v>18</v>
      </c>
      <c r="AV6" s="83">
        <v>19</v>
      </c>
      <c r="AW6" s="83">
        <v>20</v>
      </c>
      <c r="AX6" s="83">
        <v>21</v>
      </c>
      <c r="AY6" s="83">
        <v>22</v>
      </c>
      <c r="AZ6" s="83">
        <v>23</v>
      </c>
      <c r="BA6" s="83">
        <v>24</v>
      </c>
    </row>
    <row r="7" spans="1:55" ht="13.5" hidden="1" customHeight="1" x14ac:dyDescent="0.2">
      <c r="A7" s="271"/>
      <c r="B7" s="1531" t="s">
        <v>691</v>
      </c>
      <c r="C7" s="69"/>
      <c r="D7" s="172" t="s">
        <v>49</v>
      </c>
      <c r="E7" s="172" t="s">
        <v>50</v>
      </c>
      <c r="F7" s="172" t="s">
        <v>51</v>
      </c>
      <c r="G7" s="172" t="s">
        <v>52</v>
      </c>
      <c r="H7" s="172" t="s">
        <v>53</v>
      </c>
      <c r="I7" s="172" t="s">
        <v>54</v>
      </c>
      <c r="J7" s="172" t="s">
        <v>55</v>
      </c>
      <c r="K7" s="172" t="s">
        <v>56</v>
      </c>
      <c r="L7" s="172" t="s">
        <v>57</v>
      </c>
      <c r="M7" s="172" t="s">
        <v>58</v>
      </c>
      <c r="N7" s="172" t="s">
        <v>59</v>
      </c>
      <c r="O7" s="172" t="s">
        <v>60</v>
      </c>
      <c r="P7" s="172">
        <v>4</v>
      </c>
      <c r="Q7" s="172" t="s">
        <v>61</v>
      </c>
      <c r="R7" s="172" t="s">
        <v>62</v>
      </c>
      <c r="S7" s="172" t="s">
        <v>63</v>
      </c>
      <c r="T7" s="172">
        <v>6</v>
      </c>
      <c r="U7" s="172">
        <v>7</v>
      </c>
      <c r="V7" s="172">
        <v>8</v>
      </c>
      <c r="W7" s="172">
        <v>9</v>
      </c>
      <c r="X7" s="173">
        <v>10</v>
      </c>
      <c r="Y7" s="119"/>
      <c r="Z7" s="138"/>
      <c r="AA7" s="178"/>
      <c r="AB7" s="854" t="s">
        <v>104</v>
      </c>
      <c r="AC7" s="186"/>
      <c r="AD7" s="187"/>
      <c r="AE7" s="187"/>
      <c r="AF7" s="50" t="s">
        <v>49</v>
      </c>
      <c r="AG7" s="174" t="s">
        <v>50</v>
      </c>
      <c r="AH7" s="174" t="s">
        <v>51</v>
      </c>
      <c r="AI7" s="174" t="s">
        <v>52</v>
      </c>
      <c r="AJ7" s="174" t="s">
        <v>53</v>
      </c>
      <c r="AK7" s="174" t="s">
        <v>54</v>
      </c>
      <c r="AL7" s="174" t="s">
        <v>55</v>
      </c>
      <c r="AM7" s="174" t="s">
        <v>56</v>
      </c>
      <c r="AN7" s="174" t="s">
        <v>57</v>
      </c>
      <c r="AO7" s="174" t="s">
        <v>58</v>
      </c>
      <c r="AP7" s="174" t="s">
        <v>59</v>
      </c>
      <c r="AQ7" s="174" t="s">
        <v>60</v>
      </c>
      <c r="AR7" s="174">
        <v>4</v>
      </c>
      <c r="AS7" s="174" t="s">
        <v>61</v>
      </c>
      <c r="AT7" s="174" t="s">
        <v>62</v>
      </c>
      <c r="AU7" s="174" t="s">
        <v>63</v>
      </c>
      <c r="AV7" s="174">
        <v>6</v>
      </c>
      <c r="AW7" s="174">
        <v>7</v>
      </c>
      <c r="AX7" s="174">
        <v>8</v>
      </c>
      <c r="AY7" s="174">
        <v>9</v>
      </c>
      <c r="AZ7" s="51">
        <v>10</v>
      </c>
      <c r="BA7" s="1529" t="s">
        <v>87</v>
      </c>
    </row>
    <row r="8" spans="1:55" s="89" customFormat="1" ht="61.5" hidden="1" customHeight="1" thickBot="1" x14ac:dyDescent="0.25">
      <c r="A8" s="286"/>
      <c r="B8" s="1532"/>
      <c r="C8" s="155"/>
      <c r="D8" s="169" t="s">
        <v>34</v>
      </c>
      <c r="E8" s="108" t="s">
        <v>35</v>
      </c>
      <c r="F8" s="108" t="s">
        <v>36</v>
      </c>
      <c r="G8" s="108" t="s">
        <v>37</v>
      </c>
      <c r="H8" s="108" t="s">
        <v>38</v>
      </c>
      <c r="I8" s="108" t="s">
        <v>39</v>
      </c>
      <c r="J8" s="108" t="s">
        <v>40</v>
      </c>
      <c r="K8" s="108" t="s">
        <v>41</v>
      </c>
      <c r="L8" s="108" t="s">
        <v>42</v>
      </c>
      <c r="M8" s="108" t="s">
        <v>43</v>
      </c>
      <c r="N8" s="108" t="s">
        <v>44</v>
      </c>
      <c r="O8" s="108" t="s">
        <v>45</v>
      </c>
      <c r="P8" s="108" t="s">
        <v>46</v>
      </c>
      <c r="Q8" s="108" t="s">
        <v>47</v>
      </c>
      <c r="R8" s="108" t="s">
        <v>48</v>
      </c>
      <c r="S8" s="108" t="s">
        <v>68</v>
      </c>
      <c r="T8" s="108" t="s">
        <v>23</v>
      </c>
      <c r="U8" s="108" t="s">
        <v>67</v>
      </c>
      <c r="V8" s="108" t="s">
        <v>66</v>
      </c>
      <c r="W8" s="108" t="s">
        <v>64</v>
      </c>
      <c r="X8" s="106" t="s">
        <v>65</v>
      </c>
      <c r="Y8" s="124"/>
      <c r="Z8" s="140"/>
      <c r="AA8" s="188"/>
      <c r="AB8" s="853" t="s">
        <v>104</v>
      </c>
      <c r="AC8" s="186"/>
      <c r="AD8" s="187"/>
      <c r="AE8" s="187"/>
      <c r="AF8" s="107" t="s">
        <v>34</v>
      </c>
      <c r="AG8" s="105" t="s">
        <v>35</v>
      </c>
      <c r="AH8" s="105" t="s">
        <v>36</v>
      </c>
      <c r="AI8" s="105" t="s">
        <v>37</v>
      </c>
      <c r="AJ8" s="105" t="s">
        <v>38</v>
      </c>
      <c r="AK8" s="105" t="s">
        <v>39</v>
      </c>
      <c r="AL8" s="105" t="s">
        <v>40</v>
      </c>
      <c r="AM8" s="105" t="s">
        <v>41</v>
      </c>
      <c r="AN8" s="105" t="s">
        <v>42</v>
      </c>
      <c r="AO8" s="105" t="s">
        <v>43</v>
      </c>
      <c r="AP8" s="105" t="s">
        <v>44</v>
      </c>
      <c r="AQ8" s="105" t="s">
        <v>45</v>
      </c>
      <c r="AR8" s="105" t="s">
        <v>46</v>
      </c>
      <c r="AS8" s="105" t="s">
        <v>47</v>
      </c>
      <c r="AT8" s="105" t="s">
        <v>48</v>
      </c>
      <c r="AU8" s="105" t="s">
        <v>68</v>
      </c>
      <c r="AV8" s="105" t="s">
        <v>23</v>
      </c>
      <c r="AW8" s="105" t="s">
        <v>67</v>
      </c>
      <c r="AX8" s="105" t="s">
        <v>66</v>
      </c>
      <c r="AY8" s="105" t="s">
        <v>64</v>
      </c>
      <c r="AZ8" s="104" t="s">
        <v>65</v>
      </c>
      <c r="BA8" s="1530"/>
    </row>
    <row r="9" spans="1:55" s="89" customFormat="1" ht="13.5" hidden="1" customHeight="1" x14ac:dyDescent="0.2">
      <c r="A9" s="462">
        <f>VLOOKUP(B9,Sheet1!$AQ$4:$AR$25,2,FALSE)</f>
        <v>0</v>
      </c>
      <c r="B9" s="95" t="str">
        <f>Sheet1!$K$4</f>
        <v>Bracknell Forest</v>
      </c>
      <c r="C9" s="87"/>
      <c r="D9" s="226">
        <f t="shared" ref="D9:D31" si="0">VLOOKUP(CONCATENATE($B9,$AB$8),$AD$9:$BA$79,AF$6,FALSE)</f>
        <v>9.7153185720741089</v>
      </c>
      <c r="E9" s="226"/>
      <c r="F9" s="226"/>
      <c r="G9" s="226"/>
      <c r="H9" s="226">
        <f t="shared" ref="H9:H31" si="1">VLOOKUP(CONCATENATE($B9,$AB$8),$AD$9:$BA$79,AJ$6,FALSE)</f>
        <v>26.751016719385451</v>
      </c>
      <c r="I9" s="226">
        <f t="shared" ref="I9:I31" si="2">VLOOKUP(CONCATENATE($B9,$AB$8),$AD$9:$BA$79,AK$6,FALSE)</f>
        <v>0</v>
      </c>
      <c r="J9" s="226">
        <f t="shared" ref="J9:J31" si="3">VLOOKUP(CONCATENATE($B9,$AB$8),$AD$9:$BA$79,AL$6,FALSE)</f>
        <v>11.477632173520108</v>
      </c>
      <c r="K9" s="226"/>
      <c r="L9" s="226"/>
      <c r="M9" s="226"/>
      <c r="N9" s="226"/>
      <c r="O9" s="226"/>
      <c r="P9" s="226">
        <f t="shared" ref="P9:P31" si="4">VLOOKUP(CONCATENATE($B9,$AB$8),$AD$9:$BA$79,AR$6,FALSE)</f>
        <v>1.3556258472661544</v>
      </c>
      <c r="Q9" s="226">
        <f t="shared" ref="Q9:Q31" si="5">VLOOKUP(CONCATENATE($B9,$AB$8),$AD$9:$BA$79,AS$6,FALSE)</f>
        <v>21.057388160867603</v>
      </c>
      <c r="R9" s="226"/>
      <c r="S9" s="226"/>
      <c r="T9" s="226">
        <f t="shared" ref="T9:T31" si="6">VLOOKUP(CONCATENATE($B9,$AB$8),$AD$9:$BA$79,AV$6,FALSE)</f>
        <v>20.018075011296883</v>
      </c>
      <c r="U9" s="226">
        <f t="shared" ref="U9:U31" si="7">VLOOKUP(CONCATENATE($B9,$AB$8),$AD$9:$BA$79,AW$6,FALSE)</f>
        <v>2.3949389968368728</v>
      </c>
      <c r="V9" s="226">
        <f t="shared" ref="V9:V31" si="8">VLOOKUP(CONCATENATE($B9,$AB$8),$AD$9:$BA$79,AX$6,FALSE)</f>
        <v>4.2928151830094894</v>
      </c>
      <c r="W9" s="226">
        <f t="shared" ref="W9:W31" si="9">VLOOKUP(CONCATENATE($B9,$AB$8),$AD$9:$BA$79,AY$6,FALSE)</f>
        <v>2.937189335743335</v>
      </c>
      <c r="X9" s="401">
        <f t="shared" ref="X9:X31" si="10">VLOOKUP(CONCATENATE($B9,$AB$8),$AD$9:$BA$79,AZ$6,FALSE)</f>
        <v>0</v>
      </c>
      <c r="Y9" s="124"/>
      <c r="Z9" s="140"/>
      <c r="AA9" s="188"/>
      <c r="AB9" s="48" t="str">
        <f>B9</f>
        <v>Bracknell Forest</v>
      </c>
      <c r="AC9" s="47">
        <v>1</v>
      </c>
      <c r="AD9" s="48" t="str">
        <f>CONCATENATE(AB9,$AB$5)</f>
        <v>Bracknell ForestNumber</v>
      </c>
      <c r="AE9" s="49" t="b">
        <f>IF(AB9=$AA$6,1)</f>
        <v>0</v>
      </c>
      <c r="AF9" s="538">
        <f>IF(Year5_Bracknell_Forest Year5_ReferralSource_Individual_Family="","",Year5_Bracknell_Forest Year5_ReferralSource_Individual_Family)</f>
        <v>215</v>
      </c>
      <c r="AG9" s="539" t="str">
        <f>IF(Year5_Bracknell_Forest Year5_ReferralSource_Individual_Acquaintance="","",Year5_Bracknell_Forest Year5_ReferralSource_Individual_Acquaintance)</f>
        <v/>
      </c>
      <c r="AH9" s="539" t="str">
        <f>IF(Year5_Bracknell_Forest Year5_ReferralSource_Individual_Self="","",Year5_Bracknell_Forest Year5_ReferralSource_Individual_Self)</f>
        <v/>
      </c>
      <c r="AI9" s="539" t="str">
        <f>IF(Year5_Bracknell_Forest Year5_ReferralSource_Individual_Other="","",Year5_Bracknell_Forest Year5_ReferralSource_Individual_Other)</f>
        <v/>
      </c>
      <c r="AJ9" s="539">
        <f>IF(Year5_Bracknell_Forest Year5_ReferralSource_School="","",Year5_Bracknell_Forest Year5_ReferralSource_School)</f>
        <v>592</v>
      </c>
      <c r="AK9" s="539">
        <f>IF(Year5_Bracknell_Forest Year5_ReferralSource_EducationServices="","",Year5_Bracknell_Forest Year5_ReferralSource_EducationServices)</f>
        <v>0</v>
      </c>
      <c r="AL9" s="539">
        <f>IF(Year5_Bracknell_Forest Year5_ReferralSource_Health_services_GP="","",Year5_Bracknell_Forest Year5_ReferralSource_Health_services_GP)</f>
        <v>254</v>
      </c>
      <c r="AM9" s="539" t="str">
        <f>IF(Year5_Bracknell_Forest Year5_ReferralSource_Health_services_HealthVisitor="","",Year5_Bracknell_Forest Year5_ReferralSource_Health_services_HealthVisitor)</f>
        <v/>
      </c>
      <c r="AN9" s="539" t="str">
        <f>IF(Year5_Bracknell_Forest Year5_ReferralSource_Health_services_SchoolNurse="","",Year5_Bracknell_Forest Year5_ReferralSource_Health_services_SchoolNurse)</f>
        <v/>
      </c>
      <c r="AO9" s="539" t="str">
        <f>IF(Year5_Bracknell_Forest Year5_ReferralSource_Health_services_OthPrimary="","",Year5_Bracknell_Forest Year5_ReferralSource_Health_services_OthPrimary)</f>
        <v/>
      </c>
      <c r="AP9" s="539" t="str">
        <f>IF(Year5_Bracknell_Forest Year5_ReferralSource_Health_services_AE="","",Year5_Bracknell_Forest Year5_ReferralSource_Health_services_AE)</f>
        <v/>
      </c>
      <c r="AQ9" s="539" t="str">
        <f>IF(Year5_Bracknell_Forest Year5_ReferralSource_Health_services_Other="","",Year5_Bracknell_Forest Year5_ReferralSource_Health_services_Other)</f>
        <v/>
      </c>
      <c r="AR9" s="539">
        <f>IF(Year5_Bracknell_Forest Year5_ReferralSource_Housing="","",Year5_Bracknell_Forest Year5_ReferralSource_Housing)</f>
        <v>30</v>
      </c>
      <c r="AS9" s="539">
        <f>IF(Year5_Bracknell_Forest Year5_ReferralSource_LA_SC="","",Year5_Bracknell_Forest Year5_ReferralSource_LA_SC)</f>
        <v>466</v>
      </c>
      <c r="AT9" s="539" t="str">
        <f>IF(Year5_Bracknell_Forest Year5_ReferralSource_LA_Other="","",Year5_Bracknell_Forest Year5_ReferralSource_LA_Other)</f>
        <v/>
      </c>
      <c r="AU9" s="539" t="str">
        <f>IF(Year5_Bracknell_Forest Year5_ReferralSource_LA_External="","",Year5_Bracknell_Forest Year5_ReferralSource_LA_External)</f>
        <v/>
      </c>
      <c r="AV9" s="539">
        <f>IF(Year5_Bracknell_Forest Year5_ReferralSource_Police="","",Year5_Bracknell_Forest Year5_ReferralSource_Police)</f>
        <v>443</v>
      </c>
      <c r="AW9" s="539">
        <f>IF(Year5_Bracknell_Forest Year5_ReferralSource_Other_Legal="","",Year5_Bracknell_Forest Year5_ReferralSource_Other_Legal)</f>
        <v>53</v>
      </c>
      <c r="AX9" s="539">
        <f>IF(Year5_Bracknell_Forest Year5_ReferralSource_Other="","",Year5_Bracknell_Forest Year5_ReferralSource_Other)</f>
        <v>95</v>
      </c>
      <c r="AY9" s="539">
        <f>IF(Year5_Bracknell_Forest Year5_ReferralSource_Anonymous="","",Year5_Bracknell_Forest Year5_ReferralSource_Anonymous)</f>
        <v>65</v>
      </c>
      <c r="AZ9" s="540">
        <f>IF(Year5_Bracknell_Forest Year5_ReferralSource_Unknown="","",Year5_Bracknell_Forest Year5_ReferralSource_Unknown)</f>
        <v>0</v>
      </c>
      <c r="BA9" s="621">
        <f>SUM(AF9:AZ9)</f>
        <v>2213</v>
      </c>
      <c r="BB9" s="89">
        <f>IF(BA9&gt;0,Population!H10,0)</f>
        <v>28300</v>
      </c>
      <c r="BC9" s="143">
        <f>BA9/BB9*10000</f>
        <v>781.97879858657245</v>
      </c>
    </row>
    <row r="10" spans="1:55" s="89" customFormat="1" ht="13.5" hidden="1" customHeight="1" x14ac:dyDescent="0.2">
      <c r="A10" s="462">
        <f>VLOOKUP(B10,Sheet1!$AQ$4:$AR$25,2,FALSE)</f>
        <v>0</v>
      </c>
      <c r="B10" s="95" t="str">
        <f>Sheet1!$K$5</f>
        <v>Brighton &amp; Hove</v>
      </c>
      <c r="C10" s="87"/>
      <c r="D10" s="226">
        <f t="shared" si="0"/>
        <v>3.2417412781722756</v>
      </c>
      <c r="E10" s="226"/>
      <c r="F10" s="226"/>
      <c r="G10" s="226"/>
      <c r="H10" s="226">
        <f t="shared" si="1"/>
        <v>15.683853041062058</v>
      </c>
      <c r="I10" s="226">
        <f t="shared" si="2"/>
        <v>3.1182463723371412</v>
      </c>
      <c r="J10" s="226">
        <f t="shared" si="3"/>
        <v>9.4164865699289901</v>
      </c>
      <c r="K10" s="226"/>
      <c r="L10" s="226"/>
      <c r="M10" s="226"/>
      <c r="N10" s="226"/>
      <c r="O10" s="226"/>
      <c r="P10" s="226">
        <f t="shared" si="4"/>
        <v>1.2658227848101267</v>
      </c>
      <c r="Q10" s="226">
        <f t="shared" si="5"/>
        <v>12.936091386230316</v>
      </c>
      <c r="R10" s="226"/>
      <c r="S10" s="226"/>
      <c r="T10" s="226">
        <f t="shared" si="6"/>
        <v>24.081506637851188</v>
      </c>
      <c r="U10" s="226">
        <f t="shared" si="7"/>
        <v>2.4698981167026859</v>
      </c>
      <c r="V10" s="226">
        <f t="shared" si="8"/>
        <v>4.8163013275702378</v>
      </c>
      <c r="W10" s="226">
        <f t="shared" si="9"/>
        <v>1.3584439641864774</v>
      </c>
      <c r="X10" s="401">
        <f t="shared" si="10"/>
        <v>21.611608521148504</v>
      </c>
      <c r="Y10" s="124"/>
      <c r="Z10" s="140"/>
      <c r="AA10" s="188"/>
      <c r="AB10" s="48" t="str">
        <f t="shared" ref="AB10:AB30" si="11">B10</f>
        <v>Brighton &amp; Hove</v>
      </c>
      <c r="AC10" s="47">
        <v>2</v>
      </c>
      <c r="AD10" s="48" t="str">
        <f t="shared" ref="AD10:AD32" si="12">CONCATENATE(AB10,$AB$5)</f>
        <v>Brighton &amp; HoveNumber</v>
      </c>
      <c r="AE10" s="49" t="b">
        <f t="shared" ref="AE10:AE75" si="13">IF(AB10=$AA$6,1)</f>
        <v>0</v>
      </c>
      <c r="AF10" s="541">
        <f>IF(Year5_Brighton_Hove Year5_ReferralSource_Individual_Family="","",Year5_Brighton_Hove Year5_ReferralSource_Individual_Family)</f>
        <v>105</v>
      </c>
      <c r="AG10" s="542" t="str">
        <f>IF(Year5_Brighton_Hove Year5_ReferralSource_Individual_Acquaintance="","",Year5_Brighton_Hove Year5_ReferralSource_Individual_Acquaintance)</f>
        <v/>
      </c>
      <c r="AH10" s="542" t="str">
        <f>IF(Year5_Brighton_Hove Year5_ReferralSource_Individual_Self="","",Year5_Brighton_Hove Year5_ReferralSource_Individual_Self)</f>
        <v/>
      </c>
      <c r="AI10" s="542" t="str">
        <f>IF(Year5_Brighton_Hove Year5_ReferralSource_Individual_Other="","",Year5_Brighton_Hove Year5_ReferralSource_Individual_Other)</f>
        <v/>
      </c>
      <c r="AJ10" s="542">
        <f>IF(Year5_Brighton_Hove Year5_ReferralSource_School="","",Year5_Brighton_Hove Year5_ReferralSource_School)</f>
        <v>508</v>
      </c>
      <c r="AK10" s="542">
        <f>IF(Year5_Brighton_Hove Year5_ReferralSource_EducationServices="","",Year5_Brighton_Hove Year5_ReferralSource_EducationServices)</f>
        <v>101</v>
      </c>
      <c r="AL10" s="542">
        <f>IF(Year5_Brighton_Hove Year5_ReferralSource_Health_services_GP="","",Year5_Brighton_Hove Year5_ReferralSource_Health_services_GP)</f>
        <v>305</v>
      </c>
      <c r="AM10" s="542" t="str">
        <f>IF(Year5_Brighton_Hove Year5_ReferralSource_Health_services_HealthVisitor="","",Year5_Brighton_Hove Year5_ReferralSource_Health_services_HealthVisitor)</f>
        <v/>
      </c>
      <c r="AN10" s="542" t="str">
        <f>IF(Year5_Brighton_Hove Year5_ReferralSource_Health_services_SchoolNurse="","",Year5_Brighton_Hove Year5_ReferralSource_Health_services_SchoolNurse)</f>
        <v/>
      </c>
      <c r="AO10" s="542" t="str">
        <f>IF(Year5_Brighton_Hove Year5_ReferralSource_Health_services_OthPrimary="","",Year5_Brighton_Hove Year5_ReferralSource_Health_services_OthPrimary)</f>
        <v/>
      </c>
      <c r="AP10" s="542" t="str">
        <f>IF(Year5_Brighton_Hove Year5_ReferralSource_Health_services_AE="","",Year5_Brighton_Hove Year5_ReferralSource_Health_services_AE)</f>
        <v/>
      </c>
      <c r="AQ10" s="542" t="str">
        <f>IF(Year5_Brighton_Hove Year5_ReferralSource_Health_services_Other="","",Year5_Brighton_Hove Year5_ReferralSource_Health_services_Other)</f>
        <v/>
      </c>
      <c r="AR10" s="542">
        <f>IF(Year5_Brighton_Hove Year5_ReferralSource_Housing="","",Year5_Brighton_Hove Year5_ReferralSource_Housing)</f>
        <v>41</v>
      </c>
      <c r="AS10" s="542">
        <f>IF(Year5_Brighton_Hove Year5_ReferralSource_LA_SC="","",Year5_Brighton_Hove Year5_ReferralSource_LA_SC)</f>
        <v>419</v>
      </c>
      <c r="AT10" s="542" t="str">
        <f>IF(Year5_Brighton_Hove Year5_ReferralSource_LA_Other="","",Year5_Brighton_Hove Year5_ReferralSource_LA_Other)</f>
        <v/>
      </c>
      <c r="AU10" s="542" t="str">
        <f>IF(Year5_Brighton_Hove Year5_ReferralSource_LA_External="","",Year5_Brighton_Hove Year5_ReferralSource_LA_External)</f>
        <v/>
      </c>
      <c r="AV10" s="542">
        <f>IF(Year5_Brighton_Hove Year5_ReferralSource_Police="","",Year5_Brighton_Hove Year5_ReferralSource_Police)</f>
        <v>780</v>
      </c>
      <c r="AW10" s="542">
        <f>IF(Year5_Brighton_Hove Year5_ReferralSource_Other_Legal="","",Year5_Brighton_Hove Year5_ReferralSource_Other_Legal)</f>
        <v>80</v>
      </c>
      <c r="AX10" s="542">
        <f>IF(Year5_Brighton_Hove Year5_ReferralSource_Other="","",Year5_Brighton_Hove Year5_ReferralSource_Other)</f>
        <v>156</v>
      </c>
      <c r="AY10" s="542">
        <f>IF(Year5_Brighton_Hove Year5_ReferralSource_Anonymous="","",Year5_Brighton_Hove Year5_ReferralSource_Anonymous)</f>
        <v>44</v>
      </c>
      <c r="AZ10" s="543">
        <f>IF(Year5_Brighton_Hove Year5_ReferralSource_Unknown="","",Year5_Brighton_Hove Year5_ReferralSource_Unknown)</f>
        <v>700</v>
      </c>
      <c r="BA10" s="57">
        <f t="shared" ref="BA10:BA29" si="14">SUM(AF10:AZ10)</f>
        <v>3239</v>
      </c>
      <c r="BB10" s="89">
        <f>IF(BA10&gt;0,Population!H11,0)</f>
        <v>51000</v>
      </c>
      <c r="BC10" s="143">
        <f t="shared" ref="BC10:BC30" si="15">BA10/BB10*10000</f>
        <v>635.0980392156863</v>
      </c>
    </row>
    <row r="11" spans="1:55" s="89" customFormat="1" ht="13.5" hidden="1" customHeight="1" x14ac:dyDescent="0.2">
      <c r="A11" s="462">
        <f>VLOOKUP(B11,Sheet1!$AQ$4:$AR$25,2,FALSE)</f>
        <v>0</v>
      </c>
      <c r="B11" s="95" t="str">
        <f>Sheet1!$K$6</f>
        <v>Buckinghamshire</v>
      </c>
      <c r="C11" s="87"/>
      <c r="D11" s="226">
        <f t="shared" si="0"/>
        <v>7.4738219895287967</v>
      </c>
      <c r="E11" s="226"/>
      <c r="F11" s="226"/>
      <c r="G11" s="226"/>
      <c r="H11" s="226">
        <f t="shared" si="1"/>
        <v>20.117801047120416</v>
      </c>
      <c r="I11" s="226">
        <f t="shared" si="2"/>
        <v>0.24869109947643978</v>
      </c>
      <c r="J11" s="226">
        <f t="shared" si="3"/>
        <v>15.471204188481675</v>
      </c>
      <c r="K11" s="226"/>
      <c r="L11" s="226"/>
      <c r="M11" s="226"/>
      <c r="N11" s="226"/>
      <c r="O11" s="226"/>
      <c r="P11" s="226">
        <f t="shared" si="4"/>
        <v>0.86387434554973819</v>
      </c>
      <c r="Q11" s="226">
        <f t="shared" si="5"/>
        <v>10.026178010471204</v>
      </c>
      <c r="R11" s="226"/>
      <c r="S11" s="226"/>
      <c r="T11" s="226">
        <f t="shared" si="6"/>
        <v>35.497382198952884</v>
      </c>
      <c r="U11" s="226">
        <f t="shared" si="7"/>
        <v>3.1937172774869111</v>
      </c>
      <c r="V11" s="226">
        <f t="shared" si="8"/>
        <v>4.5157068062827221</v>
      </c>
      <c r="W11" s="226">
        <f t="shared" si="9"/>
        <v>2.4345549738219896</v>
      </c>
      <c r="X11" s="401">
        <f t="shared" si="10"/>
        <v>0.15706806282722513</v>
      </c>
      <c r="Y11" s="124"/>
      <c r="Z11" s="140"/>
      <c r="AA11" s="188"/>
      <c r="AB11" s="48" t="str">
        <f t="shared" si="11"/>
        <v>Buckinghamshire</v>
      </c>
      <c r="AC11" s="47">
        <v>3</v>
      </c>
      <c r="AD11" s="48" t="str">
        <f t="shared" si="12"/>
        <v>BuckinghamshireNumber</v>
      </c>
      <c r="AE11" s="49" t="b">
        <f t="shared" si="13"/>
        <v>0</v>
      </c>
      <c r="AF11" s="541">
        <f>IF(Year5_Buckinghamshire Year5_ReferralSource_Individual_Family="","",Year5_Buckinghamshire Year5_ReferralSource_Individual_Family)</f>
        <v>571</v>
      </c>
      <c r="AG11" s="542" t="str">
        <f>IF(Year5_Buckinghamshire Year5_ReferralSource_Individual_Acquaintance="","",Year5_Buckinghamshire Year5_ReferralSource_Individual_Acquaintance)</f>
        <v/>
      </c>
      <c r="AH11" s="542" t="str">
        <f>IF(Year5_Buckinghamshire Year5_ReferralSource_Individual_Self="","",Year5_Buckinghamshire Year5_ReferralSource_Individual_Self)</f>
        <v/>
      </c>
      <c r="AI11" s="542" t="str">
        <f>IF(Year5_Buckinghamshire Year5_ReferralSource_Individual_Other="","",Year5_Buckinghamshire Year5_ReferralSource_Individual_Other)</f>
        <v/>
      </c>
      <c r="AJ11" s="542">
        <f>IF(Year5_Buckinghamshire Year5_ReferralSource_School="","",Year5_Buckinghamshire Year5_ReferralSource_School)</f>
        <v>1537</v>
      </c>
      <c r="AK11" s="542">
        <f>IF(Year5_Buckinghamshire Year5_ReferralSource_EducationServices="","",Year5_Buckinghamshire Year5_ReferralSource_EducationServices)</f>
        <v>19</v>
      </c>
      <c r="AL11" s="542">
        <f>IF(Year5_Buckinghamshire Year5_ReferralSource_Health_services_GP="","",Year5_Buckinghamshire Year5_ReferralSource_Health_services_GP)</f>
        <v>1182</v>
      </c>
      <c r="AM11" s="542" t="str">
        <f>IF(Year5_Buckinghamshire Year5_ReferralSource_Health_services_HealthVisitor="","",Year5_Buckinghamshire Year5_ReferralSource_Health_services_HealthVisitor)</f>
        <v/>
      </c>
      <c r="AN11" s="542" t="str">
        <f>IF(Year5_Buckinghamshire Year5_ReferralSource_Health_services_SchoolNurse="","",Year5_Buckinghamshire Year5_ReferralSource_Health_services_SchoolNurse)</f>
        <v/>
      </c>
      <c r="AO11" s="542" t="str">
        <f>IF(Year5_Buckinghamshire Year5_ReferralSource_Health_services_OthPrimary="","",Year5_Buckinghamshire Year5_ReferralSource_Health_services_OthPrimary)</f>
        <v/>
      </c>
      <c r="AP11" s="542" t="str">
        <f>IF(Year5_Buckinghamshire Year5_ReferralSource_Health_services_AE="","",Year5_Buckinghamshire Year5_ReferralSource_Health_services_AE)</f>
        <v/>
      </c>
      <c r="AQ11" s="542" t="str">
        <f>IF(Year5_Buckinghamshire Year5_ReferralSource_Health_services_Other="","",Year5_Buckinghamshire Year5_ReferralSource_Health_services_Other)</f>
        <v/>
      </c>
      <c r="AR11" s="542">
        <f>IF(Year5_Buckinghamshire Year5_ReferralSource_Housing="","",Year5_Buckinghamshire Year5_ReferralSource_Housing)</f>
        <v>66</v>
      </c>
      <c r="AS11" s="542">
        <f>IF(Year5_Buckinghamshire Year5_ReferralSource_LA_SC="","",Year5_Buckinghamshire Year5_ReferralSource_LA_SC)</f>
        <v>766</v>
      </c>
      <c r="AT11" s="542" t="str">
        <f>IF(Year5_Buckinghamshire Year5_ReferralSource_LA_Other="","",Year5_Buckinghamshire Year5_ReferralSource_LA_Other)</f>
        <v/>
      </c>
      <c r="AU11" s="542" t="str">
        <f>IF(Year5_Buckinghamshire Year5_ReferralSource_LA_External="","",Year5_Buckinghamshire Year5_ReferralSource_LA_External)</f>
        <v/>
      </c>
      <c r="AV11" s="542">
        <f>IF(Year5_Buckinghamshire Year5_ReferralSource_Police="","",Year5_Buckinghamshire Year5_ReferralSource_Police)</f>
        <v>2712</v>
      </c>
      <c r="AW11" s="542">
        <f>IF(Year5_Buckinghamshire Year5_ReferralSource_Other_Legal="","",Year5_Buckinghamshire Year5_ReferralSource_Other_Legal)</f>
        <v>244</v>
      </c>
      <c r="AX11" s="542">
        <f>IF(Year5_Buckinghamshire Year5_ReferralSource_Other="","",Year5_Buckinghamshire Year5_ReferralSource_Other)</f>
        <v>345</v>
      </c>
      <c r="AY11" s="542">
        <f>IF(Year5_Buckinghamshire Year5_ReferralSource_Anonymous="","",Year5_Buckinghamshire Year5_ReferralSource_Anonymous)</f>
        <v>186</v>
      </c>
      <c r="AZ11" s="543">
        <f>IF(Year5_Buckinghamshire Year5_ReferralSource_Unknown="","",Year5_Buckinghamshire Year5_ReferralSource_Unknown)</f>
        <v>12</v>
      </c>
      <c r="BA11" s="57">
        <f t="shared" si="14"/>
        <v>7640</v>
      </c>
      <c r="BB11" s="89">
        <f>IF(BA11&gt;0,Population!H12,0)</f>
        <v>124300</v>
      </c>
      <c r="BC11" s="143">
        <f t="shared" si="15"/>
        <v>614.64199517296868</v>
      </c>
    </row>
    <row r="12" spans="1:55" s="89" customFormat="1" ht="13.5" hidden="1" customHeight="1" x14ac:dyDescent="0.2">
      <c r="A12" s="462">
        <f>VLOOKUP(B12,Sheet1!$AQ$4:$AR$25,2,FALSE)</f>
        <v>0</v>
      </c>
      <c r="B12" s="95" t="str">
        <f>Sheet1!$K$7</f>
        <v>East Sussex</v>
      </c>
      <c r="C12" s="87"/>
      <c r="D12" s="226">
        <f t="shared" si="0"/>
        <v>10.614136732329085</v>
      </c>
      <c r="E12" s="226"/>
      <c r="F12" s="226"/>
      <c r="G12" s="226"/>
      <c r="H12" s="226">
        <f t="shared" si="1"/>
        <v>15.504055619930476</v>
      </c>
      <c r="I12" s="226">
        <f t="shared" si="2"/>
        <v>4.3800695249130941</v>
      </c>
      <c r="J12" s="226">
        <f t="shared" si="3"/>
        <v>9.4553881807647748</v>
      </c>
      <c r="K12" s="226"/>
      <c r="L12" s="226"/>
      <c r="M12" s="226"/>
      <c r="N12" s="226"/>
      <c r="O12" s="226"/>
      <c r="P12" s="226">
        <f t="shared" si="4"/>
        <v>2.271147161066049</v>
      </c>
      <c r="Q12" s="226">
        <f t="shared" si="5"/>
        <v>16.361529548088065</v>
      </c>
      <c r="R12" s="226"/>
      <c r="S12" s="226"/>
      <c r="T12" s="226">
        <f t="shared" si="6"/>
        <v>26.60486674391657</v>
      </c>
      <c r="U12" s="226">
        <f t="shared" si="7"/>
        <v>5.0289687137891077</v>
      </c>
      <c r="V12" s="226">
        <f t="shared" si="8"/>
        <v>7.3696407879490149</v>
      </c>
      <c r="W12" s="226">
        <f t="shared" si="9"/>
        <v>1.9003476245654694</v>
      </c>
      <c r="X12" s="401">
        <f t="shared" si="10"/>
        <v>0.50984936268829661</v>
      </c>
      <c r="Y12" s="124"/>
      <c r="Z12" s="140"/>
      <c r="AA12" s="188"/>
      <c r="AB12" s="48" t="str">
        <f t="shared" si="11"/>
        <v>East Sussex</v>
      </c>
      <c r="AC12" s="47">
        <v>4</v>
      </c>
      <c r="AD12" s="48" t="str">
        <f t="shared" si="12"/>
        <v>East SussexNumber</v>
      </c>
      <c r="AE12" s="49" t="b">
        <f t="shared" si="13"/>
        <v>0</v>
      </c>
      <c r="AF12" s="622">
        <f>IF(Year5_East_Sussex Year5_ReferralSource_Individual_Family="","",Year5_East_Sussex Year5_ReferralSource_Individual_Family)</f>
        <v>458</v>
      </c>
      <c r="AG12" s="544" t="str">
        <f>IF(Year5_East_Sussex Year5_ReferralSource_Individual_Acquaintance="","",Year5_East_Sussex Year5_ReferralSource_Individual_Acquaintance)</f>
        <v/>
      </c>
      <c r="AH12" s="544" t="str">
        <f>IF(Year5_East_Sussex Year5_ReferralSource_Individual_Self="","",Year5_East_Sussex Year5_ReferralSource_Individual_Self)</f>
        <v/>
      </c>
      <c r="AI12" s="544" t="str">
        <f>IF(Year5_East_Sussex Year5_ReferralSource_Individual_Other="","",Year5_East_Sussex Year5_ReferralSource_Individual_Other)</f>
        <v/>
      </c>
      <c r="AJ12" s="544">
        <f>IF(Year5_East_Sussex Year5_ReferralSource_School="","",Year5_East_Sussex Year5_ReferralSource_School)</f>
        <v>669</v>
      </c>
      <c r="AK12" s="544">
        <f>IF(Year5_East_Sussex Year5_ReferralSource_EducationServices="","",Year5_East_Sussex Year5_ReferralSource_EducationServices)</f>
        <v>189</v>
      </c>
      <c r="AL12" s="544">
        <f>IF(Year5_East_Sussex Year5_ReferralSource_Health_services_GP="","",Year5_East_Sussex Year5_ReferralSource_Health_services_GP)</f>
        <v>408</v>
      </c>
      <c r="AM12" s="544" t="str">
        <f>IF(Year5_East_Sussex Year5_ReferralSource_Health_services_HealthVisitor="","",Year5_East_Sussex Year5_ReferralSource_Health_services_HealthVisitor)</f>
        <v/>
      </c>
      <c r="AN12" s="544" t="str">
        <f>IF(Year5_East_Sussex Year5_ReferralSource_Health_services_SchoolNurse="","",Year5_East_Sussex Year5_ReferralSource_Health_services_SchoolNurse)</f>
        <v/>
      </c>
      <c r="AO12" s="544" t="str">
        <f>IF(Year5_East_Sussex Year5_ReferralSource_Health_services_OthPrimary="","",Year5_East_Sussex Year5_ReferralSource_Health_services_OthPrimary)</f>
        <v/>
      </c>
      <c r="AP12" s="544" t="str">
        <f>IF(Year5_East_Sussex Year5_ReferralSource_Health_services_AE="","",Year5_East_Sussex Year5_ReferralSource_Health_services_AE)</f>
        <v/>
      </c>
      <c r="AQ12" s="544" t="str">
        <f>IF(Year5_East_Sussex Year5_ReferralSource_Health_services_Other="","",Year5_East_Sussex Year5_ReferralSource_Health_services_Other)</f>
        <v/>
      </c>
      <c r="AR12" s="544">
        <f>IF(Year5_East_Sussex Year5_ReferralSource_Housing="","",Year5_East_Sussex Year5_ReferralSource_Housing)</f>
        <v>98</v>
      </c>
      <c r="AS12" s="544">
        <f>IF(Year5_East_Sussex Year5_ReferralSource_LA_SC="","",Year5_East_Sussex Year5_ReferralSource_LA_SC)</f>
        <v>706</v>
      </c>
      <c r="AT12" s="544" t="str">
        <f>IF(Year5_East_Sussex Year5_ReferralSource_LA_Other="","",Year5_East_Sussex Year5_ReferralSource_LA_Other)</f>
        <v/>
      </c>
      <c r="AU12" s="544" t="str">
        <f>IF(Year5_East_Sussex Year5_ReferralSource_LA_External="","",Year5_East_Sussex Year5_ReferralSource_LA_External)</f>
        <v/>
      </c>
      <c r="AV12" s="544">
        <f>IF(Year5_East_Sussex Year5_ReferralSource_Police="","",Year5_East_Sussex Year5_ReferralSource_Police)</f>
        <v>1148</v>
      </c>
      <c r="AW12" s="544">
        <f>IF(Year5_East_Sussex Year5_ReferralSource_Other_Legal="","",Year5_East_Sussex Year5_ReferralSource_Other_Legal)</f>
        <v>217</v>
      </c>
      <c r="AX12" s="544">
        <f>IF(Year5_East_Sussex Year5_ReferralSource_Other="","",Year5_East_Sussex Year5_ReferralSource_Other)</f>
        <v>318</v>
      </c>
      <c r="AY12" s="544">
        <f>IF(Year5_East_Sussex Year5_ReferralSource_Anonymous="","",Year5_East_Sussex Year5_ReferralSource_Anonymous)</f>
        <v>82</v>
      </c>
      <c r="AZ12" s="544">
        <f>IF(Year5_East_Sussex Year5_ReferralSource_Unknown="","",Year5_East_Sussex Year5_ReferralSource_Unknown)</f>
        <v>22</v>
      </c>
      <c r="BA12" s="57">
        <f t="shared" si="14"/>
        <v>4315</v>
      </c>
      <c r="BB12" s="89">
        <f>IF(BA12&gt;0,Population!H13,0)</f>
        <v>106400</v>
      </c>
      <c r="BC12" s="143">
        <f t="shared" si="15"/>
        <v>405.54511278195491</v>
      </c>
    </row>
    <row r="13" spans="1:55" s="89" customFormat="1" ht="13.5" hidden="1" customHeight="1" x14ac:dyDescent="0.2">
      <c r="A13" s="462">
        <f>VLOOKUP(B13,Sheet1!$AQ$4:$AR$25,2,FALSE)</f>
        <v>0</v>
      </c>
      <c r="B13" s="95" t="str">
        <f>Sheet1!$K$8</f>
        <v>Hampshire</v>
      </c>
      <c r="C13" s="87"/>
      <c r="D13" s="226">
        <f t="shared" si="0"/>
        <v>10.461606015697898</v>
      </c>
      <c r="E13" s="226"/>
      <c r="F13" s="226"/>
      <c r="G13" s="226"/>
      <c r="H13" s="226">
        <f t="shared" si="1"/>
        <v>24.320764037543224</v>
      </c>
      <c r="I13" s="226">
        <f t="shared" si="2"/>
        <v>0</v>
      </c>
      <c r="J13" s="226">
        <f t="shared" si="3"/>
        <v>16.812119216202863</v>
      </c>
      <c r="K13" s="226"/>
      <c r="L13" s="226"/>
      <c r="M13" s="226"/>
      <c r="N13" s="226"/>
      <c r="O13" s="226"/>
      <c r="P13" s="226">
        <f t="shared" si="4"/>
        <v>0</v>
      </c>
      <c r="Q13" s="226">
        <f t="shared" si="5"/>
        <v>9.1168560294198375</v>
      </c>
      <c r="R13" s="226"/>
      <c r="S13" s="226"/>
      <c r="T13" s="226">
        <f t="shared" si="6"/>
        <v>25.023327295680332</v>
      </c>
      <c r="U13" s="226">
        <f t="shared" si="7"/>
        <v>3.2548438443383279</v>
      </c>
      <c r="V13" s="226">
        <f t="shared" si="8"/>
        <v>6.8499917668368191</v>
      </c>
      <c r="W13" s="226">
        <f t="shared" si="9"/>
        <v>2.7169438498271035</v>
      </c>
      <c r="X13" s="401">
        <f t="shared" si="10"/>
        <v>1.4435479444535926</v>
      </c>
      <c r="Y13" s="124"/>
      <c r="Z13" s="140"/>
      <c r="AA13" s="188"/>
      <c r="AB13" s="48" t="str">
        <f t="shared" si="11"/>
        <v>Hampshire</v>
      </c>
      <c r="AC13" s="47">
        <v>5</v>
      </c>
      <c r="AD13" s="48" t="str">
        <f t="shared" si="12"/>
        <v>HampshireNumber</v>
      </c>
      <c r="AE13" s="49" t="b">
        <f t="shared" si="13"/>
        <v>0</v>
      </c>
      <c r="AF13" s="541">
        <f>IF(Year5_Hampshire Year5_ReferralSource_Individual_Family="","",Year5_Hampshire Year5_ReferralSource_Individual_Family)</f>
        <v>1906</v>
      </c>
      <c r="AG13" s="542" t="str">
        <f>IF(Year5_Hampshire Year5_ReferralSource_Individual_Acquaintance="","",Year5_Hampshire Year5_ReferralSource_Individual_Acquaintance)</f>
        <v/>
      </c>
      <c r="AH13" s="542" t="str">
        <f>IF(Year5_Hampshire Year5_ReferralSource_Individual_Self="","",Year5_Hampshire Year5_ReferralSource_Individual_Self)</f>
        <v/>
      </c>
      <c r="AI13" s="542" t="str">
        <f>IF(Year5_Hampshire Year5_ReferralSource_Individual_Other="","",Year5_Hampshire Year5_ReferralSource_Individual_Other)</f>
        <v/>
      </c>
      <c r="AJ13" s="542">
        <f>IF(Year5_Hampshire Year5_ReferralSource_School="","",Year5_Hampshire Year5_ReferralSource_School)</f>
        <v>4431</v>
      </c>
      <c r="AK13" s="542">
        <f>IF(Year5_Hampshire Year5_ReferralSource_EducationServices="","",Year5_Hampshire Year5_ReferralSource_EducationServices)</f>
        <v>0</v>
      </c>
      <c r="AL13" s="542">
        <f>IF(Year5_Hampshire Year5_ReferralSource_Health_services_GP="","",Year5_Hampshire Year5_ReferralSource_Health_services_GP)</f>
        <v>3063</v>
      </c>
      <c r="AM13" s="542" t="str">
        <f>IF(Year5_Hampshire Year5_ReferralSource_Health_services_HealthVisitor="","",Year5_Hampshire Year5_ReferralSource_Health_services_HealthVisitor)</f>
        <v/>
      </c>
      <c r="AN13" s="542" t="str">
        <f>IF(Year5_Hampshire Year5_ReferralSource_Health_services_SchoolNurse="","",Year5_Hampshire Year5_ReferralSource_Health_services_SchoolNurse)</f>
        <v/>
      </c>
      <c r="AO13" s="542" t="str">
        <f>IF(Year5_Hampshire Year5_ReferralSource_Health_services_OthPrimary="","",Year5_Hampshire Year5_ReferralSource_Health_services_OthPrimary)</f>
        <v/>
      </c>
      <c r="AP13" s="542" t="str">
        <f>IF(Year5_Hampshire Year5_ReferralSource_Health_services_AE="","",Year5_Hampshire Year5_ReferralSource_Health_services_AE)</f>
        <v/>
      </c>
      <c r="AQ13" s="542" t="str">
        <f>IF(Year5_Hampshire Year5_ReferralSource_Health_services_Other="","",Year5_Hampshire Year5_ReferralSource_Health_services_Other)</f>
        <v/>
      </c>
      <c r="AR13" s="542">
        <f>IF(Year5_Hampshire Year5_ReferralSource_Housing="","",Year5_Hampshire Year5_ReferralSource_Housing)</f>
        <v>0</v>
      </c>
      <c r="AS13" s="542">
        <f>IF(Year5_Hampshire Year5_ReferralSource_LA_SC="","",Year5_Hampshire Year5_ReferralSource_LA_SC)</f>
        <v>1661</v>
      </c>
      <c r="AT13" s="542" t="str">
        <f>IF(Year5_Hampshire Year5_ReferralSource_LA_Other="","",Year5_Hampshire Year5_ReferralSource_LA_Other)</f>
        <v/>
      </c>
      <c r="AU13" s="542" t="str">
        <f>IF(Year5_Hampshire Year5_ReferralSource_LA_External="","",Year5_Hampshire Year5_ReferralSource_LA_External)</f>
        <v/>
      </c>
      <c r="AV13" s="542">
        <f>IF(Year5_Hampshire Year5_ReferralSource_Police="","",Year5_Hampshire Year5_ReferralSource_Police)</f>
        <v>4559</v>
      </c>
      <c r="AW13" s="542">
        <f>IF(Year5_Hampshire Year5_ReferralSource_Other_Legal="","",Year5_Hampshire Year5_ReferralSource_Other_Legal)</f>
        <v>593</v>
      </c>
      <c r="AX13" s="542">
        <f>IF(Year5_Hampshire Year5_ReferralSource_Other="","",Year5_Hampshire Year5_ReferralSource_Other)</f>
        <v>1248</v>
      </c>
      <c r="AY13" s="542">
        <f>IF(Year5_Hampshire Year5_ReferralSource_Anonymous="","",Year5_Hampshire Year5_ReferralSource_Anonymous)</f>
        <v>495</v>
      </c>
      <c r="AZ13" s="543">
        <f>IF(Year5_Hampshire Year5_ReferralSource_Unknown="","",Year5_Hampshire Year5_ReferralSource_Unknown)</f>
        <v>263</v>
      </c>
      <c r="BA13" s="57">
        <f t="shared" si="14"/>
        <v>18219</v>
      </c>
      <c r="BB13" s="89">
        <f>IF(BA13&gt;0,Population!H14,0)</f>
        <v>284000</v>
      </c>
      <c r="BC13" s="143">
        <f t="shared" si="15"/>
        <v>641.5140845070423</v>
      </c>
    </row>
    <row r="14" spans="1:55" s="89" customFormat="1" ht="13.5" hidden="1" customHeight="1" x14ac:dyDescent="0.2">
      <c r="A14" s="462">
        <f>VLOOKUP(B14,Sheet1!$AQ$4:$AR$25,2,FALSE)</f>
        <v>0</v>
      </c>
      <c r="B14" s="95" t="str">
        <f>Sheet1!$K$9</f>
        <v>Isle of Wight</v>
      </c>
      <c r="C14" s="87"/>
      <c r="D14" s="226">
        <f t="shared" si="0"/>
        <v>7.438715131022823</v>
      </c>
      <c r="E14" s="226"/>
      <c r="F14" s="226"/>
      <c r="G14" s="226"/>
      <c r="H14" s="226">
        <f t="shared" si="1"/>
        <v>28.698224852071007</v>
      </c>
      <c r="I14" s="226">
        <f t="shared" si="2"/>
        <v>0</v>
      </c>
      <c r="J14" s="226">
        <f t="shared" si="3"/>
        <v>13.017751479289942</v>
      </c>
      <c r="K14" s="226"/>
      <c r="L14" s="226"/>
      <c r="M14" s="226"/>
      <c r="N14" s="226"/>
      <c r="O14" s="226"/>
      <c r="P14" s="226">
        <f t="shared" si="4"/>
        <v>0</v>
      </c>
      <c r="Q14" s="226">
        <f t="shared" si="5"/>
        <v>9.5942519019442098</v>
      </c>
      <c r="R14" s="226"/>
      <c r="S14" s="226"/>
      <c r="T14" s="226">
        <f t="shared" si="6"/>
        <v>23.45731191885038</v>
      </c>
      <c r="U14" s="226">
        <f t="shared" si="7"/>
        <v>2.4936601859678782</v>
      </c>
      <c r="V14" s="226">
        <f t="shared" si="8"/>
        <v>12.721893491124261</v>
      </c>
      <c r="W14" s="226">
        <f t="shared" si="9"/>
        <v>0</v>
      </c>
      <c r="X14" s="401">
        <f t="shared" si="10"/>
        <v>2.5781910397295009</v>
      </c>
      <c r="Y14" s="124"/>
      <c r="Z14" s="140"/>
      <c r="AA14" s="188"/>
      <c r="AB14" s="48" t="str">
        <f t="shared" si="11"/>
        <v>Isle of Wight</v>
      </c>
      <c r="AC14" s="47">
        <v>6</v>
      </c>
      <c r="AD14" s="48" t="str">
        <f t="shared" si="12"/>
        <v>Isle of WightNumber</v>
      </c>
      <c r="AE14" s="49" t="b">
        <f t="shared" si="13"/>
        <v>0</v>
      </c>
      <c r="AF14" s="541">
        <f>IF(Year5_Isle_of_Wight Year5_ReferralSource_Individual_Family="","",Year5_Isle_of_Wight Year5_ReferralSource_Individual_Family)</f>
        <v>176</v>
      </c>
      <c r="AG14" s="542" t="str">
        <f>IF(Year5_Isle_of_Wight Year5_ReferralSource_Individual_Acquaintance="","",Year5_Isle_of_Wight Year5_ReferralSource_Individual_Acquaintance)</f>
        <v/>
      </c>
      <c r="AH14" s="542" t="str">
        <f>IF(Year5_Isle_of_Wight Year5_ReferralSource_Individual_Self="","",Year5_Isle_of_Wight Year5_ReferralSource_Individual_Self)</f>
        <v/>
      </c>
      <c r="AI14" s="542" t="str">
        <f>IF(Year5_Isle_of_Wight Year5_ReferralSource_Individual_Other="","",Year5_Isle_of_Wight Year5_ReferralSource_Individual_Other)</f>
        <v/>
      </c>
      <c r="AJ14" s="542">
        <f>IF(Year5_Isle_of_Wight Year5_ReferralSource_School="","",Year5_Isle_of_Wight Year5_ReferralSource_School)</f>
        <v>679</v>
      </c>
      <c r="AK14" s="542">
        <f>IF(Year5_Isle_of_Wight Year5_ReferralSource_EducationServices="","",Year5_Isle_of_Wight Year5_ReferralSource_EducationServices)</f>
        <v>0</v>
      </c>
      <c r="AL14" s="542">
        <f>IF(Year5_Isle_of_Wight Year5_ReferralSource_Health_services_GP="","",Year5_Isle_of_Wight Year5_ReferralSource_Health_services_GP)</f>
        <v>308</v>
      </c>
      <c r="AM14" s="542" t="str">
        <f>IF(Year5_Isle_of_Wight Year5_ReferralSource_Health_services_HealthVisitor="","",Year5_Isle_of_Wight Year5_ReferralSource_Health_services_HealthVisitor)</f>
        <v/>
      </c>
      <c r="AN14" s="542" t="str">
        <f>IF(Year5_Isle_of_Wight Year5_ReferralSource_Health_services_SchoolNurse="","",Year5_Isle_of_Wight Year5_ReferralSource_Health_services_SchoolNurse)</f>
        <v/>
      </c>
      <c r="AO14" s="542" t="str">
        <f>IF(Year5_Isle_of_Wight Year5_ReferralSource_Health_services_OthPrimary="","",Year5_Isle_of_Wight Year5_ReferralSource_Health_services_OthPrimary)</f>
        <v/>
      </c>
      <c r="AP14" s="542" t="str">
        <f>IF(Year5_Isle_of_Wight Year5_ReferralSource_Health_services_AE="","",Year5_Isle_of_Wight Year5_ReferralSource_Health_services_AE)</f>
        <v/>
      </c>
      <c r="AQ14" s="542" t="str">
        <f>IF(Year5_Isle_of_Wight Year5_ReferralSource_Health_services_Other="","",Year5_Isle_of_Wight Year5_ReferralSource_Health_services_Other)</f>
        <v/>
      </c>
      <c r="AR14" s="542">
        <f>IF(Year5_Isle_of_Wight Year5_ReferralSource_Housing="","",Year5_Isle_of_Wight Year5_ReferralSource_Housing)</f>
        <v>0</v>
      </c>
      <c r="AS14" s="542">
        <f>IF(Year5_Isle_of_Wight Year5_ReferralSource_LA_SC="","",Year5_Isle_of_Wight Year5_ReferralSource_LA_SC)</f>
        <v>227</v>
      </c>
      <c r="AT14" s="542" t="str">
        <f>IF(Year5_Isle_of_Wight Year5_ReferralSource_LA_Other="","",Year5_Isle_of_Wight Year5_ReferralSource_LA_Other)</f>
        <v/>
      </c>
      <c r="AU14" s="542" t="str">
        <f>IF(Year5_Isle_of_Wight Year5_ReferralSource_LA_External="","",Year5_Isle_of_Wight Year5_ReferralSource_LA_External)</f>
        <v/>
      </c>
      <c r="AV14" s="542">
        <f>IF(Year5_Isle_of_Wight Year5_ReferralSource_Police="","",Year5_Isle_of_Wight Year5_ReferralSource_Police)</f>
        <v>555</v>
      </c>
      <c r="AW14" s="542">
        <f>IF(Year5_Isle_of_Wight Year5_ReferralSource_Other_Legal="","",Year5_Isle_of_Wight Year5_ReferralSource_Other_Legal)</f>
        <v>59</v>
      </c>
      <c r="AX14" s="542">
        <f>IF(Year5_Isle_of_Wight Year5_ReferralSource_Other="","",Year5_Isle_of_Wight Year5_ReferralSource_Other)</f>
        <v>301</v>
      </c>
      <c r="AY14" s="542">
        <f>IF(Year5_Isle_of_Wight Year5_ReferralSource_Anonymous="","",Year5_Isle_of_Wight Year5_ReferralSource_Anonymous)</f>
        <v>0</v>
      </c>
      <c r="AZ14" s="543">
        <f>IF(Year5_Isle_of_Wight Year5_ReferralSource_Unknown="","",Year5_Isle_of_Wight Year5_ReferralSource_Unknown)</f>
        <v>61</v>
      </c>
      <c r="BA14" s="57">
        <f t="shared" si="14"/>
        <v>2366</v>
      </c>
      <c r="BB14" s="89">
        <f>IF(BA14&gt;0,Population!H15,0)</f>
        <v>24900</v>
      </c>
      <c r="BC14" s="143">
        <f t="shared" si="15"/>
        <v>950.2008032128515</v>
      </c>
    </row>
    <row r="15" spans="1:55" s="89" customFormat="1" ht="13.5" hidden="1" customHeight="1" x14ac:dyDescent="0.2">
      <c r="A15" s="462">
        <f>VLOOKUP(B15,Sheet1!$AQ$4:$AR$25,2,FALSE)</f>
        <v>0</v>
      </c>
      <c r="B15" s="95" t="str">
        <f>Sheet1!$K$10</f>
        <v>Kent</v>
      </c>
      <c r="C15" s="87"/>
      <c r="D15" s="226">
        <f t="shared" si="0"/>
        <v>8.5379861073128041</v>
      </c>
      <c r="E15" s="226"/>
      <c r="F15" s="226"/>
      <c r="G15" s="226"/>
      <c r="H15" s="226">
        <f t="shared" si="1"/>
        <v>17.573702346442051</v>
      </c>
      <c r="I15" s="226">
        <f t="shared" si="2"/>
        <v>0.5086692555926271</v>
      </c>
      <c r="J15" s="226">
        <f t="shared" si="3"/>
        <v>12.722200951703769</v>
      </c>
      <c r="K15" s="226"/>
      <c r="L15" s="226"/>
      <c r="M15" s="226"/>
      <c r="N15" s="226"/>
      <c r="O15" s="226"/>
      <c r="P15" s="226">
        <f t="shared" si="4"/>
        <v>1.9854509653776733</v>
      </c>
      <c r="Q15" s="226">
        <f t="shared" si="5"/>
        <v>12.476070666739595</v>
      </c>
      <c r="R15" s="226"/>
      <c r="S15" s="226"/>
      <c r="T15" s="226">
        <f t="shared" si="6"/>
        <v>34.403544276103482</v>
      </c>
      <c r="U15" s="226">
        <f t="shared" si="7"/>
        <v>4.8350927090740026</v>
      </c>
      <c r="V15" s="226">
        <f t="shared" si="8"/>
        <v>3.8177541978887493</v>
      </c>
      <c r="W15" s="226">
        <f t="shared" si="9"/>
        <v>2.0510857080347864</v>
      </c>
      <c r="X15" s="401">
        <f t="shared" si="10"/>
        <v>1.08844281573046</v>
      </c>
      <c r="Y15" s="124"/>
      <c r="Z15" s="140"/>
      <c r="AA15" s="188"/>
      <c r="AB15" s="48" t="str">
        <f t="shared" si="11"/>
        <v>Kent</v>
      </c>
      <c r="AC15" s="47">
        <v>7</v>
      </c>
      <c r="AD15" s="48" t="str">
        <f t="shared" si="12"/>
        <v>KentNumber</v>
      </c>
      <c r="AE15" s="49" t="b">
        <f t="shared" si="13"/>
        <v>0</v>
      </c>
      <c r="AF15" s="541">
        <f>IF(Year5_Kent Year5_ReferralSource_Individual_Family="","",Year5_Kent Year5_ReferralSource_Individual_Family)</f>
        <v>1561</v>
      </c>
      <c r="AG15" s="542" t="str">
        <f>IF(Year5_Kent Year5_ReferralSource_Individual_Acquaintance="","",Year5_Kent Year5_ReferralSource_Individual_Acquaintance)</f>
        <v/>
      </c>
      <c r="AH15" s="542" t="str">
        <f>IF(Year5_Kent Year5_ReferralSource_Individual_Self="","",Year5_Kent Year5_ReferralSource_Individual_Self)</f>
        <v/>
      </c>
      <c r="AI15" s="542" t="str">
        <f>IF(Year5_Kent Year5_ReferralSource_Individual_Other="","",Year5_Kent Year5_ReferralSource_Individual_Other)</f>
        <v/>
      </c>
      <c r="AJ15" s="542">
        <f>IF(Year5_Kent Year5_ReferralSource_School="","",Year5_Kent Year5_ReferralSource_School)</f>
        <v>3213</v>
      </c>
      <c r="AK15" s="542">
        <f>IF(Year5_Kent Year5_ReferralSource_EducationServices="","",Year5_Kent Year5_ReferralSource_EducationServices)</f>
        <v>93</v>
      </c>
      <c r="AL15" s="542">
        <f>IF(Year5_Kent Year5_ReferralSource_Health_services_GP="","",Year5_Kent Year5_ReferralSource_Health_services_GP)</f>
        <v>2326</v>
      </c>
      <c r="AM15" s="542" t="str">
        <f>IF(Year5_Kent Year5_ReferralSource_Health_services_HealthVisitor="","",Year5_Kent Year5_ReferralSource_Health_services_HealthVisitor)</f>
        <v/>
      </c>
      <c r="AN15" s="542" t="str">
        <f>IF(Year5_Kent Year5_ReferralSource_Health_services_SchoolNurse="","",Year5_Kent Year5_ReferralSource_Health_services_SchoolNurse)</f>
        <v/>
      </c>
      <c r="AO15" s="542" t="str">
        <f>IF(Year5_Kent Year5_ReferralSource_Health_services_OthPrimary="","",Year5_Kent Year5_ReferralSource_Health_services_OthPrimary)</f>
        <v/>
      </c>
      <c r="AP15" s="542" t="str">
        <f>IF(Year5_Kent Year5_ReferralSource_Health_services_AE="","",Year5_Kent Year5_ReferralSource_Health_services_AE)</f>
        <v/>
      </c>
      <c r="AQ15" s="542" t="str">
        <f>IF(Year5_Kent Year5_ReferralSource_Health_services_Other="","",Year5_Kent Year5_ReferralSource_Health_services_Other)</f>
        <v/>
      </c>
      <c r="AR15" s="542">
        <f>IF(Year5_Kent Year5_ReferralSource_Housing="","",Year5_Kent Year5_ReferralSource_Housing)</f>
        <v>363</v>
      </c>
      <c r="AS15" s="542">
        <f>IF(Year5_Kent Year5_ReferralSource_LA_SC="","",Year5_Kent Year5_ReferralSource_LA_SC)</f>
        <v>2281</v>
      </c>
      <c r="AT15" s="542" t="str">
        <f>IF(Year5_Kent Year5_ReferralSource_LA_Other="","",Year5_Kent Year5_ReferralSource_LA_Other)</f>
        <v/>
      </c>
      <c r="AU15" s="542" t="str">
        <f>IF(Year5_Kent Year5_ReferralSource_LA_External="","",Year5_Kent Year5_ReferralSource_LA_External)</f>
        <v/>
      </c>
      <c r="AV15" s="542">
        <f>IF(Year5_Kent Year5_ReferralSource_Police="","",Year5_Kent Year5_ReferralSource_Police)</f>
        <v>6290</v>
      </c>
      <c r="AW15" s="542">
        <f>IF(Year5_Kent Year5_ReferralSource_Other_Legal="","",Year5_Kent Year5_ReferralSource_Other_Legal)</f>
        <v>884</v>
      </c>
      <c r="AX15" s="542">
        <f>IF(Year5_Kent Year5_ReferralSource_Other="","",Year5_Kent Year5_ReferralSource_Other)</f>
        <v>698</v>
      </c>
      <c r="AY15" s="542">
        <f>IF(Year5_Kent Year5_ReferralSource_Anonymous="","",Year5_Kent Year5_ReferralSource_Anonymous)</f>
        <v>375</v>
      </c>
      <c r="AZ15" s="543">
        <f>IF(Year5_Kent Year5_ReferralSource_Unknown="","",Year5_Kent Year5_ReferralSource_Unknown)</f>
        <v>199</v>
      </c>
      <c r="BA15" s="57">
        <f t="shared" si="14"/>
        <v>18283</v>
      </c>
      <c r="BB15" s="89">
        <f>IF(BA15&gt;0,Population!H16,0)</f>
        <v>340100</v>
      </c>
      <c r="BC15" s="143">
        <f t="shared" si="15"/>
        <v>537.57718318141724</v>
      </c>
    </row>
    <row r="16" spans="1:55" s="89" customFormat="1" ht="13.5" hidden="1" customHeight="1" x14ac:dyDescent="0.2">
      <c r="A16" s="462">
        <f>VLOOKUP(B16,Sheet1!$AQ$4:$AR$25,2,FALSE)</f>
        <v>0</v>
      </c>
      <c r="B16" s="95" t="str">
        <f>Sheet1!$K$11</f>
        <v>Medway</v>
      </c>
      <c r="C16" s="87"/>
      <c r="D16" s="226">
        <f t="shared" si="0"/>
        <v>10.31055900621118</v>
      </c>
      <c r="E16" s="226"/>
      <c r="F16" s="226"/>
      <c r="G16" s="226"/>
      <c r="H16" s="226">
        <f t="shared" si="1"/>
        <v>20.347826086956523</v>
      </c>
      <c r="I16" s="226">
        <f t="shared" si="2"/>
        <v>1.2919254658385093</v>
      </c>
      <c r="J16" s="226">
        <f t="shared" si="3"/>
        <v>8.9192546583850945</v>
      </c>
      <c r="K16" s="226"/>
      <c r="L16" s="226"/>
      <c r="M16" s="226"/>
      <c r="N16" s="226"/>
      <c r="O16" s="226"/>
      <c r="P16" s="226">
        <f t="shared" si="4"/>
        <v>1.6645962732919253</v>
      </c>
      <c r="Q16" s="226">
        <f t="shared" si="5"/>
        <v>12.571428571428573</v>
      </c>
      <c r="R16" s="226"/>
      <c r="S16" s="226"/>
      <c r="T16" s="226">
        <f t="shared" si="6"/>
        <v>33.316770186335404</v>
      </c>
      <c r="U16" s="226">
        <f t="shared" si="7"/>
        <v>3.354037267080745</v>
      </c>
      <c r="V16" s="226">
        <f t="shared" si="8"/>
        <v>4.0496894409937889</v>
      </c>
      <c r="W16" s="226">
        <f t="shared" si="9"/>
        <v>2.2111801242236022</v>
      </c>
      <c r="X16" s="401">
        <f t="shared" si="10"/>
        <v>1.9627329192546585</v>
      </c>
      <c r="Y16" s="124"/>
      <c r="Z16" s="140"/>
      <c r="AA16" s="188"/>
      <c r="AB16" s="48" t="str">
        <f t="shared" si="11"/>
        <v>Medway</v>
      </c>
      <c r="AC16" s="47">
        <v>8</v>
      </c>
      <c r="AD16" s="48" t="str">
        <f t="shared" si="12"/>
        <v>MedwayNumber</v>
      </c>
      <c r="AE16" s="49" t="b">
        <f t="shared" si="13"/>
        <v>0</v>
      </c>
      <c r="AF16" s="541">
        <f>IF(Year5_Medway Year5_ReferralSource_Individual_Family="","",Year5_Medway Year5_ReferralSource_Individual_Family)</f>
        <v>415</v>
      </c>
      <c r="AG16" s="542" t="str">
        <f>IF(Year5_Medway Year5_ReferralSource_Individual_Acquaintance="","",Year5_Medway Year5_ReferralSource_Individual_Acquaintance)</f>
        <v/>
      </c>
      <c r="AH16" s="542" t="str">
        <f>IF(Year5_Medway Year5_ReferralSource_Individual_Self="","",Year5_Medway Year5_ReferralSource_Individual_Self)</f>
        <v/>
      </c>
      <c r="AI16" s="542" t="str">
        <f>IF(Year5_Medway Year5_ReferralSource_Individual_Other="","",Year5_Medway Year5_ReferralSource_Individual_Other)</f>
        <v/>
      </c>
      <c r="AJ16" s="542">
        <f>IF(Year5_Medway Year5_ReferralSource_School="","",Year5_Medway Year5_ReferralSource_School)</f>
        <v>819</v>
      </c>
      <c r="AK16" s="542">
        <f>IF(Year5_Medway Year5_ReferralSource_EducationServices="","",Year5_Medway Year5_ReferralSource_EducationServices)</f>
        <v>52</v>
      </c>
      <c r="AL16" s="542">
        <f>IF(Year5_Medway Year5_ReferralSource_Health_services_GP="","",Year5_Medway Year5_ReferralSource_Health_services_GP)</f>
        <v>359</v>
      </c>
      <c r="AM16" s="542" t="str">
        <f>IF(Year5_Medway Year5_ReferralSource_Health_services_HealthVisitor="","",Year5_Medway Year5_ReferralSource_Health_services_HealthVisitor)</f>
        <v/>
      </c>
      <c r="AN16" s="542" t="str">
        <f>IF(Year5_Medway Year5_ReferralSource_Health_services_SchoolNurse="","",Year5_Medway Year5_ReferralSource_Health_services_SchoolNurse)</f>
        <v/>
      </c>
      <c r="AO16" s="542" t="str">
        <f>IF(Year5_Medway Year5_ReferralSource_Health_services_OthPrimary="","",Year5_Medway Year5_ReferralSource_Health_services_OthPrimary)</f>
        <v/>
      </c>
      <c r="AP16" s="542" t="str">
        <f>IF(Year5_Medway Year5_ReferralSource_Health_services_AE="","",Year5_Medway Year5_ReferralSource_Health_services_AE)</f>
        <v/>
      </c>
      <c r="AQ16" s="542" t="str">
        <f>IF(Year5_Medway Year5_ReferralSource_Health_services_Other="","",Year5_Medway Year5_ReferralSource_Health_services_Other)</f>
        <v/>
      </c>
      <c r="AR16" s="542">
        <f>IF(Year5_Medway Year5_ReferralSource_Housing="","",Year5_Medway Year5_ReferralSource_Housing)</f>
        <v>67</v>
      </c>
      <c r="AS16" s="542">
        <f>IF(Year5_Medway Year5_ReferralSource_LA_SC="","",Year5_Medway Year5_ReferralSource_LA_SC)</f>
        <v>506</v>
      </c>
      <c r="AT16" s="542" t="str">
        <f>IF(Year5_Medway Year5_ReferralSource_LA_Other="","",Year5_Medway Year5_ReferralSource_LA_Other)</f>
        <v/>
      </c>
      <c r="AU16" s="542" t="str">
        <f>IF(Year5_Medway Year5_ReferralSource_LA_External="","",Year5_Medway Year5_ReferralSource_LA_External)</f>
        <v/>
      </c>
      <c r="AV16" s="542">
        <f>IF(Year5_Medway Year5_ReferralSource_Police="","",Year5_Medway Year5_ReferralSource_Police)</f>
        <v>1341</v>
      </c>
      <c r="AW16" s="542">
        <f>IF(Year5_Medway Year5_ReferralSource_Other_Legal="","",Year5_Medway Year5_ReferralSource_Other_Legal)</f>
        <v>135</v>
      </c>
      <c r="AX16" s="542">
        <f>IF(Year5_Medway Year5_ReferralSource_Other="","",Year5_Medway Year5_ReferralSource_Other)</f>
        <v>163</v>
      </c>
      <c r="AY16" s="542">
        <f>IF(Year5_Medway Year5_ReferralSource_Anonymous="","",Year5_Medway Year5_ReferralSource_Anonymous)</f>
        <v>89</v>
      </c>
      <c r="AZ16" s="543">
        <f>IF(Year5_Medway Year5_ReferralSource_Unknown="","",Year5_Medway Year5_ReferralSource_Unknown)</f>
        <v>79</v>
      </c>
      <c r="BA16" s="57">
        <f t="shared" si="14"/>
        <v>4025</v>
      </c>
      <c r="BB16" s="89">
        <f>IF(BA16&gt;0,Population!H17,0)</f>
        <v>64400</v>
      </c>
      <c r="BC16" s="143">
        <f t="shared" si="15"/>
        <v>625</v>
      </c>
    </row>
    <row r="17" spans="1:65" s="89" customFormat="1" ht="13.5" hidden="1" customHeight="1" x14ac:dyDescent="0.2">
      <c r="A17" s="462">
        <f>VLOOKUP(B17,Sheet1!$AQ$4:$AR$25,2,FALSE)</f>
        <v>0</v>
      </c>
      <c r="B17" s="95" t="str">
        <f>Sheet1!$K$12</f>
        <v>Milton Keynes</v>
      </c>
      <c r="C17" s="87"/>
      <c r="D17" s="226">
        <f t="shared" si="0"/>
        <v>10.720956294359357</v>
      </c>
      <c r="E17" s="226"/>
      <c r="F17" s="226"/>
      <c r="G17" s="226"/>
      <c r="H17" s="226">
        <f t="shared" si="1"/>
        <v>21.180425849831902</v>
      </c>
      <c r="I17" s="226">
        <f t="shared" si="2"/>
        <v>0</v>
      </c>
      <c r="J17" s="226">
        <f t="shared" si="3"/>
        <v>12.401942472917444</v>
      </c>
      <c r="K17" s="226"/>
      <c r="L17" s="226"/>
      <c r="M17" s="226"/>
      <c r="N17" s="226"/>
      <c r="O17" s="226"/>
      <c r="P17" s="226">
        <f t="shared" si="4"/>
        <v>1.6062756817332835</v>
      </c>
      <c r="Q17" s="226">
        <f t="shared" si="5"/>
        <v>15.61449383638401</v>
      </c>
      <c r="R17" s="226"/>
      <c r="S17" s="226"/>
      <c r="T17" s="226">
        <f t="shared" si="6"/>
        <v>28.165857302951064</v>
      </c>
      <c r="U17" s="226">
        <f t="shared" si="7"/>
        <v>3.9970115801270079</v>
      </c>
      <c r="V17" s="226">
        <f t="shared" si="8"/>
        <v>3.9596563317146058</v>
      </c>
      <c r="W17" s="226">
        <f t="shared" si="9"/>
        <v>2.3533806499813221</v>
      </c>
      <c r="X17" s="401">
        <f t="shared" si="10"/>
        <v>0</v>
      </c>
      <c r="Y17" s="124"/>
      <c r="Z17" s="140"/>
      <c r="AA17" s="188"/>
      <c r="AB17" s="48" t="str">
        <f t="shared" si="11"/>
        <v>Milton Keynes</v>
      </c>
      <c r="AC17" s="47">
        <v>9</v>
      </c>
      <c r="AD17" s="48" t="str">
        <f t="shared" si="12"/>
        <v>Milton KeynesNumber</v>
      </c>
      <c r="AE17" s="49" t="b">
        <f t="shared" si="13"/>
        <v>0</v>
      </c>
      <c r="AF17" s="541">
        <f>IF(Year5_Milton_Keynes Year5_ReferralSource_Individual_Family="","",Year5_Milton_Keynes Year5_ReferralSource_Individual_Family)</f>
        <v>287</v>
      </c>
      <c r="AG17" s="542" t="str">
        <f>IF(Year5_Milton_Keynes Year5_ReferralSource_Individual_Acquaintance="","",Year5_Milton_Keynes Year5_ReferralSource_Individual_Acquaintance)</f>
        <v/>
      </c>
      <c r="AH17" s="542" t="str">
        <f>IF(Year5_Milton_Keynes Year5_ReferralSource_Individual_Self="","",Year5_Milton_Keynes Year5_ReferralSource_Individual_Self)</f>
        <v/>
      </c>
      <c r="AI17" s="542" t="str">
        <f>IF(Year5_Milton_Keynes Year5_ReferralSource_Individual_Other="","",Year5_Milton_Keynes Year5_ReferralSource_Individual_Other)</f>
        <v/>
      </c>
      <c r="AJ17" s="542">
        <f>IF(Year5_Milton_Keynes Year5_ReferralSource_School="","",Year5_Milton_Keynes Year5_ReferralSource_School)</f>
        <v>567</v>
      </c>
      <c r="AK17" s="542">
        <f>IF(Year5_Milton_Keynes Year5_ReferralSource_EducationServices="","",Year5_Milton_Keynes Year5_ReferralSource_EducationServices)</f>
        <v>0</v>
      </c>
      <c r="AL17" s="542">
        <f>IF(Year5_Milton_Keynes Year5_ReferralSource_Health_services_GP="","",Year5_Milton_Keynes Year5_ReferralSource_Health_services_GP)</f>
        <v>332</v>
      </c>
      <c r="AM17" s="542" t="str">
        <f>IF(Year5_Milton_Keynes Year5_ReferralSource_Health_services_HealthVisitor="","",Year5_Milton_Keynes Year5_ReferralSource_Health_services_HealthVisitor)</f>
        <v/>
      </c>
      <c r="AN17" s="542" t="str">
        <f>IF(Year5_Milton_Keynes Year5_ReferralSource_Health_services_SchoolNurse="","",Year5_Milton_Keynes Year5_ReferralSource_Health_services_SchoolNurse)</f>
        <v/>
      </c>
      <c r="AO17" s="542" t="str">
        <f>IF(Year5_Milton_Keynes Year5_ReferralSource_Health_services_OthPrimary="","",Year5_Milton_Keynes Year5_ReferralSource_Health_services_OthPrimary)</f>
        <v/>
      </c>
      <c r="AP17" s="542" t="str">
        <f>IF(Year5_Milton_Keynes Year5_ReferralSource_Health_services_AE="","",Year5_Milton_Keynes Year5_ReferralSource_Health_services_AE)</f>
        <v/>
      </c>
      <c r="AQ17" s="542" t="str">
        <f>IF(Year5_Milton_Keynes Year5_ReferralSource_Health_services_Other="","",Year5_Milton_Keynes Year5_ReferralSource_Health_services_Other)</f>
        <v/>
      </c>
      <c r="AR17" s="542">
        <f>IF(Year5_Milton_Keynes Year5_ReferralSource_Housing="","",Year5_Milton_Keynes Year5_ReferralSource_Housing)</f>
        <v>43</v>
      </c>
      <c r="AS17" s="542">
        <f>IF(Year5_Milton_Keynes Year5_ReferralSource_LA_SC="","",Year5_Milton_Keynes Year5_ReferralSource_LA_SC)</f>
        <v>418</v>
      </c>
      <c r="AT17" s="542" t="str">
        <f>IF(Year5_Milton_Keynes Year5_ReferralSource_LA_Other="","",Year5_Milton_Keynes Year5_ReferralSource_LA_Other)</f>
        <v/>
      </c>
      <c r="AU17" s="542" t="str">
        <f>IF(Year5_Milton_Keynes Year5_ReferralSource_LA_External="","",Year5_Milton_Keynes Year5_ReferralSource_LA_External)</f>
        <v/>
      </c>
      <c r="AV17" s="542">
        <f>IF(Year5_Milton_Keynes Year5_ReferralSource_Police="","",Year5_Milton_Keynes Year5_ReferralSource_Police)</f>
        <v>754</v>
      </c>
      <c r="AW17" s="542">
        <f>IF(Year5_Milton_Keynes Year5_ReferralSource_Other_Legal="","",Year5_Milton_Keynes Year5_ReferralSource_Other_Legal)</f>
        <v>107</v>
      </c>
      <c r="AX17" s="542">
        <f>IF(Year5_Milton_Keynes Year5_ReferralSource_Other="","",Year5_Milton_Keynes Year5_ReferralSource_Other)</f>
        <v>106</v>
      </c>
      <c r="AY17" s="542">
        <f>IF(Year5_Milton_Keynes Year5_ReferralSource_Anonymous="","",Year5_Milton_Keynes Year5_ReferralSource_Anonymous)</f>
        <v>63</v>
      </c>
      <c r="AZ17" s="543">
        <f>IF(Year5_Milton_Keynes Year5_ReferralSource_Unknown="","",Year5_Milton_Keynes Year5_ReferralSource_Unknown)</f>
        <v>0</v>
      </c>
      <c r="BA17" s="57">
        <f t="shared" si="14"/>
        <v>2677</v>
      </c>
      <c r="BB17" s="89">
        <f>IF(BA17&gt;0,Population!H18,0)</f>
        <v>68300</v>
      </c>
      <c r="BC17" s="143">
        <f t="shared" si="15"/>
        <v>391.94729136163983</v>
      </c>
    </row>
    <row r="18" spans="1:65" s="89" customFormat="1" ht="13.5" hidden="1" customHeight="1" x14ac:dyDescent="0.2">
      <c r="A18" s="462">
        <f>VLOOKUP(B18,Sheet1!$AQ$4:$AR$25,2,FALSE)</f>
        <v>0</v>
      </c>
      <c r="B18" s="95" t="str">
        <f>Sheet1!$K$13</f>
        <v>Oxfordshire</v>
      </c>
      <c r="C18" s="87"/>
      <c r="D18" s="226">
        <f t="shared" si="0"/>
        <v>5.7825637999704966</v>
      </c>
      <c r="E18" s="226"/>
      <c r="F18" s="226"/>
      <c r="G18" s="226"/>
      <c r="H18" s="226">
        <f t="shared" si="1"/>
        <v>20.460244873875201</v>
      </c>
      <c r="I18" s="226">
        <f t="shared" si="2"/>
        <v>0.47204602448738758</v>
      </c>
      <c r="J18" s="226">
        <f t="shared" si="3"/>
        <v>9.1901460392388259</v>
      </c>
      <c r="K18" s="226"/>
      <c r="L18" s="226"/>
      <c r="M18" s="226"/>
      <c r="N18" s="226"/>
      <c r="O18" s="226"/>
      <c r="P18" s="226">
        <f t="shared" si="4"/>
        <v>0.78182622805723567</v>
      </c>
      <c r="Q18" s="226">
        <f t="shared" si="5"/>
        <v>4.882726065791414</v>
      </c>
      <c r="R18" s="226"/>
      <c r="S18" s="226"/>
      <c r="T18" s="226">
        <f t="shared" si="6"/>
        <v>30.682991591680185</v>
      </c>
      <c r="U18" s="226">
        <f t="shared" si="7"/>
        <v>1.0768549933618528</v>
      </c>
      <c r="V18" s="226">
        <f t="shared" si="8"/>
        <v>14.382652308600088</v>
      </c>
      <c r="W18" s="226">
        <f t="shared" si="9"/>
        <v>1.0326006785661601</v>
      </c>
      <c r="X18" s="401">
        <f t="shared" si="10"/>
        <v>11.255347396371146</v>
      </c>
      <c r="Y18" s="124"/>
      <c r="Z18" s="140"/>
      <c r="AA18" s="188"/>
      <c r="AB18" s="48" t="str">
        <f t="shared" si="11"/>
        <v>Oxfordshire</v>
      </c>
      <c r="AC18" s="47">
        <v>10</v>
      </c>
      <c r="AD18" s="48" t="str">
        <f t="shared" si="12"/>
        <v>OxfordshireNumber</v>
      </c>
      <c r="AE18" s="49" t="b">
        <f t="shared" si="13"/>
        <v>0</v>
      </c>
      <c r="AF18" s="622">
        <f>IF(Year5_Oxfordshire Year5_ReferralSource_Individual_Family="","",Year5_Oxfordshire Year5_ReferralSource_Individual_Family)</f>
        <v>392</v>
      </c>
      <c r="AG18" s="544" t="str">
        <f>IF(Year5_Oxfordshire Year5_ReferralSource_Individual_Acquaintance="","",Year5_Oxfordshire Year5_ReferralSource_Individual_Acquaintance)</f>
        <v/>
      </c>
      <c r="AH18" s="544" t="str">
        <f>IF(Year5_Oxfordshire Year5_ReferralSource_Individual_Self="","",Year5_Oxfordshire Year5_ReferralSource_Individual_Self)</f>
        <v/>
      </c>
      <c r="AI18" s="544" t="str">
        <f>IF(Year5_Oxfordshire Year5_ReferralSource_Individual_Other="","",Year5_Oxfordshire Year5_ReferralSource_Individual_Other)</f>
        <v/>
      </c>
      <c r="AJ18" s="544">
        <f>IF(Year5_Oxfordshire Year5_ReferralSource_School="","",Year5_Oxfordshire Year5_ReferralSource_School)</f>
        <v>1387</v>
      </c>
      <c r="AK18" s="544">
        <f>IF(Year5_Oxfordshire Year5_ReferralSource_EducationServices="","",Year5_Oxfordshire Year5_ReferralSource_EducationServices)</f>
        <v>32</v>
      </c>
      <c r="AL18" s="544">
        <f>IF(Year5_Oxfordshire Year5_ReferralSource_Health_services_GP="","",Year5_Oxfordshire Year5_ReferralSource_Health_services_GP)</f>
        <v>623</v>
      </c>
      <c r="AM18" s="544" t="str">
        <f>IF(Year5_Oxfordshire Year5_ReferralSource_Health_services_HealthVisitor="","",Year5_Oxfordshire Year5_ReferralSource_Health_services_HealthVisitor)</f>
        <v/>
      </c>
      <c r="AN18" s="544" t="str">
        <f>IF(Year5_Oxfordshire Year5_ReferralSource_Health_services_SchoolNurse="","",Year5_Oxfordshire Year5_ReferralSource_Health_services_SchoolNurse)</f>
        <v/>
      </c>
      <c r="AO18" s="544" t="str">
        <f>IF(Year5_Oxfordshire Year5_ReferralSource_Health_services_OthPrimary="","",Year5_Oxfordshire Year5_ReferralSource_Health_services_OthPrimary)</f>
        <v/>
      </c>
      <c r="AP18" s="544" t="str">
        <f>IF(Year5_Oxfordshire Year5_ReferralSource_Health_services_AE="","",Year5_Oxfordshire Year5_ReferralSource_Health_services_AE)</f>
        <v/>
      </c>
      <c r="AQ18" s="544" t="str">
        <f>IF(Year5_Oxfordshire Year5_ReferralSource_Health_services_Other="","",Year5_Oxfordshire Year5_ReferralSource_Health_services_Other)</f>
        <v/>
      </c>
      <c r="AR18" s="544">
        <f>IF(Year5_Oxfordshire Year5_ReferralSource_Housing="","",Year5_Oxfordshire Year5_ReferralSource_Housing)</f>
        <v>53</v>
      </c>
      <c r="AS18" s="544">
        <f>IF(Year5_Oxfordshire Year5_ReferralSource_LA_SC="","",Year5_Oxfordshire Year5_ReferralSource_LA_SC)</f>
        <v>331</v>
      </c>
      <c r="AT18" s="544" t="str">
        <f>IF(Year5_Oxfordshire Year5_ReferralSource_LA_Other="","",Year5_Oxfordshire Year5_ReferralSource_LA_Other)</f>
        <v/>
      </c>
      <c r="AU18" s="544" t="str">
        <f>IF(Year5_Oxfordshire Year5_ReferralSource_LA_External="","",Year5_Oxfordshire Year5_ReferralSource_LA_External)</f>
        <v/>
      </c>
      <c r="AV18" s="544">
        <f>IF(Year5_Oxfordshire Year5_ReferralSource_Police="","",Year5_Oxfordshire Year5_ReferralSource_Police)</f>
        <v>2080</v>
      </c>
      <c r="AW18" s="544">
        <f>IF(Year5_Oxfordshire Year5_ReferralSource_Other_Legal="","",Year5_Oxfordshire Year5_ReferralSource_Other_Legal)</f>
        <v>73</v>
      </c>
      <c r="AX18" s="544">
        <f>IF(Year5_Oxfordshire Year5_ReferralSource_Other="","",Year5_Oxfordshire Year5_ReferralSource_Other)</f>
        <v>975</v>
      </c>
      <c r="AY18" s="544">
        <f>IF(Year5_Oxfordshire Year5_ReferralSource_Anonymous="","",Year5_Oxfordshire Year5_ReferralSource_Anonymous)</f>
        <v>70</v>
      </c>
      <c r="AZ18" s="544">
        <f>IF(Year5_Oxfordshire Year5_ReferralSource_Unknown="","",Year5_Oxfordshire Year5_ReferralSource_Unknown)</f>
        <v>763</v>
      </c>
      <c r="BA18" s="57">
        <f t="shared" si="14"/>
        <v>6779</v>
      </c>
      <c r="BB18" s="89">
        <f>IF(BA18&gt;0,Population!H19,0)</f>
        <v>144800</v>
      </c>
      <c r="BC18" s="143">
        <f t="shared" si="15"/>
        <v>468.16298342541438</v>
      </c>
    </row>
    <row r="19" spans="1:65" s="89" customFormat="1" ht="13.5" hidden="1" customHeight="1" x14ac:dyDescent="0.2">
      <c r="A19" s="462">
        <f>VLOOKUP(B19,Sheet1!$AQ$4:$AR$25,2,FALSE)</f>
        <v>0</v>
      </c>
      <c r="B19" s="95" t="str">
        <f>Sheet1!$K$14</f>
        <v>Portsmouth</v>
      </c>
      <c r="C19" s="87"/>
      <c r="D19" s="226">
        <f t="shared" si="0"/>
        <v>7.7355836849507735</v>
      </c>
      <c r="E19" s="226"/>
      <c r="F19" s="226"/>
      <c r="G19" s="226"/>
      <c r="H19" s="226">
        <f t="shared" si="1"/>
        <v>19.268635724331926</v>
      </c>
      <c r="I19" s="226">
        <f t="shared" si="2"/>
        <v>0.63291139240506333</v>
      </c>
      <c r="J19" s="226">
        <f t="shared" si="3"/>
        <v>13.045007032348805</v>
      </c>
      <c r="K19" s="226"/>
      <c r="L19" s="226"/>
      <c r="M19" s="226"/>
      <c r="N19" s="226"/>
      <c r="O19" s="226"/>
      <c r="P19" s="226">
        <f t="shared" si="4"/>
        <v>3.79746835443038</v>
      </c>
      <c r="Q19" s="226">
        <f t="shared" si="5"/>
        <v>18.037974683544302</v>
      </c>
      <c r="R19" s="226"/>
      <c r="S19" s="226"/>
      <c r="T19" s="226">
        <f t="shared" si="6"/>
        <v>24.613220815752463</v>
      </c>
      <c r="U19" s="226">
        <f t="shared" si="7"/>
        <v>5.309423347398031</v>
      </c>
      <c r="V19" s="226">
        <f t="shared" si="8"/>
        <v>5.2390998593530238</v>
      </c>
      <c r="W19" s="226">
        <f t="shared" si="9"/>
        <v>2.3206751054852321</v>
      </c>
      <c r="X19" s="401">
        <f t="shared" si="10"/>
        <v>0</v>
      </c>
      <c r="Y19" s="124"/>
      <c r="Z19" s="140"/>
      <c r="AA19" s="188"/>
      <c r="AB19" s="48" t="str">
        <f t="shared" si="11"/>
        <v>Portsmouth</v>
      </c>
      <c r="AC19" s="47">
        <v>11</v>
      </c>
      <c r="AD19" s="48" t="str">
        <f t="shared" si="12"/>
        <v>PortsmouthNumber</v>
      </c>
      <c r="AE19" s="49" t="b">
        <f t="shared" si="13"/>
        <v>0</v>
      </c>
      <c r="AF19" s="622">
        <f>IF(Year5_Portsmouth Year5_ReferralSource_Individual_Family="","",Year5_Portsmouth Year5_ReferralSource_Individual_Family)</f>
        <v>220</v>
      </c>
      <c r="AG19" s="544" t="str">
        <f>IF(Year5_Portsmouth Year5_ReferralSource_Individual_Acquaintance="","",Year5_Portsmouth Year5_ReferralSource_Individual_Acquaintance)</f>
        <v/>
      </c>
      <c r="AH19" s="544" t="str">
        <f>IF(Year5_Portsmouth Year5_ReferralSource_Individual_Self="","",Year5_Portsmouth Year5_ReferralSource_Individual_Self)</f>
        <v/>
      </c>
      <c r="AI19" s="544" t="str">
        <f>IF(Year5_Portsmouth Year5_ReferralSource_Individual_Other="","",Year5_Portsmouth Year5_ReferralSource_Individual_Other)</f>
        <v/>
      </c>
      <c r="AJ19" s="544">
        <f>IF(Year5_Portsmouth Year5_ReferralSource_School="","",Year5_Portsmouth Year5_ReferralSource_School)</f>
        <v>548</v>
      </c>
      <c r="AK19" s="544">
        <f>IF(Year5_Portsmouth Year5_ReferralSource_EducationServices="","",Year5_Portsmouth Year5_ReferralSource_EducationServices)</f>
        <v>18</v>
      </c>
      <c r="AL19" s="544">
        <f>IF(Year5_Portsmouth Year5_ReferralSource_Health_services_GP="","",Year5_Portsmouth Year5_ReferralSource_Health_services_GP)</f>
        <v>371</v>
      </c>
      <c r="AM19" s="544" t="str">
        <f>IF(Year5_Portsmouth Year5_ReferralSource_Health_services_HealthVisitor="","",Year5_Portsmouth Year5_ReferralSource_Health_services_HealthVisitor)</f>
        <v/>
      </c>
      <c r="AN19" s="544" t="str">
        <f>IF(Year5_Portsmouth Year5_ReferralSource_Health_services_SchoolNurse="","",Year5_Portsmouth Year5_ReferralSource_Health_services_SchoolNurse)</f>
        <v/>
      </c>
      <c r="AO19" s="544" t="str">
        <f>IF(Year5_Portsmouth Year5_ReferralSource_Health_services_OthPrimary="","",Year5_Portsmouth Year5_ReferralSource_Health_services_OthPrimary)</f>
        <v/>
      </c>
      <c r="AP19" s="544" t="str">
        <f>IF(Year5_Portsmouth Year5_ReferralSource_Health_services_AE="","",Year5_Portsmouth Year5_ReferralSource_Health_services_AE)</f>
        <v/>
      </c>
      <c r="AQ19" s="544" t="str">
        <f>IF(Year5_Portsmouth Year5_ReferralSource_Health_services_Other="","",Year5_Portsmouth Year5_ReferralSource_Health_services_Other)</f>
        <v/>
      </c>
      <c r="AR19" s="544">
        <f>IF(Year5_Portsmouth Year5_ReferralSource_Housing="","",Year5_Portsmouth Year5_ReferralSource_Housing)</f>
        <v>108</v>
      </c>
      <c r="AS19" s="544">
        <f>IF(Year5_Portsmouth Year5_ReferralSource_LA_SC="","",Year5_Portsmouth Year5_ReferralSource_LA_SC)</f>
        <v>513</v>
      </c>
      <c r="AT19" s="544" t="str">
        <f>IF(Year5_Portsmouth Year5_ReferralSource_LA_Other="","",Year5_Portsmouth Year5_ReferralSource_LA_Other)</f>
        <v/>
      </c>
      <c r="AU19" s="544" t="str">
        <f>IF(Year5_Portsmouth Year5_ReferralSource_LA_External="","",Year5_Portsmouth Year5_ReferralSource_LA_External)</f>
        <v/>
      </c>
      <c r="AV19" s="544">
        <f>IF(Year5_Portsmouth Year5_ReferralSource_Police="","",Year5_Portsmouth Year5_ReferralSource_Police)</f>
        <v>700</v>
      </c>
      <c r="AW19" s="544">
        <f>IF(Year5_Portsmouth Year5_ReferralSource_Other_Legal="","",Year5_Portsmouth Year5_ReferralSource_Other_Legal)</f>
        <v>151</v>
      </c>
      <c r="AX19" s="544">
        <f>IF(Year5_Portsmouth Year5_ReferralSource_Other="","",Year5_Portsmouth Year5_ReferralSource_Other)</f>
        <v>149</v>
      </c>
      <c r="AY19" s="544">
        <f>IF(Year5_Portsmouth Year5_ReferralSource_Anonymous="","",Year5_Portsmouth Year5_ReferralSource_Anonymous)</f>
        <v>66</v>
      </c>
      <c r="AZ19" s="544">
        <f>IF(Year5_Portsmouth Year5_ReferralSource_Unknown="","",Year5_Portsmouth Year5_ReferralSource_Unknown)</f>
        <v>0</v>
      </c>
      <c r="BA19" s="57">
        <f t="shared" si="14"/>
        <v>2844</v>
      </c>
      <c r="BB19" s="89">
        <f>IF(BA19&gt;0,Population!H20,0)</f>
        <v>44000</v>
      </c>
      <c r="BC19" s="143">
        <f t="shared" si="15"/>
        <v>646.36363636363626</v>
      </c>
    </row>
    <row r="20" spans="1:65" s="89" customFormat="1" ht="13.5" hidden="1" customHeight="1" x14ac:dyDescent="0.2">
      <c r="A20" s="462">
        <f>VLOOKUP(B20,Sheet1!$AQ$4:$AR$25,2,FALSE)</f>
        <v>0</v>
      </c>
      <c r="B20" s="95" t="str">
        <f>Sheet1!$K$15</f>
        <v>Reading</v>
      </c>
      <c r="C20" s="87"/>
      <c r="D20" s="226">
        <f t="shared" si="0"/>
        <v>6.425702811244979</v>
      </c>
      <c r="E20" s="226"/>
      <c r="F20" s="226"/>
      <c r="G20" s="226"/>
      <c r="H20" s="226">
        <f t="shared" si="1"/>
        <v>16.721431179262506</v>
      </c>
      <c r="I20" s="226">
        <f t="shared" si="2"/>
        <v>2.8112449799196786</v>
      </c>
      <c r="J20" s="226">
        <f t="shared" si="3"/>
        <v>14.494341000365097</v>
      </c>
      <c r="K20" s="226"/>
      <c r="L20" s="226"/>
      <c r="M20" s="226"/>
      <c r="N20" s="226"/>
      <c r="O20" s="226"/>
      <c r="P20" s="226">
        <f t="shared" si="4"/>
        <v>2.774735304855787</v>
      </c>
      <c r="Q20" s="226">
        <f t="shared" si="5"/>
        <v>9.0909090909090917</v>
      </c>
      <c r="R20" s="226"/>
      <c r="S20" s="226"/>
      <c r="T20" s="226">
        <f t="shared" si="6"/>
        <v>38.773274917853229</v>
      </c>
      <c r="U20" s="226">
        <f t="shared" si="7"/>
        <v>2.5921869295363273</v>
      </c>
      <c r="V20" s="226">
        <f t="shared" si="8"/>
        <v>5.0383351588170866</v>
      </c>
      <c r="W20" s="226">
        <f t="shared" si="9"/>
        <v>1.2778386272362174</v>
      </c>
      <c r="X20" s="401">
        <f t="shared" si="10"/>
        <v>0</v>
      </c>
      <c r="Y20" s="124"/>
      <c r="Z20" s="140"/>
      <c r="AA20" s="188"/>
      <c r="AB20" s="48" t="str">
        <f t="shared" si="11"/>
        <v>Reading</v>
      </c>
      <c r="AC20" s="47">
        <v>12</v>
      </c>
      <c r="AD20" s="48" t="str">
        <f t="shared" si="12"/>
        <v>ReadingNumber</v>
      </c>
      <c r="AE20" s="49" t="b">
        <f t="shared" si="13"/>
        <v>0</v>
      </c>
      <c r="AF20" s="622">
        <f>IF(Year5_Reading Year5_ReferralSource_Individual_Family="","",Year5_Reading Year5_ReferralSource_Individual_Family)</f>
        <v>176</v>
      </c>
      <c r="AG20" s="544" t="str">
        <f>IF(Year5_Reading Year5_ReferralSource_Individual_Acquaintance="","",Year5_Reading Year5_ReferralSource_Individual_Acquaintance)</f>
        <v/>
      </c>
      <c r="AH20" s="544" t="str">
        <f>IF(Year5_Reading Year5_ReferralSource_Individual_Self="","",Year5_Reading Year5_ReferralSource_Individual_Self)</f>
        <v/>
      </c>
      <c r="AI20" s="544" t="str">
        <f>IF(Year5_Reading Year5_ReferralSource_Individual_Other="","",Year5_Reading Year5_ReferralSource_Individual_Other)</f>
        <v/>
      </c>
      <c r="AJ20" s="544">
        <f>IF(Year5_Reading Year5_ReferralSource_School="","",Year5_Reading Year5_ReferralSource_School)</f>
        <v>458</v>
      </c>
      <c r="AK20" s="544">
        <f>IF(Year5_Reading Year5_ReferralSource_EducationServices="","",Year5_Reading Year5_ReferralSource_EducationServices)</f>
        <v>77</v>
      </c>
      <c r="AL20" s="544">
        <f>IF(Year5_Reading Year5_ReferralSource_Health_services_GP="","",Year5_Reading Year5_ReferralSource_Health_services_GP)</f>
        <v>397</v>
      </c>
      <c r="AM20" s="544" t="str">
        <f>IF(Year5_Reading Year5_ReferralSource_Health_services_HealthVisitor="","",Year5_Reading Year5_ReferralSource_Health_services_HealthVisitor)</f>
        <v/>
      </c>
      <c r="AN20" s="544" t="str">
        <f>IF(Year5_Reading Year5_ReferralSource_Health_services_SchoolNurse="","",Year5_Reading Year5_ReferralSource_Health_services_SchoolNurse)</f>
        <v/>
      </c>
      <c r="AO20" s="544" t="str">
        <f>IF(Year5_Reading Year5_ReferralSource_Health_services_OthPrimary="","",Year5_Reading Year5_ReferralSource_Health_services_OthPrimary)</f>
        <v/>
      </c>
      <c r="AP20" s="544" t="str">
        <f>IF(Year5_Reading Year5_ReferralSource_Health_services_AE="","",Year5_Reading Year5_ReferralSource_Health_services_AE)</f>
        <v/>
      </c>
      <c r="AQ20" s="544" t="str">
        <f>IF(Year5_Reading Year5_ReferralSource_Health_services_Other="","",Year5_Reading Year5_ReferralSource_Health_services_Other)</f>
        <v/>
      </c>
      <c r="AR20" s="544">
        <f>IF(Year5_Reading Year5_ReferralSource_Housing="","",Year5_Reading Year5_ReferralSource_Housing)</f>
        <v>76</v>
      </c>
      <c r="AS20" s="544">
        <f>IF(Year5_Reading Year5_ReferralSource_LA_SC="","",Year5_Reading Year5_ReferralSource_LA_SC)</f>
        <v>249</v>
      </c>
      <c r="AT20" s="544" t="str">
        <f>IF(Year5_Reading Year5_ReferralSource_LA_Other="","",Year5_Reading Year5_ReferralSource_LA_Other)</f>
        <v/>
      </c>
      <c r="AU20" s="544" t="str">
        <f>IF(Year5_Reading Year5_ReferralSource_LA_External="","",Year5_Reading Year5_ReferralSource_LA_External)</f>
        <v/>
      </c>
      <c r="AV20" s="544">
        <f>IF(Year5_Reading Year5_ReferralSource_Police="","",Year5_Reading Year5_ReferralSource_Police)</f>
        <v>1062</v>
      </c>
      <c r="AW20" s="544">
        <f>IF(Year5_Reading Year5_ReferralSource_Other_Legal="","",Year5_Reading Year5_ReferralSource_Other_Legal)</f>
        <v>71</v>
      </c>
      <c r="AX20" s="544">
        <f>IF(Year5_Reading Year5_ReferralSource_Other="","",Year5_Reading Year5_ReferralSource_Other)</f>
        <v>138</v>
      </c>
      <c r="AY20" s="544">
        <f>IF(Year5_Reading Year5_ReferralSource_Anonymous="","",Year5_Reading Year5_ReferralSource_Anonymous)</f>
        <v>35</v>
      </c>
      <c r="AZ20" s="544">
        <f>IF(Year5_Reading Year5_ReferralSource_Unknown="","",Year5_Reading Year5_ReferralSource_Unknown)</f>
        <v>0</v>
      </c>
      <c r="BA20" s="57">
        <f t="shared" si="14"/>
        <v>2739</v>
      </c>
      <c r="BB20" s="89">
        <f>IF(BA20&gt;0,Population!H21,0)</f>
        <v>37100</v>
      </c>
      <c r="BC20" s="143">
        <f t="shared" si="15"/>
        <v>738.27493261455527</v>
      </c>
    </row>
    <row r="21" spans="1:65" s="89" customFormat="1" ht="13.5" hidden="1" customHeight="1" x14ac:dyDescent="0.2">
      <c r="A21" s="462">
        <f>VLOOKUP(B21,Sheet1!$AQ$4:$AR$25,2,FALSE)</f>
        <v>0</v>
      </c>
      <c r="B21" s="95" t="str">
        <f>Sheet1!$K$16</f>
        <v>Slough</v>
      </c>
      <c r="C21" s="87"/>
      <c r="D21" s="226">
        <f t="shared" si="0"/>
        <v>6.9873417721518987</v>
      </c>
      <c r="E21" s="226"/>
      <c r="F21" s="226"/>
      <c r="G21" s="226"/>
      <c r="H21" s="226">
        <f t="shared" si="1"/>
        <v>23.240506329113924</v>
      </c>
      <c r="I21" s="226">
        <f t="shared" si="2"/>
        <v>0</v>
      </c>
      <c r="J21" s="226">
        <f t="shared" si="3"/>
        <v>10.582278481012658</v>
      </c>
      <c r="K21" s="226"/>
      <c r="L21" s="226"/>
      <c r="M21" s="226"/>
      <c r="N21" s="226"/>
      <c r="O21" s="226"/>
      <c r="P21" s="226">
        <f t="shared" si="4"/>
        <v>0</v>
      </c>
      <c r="Q21" s="226">
        <f t="shared" si="5"/>
        <v>16.759493670886076</v>
      </c>
      <c r="R21" s="226"/>
      <c r="S21" s="226"/>
      <c r="T21" s="226">
        <f t="shared" si="6"/>
        <v>31.594936708860761</v>
      </c>
      <c r="U21" s="226">
        <f t="shared" si="7"/>
        <v>3.4936708860759493</v>
      </c>
      <c r="V21" s="226">
        <f t="shared" si="8"/>
        <v>6.2784810126582284</v>
      </c>
      <c r="W21" s="226">
        <f t="shared" si="9"/>
        <v>1.0632911392405064</v>
      </c>
      <c r="X21" s="401">
        <f t="shared" si="10"/>
        <v>0</v>
      </c>
      <c r="Y21" s="124"/>
      <c r="Z21" s="140"/>
      <c r="AA21" s="188"/>
      <c r="AB21" s="48" t="str">
        <f t="shared" si="11"/>
        <v>Slough</v>
      </c>
      <c r="AC21" s="47">
        <v>13</v>
      </c>
      <c r="AD21" s="48" t="str">
        <f t="shared" si="12"/>
        <v>SloughNumber</v>
      </c>
      <c r="AE21" s="49" t="b">
        <f t="shared" si="13"/>
        <v>0</v>
      </c>
      <c r="AF21" s="522">
        <f>IF(Year5_Slough Year5_ReferralSource_Individual_Family="","",Year5_Slough Year5_ReferralSource_Individual_Family)</f>
        <v>138</v>
      </c>
      <c r="AG21" s="523" t="str">
        <f>IF(Year5_Slough Year5_ReferralSource_Individual_Acquaintance="","",Year5_Slough Year5_ReferralSource_Individual_Acquaintance)</f>
        <v/>
      </c>
      <c r="AH21" s="523" t="str">
        <f>IF(Year5_Slough Year5_ReferralSource_Individual_Self="","",Year5_Slough Year5_ReferralSource_Individual_Self)</f>
        <v/>
      </c>
      <c r="AI21" s="523" t="str">
        <f>IF(Year5_Slough Year5_ReferralSource_Individual_Other="","",Year5_Slough Year5_ReferralSource_Individual_Other)</f>
        <v/>
      </c>
      <c r="AJ21" s="523">
        <f>IF(Year5_Slough Year5_ReferralSource_School="","",Year5_Slough Year5_ReferralSource_School)</f>
        <v>459</v>
      </c>
      <c r="AK21" s="523">
        <f>IF(Year5_Slough Year5_ReferralSource_EducationServices="","",Year5_Slough Year5_ReferralSource_EducationServices)</f>
        <v>0</v>
      </c>
      <c r="AL21" s="523">
        <f>IF(Year5_Slough Year5_ReferralSource_Health_services_GP="","",Year5_Slough Year5_ReferralSource_Health_services_GP)</f>
        <v>209</v>
      </c>
      <c r="AM21" s="523" t="str">
        <f>IF(Year5_Slough Year5_ReferralSource_Health_services_HealthVisitor="","",Year5_Slough Year5_ReferralSource_Health_services_HealthVisitor)</f>
        <v/>
      </c>
      <c r="AN21" s="523" t="str">
        <f>IF(Year5_Slough Year5_ReferralSource_Health_services_SchoolNurse="","",Year5_Slough Year5_ReferralSource_Health_services_SchoolNurse)</f>
        <v/>
      </c>
      <c r="AO21" s="523" t="str">
        <f>IF(Year5_Slough Year5_ReferralSource_Health_services_OthPrimary="","",Year5_Slough Year5_ReferralSource_Health_services_OthPrimary)</f>
        <v/>
      </c>
      <c r="AP21" s="523" t="str">
        <f>IF(Year5_Slough Year5_ReferralSource_Health_services_AE="","",Year5_Slough Year5_ReferralSource_Health_services_AE)</f>
        <v/>
      </c>
      <c r="AQ21" s="523" t="str">
        <f>IF(Year5_Slough Year5_ReferralSource_Health_services_Other="","",Year5_Slough Year5_ReferralSource_Health_services_Other)</f>
        <v/>
      </c>
      <c r="AR21" s="523">
        <f>IF(Year5_Slough Year5_ReferralSource_Housing="","",Year5_Slough Year5_ReferralSource_Housing)</f>
        <v>0</v>
      </c>
      <c r="AS21" s="523">
        <f>IF(Year5_Slough Year5_ReferralSource_LA_SC="","",Year5_Slough Year5_ReferralSource_LA_SC)</f>
        <v>331</v>
      </c>
      <c r="AT21" s="523" t="str">
        <f>IF(Year5_Slough Year5_ReferralSource_LA_Other="","",Year5_Slough Year5_ReferralSource_LA_Other)</f>
        <v/>
      </c>
      <c r="AU21" s="523" t="str">
        <f>IF(Year5_Slough Year5_ReferralSource_LA_External="","",Year5_Slough Year5_ReferralSource_LA_External)</f>
        <v/>
      </c>
      <c r="AV21" s="523">
        <f>IF(Year5_Slough Year5_ReferralSource_Police="","",Year5_Slough Year5_ReferralSource_Police)</f>
        <v>624</v>
      </c>
      <c r="AW21" s="523">
        <f>IF(Year5_Slough Year5_ReferralSource_Other_Legal="","",Year5_Slough Year5_ReferralSource_Other_Legal)</f>
        <v>69</v>
      </c>
      <c r="AX21" s="523">
        <f>IF(Year5_Slough Year5_ReferralSource_Other="","",Year5_Slough Year5_ReferralSource_Other)</f>
        <v>124</v>
      </c>
      <c r="AY21" s="523">
        <f>IF(Year5_Slough Year5_ReferralSource_Anonymous="","",Year5_Slough Year5_ReferralSource_Anonymous)</f>
        <v>21</v>
      </c>
      <c r="AZ21" s="524">
        <f>IF(Year5_Slough Year5_ReferralSource_Unknown="","",Year5_Slough Year5_ReferralSource_Unknown)</f>
        <v>0</v>
      </c>
      <c r="BA21" s="57">
        <f t="shared" si="14"/>
        <v>1975</v>
      </c>
      <c r="BB21" s="89">
        <f>IF(BA21&gt;0,Population!H22,0)</f>
        <v>42700</v>
      </c>
      <c r="BC21" s="143">
        <f t="shared" si="15"/>
        <v>462.52927400468388</v>
      </c>
    </row>
    <row r="22" spans="1:65" s="89" customFormat="1" ht="13.5" hidden="1" customHeight="1" x14ac:dyDescent="0.2">
      <c r="A22" s="462">
        <f>VLOOKUP(B22,Sheet1!$AQ$4:$AR$25,2,FALSE)</f>
        <v>0</v>
      </c>
      <c r="B22" s="95" t="str">
        <f>Sheet1!$K$17</f>
        <v>Somerset</v>
      </c>
      <c r="C22" s="87"/>
      <c r="D22" s="226">
        <f t="shared" si="0"/>
        <v>3.5576179427687551</v>
      </c>
      <c r="E22" s="226"/>
      <c r="F22" s="226"/>
      <c r="G22" s="226"/>
      <c r="H22" s="226">
        <f t="shared" si="1"/>
        <v>21.69373549883991</v>
      </c>
      <c r="I22" s="226">
        <f t="shared" si="2"/>
        <v>0</v>
      </c>
      <c r="J22" s="226">
        <f t="shared" si="3"/>
        <v>14.037122969837586</v>
      </c>
      <c r="K22" s="226"/>
      <c r="L22" s="226"/>
      <c r="M22" s="226"/>
      <c r="N22" s="226"/>
      <c r="O22" s="226"/>
      <c r="P22" s="226">
        <f t="shared" si="4"/>
        <v>0</v>
      </c>
      <c r="Q22" s="226">
        <f t="shared" si="5"/>
        <v>16.744006187161638</v>
      </c>
      <c r="R22" s="226"/>
      <c r="S22" s="226"/>
      <c r="T22" s="226">
        <f t="shared" si="6"/>
        <v>31.438515081206496</v>
      </c>
      <c r="U22" s="226">
        <f t="shared" si="7"/>
        <v>2.5135344160866202</v>
      </c>
      <c r="V22" s="226">
        <f t="shared" si="8"/>
        <v>6.921887084300077</v>
      </c>
      <c r="W22" s="226">
        <f t="shared" si="9"/>
        <v>2.1655065738592421</v>
      </c>
      <c r="X22" s="401">
        <f t="shared" si="10"/>
        <v>0.92807424593967514</v>
      </c>
      <c r="Y22" s="124"/>
      <c r="Z22" s="140"/>
      <c r="AA22" s="188"/>
      <c r="AB22" s="48" t="str">
        <f t="shared" si="11"/>
        <v>Somerset</v>
      </c>
      <c r="AC22" s="47">
        <v>14</v>
      </c>
      <c r="AD22" s="48" t="str">
        <f t="shared" si="12"/>
        <v>SomersetNumber</v>
      </c>
      <c r="AE22" s="49" t="b">
        <f t="shared" si="13"/>
        <v>0</v>
      </c>
      <c r="AF22" s="623">
        <f>IF(Year5_Somerset Year5_ReferralSource_Individual_Family="","",Year5_Somerset Year5_ReferralSource_Individual_Family)</f>
        <v>92</v>
      </c>
      <c r="AG22" s="534" t="str">
        <f>IF(Year5_Somerset Year5_ReferralSource_Individual_Acquaintance="","",Year5_Somerset Year5_ReferralSource_Individual_Acquaintance)</f>
        <v/>
      </c>
      <c r="AH22" s="534" t="str">
        <f>IF(Year5_Somerset Year5_ReferralSource_Individual_Self="","",Year5_Somerset Year5_ReferralSource_Individual_Self)</f>
        <v/>
      </c>
      <c r="AI22" s="534" t="str">
        <f>IF(Year5_Somerset Year5_ReferralSource_Individual_Other="","",Year5_Somerset Year5_ReferralSource_Individual_Other)</f>
        <v/>
      </c>
      <c r="AJ22" s="534">
        <f>IF(Year5_Somerset Year5_ReferralSource_School="","",Year5_Somerset Year5_ReferralSource_School)</f>
        <v>561</v>
      </c>
      <c r="AK22" s="534">
        <f>IF(Year5_Somerset Year5_ReferralSource_EducationServices="","",Year5_Somerset Year5_ReferralSource_EducationServices)</f>
        <v>0</v>
      </c>
      <c r="AL22" s="534">
        <f>IF(Year5_Somerset Year5_ReferralSource_Health_services_GP="","",Year5_Somerset Year5_ReferralSource_Health_services_GP)</f>
        <v>363</v>
      </c>
      <c r="AM22" s="534" t="str">
        <f>IF(Year5_Somerset Year5_ReferralSource_Health_services_HealthVisitor="","",Year5_Somerset Year5_ReferralSource_Health_services_HealthVisitor)</f>
        <v/>
      </c>
      <c r="AN22" s="534" t="str">
        <f>IF(Year5_Somerset Year5_ReferralSource_Health_services_SchoolNurse="","",Year5_Somerset Year5_ReferralSource_Health_services_SchoolNurse)</f>
        <v/>
      </c>
      <c r="AO22" s="534" t="str">
        <f>IF(Year5_Somerset Year5_ReferralSource_Health_services_OthPrimary="","",Year5_Somerset Year5_ReferralSource_Health_services_OthPrimary)</f>
        <v/>
      </c>
      <c r="AP22" s="534" t="str">
        <f>IF(Year5_Somerset Year5_ReferralSource_Health_services_AE="","",Year5_Somerset Year5_ReferralSource_Health_services_AE)</f>
        <v/>
      </c>
      <c r="AQ22" s="534" t="str">
        <f>IF(Year5_Somerset Year5_ReferralSource_Health_services_Other="","",Year5_Somerset Year5_ReferralSource_Health_services_Other)</f>
        <v/>
      </c>
      <c r="AR22" s="534">
        <f>IF(Year5_Somerset Year5_ReferralSource_Housing="","",Year5_Somerset Year5_ReferralSource_Housing)</f>
        <v>0</v>
      </c>
      <c r="AS22" s="534">
        <f>IF(Year5_Somerset Year5_ReferralSource_LA_SC="","",Year5_Somerset Year5_ReferralSource_LA_SC)</f>
        <v>433</v>
      </c>
      <c r="AT22" s="534" t="str">
        <f>IF(Year5_Somerset Year5_ReferralSource_LA_Other="","",Year5_Somerset Year5_ReferralSource_LA_Other)</f>
        <v/>
      </c>
      <c r="AU22" s="534" t="str">
        <f>IF(Year5_Somerset Year5_ReferralSource_LA_External="","",Year5_Somerset Year5_ReferralSource_LA_External)</f>
        <v/>
      </c>
      <c r="AV22" s="534">
        <f>IF(Year5_Somerset Year5_ReferralSource_Police="","",Year5_Somerset Year5_ReferralSource_Police)</f>
        <v>813</v>
      </c>
      <c r="AW22" s="534">
        <f>IF(Year5_Somerset Year5_ReferralSource_Other_Legal="","",Year5_Somerset Year5_ReferralSource_Other_Legal)</f>
        <v>65</v>
      </c>
      <c r="AX22" s="534">
        <f>IF(Year5_Somerset Year5_ReferralSource_Other="","",Year5_Somerset Year5_ReferralSource_Other)</f>
        <v>179</v>
      </c>
      <c r="AY22" s="534">
        <f>IF(Year5_Somerset Year5_ReferralSource_Anonymous="","",Year5_Somerset Year5_ReferralSource_Anonymous)</f>
        <v>56</v>
      </c>
      <c r="AZ22" s="534">
        <f>IF(Year5_Somerset Year5_ReferralSource_Unknown="","",Year5_Somerset Year5_ReferralSource_Unknown)</f>
        <v>24</v>
      </c>
      <c r="BA22" s="57">
        <f t="shared" si="14"/>
        <v>2586</v>
      </c>
      <c r="BB22" s="89">
        <f>IF(BA22&gt;0,Population!H23,0)</f>
        <v>110700</v>
      </c>
      <c r="BC22" s="143">
        <f t="shared" si="15"/>
        <v>233.60433604336043</v>
      </c>
    </row>
    <row r="23" spans="1:65" s="89" customFormat="1" ht="13.5" hidden="1" customHeight="1" x14ac:dyDescent="0.2">
      <c r="A23" s="462">
        <f>VLOOKUP(B23,Sheet1!$AQ$4:$AR$25,2,FALSE)</f>
        <v>0</v>
      </c>
      <c r="B23" s="95" t="str">
        <f>Sheet1!$K$18</f>
        <v>Southampton</v>
      </c>
      <c r="C23" s="87"/>
      <c r="D23" s="226">
        <f t="shared" si="0"/>
        <v>5.3126469205453688</v>
      </c>
      <c r="E23" s="226"/>
      <c r="F23" s="226"/>
      <c r="G23" s="226"/>
      <c r="H23" s="226">
        <f t="shared" si="1"/>
        <v>17.320169252468265</v>
      </c>
      <c r="I23" s="226">
        <f t="shared" si="2"/>
        <v>3.911612599905971</v>
      </c>
      <c r="J23" s="226">
        <f t="shared" si="3"/>
        <v>13.511988716502115</v>
      </c>
      <c r="K23" s="226"/>
      <c r="L23" s="226"/>
      <c r="M23" s="226"/>
      <c r="N23" s="226"/>
      <c r="O23" s="226"/>
      <c r="P23" s="226">
        <f t="shared" si="4"/>
        <v>1.3634226610249176</v>
      </c>
      <c r="Q23" s="226">
        <f t="shared" si="5"/>
        <v>12.214386459802538</v>
      </c>
      <c r="R23" s="226"/>
      <c r="S23" s="226"/>
      <c r="T23" s="226">
        <f t="shared" si="6"/>
        <v>36.314057357780911</v>
      </c>
      <c r="U23" s="226">
        <f t="shared" si="7"/>
        <v>3.1969910672308415</v>
      </c>
      <c r="V23" s="226">
        <f t="shared" si="8"/>
        <v>5.5195110484250121</v>
      </c>
      <c r="W23" s="226">
        <f t="shared" si="9"/>
        <v>1.3352139163140573</v>
      </c>
      <c r="X23" s="401">
        <f t="shared" si="10"/>
        <v>0</v>
      </c>
      <c r="Y23" s="124"/>
      <c r="Z23" s="140"/>
      <c r="AA23" s="188"/>
      <c r="AB23" s="48" t="str">
        <f t="shared" si="11"/>
        <v>Southampton</v>
      </c>
      <c r="AC23" s="47">
        <v>15</v>
      </c>
      <c r="AD23" s="48" t="str">
        <f t="shared" si="12"/>
        <v>SouthamptonNumber</v>
      </c>
      <c r="AE23" s="49" t="b">
        <f t="shared" si="13"/>
        <v>0</v>
      </c>
      <c r="AF23" s="624">
        <f>IF(Year5_Southampton Year5_ReferralSource_Individual_Family="","",Year5_Southampton Year5_ReferralSource_Individual_Family)</f>
        <v>565</v>
      </c>
      <c r="AG23" s="546" t="str">
        <f>IF(Year5_Southampton Year5_ReferralSource_Individual_Acquaintance="","",Year5_Southampton Year5_ReferralSource_Individual_Acquaintance)</f>
        <v/>
      </c>
      <c r="AH23" s="546" t="str">
        <f>IF(Year5_Southampton Year5_ReferralSource_Individual_Self="","",Year5_Southampton Year5_ReferralSource_Individual_Self)</f>
        <v/>
      </c>
      <c r="AI23" s="546" t="str">
        <f>IF(Year5_Southampton Year5_ReferralSource_Individual_Other="","",Year5_Southampton Year5_ReferralSource_Individual_Other)</f>
        <v/>
      </c>
      <c r="AJ23" s="546">
        <f>IF(Year5_Southampton Year5_ReferralSource_School="","",Year5_Southampton Year5_ReferralSource_School)</f>
        <v>1842</v>
      </c>
      <c r="AK23" s="545">
        <f>IF(Year5_Southampton Year5_ReferralSource_EducationServices="","",Year5_Southampton Year5_ReferralSource_EducationServices)</f>
        <v>416</v>
      </c>
      <c r="AL23" s="545">
        <f>IF(Year5_Southampton Year5_ReferralSource_Health_services_GP="","",Year5_Southampton Year5_ReferralSource_Health_services_GP)</f>
        <v>1437</v>
      </c>
      <c r="AM23" s="546" t="str">
        <f>IF(Year5_Southampton Year5_ReferralSource_Health_services_HealthVisitor="","",Year5_Southampton Year5_ReferralSource_Health_services_HealthVisitor)</f>
        <v/>
      </c>
      <c r="AN23" s="546" t="str">
        <f>IF(Year5_Southampton Year5_ReferralSource_Health_services_SchoolNurse="","",Year5_Southampton Year5_ReferralSource_Health_services_SchoolNurse)</f>
        <v/>
      </c>
      <c r="AO23" s="546" t="str">
        <f>IF(Year5_Southampton Year5_ReferralSource_Health_services_OthPrimary="","",Year5_Southampton Year5_ReferralSource_Health_services_OthPrimary)</f>
        <v/>
      </c>
      <c r="AP23" s="546" t="str">
        <f>IF(Year5_Southampton Year5_ReferralSource_Health_services_AE="","",Year5_Southampton Year5_ReferralSource_Health_services_AE)</f>
        <v/>
      </c>
      <c r="AQ23" s="546" t="str">
        <f>IF(Year5_Southampton Year5_ReferralSource_Health_services_Other="","",Year5_Southampton Year5_ReferralSource_Health_services_Other)</f>
        <v/>
      </c>
      <c r="AR23" s="545">
        <f>IF(Year5_Southampton Year5_ReferralSource_Housing="","",Year5_Southampton Year5_ReferralSource_Housing)</f>
        <v>145</v>
      </c>
      <c r="AS23" s="545">
        <f>IF(Year5_Southampton Year5_ReferralSource_LA_SC="","",Year5_Southampton Year5_ReferralSource_LA_SC)</f>
        <v>1299</v>
      </c>
      <c r="AT23" s="546" t="str">
        <f>IF(Year5_Southampton Year5_ReferralSource_LA_Other="","",Year5_Southampton Year5_ReferralSource_LA_Other)</f>
        <v/>
      </c>
      <c r="AU23" s="546" t="str">
        <f>IF(Year5_Southampton Year5_ReferralSource_LA_External="","",Year5_Southampton Year5_ReferralSource_LA_External)</f>
        <v/>
      </c>
      <c r="AV23" s="545">
        <f>IF(Year5_Southampton Year5_ReferralSource_Police="","",Year5_Southampton Year5_ReferralSource_Police)</f>
        <v>3862</v>
      </c>
      <c r="AW23" s="545">
        <f>IF(Year5_Southampton Year5_ReferralSource_Other_Legal="","",Year5_Southampton Year5_ReferralSource_Other_Legal)</f>
        <v>340</v>
      </c>
      <c r="AX23" s="545">
        <f>IF(Year5_Southampton Year5_ReferralSource_Other="","",Year5_Southampton Year5_ReferralSource_Other)</f>
        <v>587</v>
      </c>
      <c r="AY23" s="545">
        <f>IF(Year5_Southampton Year5_ReferralSource_Anonymous="","",Year5_Southampton Year5_ReferralSource_Anonymous)</f>
        <v>142</v>
      </c>
      <c r="AZ23" s="545">
        <f>IF(Year5_Southampton Year5_ReferralSource_Unknown="","",Year5_Southampton Year5_ReferralSource_Unknown)</f>
        <v>0</v>
      </c>
      <c r="BA23" s="57">
        <f t="shared" si="14"/>
        <v>10635</v>
      </c>
      <c r="BB23" s="89">
        <f>IF(BA23&gt;0,Population!H24,0)</f>
        <v>50800</v>
      </c>
      <c r="BC23" s="143">
        <f t="shared" si="15"/>
        <v>2093.5039370078739</v>
      </c>
    </row>
    <row r="24" spans="1:65" s="89" customFormat="1" ht="13.5" hidden="1" customHeight="1" x14ac:dyDescent="0.2">
      <c r="A24" s="462">
        <f>VLOOKUP(B24,Sheet1!$AQ$4:$AR$25,2,FALSE)</f>
        <v>0</v>
      </c>
      <c r="B24" s="95" t="str">
        <f>Sheet1!$K$19</f>
        <v>Surrey</v>
      </c>
      <c r="C24" s="87"/>
      <c r="D24" s="226">
        <f t="shared" si="0"/>
        <v>11.506524317912218</v>
      </c>
      <c r="E24" s="226"/>
      <c r="F24" s="226"/>
      <c r="G24" s="226"/>
      <c r="H24" s="226">
        <f t="shared" si="1"/>
        <v>12.98932384341637</v>
      </c>
      <c r="I24" s="226">
        <f t="shared" si="2"/>
        <v>6.1684460260972722</v>
      </c>
      <c r="J24" s="226">
        <f t="shared" si="3"/>
        <v>8.8967971530249113</v>
      </c>
      <c r="K24" s="226"/>
      <c r="L24" s="226"/>
      <c r="M24" s="226"/>
      <c r="N24" s="226"/>
      <c r="O24" s="226"/>
      <c r="P24" s="226">
        <f t="shared" si="4"/>
        <v>1.8979833926453145</v>
      </c>
      <c r="Q24" s="226">
        <f t="shared" si="5"/>
        <v>17.793594306049823</v>
      </c>
      <c r="R24" s="226"/>
      <c r="S24" s="226"/>
      <c r="T24" s="226">
        <f t="shared" si="6"/>
        <v>32.325029655990512</v>
      </c>
      <c r="U24" s="226">
        <f t="shared" si="7"/>
        <v>2.7876631079478056</v>
      </c>
      <c r="V24" s="226">
        <f t="shared" si="8"/>
        <v>2.2538552787663106</v>
      </c>
      <c r="W24" s="226">
        <f t="shared" si="9"/>
        <v>2.1945432977461445</v>
      </c>
      <c r="X24" s="401">
        <f t="shared" si="10"/>
        <v>1.1862396204033214</v>
      </c>
      <c r="Y24" s="124"/>
      <c r="Z24" s="140"/>
      <c r="AA24" s="188"/>
      <c r="AB24" s="48" t="str">
        <f t="shared" si="11"/>
        <v>Surrey</v>
      </c>
      <c r="AC24" s="47">
        <v>16</v>
      </c>
      <c r="AD24" s="48" t="str">
        <f t="shared" si="12"/>
        <v>SurreyNumber</v>
      </c>
      <c r="AE24" s="49" t="b">
        <f t="shared" si="13"/>
        <v>0</v>
      </c>
      <c r="AF24" s="522">
        <f>IF(Year5_Surrey Year5_ReferralSource_Individual_Family="","",Year5_Surrey Year5_ReferralSource_Individual_Family)</f>
        <v>194</v>
      </c>
      <c r="AG24" s="523" t="str">
        <f>IF(Year5_Surrey Year5_ReferralSource_Individual_Acquaintance="","",Year5_Surrey Year5_ReferralSource_Individual_Acquaintance)</f>
        <v/>
      </c>
      <c r="AH24" s="523" t="str">
        <f>IF(Year5_Surrey Year5_ReferralSource_Individual_Self="","",Year5_Surrey Year5_ReferralSource_Individual_Self)</f>
        <v/>
      </c>
      <c r="AI24" s="523" t="str">
        <f>IF(Year5_Surrey Year5_ReferralSource_Individual_Other="","",Year5_Surrey Year5_ReferralSource_Individual_Other)</f>
        <v/>
      </c>
      <c r="AJ24" s="523">
        <f>IF(Year5_Surrey Year5_ReferralSource_School="","",Year5_Surrey Year5_ReferralSource_School)</f>
        <v>219</v>
      </c>
      <c r="AK24" s="523">
        <f>IF(Year5_Surrey Year5_ReferralSource_EducationServices="","",Year5_Surrey Year5_ReferralSource_EducationServices)</f>
        <v>104</v>
      </c>
      <c r="AL24" s="523">
        <f>IF(Year5_Surrey Year5_ReferralSource_Health_services_GP="","",Year5_Surrey Year5_ReferralSource_Health_services_GP)</f>
        <v>150</v>
      </c>
      <c r="AM24" s="523" t="str">
        <f>IF(Year5_Surrey Year5_ReferralSource_Health_services_HealthVisitor="","",Year5_Surrey Year5_ReferralSource_Health_services_HealthVisitor)</f>
        <v/>
      </c>
      <c r="AN24" s="523" t="str">
        <f>IF(Year5_Surrey Year5_ReferralSource_Health_services_SchoolNurse="","",Year5_Surrey Year5_ReferralSource_Health_services_SchoolNurse)</f>
        <v/>
      </c>
      <c r="AO24" s="523" t="str">
        <f>IF(Year5_Surrey Year5_ReferralSource_Health_services_OthPrimary="","",Year5_Surrey Year5_ReferralSource_Health_services_OthPrimary)</f>
        <v/>
      </c>
      <c r="AP24" s="523" t="str">
        <f>IF(Year5_Surrey Year5_ReferralSource_Health_services_AE="","",Year5_Surrey Year5_ReferralSource_Health_services_AE)</f>
        <v/>
      </c>
      <c r="AQ24" s="523" t="str">
        <f>IF(Year5_Surrey Year5_ReferralSource_Health_services_Other="","",Year5_Surrey Year5_ReferralSource_Health_services_Other)</f>
        <v/>
      </c>
      <c r="AR24" s="523">
        <f>IF(Year5_Surrey Year5_ReferralSource_Housing="","",Year5_Surrey Year5_ReferralSource_Housing)</f>
        <v>32</v>
      </c>
      <c r="AS24" s="523">
        <f>IF(Year5_Surrey Year5_ReferralSource_LA_SC="","",Year5_Surrey Year5_ReferralSource_LA_SC)</f>
        <v>300</v>
      </c>
      <c r="AT24" s="523" t="str">
        <f>IF(Year5_Surrey Year5_ReferralSource_LA_Other="","",Year5_Surrey Year5_ReferralSource_LA_Other)</f>
        <v/>
      </c>
      <c r="AU24" s="523" t="str">
        <f>IF(Year5_Surrey Year5_ReferralSource_LA_External="","",Year5_Surrey Year5_ReferralSource_LA_External)</f>
        <v/>
      </c>
      <c r="AV24" s="523">
        <f>IF(Year5_Surrey Year5_ReferralSource_Police="","",Year5_Surrey Year5_ReferralSource_Police)</f>
        <v>545</v>
      </c>
      <c r="AW24" s="523">
        <f>IF(Year5_Surrey Year5_ReferralSource_Other_Legal="","",Year5_Surrey Year5_ReferralSource_Other_Legal)</f>
        <v>47</v>
      </c>
      <c r="AX24" s="523">
        <f>IF(Year5_Surrey Year5_ReferralSource_Other="","",Year5_Surrey Year5_ReferralSource_Other)</f>
        <v>38</v>
      </c>
      <c r="AY24" s="523">
        <f>IF(Year5_Surrey Year5_ReferralSource_Anonymous="","",Year5_Surrey Year5_ReferralSource_Anonymous)</f>
        <v>37</v>
      </c>
      <c r="AZ24" s="524">
        <f>IF(Year5_Surrey Year5_ReferralSource_Unknown="","",Year5_Surrey Year5_ReferralSource_Unknown)</f>
        <v>20</v>
      </c>
      <c r="BA24" s="57">
        <f t="shared" si="14"/>
        <v>1686</v>
      </c>
      <c r="BB24" s="89">
        <f>IF(BA24&gt;0,Population!H25,0)</f>
        <v>261900</v>
      </c>
      <c r="BC24" s="143">
        <f t="shared" si="15"/>
        <v>64.375715922107673</v>
      </c>
    </row>
    <row r="25" spans="1:65" s="89" customFormat="1" ht="13.5" hidden="1" customHeight="1" x14ac:dyDescent="0.2">
      <c r="A25" s="462">
        <f>VLOOKUP(B25,Sheet1!$AQ$4:$AR$25,2,FALSE)</f>
        <v>0</v>
      </c>
      <c r="B25" s="95" t="str">
        <f>Sheet1!$K$20</f>
        <v>Swindon</v>
      </c>
      <c r="C25" s="87"/>
      <c r="D25" s="226">
        <f t="shared" si="0"/>
        <v>8.6406743940990509</v>
      </c>
      <c r="E25" s="226"/>
      <c r="F25" s="226"/>
      <c r="G25" s="226"/>
      <c r="H25" s="226">
        <f t="shared" si="1"/>
        <v>21.559536354056902</v>
      </c>
      <c r="I25" s="226">
        <f t="shared" si="2"/>
        <v>0</v>
      </c>
      <c r="J25" s="226">
        <f t="shared" si="3"/>
        <v>12.002107481559536</v>
      </c>
      <c r="K25" s="226"/>
      <c r="L25" s="226"/>
      <c r="M25" s="226"/>
      <c r="N25" s="226"/>
      <c r="O25" s="226"/>
      <c r="P25" s="226">
        <f t="shared" si="4"/>
        <v>1.5068493150684932</v>
      </c>
      <c r="Q25" s="226">
        <f t="shared" si="5"/>
        <v>15.732349841938884</v>
      </c>
      <c r="R25" s="226"/>
      <c r="S25" s="226"/>
      <c r="T25" s="226">
        <f t="shared" si="6"/>
        <v>26.933614330874605</v>
      </c>
      <c r="U25" s="226">
        <f t="shared" si="7"/>
        <v>3.0769230769230771</v>
      </c>
      <c r="V25" s="226">
        <f t="shared" si="8"/>
        <v>6.4172813487881983</v>
      </c>
      <c r="W25" s="226">
        <f t="shared" si="9"/>
        <v>0</v>
      </c>
      <c r="X25" s="401">
        <f t="shared" si="10"/>
        <v>4.1306638566912541</v>
      </c>
      <c r="Y25" s="124"/>
      <c r="Z25" s="140"/>
      <c r="AA25" s="188"/>
      <c r="AB25" s="48" t="str">
        <f t="shared" si="11"/>
        <v>Swindon</v>
      </c>
      <c r="AC25" s="47">
        <v>17</v>
      </c>
      <c r="AD25" s="48" t="str">
        <f t="shared" si="12"/>
        <v>SwindonNumber</v>
      </c>
      <c r="AE25" s="49" t="b">
        <f t="shared" si="13"/>
        <v>0</v>
      </c>
      <c r="AF25" s="622">
        <f>IF(Year5_Swindon Year5_ReferralSource_Individual_Family="","",Year5_Swindon Year5_ReferralSource_Individual_Family)</f>
        <v>820</v>
      </c>
      <c r="AG25" s="544" t="str">
        <f>IF(Year5_Swindon Year5_ReferralSource_Individual_Acquaintance="","",Year5_Swindon Year5_ReferralSource_Individual_Acquaintance)</f>
        <v/>
      </c>
      <c r="AH25" s="544" t="str">
        <f>IF(Year5_Swindon Year5_ReferralSource_Individual_Self="","",Year5_Swindon Year5_ReferralSource_Individual_Self)</f>
        <v/>
      </c>
      <c r="AI25" s="544" t="str">
        <f>IF(Year5_Swindon Year5_ReferralSource_Individual_Other="","",Year5_Swindon Year5_ReferralSource_Individual_Other)</f>
        <v/>
      </c>
      <c r="AJ25" s="544">
        <f>IF(Year5_Swindon Year5_ReferralSource_School="","",Year5_Swindon Year5_ReferralSource_School)</f>
        <v>2046</v>
      </c>
      <c r="AK25" s="544">
        <f>IF(Year5_Swindon Year5_ReferralSource_EducationServices="","",Year5_Swindon Year5_ReferralSource_EducationServices)</f>
        <v>0</v>
      </c>
      <c r="AL25" s="544">
        <f>IF(Year5_Swindon Year5_ReferralSource_Health_services_GP="","",Year5_Swindon Year5_ReferralSource_Health_services_GP)</f>
        <v>1139</v>
      </c>
      <c r="AM25" s="544" t="str">
        <f>IF(Year5_Swindon Year5_ReferralSource_Health_services_HealthVisitor="","",Year5_Swindon Year5_ReferralSource_Health_services_HealthVisitor)</f>
        <v/>
      </c>
      <c r="AN25" s="544" t="str">
        <f>IF(Year5_Swindon Year5_ReferralSource_Health_services_SchoolNurse="","",Year5_Swindon Year5_ReferralSource_Health_services_SchoolNurse)</f>
        <v/>
      </c>
      <c r="AO25" s="544" t="str">
        <f>IF(Year5_Swindon Year5_ReferralSource_Health_services_OthPrimary="","",Year5_Swindon Year5_ReferralSource_Health_services_OthPrimary)</f>
        <v/>
      </c>
      <c r="AP25" s="544" t="str">
        <f>IF(Year5_Swindon Year5_ReferralSource_Health_services_AE="","",Year5_Swindon Year5_ReferralSource_Health_services_AE)</f>
        <v/>
      </c>
      <c r="AQ25" s="544" t="str">
        <f>IF(Year5_Swindon Year5_ReferralSource_Health_services_Other="","",Year5_Swindon Year5_ReferralSource_Health_services_Other)</f>
        <v/>
      </c>
      <c r="AR25" s="544">
        <f>IF(Year5_Swindon Year5_ReferralSource_Housing="","",Year5_Swindon Year5_ReferralSource_Housing)</f>
        <v>143</v>
      </c>
      <c r="AS25" s="544">
        <f>IF(Year5_Swindon Year5_ReferralSource_LA_SC="","",Year5_Swindon Year5_ReferralSource_LA_SC)</f>
        <v>1493</v>
      </c>
      <c r="AT25" s="544" t="str">
        <f>IF(Year5_Swindon Year5_ReferralSource_LA_Other="","",Year5_Swindon Year5_ReferralSource_LA_Other)</f>
        <v/>
      </c>
      <c r="AU25" s="544" t="str">
        <f>IF(Year5_Swindon Year5_ReferralSource_LA_External="","",Year5_Swindon Year5_ReferralSource_LA_External)</f>
        <v/>
      </c>
      <c r="AV25" s="544">
        <f>IF(Year5_Swindon Year5_ReferralSource_Police="","",Year5_Swindon Year5_ReferralSource_Police)</f>
        <v>2556</v>
      </c>
      <c r="AW25" s="544">
        <f>IF(Year5_Swindon Year5_ReferralSource_Other_Legal="","",Year5_Swindon Year5_ReferralSource_Other_Legal)</f>
        <v>292</v>
      </c>
      <c r="AX25" s="544">
        <f>IF(Year5_Swindon Year5_ReferralSource_Other="","",Year5_Swindon Year5_ReferralSource_Other)</f>
        <v>609</v>
      </c>
      <c r="AY25" s="544">
        <f>IF(Year5_Swindon Year5_ReferralSource_Anonymous="","",Year5_Swindon Year5_ReferralSource_Anonymous)</f>
        <v>0</v>
      </c>
      <c r="AZ25" s="544">
        <f>IF(Year5_Swindon Year5_ReferralSource_Unknown="","",Year5_Swindon Year5_ReferralSource_Unknown)</f>
        <v>392</v>
      </c>
      <c r="BA25" s="57">
        <f t="shared" si="14"/>
        <v>9490</v>
      </c>
      <c r="BB25" s="89">
        <f>IF(BA25&gt;0,Population!H26,0)</f>
        <v>50200</v>
      </c>
      <c r="BC25" s="143">
        <f t="shared" si="15"/>
        <v>1890.4382470119522</v>
      </c>
    </row>
    <row r="26" spans="1:65" s="89" customFormat="1" ht="13.5" hidden="1" customHeight="1" x14ac:dyDescent="0.2">
      <c r="A26" s="462">
        <f>VLOOKUP(B26,Sheet1!$AQ$4:$AR$25,2,FALSE)</f>
        <v>0</v>
      </c>
      <c r="B26" s="95" t="str">
        <f>Sheet1!$K$21</f>
        <v>Torbay</v>
      </c>
      <c r="C26" s="87"/>
      <c r="D26" s="226">
        <f t="shared" si="0"/>
        <v>7.8414096916299556</v>
      </c>
      <c r="E26" s="226"/>
      <c r="F26" s="226"/>
      <c r="G26" s="226"/>
      <c r="H26" s="226">
        <f t="shared" si="1"/>
        <v>15.15418502202643</v>
      </c>
      <c r="I26" s="226">
        <f t="shared" si="2"/>
        <v>1.0572687224669604</v>
      </c>
      <c r="J26" s="226">
        <f t="shared" si="3"/>
        <v>11.453744493392071</v>
      </c>
      <c r="K26" s="226"/>
      <c r="L26" s="226"/>
      <c r="M26" s="226"/>
      <c r="N26" s="226"/>
      <c r="O26" s="226"/>
      <c r="P26" s="226">
        <f t="shared" si="4"/>
        <v>0.88105726872246704</v>
      </c>
      <c r="Q26" s="226">
        <f t="shared" si="5"/>
        <v>6.784140969162995</v>
      </c>
      <c r="R26" s="226"/>
      <c r="S26" s="226"/>
      <c r="T26" s="226">
        <f t="shared" si="6"/>
        <v>35.330396475770925</v>
      </c>
      <c r="U26" s="226">
        <f t="shared" si="7"/>
        <v>2.3788546255506611</v>
      </c>
      <c r="V26" s="226">
        <f t="shared" si="8"/>
        <v>13.039647577092511</v>
      </c>
      <c r="W26" s="226">
        <f t="shared" si="9"/>
        <v>1.6740088105726871</v>
      </c>
      <c r="X26" s="401">
        <f t="shared" si="10"/>
        <v>4.4052863436123353</v>
      </c>
      <c r="Y26" s="124"/>
      <c r="Z26" s="140"/>
      <c r="AA26" s="188"/>
      <c r="AB26" s="48" t="str">
        <f t="shared" si="11"/>
        <v>Torbay</v>
      </c>
      <c r="AC26" s="47">
        <v>18</v>
      </c>
      <c r="AD26" s="48" t="str">
        <f t="shared" si="12"/>
        <v>TorbayNumber</v>
      </c>
      <c r="AE26" s="49" t="b">
        <f t="shared" si="13"/>
        <v>0</v>
      </c>
      <c r="AF26" s="622">
        <f>IF(Year5_Torbay Year5_ReferralSource_Individual_Family="","",Year5_Torbay Year5_ReferralSource_Individual_Family)</f>
        <v>89</v>
      </c>
      <c r="AG26" s="544" t="str">
        <f>IF(Year5_Torbay Year5_ReferralSource_Individual_Acquaintance="","",Year5_Torbay Year5_ReferralSource_Individual_Acquaintance)</f>
        <v/>
      </c>
      <c r="AH26" s="544" t="str">
        <f>IF(Year5_Torbay Year5_ReferralSource_Individual_Self="","",Year5_Torbay Year5_ReferralSource_Individual_Self)</f>
        <v/>
      </c>
      <c r="AI26" s="544" t="str">
        <f>IF(Year5_Torbay Year5_ReferralSource_Individual_Other="","",Year5_Torbay Year5_ReferralSource_Individual_Other)</f>
        <v/>
      </c>
      <c r="AJ26" s="544">
        <f>IF(Year5_Torbay Year5_ReferralSource_School="","",Year5_Torbay Year5_ReferralSource_School)</f>
        <v>172</v>
      </c>
      <c r="AK26" s="544">
        <f>IF(Year5_Torbay Year5_ReferralSource_EducationServices="","",Year5_Torbay Year5_ReferralSource_EducationServices)</f>
        <v>12</v>
      </c>
      <c r="AL26" s="544">
        <f>IF(Year5_Torbay Year5_ReferralSource_Health_services_GP="","",Year5_Torbay Year5_ReferralSource_Health_services_GP)</f>
        <v>130</v>
      </c>
      <c r="AM26" s="544" t="str">
        <f>IF(Year5_Torbay Year5_ReferralSource_Health_services_HealthVisitor="","",Year5_Torbay Year5_ReferralSource_Health_services_HealthVisitor)</f>
        <v/>
      </c>
      <c r="AN26" s="544" t="str">
        <f>IF(Year5_Torbay Year5_ReferralSource_Health_services_SchoolNurse="","",Year5_Torbay Year5_ReferralSource_Health_services_SchoolNurse)</f>
        <v/>
      </c>
      <c r="AO26" s="544" t="str">
        <f>IF(Year5_Torbay Year5_ReferralSource_Health_services_OthPrimary="","",Year5_Torbay Year5_ReferralSource_Health_services_OthPrimary)</f>
        <v/>
      </c>
      <c r="AP26" s="544" t="str">
        <f>IF(Year5_Torbay Year5_ReferralSource_Health_services_AE="","",Year5_Torbay Year5_ReferralSource_Health_services_AE)</f>
        <v/>
      </c>
      <c r="AQ26" s="544" t="str">
        <f>IF(Year5_Torbay Year5_ReferralSource_Health_services_Other="","",Year5_Torbay Year5_ReferralSource_Health_services_Other)</f>
        <v/>
      </c>
      <c r="AR26" s="544">
        <f>IF(Year5_Torbay Year5_ReferralSource_Housing="","",Year5_Torbay Year5_ReferralSource_Housing)</f>
        <v>10</v>
      </c>
      <c r="AS26" s="544">
        <f>IF(Year5_Torbay Year5_ReferralSource_LA_SC="","",Year5_Torbay Year5_ReferralSource_LA_SC)</f>
        <v>77</v>
      </c>
      <c r="AT26" s="544" t="str">
        <f>IF(Year5_Torbay Year5_ReferralSource_LA_Other="","",Year5_Torbay Year5_ReferralSource_LA_Other)</f>
        <v/>
      </c>
      <c r="AU26" s="544" t="str">
        <f>IF(Year5_Torbay Year5_ReferralSource_LA_External="","",Year5_Torbay Year5_ReferralSource_LA_External)</f>
        <v/>
      </c>
      <c r="AV26" s="544">
        <f>IF(Year5_Torbay Year5_ReferralSource_Police="","",Year5_Torbay Year5_ReferralSource_Police)</f>
        <v>401</v>
      </c>
      <c r="AW26" s="544">
        <f>IF(Year5_Torbay Year5_ReferralSource_Other_Legal="","",Year5_Torbay Year5_ReferralSource_Other_Legal)</f>
        <v>27</v>
      </c>
      <c r="AX26" s="544">
        <f>IF(Year5_Torbay Year5_ReferralSource_Other="","",Year5_Torbay Year5_ReferralSource_Other)</f>
        <v>148</v>
      </c>
      <c r="AY26" s="544">
        <f>IF(Year5_Torbay Year5_ReferralSource_Anonymous="","",Year5_Torbay Year5_ReferralSource_Anonymous)</f>
        <v>19</v>
      </c>
      <c r="AZ26" s="544">
        <f>IF(Year5_Torbay Year5_ReferralSource_Unknown="","",Year5_Torbay Year5_ReferralSource_Unknown)</f>
        <v>50</v>
      </c>
      <c r="BA26" s="57">
        <f t="shared" si="14"/>
        <v>1135</v>
      </c>
      <c r="BB26" s="89">
        <f>IF(BA26&gt;0,Population!H27,0)</f>
        <v>25400</v>
      </c>
      <c r="BC26" s="143">
        <f t="shared" si="15"/>
        <v>446.85039370078744</v>
      </c>
    </row>
    <row r="27" spans="1:65" s="89" customFormat="1" ht="13.5" hidden="1" customHeight="1" x14ac:dyDescent="0.2">
      <c r="A27" s="462">
        <f>VLOOKUP(B27,Sheet1!$AQ$4:$AR$25,2,FALSE)</f>
        <v>0</v>
      </c>
      <c r="B27" s="95" t="str">
        <f>Sheet1!$K$22</f>
        <v>West Berkshire</v>
      </c>
      <c r="C27" s="87"/>
      <c r="D27" s="226">
        <f t="shared" si="0"/>
        <v>8.3284457478005862</v>
      </c>
      <c r="E27" s="226"/>
      <c r="F27" s="226"/>
      <c r="G27" s="226"/>
      <c r="H27" s="226">
        <f t="shared" si="1"/>
        <v>19.589442815249267</v>
      </c>
      <c r="I27" s="226">
        <f t="shared" si="2"/>
        <v>0.64516129032258063</v>
      </c>
      <c r="J27" s="226">
        <f t="shared" si="3"/>
        <v>14.838709677419354</v>
      </c>
      <c r="K27" s="226"/>
      <c r="L27" s="226"/>
      <c r="M27" s="226"/>
      <c r="N27" s="226"/>
      <c r="O27" s="226"/>
      <c r="P27" s="226">
        <f t="shared" si="4"/>
        <v>0.52785923753665687</v>
      </c>
      <c r="Q27" s="226">
        <f t="shared" si="5"/>
        <v>8.8563049853372426</v>
      </c>
      <c r="R27" s="226"/>
      <c r="S27" s="226"/>
      <c r="T27" s="226">
        <f t="shared" si="6"/>
        <v>36.187683284457478</v>
      </c>
      <c r="U27" s="226">
        <f t="shared" si="7"/>
        <v>2.404692082111437</v>
      </c>
      <c r="V27" s="226">
        <f t="shared" si="8"/>
        <v>5.1026392961876832</v>
      </c>
      <c r="W27" s="226">
        <f t="shared" si="9"/>
        <v>1.6422287390029326</v>
      </c>
      <c r="X27" s="401">
        <f t="shared" si="10"/>
        <v>1.8768328445747802</v>
      </c>
      <c r="Y27" s="124"/>
      <c r="Z27" s="140"/>
      <c r="AA27" s="188"/>
      <c r="AB27" s="48" t="str">
        <f t="shared" si="11"/>
        <v>West Berkshire</v>
      </c>
      <c r="AC27" s="47">
        <v>19</v>
      </c>
      <c r="AD27" s="48" t="str">
        <f t="shared" si="12"/>
        <v>West BerkshireNumber</v>
      </c>
      <c r="AE27" s="49" t="b">
        <f t="shared" si="13"/>
        <v>0</v>
      </c>
      <c r="AF27" s="622">
        <f>IF(Year5_West_Berkshire Year5_ReferralSource_Individual_Family="","",Year5_West_Berkshire Year5_ReferralSource_Individual_Family)</f>
        <v>142</v>
      </c>
      <c r="AG27" s="544" t="str">
        <f>IF(Year5_West_Berkshire Year5_ReferralSource_Individual_Acquaintance="","",Year5_West_Berkshire Year5_ReferralSource_Individual_Acquaintance)</f>
        <v/>
      </c>
      <c r="AH27" s="544" t="str">
        <f>IF(Year5_West_Berkshire Year5_ReferralSource_Individual_Self="","",Year5_West_Berkshire Year5_ReferralSource_Individual_Self)</f>
        <v/>
      </c>
      <c r="AI27" s="544" t="str">
        <f>IF(Year5_West_Berkshire Year5_ReferralSource_Individual_Other="","",Year5_West_Berkshire Year5_ReferralSource_Individual_Other)</f>
        <v/>
      </c>
      <c r="AJ27" s="544">
        <f>IF(Year5_West_Berkshire Year5_ReferralSource_School="","",Year5_West_Berkshire Year5_ReferralSource_School)</f>
        <v>334</v>
      </c>
      <c r="AK27" s="544">
        <f>IF(Year5_West_Berkshire Year5_ReferralSource_EducationServices="","",Year5_West_Berkshire Year5_ReferralSource_EducationServices)</f>
        <v>11</v>
      </c>
      <c r="AL27" s="544">
        <f>IF(Year5_West_Berkshire Year5_ReferralSource_Health_services_GP="","",Year5_West_Berkshire Year5_ReferralSource_Health_services_GP)</f>
        <v>253</v>
      </c>
      <c r="AM27" s="544" t="str">
        <f>IF(Year5_West_Berkshire Year5_ReferralSource_Health_services_HealthVisitor="","",Year5_West_Berkshire Year5_ReferralSource_Health_services_HealthVisitor)</f>
        <v/>
      </c>
      <c r="AN27" s="544" t="str">
        <f>IF(Year5_West_Berkshire Year5_ReferralSource_Health_services_SchoolNurse="","",Year5_West_Berkshire Year5_ReferralSource_Health_services_SchoolNurse)</f>
        <v/>
      </c>
      <c r="AO27" s="544" t="str">
        <f>IF(Year5_West_Berkshire Year5_ReferralSource_Health_services_OthPrimary="","",Year5_West_Berkshire Year5_ReferralSource_Health_services_OthPrimary)</f>
        <v/>
      </c>
      <c r="AP27" s="544" t="str">
        <f>IF(Year5_West_Berkshire Year5_ReferralSource_Health_services_AE="","",Year5_West_Berkshire Year5_ReferralSource_Health_services_AE)</f>
        <v/>
      </c>
      <c r="AQ27" s="544" t="str">
        <f>IF(Year5_West_Berkshire Year5_ReferralSource_Health_services_Other="","",Year5_West_Berkshire Year5_ReferralSource_Health_services_Other)</f>
        <v/>
      </c>
      <c r="AR27" s="544">
        <f>IF(Year5_West_Berkshire Year5_ReferralSource_Housing="","",Year5_West_Berkshire Year5_ReferralSource_Housing)</f>
        <v>9</v>
      </c>
      <c r="AS27" s="544">
        <f>IF(Year5_West_Berkshire Year5_ReferralSource_LA_SC="","",Year5_West_Berkshire Year5_ReferralSource_LA_SC)</f>
        <v>151</v>
      </c>
      <c r="AT27" s="544" t="str">
        <f>IF(Year5_West_Berkshire Year5_ReferralSource_LA_Other="","",Year5_West_Berkshire Year5_ReferralSource_LA_Other)</f>
        <v/>
      </c>
      <c r="AU27" s="544" t="str">
        <f>IF(Year5_West_Berkshire Year5_ReferralSource_LA_External="","",Year5_West_Berkshire Year5_ReferralSource_LA_External)</f>
        <v/>
      </c>
      <c r="AV27" s="544">
        <f>IF(Year5_West_Berkshire Year5_ReferralSource_Police="","",Year5_West_Berkshire Year5_ReferralSource_Police)</f>
        <v>617</v>
      </c>
      <c r="AW27" s="544">
        <f>IF(Year5_West_Berkshire Year5_ReferralSource_Other_Legal="","",Year5_West_Berkshire Year5_ReferralSource_Other_Legal)</f>
        <v>41</v>
      </c>
      <c r="AX27" s="544">
        <f>IF(Year5_West_Berkshire Year5_ReferralSource_Other="","",Year5_West_Berkshire Year5_ReferralSource_Other)</f>
        <v>87</v>
      </c>
      <c r="AY27" s="544">
        <f>IF(Year5_West_Berkshire Year5_ReferralSource_Anonymous="","",Year5_West_Berkshire Year5_ReferralSource_Anonymous)</f>
        <v>28</v>
      </c>
      <c r="AZ27" s="544">
        <f>IF(Year5_West_Berkshire Year5_ReferralSource_Unknown="","",Year5_West_Berkshire Year5_ReferralSource_Unknown)</f>
        <v>32</v>
      </c>
      <c r="BA27" s="57">
        <f t="shared" si="14"/>
        <v>1705</v>
      </c>
      <c r="BB27" s="89">
        <f>IF(BA27&gt;0,Population!H28,0)</f>
        <v>35600</v>
      </c>
      <c r="BC27" s="143">
        <f t="shared" si="15"/>
        <v>478.93258426966293</v>
      </c>
    </row>
    <row r="28" spans="1:65" s="89" customFormat="1" ht="13.5" hidden="1" customHeight="1" x14ac:dyDescent="0.2">
      <c r="A28" s="462">
        <f>VLOOKUP(B28,Sheet1!$AQ$4:$AR$25,2,FALSE)</f>
        <v>0</v>
      </c>
      <c r="B28" s="95" t="str">
        <f>Sheet1!$K$23</f>
        <v>West Sussex</v>
      </c>
      <c r="C28" s="87"/>
      <c r="D28" s="226">
        <f t="shared" si="0"/>
        <v>12.97650130548303</v>
      </c>
      <c r="E28" s="226"/>
      <c r="F28" s="226"/>
      <c r="G28" s="226"/>
      <c r="H28" s="226">
        <f t="shared" si="1"/>
        <v>13.759791122715404</v>
      </c>
      <c r="I28" s="226">
        <f t="shared" si="2"/>
        <v>1.3315926892950392</v>
      </c>
      <c r="J28" s="226">
        <f t="shared" si="3"/>
        <v>15.874673629242819</v>
      </c>
      <c r="K28" s="226"/>
      <c r="L28" s="226"/>
      <c r="M28" s="226"/>
      <c r="N28" s="226"/>
      <c r="O28" s="226"/>
      <c r="P28" s="226">
        <f t="shared" si="4"/>
        <v>0.835509138381201</v>
      </c>
      <c r="Q28" s="226">
        <f t="shared" si="5"/>
        <v>15.091383812010445</v>
      </c>
      <c r="R28" s="226"/>
      <c r="S28" s="226"/>
      <c r="T28" s="226">
        <f t="shared" si="6"/>
        <v>26.318537859007833</v>
      </c>
      <c r="U28" s="226">
        <f t="shared" si="7"/>
        <v>3.5509138381201044</v>
      </c>
      <c r="V28" s="226">
        <f t="shared" si="8"/>
        <v>6.1096605744125325</v>
      </c>
      <c r="W28" s="226">
        <f t="shared" si="9"/>
        <v>3.9686684073107048</v>
      </c>
      <c r="X28" s="401">
        <f t="shared" si="10"/>
        <v>0.18276762402088773</v>
      </c>
      <c r="Y28" s="124"/>
      <c r="Z28" s="140"/>
      <c r="AA28" s="188"/>
      <c r="AB28" s="48" t="str">
        <f t="shared" si="11"/>
        <v>West Sussex</v>
      </c>
      <c r="AC28" s="47">
        <v>20</v>
      </c>
      <c r="AD28" s="48" t="str">
        <f t="shared" si="12"/>
        <v>West SussexNumber</v>
      </c>
      <c r="AE28" s="49" t="b">
        <f t="shared" si="13"/>
        <v>0</v>
      </c>
      <c r="AF28" s="622">
        <f>IF(Year5_West_Sussex Year5_ReferralSource_Individual_Family="","",Year5_West_Sussex Year5_ReferralSource_Individual_Family)</f>
        <v>497</v>
      </c>
      <c r="AG28" s="544" t="str">
        <f>IF(Year5_West_Sussex Year5_ReferralSource_Individual_Acquaintance="","",Year5_West_Sussex Year5_ReferralSource_Individual_Acquaintance)</f>
        <v/>
      </c>
      <c r="AH28" s="544" t="str">
        <f>IF(Year5_West_Sussex Year5_ReferralSource_Individual_Self="","",Year5_West_Sussex Year5_ReferralSource_Individual_Self)</f>
        <v/>
      </c>
      <c r="AI28" s="544" t="str">
        <f>IF(Year5_West_Sussex Year5_ReferralSource_Individual_Other="","",Year5_West_Sussex Year5_ReferralSource_Individual_Other)</f>
        <v/>
      </c>
      <c r="AJ28" s="544">
        <f>IF(Year5_West_Sussex Year5_ReferralSource_School="","",Year5_West_Sussex Year5_ReferralSource_School)</f>
        <v>527</v>
      </c>
      <c r="AK28" s="544">
        <f>IF(Year5_West_Sussex Year5_ReferralSource_EducationServices="","",Year5_West_Sussex Year5_ReferralSource_EducationServices)</f>
        <v>51</v>
      </c>
      <c r="AL28" s="544">
        <f>IF(Year5_West_Sussex Year5_ReferralSource_Health_services_GP="","",Year5_West_Sussex Year5_ReferralSource_Health_services_GP)</f>
        <v>608</v>
      </c>
      <c r="AM28" s="544" t="str">
        <f>IF(Year5_West_Sussex Year5_ReferralSource_Health_services_HealthVisitor="","",Year5_West_Sussex Year5_ReferralSource_Health_services_HealthVisitor)</f>
        <v/>
      </c>
      <c r="AN28" s="544" t="str">
        <f>IF(Year5_West_Sussex Year5_ReferralSource_Health_services_SchoolNurse="","",Year5_West_Sussex Year5_ReferralSource_Health_services_SchoolNurse)</f>
        <v/>
      </c>
      <c r="AO28" s="544" t="str">
        <f>IF(Year5_West_Sussex Year5_ReferralSource_Health_services_OthPrimary="","",Year5_West_Sussex Year5_ReferralSource_Health_services_OthPrimary)</f>
        <v/>
      </c>
      <c r="AP28" s="544" t="str">
        <f>IF(Year5_West_Sussex Year5_ReferralSource_Health_services_AE="","",Year5_West_Sussex Year5_ReferralSource_Health_services_AE)</f>
        <v/>
      </c>
      <c r="AQ28" s="544" t="str">
        <f>IF(Year5_West_Sussex Year5_ReferralSource_Health_services_Other="","",Year5_West_Sussex Year5_ReferralSource_Health_services_Other)</f>
        <v/>
      </c>
      <c r="AR28" s="544">
        <f>IF(Year5_West_Sussex Year5_ReferralSource_Housing="","",Year5_West_Sussex Year5_ReferralSource_Housing)</f>
        <v>32</v>
      </c>
      <c r="AS28" s="544">
        <f>IF(Year5_West_Sussex Year5_ReferralSource_LA_SC="","",Year5_West_Sussex Year5_ReferralSource_LA_SC)</f>
        <v>578</v>
      </c>
      <c r="AT28" s="544" t="str">
        <f>IF(Year5_West_Sussex Year5_ReferralSource_LA_Other="","",Year5_West_Sussex Year5_ReferralSource_LA_Other)</f>
        <v/>
      </c>
      <c r="AU28" s="544" t="str">
        <f>IF(Year5_West_Sussex Year5_ReferralSource_LA_External="","",Year5_West_Sussex Year5_ReferralSource_LA_External)</f>
        <v/>
      </c>
      <c r="AV28" s="544">
        <f>IF(Year5_West_Sussex Year5_ReferralSource_Police="","",Year5_West_Sussex Year5_ReferralSource_Police)</f>
        <v>1008</v>
      </c>
      <c r="AW28" s="544">
        <f>IF(Year5_West_Sussex Year5_ReferralSource_Other_Legal="","",Year5_West_Sussex Year5_ReferralSource_Other_Legal)</f>
        <v>136</v>
      </c>
      <c r="AX28" s="544">
        <f>IF(Year5_West_Sussex Year5_ReferralSource_Other="","",Year5_West_Sussex Year5_ReferralSource_Other)</f>
        <v>234</v>
      </c>
      <c r="AY28" s="544">
        <f>IF(Year5_West_Sussex Year5_ReferralSource_Anonymous="","",Year5_West_Sussex Year5_ReferralSource_Anonymous)</f>
        <v>152</v>
      </c>
      <c r="AZ28" s="544">
        <f>IF(Year5_West_Sussex Year5_ReferralSource_Unknown="","",Year5_West_Sussex Year5_ReferralSource_Unknown)</f>
        <v>7</v>
      </c>
      <c r="BA28" s="57">
        <f t="shared" si="14"/>
        <v>3830</v>
      </c>
      <c r="BB28" s="89">
        <f>IF(BA28&gt;0,Population!H29,0)</f>
        <v>174700</v>
      </c>
      <c r="BC28" s="143">
        <f t="shared" si="15"/>
        <v>219.23297080709787</v>
      </c>
    </row>
    <row r="29" spans="1:65" s="89" customFormat="1" ht="13.5" hidden="1" customHeight="1" x14ac:dyDescent="0.2">
      <c r="A29" s="462">
        <f>VLOOKUP(B29,Sheet1!$AQ$4:$AR$25,2,FALSE)</f>
        <v>0</v>
      </c>
      <c r="B29" s="95" t="str">
        <f>Sheet1!$K$24</f>
        <v>Windsor &amp; Maidenhead</v>
      </c>
      <c r="C29" s="87"/>
      <c r="D29" s="226">
        <f t="shared" si="0"/>
        <v>5.5212831585441089</v>
      </c>
      <c r="E29" s="226"/>
      <c r="F29" s="226"/>
      <c r="G29" s="226"/>
      <c r="H29" s="226">
        <f t="shared" si="1"/>
        <v>19.494139420111043</v>
      </c>
      <c r="I29" s="226">
        <f t="shared" si="2"/>
        <v>0.64774830351634793</v>
      </c>
      <c r="J29" s="226">
        <f t="shared" si="3"/>
        <v>12.769895126465144</v>
      </c>
      <c r="K29" s="226"/>
      <c r="L29" s="226"/>
      <c r="M29" s="226"/>
      <c r="N29" s="226"/>
      <c r="O29" s="226"/>
      <c r="P29" s="226">
        <f t="shared" si="4"/>
        <v>1.1721159777914869</v>
      </c>
      <c r="Q29" s="226">
        <f t="shared" si="5"/>
        <v>8.359037631091919</v>
      </c>
      <c r="R29" s="226"/>
      <c r="S29" s="226"/>
      <c r="T29" s="226">
        <f t="shared" si="6"/>
        <v>37.446020974706975</v>
      </c>
      <c r="U29" s="226">
        <f t="shared" si="7"/>
        <v>3.8247995064774831</v>
      </c>
      <c r="V29" s="226">
        <f t="shared" si="8"/>
        <v>2.4059222702035781</v>
      </c>
      <c r="W29" s="226">
        <f t="shared" si="9"/>
        <v>2.9611351017890191</v>
      </c>
      <c r="X29" s="401">
        <f t="shared" si="10"/>
        <v>5.3979025293028995</v>
      </c>
      <c r="Y29" s="124"/>
      <c r="Z29" s="140"/>
      <c r="AA29" s="188"/>
      <c r="AB29" s="48" t="str">
        <f t="shared" si="11"/>
        <v>Windsor &amp; Maidenhead</v>
      </c>
      <c r="AC29" s="47">
        <v>21</v>
      </c>
      <c r="AD29" s="48" t="str">
        <f t="shared" si="12"/>
        <v>Windsor &amp; MaidenheadNumber</v>
      </c>
      <c r="AE29" s="49" t="b">
        <f t="shared" si="13"/>
        <v>0</v>
      </c>
      <c r="AF29" s="522">
        <f>IF(Year5_Windsor_Maidenhead Year5_ReferralSource_Individual_Family="","",Year5_Windsor_Maidenhead Year5_ReferralSource_Individual_Family)</f>
        <v>179</v>
      </c>
      <c r="AG29" s="523" t="str">
        <f>IF(Year5_Windsor_Maidenhead Year5_ReferralSource_Individual_Acquaintance="","",Year5_Windsor_Maidenhead Year5_ReferralSource_Individual_Acquaintance)</f>
        <v/>
      </c>
      <c r="AH29" s="523" t="str">
        <f>IF(Year5_Windsor_Maidenhead Year5_ReferralSource_Individual_Self="","",Year5_Windsor_Maidenhead Year5_ReferralSource_Individual_Self)</f>
        <v/>
      </c>
      <c r="AI29" s="523" t="str">
        <f>IF(Year5_Windsor_Maidenhead Year5_ReferralSource_Individual_Other="","",Year5_Windsor_Maidenhead Year5_ReferralSource_Individual_Other)</f>
        <v/>
      </c>
      <c r="AJ29" s="523">
        <f>IF(Year5_Windsor_Maidenhead Year5_ReferralSource_School="","",Year5_Windsor_Maidenhead Year5_ReferralSource_School)</f>
        <v>632</v>
      </c>
      <c r="AK29" s="523">
        <f>IF(Year5_Windsor_Maidenhead Year5_ReferralSource_EducationServices="","",Year5_Windsor_Maidenhead Year5_ReferralSource_EducationServices)</f>
        <v>21</v>
      </c>
      <c r="AL29" s="523">
        <f>IF(Year5_Windsor_Maidenhead Year5_ReferralSource_Health_services_GP="","",Year5_Windsor_Maidenhead Year5_ReferralSource_Health_services_GP)</f>
        <v>414</v>
      </c>
      <c r="AM29" s="523" t="str">
        <f>IF(Year5_Windsor_Maidenhead Year5_ReferralSource_Health_services_HealthVisitor="","",Year5_Windsor_Maidenhead Year5_ReferralSource_Health_services_HealthVisitor)</f>
        <v/>
      </c>
      <c r="AN29" s="523" t="str">
        <f>IF(Year5_Windsor_Maidenhead Year5_ReferralSource_Health_services_SchoolNurse="","",Year5_Windsor_Maidenhead Year5_ReferralSource_Health_services_SchoolNurse)</f>
        <v/>
      </c>
      <c r="AO29" s="523" t="str">
        <f>IF(Year5_Windsor_Maidenhead Year5_ReferralSource_Health_services_OthPrimary="","",Year5_Windsor_Maidenhead Year5_ReferralSource_Health_services_OthPrimary)</f>
        <v/>
      </c>
      <c r="AP29" s="523" t="str">
        <f>IF(Year5_Windsor_Maidenhead Year5_ReferralSource_Health_services_AE="","",Year5_Windsor_Maidenhead Year5_ReferralSource_Health_services_AE)</f>
        <v/>
      </c>
      <c r="AQ29" s="523" t="str">
        <f>IF(Year5_Windsor_Maidenhead Year5_ReferralSource_Health_services_Other="","",Year5_Windsor_Maidenhead Year5_ReferralSource_Health_services_Other)</f>
        <v/>
      </c>
      <c r="AR29" s="523">
        <f>IF(Year5_Windsor_Maidenhead Year5_ReferralSource_Housing="","",Year5_Windsor_Maidenhead Year5_ReferralSource_Housing)</f>
        <v>38</v>
      </c>
      <c r="AS29" s="523">
        <f>IF(Year5_Windsor_Maidenhead Year5_ReferralSource_LA_SC="","",Year5_Windsor_Maidenhead Year5_ReferralSource_LA_SC)</f>
        <v>271</v>
      </c>
      <c r="AT29" s="523" t="str">
        <f>IF(Year5_Windsor_Maidenhead Year5_ReferralSource_LA_Other="","",Year5_Windsor_Maidenhead Year5_ReferralSource_LA_Other)</f>
        <v/>
      </c>
      <c r="AU29" s="523" t="str">
        <f>IF(Year5_Windsor_Maidenhead Year5_ReferralSource_LA_External="","",Year5_Windsor_Maidenhead Year5_ReferralSource_LA_External)</f>
        <v/>
      </c>
      <c r="AV29" s="523">
        <f>IF(Year5_Windsor_Maidenhead Year5_ReferralSource_Police="","",Year5_Windsor_Maidenhead Year5_ReferralSource_Police)</f>
        <v>1214</v>
      </c>
      <c r="AW29" s="523">
        <f>IF(Year5_Windsor_Maidenhead Year5_ReferralSource_Other_Legal="","",Year5_Windsor_Maidenhead Year5_ReferralSource_Other_Legal)</f>
        <v>124</v>
      </c>
      <c r="AX29" s="523">
        <f>IF(Year5_Windsor_Maidenhead Year5_ReferralSource_Other="","",Year5_Windsor_Maidenhead Year5_ReferralSource_Other)</f>
        <v>78</v>
      </c>
      <c r="AY29" s="523">
        <f>IF(Year5_Windsor_Maidenhead Year5_ReferralSource_Anonymous="","",Year5_Windsor_Maidenhead Year5_ReferralSource_Anonymous)</f>
        <v>96</v>
      </c>
      <c r="AZ29" s="524">
        <f>IF(Year5_Windsor_Maidenhead Year5_ReferralSource_Unknown="","",Year5_Windsor_Maidenhead Year5_ReferralSource_Unknown)</f>
        <v>175</v>
      </c>
      <c r="BA29" s="57">
        <f t="shared" si="14"/>
        <v>3242</v>
      </c>
      <c r="BB29" s="89">
        <f>IF(BA29&gt;0,Population!H30,0)</f>
        <v>34600</v>
      </c>
      <c r="BC29" s="143">
        <f t="shared" si="15"/>
        <v>936.99421965317913</v>
      </c>
    </row>
    <row r="30" spans="1:65" s="89" customFormat="1" ht="13.5" hidden="1" customHeight="1" x14ac:dyDescent="0.2">
      <c r="A30" s="462">
        <f>VLOOKUP(B30,Sheet1!$AQ$4:$AR$25,2,FALSE)</f>
        <v>0</v>
      </c>
      <c r="B30" s="95" t="str">
        <f>Sheet1!$K$25</f>
        <v>Wokingham</v>
      </c>
      <c r="C30" s="87"/>
      <c r="D30" s="226">
        <f t="shared" si="0"/>
        <v>8.1388730791121233</v>
      </c>
      <c r="E30" s="226"/>
      <c r="F30" s="226"/>
      <c r="G30" s="226"/>
      <c r="H30" s="226">
        <f t="shared" si="1"/>
        <v>16.789982925441095</v>
      </c>
      <c r="I30" s="226">
        <f t="shared" si="2"/>
        <v>0</v>
      </c>
      <c r="J30" s="226">
        <f t="shared" si="3"/>
        <v>13.375071143995445</v>
      </c>
      <c r="K30" s="226"/>
      <c r="L30" s="226"/>
      <c r="M30" s="226"/>
      <c r="N30" s="226"/>
      <c r="O30" s="226"/>
      <c r="P30" s="226">
        <f t="shared" si="4"/>
        <v>0</v>
      </c>
      <c r="Q30" s="226">
        <f t="shared" si="5"/>
        <v>15.139442231075698</v>
      </c>
      <c r="R30" s="226"/>
      <c r="S30" s="226"/>
      <c r="T30" s="226">
        <f t="shared" si="6"/>
        <v>29.2544109277177</v>
      </c>
      <c r="U30" s="226">
        <f t="shared" si="7"/>
        <v>1.6505406943653957</v>
      </c>
      <c r="V30" s="226">
        <f t="shared" si="8"/>
        <v>9.277177006260672</v>
      </c>
      <c r="W30" s="226">
        <f t="shared" si="9"/>
        <v>4.4393853158793402</v>
      </c>
      <c r="X30" s="401">
        <f t="shared" si="10"/>
        <v>1.9351166761525329</v>
      </c>
      <c r="Y30" s="124"/>
      <c r="Z30" s="140"/>
      <c r="AA30" s="188"/>
      <c r="AB30" s="48" t="str">
        <f t="shared" si="11"/>
        <v>Wokingham</v>
      </c>
      <c r="AC30" s="47">
        <v>22</v>
      </c>
      <c r="AD30" s="48" t="str">
        <f t="shared" si="12"/>
        <v>WokinghamNumber</v>
      </c>
      <c r="AE30" s="49" t="b">
        <f t="shared" si="13"/>
        <v>0</v>
      </c>
      <c r="AF30" s="547">
        <f>IF(Year5_Wokingham Year5_ReferralSource_Individual_Family="","",Year5_Wokingham Year5_ReferralSource_Individual_Family)</f>
        <v>143</v>
      </c>
      <c r="AG30" s="548" t="str">
        <f>IF(Year5_Wokingham Year5_ReferralSource_Individual_Acquaintance="","",Year5_Wokingham Year5_ReferralSource_Individual_Acquaintance)</f>
        <v/>
      </c>
      <c r="AH30" s="548" t="str">
        <f>IF(Year5_Wokingham Year5_ReferralSource_Individual_Self="","",Year5_Wokingham Year5_ReferralSource_Individual_Self)</f>
        <v/>
      </c>
      <c r="AI30" s="548" t="str">
        <f>IF(Year5_Wokingham Year5_ReferralSource_Individual_Other="","",Year5_Wokingham Year5_ReferralSource_Individual_Other)</f>
        <v/>
      </c>
      <c r="AJ30" s="548">
        <f>IF(Year5_Wokingham Year5_ReferralSource_School="","",Year5_Wokingham Year5_ReferralSource_School)</f>
        <v>295</v>
      </c>
      <c r="AK30" s="548">
        <f>IF(Year5_Wokingham Year5_ReferralSource_EducationServices="","",Year5_Wokingham Year5_ReferralSource_EducationServices)</f>
        <v>0</v>
      </c>
      <c r="AL30" s="548">
        <f>IF(Year5_Wokingham Year5_ReferralSource_Health_services_GP="","",Year5_Wokingham Year5_ReferralSource_Health_services_GP)</f>
        <v>235</v>
      </c>
      <c r="AM30" s="548" t="str">
        <f>IF(Year5_Wokingham Year5_ReferralSource_Health_services_HealthVisitor="","",Year5_Wokingham Year5_ReferralSource_Health_services_HealthVisitor)</f>
        <v/>
      </c>
      <c r="AN30" s="548" t="str">
        <f>IF(Year5_Wokingham Year5_ReferralSource_Health_services_SchoolNurse="","",Year5_Wokingham Year5_ReferralSource_Health_services_SchoolNurse)</f>
        <v/>
      </c>
      <c r="AO30" s="548" t="str">
        <f>IF(Year5_Wokingham Year5_ReferralSource_Health_services_OthPrimary="","",Year5_Wokingham Year5_ReferralSource_Health_services_OthPrimary)</f>
        <v/>
      </c>
      <c r="AP30" s="548" t="str">
        <f>IF(Year5_Wokingham Year5_ReferralSource_Health_services_AE="","",Year5_Wokingham Year5_ReferralSource_Health_services_AE)</f>
        <v/>
      </c>
      <c r="AQ30" s="548" t="str">
        <f>IF(Year5_Wokingham Year5_ReferralSource_Health_services_Other="","",Year5_Wokingham Year5_ReferralSource_Health_services_Other)</f>
        <v/>
      </c>
      <c r="AR30" s="548">
        <f>IF(Year5_Wokingham Year5_ReferralSource_Housing="","",Year5_Wokingham Year5_ReferralSource_Housing)</f>
        <v>0</v>
      </c>
      <c r="AS30" s="548">
        <f>IF(Year5_Wokingham Year5_ReferralSource_LA_SC="","",Year5_Wokingham Year5_ReferralSource_LA_SC)</f>
        <v>266</v>
      </c>
      <c r="AT30" s="548" t="str">
        <f>IF(Year5_Wokingham Year5_ReferralSource_LA_Other="","",Year5_Wokingham Year5_ReferralSource_LA_Other)</f>
        <v/>
      </c>
      <c r="AU30" s="548" t="str">
        <f>IF(Year5_Wokingham Year5_ReferralSource_LA_External="","",Year5_Wokingham Year5_ReferralSource_LA_External)</f>
        <v/>
      </c>
      <c r="AV30" s="548">
        <f>IF(Year5_Wokingham Year5_ReferralSource_Police="","",Year5_Wokingham Year5_ReferralSource_Police)</f>
        <v>514</v>
      </c>
      <c r="AW30" s="548">
        <f>IF(Year5_Wokingham Year5_ReferralSource_Other_Legal="","",Year5_Wokingham Year5_ReferralSource_Other_Legal)</f>
        <v>29</v>
      </c>
      <c r="AX30" s="548">
        <f>IF(Year5_Wokingham Year5_ReferralSource_Other="","",Year5_Wokingham Year5_ReferralSource_Other)</f>
        <v>163</v>
      </c>
      <c r="AY30" s="548">
        <f>IF(Year5_Wokingham Year5_ReferralSource_Anonymous="","",Year5_Wokingham Year5_ReferralSource_Anonymous)</f>
        <v>78</v>
      </c>
      <c r="AZ30" s="549">
        <f>IF(Year5_Wokingham Year5_ReferralSource_Unknown="","",Year5_Wokingham Year5_ReferralSource_Unknown)</f>
        <v>34</v>
      </c>
      <c r="BA30" s="57">
        <f>SUM(AF30:AZ30)</f>
        <v>1757</v>
      </c>
      <c r="BB30" s="89">
        <f>IF(BA30&gt;0,Population!H31,0)</f>
        <v>39500</v>
      </c>
      <c r="BC30" s="143">
        <f t="shared" si="15"/>
        <v>444.81012658227849</v>
      </c>
      <c r="BD30" s="89" t="s">
        <v>624</v>
      </c>
    </row>
    <row r="31" spans="1:65" s="89" customFormat="1" ht="13.5" hidden="1" customHeight="1" x14ac:dyDescent="0.2">
      <c r="A31" s="286"/>
      <c r="B31" s="150" t="str">
        <f>Sheet1!$K$26</f>
        <v>South East</v>
      </c>
      <c r="C31" s="87"/>
      <c r="D31" s="226">
        <f t="shared" si="0"/>
        <v>8.3259291796863302</v>
      </c>
      <c r="E31" s="226"/>
      <c r="F31" s="226"/>
      <c r="G31" s="226"/>
      <c r="H31" s="226">
        <f t="shared" si="1"/>
        <v>19.682736175862793</v>
      </c>
      <c r="I31" s="226">
        <f t="shared" si="2"/>
        <v>1.1820024159171001</v>
      </c>
      <c r="J31" s="226">
        <f t="shared" si="3"/>
        <v>13.211672273857181</v>
      </c>
      <c r="K31" s="226"/>
      <c r="L31" s="226"/>
      <c r="M31" s="226"/>
      <c r="N31" s="226"/>
      <c r="O31" s="226"/>
      <c r="P31" s="226">
        <f t="shared" si="4"/>
        <v>1.1989737343888827</v>
      </c>
      <c r="Q31" s="226">
        <f t="shared" si="5"/>
        <v>11.719194561191586</v>
      </c>
      <c r="R31" s="226"/>
      <c r="S31" s="226"/>
      <c r="T31" s="226">
        <f t="shared" si="6"/>
        <v>30.756022322275356</v>
      </c>
      <c r="U31" s="226">
        <f t="shared" si="7"/>
        <v>3.4471742754744481</v>
      </c>
      <c r="V31" s="226">
        <f t="shared" si="8"/>
        <v>5.9928720462418514</v>
      </c>
      <c r="W31" s="226">
        <f t="shared" si="9"/>
        <v>2.1204164961215546</v>
      </c>
      <c r="X31" s="401">
        <f t="shared" si="10"/>
        <v>2.3630065189829188</v>
      </c>
      <c r="Y31" s="124"/>
      <c r="Z31" s="140"/>
      <c r="AA31" s="188"/>
      <c r="AB31" s="48" t="str">
        <f>B31</f>
        <v>South East</v>
      </c>
      <c r="AC31" s="47">
        <v>23</v>
      </c>
      <c r="AD31" s="48" t="str">
        <f t="shared" si="12"/>
        <v>South EastNumber</v>
      </c>
      <c r="AE31" s="49" t="b">
        <f t="shared" si="13"/>
        <v>0</v>
      </c>
      <c r="AF31" s="52">
        <f>SUM(AF9:AF21,AF23:AF24,AF27:AF30)</f>
        <v>8340</v>
      </c>
      <c r="AG31" s="52">
        <f t="shared" ref="AG31:AY31" si="16">SUM(AG9:AG21,AG23:AG24,AG27:AG30)</f>
        <v>0</v>
      </c>
      <c r="AH31" s="52">
        <f t="shared" si="16"/>
        <v>0</v>
      </c>
      <c r="AI31" s="52">
        <f t="shared" si="16"/>
        <v>0</v>
      </c>
      <c r="AJ31" s="52">
        <f t="shared" si="16"/>
        <v>19716</v>
      </c>
      <c r="AK31" s="52">
        <f t="shared" si="16"/>
        <v>1184</v>
      </c>
      <c r="AL31" s="52">
        <f t="shared" si="16"/>
        <v>13234</v>
      </c>
      <c r="AM31" s="52">
        <f t="shared" si="16"/>
        <v>0</v>
      </c>
      <c r="AN31" s="52">
        <f t="shared" si="16"/>
        <v>0</v>
      </c>
      <c r="AO31" s="52">
        <f t="shared" si="16"/>
        <v>0</v>
      </c>
      <c r="AP31" s="52">
        <f t="shared" si="16"/>
        <v>0</v>
      </c>
      <c r="AQ31" s="52">
        <f t="shared" si="16"/>
        <v>0</v>
      </c>
      <c r="AR31" s="52">
        <f t="shared" si="16"/>
        <v>1201</v>
      </c>
      <c r="AS31" s="52">
        <f t="shared" si="16"/>
        <v>11739</v>
      </c>
      <c r="AT31" s="52">
        <f t="shared" si="16"/>
        <v>0</v>
      </c>
      <c r="AU31" s="52">
        <f t="shared" si="16"/>
        <v>0</v>
      </c>
      <c r="AV31" s="52">
        <f t="shared" si="16"/>
        <v>30808</v>
      </c>
      <c r="AW31" s="52">
        <f t="shared" si="16"/>
        <v>3453</v>
      </c>
      <c r="AX31" s="52">
        <f t="shared" si="16"/>
        <v>6003</v>
      </c>
      <c r="AY31" s="52">
        <f t="shared" si="16"/>
        <v>2124</v>
      </c>
      <c r="AZ31" s="52">
        <f>SUM(AZ9:AZ21,AZ23:AZ24,AZ27:AZ30)</f>
        <v>2367</v>
      </c>
      <c r="BA31" s="57">
        <f>SUM(AF31:AZ31)</f>
        <v>100169</v>
      </c>
      <c r="BB31" s="89">
        <f>IF(BA31&gt;0,Population!H32,0)</f>
        <v>1957500</v>
      </c>
    </row>
    <row r="32" spans="1:65" s="89" customFormat="1" ht="13.5" hidden="1" customHeight="1" thickBot="1" x14ac:dyDescent="0.25">
      <c r="A32" s="286"/>
      <c r="B32" s="150" t="str">
        <f>Sheet1!$K$27</f>
        <v>England</v>
      </c>
      <c r="C32" s="87"/>
      <c r="D32" s="1540">
        <f>VLOOKUP(CONCATENATE($B32,$AB$8),$AD$9:$BA$80,AF$6,FALSE)</f>
        <v>7.9810114914275188</v>
      </c>
      <c r="E32" s="1541"/>
      <c r="F32" s="1541"/>
      <c r="G32" s="1542"/>
      <c r="H32" s="226">
        <f>VLOOKUP(CONCATENATE($B32,$AB$8),$AD$9:$BA$80,AJ$6,FALSE)</f>
        <v>18.003748540527255</v>
      </c>
      <c r="I32" s="226">
        <f>VLOOKUP(CONCATENATE($B32,$AB$8),$AD$9:$BA$80,AK$6,FALSE)</f>
        <v>2.3935353038775884</v>
      </c>
      <c r="J32" s="1540">
        <f>VLOOKUP(CONCATENATE($B32,$AB$8),$AD$9:$BA$80,AL$6,FALSE)</f>
        <v>14.605481472377557</v>
      </c>
      <c r="K32" s="1541"/>
      <c r="L32" s="1541"/>
      <c r="M32" s="1541"/>
      <c r="N32" s="1541"/>
      <c r="O32" s="1542"/>
      <c r="P32" s="226">
        <f>VLOOKUP(CONCATENATE($B32,$AB$8),$AD$9:$BA$80,AR$6,FALSE)</f>
        <v>1.3119891845388068</v>
      </c>
      <c r="Q32" s="1540">
        <f>VLOOKUP(CONCATENATE($B32,$AB$8),$AD$9:$BA$80,AS$6,FALSE)</f>
        <v>13.336508326676089</v>
      </c>
      <c r="R32" s="1541"/>
      <c r="S32" s="1542"/>
      <c r="T32" s="226">
        <f>VLOOKUP(CONCATENATE($B32,$AB$8),$AD$9:$BA$80,AV$6,FALSE)</f>
        <v>29.175628341424449</v>
      </c>
      <c r="U32" s="226">
        <f>VLOOKUP(CONCATENATE($B32,$AB$8),$AD$9:$BA$80,AW$6,FALSE)</f>
        <v>3.6532907269710564</v>
      </c>
      <c r="V32" s="226">
        <f>VLOOKUP(CONCATENATE($B32,$AB$8),$AD$9:$BA$80,AX$6,FALSE)</f>
        <v>5.4968352485712533</v>
      </c>
      <c r="W32" s="226">
        <f>VLOOKUP(CONCATENATE($B32,$AB$8),$AD$9:$BA$80,AY$6,FALSE)</f>
        <v>2.3935353038775884</v>
      </c>
      <c r="X32" s="401">
        <f>VLOOKUP(CONCATENATE($B32,$AB$8),$AD$9:$BA$80,AZ$6,FALSE)</f>
        <v>1.6484360597308425</v>
      </c>
      <c r="Y32" s="124"/>
      <c r="Z32" s="140"/>
      <c r="AA32" s="188"/>
      <c r="AB32" s="48" t="str">
        <f>B32</f>
        <v>England</v>
      </c>
      <c r="AC32" s="47">
        <v>24</v>
      </c>
      <c r="AD32" s="48" t="str">
        <f t="shared" si="12"/>
        <v>EnglandNumber</v>
      </c>
      <c r="AE32" s="49" t="b">
        <f t="shared" si="13"/>
        <v>0</v>
      </c>
      <c r="AF32" s="625">
        <f>IF(Year5_England Year5_ReferralSource_Individual_Family="","",Year5_England Year5_ReferralSource_Individual_Family)</f>
        <v>51950</v>
      </c>
      <c r="AG32" s="626" t="str">
        <f>IF(Year5_England Year5_ReferralSource_Individual_Acquaintance="","",Year5_England Year5_ReferralSource_Individual_Acquaintance)</f>
        <v/>
      </c>
      <c r="AH32" s="626" t="str">
        <f>IF(Year5_England Year5_ReferralSource_Individual_Self="","",Year5_England Year5_ReferralSource_Individual_Self)</f>
        <v/>
      </c>
      <c r="AI32" s="626" t="str">
        <f>IF(Year5_England Year5_ReferralSource_Individual_Other="","",Year5_England Year5_ReferralSource_Individual_Other)</f>
        <v/>
      </c>
      <c r="AJ32" s="626">
        <f>IF(Year5_England Year5_ReferralSource_School="","",Year5_England Year5_ReferralSource_School)</f>
        <v>117190</v>
      </c>
      <c r="AK32" s="626">
        <f>IF(Year5_England Year5_ReferralSource_EducationServices="","",Year5_England Year5_ReferralSource_EducationServices)</f>
        <v>15580</v>
      </c>
      <c r="AL32" s="626">
        <f>IF(Year5_England Year5_ReferralSource_Health_services_GP="","",Year5_England Year5_ReferralSource_Health_services_GP)</f>
        <v>95070</v>
      </c>
      <c r="AM32" s="626" t="str">
        <f>IF(Year5_England Year5_ReferralSource_Health_services_HealthVisitor="","",Year5_England Year5_ReferralSource_Health_services_HealthVisitor)</f>
        <v/>
      </c>
      <c r="AN32" s="626" t="str">
        <f>IF(Year5_England Year5_ReferralSource_Health_services_SchoolNurse="","",Year5_England Year5_ReferralSource_Health_services_SchoolNurse)</f>
        <v/>
      </c>
      <c r="AO32" s="626" t="str">
        <f>IF(Year5_England Year5_ReferralSource_Health_services_OthPrimary="","",Year5_England Year5_ReferralSource_Health_services_OthPrimary)</f>
        <v/>
      </c>
      <c r="AP32" s="626" t="str">
        <f>IF(Year5_England Year5_ReferralSource_Health_services_AE="","",Year5_England Year5_ReferralSource_Health_services_AE)</f>
        <v/>
      </c>
      <c r="AQ32" s="626" t="str">
        <f>IF(Year5_England Year5_ReferralSource_Health_services_Other="","",Year5_England Year5_ReferralSource_Health_services_Other)</f>
        <v/>
      </c>
      <c r="AR32" s="626">
        <f>IF(Year5_England Year5_ReferralSource_Housing="","",Year5_England Year5_ReferralSource_Housing)</f>
        <v>8540</v>
      </c>
      <c r="AS32" s="626">
        <f>IF(Year5_England Year5_ReferralSource_LA_SC="","",Year5_England Year5_ReferralSource_LA_SC)</f>
        <v>86810</v>
      </c>
      <c r="AT32" s="626" t="str">
        <f>IF(Year5_England Year5_ReferralSource_LA_Other="","",Year5_England Year5_ReferralSource_LA_Other)</f>
        <v/>
      </c>
      <c r="AU32" s="626" t="str">
        <f>IF(Year5_England Year5_ReferralSource_LA_External="","",Year5_England Year5_ReferralSource_LA_External)</f>
        <v/>
      </c>
      <c r="AV32" s="626">
        <f>IF(Year5_England Year5_ReferralSource_Police="","",Year5_England Year5_ReferralSource_Police)</f>
        <v>189910</v>
      </c>
      <c r="AW32" s="626">
        <f>IF(Year5_England Year5_ReferralSource_Other_Legal="","",Year5_England Year5_ReferralSource_Other_Legal)</f>
        <v>23780</v>
      </c>
      <c r="AX32" s="626">
        <f>IF(Year5_England Year5_ReferralSource_Other="","",Year5_England Year5_ReferralSource_Other)</f>
        <v>35780</v>
      </c>
      <c r="AY32" s="626">
        <f>IF(Year5_England Year5_ReferralSource_Anonymous="","",Year5_England Year5_ReferralSource_Anonymous)</f>
        <v>15580</v>
      </c>
      <c r="AZ32" s="626">
        <f>IF(Year5_England Year5_ReferralSource_Unknown="","",Year5_England Year5_ReferralSource_Unknown)</f>
        <v>10730</v>
      </c>
      <c r="BA32" s="627">
        <f>SUM(AF32:AZ32)</f>
        <v>650920</v>
      </c>
      <c r="BB32" s="89">
        <f>IF(BA32&gt;0,Population!H33,0)</f>
        <v>11954600</v>
      </c>
      <c r="BD32" s="628" t="s">
        <v>94</v>
      </c>
      <c r="BE32" s="628" t="s">
        <v>38</v>
      </c>
      <c r="BF32" s="628" t="s">
        <v>106</v>
      </c>
      <c r="BG32" s="628" t="s">
        <v>46</v>
      </c>
      <c r="BH32" s="628" t="s">
        <v>107</v>
      </c>
      <c r="BI32" s="628" t="s">
        <v>23</v>
      </c>
      <c r="BJ32" s="628" t="s">
        <v>67</v>
      </c>
      <c r="BK32" s="628" t="s">
        <v>66</v>
      </c>
      <c r="BL32" s="628" t="s">
        <v>64</v>
      </c>
      <c r="BM32" s="628" t="s">
        <v>65</v>
      </c>
    </row>
    <row r="33" spans="1:65" s="83" customFormat="1" ht="7.5" hidden="1" customHeight="1" x14ac:dyDescent="0.2">
      <c r="A33" s="271"/>
      <c r="B33" s="18"/>
      <c r="C33" s="18"/>
      <c r="D33" s="17"/>
      <c r="E33" s="17"/>
      <c r="F33" s="17"/>
      <c r="G33" s="17"/>
      <c r="H33" s="17"/>
      <c r="I33" s="17"/>
      <c r="J33" s="17"/>
      <c r="K33" s="17"/>
      <c r="L33" s="17"/>
      <c r="M33" s="17"/>
      <c r="N33" s="17"/>
      <c r="O33" s="13"/>
      <c r="P33" s="19"/>
      <c r="Q33" s="19"/>
      <c r="R33" s="19"/>
      <c r="S33" s="19"/>
      <c r="T33" s="19"/>
      <c r="U33" s="19"/>
      <c r="V33" s="19"/>
      <c r="W33" s="19"/>
      <c r="X33" s="224"/>
      <c r="Y33" s="119"/>
      <c r="Z33" s="138"/>
      <c r="AA33" s="178"/>
      <c r="AB33" s="48" t="str">
        <f t="shared" ref="AB33:AB38" si="17">B9</f>
        <v>Bracknell Forest</v>
      </c>
      <c r="AC33" s="47">
        <v>1</v>
      </c>
      <c r="AD33" s="48" t="str">
        <f>CONCATENATE(AB33,$AB$6)</f>
        <v>Bracknell ForestRate per 10,000</v>
      </c>
      <c r="AE33" s="49" t="b">
        <f t="shared" si="13"/>
        <v>0</v>
      </c>
      <c r="AF33" s="617">
        <f>IF(ISERROR(AF9/$BB9*10000),NA(),AF9/$BB9*10000)</f>
        <v>75.971731448763251</v>
      </c>
      <c r="AG33" s="618" t="e">
        <f t="shared" ref="AG33:BA33" si="18">IF(ISERROR(AG9/$BB9*10000),NA(),AG9/$BB9*10000)</f>
        <v>#N/A</v>
      </c>
      <c r="AH33" s="618" t="e">
        <f t="shared" si="18"/>
        <v>#N/A</v>
      </c>
      <c r="AI33" s="618" t="e">
        <f t="shared" si="18"/>
        <v>#N/A</v>
      </c>
      <c r="AJ33" s="618">
        <f t="shared" si="18"/>
        <v>209.18727915194344</v>
      </c>
      <c r="AK33" s="618">
        <f t="shared" si="18"/>
        <v>0</v>
      </c>
      <c r="AL33" s="618">
        <f t="shared" si="18"/>
        <v>89.752650176678443</v>
      </c>
      <c r="AM33" s="618" t="e">
        <f t="shared" si="18"/>
        <v>#N/A</v>
      </c>
      <c r="AN33" s="618" t="e">
        <f t="shared" si="18"/>
        <v>#N/A</v>
      </c>
      <c r="AO33" s="618" t="e">
        <f t="shared" si="18"/>
        <v>#N/A</v>
      </c>
      <c r="AP33" s="618" t="e">
        <f t="shared" si="18"/>
        <v>#N/A</v>
      </c>
      <c r="AQ33" s="618" t="e">
        <f t="shared" si="18"/>
        <v>#N/A</v>
      </c>
      <c r="AR33" s="618">
        <f t="shared" si="18"/>
        <v>10.600706713780918</v>
      </c>
      <c r="AS33" s="618">
        <f t="shared" si="18"/>
        <v>164.66431095406361</v>
      </c>
      <c r="AT33" s="618" t="e">
        <f t="shared" si="18"/>
        <v>#N/A</v>
      </c>
      <c r="AU33" s="618" t="e">
        <f t="shared" si="18"/>
        <v>#N/A</v>
      </c>
      <c r="AV33" s="618">
        <f t="shared" si="18"/>
        <v>156.53710247349824</v>
      </c>
      <c r="AW33" s="618">
        <f t="shared" si="18"/>
        <v>18.727915194346288</v>
      </c>
      <c r="AX33" s="618">
        <f t="shared" si="18"/>
        <v>33.568904593639573</v>
      </c>
      <c r="AY33" s="618">
        <f>IF(ISERROR(AY9/$BB9*10000),NA(),AY9/$BB9*10000)</f>
        <v>22.968197879858657</v>
      </c>
      <c r="AZ33" s="619">
        <f t="shared" si="18"/>
        <v>0</v>
      </c>
      <c r="BA33" s="620">
        <f t="shared" si="18"/>
        <v>781.97879858657245</v>
      </c>
      <c r="BB33" s="89"/>
      <c r="BC33" s="83" t="str">
        <f>AB33</f>
        <v>Bracknell Forest</v>
      </c>
      <c r="BD33" s="167">
        <f>SUM(AF9:AI9)/$BA9</f>
        <v>9.7153185720741081E-2</v>
      </c>
      <c r="BE33" s="167">
        <f>SUM(AJ9:AK9)/$BA9</f>
        <v>0.26751016719385451</v>
      </c>
      <c r="BF33" s="167">
        <f>SUM(AL9:AQ9)/$BA9</f>
        <v>0.11477632173520108</v>
      </c>
      <c r="BG33" s="167">
        <f>AR9/$BA9</f>
        <v>1.3556258472661545E-2</v>
      </c>
      <c r="BH33" s="167">
        <f>SUM(AS9:AU9)/$BA9</f>
        <v>0.21057388160867602</v>
      </c>
      <c r="BI33" s="167">
        <f>AV9/$BA9</f>
        <v>0.20018075011296882</v>
      </c>
      <c r="BJ33" s="167">
        <f>AW9/$BA9</f>
        <v>2.394938996836873E-2</v>
      </c>
      <c r="BK33" s="167">
        <f>AX9/$BA9</f>
        <v>4.2928151830094893E-2</v>
      </c>
      <c r="BL33" s="167">
        <f>AY9/$BA9</f>
        <v>2.937189335743335E-2</v>
      </c>
      <c r="BM33" s="167">
        <f>AZ9/$BA9</f>
        <v>0</v>
      </c>
    </row>
    <row r="34" spans="1:65" s="83" customFormat="1" ht="15" hidden="1" customHeight="1" x14ac:dyDescent="0.2">
      <c r="A34" s="1443"/>
      <c r="B34" s="1421"/>
      <c r="C34" s="1421"/>
      <c r="D34" s="1421"/>
      <c r="E34" s="1421"/>
      <c r="F34" s="1421"/>
      <c r="G34" s="1421"/>
      <c r="H34" s="1421"/>
      <c r="I34" s="1421"/>
      <c r="J34" s="1421"/>
      <c r="K34" s="1421"/>
      <c r="L34" s="1421"/>
      <c r="M34" s="1421"/>
      <c r="N34" s="1421"/>
      <c r="O34" s="1421"/>
      <c r="P34" s="1421"/>
      <c r="Q34" s="1421"/>
      <c r="R34" s="1421"/>
      <c r="S34" s="1421"/>
      <c r="T34" s="1421"/>
      <c r="U34" s="1421"/>
      <c r="V34" s="1421"/>
      <c r="W34" s="1421"/>
      <c r="X34" s="1421"/>
      <c r="Y34" s="1422"/>
      <c r="Z34" s="138"/>
      <c r="AB34" s="48" t="str">
        <f t="shared" si="17"/>
        <v>Brighton &amp; Hove</v>
      </c>
      <c r="AC34" s="47">
        <v>2</v>
      </c>
      <c r="AD34" s="48" t="str">
        <f t="shared" ref="AD34:AD55" si="19">CONCATENATE(AB34,$AB$6)</f>
        <v>Brighton &amp; HoveRate per 10,000</v>
      </c>
      <c r="AE34" s="49" t="b">
        <f t="shared" si="13"/>
        <v>0</v>
      </c>
      <c r="AF34" s="52">
        <f>IF(ISERROR(AF10/$BB10*10000),NA(),AF10/$BB10*10000)</f>
        <v>20.588235294117649</v>
      </c>
      <c r="AG34" s="53" t="e">
        <f>IF(ISERROR(AG10/$BB10*10000),NA(),AG10/$BB10*10000)</f>
        <v>#N/A</v>
      </c>
      <c r="AH34" s="53" t="e">
        <f>IF(ISERROR(AH10/$BB10*10000),NA(),AH10/$BB10*10000)</f>
        <v>#N/A</v>
      </c>
      <c r="AI34" s="53" t="e">
        <f>IF(ISERROR(AI10/$BB10*10000),NA(),AI10/$BB10*10000)</f>
        <v>#N/A</v>
      </c>
      <c r="AJ34" s="53">
        <f t="shared" ref="AJ34:BA34" si="20">IF(ISERROR(AJ10/$BB10*10000),NA(),AJ10/$BB10*10000)</f>
        <v>99.607843137254903</v>
      </c>
      <c r="AK34" s="53">
        <f t="shared" si="20"/>
        <v>19.803921568627452</v>
      </c>
      <c r="AL34" s="53">
        <f t="shared" si="20"/>
        <v>59.803921568627452</v>
      </c>
      <c r="AM34" s="53" t="e">
        <f t="shared" si="20"/>
        <v>#N/A</v>
      </c>
      <c r="AN34" s="53" t="e">
        <f t="shared" si="20"/>
        <v>#N/A</v>
      </c>
      <c r="AO34" s="53" t="e">
        <f t="shared" si="20"/>
        <v>#N/A</v>
      </c>
      <c r="AP34" s="53" t="e">
        <f t="shared" si="20"/>
        <v>#N/A</v>
      </c>
      <c r="AQ34" s="53" t="e">
        <f t="shared" si="20"/>
        <v>#N/A</v>
      </c>
      <c r="AR34" s="53">
        <f t="shared" si="20"/>
        <v>8.0392156862745097</v>
      </c>
      <c r="AS34" s="53">
        <f t="shared" si="20"/>
        <v>82.156862745098039</v>
      </c>
      <c r="AT34" s="53" t="e">
        <f t="shared" si="20"/>
        <v>#N/A</v>
      </c>
      <c r="AU34" s="53" t="e">
        <f t="shared" si="20"/>
        <v>#N/A</v>
      </c>
      <c r="AV34" s="53">
        <f t="shared" si="20"/>
        <v>152.94117647058823</v>
      </c>
      <c r="AW34" s="53">
        <f t="shared" si="20"/>
        <v>15.686274509803921</v>
      </c>
      <c r="AX34" s="53">
        <f t="shared" si="20"/>
        <v>30.588235294117649</v>
      </c>
      <c r="AY34" s="53">
        <f t="shared" si="20"/>
        <v>8.6274509803921564</v>
      </c>
      <c r="AZ34" s="54">
        <f t="shared" si="20"/>
        <v>137.25490196078431</v>
      </c>
      <c r="BA34" s="57">
        <f t="shared" si="20"/>
        <v>635.0980392156863</v>
      </c>
      <c r="BC34" s="83" t="str">
        <f t="shared" ref="BC34:BC56" si="21">AB34</f>
        <v>Brighton &amp; Hove</v>
      </c>
      <c r="BD34" s="167">
        <f t="shared" ref="BD34:BD38" si="22">SUM(AF10:AI10)/$BA10</f>
        <v>3.2417412781722756E-2</v>
      </c>
      <c r="BE34" s="167">
        <f t="shared" ref="BE34:BE38" si="23">SUM(AJ10:AK10)/$BA10</f>
        <v>0.18802099413399198</v>
      </c>
      <c r="BF34" s="167">
        <f t="shared" ref="BF34:BF38" si="24">SUM(AL10:AQ10)/$BA10</f>
        <v>9.4164865699289904E-2</v>
      </c>
      <c r="BG34" s="167">
        <f t="shared" ref="BG34:BG38" si="25">AR10/$BA10</f>
        <v>1.2658227848101266E-2</v>
      </c>
      <c r="BH34" s="167">
        <f t="shared" ref="BH34:BH38" si="26">SUM(AS10:AU10)/$BA10</f>
        <v>0.12936091386230317</v>
      </c>
      <c r="BI34" s="167">
        <f t="shared" ref="BI34:BM34" si="27">AV10/$BA10</f>
        <v>0.24081506637851188</v>
      </c>
      <c r="BJ34" s="167">
        <f t="shared" si="27"/>
        <v>2.4698981167026859E-2</v>
      </c>
      <c r="BK34" s="167">
        <f t="shared" si="27"/>
        <v>4.8163013275702375E-2</v>
      </c>
      <c r="BL34" s="167">
        <f t="shared" si="27"/>
        <v>1.3584439641864773E-2</v>
      </c>
      <c r="BM34" s="167">
        <f t="shared" si="27"/>
        <v>0.21611608521148504</v>
      </c>
    </row>
    <row r="35" spans="1:65" s="83" customFormat="1" ht="11.25" hidden="1" customHeight="1" x14ac:dyDescent="0.2">
      <c r="A35" s="1481" t="str">
        <f>Home!$A$40</f>
        <v>LA's provide quarterly data on the condition that it is used by the benchmarking group for internal reporting only. Please DO NOT share other LA's data with any external partners or the public</v>
      </c>
      <c r="B35" s="1431"/>
      <c r="C35" s="1431"/>
      <c r="D35" s="1431"/>
      <c r="E35" s="1431"/>
      <c r="F35" s="1431"/>
      <c r="G35" s="1431"/>
      <c r="H35" s="1431"/>
      <c r="I35" s="1431"/>
      <c r="J35" s="1431"/>
      <c r="K35" s="1431"/>
      <c r="L35" s="1431"/>
      <c r="M35" s="1431"/>
      <c r="N35" s="1431"/>
      <c r="O35" s="1431"/>
      <c r="P35" s="1431"/>
      <c r="Q35" s="1431"/>
      <c r="R35" s="1431"/>
      <c r="S35" s="1431"/>
      <c r="T35" s="1431"/>
      <c r="U35" s="1431"/>
      <c r="V35" s="1431"/>
      <c r="W35" s="1431"/>
      <c r="X35" s="1431"/>
      <c r="Y35" s="1482"/>
      <c r="Z35" s="138"/>
      <c r="AB35" s="48" t="str">
        <f t="shared" si="17"/>
        <v>Buckinghamshire</v>
      </c>
      <c r="AC35" s="47">
        <v>3</v>
      </c>
      <c r="AD35" s="48" t="str">
        <f t="shared" si="19"/>
        <v>BuckinghamshireRate per 10,000</v>
      </c>
      <c r="AE35" s="49" t="b">
        <f t="shared" si="13"/>
        <v>0</v>
      </c>
      <c r="AF35" s="52">
        <f t="shared" ref="AF35:BA35" si="28">IF(ISERROR(AF11/$BB11*10000),NA(),AF11/$BB11*10000)</f>
        <v>45.93724859211585</v>
      </c>
      <c r="AG35" s="53" t="e">
        <f t="shared" si="28"/>
        <v>#N/A</v>
      </c>
      <c r="AH35" s="53" t="e">
        <f t="shared" si="28"/>
        <v>#N/A</v>
      </c>
      <c r="AI35" s="53" t="e">
        <f t="shared" si="28"/>
        <v>#N/A</v>
      </c>
      <c r="AJ35" s="53">
        <f t="shared" si="28"/>
        <v>123.65245374094931</v>
      </c>
      <c r="AK35" s="53">
        <f t="shared" si="28"/>
        <v>1.5285599356395816</v>
      </c>
      <c r="AL35" s="53">
        <f t="shared" si="28"/>
        <v>95.092518101367659</v>
      </c>
      <c r="AM35" s="53" t="e">
        <f t="shared" si="28"/>
        <v>#N/A</v>
      </c>
      <c r="AN35" s="53" t="e">
        <f t="shared" si="28"/>
        <v>#N/A</v>
      </c>
      <c r="AO35" s="53" t="e">
        <f t="shared" si="28"/>
        <v>#N/A</v>
      </c>
      <c r="AP35" s="53" t="e">
        <f t="shared" si="28"/>
        <v>#N/A</v>
      </c>
      <c r="AQ35" s="53" t="e">
        <f t="shared" si="28"/>
        <v>#N/A</v>
      </c>
      <c r="AR35" s="53">
        <f t="shared" si="28"/>
        <v>5.3097345132743365</v>
      </c>
      <c r="AS35" s="53">
        <f t="shared" si="28"/>
        <v>61.625100563153659</v>
      </c>
      <c r="AT35" s="53" t="e">
        <f t="shared" si="28"/>
        <v>#N/A</v>
      </c>
      <c r="AU35" s="53" t="e">
        <f t="shared" si="28"/>
        <v>#N/A</v>
      </c>
      <c r="AV35" s="53">
        <f t="shared" si="28"/>
        <v>218.18181818181819</v>
      </c>
      <c r="AW35" s="53">
        <f t="shared" si="28"/>
        <v>19.629927594529367</v>
      </c>
      <c r="AX35" s="53">
        <f t="shared" si="28"/>
        <v>27.755430410297667</v>
      </c>
      <c r="AY35" s="53">
        <f t="shared" si="28"/>
        <v>14.963797264682221</v>
      </c>
      <c r="AZ35" s="54">
        <f t="shared" si="28"/>
        <v>0.96540627514078847</v>
      </c>
      <c r="BA35" s="57">
        <f t="shared" si="28"/>
        <v>614.64199517296868</v>
      </c>
      <c r="BC35" s="83" t="str">
        <f t="shared" si="21"/>
        <v>Buckinghamshire</v>
      </c>
      <c r="BD35" s="167">
        <f t="shared" si="22"/>
        <v>7.4738219895287963E-2</v>
      </c>
      <c r="BE35" s="167">
        <f t="shared" si="23"/>
        <v>0.2036649214659686</v>
      </c>
      <c r="BF35" s="167">
        <f t="shared" si="24"/>
        <v>0.15471204188481674</v>
      </c>
      <c r="BG35" s="167">
        <f t="shared" si="25"/>
        <v>8.6387434554973819E-3</v>
      </c>
      <c r="BH35" s="167">
        <f t="shared" si="26"/>
        <v>0.10026178010471204</v>
      </c>
      <c r="BI35" s="167">
        <f t="shared" ref="BI35:BM35" si="29">AV11/$BA11</f>
        <v>0.35497382198952881</v>
      </c>
      <c r="BJ35" s="167">
        <f t="shared" si="29"/>
        <v>3.1937172774869113E-2</v>
      </c>
      <c r="BK35" s="167">
        <f t="shared" si="29"/>
        <v>4.5157068062827224E-2</v>
      </c>
      <c r="BL35" s="167">
        <f t="shared" si="29"/>
        <v>2.4345549738219896E-2</v>
      </c>
      <c r="BM35" s="167">
        <f t="shared" si="29"/>
        <v>1.5706806282722514E-3</v>
      </c>
    </row>
    <row r="36" spans="1:65" s="83" customFormat="1" ht="11.25" customHeight="1" x14ac:dyDescent="0.2">
      <c r="A36" s="114"/>
      <c r="B36" s="115"/>
      <c r="C36" s="115"/>
      <c r="D36" s="115"/>
      <c r="E36" s="115"/>
      <c r="F36" s="115"/>
      <c r="G36" s="115"/>
      <c r="H36" s="115"/>
      <c r="I36" s="115"/>
      <c r="J36" s="115"/>
      <c r="K36" s="115"/>
      <c r="L36" s="115"/>
      <c r="M36" s="115"/>
      <c r="N36" s="115"/>
      <c r="O36" s="116"/>
      <c r="P36" s="115"/>
      <c r="Q36" s="115"/>
      <c r="R36" s="115"/>
      <c r="S36" s="115"/>
      <c r="T36" s="115"/>
      <c r="U36" s="115"/>
      <c r="V36" s="115"/>
      <c r="W36" s="115"/>
      <c r="X36" s="115"/>
      <c r="Y36" s="117"/>
      <c r="Z36" s="138"/>
      <c r="AB36" s="48" t="str">
        <f t="shared" si="17"/>
        <v>East Sussex</v>
      </c>
      <c r="AC36" s="47">
        <v>4</v>
      </c>
      <c r="AD36" s="48" t="str">
        <f t="shared" si="19"/>
        <v>East SussexRate per 10,000</v>
      </c>
      <c r="AE36" s="49" t="b">
        <f t="shared" si="13"/>
        <v>0</v>
      </c>
      <c r="AF36" s="52">
        <f t="shared" ref="AF36:BA36" si="30">IF(ISERROR(AF12/$BB12*10000),NA(),AF12/$BB12*10000)</f>
        <v>43.045112781954884</v>
      </c>
      <c r="AG36" s="53" t="e">
        <f t="shared" si="30"/>
        <v>#N/A</v>
      </c>
      <c r="AH36" s="53" t="e">
        <f t="shared" si="30"/>
        <v>#N/A</v>
      </c>
      <c r="AI36" s="53" t="e">
        <f t="shared" si="30"/>
        <v>#N/A</v>
      </c>
      <c r="AJ36" s="53">
        <f t="shared" si="30"/>
        <v>62.875939849624061</v>
      </c>
      <c r="AK36" s="53">
        <f t="shared" si="30"/>
        <v>17.763157894736842</v>
      </c>
      <c r="AL36" s="53">
        <f t="shared" si="30"/>
        <v>38.345864661654133</v>
      </c>
      <c r="AM36" s="53" t="e">
        <f t="shared" si="30"/>
        <v>#N/A</v>
      </c>
      <c r="AN36" s="53" t="e">
        <f t="shared" si="30"/>
        <v>#N/A</v>
      </c>
      <c r="AO36" s="53" t="e">
        <f t="shared" si="30"/>
        <v>#N/A</v>
      </c>
      <c r="AP36" s="53" t="e">
        <f t="shared" si="30"/>
        <v>#N/A</v>
      </c>
      <c r="AQ36" s="53" t="e">
        <f t="shared" si="30"/>
        <v>#N/A</v>
      </c>
      <c r="AR36" s="53">
        <f t="shared" si="30"/>
        <v>9.2105263157894743</v>
      </c>
      <c r="AS36" s="53">
        <f t="shared" si="30"/>
        <v>66.353383458646618</v>
      </c>
      <c r="AT36" s="53" t="e">
        <f t="shared" si="30"/>
        <v>#N/A</v>
      </c>
      <c r="AU36" s="53" t="e">
        <f t="shared" si="30"/>
        <v>#N/A</v>
      </c>
      <c r="AV36" s="53">
        <f t="shared" si="30"/>
        <v>107.89473684210526</v>
      </c>
      <c r="AW36" s="53">
        <f t="shared" si="30"/>
        <v>20.394736842105264</v>
      </c>
      <c r="AX36" s="53">
        <f t="shared" si="30"/>
        <v>29.887218045112782</v>
      </c>
      <c r="AY36" s="53">
        <f t="shared" si="30"/>
        <v>7.7067669172932334</v>
      </c>
      <c r="AZ36" s="54">
        <f t="shared" si="30"/>
        <v>2.0676691729323311</v>
      </c>
      <c r="BA36" s="57">
        <f t="shared" si="30"/>
        <v>405.54511278195491</v>
      </c>
      <c r="BC36" s="83" t="str">
        <f t="shared" si="21"/>
        <v>East Sussex</v>
      </c>
      <c r="BD36" s="167">
        <f t="shared" si="22"/>
        <v>0.10614136732329085</v>
      </c>
      <c r="BE36" s="167">
        <f t="shared" si="23"/>
        <v>0.1988412514484357</v>
      </c>
      <c r="BF36" s="167">
        <f t="shared" si="24"/>
        <v>9.4553881807647747E-2</v>
      </c>
      <c r="BG36" s="167">
        <f t="shared" si="25"/>
        <v>2.2711471610660488E-2</v>
      </c>
      <c r="BH36" s="167">
        <f t="shared" si="26"/>
        <v>0.16361529548088066</v>
      </c>
      <c r="BI36" s="167">
        <f t="shared" ref="BI36:BM36" si="31">AV12/$BA12</f>
        <v>0.26604866743916572</v>
      </c>
      <c r="BJ36" s="167">
        <f t="shared" si="31"/>
        <v>5.028968713789108E-2</v>
      </c>
      <c r="BK36" s="167">
        <f t="shared" si="31"/>
        <v>7.3696407879490153E-2</v>
      </c>
      <c r="BL36" s="167">
        <f t="shared" si="31"/>
        <v>1.9003476245654693E-2</v>
      </c>
      <c r="BM36" s="167">
        <f t="shared" si="31"/>
        <v>5.0984936268829665E-3</v>
      </c>
    </row>
    <row r="37" spans="1:65" s="83" customFormat="1" ht="17.25" customHeight="1" x14ac:dyDescent="0.2">
      <c r="A37" s="438"/>
      <c r="B37" s="709" t="str">
        <f>$AB$8&amp;" of Referrals from each Source "&amp;Frontpage!J5</f>
        <v>Proportion (%) of Referrals from each Source 2018-19</v>
      </c>
      <c r="C37" s="610"/>
      <c r="D37" s="610"/>
      <c r="E37" s="610"/>
      <c r="F37" s="610"/>
      <c r="G37" s="610"/>
      <c r="H37" s="610"/>
      <c r="I37" s="610"/>
      <c r="J37" s="610"/>
      <c r="K37" s="610"/>
      <c r="L37" s="610"/>
      <c r="M37" s="62"/>
      <c r="N37" s="69"/>
      <c r="O37" s="69"/>
      <c r="P37" s="69"/>
      <c r="Q37" s="69"/>
      <c r="R37" s="69"/>
      <c r="S37" s="69"/>
      <c r="T37" s="69"/>
      <c r="U37" s="69"/>
      <c r="V37" s="69"/>
      <c r="W37" s="69"/>
      <c r="X37" s="69"/>
      <c r="Y37" s="122"/>
      <c r="Z37" s="138"/>
      <c r="AB37" s="48" t="str">
        <f t="shared" si="17"/>
        <v>Hampshire</v>
      </c>
      <c r="AC37" s="47">
        <v>5</v>
      </c>
      <c r="AD37" s="48" t="str">
        <f t="shared" si="19"/>
        <v>HampshireRate per 10,000</v>
      </c>
      <c r="AE37" s="49" t="b">
        <f t="shared" si="13"/>
        <v>0</v>
      </c>
      <c r="AF37" s="52">
        <f t="shared" ref="AF37:BA37" si="32">IF(ISERROR(AF13/$BB13*10000),NA(),AF13/$BB13*10000)</f>
        <v>67.112676056338032</v>
      </c>
      <c r="AG37" s="53" t="e">
        <f t="shared" si="32"/>
        <v>#N/A</v>
      </c>
      <c r="AH37" s="53" t="e">
        <f t="shared" si="32"/>
        <v>#N/A</v>
      </c>
      <c r="AI37" s="53" t="e">
        <f t="shared" si="32"/>
        <v>#N/A</v>
      </c>
      <c r="AJ37" s="53">
        <f t="shared" si="32"/>
        <v>156.02112676056336</v>
      </c>
      <c r="AK37" s="53">
        <f t="shared" si="32"/>
        <v>0</v>
      </c>
      <c r="AL37" s="53">
        <f t="shared" si="32"/>
        <v>107.85211267605634</v>
      </c>
      <c r="AM37" s="53" t="e">
        <f t="shared" si="32"/>
        <v>#N/A</v>
      </c>
      <c r="AN37" s="53" t="e">
        <f t="shared" si="32"/>
        <v>#N/A</v>
      </c>
      <c r="AO37" s="53" t="e">
        <f t="shared" si="32"/>
        <v>#N/A</v>
      </c>
      <c r="AP37" s="53" t="e">
        <f t="shared" si="32"/>
        <v>#N/A</v>
      </c>
      <c r="AQ37" s="53" t="e">
        <f t="shared" si="32"/>
        <v>#N/A</v>
      </c>
      <c r="AR37" s="53">
        <f t="shared" si="32"/>
        <v>0</v>
      </c>
      <c r="AS37" s="53">
        <f t="shared" si="32"/>
        <v>58.485915492957751</v>
      </c>
      <c r="AT37" s="53" t="e">
        <f t="shared" si="32"/>
        <v>#N/A</v>
      </c>
      <c r="AU37" s="53" t="e">
        <f t="shared" si="32"/>
        <v>#N/A</v>
      </c>
      <c r="AV37" s="53">
        <f t="shared" si="32"/>
        <v>160.52816901408451</v>
      </c>
      <c r="AW37" s="53">
        <f t="shared" si="32"/>
        <v>20.880281690140844</v>
      </c>
      <c r="AX37" s="53">
        <f t="shared" si="32"/>
        <v>43.943661971830984</v>
      </c>
      <c r="AY37" s="53">
        <f t="shared" si="32"/>
        <v>17.429577464788732</v>
      </c>
      <c r="AZ37" s="54">
        <f t="shared" si="32"/>
        <v>9.26056338028169</v>
      </c>
      <c r="BA37" s="57">
        <f t="shared" si="32"/>
        <v>641.5140845070423</v>
      </c>
      <c r="BC37" s="83" t="str">
        <f t="shared" si="21"/>
        <v>Hampshire</v>
      </c>
      <c r="BD37" s="167">
        <f t="shared" si="22"/>
        <v>0.10461606015697898</v>
      </c>
      <c r="BE37" s="167">
        <f t="shared" si="23"/>
        <v>0.24320764037543224</v>
      </c>
      <c r="BF37" s="167">
        <f t="shared" si="24"/>
        <v>0.16812119216202864</v>
      </c>
      <c r="BG37" s="167">
        <f t="shared" si="25"/>
        <v>0</v>
      </c>
      <c r="BH37" s="167">
        <f t="shared" si="26"/>
        <v>9.116856029419837E-2</v>
      </c>
      <c r="BI37" s="167">
        <f t="shared" ref="BI37:BM37" si="33">AV13/$BA13</f>
        <v>0.25023327295680331</v>
      </c>
      <c r="BJ37" s="167">
        <f t="shared" si="33"/>
        <v>3.254843844338328E-2</v>
      </c>
      <c r="BK37" s="167">
        <f t="shared" si="33"/>
        <v>6.8499917668368188E-2</v>
      </c>
      <c r="BL37" s="167">
        <f t="shared" si="33"/>
        <v>2.7169438498271036E-2</v>
      </c>
      <c r="BM37" s="167">
        <f t="shared" si="33"/>
        <v>1.4435479444535925E-2</v>
      </c>
    </row>
    <row r="38" spans="1:65" s="83" customFormat="1" ht="13.5" customHeight="1" x14ac:dyDescent="0.2">
      <c r="A38" s="271"/>
      <c r="B38" s="611" t="s">
        <v>111</v>
      </c>
      <c r="C38" s="610"/>
      <c r="D38" s="610"/>
      <c r="E38" s="610"/>
      <c r="F38" s="610"/>
      <c r="G38" s="610"/>
      <c r="H38" s="610"/>
      <c r="I38" s="610"/>
      <c r="J38" s="610"/>
      <c r="K38" s="610"/>
      <c r="L38" s="610"/>
      <c r="M38" s="69"/>
      <c r="N38" s="69"/>
      <c r="O38" s="69"/>
      <c r="P38" s="69"/>
      <c r="Q38" s="69"/>
      <c r="R38" s="69"/>
      <c r="S38" s="69"/>
      <c r="T38" s="69"/>
      <c r="U38" s="69"/>
      <c r="V38" s="58"/>
      <c r="W38" s="69"/>
      <c r="X38" s="69"/>
      <c r="Y38" s="119"/>
      <c r="Z38" s="138"/>
      <c r="AB38" s="48" t="str">
        <f t="shared" si="17"/>
        <v>Isle of Wight</v>
      </c>
      <c r="AC38" s="47">
        <v>6</v>
      </c>
      <c r="AD38" s="48" t="str">
        <f t="shared" si="19"/>
        <v>Isle of WightRate per 10,000</v>
      </c>
      <c r="AE38" s="49" t="b">
        <f t="shared" si="13"/>
        <v>0</v>
      </c>
      <c r="AF38" s="52">
        <f t="shared" ref="AF38:BA38" si="34">IF(ISERROR(AF14/$BB14*10000),NA(),AF14/$BB14*10000)</f>
        <v>70.682730923694777</v>
      </c>
      <c r="AG38" s="53" t="e">
        <f t="shared" si="34"/>
        <v>#N/A</v>
      </c>
      <c r="AH38" s="53" t="e">
        <f t="shared" si="34"/>
        <v>#N/A</v>
      </c>
      <c r="AI38" s="53" t="e">
        <f t="shared" si="34"/>
        <v>#N/A</v>
      </c>
      <c r="AJ38" s="53">
        <f t="shared" si="34"/>
        <v>272.69076305220881</v>
      </c>
      <c r="AK38" s="53">
        <f t="shared" si="34"/>
        <v>0</v>
      </c>
      <c r="AL38" s="53">
        <f t="shared" si="34"/>
        <v>123.69477911646587</v>
      </c>
      <c r="AM38" s="53" t="e">
        <f t="shared" si="34"/>
        <v>#N/A</v>
      </c>
      <c r="AN38" s="53" t="e">
        <f t="shared" si="34"/>
        <v>#N/A</v>
      </c>
      <c r="AO38" s="53" t="e">
        <f t="shared" si="34"/>
        <v>#N/A</v>
      </c>
      <c r="AP38" s="53" t="e">
        <f t="shared" si="34"/>
        <v>#N/A</v>
      </c>
      <c r="AQ38" s="53" t="e">
        <f t="shared" si="34"/>
        <v>#N/A</v>
      </c>
      <c r="AR38" s="53">
        <f t="shared" si="34"/>
        <v>0</v>
      </c>
      <c r="AS38" s="53">
        <f t="shared" si="34"/>
        <v>91.164658634538156</v>
      </c>
      <c r="AT38" s="53" t="e">
        <f t="shared" si="34"/>
        <v>#N/A</v>
      </c>
      <c r="AU38" s="53" t="e">
        <f t="shared" si="34"/>
        <v>#N/A</v>
      </c>
      <c r="AV38" s="53">
        <f t="shared" si="34"/>
        <v>222.89156626506025</v>
      </c>
      <c r="AW38" s="53">
        <f t="shared" si="34"/>
        <v>23.694779116465863</v>
      </c>
      <c r="AX38" s="53">
        <f t="shared" si="34"/>
        <v>120.88353413654619</v>
      </c>
      <c r="AY38" s="53">
        <f t="shared" si="34"/>
        <v>0</v>
      </c>
      <c r="AZ38" s="54">
        <f t="shared" si="34"/>
        <v>24.497991967871485</v>
      </c>
      <c r="BA38" s="57">
        <f t="shared" si="34"/>
        <v>950.2008032128515</v>
      </c>
      <c r="BC38" s="83" t="str">
        <f t="shared" si="21"/>
        <v>Isle of Wight</v>
      </c>
      <c r="BD38" s="167">
        <f t="shared" si="22"/>
        <v>7.4387151310228231E-2</v>
      </c>
      <c r="BE38" s="167">
        <f t="shared" si="23"/>
        <v>0.28698224852071008</v>
      </c>
      <c r="BF38" s="167">
        <f t="shared" si="24"/>
        <v>0.13017751479289941</v>
      </c>
      <c r="BG38" s="167">
        <f t="shared" si="25"/>
        <v>0</v>
      </c>
      <c r="BH38" s="167">
        <f t="shared" si="26"/>
        <v>9.5942519019442091E-2</v>
      </c>
      <c r="BI38" s="167">
        <f t="shared" ref="BI38:BM38" si="35">AV14/$BA14</f>
        <v>0.23457311918850379</v>
      </c>
      <c r="BJ38" s="167">
        <f t="shared" si="35"/>
        <v>2.4936601859678782E-2</v>
      </c>
      <c r="BK38" s="167">
        <f t="shared" si="35"/>
        <v>0.12721893491124261</v>
      </c>
      <c r="BL38" s="167">
        <f t="shared" si="35"/>
        <v>0</v>
      </c>
      <c r="BM38" s="167">
        <f t="shared" si="35"/>
        <v>2.5781910397295011E-2</v>
      </c>
    </row>
    <row r="39" spans="1:65" s="83" customFormat="1" ht="12.75" x14ac:dyDescent="0.2">
      <c r="A39" s="271"/>
      <c r="B39" s="1498" t="s">
        <v>190</v>
      </c>
      <c r="C39" s="9"/>
      <c r="D39" s="1537">
        <v>1</v>
      </c>
      <c r="E39" s="1539"/>
      <c r="F39" s="1537">
        <v>2</v>
      </c>
      <c r="G39" s="1539"/>
      <c r="H39" s="1537">
        <v>3</v>
      </c>
      <c r="I39" s="1539"/>
      <c r="J39" s="1537">
        <v>4</v>
      </c>
      <c r="K39" s="1539"/>
      <c r="L39" s="1537">
        <v>5</v>
      </c>
      <c r="M39" s="1539"/>
      <c r="N39" s="1537">
        <v>6</v>
      </c>
      <c r="O39" s="1539"/>
      <c r="P39" s="1537">
        <v>7</v>
      </c>
      <c r="Q39" s="1539"/>
      <c r="R39" s="1537">
        <v>8</v>
      </c>
      <c r="S39" s="1539"/>
      <c r="T39" s="1537">
        <v>9</v>
      </c>
      <c r="U39" s="1539"/>
      <c r="V39" s="1537">
        <v>10</v>
      </c>
      <c r="W39" s="1538"/>
      <c r="X39" s="9"/>
      <c r="Y39" s="119"/>
      <c r="Z39" s="138"/>
      <c r="AB39" s="48" t="str">
        <f t="shared" ref="AB39:AB56" si="36">B15</f>
        <v>Kent</v>
      </c>
      <c r="AC39" s="47">
        <v>7</v>
      </c>
      <c r="AD39" s="48" t="str">
        <f t="shared" si="19"/>
        <v>KentRate per 10,000</v>
      </c>
      <c r="AE39" s="49" t="b">
        <f t="shared" si="13"/>
        <v>0</v>
      </c>
      <c r="AF39" s="52">
        <f t="shared" ref="AF39:BA39" si="37">IF(ISERROR(AF15/$BB15*10000),NA(),AF15/$BB15*10000)</f>
        <v>45.898265216112904</v>
      </c>
      <c r="AG39" s="53" t="e">
        <f t="shared" si="37"/>
        <v>#N/A</v>
      </c>
      <c r="AH39" s="53" t="e">
        <f t="shared" si="37"/>
        <v>#N/A</v>
      </c>
      <c r="AI39" s="53" t="e">
        <f t="shared" si="37"/>
        <v>#N/A</v>
      </c>
      <c r="AJ39" s="53">
        <f t="shared" si="37"/>
        <v>94.4722140546898</v>
      </c>
      <c r="AK39" s="53">
        <f t="shared" si="37"/>
        <v>2.7344898559247279</v>
      </c>
      <c r="AL39" s="53">
        <f t="shared" si="37"/>
        <v>68.391649514848567</v>
      </c>
      <c r="AM39" s="53" t="e">
        <f t="shared" si="37"/>
        <v>#N/A</v>
      </c>
      <c r="AN39" s="53" t="e">
        <f t="shared" si="37"/>
        <v>#N/A</v>
      </c>
      <c r="AO39" s="53" t="e">
        <f t="shared" si="37"/>
        <v>#N/A</v>
      </c>
      <c r="AP39" s="53" t="e">
        <f t="shared" si="37"/>
        <v>#N/A</v>
      </c>
      <c r="AQ39" s="53" t="e">
        <f t="shared" si="37"/>
        <v>#N/A</v>
      </c>
      <c r="AR39" s="53">
        <f t="shared" si="37"/>
        <v>10.673331373125551</v>
      </c>
      <c r="AS39" s="53">
        <f t="shared" si="37"/>
        <v>67.06850926198176</v>
      </c>
      <c r="AT39" s="53" t="e">
        <f t="shared" si="37"/>
        <v>#N/A</v>
      </c>
      <c r="AU39" s="53" t="e">
        <f t="shared" si="37"/>
        <v>#N/A</v>
      </c>
      <c r="AV39" s="53">
        <f t="shared" si="37"/>
        <v>184.9456042340488</v>
      </c>
      <c r="AW39" s="53">
        <f t="shared" si="37"/>
        <v>25.992355189650105</v>
      </c>
      <c r="AX39" s="53">
        <f t="shared" si="37"/>
        <v>20.523375477800649</v>
      </c>
      <c r="AY39" s="53">
        <f t="shared" si="37"/>
        <v>11.026168773890033</v>
      </c>
      <c r="AZ39" s="54">
        <f t="shared" si="37"/>
        <v>5.8512202293443103</v>
      </c>
      <c r="BA39" s="57">
        <f t="shared" si="37"/>
        <v>537.57718318141724</v>
      </c>
      <c r="BC39" s="83" t="str">
        <f t="shared" si="21"/>
        <v>Kent</v>
      </c>
      <c r="BD39" s="167">
        <f t="shared" ref="BD39:BD56" si="38">SUM(AF15:AI15)/$BA15</f>
        <v>8.5379861073128047E-2</v>
      </c>
      <c r="BE39" s="167">
        <f t="shared" ref="BE39:BE56" si="39">SUM(AJ15:AK15)/$BA15</f>
        <v>0.18082371602034678</v>
      </c>
      <c r="BF39" s="167">
        <f t="shared" ref="BF39:BF56" si="40">SUM(AL15:AQ15)/$BA15</f>
        <v>0.12722200951703769</v>
      </c>
      <c r="BG39" s="167">
        <f t="shared" ref="BG39:BG56" si="41">AR15/$BA15</f>
        <v>1.9854509653776733E-2</v>
      </c>
      <c r="BH39" s="167">
        <f t="shared" ref="BH39:BH56" si="42">SUM(AS15:AU15)/$BA15</f>
        <v>0.12476070666739594</v>
      </c>
      <c r="BI39" s="167">
        <f t="shared" ref="BI39:BI56" si="43">AV15/$BA15</f>
        <v>0.34403544276103482</v>
      </c>
      <c r="BJ39" s="167">
        <f t="shared" ref="BJ39:BJ56" si="44">AW15/$BA15</f>
        <v>4.8350927090740028E-2</v>
      </c>
      <c r="BK39" s="167">
        <f t="shared" ref="BK39:BK56" si="45">AX15/$BA15</f>
        <v>3.8177541978887494E-2</v>
      </c>
      <c r="BL39" s="167">
        <f t="shared" ref="BL39:BL56" si="46">AY15/$BA15</f>
        <v>2.0510857080347864E-2</v>
      </c>
      <c r="BM39" s="167">
        <f t="shared" ref="BM39:BM56" si="47">AZ15/$BA15</f>
        <v>1.08844281573046E-2</v>
      </c>
    </row>
    <row r="40" spans="1:65" s="83" customFormat="1" ht="48.75" customHeight="1" x14ac:dyDescent="0.25">
      <c r="A40" s="439"/>
      <c r="B40" s="1499"/>
      <c r="D40" s="1533" t="s">
        <v>94</v>
      </c>
      <c r="E40" s="1535"/>
      <c r="F40" s="1533" t="s">
        <v>38</v>
      </c>
      <c r="G40" s="1535"/>
      <c r="H40" s="1533" t="s">
        <v>106</v>
      </c>
      <c r="I40" s="1535"/>
      <c r="J40" s="1533" t="s">
        <v>46</v>
      </c>
      <c r="K40" s="1535"/>
      <c r="L40" s="1533" t="s">
        <v>107</v>
      </c>
      <c r="M40" s="1535"/>
      <c r="N40" s="1533" t="s">
        <v>23</v>
      </c>
      <c r="O40" s="1535"/>
      <c r="P40" s="1533" t="s">
        <v>67</v>
      </c>
      <c r="Q40" s="1535"/>
      <c r="R40" s="1533" t="s">
        <v>66</v>
      </c>
      <c r="S40" s="1535"/>
      <c r="T40" s="1533" t="s">
        <v>64</v>
      </c>
      <c r="U40" s="1535"/>
      <c r="V40" s="1533" t="s">
        <v>65</v>
      </c>
      <c r="W40" s="1534"/>
      <c r="X40" s="9"/>
      <c r="Y40" s="119"/>
      <c r="Z40" s="138"/>
      <c r="AB40" s="48" t="str">
        <f t="shared" si="36"/>
        <v>Medway</v>
      </c>
      <c r="AC40" s="47">
        <v>8</v>
      </c>
      <c r="AD40" s="48" t="str">
        <f t="shared" si="19"/>
        <v>MedwayRate per 10,000</v>
      </c>
      <c r="AE40" s="49" t="b">
        <f t="shared" si="13"/>
        <v>0</v>
      </c>
      <c r="AF40" s="52">
        <f t="shared" ref="AF40:BA40" si="48">IF(ISERROR(AF16/$BB16*10000),NA(),AF16/$BB16*10000)</f>
        <v>64.440993788819881</v>
      </c>
      <c r="AG40" s="53" t="e">
        <f t="shared" si="48"/>
        <v>#N/A</v>
      </c>
      <c r="AH40" s="53" t="e">
        <f t="shared" si="48"/>
        <v>#N/A</v>
      </c>
      <c r="AI40" s="53" t="e">
        <f t="shared" si="48"/>
        <v>#N/A</v>
      </c>
      <c r="AJ40" s="53">
        <f t="shared" si="48"/>
        <v>127.17391304347827</v>
      </c>
      <c r="AK40" s="53">
        <f t="shared" si="48"/>
        <v>8.0745341614906838</v>
      </c>
      <c r="AL40" s="53">
        <f t="shared" si="48"/>
        <v>55.745341614906835</v>
      </c>
      <c r="AM40" s="53" t="e">
        <f t="shared" si="48"/>
        <v>#N/A</v>
      </c>
      <c r="AN40" s="53" t="e">
        <f t="shared" si="48"/>
        <v>#N/A</v>
      </c>
      <c r="AO40" s="53" t="e">
        <f t="shared" si="48"/>
        <v>#N/A</v>
      </c>
      <c r="AP40" s="53" t="e">
        <f t="shared" si="48"/>
        <v>#N/A</v>
      </c>
      <c r="AQ40" s="53" t="e">
        <f t="shared" si="48"/>
        <v>#N/A</v>
      </c>
      <c r="AR40" s="53">
        <f t="shared" si="48"/>
        <v>10.403726708074533</v>
      </c>
      <c r="AS40" s="53">
        <f t="shared" si="48"/>
        <v>78.571428571428584</v>
      </c>
      <c r="AT40" s="53" t="e">
        <f t="shared" si="48"/>
        <v>#N/A</v>
      </c>
      <c r="AU40" s="53" t="e">
        <f t="shared" si="48"/>
        <v>#N/A</v>
      </c>
      <c r="AV40" s="53">
        <f t="shared" si="48"/>
        <v>208.22981366459626</v>
      </c>
      <c r="AW40" s="53">
        <f t="shared" si="48"/>
        <v>20.962732919254655</v>
      </c>
      <c r="AX40" s="53">
        <f t="shared" si="48"/>
        <v>25.310559006211179</v>
      </c>
      <c r="AY40" s="53">
        <f t="shared" si="48"/>
        <v>13.819875776397515</v>
      </c>
      <c r="AZ40" s="54">
        <f t="shared" si="48"/>
        <v>12.267080745341616</v>
      </c>
      <c r="BA40" s="57">
        <f t="shared" si="48"/>
        <v>625</v>
      </c>
      <c r="BC40" s="83" t="str">
        <f t="shared" si="21"/>
        <v>Medway</v>
      </c>
      <c r="BD40" s="167">
        <f t="shared" si="38"/>
        <v>0.1031055900621118</v>
      </c>
      <c r="BE40" s="167">
        <f t="shared" si="39"/>
        <v>0.21639751552795031</v>
      </c>
      <c r="BF40" s="167">
        <f t="shared" si="40"/>
        <v>8.9192546583850937E-2</v>
      </c>
      <c r="BG40" s="167">
        <f t="shared" si="41"/>
        <v>1.6645962732919253E-2</v>
      </c>
      <c r="BH40" s="167">
        <f t="shared" si="42"/>
        <v>0.12571428571428572</v>
      </c>
      <c r="BI40" s="167">
        <f t="shared" si="43"/>
        <v>0.33316770186335404</v>
      </c>
      <c r="BJ40" s="167">
        <f t="shared" si="44"/>
        <v>3.354037267080745E-2</v>
      </c>
      <c r="BK40" s="167">
        <f t="shared" si="45"/>
        <v>4.0496894409937888E-2</v>
      </c>
      <c r="BL40" s="167">
        <f t="shared" si="46"/>
        <v>2.2111801242236023E-2</v>
      </c>
      <c r="BM40" s="167">
        <f t="shared" si="47"/>
        <v>1.9627329192546585E-2</v>
      </c>
    </row>
    <row r="41" spans="1:65" ht="13.5" customHeight="1" x14ac:dyDescent="0.2">
      <c r="A41" s="462">
        <f>VLOOKUP(B41,Sheet1!$AQ$4:$AR$25,2,FALSE)</f>
        <v>0</v>
      </c>
      <c r="B41" s="170" t="str">
        <f>Sheet1!$K$4</f>
        <v>Bracknell Forest</v>
      </c>
      <c r="C41" s="72"/>
      <c r="D41" s="1520">
        <f>SUM(D9:G9)</f>
        <v>9.7153185720741089</v>
      </c>
      <c r="E41" s="1521"/>
      <c r="F41" s="1520">
        <f t="shared" ref="F41:F64" si="49">SUM(H9:I9)</f>
        <v>26.751016719385451</v>
      </c>
      <c r="G41" s="1521"/>
      <c r="H41" s="1520">
        <f t="shared" ref="H41:H64" si="50">SUM(J9:O9)</f>
        <v>11.477632173520108</v>
      </c>
      <c r="I41" s="1521"/>
      <c r="J41" s="1520">
        <f t="shared" ref="J41:J64" si="51">P9</f>
        <v>1.3556258472661544</v>
      </c>
      <c r="K41" s="1521"/>
      <c r="L41" s="1520">
        <f t="shared" ref="L41:L64" si="52">SUM(Q9:S9)</f>
        <v>21.057388160867603</v>
      </c>
      <c r="M41" s="1521"/>
      <c r="N41" s="1520">
        <f t="shared" ref="N41:N64" si="53">T9</f>
        <v>20.018075011296883</v>
      </c>
      <c r="O41" s="1521"/>
      <c r="P41" s="1520">
        <f t="shared" ref="P41:P64" si="54">U9</f>
        <v>2.3949389968368728</v>
      </c>
      <c r="Q41" s="1521"/>
      <c r="R41" s="1520">
        <f t="shared" ref="R41:R64" si="55">V9</f>
        <v>4.2928151830094894</v>
      </c>
      <c r="S41" s="1521"/>
      <c r="T41" s="1520">
        <f t="shared" ref="T41:T64" si="56">W9</f>
        <v>2.937189335743335</v>
      </c>
      <c r="U41" s="1521"/>
      <c r="V41" s="1520">
        <f t="shared" ref="V41:V64" si="57">X9</f>
        <v>0</v>
      </c>
      <c r="W41" s="1522"/>
      <c r="X41" s="9"/>
      <c r="Y41" s="119"/>
      <c r="Z41" s="138"/>
      <c r="AA41" s="76"/>
      <c r="AB41" s="48" t="str">
        <f t="shared" si="36"/>
        <v>Milton Keynes</v>
      </c>
      <c r="AC41" s="47">
        <v>9</v>
      </c>
      <c r="AD41" s="48" t="str">
        <f t="shared" si="19"/>
        <v>Milton KeynesRate per 10,000</v>
      </c>
      <c r="AE41" s="49" t="b">
        <f t="shared" si="13"/>
        <v>0</v>
      </c>
      <c r="AF41" s="52">
        <f t="shared" ref="AF41:BA41" si="58">IF(ISERROR(AF17/$BB17*10000),NA(),AF17/$BB17*10000)</f>
        <v>42.020497803806734</v>
      </c>
      <c r="AG41" s="53" t="e">
        <f t="shared" si="58"/>
        <v>#N/A</v>
      </c>
      <c r="AH41" s="53" t="e">
        <f t="shared" si="58"/>
        <v>#N/A</v>
      </c>
      <c r="AI41" s="53" t="e">
        <f t="shared" si="58"/>
        <v>#N/A</v>
      </c>
      <c r="AJ41" s="53">
        <f t="shared" si="58"/>
        <v>83.016105417276719</v>
      </c>
      <c r="AK41" s="53">
        <f t="shared" si="58"/>
        <v>0</v>
      </c>
      <c r="AL41" s="53">
        <f t="shared" si="58"/>
        <v>48.609077598828698</v>
      </c>
      <c r="AM41" s="53" t="e">
        <f t="shared" si="58"/>
        <v>#N/A</v>
      </c>
      <c r="AN41" s="53" t="e">
        <f t="shared" si="58"/>
        <v>#N/A</v>
      </c>
      <c r="AO41" s="53" t="e">
        <f t="shared" si="58"/>
        <v>#N/A</v>
      </c>
      <c r="AP41" s="53" t="e">
        <f t="shared" si="58"/>
        <v>#N/A</v>
      </c>
      <c r="AQ41" s="53" t="e">
        <f t="shared" si="58"/>
        <v>#N/A</v>
      </c>
      <c r="AR41" s="53">
        <f t="shared" si="58"/>
        <v>6.2957540263543192</v>
      </c>
      <c r="AS41" s="53">
        <f t="shared" si="58"/>
        <v>61.200585651537331</v>
      </c>
      <c r="AT41" s="53" t="e">
        <f t="shared" si="58"/>
        <v>#N/A</v>
      </c>
      <c r="AU41" s="53" t="e">
        <f t="shared" si="58"/>
        <v>#N/A</v>
      </c>
      <c r="AV41" s="53">
        <f t="shared" si="58"/>
        <v>110.39531478770131</v>
      </c>
      <c r="AW41" s="53">
        <f t="shared" si="58"/>
        <v>15.666178623718887</v>
      </c>
      <c r="AX41" s="53">
        <f t="shared" si="58"/>
        <v>15.519765739385067</v>
      </c>
      <c r="AY41" s="53">
        <f t="shared" si="58"/>
        <v>9.2240117130307464</v>
      </c>
      <c r="AZ41" s="54">
        <f t="shared" si="58"/>
        <v>0</v>
      </c>
      <c r="BA41" s="57">
        <f t="shared" si="58"/>
        <v>391.94729136163983</v>
      </c>
      <c r="BC41" s="83" t="str">
        <f t="shared" si="21"/>
        <v>Milton Keynes</v>
      </c>
      <c r="BD41" s="167">
        <f t="shared" si="38"/>
        <v>0.10720956294359357</v>
      </c>
      <c r="BE41" s="167">
        <f t="shared" si="39"/>
        <v>0.21180425849831902</v>
      </c>
      <c r="BF41" s="167">
        <f t="shared" si="40"/>
        <v>0.12401942472917445</v>
      </c>
      <c r="BG41" s="167">
        <f t="shared" si="41"/>
        <v>1.6062756817332834E-2</v>
      </c>
      <c r="BH41" s="167">
        <f t="shared" si="42"/>
        <v>0.15614493836384011</v>
      </c>
      <c r="BI41" s="167">
        <f t="shared" si="43"/>
        <v>0.28165857302951064</v>
      </c>
      <c r="BJ41" s="167">
        <f t="shared" si="44"/>
        <v>3.9970115801270079E-2</v>
      </c>
      <c r="BK41" s="167">
        <f t="shared" si="45"/>
        <v>3.9596563317146061E-2</v>
      </c>
      <c r="BL41" s="167">
        <f t="shared" si="46"/>
        <v>2.3533806499813223E-2</v>
      </c>
      <c r="BM41" s="167">
        <f t="shared" si="47"/>
        <v>0</v>
      </c>
    </row>
    <row r="42" spans="1:65" ht="13.5" customHeight="1" x14ac:dyDescent="0.2">
      <c r="A42" s="462">
        <f>VLOOKUP(B42,Sheet1!$AQ$4:$AR$25,2,FALSE)</f>
        <v>0</v>
      </c>
      <c r="B42" s="170" t="str">
        <f>Sheet1!$K$5</f>
        <v>Brighton &amp; Hove</v>
      </c>
      <c r="C42" s="9"/>
      <c r="D42" s="1520">
        <f t="shared" ref="D42" si="59">SUM(D10:G10)</f>
        <v>3.2417412781722756</v>
      </c>
      <c r="E42" s="1521"/>
      <c r="F42" s="1520">
        <f t="shared" si="49"/>
        <v>18.802099413399198</v>
      </c>
      <c r="G42" s="1521"/>
      <c r="H42" s="1520">
        <f t="shared" si="50"/>
        <v>9.4164865699289901</v>
      </c>
      <c r="I42" s="1521"/>
      <c r="J42" s="1520">
        <f t="shared" si="51"/>
        <v>1.2658227848101267</v>
      </c>
      <c r="K42" s="1521"/>
      <c r="L42" s="1520">
        <f t="shared" si="52"/>
        <v>12.936091386230316</v>
      </c>
      <c r="M42" s="1521"/>
      <c r="N42" s="1520">
        <f t="shared" si="53"/>
        <v>24.081506637851188</v>
      </c>
      <c r="O42" s="1521"/>
      <c r="P42" s="1520">
        <f t="shared" si="54"/>
        <v>2.4698981167026859</v>
      </c>
      <c r="Q42" s="1521"/>
      <c r="R42" s="1520">
        <f t="shared" si="55"/>
        <v>4.8163013275702378</v>
      </c>
      <c r="S42" s="1521"/>
      <c r="T42" s="1520">
        <f t="shared" si="56"/>
        <v>1.3584439641864774</v>
      </c>
      <c r="U42" s="1521"/>
      <c r="V42" s="1520">
        <f t="shared" si="57"/>
        <v>21.611608521148504</v>
      </c>
      <c r="W42" s="1522"/>
      <c r="X42" s="9"/>
      <c r="Y42" s="119"/>
      <c r="Z42" s="138"/>
      <c r="AA42" s="76"/>
      <c r="AB42" s="48" t="str">
        <f t="shared" si="36"/>
        <v>Oxfordshire</v>
      </c>
      <c r="AC42" s="47">
        <v>10</v>
      </c>
      <c r="AD42" s="48" t="str">
        <f t="shared" si="19"/>
        <v>OxfordshireRate per 10,000</v>
      </c>
      <c r="AE42" s="49" t="b">
        <f t="shared" si="13"/>
        <v>0</v>
      </c>
      <c r="AF42" s="52">
        <f t="shared" ref="AF42:BA42" si="60">IF(ISERROR(AF18/$BB18*10000),NA(),AF18/$BB18*10000)</f>
        <v>27.071823204419886</v>
      </c>
      <c r="AG42" s="53" t="e">
        <f t="shared" si="60"/>
        <v>#N/A</v>
      </c>
      <c r="AH42" s="53" t="e">
        <f t="shared" si="60"/>
        <v>#N/A</v>
      </c>
      <c r="AI42" s="53" t="e">
        <f t="shared" si="60"/>
        <v>#N/A</v>
      </c>
      <c r="AJ42" s="53">
        <f t="shared" si="60"/>
        <v>95.787292817679557</v>
      </c>
      <c r="AK42" s="53">
        <f t="shared" si="60"/>
        <v>2.2099447513812156</v>
      </c>
      <c r="AL42" s="53">
        <f t="shared" si="60"/>
        <v>43.024861878453038</v>
      </c>
      <c r="AM42" s="53" t="e">
        <f t="shared" si="60"/>
        <v>#N/A</v>
      </c>
      <c r="AN42" s="53" t="e">
        <f t="shared" si="60"/>
        <v>#N/A</v>
      </c>
      <c r="AO42" s="53" t="e">
        <f t="shared" si="60"/>
        <v>#N/A</v>
      </c>
      <c r="AP42" s="53" t="e">
        <f t="shared" si="60"/>
        <v>#N/A</v>
      </c>
      <c r="AQ42" s="53" t="e">
        <f t="shared" si="60"/>
        <v>#N/A</v>
      </c>
      <c r="AR42" s="53">
        <f t="shared" si="60"/>
        <v>3.6602209944751385</v>
      </c>
      <c r="AS42" s="53">
        <f t="shared" si="60"/>
        <v>22.85911602209945</v>
      </c>
      <c r="AT42" s="53" t="e">
        <f t="shared" si="60"/>
        <v>#N/A</v>
      </c>
      <c r="AU42" s="53" t="e">
        <f t="shared" si="60"/>
        <v>#N/A</v>
      </c>
      <c r="AV42" s="53">
        <f t="shared" si="60"/>
        <v>143.64640883977901</v>
      </c>
      <c r="AW42" s="53">
        <f t="shared" si="60"/>
        <v>5.0414364640883971</v>
      </c>
      <c r="AX42" s="53">
        <f t="shared" si="60"/>
        <v>67.334254143646405</v>
      </c>
      <c r="AY42" s="53">
        <f t="shared" si="60"/>
        <v>4.834254143646409</v>
      </c>
      <c r="AZ42" s="54">
        <f t="shared" si="60"/>
        <v>52.693370165745854</v>
      </c>
      <c r="BA42" s="57">
        <f t="shared" si="60"/>
        <v>468.16298342541438</v>
      </c>
      <c r="BC42" s="83" t="str">
        <f t="shared" si="21"/>
        <v>Oxfordshire</v>
      </c>
      <c r="BD42" s="167">
        <f t="shared" si="38"/>
        <v>5.7825637999704971E-2</v>
      </c>
      <c r="BE42" s="167">
        <f t="shared" si="39"/>
        <v>0.2093229089836259</v>
      </c>
      <c r="BF42" s="167">
        <f t="shared" si="40"/>
        <v>9.1901460392388251E-2</v>
      </c>
      <c r="BG42" s="167">
        <f t="shared" si="41"/>
        <v>7.8182622805723564E-3</v>
      </c>
      <c r="BH42" s="167">
        <f t="shared" si="42"/>
        <v>4.8827260657914144E-2</v>
      </c>
      <c r="BI42" s="167">
        <f t="shared" si="43"/>
        <v>0.30682991591680187</v>
      </c>
      <c r="BJ42" s="167">
        <f t="shared" si="44"/>
        <v>1.0768549933618528E-2</v>
      </c>
      <c r="BK42" s="167">
        <f t="shared" si="45"/>
        <v>0.14382652308600088</v>
      </c>
      <c r="BL42" s="167">
        <f t="shared" si="46"/>
        <v>1.0326006785661602E-2</v>
      </c>
      <c r="BM42" s="167">
        <f t="shared" si="47"/>
        <v>0.11255347396371146</v>
      </c>
    </row>
    <row r="43" spans="1:65" s="78" customFormat="1" ht="13.5" customHeight="1" x14ac:dyDescent="0.2">
      <c r="A43" s="462">
        <f>VLOOKUP(B43,Sheet1!$AQ$4:$AR$25,2,FALSE)</f>
        <v>0</v>
      </c>
      <c r="B43" s="170" t="str">
        <f>Sheet1!$K$6</f>
        <v>Buckinghamshire</v>
      </c>
      <c r="C43" s="9"/>
      <c r="D43" s="1520">
        <f t="shared" ref="D43:D62" si="61">SUM(D11:G11)</f>
        <v>7.4738219895287967</v>
      </c>
      <c r="E43" s="1521"/>
      <c r="F43" s="1520">
        <f t="shared" si="49"/>
        <v>20.366492146596855</v>
      </c>
      <c r="G43" s="1521"/>
      <c r="H43" s="1520">
        <f t="shared" si="50"/>
        <v>15.471204188481675</v>
      </c>
      <c r="I43" s="1521"/>
      <c r="J43" s="1520">
        <f t="shared" si="51"/>
        <v>0.86387434554973819</v>
      </c>
      <c r="K43" s="1521"/>
      <c r="L43" s="1520">
        <f t="shared" si="52"/>
        <v>10.026178010471204</v>
      </c>
      <c r="M43" s="1521"/>
      <c r="N43" s="1520">
        <f t="shared" si="53"/>
        <v>35.497382198952884</v>
      </c>
      <c r="O43" s="1521"/>
      <c r="P43" s="1520">
        <f t="shared" si="54"/>
        <v>3.1937172774869111</v>
      </c>
      <c r="Q43" s="1521"/>
      <c r="R43" s="1520">
        <f t="shared" si="55"/>
        <v>4.5157068062827221</v>
      </c>
      <c r="S43" s="1521"/>
      <c r="T43" s="1520">
        <f t="shared" si="56"/>
        <v>2.4345549738219896</v>
      </c>
      <c r="U43" s="1521"/>
      <c r="V43" s="1520">
        <f t="shared" si="57"/>
        <v>0.15706806282722513</v>
      </c>
      <c r="W43" s="1522"/>
      <c r="X43" s="9"/>
      <c r="Y43" s="119"/>
      <c r="Z43" s="139"/>
      <c r="AB43" s="48" t="str">
        <f t="shared" si="36"/>
        <v>Portsmouth</v>
      </c>
      <c r="AC43" s="47">
        <v>11</v>
      </c>
      <c r="AD43" s="48" t="str">
        <f t="shared" si="19"/>
        <v>PortsmouthRate per 10,000</v>
      </c>
      <c r="AE43" s="49" t="b">
        <f t="shared" si="13"/>
        <v>0</v>
      </c>
      <c r="AF43" s="52">
        <f t="shared" ref="AF43:BA43" si="62">IF(ISERROR(AF19/$BB19*10000),NA(),AF19/$BB19*10000)</f>
        <v>50</v>
      </c>
      <c r="AG43" s="53" t="e">
        <f t="shared" si="62"/>
        <v>#N/A</v>
      </c>
      <c r="AH43" s="53" t="e">
        <f t="shared" si="62"/>
        <v>#N/A</v>
      </c>
      <c r="AI43" s="53" t="e">
        <f t="shared" si="62"/>
        <v>#N/A</v>
      </c>
      <c r="AJ43" s="53">
        <f t="shared" si="62"/>
        <v>124.54545454545455</v>
      </c>
      <c r="AK43" s="53">
        <f t="shared" si="62"/>
        <v>4.0909090909090908</v>
      </c>
      <c r="AL43" s="53">
        <f t="shared" si="62"/>
        <v>84.318181818181827</v>
      </c>
      <c r="AM43" s="53" t="e">
        <f t="shared" si="62"/>
        <v>#N/A</v>
      </c>
      <c r="AN43" s="53" t="e">
        <f t="shared" si="62"/>
        <v>#N/A</v>
      </c>
      <c r="AO43" s="53" t="e">
        <f t="shared" si="62"/>
        <v>#N/A</v>
      </c>
      <c r="AP43" s="53" t="e">
        <f t="shared" si="62"/>
        <v>#N/A</v>
      </c>
      <c r="AQ43" s="53" t="e">
        <f t="shared" si="62"/>
        <v>#N/A</v>
      </c>
      <c r="AR43" s="53">
        <f t="shared" si="62"/>
        <v>24.545454545454543</v>
      </c>
      <c r="AS43" s="53">
        <f t="shared" si="62"/>
        <v>116.59090909090909</v>
      </c>
      <c r="AT43" s="53" t="e">
        <f t="shared" si="62"/>
        <v>#N/A</v>
      </c>
      <c r="AU43" s="53" t="e">
        <f t="shared" si="62"/>
        <v>#N/A</v>
      </c>
      <c r="AV43" s="53">
        <f t="shared" si="62"/>
        <v>159.09090909090907</v>
      </c>
      <c r="AW43" s="53">
        <f t="shared" si="62"/>
        <v>34.31818181818182</v>
      </c>
      <c r="AX43" s="53">
        <f t="shared" si="62"/>
        <v>33.863636363636367</v>
      </c>
      <c r="AY43" s="53">
        <f t="shared" si="62"/>
        <v>15</v>
      </c>
      <c r="AZ43" s="54">
        <f t="shared" si="62"/>
        <v>0</v>
      </c>
      <c r="BA43" s="57">
        <f t="shared" si="62"/>
        <v>646.36363636363626</v>
      </c>
      <c r="BC43" s="83" t="str">
        <f t="shared" si="21"/>
        <v>Portsmouth</v>
      </c>
      <c r="BD43" s="167">
        <f t="shared" si="38"/>
        <v>7.7355836849507739E-2</v>
      </c>
      <c r="BE43" s="167">
        <f t="shared" si="39"/>
        <v>0.1990154711673699</v>
      </c>
      <c r="BF43" s="167">
        <f t="shared" si="40"/>
        <v>0.13045007032348804</v>
      </c>
      <c r="BG43" s="167">
        <f t="shared" si="41"/>
        <v>3.7974683544303799E-2</v>
      </c>
      <c r="BH43" s="167">
        <f t="shared" si="42"/>
        <v>0.18037974683544303</v>
      </c>
      <c r="BI43" s="167">
        <f t="shared" si="43"/>
        <v>0.24613220815752462</v>
      </c>
      <c r="BJ43" s="167">
        <f t="shared" si="44"/>
        <v>5.3094233473980311E-2</v>
      </c>
      <c r="BK43" s="167">
        <f t="shared" si="45"/>
        <v>5.239099859353024E-2</v>
      </c>
      <c r="BL43" s="167">
        <f t="shared" si="46"/>
        <v>2.3206751054852322E-2</v>
      </c>
      <c r="BM43" s="167">
        <f t="shared" si="47"/>
        <v>0</v>
      </c>
    </row>
    <row r="44" spans="1:65" ht="13.5" customHeight="1" x14ac:dyDescent="0.2">
      <c r="A44" s="462">
        <f>VLOOKUP(B44,Sheet1!$AQ$4:$AR$25,2,FALSE)</f>
        <v>0</v>
      </c>
      <c r="B44" s="170" t="str">
        <f>Sheet1!$K$7</f>
        <v>East Sussex</v>
      </c>
      <c r="C44" s="9"/>
      <c r="D44" s="1520">
        <f t="shared" si="61"/>
        <v>10.614136732329085</v>
      </c>
      <c r="E44" s="1521"/>
      <c r="F44" s="1520">
        <f t="shared" si="49"/>
        <v>19.884125144843569</v>
      </c>
      <c r="G44" s="1521"/>
      <c r="H44" s="1520">
        <f t="shared" si="50"/>
        <v>9.4553881807647748</v>
      </c>
      <c r="I44" s="1521"/>
      <c r="J44" s="1520">
        <f t="shared" si="51"/>
        <v>2.271147161066049</v>
      </c>
      <c r="K44" s="1521"/>
      <c r="L44" s="1520">
        <f t="shared" si="52"/>
        <v>16.361529548088065</v>
      </c>
      <c r="M44" s="1521"/>
      <c r="N44" s="1520">
        <f t="shared" si="53"/>
        <v>26.60486674391657</v>
      </c>
      <c r="O44" s="1521"/>
      <c r="P44" s="1520">
        <f t="shared" si="54"/>
        <v>5.0289687137891077</v>
      </c>
      <c r="Q44" s="1521"/>
      <c r="R44" s="1520">
        <f t="shared" si="55"/>
        <v>7.3696407879490149</v>
      </c>
      <c r="S44" s="1521"/>
      <c r="T44" s="1520">
        <f t="shared" si="56"/>
        <v>1.9003476245654694</v>
      </c>
      <c r="U44" s="1521"/>
      <c r="V44" s="1520">
        <f t="shared" si="57"/>
        <v>0.50984936268829661</v>
      </c>
      <c r="W44" s="1522"/>
      <c r="X44" s="15"/>
      <c r="Y44" s="119"/>
      <c r="Z44" s="138"/>
      <c r="AA44" s="76"/>
      <c r="AB44" s="48" t="str">
        <f t="shared" si="36"/>
        <v>Reading</v>
      </c>
      <c r="AC44" s="47">
        <v>12</v>
      </c>
      <c r="AD44" s="48" t="str">
        <f t="shared" si="19"/>
        <v>ReadingRate per 10,000</v>
      </c>
      <c r="AE44" s="49" t="b">
        <f t="shared" si="13"/>
        <v>0</v>
      </c>
      <c r="AF44" s="52">
        <f t="shared" ref="AF44:BA44" si="63">IF(ISERROR(AF20/$BB20*10000),NA(),AF20/$BB20*10000)</f>
        <v>47.439353099730461</v>
      </c>
      <c r="AG44" s="53" t="e">
        <f t="shared" si="63"/>
        <v>#N/A</v>
      </c>
      <c r="AH44" s="53" t="e">
        <f t="shared" si="63"/>
        <v>#N/A</v>
      </c>
      <c r="AI44" s="53" t="e">
        <f t="shared" si="63"/>
        <v>#N/A</v>
      </c>
      <c r="AJ44" s="53">
        <f t="shared" si="63"/>
        <v>123.45013477088948</v>
      </c>
      <c r="AK44" s="53">
        <f t="shared" si="63"/>
        <v>20.754716981132077</v>
      </c>
      <c r="AL44" s="53">
        <f t="shared" si="63"/>
        <v>107.00808625336927</v>
      </c>
      <c r="AM44" s="53" t="e">
        <f t="shared" si="63"/>
        <v>#N/A</v>
      </c>
      <c r="AN44" s="53" t="e">
        <f t="shared" si="63"/>
        <v>#N/A</v>
      </c>
      <c r="AO44" s="53" t="e">
        <f t="shared" si="63"/>
        <v>#N/A</v>
      </c>
      <c r="AP44" s="53" t="e">
        <f t="shared" si="63"/>
        <v>#N/A</v>
      </c>
      <c r="AQ44" s="53" t="e">
        <f t="shared" si="63"/>
        <v>#N/A</v>
      </c>
      <c r="AR44" s="53">
        <f t="shared" si="63"/>
        <v>20.485175202156334</v>
      </c>
      <c r="AS44" s="53">
        <f t="shared" si="63"/>
        <v>67.115902964959574</v>
      </c>
      <c r="AT44" s="53" t="e">
        <f t="shared" si="63"/>
        <v>#N/A</v>
      </c>
      <c r="AU44" s="53" t="e">
        <f t="shared" si="63"/>
        <v>#N/A</v>
      </c>
      <c r="AV44" s="53">
        <f t="shared" si="63"/>
        <v>286.25336927223719</v>
      </c>
      <c r="AW44" s="53">
        <f t="shared" si="63"/>
        <v>19.137466307277627</v>
      </c>
      <c r="AX44" s="53">
        <f t="shared" si="63"/>
        <v>37.19676549865229</v>
      </c>
      <c r="AY44" s="53">
        <f t="shared" si="63"/>
        <v>9.433962264150944</v>
      </c>
      <c r="AZ44" s="54">
        <f t="shared" si="63"/>
        <v>0</v>
      </c>
      <c r="BA44" s="57">
        <f t="shared" si="63"/>
        <v>738.27493261455527</v>
      </c>
      <c r="BC44" s="83" t="str">
        <f t="shared" si="21"/>
        <v>Reading</v>
      </c>
      <c r="BD44" s="167">
        <f t="shared" si="38"/>
        <v>6.4257028112449793E-2</v>
      </c>
      <c r="BE44" s="167">
        <f t="shared" si="39"/>
        <v>0.19532676159182183</v>
      </c>
      <c r="BF44" s="167">
        <f t="shared" si="40"/>
        <v>0.14494341000365096</v>
      </c>
      <c r="BG44" s="167">
        <f t="shared" si="41"/>
        <v>2.7747353048557868E-2</v>
      </c>
      <c r="BH44" s="167">
        <f t="shared" si="42"/>
        <v>9.0909090909090912E-2</v>
      </c>
      <c r="BI44" s="167">
        <f t="shared" si="43"/>
        <v>0.38773274917853229</v>
      </c>
      <c r="BJ44" s="167">
        <f t="shared" si="44"/>
        <v>2.5921869295363272E-2</v>
      </c>
      <c r="BK44" s="167">
        <f t="shared" si="45"/>
        <v>5.0383351588170866E-2</v>
      </c>
      <c r="BL44" s="167">
        <f t="shared" si="46"/>
        <v>1.2778386272362175E-2</v>
      </c>
      <c r="BM44" s="167">
        <f t="shared" si="47"/>
        <v>0</v>
      </c>
    </row>
    <row r="45" spans="1:65" ht="13.5" customHeight="1" x14ac:dyDescent="0.2">
      <c r="A45" s="462">
        <f>VLOOKUP(B45,Sheet1!$AQ$4:$AR$25,2,FALSE)</f>
        <v>0</v>
      </c>
      <c r="B45" s="170" t="str">
        <f>Sheet1!$K$8</f>
        <v>Hampshire</v>
      </c>
      <c r="C45" s="9"/>
      <c r="D45" s="1520">
        <f t="shared" si="61"/>
        <v>10.461606015697898</v>
      </c>
      <c r="E45" s="1521"/>
      <c r="F45" s="1520">
        <f t="shared" si="49"/>
        <v>24.320764037543224</v>
      </c>
      <c r="G45" s="1521"/>
      <c r="H45" s="1520">
        <f t="shared" si="50"/>
        <v>16.812119216202863</v>
      </c>
      <c r="I45" s="1521"/>
      <c r="J45" s="1520">
        <f t="shared" si="51"/>
        <v>0</v>
      </c>
      <c r="K45" s="1521"/>
      <c r="L45" s="1520">
        <f t="shared" si="52"/>
        <v>9.1168560294198375</v>
      </c>
      <c r="M45" s="1521"/>
      <c r="N45" s="1520">
        <f t="shared" si="53"/>
        <v>25.023327295680332</v>
      </c>
      <c r="O45" s="1521"/>
      <c r="P45" s="1520">
        <f t="shared" si="54"/>
        <v>3.2548438443383279</v>
      </c>
      <c r="Q45" s="1521"/>
      <c r="R45" s="1520">
        <f t="shared" si="55"/>
        <v>6.8499917668368191</v>
      </c>
      <c r="S45" s="1521"/>
      <c r="T45" s="1520">
        <f t="shared" si="56"/>
        <v>2.7169438498271035</v>
      </c>
      <c r="U45" s="1521"/>
      <c r="V45" s="1520">
        <f t="shared" si="57"/>
        <v>1.4435479444535926</v>
      </c>
      <c r="W45" s="1522"/>
      <c r="X45" s="9"/>
      <c r="Y45" s="122"/>
      <c r="Z45" s="138"/>
      <c r="AA45" s="76"/>
      <c r="AB45" s="48" t="str">
        <f t="shared" si="36"/>
        <v>Slough</v>
      </c>
      <c r="AC45" s="47">
        <v>13</v>
      </c>
      <c r="AD45" s="48" t="str">
        <f t="shared" si="19"/>
        <v>SloughRate per 10,000</v>
      </c>
      <c r="AE45" s="49" t="b">
        <f t="shared" si="13"/>
        <v>0</v>
      </c>
      <c r="AF45" s="52">
        <f t="shared" ref="AF45:BA45" si="64">IF(ISERROR(AF21/$BB21*10000),NA(),AF21/$BB21*10000)</f>
        <v>32.318501170960189</v>
      </c>
      <c r="AG45" s="53" t="e">
        <f t="shared" si="64"/>
        <v>#N/A</v>
      </c>
      <c r="AH45" s="53" t="e">
        <f t="shared" si="64"/>
        <v>#N/A</v>
      </c>
      <c r="AI45" s="53" t="e">
        <f t="shared" si="64"/>
        <v>#N/A</v>
      </c>
      <c r="AJ45" s="53">
        <f t="shared" si="64"/>
        <v>107.49414519906324</v>
      </c>
      <c r="AK45" s="53">
        <f t="shared" si="64"/>
        <v>0</v>
      </c>
      <c r="AL45" s="53">
        <f t="shared" si="64"/>
        <v>48.946135831381731</v>
      </c>
      <c r="AM45" s="53" t="e">
        <f t="shared" si="64"/>
        <v>#N/A</v>
      </c>
      <c r="AN45" s="53" t="e">
        <f t="shared" si="64"/>
        <v>#N/A</v>
      </c>
      <c r="AO45" s="53" t="e">
        <f t="shared" si="64"/>
        <v>#N/A</v>
      </c>
      <c r="AP45" s="53" t="e">
        <f t="shared" si="64"/>
        <v>#N/A</v>
      </c>
      <c r="AQ45" s="53" t="e">
        <f t="shared" si="64"/>
        <v>#N/A</v>
      </c>
      <c r="AR45" s="53">
        <f t="shared" si="64"/>
        <v>0</v>
      </c>
      <c r="AS45" s="53">
        <f t="shared" si="64"/>
        <v>77.517564402810308</v>
      </c>
      <c r="AT45" s="53" t="e">
        <f t="shared" si="64"/>
        <v>#N/A</v>
      </c>
      <c r="AU45" s="53" t="e">
        <f t="shared" si="64"/>
        <v>#N/A</v>
      </c>
      <c r="AV45" s="53">
        <f t="shared" si="64"/>
        <v>146.13583138173303</v>
      </c>
      <c r="AW45" s="53">
        <f t="shared" si="64"/>
        <v>16.159250585480095</v>
      </c>
      <c r="AX45" s="53">
        <f t="shared" si="64"/>
        <v>29.039812646370024</v>
      </c>
      <c r="AY45" s="53">
        <f t="shared" si="64"/>
        <v>4.918032786885246</v>
      </c>
      <c r="AZ45" s="54">
        <f t="shared" si="64"/>
        <v>0</v>
      </c>
      <c r="BA45" s="57">
        <f t="shared" si="64"/>
        <v>462.52927400468388</v>
      </c>
      <c r="BC45" s="83" t="str">
        <f t="shared" si="21"/>
        <v>Slough</v>
      </c>
      <c r="BD45" s="167">
        <f t="shared" si="38"/>
        <v>6.9873417721518991E-2</v>
      </c>
      <c r="BE45" s="167">
        <f t="shared" si="39"/>
        <v>0.23240506329113925</v>
      </c>
      <c r="BF45" s="167">
        <f t="shared" si="40"/>
        <v>0.10582278481012658</v>
      </c>
      <c r="BG45" s="167">
        <f t="shared" si="41"/>
        <v>0</v>
      </c>
      <c r="BH45" s="167">
        <f t="shared" si="42"/>
        <v>0.16759493670886075</v>
      </c>
      <c r="BI45" s="167">
        <f t="shared" si="43"/>
        <v>0.3159493670886076</v>
      </c>
      <c r="BJ45" s="167">
        <f t="shared" si="44"/>
        <v>3.4936708860759495E-2</v>
      </c>
      <c r="BK45" s="167">
        <f t="shared" si="45"/>
        <v>6.2784810126582283E-2</v>
      </c>
      <c r="BL45" s="167">
        <f t="shared" si="46"/>
        <v>1.0632911392405063E-2</v>
      </c>
      <c r="BM45" s="167">
        <f t="shared" si="47"/>
        <v>0</v>
      </c>
    </row>
    <row r="46" spans="1:65" ht="13.5" customHeight="1" x14ac:dyDescent="0.2">
      <c r="A46" s="462">
        <f>VLOOKUP(B46,Sheet1!$AQ$4:$AR$25,2,FALSE)</f>
        <v>0</v>
      </c>
      <c r="B46" s="170" t="str">
        <f>Sheet1!$K$9</f>
        <v>Isle of Wight</v>
      </c>
      <c r="C46" s="9"/>
      <c r="D46" s="1520">
        <f t="shared" si="61"/>
        <v>7.438715131022823</v>
      </c>
      <c r="E46" s="1521"/>
      <c r="F46" s="1520">
        <f t="shared" si="49"/>
        <v>28.698224852071007</v>
      </c>
      <c r="G46" s="1521"/>
      <c r="H46" s="1520">
        <f t="shared" si="50"/>
        <v>13.017751479289942</v>
      </c>
      <c r="I46" s="1521"/>
      <c r="J46" s="1520">
        <f t="shared" si="51"/>
        <v>0</v>
      </c>
      <c r="K46" s="1521"/>
      <c r="L46" s="1520">
        <f t="shared" si="52"/>
        <v>9.5942519019442098</v>
      </c>
      <c r="M46" s="1521"/>
      <c r="N46" s="1520">
        <f t="shared" si="53"/>
        <v>23.45731191885038</v>
      </c>
      <c r="O46" s="1521"/>
      <c r="P46" s="1520">
        <f t="shared" si="54"/>
        <v>2.4936601859678782</v>
      </c>
      <c r="Q46" s="1521"/>
      <c r="R46" s="1520">
        <f t="shared" si="55"/>
        <v>12.721893491124261</v>
      </c>
      <c r="S46" s="1521"/>
      <c r="T46" s="1520">
        <f t="shared" si="56"/>
        <v>0</v>
      </c>
      <c r="U46" s="1521"/>
      <c r="V46" s="1520">
        <f t="shared" si="57"/>
        <v>2.5781910397295009</v>
      </c>
      <c r="W46" s="1522"/>
      <c r="X46" s="9"/>
      <c r="Y46" s="119"/>
      <c r="Z46" s="138"/>
      <c r="AA46" s="76"/>
      <c r="AB46" s="48" t="str">
        <f t="shared" si="36"/>
        <v>Somerset</v>
      </c>
      <c r="AC46" s="47">
        <v>14</v>
      </c>
      <c r="AD46" s="48" t="str">
        <f t="shared" si="19"/>
        <v>SomersetRate per 10,000</v>
      </c>
      <c r="AE46" s="49" t="b">
        <f t="shared" si="13"/>
        <v>0</v>
      </c>
      <c r="AF46" s="52">
        <f t="shared" ref="AF46:BA46" si="65">IF(ISERROR(AF22/$BB22*10000),NA(),AF22/$BB22*10000)</f>
        <v>8.3107497741644085</v>
      </c>
      <c r="AG46" s="53" t="e">
        <f t="shared" si="65"/>
        <v>#N/A</v>
      </c>
      <c r="AH46" s="53" t="e">
        <f t="shared" si="65"/>
        <v>#N/A</v>
      </c>
      <c r="AI46" s="53" t="e">
        <f t="shared" si="65"/>
        <v>#N/A</v>
      </c>
      <c r="AJ46" s="53">
        <f t="shared" si="65"/>
        <v>50.677506775067748</v>
      </c>
      <c r="AK46" s="53">
        <f t="shared" si="65"/>
        <v>0</v>
      </c>
      <c r="AL46" s="53">
        <f t="shared" si="65"/>
        <v>32.791327913279133</v>
      </c>
      <c r="AM46" s="53" t="e">
        <f t="shared" si="65"/>
        <v>#N/A</v>
      </c>
      <c r="AN46" s="53" t="e">
        <f t="shared" si="65"/>
        <v>#N/A</v>
      </c>
      <c r="AO46" s="53" t="e">
        <f t="shared" si="65"/>
        <v>#N/A</v>
      </c>
      <c r="AP46" s="53" t="e">
        <f t="shared" si="65"/>
        <v>#N/A</v>
      </c>
      <c r="AQ46" s="53" t="e">
        <f t="shared" si="65"/>
        <v>#N/A</v>
      </c>
      <c r="AR46" s="53">
        <f t="shared" si="65"/>
        <v>0</v>
      </c>
      <c r="AS46" s="53">
        <f t="shared" si="65"/>
        <v>39.11472448057814</v>
      </c>
      <c r="AT46" s="53" t="e">
        <f t="shared" si="65"/>
        <v>#N/A</v>
      </c>
      <c r="AU46" s="53" t="e">
        <f t="shared" si="65"/>
        <v>#N/A</v>
      </c>
      <c r="AV46" s="53">
        <f t="shared" si="65"/>
        <v>73.441734417344165</v>
      </c>
      <c r="AW46" s="53">
        <f t="shared" si="65"/>
        <v>5.8717253839205066</v>
      </c>
      <c r="AX46" s="53">
        <f t="shared" si="65"/>
        <v>16.169828364950316</v>
      </c>
      <c r="AY46" s="53">
        <f t="shared" si="65"/>
        <v>5.0587172538392053</v>
      </c>
      <c r="AZ46" s="54">
        <f t="shared" si="65"/>
        <v>2.168021680216802</v>
      </c>
      <c r="BA46" s="57">
        <f t="shared" si="65"/>
        <v>233.60433604336043</v>
      </c>
      <c r="BC46" s="83" t="str">
        <f t="shared" si="21"/>
        <v>Somerset</v>
      </c>
      <c r="BD46" s="167">
        <f t="shared" si="38"/>
        <v>3.5576179427687551E-2</v>
      </c>
      <c r="BE46" s="167">
        <f t="shared" si="39"/>
        <v>0.21693735498839908</v>
      </c>
      <c r="BF46" s="167">
        <f t="shared" si="40"/>
        <v>0.14037122969837587</v>
      </c>
      <c r="BG46" s="167">
        <f t="shared" si="41"/>
        <v>0</v>
      </c>
      <c r="BH46" s="167">
        <f t="shared" si="42"/>
        <v>0.16744006187161639</v>
      </c>
      <c r="BI46" s="167">
        <f t="shared" si="43"/>
        <v>0.31438515081206497</v>
      </c>
      <c r="BJ46" s="167">
        <f t="shared" si="44"/>
        <v>2.5135344160866203E-2</v>
      </c>
      <c r="BK46" s="167">
        <f t="shared" si="45"/>
        <v>6.9218870843000768E-2</v>
      </c>
      <c r="BL46" s="167">
        <f t="shared" si="46"/>
        <v>2.1655065738592421E-2</v>
      </c>
      <c r="BM46" s="167">
        <f t="shared" si="47"/>
        <v>9.2807424593967514E-3</v>
      </c>
    </row>
    <row r="47" spans="1:65" ht="13.5" customHeight="1" x14ac:dyDescent="0.2">
      <c r="A47" s="462">
        <f>VLOOKUP(B47,Sheet1!$AQ$4:$AR$25,2,FALSE)</f>
        <v>0</v>
      </c>
      <c r="B47" s="170" t="str">
        <f>Sheet1!$K$10</f>
        <v>Kent</v>
      </c>
      <c r="C47" s="9"/>
      <c r="D47" s="1520">
        <f t="shared" si="61"/>
        <v>8.5379861073128041</v>
      </c>
      <c r="E47" s="1521"/>
      <c r="F47" s="1520">
        <f t="shared" si="49"/>
        <v>18.082371602034677</v>
      </c>
      <c r="G47" s="1521"/>
      <c r="H47" s="1520">
        <f t="shared" si="50"/>
        <v>12.722200951703769</v>
      </c>
      <c r="I47" s="1521"/>
      <c r="J47" s="1520">
        <f t="shared" si="51"/>
        <v>1.9854509653776733</v>
      </c>
      <c r="K47" s="1521"/>
      <c r="L47" s="1520">
        <f t="shared" si="52"/>
        <v>12.476070666739595</v>
      </c>
      <c r="M47" s="1521"/>
      <c r="N47" s="1520">
        <f t="shared" si="53"/>
        <v>34.403544276103482</v>
      </c>
      <c r="O47" s="1521"/>
      <c r="P47" s="1520">
        <f t="shared" si="54"/>
        <v>4.8350927090740026</v>
      </c>
      <c r="Q47" s="1521"/>
      <c r="R47" s="1520">
        <f t="shared" si="55"/>
        <v>3.8177541978887493</v>
      </c>
      <c r="S47" s="1521"/>
      <c r="T47" s="1520">
        <f t="shared" si="56"/>
        <v>2.0510857080347864</v>
      </c>
      <c r="U47" s="1521"/>
      <c r="V47" s="1520">
        <f t="shared" si="57"/>
        <v>1.08844281573046</v>
      </c>
      <c r="W47" s="1522"/>
      <c r="X47" s="9"/>
      <c r="Y47" s="119"/>
      <c r="Z47" s="138"/>
      <c r="AA47" s="76"/>
      <c r="AB47" s="48" t="str">
        <f t="shared" si="36"/>
        <v>Southampton</v>
      </c>
      <c r="AC47" s="47">
        <v>15</v>
      </c>
      <c r="AD47" s="48" t="str">
        <f t="shared" si="19"/>
        <v>SouthamptonRate per 10,000</v>
      </c>
      <c r="AE47" s="49" t="b">
        <f t="shared" si="13"/>
        <v>0</v>
      </c>
      <c r="AF47" s="52">
        <f t="shared" ref="AF47:BA47" si="66">IF(ISERROR(AF23/$BB23*10000),NA(),AF23/$BB23*10000)</f>
        <v>111.22047244094489</v>
      </c>
      <c r="AG47" s="53" t="e">
        <f t="shared" si="66"/>
        <v>#N/A</v>
      </c>
      <c r="AH47" s="53" t="e">
        <f t="shared" si="66"/>
        <v>#N/A</v>
      </c>
      <c r="AI47" s="53" t="e">
        <f t="shared" si="66"/>
        <v>#N/A</v>
      </c>
      <c r="AJ47" s="53">
        <f t="shared" si="66"/>
        <v>362.59842519685037</v>
      </c>
      <c r="AK47" s="53">
        <f t="shared" si="66"/>
        <v>81.88976377952757</v>
      </c>
      <c r="AL47" s="53">
        <f t="shared" si="66"/>
        <v>282.87401574803152</v>
      </c>
      <c r="AM47" s="53" t="e">
        <f t="shared" si="66"/>
        <v>#N/A</v>
      </c>
      <c r="AN47" s="53" t="e">
        <f t="shared" si="66"/>
        <v>#N/A</v>
      </c>
      <c r="AO47" s="53" t="e">
        <f t="shared" si="66"/>
        <v>#N/A</v>
      </c>
      <c r="AP47" s="53" t="e">
        <f t="shared" si="66"/>
        <v>#N/A</v>
      </c>
      <c r="AQ47" s="53" t="e">
        <f t="shared" si="66"/>
        <v>#N/A</v>
      </c>
      <c r="AR47" s="53">
        <f t="shared" si="66"/>
        <v>28.543307086614174</v>
      </c>
      <c r="AS47" s="53">
        <f t="shared" si="66"/>
        <v>255.70866141732284</v>
      </c>
      <c r="AT47" s="53" t="e">
        <f t="shared" si="66"/>
        <v>#N/A</v>
      </c>
      <c r="AU47" s="53" t="e">
        <f t="shared" si="66"/>
        <v>#N/A</v>
      </c>
      <c r="AV47" s="53">
        <f t="shared" si="66"/>
        <v>760.236220472441</v>
      </c>
      <c r="AW47" s="53">
        <f t="shared" si="66"/>
        <v>66.929133858267718</v>
      </c>
      <c r="AX47" s="53">
        <f t="shared" si="66"/>
        <v>115.55118110236221</v>
      </c>
      <c r="AY47" s="53">
        <f t="shared" si="66"/>
        <v>27.952755905511811</v>
      </c>
      <c r="AZ47" s="54">
        <f t="shared" si="66"/>
        <v>0</v>
      </c>
      <c r="BA47" s="57">
        <f t="shared" si="66"/>
        <v>2093.5039370078739</v>
      </c>
      <c r="BC47" s="83" t="str">
        <f t="shared" si="21"/>
        <v>Southampton</v>
      </c>
      <c r="BD47" s="167">
        <f t="shared" si="38"/>
        <v>5.3126469205453691E-2</v>
      </c>
      <c r="BE47" s="167">
        <f t="shared" si="39"/>
        <v>0.21231781852374235</v>
      </c>
      <c r="BF47" s="167">
        <f t="shared" si="40"/>
        <v>0.13511988716502116</v>
      </c>
      <c r="BG47" s="167">
        <f t="shared" si="41"/>
        <v>1.3634226610249177E-2</v>
      </c>
      <c r="BH47" s="167">
        <f t="shared" si="42"/>
        <v>0.12214386459802538</v>
      </c>
      <c r="BI47" s="167">
        <f t="shared" si="43"/>
        <v>0.3631405735778091</v>
      </c>
      <c r="BJ47" s="167">
        <f t="shared" si="44"/>
        <v>3.1969910672308414E-2</v>
      </c>
      <c r="BK47" s="167">
        <f t="shared" si="45"/>
        <v>5.5195110484250118E-2</v>
      </c>
      <c r="BL47" s="167">
        <f t="shared" si="46"/>
        <v>1.3352139163140573E-2</v>
      </c>
      <c r="BM47" s="167">
        <f t="shared" si="47"/>
        <v>0</v>
      </c>
    </row>
    <row r="48" spans="1:65" ht="13.5" customHeight="1" x14ac:dyDescent="0.2">
      <c r="A48" s="462">
        <f>VLOOKUP(B48,Sheet1!$AQ$4:$AR$25,2,FALSE)</f>
        <v>0</v>
      </c>
      <c r="B48" s="170" t="str">
        <f>Sheet1!$K$11</f>
        <v>Medway</v>
      </c>
      <c r="C48" s="9"/>
      <c r="D48" s="1520">
        <f t="shared" si="61"/>
        <v>10.31055900621118</v>
      </c>
      <c r="E48" s="1521"/>
      <c r="F48" s="1520">
        <f t="shared" si="49"/>
        <v>21.639751552795033</v>
      </c>
      <c r="G48" s="1521"/>
      <c r="H48" s="1520">
        <f t="shared" si="50"/>
        <v>8.9192546583850945</v>
      </c>
      <c r="I48" s="1521"/>
      <c r="J48" s="1520">
        <f t="shared" si="51"/>
        <v>1.6645962732919253</v>
      </c>
      <c r="K48" s="1521"/>
      <c r="L48" s="1520">
        <f t="shared" si="52"/>
        <v>12.571428571428573</v>
      </c>
      <c r="M48" s="1521"/>
      <c r="N48" s="1520">
        <f t="shared" si="53"/>
        <v>33.316770186335404</v>
      </c>
      <c r="O48" s="1521"/>
      <c r="P48" s="1520">
        <f t="shared" si="54"/>
        <v>3.354037267080745</v>
      </c>
      <c r="Q48" s="1521"/>
      <c r="R48" s="1520">
        <f t="shared" si="55"/>
        <v>4.0496894409937889</v>
      </c>
      <c r="S48" s="1521"/>
      <c r="T48" s="1520">
        <f t="shared" si="56"/>
        <v>2.2111801242236022</v>
      </c>
      <c r="U48" s="1521"/>
      <c r="V48" s="1520">
        <f t="shared" si="57"/>
        <v>1.9627329192546585</v>
      </c>
      <c r="W48" s="1522"/>
      <c r="X48" s="9"/>
      <c r="Y48" s="119"/>
      <c r="Z48" s="138"/>
      <c r="AA48" s="76"/>
      <c r="AB48" s="48" t="str">
        <f t="shared" si="36"/>
        <v>Surrey</v>
      </c>
      <c r="AC48" s="47">
        <v>16</v>
      </c>
      <c r="AD48" s="48" t="str">
        <f t="shared" si="19"/>
        <v>SurreyRate per 10,000</v>
      </c>
      <c r="AE48" s="49" t="b">
        <f t="shared" si="13"/>
        <v>0</v>
      </c>
      <c r="AF48" s="52">
        <f t="shared" ref="AF48:BA48" si="67">IF(ISERROR(AF24/$BB24*10000),NA(),AF24/$BB24*10000)</f>
        <v>7.4074074074074074</v>
      </c>
      <c r="AG48" s="53" t="e">
        <f t="shared" si="67"/>
        <v>#N/A</v>
      </c>
      <c r="AH48" s="53" t="e">
        <f t="shared" si="67"/>
        <v>#N/A</v>
      </c>
      <c r="AI48" s="53" t="e">
        <f t="shared" si="67"/>
        <v>#N/A</v>
      </c>
      <c r="AJ48" s="53">
        <f t="shared" si="67"/>
        <v>8.3619702176403212</v>
      </c>
      <c r="AK48" s="53">
        <f t="shared" si="67"/>
        <v>3.9709812905689192</v>
      </c>
      <c r="AL48" s="53">
        <f t="shared" si="67"/>
        <v>5.72737686139748</v>
      </c>
      <c r="AM48" s="53" t="e">
        <f t="shared" si="67"/>
        <v>#N/A</v>
      </c>
      <c r="AN48" s="53" t="e">
        <f t="shared" si="67"/>
        <v>#N/A</v>
      </c>
      <c r="AO48" s="53" t="e">
        <f t="shared" si="67"/>
        <v>#N/A</v>
      </c>
      <c r="AP48" s="53" t="e">
        <f t="shared" si="67"/>
        <v>#N/A</v>
      </c>
      <c r="AQ48" s="53" t="e">
        <f t="shared" si="67"/>
        <v>#N/A</v>
      </c>
      <c r="AR48" s="53">
        <f t="shared" si="67"/>
        <v>1.2218403970981289</v>
      </c>
      <c r="AS48" s="53">
        <f t="shared" si="67"/>
        <v>11.45475372279496</v>
      </c>
      <c r="AT48" s="53" t="e">
        <f t="shared" si="67"/>
        <v>#N/A</v>
      </c>
      <c r="AU48" s="53" t="e">
        <f t="shared" si="67"/>
        <v>#N/A</v>
      </c>
      <c r="AV48" s="53">
        <f t="shared" si="67"/>
        <v>20.80946926307751</v>
      </c>
      <c r="AW48" s="53">
        <f t="shared" si="67"/>
        <v>1.794578083237877</v>
      </c>
      <c r="AX48" s="53">
        <f t="shared" si="67"/>
        <v>1.4509354715540284</v>
      </c>
      <c r="AY48" s="53">
        <f t="shared" si="67"/>
        <v>1.4127529591447119</v>
      </c>
      <c r="AZ48" s="54">
        <f t="shared" si="67"/>
        <v>0.76365024818633065</v>
      </c>
      <c r="BA48" s="57">
        <f t="shared" si="67"/>
        <v>64.375715922107673</v>
      </c>
      <c r="BC48" s="83" t="str">
        <f t="shared" si="21"/>
        <v>Surrey</v>
      </c>
      <c r="BD48" s="167">
        <f t="shared" si="38"/>
        <v>0.11506524317912219</v>
      </c>
      <c r="BE48" s="167">
        <f t="shared" si="39"/>
        <v>0.19157769869513641</v>
      </c>
      <c r="BF48" s="167">
        <f t="shared" si="40"/>
        <v>8.8967971530249115E-2</v>
      </c>
      <c r="BG48" s="167">
        <f t="shared" si="41"/>
        <v>1.8979833926453145E-2</v>
      </c>
      <c r="BH48" s="167">
        <f t="shared" si="42"/>
        <v>0.17793594306049823</v>
      </c>
      <c r="BI48" s="167">
        <f t="shared" si="43"/>
        <v>0.32325029655990511</v>
      </c>
      <c r="BJ48" s="167">
        <f t="shared" si="44"/>
        <v>2.7876631079478055E-2</v>
      </c>
      <c r="BK48" s="167">
        <f t="shared" si="45"/>
        <v>2.2538552787663108E-2</v>
      </c>
      <c r="BL48" s="167">
        <f t="shared" si="46"/>
        <v>2.1945432977461446E-2</v>
      </c>
      <c r="BM48" s="167">
        <f t="shared" si="47"/>
        <v>1.1862396204033215E-2</v>
      </c>
    </row>
    <row r="49" spans="1:65" ht="13.5" customHeight="1" x14ac:dyDescent="0.2">
      <c r="A49" s="462">
        <f>VLOOKUP(B49,Sheet1!$AQ$4:$AR$25,2,FALSE)</f>
        <v>0</v>
      </c>
      <c r="B49" s="170" t="str">
        <f>Sheet1!$K$12</f>
        <v>Milton Keynes</v>
      </c>
      <c r="C49" s="9"/>
      <c r="D49" s="1520">
        <f t="shared" si="61"/>
        <v>10.720956294359357</v>
      </c>
      <c r="E49" s="1521"/>
      <c r="F49" s="1520">
        <f t="shared" si="49"/>
        <v>21.180425849831902</v>
      </c>
      <c r="G49" s="1521"/>
      <c r="H49" s="1520">
        <f t="shared" si="50"/>
        <v>12.401942472917444</v>
      </c>
      <c r="I49" s="1521"/>
      <c r="J49" s="1520">
        <f t="shared" si="51"/>
        <v>1.6062756817332835</v>
      </c>
      <c r="K49" s="1521"/>
      <c r="L49" s="1520">
        <f t="shared" si="52"/>
        <v>15.61449383638401</v>
      </c>
      <c r="M49" s="1521"/>
      <c r="N49" s="1520">
        <f t="shared" si="53"/>
        <v>28.165857302951064</v>
      </c>
      <c r="O49" s="1521"/>
      <c r="P49" s="1520">
        <f t="shared" si="54"/>
        <v>3.9970115801270079</v>
      </c>
      <c r="Q49" s="1521"/>
      <c r="R49" s="1520">
        <f t="shared" si="55"/>
        <v>3.9596563317146058</v>
      </c>
      <c r="S49" s="1521"/>
      <c r="T49" s="1520">
        <f t="shared" si="56"/>
        <v>2.3533806499813221</v>
      </c>
      <c r="U49" s="1521"/>
      <c r="V49" s="1520">
        <f t="shared" si="57"/>
        <v>0</v>
      </c>
      <c r="W49" s="1522"/>
      <c r="X49" s="9"/>
      <c r="Y49" s="119"/>
      <c r="Z49" s="138"/>
      <c r="AA49" s="76"/>
      <c r="AB49" s="48" t="str">
        <f t="shared" si="36"/>
        <v>Swindon</v>
      </c>
      <c r="AC49" s="47">
        <v>17</v>
      </c>
      <c r="AD49" s="48" t="str">
        <f t="shared" si="19"/>
        <v>SwindonRate per 10,000</v>
      </c>
      <c r="AE49" s="49" t="b">
        <f t="shared" si="13"/>
        <v>0</v>
      </c>
      <c r="AF49" s="52">
        <f t="shared" ref="AF49:BA49" si="68">IF(ISERROR(AF25/$BB25*10000),NA(),AF25/$BB25*10000)</f>
        <v>163.34661354581672</v>
      </c>
      <c r="AG49" s="53" t="e">
        <f t="shared" si="68"/>
        <v>#N/A</v>
      </c>
      <c r="AH49" s="53" t="e">
        <f t="shared" si="68"/>
        <v>#N/A</v>
      </c>
      <c r="AI49" s="53" t="e">
        <f t="shared" si="68"/>
        <v>#N/A</v>
      </c>
      <c r="AJ49" s="53">
        <f t="shared" si="68"/>
        <v>407.56972111553785</v>
      </c>
      <c r="AK49" s="53">
        <f t="shared" si="68"/>
        <v>0</v>
      </c>
      <c r="AL49" s="53">
        <f t="shared" si="68"/>
        <v>226.89243027888446</v>
      </c>
      <c r="AM49" s="53" t="e">
        <f t="shared" si="68"/>
        <v>#N/A</v>
      </c>
      <c r="AN49" s="53" t="e">
        <f t="shared" si="68"/>
        <v>#N/A</v>
      </c>
      <c r="AO49" s="53" t="e">
        <f t="shared" si="68"/>
        <v>#N/A</v>
      </c>
      <c r="AP49" s="53" t="e">
        <f t="shared" si="68"/>
        <v>#N/A</v>
      </c>
      <c r="AQ49" s="53" t="e">
        <f t="shared" si="68"/>
        <v>#N/A</v>
      </c>
      <c r="AR49" s="53">
        <f t="shared" si="68"/>
        <v>28.486055776892428</v>
      </c>
      <c r="AS49" s="53">
        <f t="shared" si="68"/>
        <v>297.41035856573706</v>
      </c>
      <c r="AT49" s="53" t="e">
        <f t="shared" si="68"/>
        <v>#N/A</v>
      </c>
      <c r="AU49" s="53" t="e">
        <f t="shared" si="68"/>
        <v>#N/A</v>
      </c>
      <c r="AV49" s="53">
        <f t="shared" si="68"/>
        <v>509.16334661354585</v>
      </c>
      <c r="AW49" s="53">
        <f t="shared" si="68"/>
        <v>58.167330677290835</v>
      </c>
      <c r="AX49" s="53">
        <f t="shared" si="68"/>
        <v>121.31474103585657</v>
      </c>
      <c r="AY49" s="53">
        <f t="shared" si="68"/>
        <v>0</v>
      </c>
      <c r="AZ49" s="54">
        <f t="shared" si="68"/>
        <v>78.08764940239044</v>
      </c>
      <c r="BA49" s="57">
        <f t="shared" si="68"/>
        <v>1890.4382470119522</v>
      </c>
      <c r="BC49" s="83" t="str">
        <f t="shared" si="21"/>
        <v>Swindon</v>
      </c>
      <c r="BD49" s="167">
        <f t="shared" si="38"/>
        <v>8.6406743940990516E-2</v>
      </c>
      <c r="BE49" s="167">
        <f t="shared" si="39"/>
        <v>0.21559536354056902</v>
      </c>
      <c r="BF49" s="167">
        <f t="shared" si="40"/>
        <v>0.12002107481559536</v>
      </c>
      <c r="BG49" s="167">
        <f t="shared" si="41"/>
        <v>1.5068493150684932E-2</v>
      </c>
      <c r="BH49" s="167">
        <f t="shared" si="42"/>
        <v>0.15732349841938884</v>
      </c>
      <c r="BI49" s="167">
        <f t="shared" si="43"/>
        <v>0.26933614330874606</v>
      </c>
      <c r="BJ49" s="167">
        <f t="shared" si="44"/>
        <v>3.0769230769230771E-2</v>
      </c>
      <c r="BK49" s="167">
        <f t="shared" si="45"/>
        <v>6.417281348788198E-2</v>
      </c>
      <c r="BL49" s="167">
        <f t="shared" si="46"/>
        <v>0</v>
      </c>
      <c r="BM49" s="167">
        <f t="shared" si="47"/>
        <v>4.1306638566912537E-2</v>
      </c>
    </row>
    <row r="50" spans="1:65" ht="13.5" customHeight="1" x14ac:dyDescent="0.2">
      <c r="A50" s="462">
        <f>VLOOKUP(B50,Sheet1!$AQ$4:$AR$25,2,FALSE)</f>
        <v>0</v>
      </c>
      <c r="B50" s="170" t="str">
        <f>Sheet1!$K$13</f>
        <v>Oxfordshire</v>
      </c>
      <c r="C50" s="9"/>
      <c r="D50" s="1520">
        <f t="shared" si="61"/>
        <v>5.7825637999704966</v>
      </c>
      <c r="E50" s="1521"/>
      <c r="F50" s="1520">
        <f t="shared" si="49"/>
        <v>20.932290898362588</v>
      </c>
      <c r="G50" s="1521"/>
      <c r="H50" s="1520">
        <f t="shared" si="50"/>
        <v>9.1901460392388259</v>
      </c>
      <c r="I50" s="1521"/>
      <c r="J50" s="1520">
        <f t="shared" si="51"/>
        <v>0.78182622805723567</v>
      </c>
      <c r="K50" s="1521"/>
      <c r="L50" s="1520">
        <f t="shared" si="52"/>
        <v>4.882726065791414</v>
      </c>
      <c r="M50" s="1521"/>
      <c r="N50" s="1520">
        <f t="shared" si="53"/>
        <v>30.682991591680185</v>
      </c>
      <c r="O50" s="1521"/>
      <c r="P50" s="1520">
        <f t="shared" si="54"/>
        <v>1.0768549933618528</v>
      </c>
      <c r="Q50" s="1521"/>
      <c r="R50" s="1520">
        <f t="shared" si="55"/>
        <v>14.382652308600088</v>
      </c>
      <c r="S50" s="1521"/>
      <c r="T50" s="1520">
        <f t="shared" si="56"/>
        <v>1.0326006785661601</v>
      </c>
      <c r="U50" s="1521"/>
      <c r="V50" s="1520">
        <f t="shared" si="57"/>
        <v>11.255347396371146</v>
      </c>
      <c r="W50" s="1522"/>
      <c r="X50" s="9"/>
      <c r="Y50" s="119"/>
      <c r="Z50" s="138"/>
      <c r="AA50" s="76"/>
      <c r="AB50" s="48" t="str">
        <f t="shared" si="36"/>
        <v>Torbay</v>
      </c>
      <c r="AC50" s="47">
        <v>18</v>
      </c>
      <c r="AD50" s="48" t="str">
        <f t="shared" si="19"/>
        <v>TorbayRate per 10,000</v>
      </c>
      <c r="AE50" s="49" t="b">
        <f t="shared" si="13"/>
        <v>0</v>
      </c>
      <c r="AF50" s="52">
        <f t="shared" ref="AF50:BA50" si="69">IF(ISERROR(AF26/$BB26*10000),NA(),AF26/$BB26*10000)</f>
        <v>35.039370078740156</v>
      </c>
      <c r="AG50" s="53" t="e">
        <f t="shared" si="69"/>
        <v>#N/A</v>
      </c>
      <c r="AH50" s="53" t="e">
        <f t="shared" si="69"/>
        <v>#N/A</v>
      </c>
      <c r="AI50" s="53" t="e">
        <f t="shared" si="69"/>
        <v>#N/A</v>
      </c>
      <c r="AJ50" s="53">
        <f t="shared" si="69"/>
        <v>67.716535433070874</v>
      </c>
      <c r="AK50" s="53">
        <f t="shared" si="69"/>
        <v>4.7244094488188972</v>
      </c>
      <c r="AL50" s="53">
        <f t="shared" si="69"/>
        <v>51.181102362204726</v>
      </c>
      <c r="AM50" s="53" t="e">
        <f t="shared" si="69"/>
        <v>#N/A</v>
      </c>
      <c r="AN50" s="53" t="e">
        <f t="shared" si="69"/>
        <v>#N/A</v>
      </c>
      <c r="AO50" s="53" t="e">
        <f t="shared" si="69"/>
        <v>#N/A</v>
      </c>
      <c r="AP50" s="53" t="e">
        <f t="shared" si="69"/>
        <v>#N/A</v>
      </c>
      <c r="AQ50" s="53" t="e">
        <f t="shared" si="69"/>
        <v>#N/A</v>
      </c>
      <c r="AR50" s="53">
        <f t="shared" si="69"/>
        <v>3.9370078740157481</v>
      </c>
      <c r="AS50" s="53">
        <f t="shared" si="69"/>
        <v>30.314960629921263</v>
      </c>
      <c r="AT50" s="53" t="e">
        <f t="shared" si="69"/>
        <v>#N/A</v>
      </c>
      <c r="AU50" s="53" t="e">
        <f t="shared" si="69"/>
        <v>#N/A</v>
      </c>
      <c r="AV50" s="53">
        <f t="shared" si="69"/>
        <v>157.8740157480315</v>
      </c>
      <c r="AW50" s="53">
        <f t="shared" si="69"/>
        <v>10.629921259842519</v>
      </c>
      <c r="AX50" s="53">
        <f t="shared" si="69"/>
        <v>58.267716535433067</v>
      </c>
      <c r="AY50" s="53">
        <f t="shared" si="69"/>
        <v>7.4803149606299213</v>
      </c>
      <c r="AZ50" s="54">
        <f t="shared" si="69"/>
        <v>19.685039370078741</v>
      </c>
      <c r="BA50" s="57">
        <f t="shared" si="69"/>
        <v>446.85039370078744</v>
      </c>
      <c r="BC50" s="83" t="str">
        <f t="shared" si="21"/>
        <v>Torbay</v>
      </c>
      <c r="BD50" s="167">
        <f t="shared" si="38"/>
        <v>7.8414096916299553E-2</v>
      </c>
      <c r="BE50" s="167">
        <f t="shared" si="39"/>
        <v>0.16211453744493393</v>
      </c>
      <c r="BF50" s="167">
        <f t="shared" si="40"/>
        <v>0.11453744493392071</v>
      </c>
      <c r="BG50" s="167">
        <f t="shared" si="41"/>
        <v>8.8105726872246704E-3</v>
      </c>
      <c r="BH50" s="167">
        <f t="shared" si="42"/>
        <v>6.7841409691629953E-2</v>
      </c>
      <c r="BI50" s="167">
        <f t="shared" si="43"/>
        <v>0.35330396475770925</v>
      </c>
      <c r="BJ50" s="167">
        <f t="shared" si="44"/>
        <v>2.378854625550661E-2</v>
      </c>
      <c r="BK50" s="167">
        <f t="shared" si="45"/>
        <v>0.13039647577092511</v>
      </c>
      <c r="BL50" s="167">
        <f t="shared" si="46"/>
        <v>1.6740088105726872E-2</v>
      </c>
      <c r="BM50" s="167">
        <f t="shared" si="47"/>
        <v>4.405286343612335E-2</v>
      </c>
    </row>
    <row r="51" spans="1:65" ht="13.5" customHeight="1" x14ac:dyDescent="0.2">
      <c r="A51" s="462">
        <f>VLOOKUP(B51,Sheet1!$AQ$4:$AR$25,2,FALSE)</f>
        <v>0</v>
      </c>
      <c r="B51" s="170" t="str">
        <f>Sheet1!$K$14</f>
        <v>Portsmouth</v>
      </c>
      <c r="C51" s="9"/>
      <c r="D51" s="1520">
        <f t="shared" si="61"/>
        <v>7.7355836849507735</v>
      </c>
      <c r="E51" s="1521"/>
      <c r="F51" s="1520">
        <f t="shared" si="49"/>
        <v>19.901547116736989</v>
      </c>
      <c r="G51" s="1521"/>
      <c r="H51" s="1520">
        <f t="shared" si="50"/>
        <v>13.045007032348805</v>
      </c>
      <c r="I51" s="1521"/>
      <c r="J51" s="1520">
        <f t="shared" si="51"/>
        <v>3.79746835443038</v>
      </c>
      <c r="K51" s="1521"/>
      <c r="L51" s="1520">
        <f t="shared" si="52"/>
        <v>18.037974683544302</v>
      </c>
      <c r="M51" s="1521"/>
      <c r="N51" s="1520">
        <f t="shared" si="53"/>
        <v>24.613220815752463</v>
      </c>
      <c r="O51" s="1521"/>
      <c r="P51" s="1520">
        <f t="shared" si="54"/>
        <v>5.309423347398031</v>
      </c>
      <c r="Q51" s="1521"/>
      <c r="R51" s="1520">
        <f t="shared" si="55"/>
        <v>5.2390998593530238</v>
      </c>
      <c r="S51" s="1521"/>
      <c r="T51" s="1520">
        <f t="shared" si="56"/>
        <v>2.3206751054852321</v>
      </c>
      <c r="U51" s="1521"/>
      <c r="V51" s="1520">
        <f t="shared" si="57"/>
        <v>0</v>
      </c>
      <c r="W51" s="1522"/>
      <c r="X51" s="9"/>
      <c r="Y51" s="119"/>
      <c r="Z51" s="138"/>
      <c r="AA51" s="76"/>
      <c r="AB51" s="48" t="str">
        <f t="shared" si="36"/>
        <v>West Berkshire</v>
      </c>
      <c r="AC51" s="47">
        <v>19</v>
      </c>
      <c r="AD51" s="48" t="str">
        <f t="shared" si="19"/>
        <v>West BerkshireRate per 10,000</v>
      </c>
      <c r="AE51" s="49" t="b">
        <f t="shared" si="13"/>
        <v>0</v>
      </c>
      <c r="AF51" s="52">
        <f t="shared" ref="AF51:BA51" si="70">IF(ISERROR(AF27/$BB27*10000),NA(),AF27/$BB27*10000)</f>
        <v>39.887640449438202</v>
      </c>
      <c r="AG51" s="53" t="e">
        <f t="shared" si="70"/>
        <v>#N/A</v>
      </c>
      <c r="AH51" s="53" t="e">
        <f t="shared" si="70"/>
        <v>#N/A</v>
      </c>
      <c r="AI51" s="53" t="e">
        <f t="shared" si="70"/>
        <v>#N/A</v>
      </c>
      <c r="AJ51" s="53">
        <f t="shared" si="70"/>
        <v>93.82022471910112</v>
      </c>
      <c r="AK51" s="53">
        <f t="shared" si="70"/>
        <v>3.089887640449438</v>
      </c>
      <c r="AL51" s="53">
        <f t="shared" si="70"/>
        <v>71.067415730337075</v>
      </c>
      <c r="AM51" s="53" t="e">
        <f t="shared" si="70"/>
        <v>#N/A</v>
      </c>
      <c r="AN51" s="53" t="e">
        <f t="shared" si="70"/>
        <v>#N/A</v>
      </c>
      <c r="AO51" s="53" t="e">
        <f t="shared" si="70"/>
        <v>#N/A</v>
      </c>
      <c r="AP51" s="53" t="e">
        <f t="shared" si="70"/>
        <v>#N/A</v>
      </c>
      <c r="AQ51" s="53" t="e">
        <f t="shared" si="70"/>
        <v>#N/A</v>
      </c>
      <c r="AR51" s="53">
        <f t="shared" si="70"/>
        <v>2.5280898876404496</v>
      </c>
      <c r="AS51" s="53">
        <f t="shared" si="70"/>
        <v>42.415730337078649</v>
      </c>
      <c r="AT51" s="53" t="e">
        <f t="shared" si="70"/>
        <v>#N/A</v>
      </c>
      <c r="AU51" s="53" t="e">
        <f t="shared" si="70"/>
        <v>#N/A</v>
      </c>
      <c r="AV51" s="53">
        <f t="shared" si="70"/>
        <v>173.31460674157302</v>
      </c>
      <c r="AW51" s="53">
        <f t="shared" si="70"/>
        <v>11.51685393258427</v>
      </c>
      <c r="AX51" s="53">
        <f t="shared" si="70"/>
        <v>24.438202247191011</v>
      </c>
      <c r="AY51" s="53">
        <f t="shared" si="70"/>
        <v>7.8651685393258424</v>
      </c>
      <c r="AZ51" s="54">
        <f t="shared" si="70"/>
        <v>8.9887640449438209</v>
      </c>
      <c r="BA51" s="57">
        <f t="shared" si="70"/>
        <v>478.93258426966293</v>
      </c>
      <c r="BC51" s="83" t="str">
        <f t="shared" si="21"/>
        <v>West Berkshire</v>
      </c>
      <c r="BD51" s="167">
        <f t="shared" si="38"/>
        <v>8.3284457478005863E-2</v>
      </c>
      <c r="BE51" s="167">
        <f t="shared" si="39"/>
        <v>0.20234604105571846</v>
      </c>
      <c r="BF51" s="167">
        <f t="shared" si="40"/>
        <v>0.14838709677419354</v>
      </c>
      <c r="BG51" s="167">
        <f t="shared" si="41"/>
        <v>5.2785923753665689E-3</v>
      </c>
      <c r="BH51" s="167">
        <f t="shared" si="42"/>
        <v>8.8563049853372433E-2</v>
      </c>
      <c r="BI51" s="167">
        <f t="shared" si="43"/>
        <v>0.36187683284457478</v>
      </c>
      <c r="BJ51" s="167">
        <f t="shared" si="44"/>
        <v>2.404692082111437E-2</v>
      </c>
      <c r="BK51" s="167">
        <f t="shared" si="45"/>
        <v>5.1026392961876832E-2</v>
      </c>
      <c r="BL51" s="167">
        <f t="shared" si="46"/>
        <v>1.6422287390029325E-2</v>
      </c>
      <c r="BM51" s="167">
        <f t="shared" si="47"/>
        <v>1.8768328445747801E-2</v>
      </c>
    </row>
    <row r="52" spans="1:65" ht="13.5" customHeight="1" x14ac:dyDescent="0.2">
      <c r="A52" s="462">
        <f>VLOOKUP(B52,Sheet1!$AQ$4:$AR$25,2,FALSE)</f>
        <v>0</v>
      </c>
      <c r="B52" s="170" t="str">
        <f>Sheet1!$K$15</f>
        <v>Reading</v>
      </c>
      <c r="C52" s="9"/>
      <c r="D52" s="1520">
        <f t="shared" si="61"/>
        <v>6.425702811244979</v>
      </c>
      <c r="E52" s="1521"/>
      <c r="F52" s="1520">
        <f t="shared" si="49"/>
        <v>19.532676159182184</v>
      </c>
      <c r="G52" s="1521"/>
      <c r="H52" s="1520">
        <f t="shared" si="50"/>
        <v>14.494341000365097</v>
      </c>
      <c r="I52" s="1521"/>
      <c r="J52" s="1520">
        <f t="shared" si="51"/>
        <v>2.774735304855787</v>
      </c>
      <c r="K52" s="1521"/>
      <c r="L52" s="1520">
        <f t="shared" si="52"/>
        <v>9.0909090909090917</v>
      </c>
      <c r="M52" s="1521"/>
      <c r="N52" s="1520">
        <f t="shared" si="53"/>
        <v>38.773274917853229</v>
      </c>
      <c r="O52" s="1521"/>
      <c r="P52" s="1520">
        <f t="shared" si="54"/>
        <v>2.5921869295363273</v>
      </c>
      <c r="Q52" s="1521"/>
      <c r="R52" s="1520">
        <f t="shared" si="55"/>
        <v>5.0383351588170866</v>
      </c>
      <c r="S52" s="1521"/>
      <c r="T52" s="1520">
        <f t="shared" si="56"/>
        <v>1.2778386272362174</v>
      </c>
      <c r="U52" s="1521"/>
      <c r="V52" s="1520">
        <f t="shared" si="57"/>
        <v>0</v>
      </c>
      <c r="W52" s="1522"/>
      <c r="X52" s="9"/>
      <c r="Y52" s="119"/>
      <c r="Z52" s="138"/>
      <c r="AA52" s="76"/>
      <c r="AB52" s="48" t="str">
        <f t="shared" si="36"/>
        <v>West Sussex</v>
      </c>
      <c r="AC52" s="47">
        <v>20</v>
      </c>
      <c r="AD52" s="48" t="str">
        <f t="shared" si="19"/>
        <v>West SussexRate per 10,000</v>
      </c>
      <c r="AE52" s="49" t="b">
        <f t="shared" si="13"/>
        <v>0</v>
      </c>
      <c r="AF52" s="52">
        <f t="shared" ref="AF52:BA52" si="71">IF(ISERROR(AF28/$BB28*10000),NA(),AF28/$BB28*10000)</f>
        <v>28.448769318832284</v>
      </c>
      <c r="AG52" s="53" t="e">
        <f t="shared" si="71"/>
        <v>#N/A</v>
      </c>
      <c r="AH52" s="53" t="e">
        <f t="shared" si="71"/>
        <v>#N/A</v>
      </c>
      <c r="AI52" s="53" t="e">
        <f t="shared" si="71"/>
        <v>#N/A</v>
      </c>
      <c r="AJ52" s="53">
        <f t="shared" si="71"/>
        <v>30.165998855180309</v>
      </c>
      <c r="AK52" s="53">
        <f t="shared" si="71"/>
        <v>2.9192902117916431</v>
      </c>
      <c r="AL52" s="53">
        <f t="shared" si="71"/>
        <v>34.802518603319974</v>
      </c>
      <c r="AM52" s="53" t="e">
        <f t="shared" si="71"/>
        <v>#N/A</v>
      </c>
      <c r="AN52" s="53" t="e">
        <f t="shared" si="71"/>
        <v>#N/A</v>
      </c>
      <c r="AO52" s="53" t="e">
        <f t="shared" si="71"/>
        <v>#N/A</v>
      </c>
      <c r="AP52" s="53" t="e">
        <f t="shared" si="71"/>
        <v>#N/A</v>
      </c>
      <c r="AQ52" s="53" t="e">
        <f t="shared" si="71"/>
        <v>#N/A</v>
      </c>
      <c r="AR52" s="53">
        <f t="shared" si="71"/>
        <v>1.8317115054378936</v>
      </c>
      <c r="AS52" s="53">
        <f t="shared" si="71"/>
        <v>33.085289066971953</v>
      </c>
      <c r="AT52" s="53" t="e">
        <f t="shared" si="71"/>
        <v>#N/A</v>
      </c>
      <c r="AU52" s="53" t="e">
        <f t="shared" si="71"/>
        <v>#N/A</v>
      </c>
      <c r="AV52" s="53">
        <f t="shared" si="71"/>
        <v>57.698912421293642</v>
      </c>
      <c r="AW52" s="53">
        <f t="shared" si="71"/>
        <v>7.7847738981110481</v>
      </c>
      <c r="AX52" s="53">
        <f t="shared" si="71"/>
        <v>13.394390383514596</v>
      </c>
      <c r="AY52" s="53">
        <f t="shared" si="71"/>
        <v>8.7006296508299936</v>
      </c>
      <c r="AZ52" s="54">
        <f t="shared" si="71"/>
        <v>0.4006868918145392</v>
      </c>
      <c r="BA52" s="57">
        <f t="shared" si="71"/>
        <v>219.23297080709787</v>
      </c>
      <c r="BC52" s="83" t="str">
        <f t="shared" si="21"/>
        <v>West Sussex</v>
      </c>
      <c r="BD52" s="167">
        <f t="shared" si="38"/>
        <v>0.12976501305483029</v>
      </c>
      <c r="BE52" s="167">
        <f t="shared" si="39"/>
        <v>0.15091383812010445</v>
      </c>
      <c r="BF52" s="167">
        <f t="shared" si="40"/>
        <v>0.15874673629242819</v>
      </c>
      <c r="BG52" s="167">
        <f t="shared" si="41"/>
        <v>8.3550913838120102E-3</v>
      </c>
      <c r="BH52" s="167">
        <f t="shared" si="42"/>
        <v>0.15091383812010445</v>
      </c>
      <c r="BI52" s="167">
        <f t="shared" si="43"/>
        <v>0.26318537859007834</v>
      </c>
      <c r="BJ52" s="167">
        <f t="shared" si="44"/>
        <v>3.5509138381201046E-2</v>
      </c>
      <c r="BK52" s="167">
        <f t="shared" si="45"/>
        <v>6.1096605744125329E-2</v>
      </c>
      <c r="BL52" s="167">
        <f t="shared" si="46"/>
        <v>3.9686684073107048E-2</v>
      </c>
      <c r="BM52" s="167">
        <f t="shared" si="47"/>
        <v>1.8276762402088772E-3</v>
      </c>
    </row>
    <row r="53" spans="1:65" ht="13.5" customHeight="1" x14ac:dyDescent="0.2">
      <c r="A53" s="462">
        <f>VLOOKUP(B53,Sheet1!$AQ$4:$AR$25,2,FALSE)</f>
        <v>0</v>
      </c>
      <c r="B53" s="170" t="str">
        <f>Sheet1!$K$16</f>
        <v>Slough</v>
      </c>
      <c r="C53" s="9"/>
      <c r="D53" s="1520">
        <f t="shared" si="61"/>
        <v>6.9873417721518987</v>
      </c>
      <c r="E53" s="1521"/>
      <c r="F53" s="1520">
        <f t="shared" si="49"/>
        <v>23.240506329113924</v>
      </c>
      <c r="G53" s="1521"/>
      <c r="H53" s="1520">
        <f t="shared" si="50"/>
        <v>10.582278481012658</v>
      </c>
      <c r="I53" s="1521"/>
      <c r="J53" s="1520">
        <f t="shared" si="51"/>
        <v>0</v>
      </c>
      <c r="K53" s="1521"/>
      <c r="L53" s="1520">
        <f t="shared" si="52"/>
        <v>16.759493670886076</v>
      </c>
      <c r="M53" s="1521"/>
      <c r="N53" s="1520">
        <f t="shared" si="53"/>
        <v>31.594936708860761</v>
      </c>
      <c r="O53" s="1521"/>
      <c r="P53" s="1520">
        <f t="shared" si="54"/>
        <v>3.4936708860759493</v>
      </c>
      <c r="Q53" s="1521"/>
      <c r="R53" s="1520">
        <f t="shared" si="55"/>
        <v>6.2784810126582284</v>
      </c>
      <c r="S53" s="1521"/>
      <c r="T53" s="1520">
        <f t="shared" si="56"/>
        <v>1.0632911392405064</v>
      </c>
      <c r="U53" s="1521"/>
      <c r="V53" s="1520">
        <f t="shared" si="57"/>
        <v>0</v>
      </c>
      <c r="W53" s="1522"/>
      <c r="X53" s="9"/>
      <c r="Y53" s="119"/>
      <c r="Z53" s="138"/>
      <c r="AA53" s="76"/>
      <c r="AB53" s="48" t="str">
        <f t="shared" si="36"/>
        <v>Windsor &amp; Maidenhead</v>
      </c>
      <c r="AC53" s="47">
        <v>21</v>
      </c>
      <c r="AD53" s="48" t="str">
        <f t="shared" si="19"/>
        <v>Windsor &amp; MaidenheadRate per 10,000</v>
      </c>
      <c r="AE53" s="49" t="b">
        <f t="shared" si="13"/>
        <v>0</v>
      </c>
      <c r="AF53" s="52">
        <f t="shared" ref="AF53:BA53" si="72">IF(ISERROR(AF29/$BB29*10000),NA(),AF29/$BB29*10000)</f>
        <v>51.734104046242777</v>
      </c>
      <c r="AG53" s="53" t="e">
        <f t="shared" si="72"/>
        <v>#N/A</v>
      </c>
      <c r="AH53" s="53" t="e">
        <f t="shared" si="72"/>
        <v>#N/A</v>
      </c>
      <c r="AI53" s="53" t="e">
        <f t="shared" si="72"/>
        <v>#N/A</v>
      </c>
      <c r="AJ53" s="53">
        <f t="shared" si="72"/>
        <v>182.65895953757226</v>
      </c>
      <c r="AK53" s="53">
        <f t="shared" si="72"/>
        <v>6.0693641618497116</v>
      </c>
      <c r="AL53" s="53">
        <f t="shared" si="72"/>
        <v>119.65317919075143</v>
      </c>
      <c r="AM53" s="53" t="e">
        <f t="shared" si="72"/>
        <v>#N/A</v>
      </c>
      <c r="AN53" s="53" t="e">
        <f t="shared" si="72"/>
        <v>#N/A</v>
      </c>
      <c r="AO53" s="53" t="e">
        <f t="shared" si="72"/>
        <v>#N/A</v>
      </c>
      <c r="AP53" s="53" t="e">
        <f t="shared" si="72"/>
        <v>#N/A</v>
      </c>
      <c r="AQ53" s="53" t="e">
        <f t="shared" si="72"/>
        <v>#N/A</v>
      </c>
      <c r="AR53" s="53">
        <f t="shared" si="72"/>
        <v>10.982658959537574</v>
      </c>
      <c r="AS53" s="53">
        <f t="shared" si="72"/>
        <v>78.323699421965316</v>
      </c>
      <c r="AT53" s="53" t="e">
        <f t="shared" si="72"/>
        <v>#N/A</v>
      </c>
      <c r="AU53" s="53" t="e">
        <f t="shared" si="72"/>
        <v>#N/A</v>
      </c>
      <c r="AV53" s="53">
        <f t="shared" si="72"/>
        <v>350.8670520231214</v>
      </c>
      <c r="AW53" s="53">
        <f t="shared" si="72"/>
        <v>35.838150289017342</v>
      </c>
      <c r="AX53" s="53">
        <f t="shared" si="72"/>
        <v>22.543352601156069</v>
      </c>
      <c r="AY53" s="53">
        <f t="shared" si="72"/>
        <v>27.745664739884393</v>
      </c>
      <c r="AZ53" s="54">
        <f t="shared" si="72"/>
        <v>50.578034682080926</v>
      </c>
      <c r="BA53" s="57">
        <f t="shared" si="72"/>
        <v>936.99421965317913</v>
      </c>
      <c r="BC53" s="83" t="str">
        <f t="shared" si="21"/>
        <v>Windsor &amp; Maidenhead</v>
      </c>
      <c r="BD53" s="167">
        <f t="shared" si="38"/>
        <v>5.5212831585441088E-2</v>
      </c>
      <c r="BE53" s="167">
        <f t="shared" si="39"/>
        <v>0.20141887723627391</v>
      </c>
      <c r="BF53" s="167">
        <f t="shared" si="40"/>
        <v>0.12769895126465144</v>
      </c>
      <c r="BG53" s="167">
        <f t="shared" si="41"/>
        <v>1.1721159777914868E-2</v>
      </c>
      <c r="BH53" s="167">
        <f t="shared" si="42"/>
        <v>8.3590376310919187E-2</v>
      </c>
      <c r="BI53" s="167">
        <f t="shared" si="43"/>
        <v>0.37446020974706973</v>
      </c>
      <c r="BJ53" s="167">
        <f t="shared" si="44"/>
        <v>3.8247995064774831E-2</v>
      </c>
      <c r="BK53" s="167">
        <f t="shared" si="45"/>
        <v>2.4059222702035782E-2</v>
      </c>
      <c r="BL53" s="167">
        <f t="shared" si="46"/>
        <v>2.961135101789019E-2</v>
      </c>
      <c r="BM53" s="167">
        <f t="shared" si="47"/>
        <v>5.3979025293028997E-2</v>
      </c>
    </row>
    <row r="54" spans="1:65" ht="13.5" customHeight="1" x14ac:dyDescent="0.2">
      <c r="A54" s="462">
        <f>VLOOKUP(B54,Sheet1!$AQ$4:$AR$25,2,FALSE)</f>
        <v>0</v>
      </c>
      <c r="B54" s="170" t="str">
        <f>Sheet1!$K$17</f>
        <v>Somerset</v>
      </c>
      <c r="C54" s="9"/>
      <c r="D54" s="1520">
        <f t="shared" si="61"/>
        <v>3.5576179427687551</v>
      </c>
      <c r="E54" s="1521"/>
      <c r="F54" s="1520">
        <f t="shared" si="49"/>
        <v>21.69373549883991</v>
      </c>
      <c r="G54" s="1521"/>
      <c r="H54" s="1520">
        <f t="shared" si="50"/>
        <v>14.037122969837586</v>
      </c>
      <c r="I54" s="1521"/>
      <c r="J54" s="1520">
        <f t="shared" si="51"/>
        <v>0</v>
      </c>
      <c r="K54" s="1521"/>
      <c r="L54" s="1520">
        <f t="shared" si="52"/>
        <v>16.744006187161638</v>
      </c>
      <c r="M54" s="1521"/>
      <c r="N54" s="1520">
        <f t="shared" si="53"/>
        <v>31.438515081206496</v>
      </c>
      <c r="O54" s="1521"/>
      <c r="P54" s="1520">
        <f t="shared" si="54"/>
        <v>2.5135344160866202</v>
      </c>
      <c r="Q54" s="1521"/>
      <c r="R54" s="1520">
        <f t="shared" si="55"/>
        <v>6.921887084300077</v>
      </c>
      <c r="S54" s="1521"/>
      <c r="T54" s="1520">
        <f t="shared" si="56"/>
        <v>2.1655065738592421</v>
      </c>
      <c r="U54" s="1521"/>
      <c r="V54" s="1520">
        <f t="shared" si="57"/>
        <v>0.92807424593967514</v>
      </c>
      <c r="W54" s="1522"/>
      <c r="X54" s="15"/>
      <c r="Y54" s="119"/>
      <c r="Z54" s="138"/>
      <c r="AA54" s="76"/>
      <c r="AB54" s="48" t="str">
        <f t="shared" si="36"/>
        <v>Wokingham</v>
      </c>
      <c r="AC54" s="47">
        <v>22</v>
      </c>
      <c r="AD54" s="48" t="str">
        <f t="shared" si="19"/>
        <v>WokinghamRate per 10,000</v>
      </c>
      <c r="AE54" s="49" t="b">
        <f t="shared" si="13"/>
        <v>0</v>
      </c>
      <c r="AF54" s="52">
        <f t="shared" ref="AF54:BA54" si="73">IF(ISERROR(AF30/$BB30*10000),NA(),AF30/$BB30*10000)</f>
        <v>36.202531645569621</v>
      </c>
      <c r="AG54" s="53" t="e">
        <f t="shared" si="73"/>
        <v>#N/A</v>
      </c>
      <c r="AH54" s="53" t="e">
        <f t="shared" si="73"/>
        <v>#N/A</v>
      </c>
      <c r="AI54" s="53" t="e">
        <f t="shared" si="73"/>
        <v>#N/A</v>
      </c>
      <c r="AJ54" s="53">
        <f t="shared" si="73"/>
        <v>74.683544303797461</v>
      </c>
      <c r="AK54" s="53">
        <f t="shared" si="73"/>
        <v>0</v>
      </c>
      <c r="AL54" s="53">
        <f t="shared" si="73"/>
        <v>59.493670886075947</v>
      </c>
      <c r="AM54" s="53" t="e">
        <f t="shared" si="73"/>
        <v>#N/A</v>
      </c>
      <c r="AN54" s="53" t="e">
        <f t="shared" si="73"/>
        <v>#N/A</v>
      </c>
      <c r="AO54" s="53" t="e">
        <f t="shared" si="73"/>
        <v>#N/A</v>
      </c>
      <c r="AP54" s="53" t="e">
        <f t="shared" si="73"/>
        <v>#N/A</v>
      </c>
      <c r="AQ54" s="53" t="e">
        <f t="shared" si="73"/>
        <v>#N/A</v>
      </c>
      <c r="AR54" s="53">
        <f t="shared" si="73"/>
        <v>0</v>
      </c>
      <c r="AS54" s="53">
        <f t="shared" si="73"/>
        <v>67.341772151898738</v>
      </c>
      <c r="AT54" s="53" t="e">
        <f t="shared" si="73"/>
        <v>#N/A</v>
      </c>
      <c r="AU54" s="53" t="e">
        <f t="shared" si="73"/>
        <v>#N/A</v>
      </c>
      <c r="AV54" s="53">
        <f t="shared" si="73"/>
        <v>130.12658227848101</v>
      </c>
      <c r="AW54" s="53">
        <f t="shared" si="73"/>
        <v>7.3417721518987342</v>
      </c>
      <c r="AX54" s="53">
        <f t="shared" si="73"/>
        <v>41.265822784810126</v>
      </c>
      <c r="AY54" s="53">
        <f t="shared" si="73"/>
        <v>19.746835443037973</v>
      </c>
      <c r="AZ54" s="54">
        <f t="shared" si="73"/>
        <v>8.6075949367088604</v>
      </c>
      <c r="BA54" s="57">
        <f t="shared" si="73"/>
        <v>444.81012658227849</v>
      </c>
      <c r="BC54" s="83" t="str">
        <f t="shared" si="21"/>
        <v>Wokingham</v>
      </c>
      <c r="BD54" s="167">
        <f t="shared" si="38"/>
        <v>8.138873079112123E-2</v>
      </c>
      <c r="BE54" s="167">
        <f t="shared" si="39"/>
        <v>0.16789982925441094</v>
      </c>
      <c r="BF54" s="167">
        <f t="shared" si="40"/>
        <v>0.13375071143995446</v>
      </c>
      <c r="BG54" s="167">
        <f t="shared" si="41"/>
        <v>0</v>
      </c>
      <c r="BH54" s="167">
        <f t="shared" si="42"/>
        <v>0.15139442231075698</v>
      </c>
      <c r="BI54" s="167">
        <f t="shared" si="43"/>
        <v>0.292544109277177</v>
      </c>
      <c r="BJ54" s="167">
        <f t="shared" si="44"/>
        <v>1.6505406943653957E-2</v>
      </c>
      <c r="BK54" s="167">
        <f t="shared" si="45"/>
        <v>9.2771770062606715E-2</v>
      </c>
      <c r="BL54" s="167">
        <f t="shared" si="46"/>
        <v>4.4393853158793399E-2</v>
      </c>
      <c r="BM54" s="167">
        <f t="shared" si="47"/>
        <v>1.9351166761525328E-2</v>
      </c>
    </row>
    <row r="55" spans="1:65" ht="13.5" customHeight="1" x14ac:dyDescent="0.2">
      <c r="A55" s="462">
        <f>VLOOKUP(B55,Sheet1!$AQ$4:$AR$25,2,FALSE)</f>
        <v>0</v>
      </c>
      <c r="B55" s="170" t="str">
        <f>Sheet1!$K$18</f>
        <v>Southampton</v>
      </c>
      <c r="C55" s="9"/>
      <c r="D55" s="1520">
        <f t="shared" si="61"/>
        <v>5.3126469205453688</v>
      </c>
      <c r="E55" s="1521"/>
      <c r="F55" s="1520">
        <f t="shared" si="49"/>
        <v>21.231781852374237</v>
      </c>
      <c r="G55" s="1521"/>
      <c r="H55" s="1520">
        <f t="shared" si="50"/>
        <v>13.511988716502115</v>
      </c>
      <c r="I55" s="1521"/>
      <c r="J55" s="1520">
        <f t="shared" si="51"/>
        <v>1.3634226610249176</v>
      </c>
      <c r="K55" s="1521"/>
      <c r="L55" s="1520">
        <f t="shared" si="52"/>
        <v>12.214386459802538</v>
      </c>
      <c r="M55" s="1521"/>
      <c r="N55" s="1520">
        <f t="shared" si="53"/>
        <v>36.314057357780911</v>
      </c>
      <c r="O55" s="1521"/>
      <c r="P55" s="1520">
        <f t="shared" si="54"/>
        <v>3.1969910672308415</v>
      </c>
      <c r="Q55" s="1521"/>
      <c r="R55" s="1520">
        <f t="shared" si="55"/>
        <v>5.5195110484250121</v>
      </c>
      <c r="S55" s="1521"/>
      <c r="T55" s="1520">
        <f t="shared" si="56"/>
        <v>1.3352139163140573</v>
      </c>
      <c r="U55" s="1521"/>
      <c r="V55" s="1520">
        <f t="shared" si="57"/>
        <v>0</v>
      </c>
      <c r="W55" s="1522"/>
      <c r="X55" s="15"/>
      <c r="Y55" s="119"/>
      <c r="Z55" s="138"/>
      <c r="AA55" s="76"/>
      <c r="AB55" s="48" t="str">
        <f t="shared" si="36"/>
        <v>South East</v>
      </c>
      <c r="AC55" s="47">
        <v>23</v>
      </c>
      <c r="AD55" s="48" t="str">
        <f t="shared" si="19"/>
        <v>South EastRate per 10,000</v>
      </c>
      <c r="AE55" s="49" t="b">
        <f t="shared" si="13"/>
        <v>0</v>
      </c>
      <c r="AF55" s="52">
        <f t="shared" ref="AF55:BA55" si="74">IF(ISERROR(AF31/$BB31*10000),NA(),AF31/$BB31*10000)</f>
        <v>42.605363984674334</v>
      </c>
      <c r="AG55" s="53">
        <f t="shared" si="74"/>
        <v>0</v>
      </c>
      <c r="AH55" s="53">
        <f t="shared" si="74"/>
        <v>0</v>
      </c>
      <c r="AI55" s="53">
        <f t="shared" si="74"/>
        <v>0</v>
      </c>
      <c r="AJ55" s="53">
        <f t="shared" si="74"/>
        <v>100.72030651340997</v>
      </c>
      <c r="AK55" s="53">
        <f t="shared" si="74"/>
        <v>6.048531289910601</v>
      </c>
      <c r="AL55" s="53">
        <f t="shared" si="74"/>
        <v>67.606641123882497</v>
      </c>
      <c r="AM55" s="53">
        <f t="shared" si="74"/>
        <v>0</v>
      </c>
      <c r="AN55" s="53">
        <f t="shared" si="74"/>
        <v>0</v>
      </c>
      <c r="AO55" s="53">
        <f t="shared" si="74"/>
        <v>0</v>
      </c>
      <c r="AP55" s="53">
        <f t="shared" si="74"/>
        <v>0</v>
      </c>
      <c r="AQ55" s="53">
        <f t="shared" si="74"/>
        <v>0</v>
      </c>
      <c r="AR55" s="53">
        <f t="shared" si="74"/>
        <v>6.1353767560664112</v>
      </c>
      <c r="AS55" s="53">
        <f t="shared" si="74"/>
        <v>59.969348659003835</v>
      </c>
      <c r="AT55" s="53">
        <f t="shared" si="74"/>
        <v>0</v>
      </c>
      <c r="AU55" s="53">
        <f t="shared" si="74"/>
        <v>0</v>
      </c>
      <c r="AV55" s="53">
        <f t="shared" si="74"/>
        <v>157.38441890166027</v>
      </c>
      <c r="AW55" s="53">
        <f t="shared" si="74"/>
        <v>17.639846743295017</v>
      </c>
      <c r="AX55" s="53">
        <f t="shared" si="74"/>
        <v>30.666666666666668</v>
      </c>
      <c r="AY55" s="53">
        <f t="shared" si="74"/>
        <v>10.850574712643677</v>
      </c>
      <c r="AZ55" s="54">
        <f t="shared" si="74"/>
        <v>12.091954022988507</v>
      </c>
      <c r="BA55" s="57">
        <f t="shared" si="74"/>
        <v>511.7190293742018</v>
      </c>
      <c r="BC55" s="83" t="str">
        <f t="shared" si="21"/>
        <v>South East</v>
      </c>
      <c r="BD55" s="167">
        <f t="shared" si="38"/>
        <v>8.3259291796863297E-2</v>
      </c>
      <c r="BE55" s="167">
        <f t="shared" si="39"/>
        <v>0.20864738591779891</v>
      </c>
      <c r="BF55" s="167">
        <f t="shared" si="40"/>
        <v>0.13211672273857181</v>
      </c>
      <c r="BG55" s="167">
        <f t="shared" si="41"/>
        <v>1.1989737343888827E-2</v>
      </c>
      <c r="BH55" s="167">
        <f t="shared" si="42"/>
        <v>0.11719194561191586</v>
      </c>
      <c r="BI55" s="167">
        <f t="shared" si="43"/>
        <v>0.30756022322275356</v>
      </c>
      <c r="BJ55" s="167">
        <f t="shared" si="44"/>
        <v>3.4471742754744482E-2</v>
      </c>
      <c r="BK55" s="167">
        <f t="shared" si="45"/>
        <v>5.9928720462418511E-2</v>
      </c>
      <c r="BL55" s="167">
        <f t="shared" si="46"/>
        <v>2.1204164961215546E-2</v>
      </c>
      <c r="BM55" s="167">
        <f t="shared" si="47"/>
        <v>2.3630065189829189E-2</v>
      </c>
    </row>
    <row r="56" spans="1:65" ht="13.5" customHeight="1" x14ac:dyDescent="0.2">
      <c r="A56" s="462">
        <f>VLOOKUP(B56,Sheet1!$AQ$4:$AR$25,2,FALSE)</f>
        <v>0</v>
      </c>
      <c r="B56" s="170" t="str">
        <f>Sheet1!$K$19</f>
        <v>Surrey</v>
      </c>
      <c r="C56" s="9"/>
      <c r="D56" s="1520">
        <f t="shared" si="61"/>
        <v>11.506524317912218</v>
      </c>
      <c r="E56" s="1521"/>
      <c r="F56" s="1520">
        <f t="shared" si="49"/>
        <v>19.157769869513643</v>
      </c>
      <c r="G56" s="1521"/>
      <c r="H56" s="1520">
        <f t="shared" si="50"/>
        <v>8.8967971530249113</v>
      </c>
      <c r="I56" s="1521"/>
      <c r="J56" s="1520">
        <f t="shared" si="51"/>
        <v>1.8979833926453145</v>
      </c>
      <c r="K56" s="1521"/>
      <c r="L56" s="1520">
        <f t="shared" si="52"/>
        <v>17.793594306049823</v>
      </c>
      <c r="M56" s="1521"/>
      <c r="N56" s="1520">
        <f t="shared" si="53"/>
        <v>32.325029655990512</v>
      </c>
      <c r="O56" s="1521"/>
      <c r="P56" s="1520">
        <f t="shared" si="54"/>
        <v>2.7876631079478056</v>
      </c>
      <c r="Q56" s="1521"/>
      <c r="R56" s="1520">
        <f t="shared" si="55"/>
        <v>2.2538552787663106</v>
      </c>
      <c r="S56" s="1521"/>
      <c r="T56" s="1520">
        <f t="shared" si="56"/>
        <v>2.1945432977461445</v>
      </c>
      <c r="U56" s="1521"/>
      <c r="V56" s="1520">
        <f t="shared" si="57"/>
        <v>1.1862396204033214</v>
      </c>
      <c r="W56" s="1522"/>
      <c r="X56" s="15"/>
      <c r="Y56" s="119"/>
      <c r="Z56" s="138"/>
      <c r="AA56" s="76"/>
      <c r="AB56" s="48" t="str">
        <f t="shared" si="36"/>
        <v>England</v>
      </c>
      <c r="AC56" s="47">
        <v>24</v>
      </c>
      <c r="AD56" s="48" t="str">
        <f t="shared" ref="AD56" si="75">CONCATENATE(AB56,$AB$6)</f>
        <v>EnglandRate per 10,000</v>
      </c>
      <c r="AE56" s="49" t="b">
        <f t="shared" ref="AE56" si="76">IF(AB56=$AA$6,1)</f>
        <v>0</v>
      </c>
      <c r="AF56" s="52">
        <f t="shared" ref="AF56:BA56" si="77">IF(ISERROR(AF32/$BB32*10000),NA(),AF32/$BB32*10000)</f>
        <v>43.456075485587135</v>
      </c>
      <c r="AG56" s="53" t="e">
        <f t="shared" si="77"/>
        <v>#N/A</v>
      </c>
      <c r="AH56" s="53" t="e">
        <f t="shared" si="77"/>
        <v>#N/A</v>
      </c>
      <c r="AI56" s="53" t="e">
        <f t="shared" si="77"/>
        <v>#N/A</v>
      </c>
      <c r="AJ56" s="53">
        <f t="shared" si="77"/>
        <v>98.029210513107927</v>
      </c>
      <c r="AK56" s="53">
        <f t="shared" si="77"/>
        <v>13.032640155254045</v>
      </c>
      <c r="AL56" s="53">
        <f t="shared" si="77"/>
        <v>79.525872885751085</v>
      </c>
      <c r="AM56" s="53" t="e">
        <f t="shared" si="77"/>
        <v>#N/A</v>
      </c>
      <c r="AN56" s="53" t="e">
        <f t="shared" si="77"/>
        <v>#N/A</v>
      </c>
      <c r="AO56" s="53" t="e">
        <f t="shared" si="77"/>
        <v>#N/A</v>
      </c>
      <c r="AP56" s="53" t="e">
        <f t="shared" si="77"/>
        <v>#N/A</v>
      </c>
      <c r="AQ56" s="53" t="e">
        <f t="shared" si="77"/>
        <v>#N/A</v>
      </c>
      <c r="AR56" s="53">
        <f t="shared" si="77"/>
        <v>7.1436936409415628</v>
      </c>
      <c r="AS56" s="53">
        <f t="shared" si="77"/>
        <v>72.616398708446965</v>
      </c>
      <c r="AT56" s="53" t="e">
        <f t="shared" si="77"/>
        <v>#N/A</v>
      </c>
      <c r="AU56" s="53" t="e">
        <f t="shared" si="77"/>
        <v>#N/A</v>
      </c>
      <c r="AV56" s="53">
        <f t="shared" si="77"/>
        <v>158.85935121208573</v>
      </c>
      <c r="AW56" s="53">
        <f t="shared" si="77"/>
        <v>19.891924447493015</v>
      </c>
      <c r="AX56" s="53">
        <f t="shared" si="77"/>
        <v>29.929901460525656</v>
      </c>
      <c r="AY56" s="53">
        <f t="shared" si="77"/>
        <v>13.032640155254045</v>
      </c>
      <c r="AZ56" s="54">
        <f t="shared" si="77"/>
        <v>8.9756244458200189</v>
      </c>
      <c r="BA56" s="57">
        <f t="shared" si="77"/>
        <v>544.49333311026726</v>
      </c>
      <c r="BC56" s="83" t="str">
        <f t="shared" si="21"/>
        <v>England</v>
      </c>
      <c r="BD56" s="167">
        <f t="shared" si="38"/>
        <v>7.9810114914275185E-2</v>
      </c>
      <c r="BE56" s="167">
        <f t="shared" si="39"/>
        <v>0.20397283844404843</v>
      </c>
      <c r="BF56" s="167">
        <f t="shared" si="40"/>
        <v>0.14605481472377557</v>
      </c>
      <c r="BG56" s="167">
        <f t="shared" si="41"/>
        <v>1.3119891845388067E-2</v>
      </c>
      <c r="BH56" s="167">
        <f t="shared" si="42"/>
        <v>0.13336508326676089</v>
      </c>
      <c r="BI56" s="167">
        <f t="shared" si="43"/>
        <v>0.29175628341424448</v>
      </c>
      <c r="BJ56" s="167">
        <f t="shared" si="44"/>
        <v>3.6532907269710563E-2</v>
      </c>
      <c r="BK56" s="167">
        <f t="shared" si="45"/>
        <v>5.4968352485712531E-2</v>
      </c>
      <c r="BL56" s="167">
        <f t="shared" si="46"/>
        <v>2.3935353038775885E-2</v>
      </c>
      <c r="BM56" s="167">
        <f t="shared" si="47"/>
        <v>1.6484360597308425E-2</v>
      </c>
    </row>
    <row r="57" spans="1:65" s="83" customFormat="1" ht="13.5" customHeight="1" x14ac:dyDescent="0.2">
      <c r="A57" s="462">
        <f>VLOOKUP(B57,Sheet1!$AQ$4:$AR$25,2,FALSE)</f>
        <v>0</v>
      </c>
      <c r="B57" s="170" t="str">
        <f>Sheet1!$K$20</f>
        <v>Swindon</v>
      </c>
      <c r="C57" s="9"/>
      <c r="D57" s="1520">
        <f t="shared" si="61"/>
        <v>8.6406743940990509</v>
      </c>
      <c r="E57" s="1521"/>
      <c r="F57" s="1520">
        <f t="shared" si="49"/>
        <v>21.559536354056902</v>
      </c>
      <c r="G57" s="1521"/>
      <c r="H57" s="1520">
        <f t="shared" si="50"/>
        <v>12.002107481559536</v>
      </c>
      <c r="I57" s="1521"/>
      <c r="J57" s="1520">
        <f t="shared" si="51"/>
        <v>1.5068493150684932</v>
      </c>
      <c r="K57" s="1521"/>
      <c r="L57" s="1520">
        <f t="shared" si="52"/>
        <v>15.732349841938884</v>
      </c>
      <c r="M57" s="1521"/>
      <c r="N57" s="1520">
        <f t="shared" si="53"/>
        <v>26.933614330874605</v>
      </c>
      <c r="O57" s="1521"/>
      <c r="P57" s="1520">
        <f t="shared" si="54"/>
        <v>3.0769230769230771</v>
      </c>
      <c r="Q57" s="1521"/>
      <c r="R57" s="1520">
        <f t="shared" si="55"/>
        <v>6.4172813487881983</v>
      </c>
      <c r="S57" s="1521"/>
      <c r="T57" s="1520">
        <f t="shared" si="56"/>
        <v>0</v>
      </c>
      <c r="U57" s="1521"/>
      <c r="V57" s="1520">
        <f t="shared" si="57"/>
        <v>4.1306638566912541</v>
      </c>
      <c r="W57" s="1522"/>
      <c r="X57" s="15"/>
      <c r="Y57" s="119"/>
      <c r="Z57" s="138"/>
      <c r="AB57" s="48" t="str">
        <f t="shared" ref="AB57:AB64" si="78">B9</f>
        <v>Bracknell Forest</v>
      </c>
      <c r="AC57" s="47">
        <v>1</v>
      </c>
      <c r="AD57" s="48" t="str">
        <f>CONCATENATE(AB57,$AB$7)</f>
        <v>Bracknell ForestProportion (%)</v>
      </c>
      <c r="AE57" s="49" t="b">
        <f t="shared" si="13"/>
        <v>0</v>
      </c>
      <c r="AF57" s="52">
        <f t="shared" ref="AF57:BA57" si="79">IF(ISERROR(AF9/$BA9*100),NA(),AF9/$BA9*100)</f>
        <v>9.7153185720741089</v>
      </c>
      <c r="AG57" s="53" t="e">
        <f t="shared" si="79"/>
        <v>#N/A</v>
      </c>
      <c r="AH57" s="53" t="e">
        <f t="shared" si="79"/>
        <v>#N/A</v>
      </c>
      <c r="AI57" s="53" t="e">
        <f t="shared" si="79"/>
        <v>#N/A</v>
      </c>
      <c r="AJ57" s="53">
        <f t="shared" si="79"/>
        <v>26.751016719385451</v>
      </c>
      <c r="AK57" s="53">
        <f t="shared" si="79"/>
        <v>0</v>
      </c>
      <c r="AL57" s="53">
        <f t="shared" si="79"/>
        <v>11.477632173520108</v>
      </c>
      <c r="AM57" s="53" t="e">
        <f t="shared" si="79"/>
        <v>#N/A</v>
      </c>
      <c r="AN57" s="53" t="e">
        <f t="shared" si="79"/>
        <v>#N/A</v>
      </c>
      <c r="AO57" s="53" t="e">
        <f t="shared" si="79"/>
        <v>#N/A</v>
      </c>
      <c r="AP57" s="53" t="e">
        <f t="shared" si="79"/>
        <v>#N/A</v>
      </c>
      <c r="AQ57" s="53" t="e">
        <f t="shared" si="79"/>
        <v>#N/A</v>
      </c>
      <c r="AR57" s="53">
        <f t="shared" si="79"/>
        <v>1.3556258472661544</v>
      </c>
      <c r="AS57" s="53">
        <f t="shared" si="79"/>
        <v>21.057388160867603</v>
      </c>
      <c r="AT57" s="53" t="e">
        <f t="shared" si="79"/>
        <v>#N/A</v>
      </c>
      <c r="AU57" s="53" t="e">
        <f t="shared" si="79"/>
        <v>#N/A</v>
      </c>
      <c r="AV57" s="53">
        <f t="shared" si="79"/>
        <v>20.018075011296883</v>
      </c>
      <c r="AW57" s="53">
        <f t="shared" si="79"/>
        <v>2.3949389968368728</v>
      </c>
      <c r="AX57" s="53">
        <f t="shared" si="79"/>
        <v>4.2928151830094894</v>
      </c>
      <c r="AY57" s="53">
        <f t="shared" si="79"/>
        <v>2.937189335743335</v>
      </c>
      <c r="AZ57" s="54">
        <f t="shared" si="79"/>
        <v>0</v>
      </c>
      <c r="BA57" s="57">
        <f t="shared" si="79"/>
        <v>100</v>
      </c>
      <c r="BB57" s="76"/>
      <c r="BC57" s="76"/>
      <c r="BD57" s="629"/>
      <c r="BE57" s="629"/>
      <c r="BF57" s="629"/>
      <c r="BG57" s="629"/>
      <c r="BH57" s="629"/>
      <c r="BI57" s="629"/>
      <c r="BJ57" s="629"/>
      <c r="BK57" s="629"/>
      <c r="BL57" s="629"/>
      <c r="BM57" s="629"/>
    </row>
    <row r="58" spans="1:65" s="83" customFormat="1" ht="13.5" customHeight="1" x14ac:dyDescent="0.2">
      <c r="A58" s="462">
        <f>VLOOKUP(B58,Sheet1!$AQ$4:$AR$25,2,FALSE)</f>
        <v>0</v>
      </c>
      <c r="B58" s="170" t="str">
        <f>Sheet1!$K$21</f>
        <v>Torbay</v>
      </c>
      <c r="C58" s="9"/>
      <c r="D58" s="1520">
        <f t="shared" si="61"/>
        <v>7.8414096916299556</v>
      </c>
      <c r="E58" s="1521"/>
      <c r="F58" s="1520">
        <f t="shared" si="49"/>
        <v>16.21145374449339</v>
      </c>
      <c r="G58" s="1521"/>
      <c r="H58" s="1520">
        <f t="shared" si="50"/>
        <v>11.453744493392071</v>
      </c>
      <c r="I58" s="1521"/>
      <c r="J58" s="1520">
        <f t="shared" si="51"/>
        <v>0.88105726872246704</v>
      </c>
      <c r="K58" s="1521"/>
      <c r="L58" s="1520">
        <f t="shared" si="52"/>
        <v>6.784140969162995</v>
      </c>
      <c r="M58" s="1521"/>
      <c r="N58" s="1520">
        <f t="shared" si="53"/>
        <v>35.330396475770925</v>
      </c>
      <c r="O58" s="1521"/>
      <c r="P58" s="1520">
        <f t="shared" si="54"/>
        <v>2.3788546255506611</v>
      </c>
      <c r="Q58" s="1521"/>
      <c r="R58" s="1520">
        <f t="shared" si="55"/>
        <v>13.039647577092511</v>
      </c>
      <c r="S58" s="1521"/>
      <c r="T58" s="1520">
        <f t="shared" si="56"/>
        <v>1.6740088105726871</v>
      </c>
      <c r="U58" s="1521"/>
      <c r="V58" s="1520">
        <f t="shared" si="57"/>
        <v>4.4052863436123353</v>
      </c>
      <c r="W58" s="1522"/>
      <c r="X58" s="15"/>
      <c r="Y58" s="119"/>
      <c r="Z58" s="138"/>
      <c r="AB58" s="48" t="str">
        <f t="shared" si="78"/>
        <v>Brighton &amp; Hove</v>
      </c>
      <c r="AC58" s="47">
        <v>2</v>
      </c>
      <c r="AD58" s="48" t="str">
        <f t="shared" ref="AD58:AD79" si="80">CONCATENATE(AB58,$AB$7)</f>
        <v>Brighton &amp; HoveProportion (%)</v>
      </c>
      <c r="AE58" s="49" t="b">
        <f t="shared" si="13"/>
        <v>0</v>
      </c>
      <c r="AF58" s="52">
        <f t="shared" ref="AF58:BA58" si="81">IF(ISERROR(AF10/$BA10*100),NA(),AF10/$BA10*100)</f>
        <v>3.2417412781722756</v>
      </c>
      <c r="AG58" s="53" t="e">
        <f t="shared" si="81"/>
        <v>#N/A</v>
      </c>
      <c r="AH58" s="53" t="e">
        <f t="shared" si="81"/>
        <v>#N/A</v>
      </c>
      <c r="AI58" s="53" t="e">
        <f t="shared" si="81"/>
        <v>#N/A</v>
      </c>
      <c r="AJ58" s="53">
        <f t="shared" si="81"/>
        <v>15.683853041062058</v>
      </c>
      <c r="AK58" s="53">
        <f t="shared" si="81"/>
        <v>3.1182463723371412</v>
      </c>
      <c r="AL58" s="53">
        <f t="shared" si="81"/>
        <v>9.4164865699289901</v>
      </c>
      <c r="AM58" s="53" t="e">
        <f t="shared" si="81"/>
        <v>#N/A</v>
      </c>
      <c r="AN58" s="53" t="e">
        <f t="shared" si="81"/>
        <v>#N/A</v>
      </c>
      <c r="AO58" s="53" t="e">
        <f t="shared" si="81"/>
        <v>#N/A</v>
      </c>
      <c r="AP58" s="53" t="e">
        <f t="shared" si="81"/>
        <v>#N/A</v>
      </c>
      <c r="AQ58" s="53" t="e">
        <f t="shared" si="81"/>
        <v>#N/A</v>
      </c>
      <c r="AR58" s="53">
        <f t="shared" si="81"/>
        <v>1.2658227848101267</v>
      </c>
      <c r="AS58" s="53">
        <f t="shared" si="81"/>
        <v>12.936091386230316</v>
      </c>
      <c r="AT58" s="53" t="e">
        <f t="shared" si="81"/>
        <v>#N/A</v>
      </c>
      <c r="AU58" s="53" t="e">
        <f t="shared" si="81"/>
        <v>#N/A</v>
      </c>
      <c r="AV58" s="53">
        <f t="shared" si="81"/>
        <v>24.081506637851188</v>
      </c>
      <c r="AW58" s="53">
        <f t="shared" si="81"/>
        <v>2.4698981167026859</v>
      </c>
      <c r="AX58" s="53">
        <f t="shared" si="81"/>
        <v>4.8163013275702378</v>
      </c>
      <c r="AY58" s="53">
        <f t="shared" si="81"/>
        <v>1.3584439641864774</v>
      </c>
      <c r="AZ58" s="54">
        <f t="shared" si="81"/>
        <v>21.611608521148504</v>
      </c>
      <c r="BA58" s="57">
        <f t="shared" si="81"/>
        <v>100</v>
      </c>
      <c r="BD58" s="629"/>
      <c r="BE58" s="629"/>
      <c r="BF58" s="629"/>
      <c r="BG58" s="629"/>
      <c r="BH58" s="629"/>
      <c r="BI58" s="629"/>
      <c r="BJ58" s="629"/>
      <c r="BK58" s="629"/>
      <c r="BL58" s="629"/>
      <c r="BM58" s="629"/>
    </row>
    <row r="59" spans="1:65" s="83" customFormat="1" ht="13.5" customHeight="1" x14ac:dyDescent="0.2">
      <c r="A59" s="462">
        <f>VLOOKUP(B59,Sheet1!$AQ$4:$AR$25,2,FALSE)</f>
        <v>0</v>
      </c>
      <c r="B59" s="170" t="str">
        <f>Sheet1!$K$22</f>
        <v>West Berkshire</v>
      </c>
      <c r="C59" s="9"/>
      <c r="D59" s="1520">
        <f t="shared" si="61"/>
        <v>8.3284457478005862</v>
      </c>
      <c r="E59" s="1521"/>
      <c r="F59" s="1520">
        <f t="shared" si="49"/>
        <v>20.234604105571847</v>
      </c>
      <c r="G59" s="1521"/>
      <c r="H59" s="1520">
        <f t="shared" si="50"/>
        <v>14.838709677419354</v>
      </c>
      <c r="I59" s="1521"/>
      <c r="J59" s="1520">
        <f t="shared" si="51"/>
        <v>0.52785923753665687</v>
      </c>
      <c r="K59" s="1521"/>
      <c r="L59" s="1520">
        <f t="shared" si="52"/>
        <v>8.8563049853372426</v>
      </c>
      <c r="M59" s="1521"/>
      <c r="N59" s="1520">
        <f t="shared" si="53"/>
        <v>36.187683284457478</v>
      </c>
      <c r="O59" s="1521"/>
      <c r="P59" s="1520">
        <f t="shared" si="54"/>
        <v>2.404692082111437</v>
      </c>
      <c r="Q59" s="1521"/>
      <c r="R59" s="1520">
        <f t="shared" si="55"/>
        <v>5.1026392961876832</v>
      </c>
      <c r="S59" s="1521"/>
      <c r="T59" s="1520">
        <f t="shared" si="56"/>
        <v>1.6422287390029326</v>
      </c>
      <c r="U59" s="1521"/>
      <c r="V59" s="1520">
        <f t="shared" si="57"/>
        <v>1.8768328445747802</v>
      </c>
      <c r="W59" s="1522"/>
      <c r="X59" s="15"/>
      <c r="Y59" s="119"/>
      <c r="Z59" s="138"/>
      <c r="AB59" s="48" t="str">
        <f t="shared" si="78"/>
        <v>Buckinghamshire</v>
      </c>
      <c r="AC59" s="47">
        <v>3</v>
      </c>
      <c r="AD59" s="48" t="str">
        <f t="shared" si="80"/>
        <v>BuckinghamshireProportion (%)</v>
      </c>
      <c r="AE59" s="49" t="b">
        <f t="shared" si="13"/>
        <v>0</v>
      </c>
      <c r="AF59" s="52">
        <f t="shared" ref="AF59:BA59" si="82">IF(ISERROR(AF11/$BA11*100),NA(),AF11/$BA11*100)</f>
        <v>7.4738219895287967</v>
      </c>
      <c r="AG59" s="53" t="e">
        <f t="shared" si="82"/>
        <v>#N/A</v>
      </c>
      <c r="AH59" s="53" t="e">
        <f t="shared" si="82"/>
        <v>#N/A</v>
      </c>
      <c r="AI59" s="53" t="e">
        <f t="shared" si="82"/>
        <v>#N/A</v>
      </c>
      <c r="AJ59" s="53">
        <f t="shared" si="82"/>
        <v>20.117801047120416</v>
      </c>
      <c r="AK59" s="53">
        <f t="shared" si="82"/>
        <v>0.24869109947643978</v>
      </c>
      <c r="AL59" s="53">
        <f t="shared" si="82"/>
        <v>15.471204188481675</v>
      </c>
      <c r="AM59" s="53" t="e">
        <f t="shared" si="82"/>
        <v>#N/A</v>
      </c>
      <c r="AN59" s="53" t="e">
        <f t="shared" si="82"/>
        <v>#N/A</v>
      </c>
      <c r="AO59" s="53" t="e">
        <f t="shared" si="82"/>
        <v>#N/A</v>
      </c>
      <c r="AP59" s="53" t="e">
        <f t="shared" si="82"/>
        <v>#N/A</v>
      </c>
      <c r="AQ59" s="53" t="e">
        <f t="shared" si="82"/>
        <v>#N/A</v>
      </c>
      <c r="AR59" s="53">
        <f t="shared" si="82"/>
        <v>0.86387434554973819</v>
      </c>
      <c r="AS59" s="53">
        <f t="shared" si="82"/>
        <v>10.026178010471204</v>
      </c>
      <c r="AT59" s="53" t="e">
        <f t="shared" si="82"/>
        <v>#N/A</v>
      </c>
      <c r="AU59" s="53" t="e">
        <f t="shared" si="82"/>
        <v>#N/A</v>
      </c>
      <c r="AV59" s="53">
        <f t="shared" si="82"/>
        <v>35.497382198952884</v>
      </c>
      <c r="AW59" s="53">
        <f t="shared" si="82"/>
        <v>3.1937172774869111</v>
      </c>
      <c r="AX59" s="53">
        <f t="shared" si="82"/>
        <v>4.5157068062827221</v>
      </c>
      <c r="AY59" s="53">
        <f t="shared" si="82"/>
        <v>2.4345549738219896</v>
      </c>
      <c r="AZ59" s="54">
        <f t="shared" si="82"/>
        <v>0.15706806282722513</v>
      </c>
      <c r="BA59" s="57">
        <f t="shared" si="82"/>
        <v>100</v>
      </c>
      <c r="BD59" s="629"/>
      <c r="BE59" s="629"/>
      <c r="BF59" s="629"/>
      <c r="BG59" s="629"/>
      <c r="BH59" s="629"/>
      <c r="BI59" s="629"/>
      <c r="BJ59" s="629"/>
      <c r="BK59" s="629"/>
      <c r="BL59" s="629"/>
      <c r="BM59" s="629"/>
    </row>
    <row r="60" spans="1:65" s="83" customFormat="1" ht="13.5" customHeight="1" x14ac:dyDescent="0.2">
      <c r="A60" s="462">
        <f>VLOOKUP(B60,Sheet1!$AQ$4:$AR$25,2,FALSE)</f>
        <v>0</v>
      </c>
      <c r="B60" s="170" t="str">
        <f>Sheet1!$K$23</f>
        <v>West Sussex</v>
      </c>
      <c r="C60" s="9"/>
      <c r="D60" s="1520">
        <f t="shared" si="61"/>
        <v>12.97650130548303</v>
      </c>
      <c r="E60" s="1521"/>
      <c r="F60" s="1520">
        <f t="shared" si="49"/>
        <v>15.091383812010443</v>
      </c>
      <c r="G60" s="1521"/>
      <c r="H60" s="1520">
        <f t="shared" si="50"/>
        <v>15.874673629242819</v>
      </c>
      <c r="I60" s="1521"/>
      <c r="J60" s="1520">
        <f t="shared" si="51"/>
        <v>0.835509138381201</v>
      </c>
      <c r="K60" s="1521"/>
      <c r="L60" s="1520">
        <f t="shared" si="52"/>
        <v>15.091383812010445</v>
      </c>
      <c r="M60" s="1521"/>
      <c r="N60" s="1520">
        <f t="shared" si="53"/>
        <v>26.318537859007833</v>
      </c>
      <c r="O60" s="1521"/>
      <c r="P60" s="1520">
        <f t="shared" si="54"/>
        <v>3.5509138381201044</v>
      </c>
      <c r="Q60" s="1521"/>
      <c r="R60" s="1520">
        <f t="shared" si="55"/>
        <v>6.1096605744125325</v>
      </c>
      <c r="S60" s="1521"/>
      <c r="T60" s="1520">
        <f t="shared" si="56"/>
        <v>3.9686684073107048</v>
      </c>
      <c r="U60" s="1521"/>
      <c r="V60" s="1520">
        <f t="shared" si="57"/>
        <v>0.18276762402088773</v>
      </c>
      <c r="W60" s="1522"/>
      <c r="X60" s="15"/>
      <c r="Y60" s="119"/>
      <c r="Z60" s="138"/>
      <c r="AB60" s="48" t="str">
        <f t="shared" si="78"/>
        <v>East Sussex</v>
      </c>
      <c r="AC60" s="47">
        <v>4</v>
      </c>
      <c r="AD60" s="48" t="str">
        <f t="shared" si="80"/>
        <v>East SussexProportion (%)</v>
      </c>
      <c r="AE60" s="49" t="b">
        <f t="shared" si="13"/>
        <v>0</v>
      </c>
      <c r="AF60" s="52">
        <f t="shared" ref="AF60:BA60" si="83">IF(ISERROR(AF12/$BA12*100),NA(),AF12/$BA12*100)</f>
        <v>10.614136732329085</v>
      </c>
      <c r="AG60" s="53" t="e">
        <f t="shared" si="83"/>
        <v>#N/A</v>
      </c>
      <c r="AH60" s="53" t="e">
        <f t="shared" si="83"/>
        <v>#N/A</v>
      </c>
      <c r="AI60" s="53" t="e">
        <f t="shared" si="83"/>
        <v>#N/A</v>
      </c>
      <c r="AJ60" s="53">
        <f t="shared" si="83"/>
        <v>15.504055619930476</v>
      </c>
      <c r="AK60" s="53">
        <f t="shared" si="83"/>
        <v>4.3800695249130941</v>
      </c>
      <c r="AL60" s="53">
        <f t="shared" si="83"/>
        <v>9.4553881807647748</v>
      </c>
      <c r="AM60" s="53" t="e">
        <f t="shared" si="83"/>
        <v>#N/A</v>
      </c>
      <c r="AN60" s="53" t="e">
        <f t="shared" si="83"/>
        <v>#N/A</v>
      </c>
      <c r="AO60" s="53" t="e">
        <f t="shared" si="83"/>
        <v>#N/A</v>
      </c>
      <c r="AP60" s="53" t="e">
        <f t="shared" si="83"/>
        <v>#N/A</v>
      </c>
      <c r="AQ60" s="53" t="e">
        <f t="shared" si="83"/>
        <v>#N/A</v>
      </c>
      <c r="AR60" s="53">
        <f t="shared" si="83"/>
        <v>2.271147161066049</v>
      </c>
      <c r="AS60" s="53">
        <f t="shared" si="83"/>
        <v>16.361529548088065</v>
      </c>
      <c r="AT60" s="53" t="e">
        <f t="shared" si="83"/>
        <v>#N/A</v>
      </c>
      <c r="AU60" s="53" t="e">
        <f t="shared" si="83"/>
        <v>#N/A</v>
      </c>
      <c r="AV60" s="53">
        <f t="shared" si="83"/>
        <v>26.60486674391657</v>
      </c>
      <c r="AW60" s="53">
        <f t="shared" si="83"/>
        <v>5.0289687137891077</v>
      </c>
      <c r="AX60" s="53">
        <f t="shared" si="83"/>
        <v>7.3696407879490149</v>
      </c>
      <c r="AY60" s="53">
        <f t="shared" si="83"/>
        <v>1.9003476245654694</v>
      </c>
      <c r="AZ60" s="54">
        <f t="shared" si="83"/>
        <v>0.50984936268829661</v>
      </c>
      <c r="BA60" s="57">
        <f t="shared" si="83"/>
        <v>100</v>
      </c>
      <c r="BD60" s="629"/>
      <c r="BE60" s="629"/>
      <c r="BF60" s="629"/>
      <c r="BG60" s="629"/>
      <c r="BH60" s="629"/>
      <c r="BI60" s="629"/>
      <c r="BJ60" s="629"/>
      <c r="BK60" s="629"/>
      <c r="BL60" s="629"/>
      <c r="BM60" s="629"/>
    </row>
    <row r="61" spans="1:65" s="83" customFormat="1" ht="13.5" customHeight="1" x14ac:dyDescent="0.2">
      <c r="A61" s="462">
        <f>VLOOKUP(B61,Sheet1!$AQ$4:$AR$25,2,FALSE)</f>
        <v>0</v>
      </c>
      <c r="B61" s="170" t="str">
        <f>Sheet1!$K$24</f>
        <v>Windsor &amp; Maidenhead</v>
      </c>
      <c r="C61" s="9"/>
      <c r="D61" s="1520">
        <f t="shared" si="61"/>
        <v>5.5212831585441089</v>
      </c>
      <c r="E61" s="1521"/>
      <c r="F61" s="1520">
        <f t="shared" si="49"/>
        <v>20.141887723627391</v>
      </c>
      <c r="G61" s="1521"/>
      <c r="H61" s="1520">
        <f t="shared" si="50"/>
        <v>12.769895126465144</v>
      </c>
      <c r="I61" s="1521"/>
      <c r="J61" s="1520">
        <f t="shared" si="51"/>
        <v>1.1721159777914869</v>
      </c>
      <c r="K61" s="1521"/>
      <c r="L61" s="1520">
        <f t="shared" si="52"/>
        <v>8.359037631091919</v>
      </c>
      <c r="M61" s="1521"/>
      <c r="N61" s="1520">
        <f t="shared" si="53"/>
        <v>37.446020974706975</v>
      </c>
      <c r="O61" s="1521"/>
      <c r="P61" s="1520">
        <f t="shared" si="54"/>
        <v>3.8247995064774831</v>
      </c>
      <c r="Q61" s="1521"/>
      <c r="R61" s="1520">
        <f t="shared" si="55"/>
        <v>2.4059222702035781</v>
      </c>
      <c r="S61" s="1521"/>
      <c r="T61" s="1520">
        <f t="shared" si="56"/>
        <v>2.9611351017890191</v>
      </c>
      <c r="U61" s="1521"/>
      <c r="V61" s="1520">
        <f t="shared" si="57"/>
        <v>5.3979025293028995</v>
      </c>
      <c r="W61" s="1522"/>
      <c r="X61" s="15"/>
      <c r="Y61" s="119"/>
      <c r="Z61" s="138"/>
      <c r="AB61" s="48" t="str">
        <f t="shared" si="78"/>
        <v>Hampshire</v>
      </c>
      <c r="AC61" s="47">
        <v>5</v>
      </c>
      <c r="AD61" s="48" t="str">
        <f t="shared" si="80"/>
        <v>HampshireProportion (%)</v>
      </c>
      <c r="AE61" s="49" t="b">
        <f t="shared" si="13"/>
        <v>0</v>
      </c>
      <c r="AF61" s="52">
        <f t="shared" ref="AF61:BA61" si="84">IF(ISERROR(AF13/$BA13*100),NA(),AF13/$BA13*100)</f>
        <v>10.461606015697898</v>
      </c>
      <c r="AG61" s="53" t="e">
        <f t="shared" si="84"/>
        <v>#N/A</v>
      </c>
      <c r="AH61" s="53" t="e">
        <f t="shared" si="84"/>
        <v>#N/A</v>
      </c>
      <c r="AI61" s="53" t="e">
        <f t="shared" si="84"/>
        <v>#N/A</v>
      </c>
      <c r="AJ61" s="53">
        <f t="shared" si="84"/>
        <v>24.320764037543224</v>
      </c>
      <c r="AK61" s="53">
        <f t="shared" si="84"/>
        <v>0</v>
      </c>
      <c r="AL61" s="53">
        <f t="shared" si="84"/>
        <v>16.812119216202863</v>
      </c>
      <c r="AM61" s="53" t="e">
        <f t="shared" si="84"/>
        <v>#N/A</v>
      </c>
      <c r="AN61" s="53" t="e">
        <f t="shared" si="84"/>
        <v>#N/A</v>
      </c>
      <c r="AO61" s="53" t="e">
        <f t="shared" si="84"/>
        <v>#N/A</v>
      </c>
      <c r="AP61" s="53" t="e">
        <f t="shared" si="84"/>
        <v>#N/A</v>
      </c>
      <c r="AQ61" s="53" t="e">
        <f t="shared" si="84"/>
        <v>#N/A</v>
      </c>
      <c r="AR61" s="53">
        <f t="shared" si="84"/>
        <v>0</v>
      </c>
      <c r="AS61" s="53">
        <f t="shared" si="84"/>
        <v>9.1168560294198375</v>
      </c>
      <c r="AT61" s="53" t="e">
        <f t="shared" si="84"/>
        <v>#N/A</v>
      </c>
      <c r="AU61" s="53" t="e">
        <f t="shared" si="84"/>
        <v>#N/A</v>
      </c>
      <c r="AV61" s="53">
        <f t="shared" si="84"/>
        <v>25.023327295680332</v>
      </c>
      <c r="AW61" s="53">
        <f t="shared" si="84"/>
        <v>3.2548438443383279</v>
      </c>
      <c r="AX61" s="53">
        <f t="shared" si="84"/>
        <v>6.8499917668368191</v>
      </c>
      <c r="AY61" s="53">
        <f t="shared" si="84"/>
        <v>2.7169438498271035</v>
      </c>
      <c r="AZ61" s="54">
        <f t="shared" si="84"/>
        <v>1.4435479444535926</v>
      </c>
      <c r="BA61" s="57">
        <f t="shared" si="84"/>
        <v>100</v>
      </c>
    </row>
    <row r="62" spans="1:65" s="83" customFormat="1" ht="13.5" customHeight="1" x14ac:dyDescent="0.2">
      <c r="A62" s="702">
        <f>VLOOKUP(B62,Sheet1!$AQ$4:$AR$25,2,FALSE)</f>
        <v>0</v>
      </c>
      <c r="B62" s="170" t="str">
        <f>Sheet1!$K$25</f>
        <v>Wokingham</v>
      </c>
      <c r="C62" s="9"/>
      <c r="D62" s="1520">
        <f t="shared" si="61"/>
        <v>8.1388730791121233</v>
      </c>
      <c r="E62" s="1521"/>
      <c r="F62" s="1520">
        <f t="shared" si="49"/>
        <v>16.789982925441095</v>
      </c>
      <c r="G62" s="1521"/>
      <c r="H62" s="1520">
        <f t="shared" si="50"/>
        <v>13.375071143995445</v>
      </c>
      <c r="I62" s="1521"/>
      <c r="J62" s="1520">
        <f t="shared" si="51"/>
        <v>0</v>
      </c>
      <c r="K62" s="1521"/>
      <c r="L62" s="1520">
        <f t="shared" si="52"/>
        <v>15.139442231075698</v>
      </c>
      <c r="M62" s="1521"/>
      <c r="N62" s="1520">
        <f t="shared" si="53"/>
        <v>29.2544109277177</v>
      </c>
      <c r="O62" s="1521"/>
      <c r="P62" s="1520">
        <f t="shared" si="54"/>
        <v>1.6505406943653957</v>
      </c>
      <c r="Q62" s="1521"/>
      <c r="R62" s="1520">
        <f t="shared" si="55"/>
        <v>9.277177006260672</v>
      </c>
      <c r="S62" s="1521"/>
      <c r="T62" s="1520">
        <f t="shared" si="56"/>
        <v>4.4393853158793402</v>
      </c>
      <c r="U62" s="1521"/>
      <c r="V62" s="1520">
        <f t="shared" si="57"/>
        <v>1.9351166761525329</v>
      </c>
      <c r="W62" s="1522"/>
      <c r="X62" s="15"/>
      <c r="Y62" s="119"/>
      <c r="Z62" s="138"/>
      <c r="AB62" s="48" t="str">
        <f t="shared" si="78"/>
        <v>Isle of Wight</v>
      </c>
      <c r="AC62" s="47">
        <v>6</v>
      </c>
      <c r="AD62" s="48" t="str">
        <f t="shared" si="80"/>
        <v>Isle of WightProportion (%)</v>
      </c>
      <c r="AE62" s="49" t="b">
        <f t="shared" si="13"/>
        <v>0</v>
      </c>
      <c r="AF62" s="52">
        <f t="shared" ref="AF62:BA62" si="85">IF(ISERROR(AF14/$BA14*100),NA(),AF14/$BA14*100)</f>
        <v>7.438715131022823</v>
      </c>
      <c r="AG62" s="53" t="e">
        <f t="shared" si="85"/>
        <v>#N/A</v>
      </c>
      <c r="AH62" s="53" t="e">
        <f t="shared" si="85"/>
        <v>#N/A</v>
      </c>
      <c r="AI62" s="53" t="e">
        <f t="shared" si="85"/>
        <v>#N/A</v>
      </c>
      <c r="AJ62" s="53">
        <f t="shared" si="85"/>
        <v>28.698224852071007</v>
      </c>
      <c r="AK62" s="53">
        <f t="shared" si="85"/>
        <v>0</v>
      </c>
      <c r="AL62" s="53">
        <f t="shared" si="85"/>
        <v>13.017751479289942</v>
      </c>
      <c r="AM62" s="53" t="e">
        <f t="shared" si="85"/>
        <v>#N/A</v>
      </c>
      <c r="AN62" s="53" t="e">
        <f t="shared" si="85"/>
        <v>#N/A</v>
      </c>
      <c r="AO62" s="53" t="e">
        <f t="shared" si="85"/>
        <v>#N/A</v>
      </c>
      <c r="AP62" s="53" t="e">
        <f t="shared" si="85"/>
        <v>#N/A</v>
      </c>
      <c r="AQ62" s="53" t="e">
        <f t="shared" si="85"/>
        <v>#N/A</v>
      </c>
      <c r="AR62" s="53">
        <f t="shared" si="85"/>
        <v>0</v>
      </c>
      <c r="AS62" s="53">
        <f t="shared" si="85"/>
        <v>9.5942519019442098</v>
      </c>
      <c r="AT62" s="53" t="e">
        <f t="shared" si="85"/>
        <v>#N/A</v>
      </c>
      <c r="AU62" s="53" t="e">
        <f t="shared" si="85"/>
        <v>#N/A</v>
      </c>
      <c r="AV62" s="53">
        <f t="shared" si="85"/>
        <v>23.45731191885038</v>
      </c>
      <c r="AW62" s="53">
        <f t="shared" si="85"/>
        <v>2.4936601859678782</v>
      </c>
      <c r="AX62" s="53">
        <f t="shared" si="85"/>
        <v>12.721893491124261</v>
      </c>
      <c r="AY62" s="53">
        <f t="shared" si="85"/>
        <v>0</v>
      </c>
      <c r="AZ62" s="54">
        <f t="shared" si="85"/>
        <v>2.5781910397295009</v>
      </c>
      <c r="BA62" s="57">
        <f t="shared" si="85"/>
        <v>100</v>
      </c>
    </row>
    <row r="63" spans="1:65" s="83" customFormat="1" ht="13.5" customHeight="1" x14ac:dyDescent="0.2">
      <c r="A63" s="710"/>
      <c r="B63" s="170" t="str">
        <f>Sheet1!$K$26</f>
        <v>South East</v>
      </c>
      <c r="C63" s="9"/>
      <c r="D63" s="1520">
        <f>SUM(D31:G31)</f>
        <v>8.3259291796863302</v>
      </c>
      <c r="E63" s="1521"/>
      <c r="F63" s="1520">
        <f t="shared" si="49"/>
        <v>20.864738591779894</v>
      </c>
      <c r="G63" s="1521"/>
      <c r="H63" s="1520">
        <f t="shared" si="50"/>
        <v>13.211672273857181</v>
      </c>
      <c r="I63" s="1521"/>
      <c r="J63" s="1520">
        <f t="shared" si="51"/>
        <v>1.1989737343888827</v>
      </c>
      <c r="K63" s="1521"/>
      <c r="L63" s="1520">
        <f t="shared" si="52"/>
        <v>11.719194561191586</v>
      </c>
      <c r="M63" s="1521"/>
      <c r="N63" s="1520">
        <f t="shared" si="53"/>
        <v>30.756022322275356</v>
      </c>
      <c r="O63" s="1521"/>
      <c r="P63" s="1520">
        <f t="shared" si="54"/>
        <v>3.4471742754744481</v>
      </c>
      <c r="Q63" s="1521"/>
      <c r="R63" s="1520">
        <f t="shared" si="55"/>
        <v>5.9928720462418514</v>
      </c>
      <c r="S63" s="1521"/>
      <c r="T63" s="1520">
        <f t="shared" si="56"/>
        <v>2.1204164961215546</v>
      </c>
      <c r="U63" s="1521"/>
      <c r="V63" s="1520">
        <f t="shared" si="57"/>
        <v>2.3630065189829188</v>
      </c>
      <c r="W63" s="1522"/>
      <c r="X63" s="62"/>
      <c r="Y63" s="235"/>
      <c r="Z63" s="138"/>
      <c r="AB63" s="48" t="str">
        <f t="shared" si="78"/>
        <v>Kent</v>
      </c>
      <c r="AC63" s="47">
        <v>7</v>
      </c>
      <c r="AD63" s="48" t="str">
        <f t="shared" si="80"/>
        <v>KentProportion (%)</v>
      </c>
      <c r="AE63" s="49" t="b">
        <f t="shared" si="13"/>
        <v>0</v>
      </c>
      <c r="AF63" s="52">
        <f t="shared" ref="AF63:BA63" si="86">IF(ISERROR(AF15/$BA15*100),NA(),AF15/$BA15*100)</f>
        <v>8.5379861073128041</v>
      </c>
      <c r="AG63" s="53" t="e">
        <f t="shared" si="86"/>
        <v>#N/A</v>
      </c>
      <c r="AH63" s="53" t="e">
        <f t="shared" si="86"/>
        <v>#N/A</v>
      </c>
      <c r="AI63" s="53" t="e">
        <f t="shared" si="86"/>
        <v>#N/A</v>
      </c>
      <c r="AJ63" s="53">
        <f t="shared" si="86"/>
        <v>17.573702346442051</v>
      </c>
      <c r="AK63" s="53">
        <f t="shared" si="86"/>
        <v>0.5086692555926271</v>
      </c>
      <c r="AL63" s="53">
        <f t="shared" si="86"/>
        <v>12.722200951703769</v>
      </c>
      <c r="AM63" s="53" t="e">
        <f t="shared" si="86"/>
        <v>#N/A</v>
      </c>
      <c r="AN63" s="53" t="e">
        <f t="shared" si="86"/>
        <v>#N/A</v>
      </c>
      <c r="AO63" s="53" t="e">
        <f t="shared" si="86"/>
        <v>#N/A</v>
      </c>
      <c r="AP63" s="53" t="e">
        <f t="shared" si="86"/>
        <v>#N/A</v>
      </c>
      <c r="AQ63" s="53" t="e">
        <f t="shared" si="86"/>
        <v>#N/A</v>
      </c>
      <c r="AR63" s="53">
        <f t="shared" si="86"/>
        <v>1.9854509653776733</v>
      </c>
      <c r="AS63" s="53">
        <f t="shared" si="86"/>
        <v>12.476070666739595</v>
      </c>
      <c r="AT63" s="53" t="e">
        <f t="shared" si="86"/>
        <v>#N/A</v>
      </c>
      <c r="AU63" s="53" t="e">
        <f t="shared" si="86"/>
        <v>#N/A</v>
      </c>
      <c r="AV63" s="53">
        <f t="shared" si="86"/>
        <v>34.403544276103482</v>
      </c>
      <c r="AW63" s="53">
        <f t="shared" si="86"/>
        <v>4.8350927090740026</v>
      </c>
      <c r="AX63" s="53">
        <f t="shared" si="86"/>
        <v>3.8177541978887493</v>
      </c>
      <c r="AY63" s="53">
        <f t="shared" si="86"/>
        <v>2.0510857080347864</v>
      </c>
      <c r="AZ63" s="54">
        <f t="shared" si="86"/>
        <v>1.08844281573046</v>
      </c>
      <c r="BA63" s="57">
        <f t="shared" si="86"/>
        <v>100</v>
      </c>
    </row>
    <row r="64" spans="1:65" s="83" customFormat="1" ht="13.5" customHeight="1" x14ac:dyDescent="0.2">
      <c r="A64" s="710"/>
      <c r="B64" s="170" t="str">
        <f>Sheet1!$K$27</f>
        <v>England</v>
      </c>
      <c r="C64" s="9"/>
      <c r="D64" s="1520">
        <f>SUM(D32:G32)</f>
        <v>7.9810114914275188</v>
      </c>
      <c r="E64" s="1521"/>
      <c r="F64" s="1520">
        <f t="shared" si="49"/>
        <v>20.397283844404843</v>
      </c>
      <c r="G64" s="1521"/>
      <c r="H64" s="1520">
        <f t="shared" si="50"/>
        <v>14.605481472377557</v>
      </c>
      <c r="I64" s="1521"/>
      <c r="J64" s="1520">
        <f t="shared" si="51"/>
        <v>1.3119891845388068</v>
      </c>
      <c r="K64" s="1521"/>
      <c r="L64" s="1520">
        <f t="shared" si="52"/>
        <v>13.336508326676089</v>
      </c>
      <c r="M64" s="1521"/>
      <c r="N64" s="1520">
        <f t="shared" si="53"/>
        <v>29.175628341424449</v>
      </c>
      <c r="O64" s="1521"/>
      <c r="P64" s="1520">
        <f t="shared" si="54"/>
        <v>3.6532907269710564</v>
      </c>
      <c r="Q64" s="1521"/>
      <c r="R64" s="1520">
        <f t="shared" si="55"/>
        <v>5.4968352485712533</v>
      </c>
      <c r="S64" s="1521"/>
      <c r="T64" s="1520">
        <f t="shared" si="56"/>
        <v>2.3935353038775884</v>
      </c>
      <c r="U64" s="1521"/>
      <c r="V64" s="1520">
        <f t="shared" si="57"/>
        <v>1.6484360597308425</v>
      </c>
      <c r="W64" s="1522"/>
      <c r="X64" s="58"/>
      <c r="Y64" s="235"/>
      <c r="Z64" s="745"/>
      <c r="AA64" s="178"/>
      <c r="AB64" s="48" t="str">
        <f t="shared" si="78"/>
        <v>Medway</v>
      </c>
      <c r="AC64" s="47">
        <v>8</v>
      </c>
      <c r="AD64" s="48" t="str">
        <f t="shared" si="80"/>
        <v>MedwayProportion (%)</v>
      </c>
      <c r="AE64" s="49" t="b">
        <f t="shared" si="13"/>
        <v>0</v>
      </c>
      <c r="AF64" s="52">
        <f t="shared" ref="AF64:BA64" si="87">IF(ISERROR(AF16/$BA16*100),NA(),AF16/$BA16*100)</f>
        <v>10.31055900621118</v>
      </c>
      <c r="AG64" s="53" t="e">
        <f t="shared" si="87"/>
        <v>#N/A</v>
      </c>
      <c r="AH64" s="53" t="e">
        <f t="shared" si="87"/>
        <v>#N/A</v>
      </c>
      <c r="AI64" s="53" t="e">
        <f t="shared" si="87"/>
        <v>#N/A</v>
      </c>
      <c r="AJ64" s="53">
        <f t="shared" si="87"/>
        <v>20.347826086956523</v>
      </c>
      <c r="AK64" s="53">
        <f t="shared" si="87"/>
        <v>1.2919254658385093</v>
      </c>
      <c r="AL64" s="53">
        <f t="shared" si="87"/>
        <v>8.9192546583850945</v>
      </c>
      <c r="AM64" s="53" t="e">
        <f t="shared" si="87"/>
        <v>#N/A</v>
      </c>
      <c r="AN64" s="53" t="e">
        <f t="shared" si="87"/>
        <v>#N/A</v>
      </c>
      <c r="AO64" s="53" t="e">
        <f t="shared" si="87"/>
        <v>#N/A</v>
      </c>
      <c r="AP64" s="53" t="e">
        <f t="shared" si="87"/>
        <v>#N/A</v>
      </c>
      <c r="AQ64" s="53" t="e">
        <f t="shared" si="87"/>
        <v>#N/A</v>
      </c>
      <c r="AR64" s="53">
        <f t="shared" si="87"/>
        <v>1.6645962732919253</v>
      </c>
      <c r="AS64" s="53">
        <f t="shared" si="87"/>
        <v>12.571428571428573</v>
      </c>
      <c r="AT64" s="53" t="e">
        <f t="shared" si="87"/>
        <v>#N/A</v>
      </c>
      <c r="AU64" s="53" t="e">
        <f t="shared" si="87"/>
        <v>#N/A</v>
      </c>
      <c r="AV64" s="53">
        <f t="shared" si="87"/>
        <v>33.316770186335404</v>
      </c>
      <c r="AW64" s="53">
        <f t="shared" si="87"/>
        <v>3.354037267080745</v>
      </c>
      <c r="AX64" s="53">
        <f t="shared" si="87"/>
        <v>4.0496894409937889</v>
      </c>
      <c r="AY64" s="53">
        <f t="shared" si="87"/>
        <v>2.2111801242236022</v>
      </c>
      <c r="AZ64" s="54">
        <f t="shared" si="87"/>
        <v>1.9627329192546585</v>
      </c>
      <c r="BA64" s="57">
        <f t="shared" si="87"/>
        <v>100</v>
      </c>
    </row>
    <row r="65" spans="1:55" s="83" customFormat="1" ht="16.5" hidden="1" customHeight="1" x14ac:dyDescent="0.2">
      <c r="A65" s="710"/>
      <c r="B65" s="125" t="s">
        <v>90</v>
      </c>
      <c r="C65" s="9"/>
      <c r="D65" s="9"/>
      <c r="E65" s="9"/>
      <c r="F65" s="9"/>
      <c r="G65" s="9"/>
      <c r="H65" s="13"/>
      <c r="I65" s="13"/>
      <c r="J65" s="13"/>
      <c r="K65" s="9"/>
      <c r="L65" s="9"/>
      <c r="M65" s="9"/>
      <c r="N65" s="9"/>
      <c r="O65" s="9"/>
      <c r="P65" s="13"/>
      <c r="Q65" s="13"/>
      <c r="R65" s="13"/>
      <c r="S65" s="9"/>
      <c r="T65" s="13"/>
      <c r="U65" s="13"/>
      <c r="V65" s="13"/>
      <c r="W65" s="223"/>
      <c r="X65" s="15"/>
      <c r="Y65" s="119"/>
      <c r="Z65" s="138"/>
      <c r="AA65" s="178"/>
      <c r="AB65" s="48" t="str">
        <f t="shared" ref="AB65:AB80" si="88">B17</f>
        <v>Milton Keynes</v>
      </c>
      <c r="AC65" s="47">
        <v>9</v>
      </c>
      <c r="AD65" s="48" t="str">
        <f t="shared" si="80"/>
        <v>Milton KeynesProportion (%)</v>
      </c>
      <c r="AE65" s="49" t="b">
        <f t="shared" si="13"/>
        <v>0</v>
      </c>
      <c r="AF65" s="52">
        <f t="shared" ref="AF65:BA65" si="89">IF(ISERROR(AF17/$BA17*100),NA(),AF17/$BA17*100)</f>
        <v>10.720956294359357</v>
      </c>
      <c r="AG65" s="53" t="e">
        <f t="shared" si="89"/>
        <v>#N/A</v>
      </c>
      <c r="AH65" s="53" t="e">
        <f t="shared" si="89"/>
        <v>#N/A</v>
      </c>
      <c r="AI65" s="53" t="e">
        <f t="shared" si="89"/>
        <v>#N/A</v>
      </c>
      <c r="AJ65" s="53">
        <f t="shared" si="89"/>
        <v>21.180425849831902</v>
      </c>
      <c r="AK65" s="53">
        <f t="shared" si="89"/>
        <v>0</v>
      </c>
      <c r="AL65" s="53">
        <f t="shared" si="89"/>
        <v>12.401942472917444</v>
      </c>
      <c r="AM65" s="53" t="e">
        <f t="shared" si="89"/>
        <v>#N/A</v>
      </c>
      <c r="AN65" s="53" t="e">
        <f t="shared" si="89"/>
        <v>#N/A</v>
      </c>
      <c r="AO65" s="53" t="e">
        <f t="shared" si="89"/>
        <v>#N/A</v>
      </c>
      <c r="AP65" s="53" t="e">
        <f t="shared" si="89"/>
        <v>#N/A</v>
      </c>
      <c r="AQ65" s="53" t="e">
        <f t="shared" si="89"/>
        <v>#N/A</v>
      </c>
      <c r="AR65" s="53">
        <f t="shared" si="89"/>
        <v>1.6062756817332835</v>
      </c>
      <c r="AS65" s="53">
        <f t="shared" si="89"/>
        <v>15.61449383638401</v>
      </c>
      <c r="AT65" s="53" t="e">
        <f t="shared" si="89"/>
        <v>#N/A</v>
      </c>
      <c r="AU65" s="53" t="e">
        <f t="shared" si="89"/>
        <v>#N/A</v>
      </c>
      <c r="AV65" s="53">
        <f t="shared" si="89"/>
        <v>28.165857302951064</v>
      </c>
      <c r="AW65" s="53">
        <f t="shared" si="89"/>
        <v>3.9970115801270079</v>
      </c>
      <c r="AX65" s="53">
        <f t="shared" si="89"/>
        <v>3.9596563317146058</v>
      </c>
      <c r="AY65" s="53">
        <f t="shared" si="89"/>
        <v>2.3533806499813221</v>
      </c>
      <c r="AZ65" s="54">
        <f t="shared" si="89"/>
        <v>0</v>
      </c>
      <c r="BA65" s="57">
        <f t="shared" si="89"/>
        <v>100</v>
      </c>
    </row>
    <row r="66" spans="1:55" s="83" customFormat="1" ht="33" hidden="1" customHeight="1" x14ac:dyDescent="0.2">
      <c r="A66" s="271"/>
      <c r="B66" s="1523"/>
      <c r="C66" s="1524"/>
      <c r="D66" s="1524"/>
      <c r="E66" s="1524"/>
      <c r="F66" s="1524"/>
      <c r="G66" s="1524"/>
      <c r="H66" s="1524"/>
      <c r="I66" s="1524"/>
      <c r="J66" s="1524"/>
      <c r="K66" s="1524"/>
      <c r="L66" s="1524"/>
      <c r="M66" s="1524"/>
      <c r="N66" s="1524"/>
      <c r="O66" s="1524"/>
      <c r="P66" s="1524"/>
      <c r="Q66" s="1524"/>
      <c r="R66" s="1524"/>
      <c r="S66" s="1524"/>
      <c r="T66" s="1524"/>
      <c r="U66" s="1524"/>
      <c r="V66" s="1524"/>
      <c r="W66" s="1525"/>
      <c r="X66" s="1130"/>
      <c r="Y66" s="119"/>
      <c r="Z66" s="138"/>
      <c r="AB66" s="48" t="str">
        <f t="shared" si="88"/>
        <v>Oxfordshire</v>
      </c>
      <c r="AC66" s="47">
        <v>10</v>
      </c>
      <c r="AD66" s="48" t="str">
        <f t="shared" si="80"/>
        <v>OxfordshireProportion (%)</v>
      </c>
      <c r="AE66" s="49" t="b">
        <f t="shared" si="13"/>
        <v>0</v>
      </c>
      <c r="AF66" s="52">
        <f t="shared" ref="AF66:BA66" si="90">IF(ISERROR(AF18/$BA18*100),NA(),AF18/$BA18*100)</f>
        <v>5.7825637999704966</v>
      </c>
      <c r="AG66" s="53" t="e">
        <f t="shared" si="90"/>
        <v>#N/A</v>
      </c>
      <c r="AH66" s="53" t="e">
        <f t="shared" si="90"/>
        <v>#N/A</v>
      </c>
      <c r="AI66" s="53" t="e">
        <f t="shared" si="90"/>
        <v>#N/A</v>
      </c>
      <c r="AJ66" s="53">
        <f t="shared" si="90"/>
        <v>20.460244873875201</v>
      </c>
      <c r="AK66" s="53">
        <f t="shared" si="90"/>
        <v>0.47204602448738758</v>
      </c>
      <c r="AL66" s="53">
        <f t="shared" si="90"/>
        <v>9.1901460392388259</v>
      </c>
      <c r="AM66" s="53" t="e">
        <f t="shared" si="90"/>
        <v>#N/A</v>
      </c>
      <c r="AN66" s="53" t="e">
        <f t="shared" si="90"/>
        <v>#N/A</v>
      </c>
      <c r="AO66" s="53" t="e">
        <f t="shared" si="90"/>
        <v>#N/A</v>
      </c>
      <c r="AP66" s="53" t="e">
        <f t="shared" si="90"/>
        <v>#N/A</v>
      </c>
      <c r="AQ66" s="53" t="e">
        <f t="shared" si="90"/>
        <v>#N/A</v>
      </c>
      <c r="AR66" s="53">
        <f t="shared" si="90"/>
        <v>0.78182622805723567</v>
      </c>
      <c r="AS66" s="53">
        <f t="shared" si="90"/>
        <v>4.882726065791414</v>
      </c>
      <c r="AT66" s="53" t="e">
        <f t="shared" si="90"/>
        <v>#N/A</v>
      </c>
      <c r="AU66" s="53" t="e">
        <f t="shared" si="90"/>
        <v>#N/A</v>
      </c>
      <c r="AV66" s="53">
        <f t="shared" si="90"/>
        <v>30.682991591680185</v>
      </c>
      <c r="AW66" s="53">
        <f t="shared" si="90"/>
        <v>1.0768549933618528</v>
      </c>
      <c r="AX66" s="53">
        <f t="shared" si="90"/>
        <v>14.382652308600088</v>
      </c>
      <c r="AY66" s="53">
        <f t="shared" si="90"/>
        <v>1.0326006785661601</v>
      </c>
      <c r="AZ66" s="54">
        <f t="shared" si="90"/>
        <v>11.255347396371146</v>
      </c>
      <c r="BA66" s="57">
        <f t="shared" si="90"/>
        <v>100</v>
      </c>
    </row>
    <row r="67" spans="1:55" s="83" customFormat="1" ht="19.5" hidden="1" customHeight="1" x14ac:dyDescent="0.2">
      <c r="A67" s="271"/>
      <c r="B67" s="1526"/>
      <c r="C67" s="1527"/>
      <c r="D67" s="1527"/>
      <c r="E67" s="1527"/>
      <c r="F67" s="1527"/>
      <c r="G67" s="1527"/>
      <c r="H67" s="1527"/>
      <c r="I67" s="1527"/>
      <c r="J67" s="1527"/>
      <c r="K67" s="1527"/>
      <c r="L67" s="1527"/>
      <c r="M67" s="1527"/>
      <c r="N67" s="1527"/>
      <c r="O67" s="1527"/>
      <c r="P67" s="1527"/>
      <c r="Q67" s="1527"/>
      <c r="R67" s="1527"/>
      <c r="S67" s="1527"/>
      <c r="T67" s="1527"/>
      <c r="U67" s="1527"/>
      <c r="V67" s="1527"/>
      <c r="W67" s="1528"/>
      <c r="X67" s="1130"/>
      <c r="Y67" s="119"/>
      <c r="Z67" s="138"/>
      <c r="AB67" s="48" t="str">
        <f t="shared" si="88"/>
        <v>Portsmouth</v>
      </c>
      <c r="AC67" s="47">
        <v>11</v>
      </c>
      <c r="AD67" s="48" t="str">
        <f t="shared" si="80"/>
        <v>PortsmouthProportion (%)</v>
      </c>
      <c r="AE67" s="49" t="b">
        <f t="shared" si="13"/>
        <v>0</v>
      </c>
      <c r="AF67" s="52">
        <f t="shared" ref="AF67:BA67" si="91">IF(ISERROR(AF19/$BA19*100),NA(),AF19/$BA19*100)</f>
        <v>7.7355836849507735</v>
      </c>
      <c r="AG67" s="53" t="e">
        <f t="shared" si="91"/>
        <v>#N/A</v>
      </c>
      <c r="AH67" s="53" t="e">
        <f t="shared" si="91"/>
        <v>#N/A</v>
      </c>
      <c r="AI67" s="53" t="e">
        <f t="shared" si="91"/>
        <v>#N/A</v>
      </c>
      <c r="AJ67" s="53">
        <f t="shared" si="91"/>
        <v>19.268635724331926</v>
      </c>
      <c r="AK67" s="53">
        <f t="shared" si="91"/>
        <v>0.63291139240506333</v>
      </c>
      <c r="AL67" s="53">
        <f t="shared" si="91"/>
        <v>13.045007032348805</v>
      </c>
      <c r="AM67" s="53" t="e">
        <f t="shared" si="91"/>
        <v>#N/A</v>
      </c>
      <c r="AN67" s="53" t="e">
        <f t="shared" si="91"/>
        <v>#N/A</v>
      </c>
      <c r="AO67" s="53" t="e">
        <f t="shared" si="91"/>
        <v>#N/A</v>
      </c>
      <c r="AP67" s="53" t="e">
        <f t="shared" si="91"/>
        <v>#N/A</v>
      </c>
      <c r="AQ67" s="53" t="e">
        <f t="shared" si="91"/>
        <v>#N/A</v>
      </c>
      <c r="AR67" s="53">
        <f t="shared" si="91"/>
        <v>3.79746835443038</v>
      </c>
      <c r="AS67" s="53">
        <f t="shared" si="91"/>
        <v>18.037974683544302</v>
      </c>
      <c r="AT67" s="53" t="e">
        <f t="shared" si="91"/>
        <v>#N/A</v>
      </c>
      <c r="AU67" s="53" t="e">
        <f t="shared" si="91"/>
        <v>#N/A</v>
      </c>
      <c r="AV67" s="53">
        <f t="shared" si="91"/>
        <v>24.613220815752463</v>
      </c>
      <c r="AW67" s="53">
        <f t="shared" si="91"/>
        <v>5.309423347398031</v>
      </c>
      <c r="AX67" s="53">
        <f t="shared" si="91"/>
        <v>5.2390998593530238</v>
      </c>
      <c r="AY67" s="53">
        <f t="shared" si="91"/>
        <v>2.3206751054852321</v>
      </c>
      <c r="AZ67" s="54">
        <f t="shared" si="91"/>
        <v>0</v>
      </c>
      <c r="BA67" s="57">
        <f t="shared" si="91"/>
        <v>100</v>
      </c>
    </row>
    <row r="68" spans="1:55" s="83" customFormat="1" ht="7.5" customHeight="1" x14ac:dyDescent="0.2">
      <c r="A68" s="286"/>
      <c r="B68" s="287"/>
      <c r="C68" s="287"/>
      <c r="D68" s="287"/>
      <c r="E68" s="287"/>
      <c r="F68" s="287"/>
      <c r="G68" s="287"/>
      <c r="H68" s="287"/>
      <c r="I68" s="287"/>
      <c r="J68" s="287"/>
      <c r="K68" s="287"/>
      <c r="L68" s="287"/>
      <c r="M68" s="287"/>
      <c r="N68" s="287"/>
      <c r="O68" s="287"/>
      <c r="P68" s="287"/>
      <c r="Q68" s="287"/>
      <c r="R68" s="287"/>
      <c r="S68" s="287"/>
      <c r="T68" s="287"/>
      <c r="U68" s="287"/>
      <c r="V68" s="287"/>
      <c r="W68" s="287"/>
      <c r="X68" s="287"/>
      <c r="Y68" s="124"/>
      <c r="Z68" s="138"/>
      <c r="AB68" s="48" t="str">
        <f t="shared" si="88"/>
        <v>Reading</v>
      </c>
      <c r="AC68" s="47">
        <v>12</v>
      </c>
      <c r="AD68" s="48" t="str">
        <f t="shared" si="80"/>
        <v>ReadingProportion (%)</v>
      </c>
      <c r="AE68" s="49" t="b">
        <f t="shared" si="13"/>
        <v>0</v>
      </c>
      <c r="AF68" s="52">
        <f t="shared" ref="AF68:BA68" si="92">IF(ISERROR(AF20/$BA20*100),NA(),AF20/$BA20*100)</f>
        <v>6.425702811244979</v>
      </c>
      <c r="AG68" s="53" t="e">
        <f t="shared" si="92"/>
        <v>#N/A</v>
      </c>
      <c r="AH68" s="53" t="e">
        <f t="shared" si="92"/>
        <v>#N/A</v>
      </c>
      <c r="AI68" s="53" t="e">
        <f t="shared" si="92"/>
        <v>#N/A</v>
      </c>
      <c r="AJ68" s="53">
        <f t="shared" si="92"/>
        <v>16.721431179262506</v>
      </c>
      <c r="AK68" s="53">
        <f t="shared" si="92"/>
        <v>2.8112449799196786</v>
      </c>
      <c r="AL68" s="53">
        <f t="shared" si="92"/>
        <v>14.494341000365097</v>
      </c>
      <c r="AM68" s="53" t="e">
        <f t="shared" si="92"/>
        <v>#N/A</v>
      </c>
      <c r="AN68" s="53" t="e">
        <f t="shared" si="92"/>
        <v>#N/A</v>
      </c>
      <c r="AO68" s="53" t="e">
        <f t="shared" si="92"/>
        <v>#N/A</v>
      </c>
      <c r="AP68" s="53" t="e">
        <f t="shared" si="92"/>
        <v>#N/A</v>
      </c>
      <c r="AQ68" s="53" t="e">
        <f t="shared" si="92"/>
        <v>#N/A</v>
      </c>
      <c r="AR68" s="53">
        <f t="shared" si="92"/>
        <v>2.774735304855787</v>
      </c>
      <c r="AS68" s="53">
        <f t="shared" si="92"/>
        <v>9.0909090909090917</v>
      </c>
      <c r="AT68" s="53" t="e">
        <f t="shared" si="92"/>
        <v>#N/A</v>
      </c>
      <c r="AU68" s="53" t="e">
        <f t="shared" si="92"/>
        <v>#N/A</v>
      </c>
      <c r="AV68" s="53">
        <f t="shared" si="92"/>
        <v>38.773274917853229</v>
      </c>
      <c r="AW68" s="53">
        <f t="shared" si="92"/>
        <v>2.5921869295363273</v>
      </c>
      <c r="AX68" s="53">
        <f t="shared" si="92"/>
        <v>5.0383351588170866</v>
      </c>
      <c r="AY68" s="53">
        <f t="shared" si="92"/>
        <v>1.2778386272362174</v>
      </c>
      <c r="AZ68" s="54">
        <f t="shared" si="92"/>
        <v>0</v>
      </c>
      <c r="BA68" s="57">
        <f t="shared" si="92"/>
        <v>100</v>
      </c>
    </row>
    <row r="69" spans="1:55" s="83" customFormat="1" ht="15" customHeight="1" x14ac:dyDescent="0.2">
      <c r="A69" s="271"/>
      <c r="B69" s="287"/>
      <c r="C69" s="287"/>
      <c r="D69" s="287"/>
      <c r="E69" s="287"/>
      <c r="F69" s="287"/>
      <c r="G69" s="287"/>
      <c r="H69" s="287"/>
      <c r="I69" s="287"/>
      <c r="J69" s="287"/>
      <c r="K69" s="287"/>
      <c r="L69" s="287"/>
      <c r="M69" s="287"/>
      <c r="N69" s="287"/>
      <c r="O69" s="287"/>
      <c r="P69" s="287"/>
      <c r="Q69" s="287"/>
      <c r="R69" s="287"/>
      <c r="S69" s="287"/>
      <c r="T69" s="287"/>
      <c r="U69" s="287"/>
      <c r="V69" s="287"/>
      <c r="W69" s="287"/>
      <c r="X69" s="287"/>
      <c r="Y69" s="119"/>
      <c r="Z69" s="138"/>
      <c r="AB69" s="48" t="str">
        <f t="shared" si="88"/>
        <v>Slough</v>
      </c>
      <c r="AC69" s="47">
        <v>13</v>
      </c>
      <c r="AD69" s="48" t="str">
        <f t="shared" si="80"/>
        <v>SloughProportion (%)</v>
      </c>
      <c r="AE69" s="49" t="b">
        <f t="shared" si="13"/>
        <v>0</v>
      </c>
      <c r="AF69" s="52">
        <f t="shared" ref="AF69:BA69" si="93">IF(ISERROR(AF21/$BA21*100),NA(),AF21/$BA21*100)</f>
        <v>6.9873417721518987</v>
      </c>
      <c r="AG69" s="53" t="e">
        <f t="shared" si="93"/>
        <v>#N/A</v>
      </c>
      <c r="AH69" s="53" t="e">
        <f t="shared" si="93"/>
        <v>#N/A</v>
      </c>
      <c r="AI69" s="53" t="e">
        <f t="shared" si="93"/>
        <v>#N/A</v>
      </c>
      <c r="AJ69" s="53">
        <f t="shared" si="93"/>
        <v>23.240506329113924</v>
      </c>
      <c r="AK69" s="53">
        <f t="shared" si="93"/>
        <v>0</v>
      </c>
      <c r="AL69" s="53">
        <f t="shared" si="93"/>
        <v>10.582278481012658</v>
      </c>
      <c r="AM69" s="53" t="e">
        <f t="shared" si="93"/>
        <v>#N/A</v>
      </c>
      <c r="AN69" s="53" t="e">
        <f t="shared" si="93"/>
        <v>#N/A</v>
      </c>
      <c r="AO69" s="53" t="e">
        <f t="shared" si="93"/>
        <v>#N/A</v>
      </c>
      <c r="AP69" s="53" t="e">
        <f t="shared" si="93"/>
        <v>#N/A</v>
      </c>
      <c r="AQ69" s="53" t="e">
        <f t="shared" si="93"/>
        <v>#N/A</v>
      </c>
      <c r="AR69" s="53">
        <f t="shared" si="93"/>
        <v>0</v>
      </c>
      <c r="AS69" s="53">
        <f t="shared" si="93"/>
        <v>16.759493670886076</v>
      </c>
      <c r="AT69" s="53" t="e">
        <f t="shared" si="93"/>
        <v>#N/A</v>
      </c>
      <c r="AU69" s="53" t="e">
        <f t="shared" si="93"/>
        <v>#N/A</v>
      </c>
      <c r="AV69" s="53">
        <f t="shared" si="93"/>
        <v>31.594936708860761</v>
      </c>
      <c r="AW69" s="53">
        <f t="shared" si="93"/>
        <v>3.4936708860759493</v>
      </c>
      <c r="AX69" s="53">
        <f t="shared" si="93"/>
        <v>6.2784810126582284</v>
      </c>
      <c r="AY69" s="53">
        <f t="shared" si="93"/>
        <v>1.0632911392405064</v>
      </c>
      <c r="AZ69" s="54">
        <f t="shared" si="93"/>
        <v>0</v>
      </c>
      <c r="BA69" s="57">
        <f t="shared" si="93"/>
        <v>100</v>
      </c>
    </row>
    <row r="70" spans="1:55" ht="11.25" customHeight="1" x14ac:dyDescent="0.2">
      <c r="A70" s="1481" t="str">
        <f>Home!$A$40</f>
        <v>LA's provide quarterly data on the condition that it is used by the benchmarking group for internal reporting only. Please DO NOT share other LA's data with any external partners or the public</v>
      </c>
      <c r="B70" s="1431"/>
      <c r="C70" s="1431"/>
      <c r="D70" s="1431"/>
      <c r="E70" s="1431"/>
      <c r="F70" s="1431"/>
      <c r="G70" s="1431"/>
      <c r="H70" s="1431"/>
      <c r="I70" s="1431"/>
      <c r="J70" s="1431"/>
      <c r="K70" s="1431"/>
      <c r="L70" s="1431"/>
      <c r="M70" s="1431"/>
      <c r="N70" s="1431"/>
      <c r="O70" s="1431"/>
      <c r="P70" s="1431"/>
      <c r="Q70" s="1431"/>
      <c r="R70" s="1431"/>
      <c r="S70" s="1431"/>
      <c r="T70" s="1431"/>
      <c r="U70" s="1431"/>
      <c r="V70" s="1431"/>
      <c r="W70" s="1431"/>
      <c r="X70" s="1431"/>
      <c r="Y70" s="1482"/>
      <c r="Z70" s="138"/>
      <c r="AA70" s="76"/>
      <c r="AB70" s="48" t="str">
        <f t="shared" si="88"/>
        <v>Somerset</v>
      </c>
      <c r="AC70" s="47">
        <v>14</v>
      </c>
      <c r="AD70" s="48" t="str">
        <f t="shared" si="80"/>
        <v>SomersetProportion (%)</v>
      </c>
      <c r="AE70" s="49" t="b">
        <f t="shared" si="13"/>
        <v>0</v>
      </c>
      <c r="AF70" s="52">
        <f t="shared" ref="AF70:BA70" si="94">IF(ISERROR(AF22/$BA22*100),NA(),AF22/$BA22*100)</f>
        <v>3.5576179427687551</v>
      </c>
      <c r="AG70" s="53" t="e">
        <f t="shared" si="94"/>
        <v>#N/A</v>
      </c>
      <c r="AH70" s="53" t="e">
        <f t="shared" si="94"/>
        <v>#N/A</v>
      </c>
      <c r="AI70" s="53" t="e">
        <f t="shared" si="94"/>
        <v>#N/A</v>
      </c>
      <c r="AJ70" s="53">
        <f t="shared" si="94"/>
        <v>21.69373549883991</v>
      </c>
      <c r="AK70" s="53">
        <f t="shared" si="94"/>
        <v>0</v>
      </c>
      <c r="AL70" s="53">
        <f t="shared" si="94"/>
        <v>14.037122969837586</v>
      </c>
      <c r="AM70" s="53" t="e">
        <f t="shared" si="94"/>
        <v>#N/A</v>
      </c>
      <c r="AN70" s="53" t="e">
        <f t="shared" si="94"/>
        <v>#N/A</v>
      </c>
      <c r="AO70" s="53" t="e">
        <f t="shared" si="94"/>
        <v>#N/A</v>
      </c>
      <c r="AP70" s="53" t="e">
        <f t="shared" si="94"/>
        <v>#N/A</v>
      </c>
      <c r="AQ70" s="53" t="e">
        <f t="shared" si="94"/>
        <v>#N/A</v>
      </c>
      <c r="AR70" s="53">
        <f t="shared" si="94"/>
        <v>0</v>
      </c>
      <c r="AS70" s="53">
        <f t="shared" si="94"/>
        <v>16.744006187161638</v>
      </c>
      <c r="AT70" s="53" t="e">
        <f t="shared" si="94"/>
        <v>#N/A</v>
      </c>
      <c r="AU70" s="53" t="e">
        <f t="shared" si="94"/>
        <v>#N/A</v>
      </c>
      <c r="AV70" s="53">
        <f t="shared" si="94"/>
        <v>31.438515081206496</v>
      </c>
      <c r="AW70" s="53">
        <f t="shared" si="94"/>
        <v>2.5135344160866202</v>
      </c>
      <c r="AX70" s="53">
        <f t="shared" si="94"/>
        <v>6.921887084300077</v>
      </c>
      <c r="AY70" s="53">
        <f t="shared" si="94"/>
        <v>2.1655065738592421</v>
      </c>
      <c r="AZ70" s="54">
        <f t="shared" si="94"/>
        <v>0.92807424593967514</v>
      </c>
      <c r="BA70" s="57">
        <f t="shared" si="94"/>
        <v>100</v>
      </c>
      <c r="BB70" s="83"/>
      <c r="BC70" s="83"/>
    </row>
    <row r="71" spans="1:55" ht="11.25" customHeight="1" x14ac:dyDescent="0.2">
      <c r="A71" s="114"/>
      <c r="B71" s="115"/>
      <c r="C71" s="115"/>
      <c r="D71" s="115"/>
      <c r="E71" s="115"/>
      <c r="F71" s="115"/>
      <c r="G71" s="115"/>
      <c r="H71" s="115"/>
      <c r="I71" s="115"/>
      <c r="J71" s="115"/>
      <c r="K71" s="115"/>
      <c r="L71" s="115"/>
      <c r="M71" s="115"/>
      <c r="N71" s="115"/>
      <c r="O71" s="116"/>
      <c r="P71" s="115"/>
      <c r="Q71" s="115"/>
      <c r="R71" s="115"/>
      <c r="S71" s="115"/>
      <c r="T71" s="115"/>
      <c r="U71" s="115"/>
      <c r="V71" s="115"/>
      <c r="W71" s="115"/>
      <c r="X71" s="115"/>
      <c r="Y71" s="117"/>
      <c r="Z71" s="138"/>
      <c r="AA71" s="76"/>
      <c r="AB71" s="48" t="str">
        <f t="shared" si="88"/>
        <v>Southampton</v>
      </c>
      <c r="AC71" s="47">
        <v>15</v>
      </c>
      <c r="AD71" s="48" t="str">
        <f t="shared" si="80"/>
        <v>SouthamptonProportion (%)</v>
      </c>
      <c r="AE71" s="49" t="b">
        <f t="shared" si="13"/>
        <v>0</v>
      </c>
      <c r="AF71" s="52">
        <f t="shared" ref="AF71:BA71" si="95">IF(ISERROR(AF23/$BA23*100),NA(),AF23/$BA23*100)</f>
        <v>5.3126469205453688</v>
      </c>
      <c r="AG71" s="53" t="e">
        <f t="shared" si="95"/>
        <v>#N/A</v>
      </c>
      <c r="AH71" s="53" t="e">
        <f t="shared" si="95"/>
        <v>#N/A</v>
      </c>
      <c r="AI71" s="53" t="e">
        <f t="shared" si="95"/>
        <v>#N/A</v>
      </c>
      <c r="AJ71" s="53">
        <f t="shared" si="95"/>
        <v>17.320169252468265</v>
      </c>
      <c r="AK71" s="53">
        <f t="shared" si="95"/>
        <v>3.911612599905971</v>
      </c>
      <c r="AL71" s="53">
        <f t="shared" si="95"/>
        <v>13.511988716502115</v>
      </c>
      <c r="AM71" s="53" t="e">
        <f t="shared" si="95"/>
        <v>#N/A</v>
      </c>
      <c r="AN71" s="53" t="e">
        <f t="shared" si="95"/>
        <v>#N/A</v>
      </c>
      <c r="AO71" s="53" t="e">
        <f t="shared" si="95"/>
        <v>#N/A</v>
      </c>
      <c r="AP71" s="53" t="e">
        <f t="shared" si="95"/>
        <v>#N/A</v>
      </c>
      <c r="AQ71" s="53" t="e">
        <f t="shared" si="95"/>
        <v>#N/A</v>
      </c>
      <c r="AR71" s="53">
        <f t="shared" si="95"/>
        <v>1.3634226610249176</v>
      </c>
      <c r="AS71" s="53">
        <f t="shared" si="95"/>
        <v>12.214386459802538</v>
      </c>
      <c r="AT71" s="53" t="e">
        <f t="shared" si="95"/>
        <v>#N/A</v>
      </c>
      <c r="AU71" s="53" t="e">
        <f t="shared" si="95"/>
        <v>#N/A</v>
      </c>
      <c r="AV71" s="53">
        <f t="shared" si="95"/>
        <v>36.314057357780911</v>
      </c>
      <c r="AW71" s="53">
        <f t="shared" si="95"/>
        <v>3.1969910672308415</v>
      </c>
      <c r="AX71" s="53">
        <f t="shared" si="95"/>
        <v>5.5195110484250121</v>
      </c>
      <c r="AY71" s="53">
        <f t="shared" si="95"/>
        <v>1.3352139163140573</v>
      </c>
      <c r="AZ71" s="54">
        <f t="shared" si="95"/>
        <v>0</v>
      </c>
      <c r="BA71" s="57">
        <f t="shared" si="95"/>
        <v>100</v>
      </c>
    </row>
    <row r="72" spans="1:55" s="78" customFormat="1" ht="17.25" customHeight="1" x14ac:dyDescent="0.25">
      <c r="A72" s="439"/>
      <c r="B72" s="1547" t="str">
        <f>$AB$8&amp;" of Referrals from each Source "&amp;Frontpage!J5</f>
        <v>Proportion (%) of Referrals from each Source 2018-19</v>
      </c>
      <c r="C72" s="1547"/>
      <c r="D72" s="1547"/>
      <c r="E72" s="1547"/>
      <c r="F72" s="1547"/>
      <c r="G72" s="1547"/>
      <c r="H72" s="1547"/>
      <c r="I72" s="1547"/>
      <c r="J72" s="1547"/>
      <c r="K72" s="1547"/>
      <c r="L72" s="1547"/>
      <c r="M72" s="62"/>
      <c r="N72" s="69"/>
      <c r="O72" s="69"/>
      <c r="P72" s="69"/>
      <c r="Q72" s="69"/>
      <c r="R72" s="62"/>
      <c r="S72" s="69"/>
      <c r="T72" s="69"/>
      <c r="U72" s="69"/>
      <c r="V72" s="69"/>
      <c r="W72" s="69"/>
      <c r="X72" s="69"/>
      <c r="Y72" s="119"/>
      <c r="Z72" s="138"/>
      <c r="AB72" s="48" t="str">
        <f t="shared" si="88"/>
        <v>Surrey</v>
      </c>
      <c r="AC72" s="47">
        <v>16</v>
      </c>
      <c r="AD72" s="48" t="str">
        <f t="shared" si="80"/>
        <v>SurreyProportion (%)</v>
      </c>
      <c r="AE72" s="49" t="b">
        <f t="shared" si="13"/>
        <v>0</v>
      </c>
      <c r="AF72" s="52">
        <f t="shared" ref="AF72:BA72" si="96">IF(ISERROR(AF24/$BA24*100),NA(),AF24/$BA24*100)</f>
        <v>11.506524317912218</v>
      </c>
      <c r="AG72" s="53" t="e">
        <f t="shared" si="96"/>
        <v>#N/A</v>
      </c>
      <c r="AH72" s="53" t="e">
        <f t="shared" si="96"/>
        <v>#N/A</v>
      </c>
      <c r="AI72" s="53" t="e">
        <f t="shared" si="96"/>
        <v>#N/A</v>
      </c>
      <c r="AJ72" s="53">
        <f t="shared" si="96"/>
        <v>12.98932384341637</v>
      </c>
      <c r="AK72" s="53">
        <f t="shared" si="96"/>
        <v>6.1684460260972722</v>
      </c>
      <c r="AL72" s="53">
        <f t="shared" si="96"/>
        <v>8.8967971530249113</v>
      </c>
      <c r="AM72" s="53" t="e">
        <f t="shared" si="96"/>
        <v>#N/A</v>
      </c>
      <c r="AN72" s="53" t="e">
        <f t="shared" si="96"/>
        <v>#N/A</v>
      </c>
      <c r="AO72" s="53" t="e">
        <f t="shared" si="96"/>
        <v>#N/A</v>
      </c>
      <c r="AP72" s="53" t="e">
        <f t="shared" si="96"/>
        <v>#N/A</v>
      </c>
      <c r="AQ72" s="53" t="e">
        <f t="shared" si="96"/>
        <v>#N/A</v>
      </c>
      <c r="AR72" s="53">
        <f t="shared" si="96"/>
        <v>1.8979833926453145</v>
      </c>
      <c r="AS72" s="53">
        <f t="shared" si="96"/>
        <v>17.793594306049823</v>
      </c>
      <c r="AT72" s="53" t="e">
        <f t="shared" si="96"/>
        <v>#N/A</v>
      </c>
      <c r="AU72" s="53" t="e">
        <f t="shared" si="96"/>
        <v>#N/A</v>
      </c>
      <c r="AV72" s="53">
        <f t="shared" si="96"/>
        <v>32.325029655990512</v>
      </c>
      <c r="AW72" s="53">
        <f t="shared" si="96"/>
        <v>2.7876631079478056</v>
      </c>
      <c r="AX72" s="53">
        <f t="shared" si="96"/>
        <v>2.2538552787663106</v>
      </c>
      <c r="AY72" s="53">
        <f t="shared" si="96"/>
        <v>2.1945432977461445</v>
      </c>
      <c r="AZ72" s="54">
        <f t="shared" si="96"/>
        <v>1.1862396204033214</v>
      </c>
      <c r="BA72" s="57">
        <f t="shared" si="96"/>
        <v>100</v>
      </c>
      <c r="BB72" s="76"/>
      <c r="BC72" s="76"/>
    </row>
    <row r="73" spans="1:55" ht="7.5" customHeight="1" x14ac:dyDescent="0.2">
      <c r="A73" s="271"/>
      <c r="B73" s="1547"/>
      <c r="C73" s="1547"/>
      <c r="D73" s="1547"/>
      <c r="E73" s="1547"/>
      <c r="F73" s="1547"/>
      <c r="G73" s="1547"/>
      <c r="H73" s="1547"/>
      <c r="I73" s="1547"/>
      <c r="J73" s="1547"/>
      <c r="K73" s="1547"/>
      <c r="L73" s="1547"/>
      <c r="M73" s="69"/>
      <c r="N73" s="69"/>
      <c r="O73" s="69"/>
      <c r="P73" s="69"/>
      <c r="Q73" s="69"/>
      <c r="R73" s="69"/>
      <c r="S73" s="69"/>
      <c r="T73" s="69"/>
      <c r="U73" s="69"/>
      <c r="V73" s="58"/>
      <c r="W73" s="69"/>
      <c r="X73" s="69"/>
      <c r="Y73" s="119"/>
      <c r="Z73" s="139"/>
      <c r="AA73" s="76"/>
      <c r="AB73" s="48" t="str">
        <f t="shared" si="88"/>
        <v>Swindon</v>
      </c>
      <c r="AC73" s="47">
        <v>17</v>
      </c>
      <c r="AD73" s="48" t="str">
        <f t="shared" si="80"/>
        <v>SwindonProportion (%)</v>
      </c>
      <c r="AE73" s="49" t="b">
        <f t="shared" si="13"/>
        <v>0</v>
      </c>
      <c r="AF73" s="52">
        <f t="shared" ref="AF73:BA73" si="97">IF(ISERROR(AF25/$BA25*100),NA(),AF25/$BA25*100)</f>
        <v>8.6406743940990509</v>
      </c>
      <c r="AG73" s="53" t="e">
        <f t="shared" si="97"/>
        <v>#N/A</v>
      </c>
      <c r="AH73" s="53" t="e">
        <f t="shared" si="97"/>
        <v>#N/A</v>
      </c>
      <c r="AI73" s="53" t="e">
        <f t="shared" si="97"/>
        <v>#N/A</v>
      </c>
      <c r="AJ73" s="53">
        <f t="shared" si="97"/>
        <v>21.559536354056902</v>
      </c>
      <c r="AK73" s="53">
        <f t="shared" si="97"/>
        <v>0</v>
      </c>
      <c r="AL73" s="53">
        <f t="shared" si="97"/>
        <v>12.002107481559536</v>
      </c>
      <c r="AM73" s="53" t="e">
        <f t="shared" si="97"/>
        <v>#N/A</v>
      </c>
      <c r="AN73" s="53" t="e">
        <f t="shared" si="97"/>
        <v>#N/A</v>
      </c>
      <c r="AO73" s="53" t="e">
        <f t="shared" si="97"/>
        <v>#N/A</v>
      </c>
      <c r="AP73" s="53" t="e">
        <f t="shared" si="97"/>
        <v>#N/A</v>
      </c>
      <c r="AQ73" s="53" t="e">
        <f t="shared" si="97"/>
        <v>#N/A</v>
      </c>
      <c r="AR73" s="53">
        <f t="shared" si="97"/>
        <v>1.5068493150684932</v>
      </c>
      <c r="AS73" s="53">
        <f t="shared" si="97"/>
        <v>15.732349841938884</v>
      </c>
      <c r="AT73" s="53" t="e">
        <f t="shared" si="97"/>
        <v>#N/A</v>
      </c>
      <c r="AU73" s="53" t="e">
        <f t="shared" si="97"/>
        <v>#N/A</v>
      </c>
      <c r="AV73" s="53">
        <f t="shared" si="97"/>
        <v>26.933614330874605</v>
      </c>
      <c r="AW73" s="53">
        <f t="shared" si="97"/>
        <v>3.0769230769230771</v>
      </c>
      <c r="AX73" s="53">
        <f t="shared" si="97"/>
        <v>6.4172813487881983</v>
      </c>
      <c r="AY73" s="53">
        <f t="shared" si="97"/>
        <v>0</v>
      </c>
      <c r="AZ73" s="54">
        <f t="shared" si="97"/>
        <v>4.1306638566912541</v>
      </c>
      <c r="BA73" s="57">
        <f t="shared" si="97"/>
        <v>100</v>
      </c>
      <c r="BB73" s="78"/>
      <c r="BC73" s="78"/>
    </row>
    <row r="74" spans="1:55" ht="12.75" customHeight="1" x14ac:dyDescent="0.2">
      <c r="A74" s="271"/>
      <c r="B74" s="1498" t="s">
        <v>190</v>
      </c>
      <c r="C74" s="9"/>
      <c r="D74" s="1500">
        <v>1</v>
      </c>
      <c r="E74" s="1501"/>
      <c r="F74" s="1502">
        <v>2</v>
      </c>
      <c r="G74" s="1503"/>
      <c r="H74" s="1504">
        <v>3</v>
      </c>
      <c r="I74" s="1505"/>
      <c r="J74" s="1506">
        <v>4</v>
      </c>
      <c r="K74" s="1507"/>
      <c r="L74" s="1508">
        <v>5</v>
      </c>
      <c r="M74" s="1509"/>
      <c r="N74" s="1510">
        <v>6</v>
      </c>
      <c r="O74" s="1511"/>
      <c r="P74" s="1512">
        <v>7</v>
      </c>
      <c r="Q74" s="1513"/>
      <c r="R74" s="1490">
        <v>8</v>
      </c>
      <c r="S74" s="1491"/>
      <c r="T74" s="1492">
        <v>9</v>
      </c>
      <c r="U74" s="1493"/>
      <c r="V74" s="1494">
        <v>10</v>
      </c>
      <c r="W74" s="1495"/>
      <c r="X74" s="9"/>
      <c r="Y74" s="119"/>
      <c r="Z74" s="138"/>
      <c r="AA74" s="76"/>
      <c r="AB74" s="48" t="str">
        <f t="shared" si="88"/>
        <v>Torbay</v>
      </c>
      <c r="AC74" s="47">
        <v>18</v>
      </c>
      <c r="AD74" s="48" t="str">
        <f t="shared" si="80"/>
        <v>TorbayProportion (%)</v>
      </c>
      <c r="AE74" s="49" t="b">
        <f t="shared" si="13"/>
        <v>0</v>
      </c>
      <c r="AF74" s="52">
        <f t="shared" ref="AF74:BA74" si="98">IF(ISERROR(AF26/$BA26*100),NA(),AF26/$BA26*100)</f>
        <v>7.8414096916299556</v>
      </c>
      <c r="AG74" s="53" t="e">
        <f t="shared" si="98"/>
        <v>#N/A</v>
      </c>
      <c r="AH74" s="53" t="e">
        <f t="shared" si="98"/>
        <v>#N/A</v>
      </c>
      <c r="AI74" s="53" t="e">
        <f t="shared" si="98"/>
        <v>#N/A</v>
      </c>
      <c r="AJ74" s="53">
        <f t="shared" si="98"/>
        <v>15.15418502202643</v>
      </c>
      <c r="AK74" s="53">
        <f t="shared" si="98"/>
        <v>1.0572687224669604</v>
      </c>
      <c r="AL74" s="53">
        <f t="shared" si="98"/>
        <v>11.453744493392071</v>
      </c>
      <c r="AM74" s="53" t="e">
        <f t="shared" si="98"/>
        <v>#N/A</v>
      </c>
      <c r="AN74" s="53" t="e">
        <f t="shared" si="98"/>
        <v>#N/A</v>
      </c>
      <c r="AO74" s="53" t="e">
        <f t="shared" si="98"/>
        <v>#N/A</v>
      </c>
      <c r="AP74" s="53" t="e">
        <f t="shared" si="98"/>
        <v>#N/A</v>
      </c>
      <c r="AQ74" s="53" t="e">
        <f t="shared" si="98"/>
        <v>#N/A</v>
      </c>
      <c r="AR74" s="53">
        <f t="shared" si="98"/>
        <v>0.88105726872246704</v>
      </c>
      <c r="AS74" s="53">
        <f t="shared" si="98"/>
        <v>6.784140969162995</v>
      </c>
      <c r="AT74" s="53" t="e">
        <f t="shared" si="98"/>
        <v>#N/A</v>
      </c>
      <c r="AU74" s="53" t="e">
        <f t="shared" si="98"/>
        <v>#N/A</v>
      </c>
      <c r="AV74" s="53">
        <f t="shared" si="98"/>
        <v>35.330396475770925</v>
      </c>
      <c r="AW74" s="53">
        <f t="shared" si="98"/>
        <v>2.3788546255506611</v>
      </c>
      <c r="AX74" s="53">
        <f t="shared" si="98"/>
        <v>13.039647577092511</v>
      </c>
      <c r="AY74" s="53">
        <f t="shared" si="98"/>
        <v>1.6740088105726871</v>
      </c>
      <c r="AZ74" s="54">
        <f t="shared" si="98"/>
        <v>4.4052863436123353</v>
      </c>
      <c r="BA74" s="57">
        <f t="shared" si="98"/>
        <v>100</v>
      </c>
    </row>
    <row r="75" spans="1:55" ht="26.25" customHeight="1" x14ac:dyDescent="0.2">
      <c r="A75" s="271"/>
      <c r="B75" s="1499"/>
      <c r="C75" s="83"/>
      <c r="D75" s="1496" t="s">
        <v>94</v>
      </c>
      <c r="E75" s="1514"/>
      <c r="F75" s="1496" t="s">
        <v>38</v>
      </c>
      <c r="G75" s="1514"/>
      <c r="H75" s="1496" t="s">
        <v>106</v>
      </c>
      <c r="I75" s="1514"/>
      <c r="J75" s="1496" t="s">
        <v>46</v>
      </c>
      <c r="K75" s="1514"/>
      <c r="L75" s="1496" t="s">
        <v>107</v>
      </c>
      <c r="M75" s="1514"/>
      <c r="N75" s="1496" t="s">
        <v>23</v>
      </c>
      <c r="O75" s="1514"/>
      <c r="P75" s="1496" t="s">
        <v>67</v>
      </c>
      <c r="Q75" s="1514"/>
      <c r="R75" s="1496" t="s">
        <v>66</v>
      </c>
      <c r="S75" s="1514"/>
      <c r="T75" s="1496" t="s">
        <v>64</v>
      </c>
      <c r="U75" s="1514"/>
      <c r="V75" s="1496" t="s">
        <v>65</v>
      </c>
      <c r="W75" s="1497"/>
      <c r="X75" s="9"/>
      <c r="Y75" s="119"/>
      <c r="Z75" s="138"/>
      <c r="AA75" s="76"/>
      <c r="AB75" s="48" t="str">
        <f t="shared" si="88"/>
        <v>West Berkshire</v>
      </c>
      <c r="AC75" s="47">
        <v>19</v>
      </c>
      <c r="AD75" s="48" t="str">
        <f t="shared" si="80"/>
        <v>West BerkshireProportion (%)</v>
      </c>
      <c r="AE75" s="49" t="b">
        <f t="shared" si="13"/>
        <v>0</v>
      </c>
      <c r="AF75" s="52">
        <f t="shared" ref="AF75:BA75" si="99">IF(ISERROR(AF27/$BA27*100),NA(),AF27/$BA27*100)</f>
        <v>8.3284457478005862</v>
      </c>
      <c r="AG75" s="53" t="e">
        <f t="shared" si="99"/>
        <v>#N/A</v>
      </c>
      <c r="AH75" s="53" t="e">
        <f t="shared" si="99"/>
        <v>#N/A</v>
      </c>
      <c r="AI75" s="53" t="e">
        <f t="shared" si="99"/>
        <v>#N/A</v>
      </c>
      <c r="AJ75" s="53">
        <f t="shared" si="99"/>
        <v>19.589442815249267</v>
      </c>
      <c r="AK75" s="53">
        <f t="shared" si="99"/>
        <v>0.64516129032258063</v>
      </c>
      <c r="AL75" s="53">
        <f t="shared" si="99"/>
        <v>14.838709677419354</v>
      </c>
      <c r="AM75" s="53" t="e">
        <f t="shared" si="99"/>
        <v>#N/A</v>
      </c>
      <c r="AN75" s="53" t="e">
        <f t="shared" si="99"/>
        <v>#N/A</v>
      </c>
      <c r="AO75" s="53" t="e">
        <f t="shared" si="99"/>
        <v>#N/A</v>
      </c>
      <c r="AP75" s="53" t="e">
        <f t="shared" si="99"/>
        <v>#N/A</v>
      </c>
      <c r="AQ75" s="53" t="e">
        <f t="shared" si="99"/>
        <v>#N/A</v>
      </c>
      <c r="AR75" s="53">
        <f t="shared" si="99"/>
        <v>0.52785923753665687</v>
      </c>
      <c r="AS75" s="53">
        <f t="shared" si="99"/>
        <v>8.8563049853372426</v>
      </c>
      <c r="AT75" s="53" t="e">
        <f t="shared" si="99"/>
        <v>#N/A</v>
      </c>
      <c r="AU75" s="53" t="e">
        <f t="shared" si="99"/>
        <v>#N/A</v>
      </c>
      <c r="AV75" s="53">
        <f t="shared" si="99"/>
        <v>36.187683284457478</v>
      </c>
      <c r="AW75" s="53">
        <f t="shared" si="99"/>
        <v>2.404692082111437</v>
      </c>
      <c r="AX75" s="53">
        <f t="shared" si="99"/>
        <v>5.1026392961876832</v>
      </c>
      <c r="AY75" s="53">
        <f t="shared" si="99"/>
        <v>1.6422287390029326</v>
      </c>
      <c r="AZ75" s="54">
        <f t="shared" si="99"/>
        <v>1.8768328445747802</v>
      </c>
      <c r="BA75" s="57">
        <f t="shared" si="99"/>
        <v>100</v>
      </c>
    </row>
    <row r="76" spans="1:55" ht="15.75" customHeight="1" x14ac:dyDescent="0.2">
      <c r="A76" s="271"/>
      <c r="B76" s="170" t="str">
        <f>Sheet1!$K$4</f>
        <v>Bracknell Forest</v>
      </c>
      <c r="C76" s="72"/>
      <c r="D76" s="1488"/>
      <c r="E76" s="1489"/>
      <c r="F76" s="1488"/>
      <c r="G76" s="1489"/>
      <c r="H76" s="1488"/>
      <c r="I76" s="1489"/>
      <c r="J76" s="1488"/>
      <c r="K76" s="1489"/>
      <c r="L76" s="1488"/>
      <c r="M76" s="1489"/>
      <c r="N76" s="1488"/>
      <c r="O76" s="1489"/>
      <c r="P76" s="1488"/>
      <c r="Q76" s="1489"/>
      <c r="R76" s="1488"/>
      <c r="S76" s="1489"/>
      <c r="T76" s="1488"/>
      <c r="U76" s="1489"/>
      <c r="V76" s="1488"/>
      <c r="W76" s="1536"/>
      <c r="X76" s="15"/>
      <c r="Y76" s="119"/>
      <c r="Z76" s="138"/>
      <c r="AA76" s="76"/>
      <c r="AB76" s="48" t="str">
        <f t="shared" si="88"/>
        <v>West Sussex</v>
      </c>
      <c r="AC76" s="47">
        <v>20</v>
      </c>
      <c r="AD76" s="48" t="str">
        <f t="shared" si="80"/>
        <v>West SussexProportion (%)</v>
      </c>
      <c r="AE76" s="49" t="b">
        <f t="shared" ref="AE76:AE79" si="100">IF(AB76=$AA$6,1)</f>
        <v>0</v>
      </c>
      <c r="AF76" s="52">
        <f t="shared" ref="AF76:BA76" si="101">IF(ISERROR(AF28/$BA28*100),NA(),AF28/$BA28*100)</f>
        <v>12.97650130548303</v>
      </c>
      <c r="AG76" s="53" t="e">
        <f t="shared" si="101"/>
        <v>#N/A</v>
      </c>
      <c r="AH76" s="53" t="e">
        <f t="shared" si="101"/>
        <v>#N/A</v>
      </c>
      <c r="AI76" s="53" t="e">
        <f t="shared" si="101"/>
        <v>#N/A</v>
      </c>
      <c r="AJ76" s="53">
        <f t="shared" si="101"/>
        <v>13.759791122715404</v>
      </c>
      <c r="AK76" s="53">
        <f t="shared" si="101"/>
        <v>1.3315926892950392</v>
      </c>
      <c r="AL76" s="53">
        <f t="shared" si="101"/>
        <v>15.874673629242819</v>
      </c>
      <c r="AM76" s="53" t="e">
        <f t="shared" si="101"/>
        <v>#N/A</v>
      </c>
      <c r="AN76" s="53" t="e">
        <f t="shared" si="101"/>
        <v>#N/A</v>
      </c>
      <c r="AO76" s="53" t="e">
        <f t="shared" si="101"/>
        <v>#N/A</v>
      </c>
      <c r="AP76" s="53" t="e">
        <f t="shared" si="101"/>
        <v>#N/A</v>
      </c>
      <c r="AQ76" s="53" t="e">
        <f t="shared" si="101"/>
        <v>#N/A</v>
      </c>
      <c r="AR76" s="53">
        <f t="shared" si="101"/>
        <v>0.835509138381201</v>
      </c>
      <c r="AS76" s="53">
        <f t="shared" si="101"/>
        <v>15.091383812010445</v>
      </c>
      <c r="AT76" s="53" t="e">
        <f t="shared" si="101"/>
        <v>#N/A</v>
      </c>
      <c r="AU76" s="53" t="e">
        <f t="shared" si="101"/>
        <v>#N/A</v>
      </c>
      <c r="AV76" s="53">
        <f t="shared" si="101"/>
        <v>26.318537859007833</v>
      </c>
      <c r="AW76" s="53">
        <f t="shared" si="101"/>
        <v>3.5509138381201044</v>
      </c>
      <c r="AX76" s="53">
        <f t="shared" si="101"/>
        <v>6.1096605744125325</v>
      </c>
      <c r="AY76" s="53">
        <f t="shared" si="101"/>
        <v>3.9686684073107048</v>
      </c>
      <c r="AZ76" s="54">
        <f t="shared" si="101"/>
        <v>0.18276762402088773</v>
      </c>
      <c r="BA76" s="57">
        <f t="shared" si="101"/>
        <v>100</v>
      </c>
    </row>
    <row r="77" spans="1:55" ht="15.75" customHeight="1" x14ac:dyDescent="0.2">
      <c r="A77" s="438"/>
      <c r="B77" s="170" t="str">
        <f>Sheet1!$K$5</f>
        <v>Brighton &amp; Hove</v>
      </c>
      <c r="C77" s="9"/>
      <c r="D77" s="1515"/>
      <c r="E77" s="1518"/>
      <c r="F77" s="1515"/>
      <c r="G77" s="1518"/>
      <c r="H77" s="1515"/>
      <c r="I77" s="1518"/>
      <c r="J77" s="1515"/>
      <c r="K77" s="1518"/>
      <c r="L77" s="1515"/>
      <c r="M77" s="1518"/>
      <c r="N77" s="1515"/>
      <c r="O77" s="1518"/>
      <c r="P77" s="1515"/>
      <c r="Q77" s="1518"/>
      <c r="R77" s="1515"/>
      <c r="S77" s="1518"/>
      <c r="T77" s="1515"/>
      <c r="U77" s="1518"/>
      <c r="V77" s="1515"/>
      <c r="W77" s="1519"/>
      <c r="X77" s="9"/>
      <c r="Y77" s="122"/>
      <c r="Z77" s="138"/>
      <c r="AA77" s="76"/>
      <c r="AB77" s="48" t="str">
        <f t="shared" si="88"/>
        <v>Windsor &amp; Maidenhead</v>
      </c>
      <c r="AC77" s="47">
        <v>21</v>
      </c>
      <c r="AD77" s="48" t="str">
        <f t="shared" si="80"/>
        <v>Windsor &amp; MaidenheadProportion (%)</v>
      </c>
      <c r="AE77" s="49" t="b">
        <f t="shared" si="100"/>
        <v>0</v>
      </c>
      <c r="AF77" s="52">
        <f t="shared" ref="AF77:BA77" si="102">IF(ISERROR(AF29/$BA29*100),NA(),AF29/$BA29*100)</f>
        <v>5.5212831585441089</v>
      </c>
      <c r="AG77" s="53" t="e">
        <f t="shared" si="102"/>
        <v>#N/A</v>
      </c>
      <c r="AH77" s="53" t="e">
        <f t="shared" si="102"/>
        <v>#N/A</v>
      </c>
      <c r="AI77" s="53" t="e">
        <f t="shared" si="102"/>
        <v>#N/A</v>
      </c>
      <c r="AJ77" s="53">
        <f t="shared" si="102"/>
        <v>19.494139420111043</v>
      </c>
      <c r="AK77" s="53">
        <f t="shared" si="102"/>
        <v>0.64774830351634793</v>
      </c>
      <c r="AL77" s="53">
        <f t="shared" si="102"/>
        <v>12.769895126465144</v>
      </c>
      <c r="AM77" s="53" t="e">
        <f t="shared" si="102"/>
        <v>#N/A</v>
      </c>
      <c r="AN77" s="53" t="e">
        <f t="shared" si="102"/>
        <v>#N/A</v>
      </c>
      <c r="AO77" s="53" t="e">
        <f t="shared" si="102"/>
        <v>#N/A</v>
      </c>
      <c r="AP77" s="53" t="e">
        <f t="shared" si="102"/>
        <v>#N/A</v>
      </c>
      <c r="AQ77" s="53" t="e">
        <f t="shared" si="102"/>
        <v>#N/A</v>
      </c>
      <c r="AR77" s="53">
        <f t="shared" si="102"/>
        <v>1.1721159777914869</v>
      </c>
      <c r="AS77" s="53">
        <f t="shared" si="102"/>
        <v>8.359037631091919</v>
      </c>
      <c r="AT77" s="53" t="e">
        <f t="shared" si="102"/>
        <v>#N/A</v>
      </c>
      <c r="AU77" s="53" t="e">
        <f t="shared" si="102"/>
        <v>#N/A</v>
      </c>
      <c r="AV77" s="53">
        <f t="shared" si="102"/>
        <v>37.446020974706975</v>
      </c>
      <c r="AW77" s="53">
        <f t="shared" si="102"/>
        <v>3.8247995064774831</v>
      </c>
      <c r="AX77" s="53">
        <f t="shared" si="102"/>
        <v>2.4059222702035781</v>
      </c>
      <c r="AY77" s="53">
        <f t="shared" si="102"/>
        <v>2.9611351017890191</v>
      </c>
      <c r="AZ77" s="54">
        <f t="shared" si="102"/>
        <v>5.3979025293028995</v>
      </c>
      <c r="BA77" s="57">
        <f t="shared" si="102"/>
        <v>100</v>
      </c>
    </row>
    <row r="78" spans="1:55" ht="15.75" customHeight="1" x14ac:dyDescent="0.2">
      <c r="A78" s="271"/>
      <c r="B78" s="170" t="str">
        <f>Sheet1!$K$6</f>
        <v>Buckinghamshire</v>
      </c>
      <c r="C78" s="9"/>
      <c r="D78" s="1515"/>
      <c r="E78" s="1518"/>
      <c r="F78" s="1515"/>
      <c r="G78" s="1518"/>
      <c r="H78" s="1515"/>
      <c r="I78" s="1518"/>
      <c r="J78" s="1515"/>
      <c r="K78" s="1518"/>
      <c r="L78" s="1515"/>
      <c r="M78" s="1518"/>
      <c r="N78" s="1515"/>
      <c r="O78" s="1518"/>
      <c r="P78" s="1515"/>
      <c r="Q78" s="1518"/>
      <c r="R78" s="1515"/>
      <c r="S78" s="1518"/>
      <c r="T78" s="1515"/>
      <c r="U78" s="1518"/>
      <c r="V78" s="1515"/>
      <c r="W78" s="1519"/>
      <c r="X78" s="9"/>
      <c r="Y78" s="119"/>
      <c r="Z78" s="138"/>
      <c r="AA78" s="76"/>
      <c r="AB78" s="48" t="str">
        <f t="shared" si="88"/>
        <v>Wokingham</v>
      </c>
      <c r="AC78" s="47">
        <v>22</v>
      </c>
      <c r="AD78" s="48" t="str">
        <f t="shared" si="80"/>
        <v>WokinghamProportion (%)</v>
      </c>
      <c r="AE78" s="49" t="b">
        <f t="shared" si="100"/>
        <v>0</v>
      </c>
      <c r="AF78" s="52">
        <f t="shared" ref="AF78:BA78" si="103">IF(ISERROR(AF30/$BA30*100),NA(),AF30/$BA30*100)</f>
        <v>8.1388730791121233</v>
      </c>
      <c r="AG78" s="53" t="e">
        <f t="shared" si="103"/>
        <v>#N/A</v>
      </c>
      <c r="AH78" s="53" t="e">
        <f t="shared" si="103"/>
        <v>#N/A</v>
      </c>
      <c r="AI78" s="53" t="e">
        <f t="shared" si="103"/>
        <v>#N/A</v>
      </c>
      <c r="AJ78" s="53">
        <f t="shared" si="103"/>
        <v>16.789982925441095</v>
      </c>
      <c r="AK78" s="53">
        <f t="shared" si="103"/>
        <v>0</v>
      </c>
      <c r="AL78" s="53">
        <f t="shared" si="103"/>
        <v>13.375071143995445</v>
      </c>
      <c r="AM78" s="53" t="e">
        <f t="shared" si="103"/>
        <v>#N/A</v>
      </c>
      <c r="AN78" s="53" t="e">
        <f t="shared" si="103"/>
        <v>#N/A</v>
      </c>
      <c r="AO78" s="53" t="e">
        <f t="shared" si="103"/>
        <v>#N/A</v>
      </c>
      <c r="AP78" s="53" t="e">
        <f t="shared" si="103"/>
        <v>#N/A</v>
      </c>
      <c r="AQ78" s="53" t="e">
        <f t="shared" si="103"/>
        <v>#N/A</v>
      </c>
      <c r="AR78" s="53">
        <f t="shared" si="103"/>
        <v>0</v>
      </c>
      <c r="AS78" s="53">
        <f t="shared" si="103"/>
        <v>15.139442231075698</v>
      </c>
      <c r="AT78" s="53" t="e">
        <f t="shared" si="103"/>
        <v>#N/A</v>
      </c>
      <c r="AU78" s="53" t="e">
        <f t="shared" si="103"/>
        <v>#N/A</v>
      </c>
      <c r="AV78" s="53">
        <f t="shared" si="103"/>
        <v>29.2544109277177</v>
      </c>
      <c r="AW78" s="53">
        <f t="shared" si="103"/>
        <v>1.6505406943653957</v>
      </c>
      <c r="AX78" s="53">
        <f t="shared" si="103"/>
        <v>9.277177006260672</v>
      </c>
      <c r="AY78" s="53">
        <f t="shared" si="103"/>
        <v>4.4393853158793402</v>
      </c>
      <c r="AZ78" s="54">
        <f t="shared" si="103"/>
        <v>1.9351166761525329</v>
      </c>
      <c r="BA78" s="57">
        <f t="shared" si="103"/>
        <v>100</v>
      </c>
    </row>
    <row r="79" spans="1:55" ht="15.75" customHeight="1" x14ac:dyDescent="0.2">
      <c r="A79" s="271"/>
      <c r="B79" s="170" t="str">
        <f>Sheet1!$K$7</f>
        <v>East Sussex</v>
      </c>
      <c r="C79" s="9"/>
      <c r="D79" s="1515"/>
      <c r="E79" s="1515"/>
      <c r="F79" s="1515"/>
      <c r="G79" s="1515"/>
      <c r="H79" s="1515"/>
      <c r="I79" s="1515"/>
      <c r="J79" s="1515"/>
      <c r="K79" s="1515"/>
      <c r="L79" s="1515"/>
      <c r="M79" s="1515"/>
      <c r="N79" s="1515"/>
      <c r="O79" s="1515"/>
      <c r="P79" s="1515"/>
      <c r="Q79" s="1515"/>
      <c r="R79" s="1515"/>
      <c r="S79" s="1515"/>
      <c r="T79" s="1515"/>
      <c r="U79" s="1515"/>
      <c r="V79" s="1515"/>
      <c r="W79" s="1516"/>
      <c r="X79" s="9"/>
      <c r="Y79" s="119"/>
      <c r="Z79" s="138"/>
      <c r="AA79" s="76"/>
      <c r="AB79" s="48" t="str">
        <f t="shared" si="88"/>
        <v>South East</v>
      </c>
      <c r="AC79" s="47">
        <v>23</v>
      </c>
      <c r="AD79" s="48" t="str">
        <f t="shared" si="80"/>
        <v>South EastProportion (%)</v>
      </c>
      <c r="AE79" s="49" t="b">
        <f t="shared" si="100"/>
        <v>0</v>
      </c>
      <c r="AF79" s="52">
        <f t="shared" ref="AF79:BA80" si="104">IF(ISERROR(AF31/$BA31*100),NA(),AF31/$BA31*100)</f>
        <v>8.3259291796863302</v>
      </c>
      <c r="AG79" s="53">
        <f t="shared" si="104"/>
        <v>0</v>
      </c>
      <c r="AH79" s="53">
        <f t="shared" si="104"/>
        <v>0</v>
      </c>
      <c r="AI79" s="53">
        <f t="shared" si="104"/>
        <v>0</v>
      </c>
      <c r="AJ79" s="53">
        <f t="shared" si="104"/>
        <v>19.682736175862793</v>
      </c>
      <c r="AK79" s="53">
        <f t="shared" si="104"/>
        <v>1.1820024159171001</v>
      </c>
      <c r="AL79" s="53">
        <f t="shared" si="104"/>
        <v>13.211672273857181</v>
      </c>
      <c r="AM79" s="53">
        <f t="shared" si="104"/>
        <v>0</v>
      </c>
      <c r="AN79" s="53">
        <f t="shared" si="104"/>
        <v>0</v>
      </c>
      <c r="AO79" s="53">
        <f t="shared" si="104"/>
        <v>0</v>
      </c>
      <c r="AP79" s="53">
        <f t="shared" si="104"/>
        <v>0</v>
      </c>
      <c r="AQ79" s="53">
        <f t="shared" si="104"/>
        <v>0</v>
      </c>
      <c r="AR79" s="53">
        <f t="shared" si="104"/>
        <v>1.1989737343888827</v>
      </c>
      <c r="AS79" s="53">
        <f t="shared" si="104"/>
        <v>11.719194561191586</v>
      </c>
      <c r="AT79" s="53">
        <f t="shared" si="104"/>
        <v>0</v>
      </c>
      <c r="AU79" s="53">
        <f t="shared" si="104"/>
        <v>0</v>
      </c>
      <c r="AV79" s="53">
        <f t="shared" si="104"/>
        <v>30.756022322275356</v>
      </c>
      <c r="AW79" s="53">
        <f t="shared" si="104"/>
        <v>3.4471742754744481</v>
      </c>
      <c r="AX79" s="53">
        <f t="shared" si="104"/>
        <v>5.9928720462418514</v>
      </c>
      <c r="AY79" s="53">
        <f t="shared" si="104"/>
        <v>2.1204164961215546</v>
      </c>
      <c r="AZ79" s="54">
        <f t="shared" si="104"/>
        <v>2.3630065189829188</v>
      </c>
      <c r="BA79" s="57">
        <f t="shared" si="104"/>
        <v>100</v>
      </c>
    </row>
    <row r="80" spans="1:55" ht="15.75" customHeight="1" x14ac:dyDescent="0.2">
      <c r="A80" s="271"/>
      <c r="B80" s="170" t="str">
        <f>Sheet1!$K$8</f>
        <v>Hampshire</v>
      </c>
      <c r="C80" s="9"/>
      <c r="D80" s="1515"/>
      <c r="E80" s="1518"/>
      <c r="F80" s="1515"/>
      <c r="G80" s="1518"/>
      <c r="H80" s="1515"/>
      <c r="I80" s="1518"/>
      <c r="J80" s="1515"/>
      <c r="K80" s="1518"/>
      <c r="L80" s="1515"/>
      <c r="M80" s="1518"/>
      <c r="N80" s="1515"/>
      <c r="O80" s="1518"/>
      <c r="P80" s="1515"/>
      <c r="Q80" s="1518"/>
      <c r="R80" s="1515"/>
      <c r="S80" s="1518"/>
      <c r="T80" s="1515"/>
      <c r="U80" s="1518"/>
      <c r="V80" s="1515"/>
      <c r="W80" s="1519"/>
      <c r="X80" s="9"/>
      <c r="Y80" s="119"/>
      <c r="Z80" s="138"/>
      <c r="AA80" s="76"/>
      <c r="AB80" s="48" t="str">
        <f t="shared" si="88"/>
        <v>England</v>
      </c>
      <c r="AC80" s="613">
        <v>24</v>
      </c>
      <c r="AD80" s="48" t="str">
        <f t="shared" ref="AD80" si="105">CONCATENATE(AB80,$AB$7)</f>
        <v>EnglandProportion (%)</v>
      </c>
      <c r="AE80" s="49" t="b">
        <f t="shared" ref="AE80" si="106">IF(AB80=$AA$6,1)</f>
        <v>0</v>
      </c>
      <c r="AF80" s="52">
        <f t="shared" si="104"/>
        <v>7.9810114914275188</v>
      </c>
      <c r="AG80" s="53" t="e">
        <f t="shared" si="104"/>
        <v>#N/A</v>
      </c>
      <c r="AH80" s="53" t="e">
        <f t="shared" si="104"/>
        <v>#N/A</v>
      </c>
      <c r="AI80" s="53" t="e">
        <f t="shared" si="104"/>
        <v>#N/A</v>
      </c>
      <c r="AJ80" s="53">
        <f t="shared" si="104"/>
        <v>18.003748540527255</v>
      </c>
      <c r="AK80" s="53">
        <f t="shared" si="104"/>
        <v>2.3935353038775884</v>
      </c>
      <c r="AL80" s="53">
        <f t="shared" si="104"/>
        <v>14.605481472377557</v>
      </c>
      <c r="AM80" s="53" t="e">
        <f t="shared" si="104"/>
        <v>#N/A</v>
      </c>
      <c r="AN80" s="53" t="e">
        <f t="shared" si="104"/>
        <v>#N/A</v>
      </c>
      <c r="AO80" s="53" t="e">
        <f t="shared" si="104"/>
        <v>#N/A</v>
      </c>
      <c r="AP80" s="53" t="e">
        <f t="shared" si="104"/>
        <v>#N/A</v>
      </c>
      <c r="AQ80" s="53" t="e">
        <f t="shared" si="104"/>
        <v>#N/A</v>
      </c>
      <c r="AR80" s="53">
        <f t="shared" si="104"/>
        <v>1.3119891845388068</v>
      </c>
      <c r="AS80" s="53">
        <f t="shared" si="104"/>
        <v>13.336508326676089</v>
      </c>
      <c r="AT80" s="53" t="e">
        <f t="shared" si="104"/>
        <v>#N/A</v>
      </c>
      <c r="AU80" s="53" t="e">
        <f t="shared" si="104"/>
        <v>#N/A</v>
      </c>
      <c r="AV80" s="53">
        <f t="shared" si="104"/>
        <v>29.175628341424449</v>
      </c>
      <c r="AW80" s="53">
        <f t="shared" si="104"/>
        <v>3.6532907269710564</v>
      </c>
      <c r="AX80" s="53">
        <f t="shared" si="104"/>
        <v>5.4968352485712533</v>
      </c>
      <c r="AY80" s="53">
        <f t="shared" si="104"/>
        <v>2.3935353038775884</v>
      </c>
      <c r="AZ80" s="54">
        <f t="shared" si="104"/>
        <v>1.6484360597308425</v>
      </c>
      <c r="BA80" s="57">
        <f t="shared" si="104"/>
        <v>100</v>
      </c>
    </row>
    <row r="81" spans="1:55" ht="15.75" customHeight="1" x14ac:dyDescent="0.2">
      <c r="A81" s="271"/>
      <c r="B81" s="170" t="str">
        <f>Sheet1!$K$9</f>
        <v>Isle of Wight</v>
      </c>
      <c r="C81" s="9"/>
      <c r="D81" s="1515"/>
      <c r="E81" s="1515"/>
      <c r="F81" s="1515"/>
      <c r="G81" s="1515"/>
      <c r="H81" s="1515"/>
      <c r="I81" s="1515"/>
      <c r="J81" s="1515"/>
      <c r="K81" s="1515"/>
      <c r="L81" s="1515"/>
      <c r="M81" s="1515"/>
      <c r="N81" s="1515"/>
      <c r="O81" s="1515"/>
      <c r="P81" s="1515"/>
      <c r="Q81" s="1515"/>
      <c r="R81" s="1515"/>
      <c r="S81" s="1515"/>
      <c r="T81" s="1515"/>
      <c r="U81" s="1515"/>
      <c r="V81" s="1515"/>
      <c r="W81" s="1516"/>
      <c r="X81" s="9"/>
      <c r="Y81" s="119"/>
      <c r="Z81" s="138"/>
      <c r="AA81" s="76"/>
      <c r="AB81" s="48"/>
      <c r="AC81" s="613"/>
      <c r="AD81" s="614"/>
      <c r="AE81" s="615"/>
      <c r="AF81" s="616"/>
      <c r="AG81" s="616"/>
      <c r="AH81" s="616"/>
      <c r="AI81" s="616"/>
      <c r="AJ81" s="616"/>
      <c r="AK81" s="616"/>
      <c r="AL81" s="616"/>
      <c r="AM81" s="616"/>
      <c r="AN81" s="616"/>
      <c r="AO81" s="616"/>
      <c r="AP81" s="616"/>
      <c r="AQ81" s="616"/>
      <c r="AR81" s="616"/>
      <c r="AS81" s="616"/>
      <c r="AT81" s="616"/>
      <c r="AU81" s="616"/>
      <c r="AV81" s="616"/>
      <c r="AW81" s="616"/>
      <c r="AX81" s="616"/>
      <c r="AY81" s="616"/>
      <c r="AZ81" s="616"/>
      <c r="BA81" s="613"/>
    </row>
    <row r="82" spans="1:55" ht="15.75" customHeight="1" x14ac:dyDescent="0.2">
      <c r="A82" s="271"/>
      <c r="B82" s="170" t="str">
        <f>Sheet1!$K$10</f>
        <v>Kent</v>
      </c>
      <c r="C82" s="9"/>
      <c r="D82" s="1515"/>
      <c r="E82" s="1518"/>
      <c r="F82" s="1515"/>
      <c r="G82" s="1518"/>
      <c r="H82" s="1515"/>
      <c r="I82" s="1518"/>
      <c r="J82" s="1515"/>
      <c r="K82" s="1518"/>
      <c r="L82" s="1515"/>
      <c r="M82" s="1518"/>
      <c r="N82" s="1515"/>
      <c r="O82" s="1518"/>
      <c r="P82" s="1515"/>
      <c r="Q82" s="1518"/>
      <c r="R82" s="1515"/>
      <c r="S82" s="1518"/>
      <c r="T82" s="1515"/>
      <c r="U82" s="1518"/>
      <c r="V82" s="1515"/>
      <c r="W82" s="1519"/>
      <c r="X82" s="9"/>
      <c r="Y82" s="119"/>
      <c r="Z82" s="138"/>
      <c r="AA82" s="76"/>
      <c r="AB82" s="1545" t="s">
        <v>94</v>
      </c>
      <c r="AC82" s="83">
        <v>0.5</v>
      </c>
      <c r="AD82" s="189">
        <f>IF(AB8="Number",NA(),D63)</f>
        <v>8.3259291796863302</v>
      </c>
      <c r="AM82" s="179"/>
      <c r="AN82" s="179"/>
      <c r="AO82" s="179"/>
      <c r="AP82" s="179"/>
      <c r="AQ82" s="179"/>
    </row>
    <row r="83" spans="1:55" ht="15.75" customHeight="1" x14ac:dyDescent="0.2">
      <c r="A83" s="271"/>
      <c r="B83" s="170" t="str">
        <f>Sheet1!$K$11</f>
        <v>Medway</v>
      </c>
      <c r="C83" s="9"/>
      <c r="D83" s="1515"/>
      <c r="E83" s="1515"/>
      <c r="F83" s="1515"/>
      <c r="G83" s="1515"/>
      <c r="H83" s="1515"/>
      <c r="I83" s="1515"/>
      <c r="J83" s="1515"/>
      <c r="K83" s="1515"/>
      <c r="L83" s="1515"/>
      <c r="M83" s="1515"/>
      <c r="N83" s="1515"/>
      <c r="O83" s="1515"/>
      <c r="P83" s="1515"/>
      <c r="Q83" s="1515"/>
      <c r="R83" s="1515"/>
      <c r="S83" s="1515"/>
      <c r="T83" s="1515"/>
      <c r="U83" s="1515"/>
      <c r="V83" s="1515"/>
      <c r="W83" s="1516"/>
      <c r="X83" s="9"/>
      <c r="Y83" s="119"/>
      <c r="Z83" s="138"/>
      <c r="AA83" s="76"/>
      <c r="AB83" s="1548"/>
      <c r="AC83" s="83">
        <v>23.5</v>
      </c>
      <c r="AD83" s="190">
        <f>AD82</f>
        <v>8.3259291796863302</v>
      </c>
      <c r="AM83" s="179"/>
      <c r="AN83" s="179"/>
      <c r="AO83" s="179"/>
      <c r="AP83" s="179"/>
      <c r="AQ83" s="179"/>
    </row>
    <row r="84" spans="1:55" ht="15.75" customHeight="1" x14ac:dyDescent="0.2">
      <c r="A84" s="271"/>
      <c r="B84" s="170" t="str">
        <f>Sheet1!$K$12</f>
        <v>Milton Keynes</v>
      </c>
      <c r="C84" s="9"/>
      <c r="D84" s="1515"/>
      <c r="E84" s="1518"/>
      <c r="F84" s="1515"/>
      <c r="G84" s="1518"/>
      <c r="H84" s="1515"/>
      <c r="I84" s="1518"/>
      <c r="J84" s="1515"/>
      <c r="K84" s="1518"/>
      <c r="L84" s="1515"/>
      <c r="M84" s="1518"/>
      <c r="N84" s="1515"/>
      <c r="O84" s="1518"/>
      <c r="P84" s="1515"/>
      <c r="Q84" s="1518"/>
      <c r="R84" s="1515"/>
      <c r="S84" s="1518"/>
      <c r="T84" s="1515"/>
      <c r="U84" s="1518"/>
      <c r="V84" s="1515"/>
      <c r="W84" s="1519"/>
      <c r="X84" s="9"/>
      <c r="Y84" s="119"/>
      <c r="Z84" s="138"/>
      <c r="AA84" s="76"/>
      <c r="AB84" s="1545" t="s">
        <v>38</v>
      </c>
      <c r="AC84" s="83">
        <v>0.5</v>
      </c>
      <c r="AD84" s="189">
        <f>IF($AB$8="Number",NA(),F63)</f>
        <v>20.864738591779894</v>
      </c>
      <c r="AH84" s="183"/>
      <c r="AI84" s="183"/>
      <c r="AJ84" s="183"/>
      <c r="AK84" s="183"/>
      <c r="AL84" s="183"/>
      <c r="AM84" s="179"/>
      <c r="AN84" s="179"/>
      <c r="AO84" s="179"/>
      <c r="AP84" s="179"/>
      <c r="AQ84" s="179"/>
      <c r="AR84" s="78"/>
      <c r="AS84" s="78"/>
      <c r="AT84" s="78"/>
      <c r="AU84" s="78"/>
      <c r="AV84" s="78"/>
      <c r="AW84" s="78"/>
      <c r="AX84" s="78"/>
      <c r="AY84" s="78"/>
      <c r="AZ84" s="78"/>
      <c r="BA84" s="78"/>
    </row>
    <row r="85" spans="1:55" ht="15.75" customHeight="1" x14ac:dyDescent="0.2">
      <c r="A85" s="271"/>
      <c r="B85" s="170" t="str">
        <f>Sheet1!$K$13</f>
        <v>Oxfordshire</v>
      </c>
      <c r="C85" s="9"/>
      <c r="D85" s="1515"/>
      <c r="E85" s="1518"/>
      <c r="F85" s="1515"/>
      <c r="G85" s="1518"/>
      <c r="H85" s="1515"/>
      <c r="I85" s="1518"/>
      <c r="J85" s="1515"/>
      <c r="K85" s="1518"/>
      <c r="L85" s="1515"/>
      <c r="M85" s="1518"/>
      <c r="N85" s="1515"/>
      <c r="O85" s="1518"/>
      <c r="P85" s="1515"/>
      <c r="Q85" s="1515"/>
      <c r="R85" s="1515"/>
      <c r="S85" s="1515"/>
      <c r="T85" s="1515"/>
      <c r="U85" s="1515"/>
      <c r="V85" s="1515"/>
      <c r="W85" s="1516"/>
      <c r="X85" s="9"/>
      <c r="Y85" s="119"/>
      <c r="Z85" s="138"/>
      <c r="AA85" s="76"/>
      <c r="AB85" s="1548"/>
      <c r="AC85" s="83">
        <f>$AC$83</f>
        <v>23.5</v>
      </c>
      <c r="AD85" s="190">
        <f>AD84</f>
        <v>20.864738591779894</v>
      </c>
      <c r="AE85" s="191"/>
      <c r="AF85" s="192"/>
      <c r="AG85" s="192"/>
      <c r="AM85" s="179"/>
      <c r="AN85" s="179"/>
      <c r="AO85" s="179"/>
      <c r="AP85" s="179"/>
      <c r="AQ85" s="179"/>
    </row>
    <row r="86" spans="1:55" s="83" customFormat="1" ht="15.75" customHeight="1" x14ac:dyDescent="0.2">
      <c r="A86" s="271"/>
      <c r="B86" s="170" t="str">
        <f>Sheet1!$K$14</f>
        <v>Portsmouth</v>
      </c>
      <c r="C86" s="9"/>
      <c r="D86" s="1515"/>
      <c r="E86" s="1518"/>
      <c r="F86" s="1515"/>
      <c r="G86" s="1518"/>
      <c r="H86" s="1515"/>
      <c r="I86" s="1518"/>
      <c r="J86" s="1515"/>
      <c r="K86" s="1518"/>
      <c r="L86" s="1515"/>
      <c r="M86" s="1518"/>
      <c r="N86" s="1515"/>
      <c r="O86" s="1518"/>
      <c r="P86" s="1515"/>
      <c r="Q86" s="1518"/>
      <c r="R86" s="1515"/>
      <c r="S86" s="1518"/>
      <c r="T86" s="1515"/>
      <c r="U86" s="1518"/>
      <c r="V86" s="1515"/>
      <c r="W86" s="1519"/>
      <c r="X86" s="15"/>
      <c r="Y86" s="119"/>
      <c r="Z86" s="138"/>
      <c r="AB86" s="1545" t="s">
        <v>106</v>
      </c>
      <c r="AC86" s="83">
        <v>0.5</v>
      </c>
      <c r="AD86" s="189">
        <f>IF($AB$8="Number",NA(),H$63)</f>
        <v>13.211672273857181</v>
      </c>
      <c r="AH86" s="183"/>
      <c r="AI86" s="183"/>
      <c r="AJ86" s="183"/>
      <c r="AK86" s="183"/>
      <c r="AL86" s="183"/>
      <c r="AM86" s="179"/>
      <c r="AN86" s="179"/>
      <c r="AO86" s="179"/>
      <c r="AP86" s="179"/>
      <c r="AQ86" s="179"/>
      <c r="AR86" s="89"/>
      <c r="AS86" s="89"/>
      <c r="AT86" s="89"/>
      <c r="AU86" s="89"/>
      <c r="AV86" s="89"/>
      <c r="AW86" s="89"/>
      <c r="AX86" s="89"/>
      <c r="AY86" s="89"/>
      <c r="AZ86" s="89"/>
      <c r="BA86" s="89"/>
      <c r="BB86" s="76"/>
      <c r="BC86" s="76"/>
    </row>
    <row r="87" spans="1:55" s="83" customFormat="1" ht="15.75" customHeight="1" x14ac:dyDescent="0.2">
      <c r="A87" s="271"/>
      <c r="B87" s="170" t="str">
        <f>Sheet1!$K$15</f>
        <v>Reading</v>
      </c>
      <c r="C87" s="9"/>
      <c r="D87" s="1515"/>
      <c r="E87" s="1515"/>
      <c r="F87" s="1515"/>
      <c r="G87" s="1515"/>
      <c r="H87" s="1515"/>
      <c r="I87" s="1515"/>
      <c r="J87" s="1515"/>
      <c r="K87" s="1515"/>
      <c r="L87" s="1515"/>
      <c r="M87" s="1515"/>
      <c r="N87" s="1515"/>
      <c r="O87" s="1515"/>
      <c r="P87" s="1515"/>
      <c r="Q87" s="1515"/>
      <c r="R87" s="1515"/>
      <c r="S87" s="1515"/>
      <c r="T87" s="1515"/>
      <c r="U87" s="1515"/>
      <c r="V87" s="1515"/>
      <c r="W87" s="1516"/>
      <c r="X87" s="15"/>
      <c r="Y87" s="119"/>
      <c r="Z87" s="138"/>
      <c r="AB87" s="1548"/>
      <c r="AC87" s="83">
        <f>$AC$83</f>
        <v>23.5</v>
      </c>
      <c r="AD87" s="190">
        <f>AD86</f>
        <v>13.211672273857181</v>
      </c>
      <c r="AE87" s="191"/>
      <c r="AF87" s="192"/>
      <c r="AG87" s="192"/>
      <c r="AM87" s="179"/>
      <c r="AN87" s="179"/>
      <c r="AO87" s="179"/>
      <c r="AP87" s="179"/>
      <c r="AQ87" s="179"/>
      <c r="AR87" s="89"/>
      <c r="AS87" s="89"/>
      <c r="AT87" s="89"/>
      <c r="AU87" s="89"/>
      <c r="AV87" s="89"/>
      <c r="AW87" s="89"/>
      <c r="AX87" s="89"/>
      <c r="AY87" s="89"/>
      <c r="AZ87" s="89"/>
      <c r="BA87" s="89"/>
      <c r="BB87" s="76"/>
    </row>
    <row r="88" spans="1:55" s="83" customFormat="1" ht="15.75" customHeight="1" x14ac:dyDescent="0.2">
      <c r="A88" s="271"/>
      <c r="B88" s="170" t="str">
        <f>Sheet1!$K$16</f>
        <v>Slough</v>
      </c>
      <c r="C88" s="9"/>
      <c r="D88" s="1515"/>
      <c r="E88" s="1518"/>
      <c r="F88" s="1515"/>
      <c r="G88" s="1518"/>
      <c r="H88" s="1515"/>
      <c r="I88" s="1518"/>
      <c r="J88" s="1515"/>
      <c r="K88" s="1518"/>
      <c r="L88" s="1515"/>
      <c r="M88" s="1518"/>
      <c r="N88" s="1515"/>
      <c r="O88" s="1518"/>
      <c r="P88" s="1515"/>
      <c r="Q88" s="1518"/>
      <c r="R88" s="1515"/>
      <c r="S88" s="1518"/>
      <c r="T88" s="1515"/>
      <c r="U88" s="1518"/>
      <c r="V88" s="1515"/>
      <c r="W88" s="1519"/>
      <c r="X88" s="15"/>
      <c r="Y88" s="119"/>
      <c r="Z88" s="138"/>
      <c r="AB88" s="1545" t="s">
        <v>46</v>
      </c>
      <c r="AC88" s="83">
        <v>0.5</v>
      </c>
      <c r="AD88" s="189">
        <f>IF($AB$8="Number",NA(),J$63)</f>
        <v>1.1989737343888827</v>
      </c>
      <c r="AH88" s="183"/>
      <c r="AI88" s="183"/>
      <c r="AJ88" s="183"/>
      <c r="AK88" s="183"/>
      <c r="AL88" s="183"/>
      <c r="AM88" s="179"/>
      <c r="AN88" s="179"/>
      <c r="AO88" s="179"/>
      <c r="AP88" s="179"/>
      <c r="AQ88" s="179"/>
      <c r="AR88" s="89"/>
      <c r="AS88" s="89"/>
      <c r="AT88" s="89"/>
      <c r="AU88" s="89"/>
      <c r="AV88" s="89"/>
      <c r="AW88" s="89"/>
      <c r="AX88" s="89"/>
      <c r="AY88" s="89"/>
      <c r="AZ88" s="89"/>
      <c r="BA88" s="89"/>
      <c r="BB88" s="76"/>
    </row>
    <row r="89" spans="1:55" s="83" customFormat="1" ht="15.75" customHeight="1" x14ac:dyDescent="0.2">
      <c r="A89" s="271"/>
      <c r="B89" s="170" t="str">
        <f>Sheet1!$K$17</f>
        <v>Somerset</v>
      </c>
      <c r="C89" s="9"/>
      <c r="D89" s="1515"/>
      <c r="E89" s="1518"/>
      <c r="F89" s="1515"/>
      <c r="G89" s="1518"/>
      <c r="H89" s="1515"/>
      <c r="I89" s="1518"/>
      <c r="J89" s="1515"/>
      <c r="K89" s="1518"/>
      <c r="L89" s="1515"/>
      <c r="M89" s="1518"/>
      <c r="N89" s="1515"/>
      <c r="O89" s="1518"/>
      <c r="P89" s="1515"/>
      <c r="Q89" s="1518"/>
      <c r="R89" s="1515"/>
      <c r="S89" s="1518"/>
      <c r="T89" s="1515"/>
      <c r="U89" s="1518"/>
      <c r="V89" s="1515"/>
      <c r="W89" s="1519"/>
      <c r="X89" s="15"/>
      <c r="Y89" s="119"/>
      <c r="Z89" s="138"/>
      <c r="AB89" s="1548"/>
      <c r="AC89" s="83">
        <f>$AC$83</f>
        <v>23.5</v>
      </c>
      <c r="AD89" s="190">
        <f>AD88</f>
        <v>1.1989737343888827</v>
      </c>
      <c r="AE89" s="191"/>
      <c r="AF89" s="192"/>
      <c r="AG89" s="192"/>
      <c r="AM89" s="179"/>
      <c r="AN89" s="179"/>
      <c r="AO89" s="179"/>
      <c r="AP89" s="179"/>
      <c r="AQ89" s="179"/>
      <c r="AR89" s="89"/>
      <c r="AS89" s="89"/>
      <c r="AT89" s="89"/>
      <c r="AU89" s="89"/>
      <c r="AV89" s="89"/>
      <c r="AW89" s="89"/>
      <c r="AX89" s="89"/>
      <c r="AY89" s="89"/>
      <c r="AZ89" s="89"/>
      <c r="BA89" s="89"/>
    </row>
    <row r="90" spans="1:55" s="83" customFormat="1" ht="15.75" customHeight="1" x14ac:dyDescent="0.2">
      <c r="A90" s="271"/>
      <c r="B90" s="170" t="str">
        <f>Sheet1!$K$18</f>
        <v>Southampton</v>
      </c>
      <c r="C90" s="9"/>
      <c r="D90" s="1515"/>
      <c r="E90" s="1518"/>
      <c r="F90" s="1515"/>
      <c r="G90" s="1518"/>
      <c r="H90" s="1515"/>
      <c r="I90" s="1518"/>
      <c r="J90" s="1515"/>
      <c r="K90" s="1518"/>
      <c r="L90" s="1515"/>
      <c r="M90" s="1518"/>
      <c r="N90" s="1515"/>
      <c r="O90" s="1518"/>
      <c r="P90" s="1515"/>
      <c r="Q90" s="1518"/>
      <c r="R90" s="1515"/>
      <c r="S90" s="1518"/>
      <c r="T90" s="1515"/>
      <c r="U90" s="1518"/>
      <c r="V90" s="1515"/>
      <c r="W90" s="1519"/>
      <c r="X90" s="15"/>
      <c r="Y90" s="119"/>
      <c r="Z90" s="138"/>
      <c r="AB90" s="1545" t="s">
        <v>107</v>
      </c>
      <c r="AC90" s="83">
        <v>0.5</v>
      </c>
      <c r="AD90" s="189">
        <f>IF($AB$8="Number",NA(),L$63)</f>
        <v>11.719194561191586</v>
      </c>
      <c r="AH90" s="183"/>
      <c r="AI90" s="183"/>
      <c r="AJ90" s="183"/>
      <c r="AK90" s="183"/>
      <c r="AL90" s="183"/>
      <c r="AM90" s="179"/>
      <c r="AN90" s="179"/>
      <c r="AO90" s="179"/>
      <c r="AP90" s="179"/>
      <c r="AQ90" s="179"/>
      <c r="AR90" s="89"/>
      <c r="AS90" s="89"/>
      <c r="AT90" s="89"/>
      <c r="AU90" s="89"/>
      <c r="AV90" s="89"/>
      <c r="AW90" s="89"/>
      <c r="AX90" s="89"/>
      <c r="AY90" s="89"/>
      <c r="AZ90" s="89"/>
      <c r="BA90" s="89"/>
    </row>
    <row r="91" spans="1:55" s="83" customFormat="1" ht="15.75" customHeight="1" x14ac:dyDescent="0.2">
      <c r="A91" s="271"/>
      <c r="B91" s="170" t="str">
        <f>Sheet1!$K$19</f>
        <v>Surrey</v>
      </c>
      <c r="C91" s="9"/>
      <c r="D91" s="1515"/>
      <c r="E91" s="1518"/>
      <c r="F91" s="1515"/>
      <c r="G91" s="1518"/>
      <c r="H91" s="1515"/>
      <c r="I91" s="1518"/>
      <c r="J91" s="1515"/>
      <c r="K91" s="1518"/>
      <c r="L91" s="1515"/>
      <c r="M91" s="1518"/>
      <c r="N91" s="1515"/>
      <c r="O91" s="1518"/>
      <c r="P91" s="1515"/>
      <c r="Q91" s="1518"/>
      <c r="R91" s="1515"/>
      <c r="S91" s="1518"/>
      <c r="T91" s="1515"/>
      <c r="U91" s="1518"/>
      <c r="V91" s="1515"/>
      <c r="W91" s="1519"/>
      <c r="X91" s="15"/>
      <c r="Y91" s="119"/>
      <c r="Z91" s="138"/>
      <c r="AB91" s="1548"/>
      <c r="AC91" s="83">
        <f>$AC$83</f>
        <v>23.5</v>
      </c>
      <c r="AD91" s="190">
        <f>AD90</f>
        <v>11.719194561191586</v>
      </c>
      <c r="AE91" s="191"/>
      <c r="AF91" s="192"/>
      <c r="AG91" s="192"/>
      <c r="AM91" s="179"/>
      <c r="AN91" s="179"/>
      <c r="AO91" s="179"/>
      <c r="AP91" s="179"/>
      <c r="AQ91" s="179"/>
      <c r="AR91" s="89"/>
      <c r="AS91" s="89"/>
      <c r="AT91" s="89"/>
      <c r="AU91" s="89"/>
      <c r="AV91" s="89"/>
      <c r="AW91" s="89"/>
      <c r="AX91" s="89"/>
      <c r="AY91" s="89"/>
      <c r="AZ91" s="89"/>
      <c r="BA91" s="89"/>
    </row>
    <row r="92" spans="1:55" s="83" customFormat="1" ht="15.75" customHeight="1" x14ac:dyDescent="0.2">
      <c r="A92" s="271"/>
      <c r="B92" s="170" t="str">
        <f>Sheet1!$K$20</f>
        <v>Swindon</v>
      </c>
      <c r="C92" s="9"/>
      <c r="D92" s="1515"/>
      <c r="E92" s="1518"/>
      <c r="F92" s="1515"/>
      <c r="G92" s="1518"/>
      <c r="H92" s="1515"/>
      <c r="I92" s="1518"/>
      <c r="J92" s="1515"/>
      <c r="K92" s="1518"/>
      <c r="L92" s="1515"/>
      <c r="M92" s="1518"/>
      <c r="N92" s="1515"/>
      <c r="O92" s="1518"/>
      <c r="P92" s="1515"/>
      <c r="Q92" s="1518"/>
      <c r="R92" s="1515"/>
      <c r="S92" s="1518"/>
      <c r="T92" s="1515"/>
      <c r="U92" s="1518"/>
      <c r="V92" s="1515"/>
      <c r="W92" s="1519"/>
      <c r="X92" s="15"/>
      <c r="Y92" s="119"/>
      <c r="Z92" s="138"/>
      <c r="AB92" s="1543" t="s">
        <v>23</v>
      </c>
      <c r="AC92" s="83">
        <v>0.5</v>
      </c>
      <c r="AD92" s="189">
        <f>IF($AB$8="Number",NA(),N$63)</f>
        <v>30.756022322275356</v>
      </c>
      <c r="AH92" s="183"/>
      <c r="AI92" s="183"/>
      <c r="AJ92" s="183"/>
      <c r="AK92" s="183"/>
      <c r="AL92" s="183"/>
      <c r="AM92" s="179"/>
      <c r="AN92" s="179"/>
      <c r="AO92" s="179"/>
      <c r="AP92" s="179"/>
      <c r="AQ92" s="179"/>
      <c r="AR92" s="89"/>
      <c r="AS92" s="89"/>
      <c r="AT92" s="89"/>
      <c r="AU92" s="89"/>
      <c r="AV92" s="89"/>
      <c r="AW92" s="89"/>
      <c r="AX92" s="89"/>
      <c r="AY92" s="89"/>
      <c r="AZ92" s="89"/>
      <c r="BA92" s="89"/>
    </row>
    <row r="93" spans="1:55" s="83" customFormat="1" ht="15.75" customHeight="1" x14ac:dyDescent="0.2">
      <c r="A93" s="271"/>
      <c r="B93" s="170" t="str">
        <f>Sheet1!$K$21</f>
        <v>Torbay</v>
      </c>
      <c r="C93" s="9"/>
      <c r="D93" s="1515"/>
      <c r="E93" s="1515"/>
      <c r="F93" s="1515"/>
      <c r="G93" s="1515"/>
      <c r="H93" s="1515"/>
      <c r="I93" s="1515"/>
      <c r="J93" s="1515"/>
      <c r="K93" s="1515"/>
      <c r="L93" s="1515"/>
      <c r="M93" s="1515"/>
      <c r="N93" s="1515"/>
      <c r="O93" s="1515"/>
      <c r="P93" s="1515"/>
      <c r="Q93" s="1515"/>
      <c r="R93" s="1515"/>
      <c r="S93" s="1515"/>
      <c r="T93" s="1515"/>
      <c r="U93" s="1515"/>
      <c r="V93" s="1515"/>
      <c r="W93" s="1516"/>
      <c r="X93" s="15"/>
      <c r="Y93" s="119"/>
      <c r="Z93" s="138"/>
      <c r="AB93" s="1544"/>
      <c r="AC93" s="83">
        <f>$AC$83</f>
        <v>23.5</v>
      </c>
      <c r="AD93" s="190">
        <f>AD92</f>
        <v>30.756022322275356</v>
      </c>
      <c r="AH93" s="183"/>
      <c r="AI93" s="183"/>
      <c r="AJ93" s="183"/>
      <c r="AK93" s="183"/>
      <c r="AL93" s="183"/>
      <c r="AM93" s="179"/>
      <c r="AN93" s="179"/>
      <c r="AO93" s="179"/>
      <c r="AP93" s="179"/>
      <c r="AQ93" s="179"/>
      <c r="AR93" s="89"/>
      <c r="AS93" s="89"/>
      <c r="AT93" s="89"/>
      <c r="AU93" s="89"/>
      <c r="AV93" s="89"/>
      <c r="AW93" s="89"/>
      <c r="AX93" s="89"/>
      <c r="AY93" s="89"/>
      <c r="AZ93" s="89"/>
      <c r="BA93" s="89"/>
    </row>
    <row r="94" spans="1:55" s="83" customFormat="1" ht="15.75" customHeight="1" x14ac:dyDescent="0.2">
      <c r="A94" s="271"/>
      <c r="B94" s="170" t="str">
        <f>Sheet1!$K$22</f>
        <v>West Berkshire</v>
      </c>
      <c r="C94" s="9"/>
      <c r="D94" s="1515"/>
      <c r="E94" s="1515"/>
      <c r="F94" s="1515"/>
      <c r="G94" s="1515"/>
      <c r="H94" s="1515"/>
      <c r="I94" s="1515"/>
      <c r="J94" s="1515"/>
      <c r="K94" s="1515"/>
      <c r="L94" s="1515"/>
      <c r="M94" s="1515"/>
      <c r="N94" s="1515"/>
      <c r="O94" s="1515"/>
      <c r="P94" s="1515"/>
      <c r="Q94" s="1515"/>
      <c r="R94" s="1515"/>
      <c r="S94" s="1515"/>
      <c r="T94" s="1515"/>
      <c r="U94" s="1515"/>
      <c r="V94" s="1515"/>
      <c r="W94" s="1516"/>
      <c r="X94" s="15"/>
      <c r="Y94" s="119"/>
      <c r="Z94" s="138"/>
      <c r="AA94" s="178"/>
      <c r="AB94" s="1545" t="s">
        <v>67</v>
      </c>
      <c r="AC94" s="83">
        <v>0.5</v>
      </c>
      <c r="AD94" s="189">
        <f>IF($AB$8="Number",NA(),P$63)</f>
        <v>3.4471742754744481</v>
      </c>
      <c r="AH94" s="183"/>
      <c r="AI94" s="183"/>
      <c r="AJ94" s="183"/>
      <c r="AK94" s="183"/>
      <c r="AL94" s="183"/>
      <c r="AM94" s="179"/>
      <c r="AN94" s="179"/>
      <c r="AO94" s="179"/>
      <c r="AP94" s="179"/>
      <c r="AQ94" s="179"/>
      <c r="AR94" s="89"/>
      <c r="AS94" s="89"/>
      <c r="AT94" s="89"/>
      <c r="AU94" s="89"/>
      <c r="AV94" s="89"/>
      <c r="AW94" s="89"/>
      <c r="AX94" s="89"/>
      <c r="AY94" s="89"/>
      <c r="AZ94" s="89"/>
      <c r="BA94" s="89"/>
    </row>
    <row r="95" spans="1:55" s="83" customFormat="1" ht="15.75" customHeight="1" x14ac:dyDescent="0.2">
      <c r="A95" s="271"/>
      <c r="B95" s="170" t="str">
        <f>Sheet1!$K$23</f>
        <v>West Sussex</v>
      </c>
      <c r="C95" s="9"/>
      <c r="D95" s="1515"/>
      <c r="E95" s="1518"/>
      <c r="F95" s="1515"/>
      <c r="G95" s="1518"/>
      <c r="H95" s="1515"/>
      <c r="I95" s="1518"/>
      <c r="J95" s="1515"/>
      <c r="K95" s="1518"/>
      <c r="L95" s="1515"/>
      <c r="M95" s="1518"/>
      <c r="N95" s="1515"/>
      <c r="O95" s="1518"/>
      <c r="P95" s="1515"/>
      <c r="Q95" s="1518"/>
      <c r="R95" s="1515"/>
      <c r="S95" s="1518"/>
      <c r="T95" s="1515"/>
      <c r="U95" s="1518"/>
      <c r="V95" s="1515"/>
      <c r="W95" s="1519"/>
      <c r="X95" s="15"/>
      <c r="Y95" s="119"/>
      <c r="Z95" s="138"/>
      <c r="AA95" s="178"/>
      <c r="AB95" s="1548"/>
      <c r="AC95" s="83">
        <f>$AC$83</f>
        <v>23.5</v>
      </c>
      <c r="AD95" s="190">
        <f>AD94</f>
        <v>3.4471742754744481</v>
      </c>
      <c r="AE95" s="191"/>
      <c r="AF95" s="192"/>
      <c r="AG95" s="192"/>
      <c r="AM95" s="179"/>
      <c r="AN95" s="179"/>
      <c r="AO95" s="179"/>
      <c r="AP95" s="179"/>
      <c r="AQ95" s="179"/>
      <c r="AR95" s="89"/>
      <c r="AS95" s="89"/>
      <c r="AT95" s="89"/>
      <c r="AU95" s="89"/>
      <c r="AV95" s="89"/>
      <c r="AW95" s="89"/>
      <c r="AX95" s="89"/>
      <c r="AY95" s="89"/>
      <c r="AZ95" s="89"/>
      <c r="BA95" s="89"/>
    </row>
    <row r="96" spans="1:55" ht="15.75" customHeight="1" x14ac:dyDescent="0.2">
      <c r="A96" s="271"/>
      <c r="B96" s="170" t="str">
        <f>Sheet1!$K$24</f>
        <v>Windsor &amp; Maidenhead</v>
      </c>
      <c r="C96" s="9"/>
      <c r="D96" s="1515"/>
      <c r="E96" s="1518"/>
      <c r="F96" s="1515"/>
      <c r="G96" s="1518"/>
      <c r="H96" s="1515"/>
      <c r="I96" s="1518"/>
      <c r="J96" s="1515"/>
      <c r="K96" s="1518"/>
      <c r="L96" s="1515"/>
      <c r="M96" s="1518"/>
      <c r="N96" s="1515"/>
      <c r="O96" s="1518"/>
      <c r="P96" s="1515"/>
      <c r="Q96" s="1518"/>
      <c r="R96" s="1515"/>
      <c r="S96" s="1518"/>
      <c r="T96" s="1515"/>
      <c r="U96" s="1518"/>
      <c r="V96" s="1515"/>
      <c r="W96" s="1519"/>
      <c r="X96" s="15"/>
      <c r="Y96" s="119"/>
      <c r="Z96" s="138"/>
      <c r="AA96" s="178"/>
      <c r="AB96" s="1545" t="s">
        <v>66</v>
      </c>
      <c r="AC96" s="83">
        <v>0.5</v>
      </c>
      <c r="AD96" s="189">
        <f>IF($AB$8="Number",NA(),R$63)</f>
        <v>5.9928720462418514</v>
      </c>
      <c r="AH96" s="183"/>
      <c r="AI96" s="183"/>
      <c r="AJ96" s="183"/>
      <c r="AK96" s="183"/>
      <c r="AL96" s="183"/>
      <c r="AM96" s="179"/>
      <c r="AN96" s="179"/>
      <c r="AO96" s="179"/>
      <c r="AP96" s="179"/>
      <c r="AQ96" s="179"/>
      <c r="AR96" s="89"/>
      <c r="AS96" s="89"/>
      <c r="AT96" s="89"/>
      <c r="AU96" s="89"/>
      <c r="AV96" s="89" t="s">
        <v>103</v>
      </c>
      <c r="AW96" s="89"/>
      <c r="AX96" s="89"/>
      <c r="AY96" s="89"/>
      <c r="AZ96" s="89"/>
      <c r="BA96" s="89"/>
      <c r="BB96" s="83"/>
      <c r="BC96" s="83"/>
    </row>
    <row r="97" spans="1:132" ht="15.75" customHeight="1" x14ac:dyDescent="0.2">
      <c r="A97" s="271"/>
      <c r="B97" s="170" t="str">
        <f>Sheet1!$K$25</f>
        <v>Wokingham</v>
      </c>
      <c r="C97" s="9"/>
      <c r="D97" s="1515"/>
      <c r="E97" s="1518"/>
      <c r="F97" s="1515"/>
      <c r="G97" s="1518"/>
      <c r="H97" s="1515"/>
      <c r="I97" s="1518"/>
      <c r="J97" s="1515"/>
      <c r="K97" s="1518"/>
      <c r="L97" s="1515"/>
      <c r="M97" s="1518"/>
      <c r="N97" s="1515"/>
      <c r="O97" s="1518"/>
      <c r="P97" s="1515"/>
      <c r="Q97" s="1515"/>
      <c r="R97" s="1515"/>
      <c r="S97" s="1515"/>
      <c r="T97" s="1515"/>
      <c r="U97" s="1515"/>
      <c r="V97" s="1515"/>
      <c r="W97" s="1516"/>
      <c r="X97" s="15"/>
      <c r="Y97" s="119"/>
      <c r="Z97" s="138"/>
      <c r="AA97" s="178"/>
      <c r="AB97" s="1548"/>
      <c r="AC97" s="83">
        <f>$AC$83</f>
        <v>23.5</v>
      </c>
      <c r="AD97" s="190">
        <f>AD96</f>
        <v>5.9928720462418514</v>
      </c>
      <c r="AE97" s="191"/>
      <c r="AF97" s="192"/>
      <c r="AG97" s="192"/>
      <c r="AM97" s="179"/>
      <c r="AN97" s="179"/>
      <c r="AO97" s="179"/>
      <c r="AP97" s="179"/>
      <c r="AQ97" s="179"/>
      <c r="AR97" s="89"/>
      <c r="AS97" s="89"/>
      <c r="AT97" s="89"/>
      <c r="AU97" s="89"/>
      <c r="AV97" s="89"/>
      <c r="AW97" s="89"/>
      <c r="AX97" s="89"/>
      <c r="AY97" s="89"/>
      <c r="AZ97" s="89"/>
      <c r="BA97" s="89"/>
      <c r="BB97" s="83"/>
    </row>
    <row r="98" spans="1:132" ht="15.75" customHeight="1" x14ac:dyDescent="0.2">
      <c r="A98" s="271"/>
      <c r="B98" s="170" t="str">
        <f>Sheet1!$K$26</f>
        <v>South East</v>
      </c>
      <c r="C98" s="9"/>
      <c r="D98" s="1515"/>
      <c r="E98" s="1515"/>
      <c r="F98" s="1515"/>
      <c r="G98" s="1515"/>
      <c r="H98" s="1515"/>
      <c r="I98" s="1515"/>
      <c r="J98" s="1515"/>
      <c r="K98" s="1515"/>
      <c r="L98" s="1515"/>
      <c r="M98" s="1515"/>
      <c r="N98" s="1515"/>
      <c r="O98" s="1515"/>
      <c r="P98" s="1515"/>
      <c r="Q98" s="1515"/>
      <c r="R98" s="1515"/>
      <c r="S98" s="1515"/>
      <c r="T98" s="1515"/>
      <c r="U98" s="1515"/>
      <c r="V98" s="1515"/>
      <c r="W98" s="1516"/>
      <c r="X98" s="15"/>
      <c r="Y98" s="119"/>
      <c r="Z98" s="138"/>
      <c r="AA98" s="178"/>
      <c r="AB98" s="1545" t="s">
        <v>64</v>
      </c>
      <c r="AC98" s="83">
        <v>0.5</v>
      </c>
      <c r="AD98" s="189">
        <f>IF($AB$8="Number",NA(),T$63)</f>
        <v>2.1204164961215546</v>
      </c>
      <c r="AH98" s="183"/>
      <c r="AI98" s="183"/>
      <c r="AJ98" s="183"/>
      <c r="AK98" s="183"/>
      <c r="AL98" s="183"/>
      <c r="AM98" s="179"/>
      <c r="AN98" s="179"/>
      <c r="AO98" s="179"/>
      <c r="AP98" s="179"/>
      <c r="AQ98" s="179"/>
      <c r="AR98" s="89"/>
      <c r="AS98" s="89"/>
      <c r="AT98" s="89"/>
      <c r="AU98" s="89"/>
      <c r="AV98" s="89"/>
      <c r="AW98" s="89"/>
      <c r="AX98" s="89"/>
      <c r="AY98" s="89"/>
      <c r="AZ98" s="89"/>
      <c r="BA98" s="89"/>
      <c r="BB98" s="83"/>
    </row>
    <row r="99" spans="1:132" s="89" customFormat="1" ht="15.75" customHeight="1" x14ac:dyDescent="0.2">
      <c r="A99" s="286"/>
      <c r="B99" s="170" t="str">
        <f>Sheet1!$K$27</f>
        <v>England</v>
      </c>
      <c r="C99" s="9"/>
      <c r="D99" s="1487"/>
      <c r="E99" s="1487"/>
      <c r="F99" s="1487"/>
      <c r="G99" s="1487"/>
      <c r="H99" s="1487"/>
      <c r="I99" s="1487"/>
      <c r="J99" s="1487"/>
      <c r="K99" s="1487"/>
      <c r="L99" s="1487"/>
      <c r="M99" s="1487"/>
      <c r="N99" s="1487"/>
      <c r="O99" s="1487"/>
      <c r="P99" s="1487"/>
      <c r="Q99" s="1487"/>
      <c r="R99" s="1487"/>
      <c r="S99" s="1487"/>
      <c r="T99" s="1487"/>
      <c r="U99" s="1487"/>
      <c r="V99" s="1487"/>
      <c r="W99" s="1517"/>
      <c r="X99" s="87"/>
      <c r="Y99" s="124"/>
      <c r="Z99" s="138"/>
      <c r="AA99" s="178"/>
      <c r="AB99" s="1548"/>
      <c r="AC99" s="83">
        <f>$AC$83</f>
        <v>23.5</v>
      </c>
      <c r="AD99" s="190">
        <f>AD98</f>
        <v>2.1204164961215546</v>
      </c>
      <c r="AE99" s="191"/>
      <c r="AF99" s="192"/>
      <c r="AG99" s="192"/>
      <c r="AH99" s="83"/>
      <c r="AI99" s="83"/>
      <c r="AJ99" s="83"/>
      <c r="AK99" s="83"/>
      <c r="AL99" s="83"/>
      <c r="AM99" s="179"/>
      <c r="AN99" s="179"/>
      <c r="AO99" s="179"/>
      <c r="AP99" s="179"/>
      <c r="AQ99" s="179"/>
      <c r="BB99" s="83"/>
      <c r="BC99" s="76"/>
    </row>
    <row r="100" spans="1:132" s="89" customFormat="1" ht="15" customHeight="1" x14ac:dyDescent="0.2">
      <c r="A100" s="286"/>
      <c r="B100" s="125" t="s">
        <v>90</v>
      </c>
      <c r="C100" s="9"/>
      <c r="D100" s="835"/>
      <c r="E100" s="835"/>
      <c r="F100" s="835"/>
      <c r="G100" s="835"/>
      <c r="H100" s="835"/>
      <c r="I100" s="835"/>
      <c r="J100" s="835"/>
      <c r="K100" s="835"/>
      <c r="L100" s="835"/>
      <c r="M100" s="835"/>
      <c r="N100" s="835"/>
      <c r="O100" s="835"/>
      <c r="P100" s="835"/>
      <c r="Q100" s="835"/>
      <c r="R100" s="835"/>
      <c r="S100" s="835"/>
      <c r="T100" s="835"/>
      <c r="U100" s="835"/>
      <c r="V100" s="835"/>
      <c r="W100" s="835"/>
      <c r="X100" s="87"/>
      <c r="Y100" s="124"/>
      <c r="Z100" s="138"/>
      <c r="AA100" s="178"/>
      <c r="AB100" s="1545" t="s">
        <v>65</v>
      </c>
      <c r="AC100" s="83">
        <v>0.5</v>
      </c>
      <c r="AD100" s="189">
        <f>IF($AB$8="Number",NA(),V$63)</f>
        <v>2.3630065189829188</v>
      </c>
      <c r="AE100" s="191"/>
      <c r="AF100" s="192"/>
      <c r="AG100" s="192"/>
      <c r="AH100" s="83"/>
      <c r="AI100" s="83"/>
      <c r="AJ100" s="83"/>
      <c r="AK100" s="83"/>
      <c r="AL100" s="83"/>
      <c r="AM100" s="179"/>
      <c r="AN100" s="179"/>
      <c r="AO100" s="179"/>
      <c r="AP100" s="179"/>
      <c r="AQ100" s="179"/>
      <c r="BB100" s="83"/>
      <c r="BC100" s="76"/>
    </row>
    <row r="101" spans="1:132" s="89" customFormat="1" ht="15" customHeight="1" x14ac:dyDescent="0.2">
      <c r="A101" s="286"/>
      <c r="B101" s="852"/>
      <c r="C101" s="845"/>
      <c r="D101" s="846"/>
      <c r="E101" s="846"/>
      <c r="F101" s="846"/>
      <c r="G101" s="846"/>
      <c r="H101" s="846"/>
      <c r="I101" s="846"/>
      <c r="J101" s="846"/>
      <c r="K101" s="846"/>
      <c r="L101" s="846"/>
      <c r="M101" s="846"/>
      <c r="N101" s="846"/>
      <c r="O101" s="846"/>
      <c r="P101" s="846"/>
      <c r="Q101" s="846"/>
      <c r="R101" s="846"/>
      <c r="S101" s="846"/>
      <c r="T101" s="846"/>
      <c r="U101" s="846"/>
      <c r="V101" s="846"/>
      <c r="W101" s="847"/>
      <c r="X101" s="87"/>
      <c r="Y101" s="124"/>
      <c r="Z101" s="138"/>
      <c r="AA101" s="178"/>
      <c r="AB101" s="1546"/>
      <c r="AC101" s="83">
        <f>$AC$83</f>
        <v>23.5</v>
      </c>
      <c r="AD101" s="190">
        <f>AD100</f>
        <v>2.3630065189829188</v>
      </c>
      <c r="AE101" s="191"/>
      <c r="AF101" s="192"/>
      <c r="AG101" s="192"/>
      <c r="AH101" s="83"/>
      <c r="AI101" s="83"/>
      <c r="AJ101" s="83"/>
      <c r="AK101" s="83"/>
      <c r="AL101" s="83"/>
      <c r="AM101" s="179"/>
      <c r="AN101" s="179"/>
      <c r="AO101" s="179"/>
      <c r="AP101" s="179"/>
      <c r="AQ101" s="179"/>
      <c r="BB101" s="83"/>
      <c r="BC101" s="76"/>
    </row>
    <row r="102" spans="1:132" s="89" customFormat="1" ht="15" customHeight="1" x14ac:dyDescent="0.2">
      <c r="A102" s="286"/>
      <c r="B102" s="848"/>
      <c r="C102" s="849"/>
      <c r="D102" s="850"/>
      <c r="E102" s="850"/>
      <c r="F102" s="850"/>
      <c r="G102" s="850"/>
      <c r="H102" s="850"/>
      <c r="I102" s="850"/>
      <c r="J102" s="850"/>
      <c r="K102" s="850"/>
      <c r="L102" s="850"/>
      <c r="M102" s="850"/>
      <c r="N102" s="850"/>
      <c r="O102" s="850"/>
      <c r="P102" s="850"/>
      <c r="Q102" s="850"/>
      <c r="R102" s="850"/>
      <c r="S102" s="850"/>
      <c r="T102" s="850"/>
      <c r="U102" s="850"/>
      <c r="V102" s="850"/>
      <c r="W102" s="851"/>
      <c r="X102" s="87"/>
      <c r="Y102" s="124"/>
      <c r="Z102" s="138"/>
      <c r="AA102" s="178"/>
      <c r="AB102" s="799"/>
      <c r="AC102" s="83"/>
      <c r="AD102" s="190"/>
      <c r="AE102" s="191"/>
      <c r="AF102" s="192"/>
      <c r="AG102" s="192"/>
      <c r="AH102" s="83"/>
      <c r="AI102" s="83"/>
      <c r="AJ102" s="83"/>
      <c r="AK102" s="83"/>
      <c r="AL102" s="83"/>
      <c r="AM102" s="179"/>
      <c r="AN102" s="179"/>
      <c r="AO102" s="179"/>
      <c r="AP102" s="179"/>
      <c r="AQ102" s="179"/>
      <c r="BB102" s="83"/>
      <c r="BC102" s="76"/>
    </row>
    <row r="103" spans="1:132" s="89" customFormat="1" ht="7.5" customHeight="1" x14ac:dyDescent="0.2">
      <c r="A103" s="286"/>
      <c r="B103" s="87"/>
      <c r="C103" s="9"/>
      <c r="D103" s="835"/>
      <c r="E103" s="835"/>
      <c r="F103" s="835"/>
      <c r="G103" s="835"/>
      <c r="H103" s="835"/>
      <c r="I103" s="835"/>
      <c r="J103" s="835"/>
      <c r="K103" s="835"/>
      <c r="L103" s="835"/>
      <c r="M103" s="835"/>
      <c r="N103" s="835"/>
      <c r="O103" s="835"/>
      <c r="P103" s="835"/>
      <c r="Q103" s="835"/>
      <c r="R103" s="835"/>
      <c r="S103" s="835"/>
      <c r="T103" s="835"/>
      <c r="U103" s="835"/>
      <c r="V103" s="835"/>
      <c r="W103" s="835"/>
      <c r="X103" s="87"/>
      <c r="Y103" s="124"/>
      <c r="Z103" s="138"/>
      <c r="AA103" s="178"/>
      <c r="AB103" s="803"/>
      <c r="AC103" s="83"/>
      <c r="AD103" s="190"/>
      <c r="AE103" s="191"/>
      <c r="AF103" s="192"/>
      <c r="AG103" s="192"/>
      <c r="AH103" s="83"/>
      <c r="AI103" s="83"/>
      <c r="AJ103" s="83"/>
      <c r="AK103" s="83"/>
      <c r="AL103" s="83"/>
      <c r="AM103" s="179"/>
      <c r="AN103" s="179"/>
      <c r="AO103" s="179"/>
      <c r="AP103" s="179"/>
      <c r="AQ103" s="179"/>
      <c r="BB103" s="83"/>
      <c r="BC103" s="76"/>
    </row>
    <row r="104" spans="1:132" s="89" customFormat="1" ht="15" customHeight="1" x14ac:dyDescent="0.2">
      <c r="A104" s="271"/>
      <c r="B104" s="18"/>
      <c r="C104" s="18"/>
      <c r="D104" s="17"/>
      <c r="E104" s="17"/>
      <c r="F104" s="17"/>
      <c r="G104" s="17"/>
      <c r="H104" s="17"/>
      <c r="I104" s="17"/>
      <c r="J104" s="17"/>
      <c r="K104" s="17"/>
      <c r="L104" s="17"/>
      <c r="M104" s="17"/>
      <c r="N104" s="17"/>
      <c r="O104" s="13"/>
      <c r="P104" s="19"/>
      <c r="Q104" s="19"/>
      <c r="R104" s="19"/>
      <c r="S104" s="19"/>
      <c r="T104" s="19"/>
      <c r="U104" s="19"/>
      <c r="V104" s="19"/>
      <c r="W104" s="19"/>
      <c r="X104" s="20"/>
      <c r="Y104" s="119"/>
      <c r="Z104" s="140"/>
      <c r="AA104" s="178"/>
      <c r="AE104" s="83"/>
      <c r="AF104" s="83"/>
      <c r="AG104" s="83"/>
      <c r="AH104" s="183"/>
      <c r="AI104" s="183"/>
      <c r="AJ104" s="183"/>
      <c r="AK104" s="183"/>
      <c r="AL104" s="183"/>
      <c r="AM104" s="179"/>
      <c r="AN104" s="179"/>
      <c r="AO104" s="179"/>
      <c r="AP104" s="179"/>
      <c r="AQ104" s="179"/>
      <c r="BB104" s="83"/>
    </row>
    <row r="105" spans="1:132" s="89" customFormat="1" ht="11.25" customHeight="1" x14ac:dyDescent="0.2">
      <c r="A105" s="1481" t="str">
        <f>Home!$A$40</f>
        <v>LA's provide quarterly data on the condition that it is used by the benchmarking group for internal reporting only. Please DO NOT share other LA's data with any external partners or the public</v>
      </c>
      <c r="B105" s="1431"/>
      <c r="C105" s="1431"/>
      <c r="D105" s="1431"/>
      <c r="E105" s="1431"/>
      <c r="F105" s="1431"/>
      <c r="G105" s="1431"/>
      <c r="H105" s="1431"/>
      <c r="I105" s="1431"/>
      <c r="J105" s="1431"/>
      <c r="K105" s="1431"/>
      <c r="L105" s="1431"/>
      <c r="M105" s="1431"/>
      <c r="N105" s="1431"/>
      <c r="O105" s="1431"/>
      <c r="P105" s="1431"/>
      <c r="Q105" s="1431"/>
      <c r="R105" s="1431"/>
      <c r="S105" s="1431"/>
      <c r="T105" s="1431"/>
      <c r="U105" s="1431"/>
      <c r="V105" s="1431"/>
      <c r="W105" s="1431"/>
      <c r="X105" s="1431"/>
      <c r="Y105" s="1482"/>
      <c r="Z105" s="140"/>
      <c r="AA105" s="188"/>
      <c r="AE105" s="191"/>
      <c r="AF105" s="192"/>
      <c r="AG105" s="192"/>
      <c r="AH105" s="83"/>
      <c r="AI105" s="83"/>
      <c r="AJ105" s="83"/>
      <c r="AK105" s="83"/>
      <c r="AL105" s="83"/>
      <c r="AM105" s="179"/>
      <c r="AN105" s="179"/>
      <c r="AO105" s="179"/>
      <c r="AP105" s="179"/>
      <c r="AQ105" s="179"/>
      <c r="BB105" s="76"/>
    </row>
    <row r="106" spans="1:132" ht="11.25" customHeight="1" x14ac:dyDescent="0.2">
      <c r="A106" s="114"/>
      <c r="B106" s="115"/>
      <c r="C106" s="115"/>
      <c r="D106" s="115"/>
      <c r="E106" s="115"/>
      <c r="F106" s="115"/>
      <c r="G106" s="115"/>
      <c r="H106" s="115"/>
      <c r="I106" s="115"/>
      <c r="J106" s="115"/>
      <c r="K106" s="115"/>
      <c r="L106" s="115"/>
      <c r="M106" s="115"/>
      <c r="N106" s="115"/>
      <c r="O106" s="116"/>
      <c r="P106" s="115"/>
      <c r="Q106" s="115"/>
      <c r="R106" s="115"/>
      <c r="S106" s="115"/>
      <c r="T106" s="115"/>
      <c r="U106" s="115"/>
      <c r="V106" s="115"/>
      <c r="W106" s="115"/>
      <c r="X106" s="115"/>
      <c r="Y106" s="117"/>
      <c r="Z106" s="138"/>
      <c r="AA106" s="76"/>
      <c r="AI106" s="84"/>
      <c r="AK106" s="76"/>
      <c r="AL106" s="76"/>
    </row>
    <row r="107" spans="1:132" s="78" customFormat="1" ht="17.25" customHeight="1" x14ac:dyDescent="0.25">
      <c r="A107" s="439"/>
      <c r="B107" s="612" t="str">
        <f>"Proportion (%) of Referrals from each Source - Trend over last 5 "&amp;Sheet1!$F$3</f>
        <v>Proportion (%) of Referrals from each Source - Trend over last 5 Years</v>
      </c>
      <c r="C107" s="612"/>
      <c r="D107" s="612"/>
      <c r="E107" s="612"/>
      <c r="F107" s="612"/>
      <c r="G107" s="612"/>
      <c r="H107" s="612"/>
      <c r="I107" s="612"/>
      <c r="J107" s="612"/>
      <c r="K107" s="612"/>
      <c r="L107" s="612"/>
      <c r="M107" s="62"/>
      <c r="N107" s="69"/>
      <c r="O107" s="69"/>
      <c r="P107" s="69"/>
      <c r="Q107" s="69"/>
      <c r="R107" s="62"/>
      <c r="S107" s="69"/>
      <c r="T107" s="69"/>
      <c r="U107" s="69"/>
      <c r="V107" s="69"/>
      <c r="W107" s="69"/>
      <c r="X107" s="69"/>
      <c r="Y107" s="119"/>
      <c r="Z107" s="138"/>
      <c r="AB107" s="83"/>
      <c r="AC107" s="83"/>
      <c r="AD107" s="83"/>
      <c r="AE107" s="83"/>
      <c r="AF107" s="83"/>
      <c r="AG107" s="83"/>
      <c r="AH107" s="83"/>
      <c r="AI107" s="84"/>
      <c r="AJ107" s="83"/>
      <c r="AK107" s="76"/>
      <c r="AL107" s="76"/>
      <c r="AM107" s="76"/>
      <c r="AN107" s="76"/>
      <c r="AO107" s="76"/>
      <c r="AP107" s="76"/>
      <c r="AQ107" s="76"/>
      <c r="AR107" s="76"/>
      <c r="AS107" s="76"/>
      <c r="AT107" s="76"/>
      <c r="AU107" s="76"/>
      <c r="AV107" s="76"/>
      <c r="AW107" s="76"/>
      <c r="AX107" s="76"/>
      <c r="AY107" s="76"/>
      <c r="AZ107" s="76"/>
      <c r="BA107" s="76"/>
      <c r="BB107" s="76"/>
      <c r="BC107" s="76"/>
    </row>
    <row r="108" spans="1:132" ht="7.5" customHeight="1" x14ac:dyDescent="0.2">
      <c r="A108" s="271"/>
      <c r="B108" s="612"/>
      <c r="C108" s="612"/>
      <c r="D108" s="612"/>
      <c r="E108" s="612"/>
      <c r="F108" s="612"/>
      <c r="G108" s="612"/>
      <c r="H108" s="612"/>
      <c r="I108" s="612"/>
      <c r="J108" s="612"/>
      <c r="K108" s="612"/>
      <c r="L108" s="612"/>
      <c r="M108" s="69"/>
      <c r="N108" s="69"/>
      <c r="O108" s="69"/>
      <c r="P108" s="69"/>
      <c r="Q108" s="69"/>
      <c r="R108" s="69"/>
      <c r="S108" s="69"/>
      <c r="T108" s="69"/>
      <c r="U108" s="69"/>
      <c r="V108" s="58"/>
      <c r="W108" s="69"/>
      <c r="X108" s="69"/>
      <c r="Y108" s="119"/>
      <c r="Z108" s="139"/>
      <c r="AA108" s="76"/>
      <c r="AB108" s="1477" t="str">
        <f>D8</f>
        <v>Relative/ Carer</v>
      </c>
      <c r="AC108" s="1476"/>
      <c r="AD108" s="1476"/>
      <c r="AE108" s="1476"/>
      <c r="AF108" s="1478"/>
      <c r="AG108" s="1477" t="str">
        <f>E8</f>
        <v>Acquaintance</v>
      </c>
      <c r="AH108" s="1476"/>
      <c r="AI108" s="1476"/>
      <c r="AJ108" s="1476"/>
      <c r="AK108" s="1480"/>
      <c r="AL108" s="1477" t="str">
        <f>F8</f>
        <v>Self</v>
      </c>
      <c r="AM108" s="1476"/>
      <c r="AN108" s="1476"/>
      <c r="AO108" s="1476"/>
      <c r="AP108" s="1480"/>
      <c r="AQ108" s="1477" t="str">
        <f>G8</f>
        <v>Other Individual</v>
      </c>
      <c r="AR108" s="1476"/>
      <c r="AS108" s="1476"/>
      <c r="AT108" s="1476"/>
      <c r="AU108" s="1480"/>
      <c r="AV108" s="1479" t="str">
        <f>H8</f>
        <v>Schools</v>
      </c>
      <c r="AW108" s="1476"/>
      <c r="AX108" s="1476"/>
      <c r="AY108" s="1476"/>
      <c r="AZ108" s="1476"/>
      <c r="BA108" s="1476" t="str">
        <f>I8</f>
        <v>Education Services</v>
      </c>
      <c r="BB108" s="1476"/>
      <c r="BC108" s="1476"/>
      <c r="BD108" s="1476"/>
      <c r="BE108" s="1476"/>
      <c r="BF108" s="1476" t="str">
        <f>J8</f>
        <v>GP</v>
      </c>
      <c r="BG108" s="1476"/>
      <c r="BH108" s="1476"/>
      <c r="BI108" s="1476"/>
      <c r="BJ108" s="1476"/>
      <c r="BK108" s="1476" t="str">
        <f>AM8</f>
        <v>Health Visitor</v>
      </c>
      <c r="BL108" s="1476"/>
      <c r="BM108" s="1476"/>
      <c r="BN108" s="1476"/>
      <c r="BO108" s="1476"/>
      <c r="BP108" s="1476" t="str">
        <f>AN8</f>
        <v>School Nurse</v>
      </c>
      <c r="BQ108" s="1476"/>
      <c r="BR108" s="1476"/>
      <c r="BS108" s="1476"/>
      <c r="BT108" s="1476"/>
      <c r="BU108" s="1476" t="str">
        <f>AO8</f>
        <v>Other primary health</v>
      </c>
      <c r="BV108" s="1476"/>
      <c r="BW108" s="1476"/>
      <c r="BX108" s="1476"/>
      <c r="BY108" s="1476"/>
      <c r="BZ108" s="1476" t="str">
        <f>AP8</f>
        <v>A&amp;E</v>
      </c>
      <c r="CA108" s="1476"/>
      <c r="CB108" s="1476"/>
      <c r="CC108" s="1476"/>
      <c r="CD108" s="1476"/>
      <c r="CE108" s="1476" t="str">
        <f>AQ8</f>
        <v>Other Health services</v>
      </c>
      <c r="CF108" s="1476"/>
      <c r="CG108" s="1476"/>
      <c r="CH108" s="1476"/>
      <c r="CI108" s="1476"/>
      <c r="CJ108" s="1476" t="str">
        <f>AR8</f>
        <v>Housing</v>
      </c>
      <c r="CK108" s="1476"/>
      <c r="CL108" s="1476"/>
      <c r="CM108" s="1476"/>
      <c r="CN108" s="1476"/>
      <c r="CO108" s="1476" t="str">
        <f>AS8</f>
        <v>Social care</v>
      </c>
      <c r="CP108" s="1476"/>
      <c r="CQ108" s="1476"/>
      <c r="CR108" s="1476"/>
      <c r="CS108" s="1476"/>
      <c r="CT108" s="1476" t="str">
        <f>AT8</f>
        <v xml:space="preserve">Other Internal LA </v>
      </c>
      <c r="CU108" s="1476"/>
      <c r="CV108" s="1476"/>
      <c r="CW108" s="1476"/>
      <c r="CX108" s="1476"/>
      <c r="CY108" s="1476" t="str">
        <f>AU8</f>
        <v>External LA services</v>
      </c>
      <c r="CZ108" s="1476"/>
      <c r="DA108" s="1476"/>
      <c r="DB108" s="1476"/>
      <c r="DC108" s="1476"/>
      <c r="DD108" s="1476" t="str">
        <f>AV8</f>
        <v>Police</v>
      </c>
      <c r="DE108" s="1476"/>
      <c r="DF108" s="1476"/>
      <c r="DG108" s="1476"/>
      <c r="DH108" s="1476"/>
      <c r="DI108" s="1476" t="str">
        <f>AW8</f>
        <v>Other legal agency</v>
      </c>
      <c r="DJ108" s="1476"/>
      <c r="DK108" s="1476"/>
      <c r="DL108" s="1476"/>
      <c r="DM108" s="1476"/>
      <c r="DN108" s="1476" t="str">
        <f>AX8</f>
        <v>Other</v>
      </c>
      <c r="DO108" s="1476"/>
      <c r="DP108" s="1476"/>
      <c r="DQ108" s="1476"/>
      <c r="DR108" s="1476"/>
      <c r="DS108" s="1476" t="str">
        <f>AY8</f>
        <v>Anonymous</v>
      </c>
      <c r="DT108" s="1476"/>
      <c r="DU108" s="1476"/>
      <c r="DV108" s="1476"/>
      <c r="DW108" s="1476"/>
      <c r="DX108" s="1476" t="str">
        <f>AZ8</f>
        <v>Unknown</v>
      </c>
      <c r="DY108" s="1476"/>
      <c r="DZ108" s="1476"/>
      <c r="EA108" s="1476"/>
      <c r="EB108" s="1476"/>
    </row>
    <row r="109" spans="1:132" ht="12.75" customHeight="1" x14ac:dyDescent="0.2">
      <c r="A109" s="271"/>
      <c r="B109" s="1498" t="s">
        <v>190</v>
      </c>
      <c r="C109" s="9"/>
      <c r="D109" s="1500">
        <v>1</v>
      </c>
      <c r="E109" s="1501"/>
      <c r="F109" s="1502">
        <v>2</v>
      </c>
      <c r="G109" s="1503"/>
      <c r="H109" s="1504">
        <v>3</v>
      </c>
      <c r="I109" s="1505"/>
      <c r="J109" s="1506">
        <v>4</v>
      </c>
      <c r="K109" s="1507"/>
      <c r="L109" s="1508">
        <v>5</v>
      </c>
      <c r="M109" s="1509"/>
      <c r="N109" s="1510">
        <v>6</v>
      </c>
      <c r="O109" s="1511"/>
      <c r="P109" s="1512">
        <v>7</v>
      </c>
      <c r="Q109" s="1513"/>
      <c r="R109" s="1490">
        <v>8</v>
      </c>
      <c r="S109" s="1491"/>
      <c r="T109" s="1492">
        <v>9</v>
      </c>
      <c r="U109" s="1493"/>
      <c r="V109" s="1494">
        <v>10</v>
      </c>
      <c r="W109" s="1495"/>
      <c r="X109" s="9"/>
      <c r="Y109" s="119"/>
      <c r="Z109" s="138"/>
      <c r="AA109" s="76"/>
      <c r="AB109" s="818" t="str">
        <f>$AC$2</f>
        <v/>
      </c>
      <c r="AC109" s="554" t="str">
        <f>$AD$2</f>
        <v/>
      </c>
      <c r="AD109" s="554" t="str">
        <f>$AE$2</f>
        <v/>
      </c>
      <c r="AE109" s="554" t="str">
        <f>$AF$2</f>
        <v/>
      </c>
      <c r="AF109" s="820" t="str">
        <f>$AG$2</f>
        <v/>
      </c>
      <c r="AG109" s="818" t="str">
        <f>$AC$2</f>
        <v/>
      </c>
      <c r="AH109" s="554" t="str">
        <f>$AD$2</f>
        <v/>
      </c>
      <c r="AI109" s="554" t="str">
        <f>$AE$2</f>
        <v/>
      </c>
      <c r="AJ109" s="554" t="str">
        <f>$AF$2</f>
        <v/>
      </c>
      <c r="AK109" s="422" t="str">
        <f>$AG$2</f>
        <v/>
      </c>
      <c r="AL109" s="818" t="str">
        <f>$AC$2</f>
        <v/>
      </c>
      <c r="AM109" s="554" t="str">
        <f>$AD$2</f>
        <v/>
      </c>
      <c r="AN109" s="554" t="str">
        <f>$AE$2</f>
        <v/>
      </c>
      <c r="AO109" s="554" t="str">
        <f>$AF$2</f>
        <v/>
      </c>
      <c r="AP109" s="422" t="str">
        <f>$AG$2</f>
        <v/>
      </c>
      <c r="AQ109" s="818" t="str">
        <f>$AC$2</f>
        <v/>
      </c>
      <c r="AR109" s="554" t="str">
        <f>$AD$2</f>
        <v/>
      </c>
      <c r="AS109" s="554" t="str">
        <f>$AE$2</f>
        <v/>
      </c>
      <c r="AT109" s="554" t="str">
        <f>$AF$2</f>
        <v/>
      </c>
      <c r="AU109" s="422" t="str">
        <f>$AG$2</f>
        <v/>
      </c>
      <c r="AV109" s="817" t="str">
        <f t="shared" ref="AV109" si="107">$AC$2</f>
        <v/>
      </c>
      <c r="AW109" s="554" t="str">
        <f t="shared" ref="AW109" si="108">$AD$2</f>
        <v/>
      </c>
      <c r="AX109" s="554" t="str">
        <f t="shared" ref="AX109" si="109">$AE$2</f>
        <v/>
      </c>
      <c r="AY109" s="554" t="str">
        <f t="shared" ref="AY109" si="110">$AF$2</f>
        <v/>
      </c>
      <c r="AZ109" s="554" t="str">
        <f t="shared" ref="AZ109" si="111">$AG$2</f>
        <v/>
      </c>
      <c r="BA109" s="554" t="str">
        <f t="shared" ref="BA109" si="112">$AC$2</f>
        <v/>
      </c>
      <c r="BB109" s="554" t="str">
        <f t="shared" ref="BB109" si="113">$AD$2</f>
        <v/>
      </c>
      <c r="BC109" s="554" t="str">
        <f t="shared" ref="BC109" si="114">$AE$2</f>
        <v/>
      </c>
      <c r="BD109" s="554" t="str">
        <f t="shared" ref="BD109" si="115">$AF$2</f>
        <v/>
      </c>
      <c r="BE109" s="554" t="str">
        <f t="shared" ref="BE109" si="116">$AG$2</f>
        <v/>
      </c>
      <c r="BF109" s="554" t="str">
        <f t="shared" ref="BF109" si="117">$AC$2</f>
        <v/>
      </c>
      <c r="BG109" s="554" t="str">
        <f t="shared" ref="BG109" si="118">$AD$2</f>
        <v/>
      </c>
      <c r="BH109" s="554" t="str">
        <f t="shared" ref="BH109" si="119">$AE$2</f>
        <v/>
      </c>
      <c r="BI109" s="554" t="str">
        <f t="shared" ref="BI109" si="120">$AF$2</f>
        <v/>
      </c>
      <c r="BJ109" s="554" t="str">
        <f t="shared" ref="BJ109" si="121">$AG$2</f>
        <v/>
      </c>
      <c r="BK109" s="554" t="str">
        <f t="shared" ref="BK109" si="122">$AC$2</f>
        <v/>
      </c>
      <c r="BL109" s="554" t="str">
        <f t="shared" ref="BL109" si="123">$AD$2</f>
        <v/>
      </c>
      <c r="BM109" s="554" t="str">
        <f t="shared" ref="BM109" si="124">$AE$2</f>
        <v/>
      </c>
      <c r="BN109" s="554" t="str">
        <f t="shared" ref="BN109" si="125">$AF$2</f>
        <v/>
      </c>
      <c r="BO109" s="554" t="str">
        <f t="shared" ref="BO109" si="126">$AG$2</f>
        <v/>
      </c>
      <c r="BP109" s="554" t="str">
        <f t="shared" ref="BP109" si="127">$AC$2</f>
        <v/>
      </c>
      <c r="BQ109" s="554" t="str">
        <f t="shared" ref="BQ109" si="128">$AD$2</f>
        <v/>
      </c>
      <c r="BR109" s="554" t="str">
        <f t="shared" ref="BR109" si="129">$AE$2</f>
        <v/>
      </c>
      <c r="BS109" s="554" t="str">
        <f t="shared" ref="BS109" si="130">$AF$2</f>
        <v/>
      </c>
      <c r="BT109" s="554" t="str">
        <f t="shared" ref="BT109" si="131">$AG$2</f>
        <v/>
      </c>
      <c r="BU109" s="554" t="str">
        <f t="shared" ref="BU109" si="132">$AC$2</f>
        <v/>
      </c>
      <c r="BV109" s="554" t="str">
        <f t="shared" ref="BV109" si="133">$AD$2</f>
        <v/>
      </c>
      <c r="BW109" s="554" t="str">
        <f t="shared" ref="BW109" si="134">$AE$2</f>
        <v/>
      </c>
      <c r="BX109" s="554" t="str">
        <f t="shared" ref="BX109" si="135">$AF$2</f>
        <v/>
      </c>
      <c r="BY109" s="554" t="str">
        <f t="shared" ref="BY109" si="136">$AG$2</f>
        <v/>
      </c>
      <c r="BZ109" s="554" t="str">
        <f t="shared" ref="BZ109" si="137">$AC$2</f>
        <v/>
      </c>
      <c r="CA109" s="554" t="str">
        <f t="shared" ref="CA109" si="138">$AD$2</f>
        <v/>
      </c>
      <c r="CB109" s="554" t="str">
        <f t="shared" ref="CB109" si="139">$AE$2</f>
        <v/>
      </c>
      <c r="CC109" s="554" t="str">
        <f t="shared" ref="CC109" si="140">$AF$2</f>
        <v/>
      </c>
      <c r="CD109" s="554" t="str">
        <f t="shared" ref="CD109" si="141">$AG$2</f>
        <v/>
      </c>
      <c r="CE109" s="554" t="str">
        <f t="shared" ref="CE109" si="142">$AC$2</f>
        <v/>
      </c>
      <c r="CF109" s="554" t="str">
        <f t="shared" ref="CF109" si="143">$AD$2</f>
        <v/>
      </c>
      <c r="CG109" s="554" t="str">
        <f t="shared" ref="CG109" si="144">$AE$2</f>
        <v/>
      </c>
      <c r="CH109" s="554" t="str">
        <f t="shared" ref="CH109" si="145">$AF$2</f>
        <v/>
      </c>
      <c r="CI109" s="554" t="str">
        <f t="shared" ref="CI109" si="146">$AG$2</f>
        <v/>
      </c>
      <c r="CJ109" s="554" t="str">
        <f t="shared" ref="CJ109:CO109" si="147">$AC$2</f>
        <v/>
      </c>
      <c r="CK109" s="554" t="str">
        <f t="shared" ref="CK109:CP109" si="148">$AD$2</f>
        <v/>
      </c>
      <c r="CL109" s="554" t="str">
        <f t="shared" ref="CL109" si="149">$AE$2</f>
        <v/>
      </c>
      <c r="CM109" s="554" t="str">
        <f t="shared" ref="CM109" si="150">$AF$2</f>
        <v/>
      </c>
      <c r="CN109" s="554" t="str">
        <f t="shared" ref="CN109" si="151">$AG$2</f>
        <v/>
      </c>
      <c r="CO109" s="554" t="str">
        <f t="shared" si="147"/>
        <v/>
      </c>
      <c r="CP109" s="554" t="str">
        <f t="shared" si="148"/>
        <v/>
      </c>
      <c r="CQ109" s="554" t="str">
        <f t="shared" ref="CQ109" si="152">$AE$2</f>
        <v/>
      </c>
      <c r="CR109" s="554" t="str">
        <f t="shared" ref="CR109" si="153">$AF$2</f>
        <v/>
      </c>
      <c r="CS109" s="554" t="str">
        <f t="shared" ref="CS109" si="154">$AG$2</f>
        <v/>
      </c>
      <c r="CT109" s="554" t="str">
        <f t="shared" ref="CT109:CY109" si="155">$AC$2</f>
        <v/>
      </c>
      <c r="CU109" s="554" t="str">
        <f t="shared" ref="CU109:CZ109" si="156">$AD$2</f>
        <v/>
      </c>
      <c r="CV109" s="554" t="str">
        <f t="shared" ref="CV109" si="157">$AE$2</f>
        <v/>
      </c>
      <c r="CW109" s="554" t="str">
        <f t="shared" ref="CW109" si="158">$AF$2</f>
        <v/>
      </c>
      <c r="CX109" s="554" t="str">
        <f t="shared" ref="CX109" si="159">$AG$2</f>
        <v/>
      </c>
      <c r="CY109" s="554" t="str">
        <f t="shared" si="155"/>
        <v/>
      </c>
      <c r="CZ109" s="554" t="str">
        <f t="shared" si="156"/>
        <v/>
      </c>
      <c r="DA109" s="554" t="str">
        <f t="shared" ref="DA109" si="160">$AE$2</f>
        <v/>
      </c>
      <c r="DB109" s="554" t="str">
        <f t="shared" ref="DB109" si="161">$AF$2</f>
        <v/>
      </c>
      <c r="DC109" s="554" t="str">
        <f t="shared" ref="DC109" si="162">$AG$2</f>
        <v/>
      </c>
      <c r="DD109" s="554" t="str">
        <f t="shared" ref="DD109:DI109" si="163">$AC$2</f>
        <v/>
      </c>
      <c r="DE109" s="554" t="str">
        <f t="shared" ref="DE109:DJ109" si="164">$AD$2</f>
        <v/>
      </c>
      <c r="DF109" s="554" t="str">
        <f t="shared" ref="DF109" si="165">$AE$2</f>
        <v/>
      </c>
      <c r="DG109" s="554" t="str">
        <f t="shared" ref="DG109" si="166">$AF$2</f>
        <v/>
      </c>
      <c r="DH109" s="554" t="str">
        <f t="shared" ref="DH109" si="167">$AG$2</f>
        <v/>
      </c>
      <c r="DI109" s="554" t="str">
        <f t="shared" si="163"/>
        <v/>
      </c>
      <c r="DJ109" s="554" t="str">
        <f t="shared" si="164"/>
        <v/>
      </c>
      <c r="DK109" s="554" t="str">
        <f t="shared" ref="DK109" si="168">$AE$2</f>
        <v/>
      </c>
      <c r="DL109" s="554" t="str">
        <f t="shared" ref="DL109" si="169">$AF$2</f>
        <v/>
      </c>
      <c r="DM109" s="554" t="str">
        <f t="shared" ref="DM109" si="170">$AG$2</f>
        <v/>
      </c>
      <c r="DN109" s="554" t="str">
        <f t="shared" ref="DN109:DS109" si="171">$AC$2</f>
        <v/>
      </c>
      <c r="DO109" s="554" t="str">
        <f t="shared" ref="DO109:DT109" si="172">$AD$2</f>
        <v/>
      </c>
      <c r="DP109" s="554" t="str">
        <f t="shared" ref="DP109" si="173">$AE$2</f>
        <v/>
      </c>
      <c r="DQ109" s="554" t="str">
        <f t="shared" ref="DQ109" si="174">$AF$2</f>
        <v/>
      </c>
      <c r="DR109" s="554" t="str">
        <f t="shared" ref="DR109" si="175">$AG$2</f>
        <v/>
      </c>
      <c r="DS109" s="554" t="str">
        <f t="shared" si="171"/>
        <v/>
      </c>
      <c r="DT109" s="554" t="str">
        <f t="shared" si="172"/>
        <v/>
      </c>
      <c r="DU109" s="554" t="str">
        <f t="shared" ref="DU109" si="176">$AE$2</f>
        <v/>
      </c>
      <c r="DV109" s="554" t="str">
        <f t="shared" ref="DV109" si="177">$AF$2</f>
        <v/>
      </c>
      <c r="DW109" s="554" t="str">
        <f t="shared" ref="DW109" si="178">$AG$2</f>
        <v/>
      </c>
      <c r="DX109" s="554" t="str">
        <f t="shared" ref="DX109" si="179">$AC$2</f>
        <v/>
      </c>
      <c r="DY109" s="554" t="str">
        <f t="shared" ref="DY109" si="180">$AD$2</f>
        <v/>
      </c>
      <c r="DZ109" s="554" t="str">
        <f t="shared" ref="DZ109" si="181">$AE$2</f>
        <v/>
      </c>
      <c r="EA109" s="554" t="str">
        <f t="shared" ref="EA109" si="182">$AF$2</f>
        <v/>
      </c>
      <c r="EB109" s="554" t="str">
        <f t="shared" ref="EB109" si="183">$AG$2</f>
        <v/>
      </c>
    </row>
    <row r="110" spans="1:132" ht="26.25" customHeight="1" x14ac:dyDescent="0.2">
      <c r="A110" s="271"/>
      <c r="B110" s="1499"/>
      <c r="C110" s="83"/>
      <c r="D110" s="1496" t="s">
        <v>94</v>
      </c>
      <c r="E110" s="1514"/>
      <c r="F110" s="1496" t="s">
        <v>38</v>
      </c>
      <c r="G110" s="1514"/>
      <c r="H110" s="1496" t="s">
        <v>106</v>
      </c>
      <c r="I110" s="1514"/>
      <c r="J110" s="1496" t="s">
        <v>46</v>
      </c>
      <c r="K110" s="1514"/>
      <c r="L110" s="1496" t="s">
        <v>107</v>
      </c>
      <c r="M110" s="1514"/>
      <c r="N110" s="1496" t="s">
        <v>23</v>
      </c>
      <c r="O110" s="1514"/>
      <c r="P110" s="1496" t="s">
        <v>67</v>
      </c>
      <c r="Q110" s="1514"/>
      <c r="R110" s="1496" t="s">
        <v>66</v>
      </c>
      <c r="S110" s="1514"/>
      <c r="T110" s="1496" t="s">
        <v>64</v>
      </c>
      <c r="U110" s="1514"/>
      <c r="V110" s="1496" t="s">
        <v>65</v>
      </c>
      <c r="W110" s="1497"/>
      <c r="X110" s="9"/>
      <c r="Y110" s="119"/>
      <c r="Z110" s="138"/>
      <c r="AA110" s="76"/>
      <c r="AB110" s="819" t="str">
        <f>$AC$3</f>
        <v>2014-15</v>
      </c>
      <c r="AC110" s="804" t="str">
        <f>$AD$3</f>
        <v>2015-16</v>
      </c>
      <c r="AD110" s="804" t="str">
        <f>$AE$3</f>
        <v>2016-17</v>
      </c>
      <c r="AE110" s="804" t="str">
        <f>$AF$3</f>
        <v>2017-18</v>
      </c>
      <c r="AF110" s="821" t="str">
        <f>$AG$3</f>
        <v>2018-19</v>
      </c>
      <c r="AG110" s="818" t="str">
        <f>$AC$3</f>
        <v>2014-15</v>
      </c>
      <c r="AH110" s="554" t="str">
        <f>$AD$3</f>
        <v>2015-16</v>
      </c>
      <c r="AI110" s="554" t="str">
        <f>$AE$3</f>
        <v>2016-17</v>
      </c>
      <c r="AJ110" s="554" t="str">
        <f>$AF$3</f>
        <v>2017-18</v>
      </c>
      <c r="AK110" s="422" t="str">
        <f>$AG$3</f>
        <v>2018-19</v>
      </c>
      <c r="AL110" s="818" t="str">
        <f>$AC$3</f>
        <v>2014-15</v>
      </c>
      <c r="AM110" s="554" t="str">
        <f>$AD$3</f>
        <v>2015-16</v>
      </c>
      <c r="AN110" s="554" t="str">
        <f>$AE$3</f>
        <v>2016-17</v>
      </c>
      <c r="AO110" s="554" t="str">
        <f>$AF$3</f>
        <v>2017-18</v>
      </c>
      <c r="AP110" s="422" t="str">
        <f>$AG$3</f>
        <v>2018-19</v>
      </c>
      <c r="AQ110" s="818" t="str">
        <f>$AC$3</f>
        <v>2014-15</v>
      </c>
      <c r="AR110" s="554" t="str">
        <f>$AD$3</f>
        <v>2015-16</v>
      </c>
      <c r="AS110" s="554" t="str">
        <f>$AE$3</f>
        <v>2016-17</v>
      </c>
      <c r="AT110" s="554" t="str">
        <f>$AF$3</f>
        <v>2017-18</v>
      </c>
      <c r="AU110" s="422" t="str">
        <f>$AG$3</f>
        <v>2018-19</v>
      </c>
      <c r="AV110" s="817" t="str">
        <f t="shared" ref="AV110" si="184">$AC$3</f>
        <v>2014-15</v>
      </c>
      <c r="AW110" s="554" t="str">
        <f t="shared" ref="AW110" si="185">$AD$3</f>
        <v>2015-16</v>
      </c>
      <c r="AX110" s="554" t="str">
        <f t="shared" ref="AX110" si="186">$AE$3</f>
        <v>2016-17</v>
      </c>
      <c r="AY110" s="554" t="str">
        <f t="shared" ref="AY110" si="187">$AF$3</f>
        <v>2017-18</v>
      </c>
      <c r="AZ110" s="554" t="str">
        <f t="shared" ref="AZ110" si="188">$AG$3</f>
        <v>2018-19</v>
      </c>
      <c r="BA110" s="554" t="str">
        <f t="shared" ref="BA110" si="189">$AC$3</f>
        <v>2014-15</v>
      </c>
      <c r="BB110" s="554" t="str">
        <f t="shared" ref="BB110" si="190">$AD$3</f>
        <v>2015-16</v>
      </c>
      <c r="BC110" s="554" t="str">
        <f t="shared" ref="BC110" si="191">$AE$3</f>
        <v>2016-17</v>
      </c>
      <c r="BD110" s="554" t="str">
        <f t="shared" ref="BD110" si="192">$AF$3</f>
        <v>2017-18</v>
      </c>
      <c r="BE110" s="554" t="str">
        <f t="shared" ref="BE110" si="193">$AG$3</f>
        <v>2018-19</v>
      </c>
      <c r="BF110" s="554" t="str">
        <f t="shared" ref="BF110" si="194">$AC$3</f>
        <v>2014-15</v>
      </c>
      <c r="BG110" s="554" t="str">
        <f t="shared" ref="BG110" si="195">$AD$3</f>
        <v>2015-16</v>
      </c>
      <c r="BH110" s="554" t="str">
        <f t="shared" ref="BH110" si="196">$AE$3</f>
        <v>2016-17</v>
      </c>
      <c r="BI110" s="554" t="str">
        <f t="shared" ref="BI110" si="197">$AF$3</f>
        <v>2017-18</v>
      </c>
      <c r="BJ110" s="554" t="str">
        <f t="shared" ref="BJ110" si="198">$AG$3</f>
        <v>2018-19</v>
      </c>
      <c r="BK110" s="554" t="str">
        <f t="shared" ref="BK110" si="199">$AC$3</f>
        <v>2014-15</v>
      </c>
      <c r="BL110" s="554" t="str">
        <f t="shared" ref="BL110" si="200">$AD$3</f>
        <v>2015-16</v>
      </c>
      <c r="BM110" s="554" t="str">
        <f t="shared" ref="BM110" si="201">$AE$3</f>
        <v>2016-17</v>
      </c>
      <c r="BN110" s="554" t="str">
        <f t="shared" ref="BN110" si="202">$AF$3</f>
        <v>2017-18</v>
      </c>
      <c r="BO110" s="554" t="str">
        <f t="shared" ref="BO110" si="203">$AG$3</f>
        <v>2018-19</v>
      </c>
      <c r="BP110" s="554" t="str">
        <f t="shared" ref="BP110" si="204">$AC$3</f>
        <v>2014-15</v>
      </c>
      <c r="BQ110" s="554" t="str">
        <f t="shared" ref="BQ110" si="205">$AD$3</f>
        <v>2015-16</v>
      </c>
      <c r="BR110" s="554" t="str">
        <f t="shared" ref="BR110" si="206">$AE$3</f>
        <v>2016-17</v>
      </c>
      <c r="BS110" s="554" t="str">
        <f t="shared" ref="BS110" si="207">$AF$3</f>
        <v>2017-18</v>
      </c>
      <c r="BT110" s="554" t="str">
        <f t="shared" ref="BT110" si="208">$AG$3</f>
        <v>2018-19</v>
      </c>
      <c r="BU110" s="554" t="str">
        <f t="shared" ref="BU110" si="209">$AC$3</f>
        <v>2014-15</v>
      </c>
      <c r="BV110" s="554" t="str">
        <f t="shared" ref="BV110" si="210">$AD$3</f>
        <v>2015-16</v>
      </c>
      <c r="BW110" s="554" t="str">
        <f t="shared" ref="BW110" si="211">$AE$3</f>
        <v>2016-17</v>
      </c>
      <c r="BX110" s="554" t="str">
        <f t="shared" ref="BX110" si="212">$AF$3</f>
        <v>2017-18</v>
      </c>
      <c r="BY110" s="554" t="str">
        <f t="shared" ref="BY110" si="213">$AG$3</f>
        <v>2018-19</v>
      </c>
      <c r="BZ110" s="554" t="str">
        <f t="shared" ref="BZ110" si="214">$AC$3</f>
        <v>2014-15</v>
      </c>
      <c r="CA110" s="554" t="str">
        <f t="shared" ref="CA110" si="215">$AD$3</f>
        <v>2015-16</v>
      </c>
      <c r="CB110" s="554" t="str">
        <f t="shared" ref="CB110" si="216">$AE$3</f>
        <v>2016-17</v>
      </c>
      <c r="CC110" s="554" t="str">
        <f t="shared" ref="CC110" si="217">$AF$3</f>
        <v>2017-18</v>
      </c>
      <c r="CD110" s="554" t="str">
        <f t="shared" ref="CD110" si="218">$AG$3</f>
        <v>2018-19</v>
      </c>
      <c r="CE110" s="554" t="str">
        <f t="shared" ref="CE110" si="219">$AC$3</f>
        <v>2014-15</v>
      </c>
      <c r="CF110" s="554" t="str">
        <f t="shared" ref="CF110" si="220">$AD$3</f>
        <v>2015-16</v>
      </c>
      <c r="CG110" s="554" t="str">
        <f t="shared" ref="CG110" si="221">$AE$3</f>
        <v>2016-17</v>
      </c>
      <c r="CH110" s="554" t="str">
        <f t="shared" ref="CH110" si="222">$AF$3</f>
        <v>2017-18</v>
      </c>
      <c r="CI110" s="554" t="str">
        <f t="shared" ref="CI110" si="223">$AG$3</f>
        <v>2018-19</v>
      </c>
      <c r="CJ110" s="554" t="str">
        <f t="shared" ref="CJ110:CO110" si="224">$AC$3</f>
        <v>2014-15</v>
      </c>
      <c r="CK110" s="554" t="str">
        <f t="shared" ref="CK110:CP110" si="225">$AD$3</f>
        <v>2015-16</v>
      </c>
      <c r="CL110" s="554" t="str">
        <f t="shared" ref="CL110" si="226">$AE$3</f>
        <v>2016-17</v>
      </c>
      <c r="CM110" s="554" t="str">
        <f t="shared" ref="CM110" si="227">$AF$3</f>
        <v>2017-18</v>
      </c>
      <c r="CN110" s="554" t="str">
        <f t="shared" ref="CN110" si="228">$AG$3</f>
        <v>2018-19</v>
      </c>
      <c r="CO110" s="554" t="str">
        <f t="shared" si="224"/>
        <v>2014-15</v>
      </c>
      <c r="CP110" s="554" t="str">
        <f t="shared" si="225"/>
        <v>2015-16</v>
      </c>
      <c r="CQ110" s="554" t="str">
        <f t="shared" ref="CQ110" si="229">$AE$3</f>
        <v>2016-17</v>
      </c>
      <c r="CR110" s="554" t="str">
        <f t="shared" ref="CR110" si="230">$AF$3</f>
        <v>2017-18</v>
      </c>
      <c r="CS110" s="554" t="str">
        <f t="shared" ref="CS110" si="231">$AG$3</f>
        <v>2018-19</v>
      </c>
      <c r="CT110" s="554" t="str">
        <f t="shared" ref="CT110:CY110" si="232">$AC$3</f>
        <v>2014-15</v>
      </c>
      <c r="CU110" s="554" t="str">
        <f t="shared" ref="CU110:CZ110" si="233">$AD$3</f>
        <v>2015-16</v>
      </c>
      <c r="CV110" s="554" t="str">
        <f t="shared" ref="CV110" si="234">$AE$3</f>
        <v>2016-17</v>
      </c>
      <c r="CW110" s="554" t="str">
        <f t="shared" ref="CW110" si="235">$AF$3</f>
        <v>2017-18</v>
      </c>
      <c r="CX110" s="554" t="str">
        <f t="shared" ref="CX110" si="236">$AG$3</f>
        <v>2018-19</v>
      </c>
      <c r="CY110" s="554" t="str">
        <f t="shared" si="232"/>
        <v>2014-15</v>
      </c>
      <c r="CZ110" s="554" t="str">
        <f t="shared" si="233"/>
        <v>2015-16</v>
      </c>
      <c r="DA110" s="554" t="str">
        <f t="shared" ref="DA110" si="237">$AE$3</f>
        <v>2016-17</v>
      </c>
      <c r="DB110" s="554" t="str">
        <f t="shared" ref="DB110" si="238">$AF$3</f>
        <v>2017-18</v>
      </c>
      <c r="DC110" s="554" t="str">
        <f t="shared" ref="DC110" si="239">$AG$3</f>
        <v>2018-19</v>
      </c>
      <c r="DD110" s="554" t="str">
        <f t="shared" ref="DD110:DI110" si="240">$AC$3</f>
        <v>2014-15</v>
      </c>
      <c r="DE110" s="554" t="str">
        <f t="shared" ref="DE110:DJ110" si="241">$AD$3</f>
        <v>2015-16</v>
      </c>
      <c r="DF110" s="554" t="str">
        <f t="shared" ref="DF110" si="242">$AE$3</f>
        <v>2016-17</v>
      </c>
      <c r="DG110" s="554" t="str">
        <f t="shared" ref="DG110" si="243">$AF$3</f>
        <v>2017-18</v>
      </c>
      <c r="DH110" s="554" t="str">
        <f t="shared" ref="DH110" si="244">$AG$3</f>
        <v>2018-19</v>
      </c>
      <c r="DI110" s="554" t="str">
        <f t="shared" si="240"/>
        <v>2014-15</v>
      </c>
      <c r="DJ110" s="554" t="str">
        <f t="shared" si="241"/>
        <v>2015-16</v>
      </c>
      <c r="DK110" s="554" t="str">
        <f t="shared" ref="DK110" si="245">$AE$3</f>
        <v>2016-17</v>
      </c>
      <c r="DL110" s="554" t="str">
        <f t="shared" ref="DL110" si="246">$AF$3</f>
        <v>2017-18</v>
      </c>
      <c r="DM110" s="554" t="str">
        <f t="shared" ref="DM110" si="247">$AG$3</f>
        <v>2018-19</v>
      </c>
      <c r="DN110" s="554" t="str">
        <f t="shared" ref="DN110:DS110" si="248">$AC$3</f>
        <v>2014-15</v>
      </c>
      <c r="DO110" s="554" t="str">
        <f t="shared" ref="DO110:DT110" si="249">$AD$3</f>
        <v>2015-16</v>
      </c>
      <c r="DP110" s="554" t="str">
        <f t="shared" ref="DP110" si="250">$AE$3</f>
        <v>2016-17</v>
      </c>
      <c r="DQ110" s="554" t="str">
        <f t="shared" ref="DQ110" si="251">$AF$3</f>
        <v>2017-18</v>
      </c>
      <c r="DR110" s="554" t="str">
        <f t="shared" ref="DR110" si="252">$AG$3</f>
        <v>2018-19</v>
      </c>
      <c r="DS110" s="554" t="str">
        <f t="shared" si="248"/>
        <v>2014-15</v>
      </c>
      <c r="DT110" s="554" t="str">
        <f t="shared" si="249"/>
        <v>2015-16</v>
      </c>
      <c r="DU110" s="554" t="str">
        <f t="shared" ref="DU110" si="253">$AE$3</f>
        <v>2016-17</v>
      </c>
      <c r="DV110" s="554" t="str">
        <f t="shared" ref="DV110" si="254">$AF$3</f>
        <v>2017-18</v>
      </c>
      <c r="DW110" s="554" t="str">
        <f t="shared" ref="DW110" si="255">$AG$3</f>
        <v>2018-19</v>
      </c>
      <c r="DX110" s="554" t="str">
        <f t="shared" ref="DX110" si="256">$AC$3</f>
        <v>2014-15</v>
      </c>
      <c r="DY110" s="554" t="str">
        <f t="shared" ref="DY110" si="257">$AD$3</f>
        <v>2015-16</v>
      </c>
      <c r="DZ110" s="554" t="str">
        <f t="shared" ref="DZ110" si="258">$AE$3</f>
        <v>2016-17</v>
      </c>
      <c r="EA110" s="554" t="str">
        <f t="shared" ref="EA110" si="259">$AF$3</f>
        <v>2017-18</v>
      </c>
      <c r="EB110" s="554" t="str">
        <f t="shared" ref="EB110" si="260">$AG$3</f>
        <v>2018-19</v>
      </c>
    </row>
    <row r="111" spans="1:132" ht="16.5" customHeight="1" x14ac:dyDescent="0.2">
      <c r="A111" s="271"/>
      <c r="B111" s="170" t="str">
        <f>Sheet1!$K$4</f>
        <v>Bracknell Forest</v>
      </c>
      <c r="C111" s="72"/>
      <c r="D111" s="1488"/>
      <c r="E111" s="1489"/>
      <c r="F111" s="1488"/>
      <c r="G111" s="1489"/>
      <c r="H111" s="1488"/>
      <c r="I111" s="1489"/>
      <c r="J111" s="1488"/>
      <c r="K111" s="1489"/>
      <c r="L111" s="1488"/>
      <c r="M111" s="1489"/>
      <c r="N111" s="1488"/>
      <c r="O111" s="1489"/>
      <c r="P111" s="1488"/>
      <c r="Q111" s="1489"/>
      <c r="R111" s="1488"/>
      <c r="S111" s="1489"/>
      <c r="T111" s="1488"/>
      <c r="U111" s="1489"/>
      <c r="V111" s="1488"/>
      <c r="W111" s="1489"/>
      <c r="X111" s="15"/>
      <c r="Y111" s="119"/>
      <c r="Z111" s="138"/>
      <c r="AA111" s="76"/>
      <c r="AB111" s="805">
        <f>IF(Year1_Bracknell_Forest Year1_ReferralSource_Individual_Family="","",Year1_Bracknell_Forest Year1_ReferralSource_Individual_Family)</f>
        <v>132</v>
      </c>
      <c r="AC111" s="806">
        <f>IF(Year2_Bracknell_Forest Year2_ReferralSource_Individual_Family="","",Year2_Bracknell_Forest Year2_ReferralSource_Individual_Family)</f>
        <v>153</v>
      </c>
      <c r="AD111" s="806">
        <f>IF(Year3_Bracknell_Forest Year3_ReferralSource_Individual_Family="","",Year3_Bracknell_Forest Year3_ReferralSource_Individual_Family)</f>
        <v>170</v>
      </c>
      <c r="AE111" s="806">
        <f>IF(Year4_Bracknell_Forest Year4_ReferralSource_Individual_Family="","",Year4_Bracknell_Forest Year4_ReferralSource_Individual_Family)</f>
        <v>117</v>
      </c>
      <c r="AF111" s="822">
        <f>IF(Year5_Bracknell_Forest Year5_ReferralSource_Individual_Family="","",Year5_Bracknell_Forest Year5_ReferralSource_Individual_Family)</f>
        <v>215</v>
      </c>
      <c r="AG111" s="805" t="str">
        <f>IF(Year1_Bracknell_Forest Year1_ReferralSource_Individual_Acquaintance="","",Year1_Bracknell_Forest Year1_ReferralSource_Individual_Acquaintance)</f>
        <v/>
      </c>
      <c r="AH111" s="806" t="str">
        <f>IF(Year2_Bracknell_Forest Year2_ReferralSource_Individual_Acquaintance="","",Year2_Bracknell_Forest Year2_ReferralSource_Individual_Acquaintance)</f>
        <v/>
      </c>
      <c r="AI111" s="806" t="str">
        <f>IF(Year3_Bracknell_Forest Year3_ReferralSource_Individual_Acquaintance="","",Year3_Bracknell_Forest Year3_ReferralSource_Individual_Acquaintance)</f>
        <v/>
      </c>
      <c r="AJ111" s="806" t="str">
        <f>IF(Year4_Bracknell_Forest Year4_ReferralSource_Individual_Acquaintance="","",Year4_Bracknell_Forest Year4_ReferralSource_Individual_Acquaintance)</f>
        <v/>
      </c>
      <c r="AK111" s="807" t="str">
        <f>IF(Year5_Bracknell_Forest Year5_ReferralSource_Individual_Acquaintance="","",Year5_Bracknell_Forest Year5_ReferralSource_Individual_Acquaintance)</f>
        <v/>
      </c>
      <c r="AL111" s="805" t="str">
        <f>IF(Year1_Bracknell_Forest Year1_ReferralSource_Individual_Self="","",Year1_Bracknell_Forest Year1_ReferralSource_Individual_Self)</f>
        <v/>
      </c>
      <c r="AM111" s="806" t="str">
        <f>IF(Year2_Bracknell_Forest Year2_ReferralSource_Individual_Self="","",Year2_Bracknell_Forest Year2_ReferralSource_Individual_Self)</f>
        <v/>
      </c>
      <c r="AN111" s="806" t="str">
        <f>IF(Year3_Bracknell_Forest Year3_ReferralSource_Individual_Self="","",Year3_Bracknell_Forest Year3_ReferralSource_Individual_Self)</f>
        <v/>
      </c>
      <c r="AO111" s="806" t="str">
        <f>IF(Year4_Bracknell_Forest Year4_ReferralSource_Individual_Self="","",Year4_Bracknell_Forest Year4_ReferralSource_Individual_Self)</f>
        <v/>
      </c>
      <c r="AP111" s="807" t="str">
        <f>IF(Year5_Bracknell_Forest Year5_ReferralSource_Individual_Self="","",Year5_Bracknell_Forest Year5_ReferralSource_Individual_Self)</f>
        <v/>
      </c>
      <c r="AQ111" s="805" t="str">
        <f>IF(Year1_Bracknell_Forest Year1_ReferralSource_Individual_Other="","",Year1_Bracknell_Forest Year1_ReferralSource_Individual_Other)</f>
        <v/>
      </c>
      <c r="AR111" s="806" t="str">
        <f>IF(Year2_Bracknell_Forest Year2_ReferralSource_Individual_Other="","",Year2_Bracknell_Forest Year2_ReferralSource_Individual_Other)</f>
        <v/>
      </c>
      <c r="AS111" s="806" t="str">
        <f>IF(Year3_Bracknell_Forest Year3_ReferralSource_Individual_Other="","",Year3_Bracknell_Forest Year3_ReferralSource_Individual_Other)</f>
        <v/>
      </c>
      <c r="AT111" s="806" t="str">
        <f>IF(Year4_Bracknell_Forest Year4_ReferralSource_Individual_Other="","",Year4_Bracknell_Forest Year4_ReferralSource_Individual_Other)</f>
        <v/>
      </c>
      <c r="AU111" s="807" t="str">
        <f>IF(Year5_Bracknell_Forest Year5_ReferralSource_Individual_Other="","",Year5_Bracknell_Forest Year5_ReferralSource_Individual_Other)</f>
        <v/>
      </c>
      <c r="AV111" s="805">
        <f>IF(Year1_Bracknell_Forest Year1_ReferralSource_School="","",Year1_Bracknell_Forest Year1_ReferralSource_School)</f>
        <v>216</v>
      </c>
      <c r="AW111" s="806">
        <f>IF(Year2_Bracknell_Forest Year2_ReferralSource_School="","",Year2_Bracknell_Forest Year2_ReferralSource_School)</f>
        <v>343</v>
      </c>
      <c r="AX111" s="806">
        <f>IF(Year3_Bracknell_Forest Year3_ReferralSource_School="","",Year3_Bracknell_Forest Year3_ReferralSource_School)</f>
        <v>353</v>
      </c>
      <c r="AY111" s="806">
        <f>IF(Year4_Bracknell_Forest Year4_ReferralSource_School="","",Year4_Bracknell_Forest Year4_ReferralSource_School)</f>
        <v>497</v>
      </c>
      <c r="AZ111" s="807">
        <f>IF(Year5_Bracknell_Forest Year5_ReferralSource_School="","",Year5_Bracknell_Forest Year5_ReferralSource_School)</f>
        <v>592</v>
      </c>
      <c r="BA111" s="805">
        <f>IF(Year1_Bracknell_Forest Year1_ReferralSource_EducationServices="","",Year1_Bracknell_Forest Year1_ReferralSource_EducationServices)</f>
        <v>26</v>
      </c>
      <c r="BB111" s="806">
        <f>IF(Year2_Bracknell_Forest Year2_ReferralSource_EducationServices="","",Year2_Bracknell_Forest Year2_ReferralSource_EducationServices)</f>
        <v>19</v>
      </c>
      <c r="BC111" s="806">
        <f>IF(Year3_Bracknell_Forest Year3_ReferralSource_EducationServices="","",Year3_Bracknell_Forest Year3_ReferralSource_EducationServices)</f>
        <v>32</v>
      </c>
      <c r="BD111" s="806">
        <f>IF(Year4_Bracknell_Forest Year4_ReferralSource_EducationServices="","",Year4_Bracknell_Forest Year4_ReferralSource_EducationServices)</f>
        <v>39</v>
      </c>
      <c r="BE111" s="807">
        <f>IF(Year5_Bracknell_Forest Year5_ReferralSource_EducationServices="","",Year5_Bracknell_Forest Year5_ReferralSource_EducationServices)</f>
        <v>0</v>
      </c>
      <c r="BF111" s="823">
        <f>IF(Year1_Bracknell_Forest Year1_ReferralSource_Health_services_GP="","",Year1_Bracknell_Forest Year1_ReferralSource_Health_services_GP)</f>
        <v>108</v>
      </c>
      <c r="BG111" s="824">
        <f>IF(Year2_Bracknell_Forest Year2_ReferralSource_Health_services_GP="","",Year2_Bracknell_Forest Year2_ReferralSource_Health_services_GP)</f>
        <v>118</v>
      </c>
      <c r="BH111" s="824">
        <f>IF(Year3_Bracknell_Forest Year3_ReferralSource_Health_services_GP="","",Year3_Bracknell_Forest Year3_ReferralSource_Health_services_GP)</f>
        <v>132</v>
      </c>
      <c r="BI111" s="824">
        <f>IF(Year4_Bracknell_Forest Year4_ReferralSource_Health_services_GP="","",Year4_Bracknell_Forest Year4_ReferralSource_Health_services_GP)</f>
        <v>136</v>
      </c>
      <c r="BJ111" s="825">
        <f>IF(Year5_Bracknell_Forest Year5_ReferralSource_Health_services_GP="","",Year5_Bracknell_Forest Year5_ReferralSource_Health_services_GP)</f>
        <v>254</v>
      </c>
      <c r="BK111" s="823" t="str">
        <f>IF(Year1_Bracknell_Forest Year1_ReferralSource_Health_services_HealthVisitor="","",Year1_Bracknell_Forest Year1_ReferralSource_Health_services_HealthVisitor)</f>
        <v/>
      </c>
      <c r="BL111" s="824" t="str">
        <f>IF(Year2_Bracknell_Forest Year2_ReferralSource_Health_services_HealthVisitor="","",Year2_Bracknell_Forest Year2_ReferralSource_Health_services_HealthVisitor)</f>
        <v/>
      </c>
      <c r="BM111" s="824" t="str">
        <f>IF(Year3_Bracknell_Forest Year3_ReferralSource_Health_services_HealthVisitor="","",Year3_Bracknell_Forest Year3_ReferralSource_Health_services_HealthVisitor)</f>
        <v/>
      </c>
      <c r="BN111" s="824" t="str">
        <f>IF(Year4_Bracknell_Forest Year4_ReferralSource_Health_services_HealthVisitor="","",Year4_Bracknell_Forest Year4_ReferralSource_Health_services_HealthVisitor)</f>
        <v/>
      </c>
      <c r="BO111" s="825" t="str">
        <f>IF(Year5_Bracknell_Forest Year5_ReferralSource_Health_services_HealthVisitor="","",Year5_Bracknell_Forest Year5_ReferralSource_Health_services_HealthVisitor)</f>
        <v/>
      </c>
      <c r="BP111" s="823" t="str">
        <f>IF(Year1_Bracknell_Forest Year1_ReferralSource_Health_services_SchoolNurse="","",Year1_Bracknell_Forest Year1_ReferralSource_Health_services_SchoolNurse)</f>
        <v/>
      </c>
      <c r="BQ111" s="824" t="str">
        <f>IF(Year2_Bracknell_Forest Year2_ReferralSource_Health_services_SchoolNurse="","",Year2_Bracknell_Forest Year2_ReferralSource_Health_services_SchoolNurse)</f>
        <v/>
      </c>
      <c r="BR111" s="824" t="str">
        <f>IF(Year3_Bracknell_Forest Year3_ReferralSource_Health_services_SchoolNurse="","",Year3_Bracknell_Forest Year3_ReferralSource_Health_services_SchoolNurse)</f>
        <v/>
      </c>
      <c r="BS111" s="824" t="str">
        <f>IF(Year4_Bracknell_Forest Year4_ReferralSource_Health_services_SchoolNurse="","",Year4_Bracknell_Forest Year4_ReferralSource_Health_services_SchoolNurse)</f>
        <v/>
      </c>
      <c r="BT111" s="825" t="str">
        <f>IF(Year5_Bracknell_Forest Year5_ReferralSource_Health_services_SchoolNurse="","",Year5_Bracknell_Forest Year5_ReferralSource_Health_services_SchoolNurse)</f>
        <v/>
      </c>
      <c r="BU111" s="823" t="str">
        <f>IF(Year1_Bracknell_Forest Year1_ReferralSource_Health_services_OthPrimary="","",Year1_Bracknell_Forest Year1_ReferralSource_Health_services_OthPrimary)</f>
        <v/>
      </c>
      <c r="BV111" s="824" t="str">
        <f>IF(Year2_Bracknell_Forest Year2_ReferralSource_Health_services_OthPrimary="","",Year2_Bracknell_Forest Year2_ReferralSource_Health_services_OthPrimary)</f>
        <v/>
      </c>
      <c r="BW111" s="824" t="str">
        <f>IF(Year3_Bracknell_Forest Year3_ReferralSource_Health_services_OthPrimary="","",Year3_Bracknell_Forest Year3_ReferralSource_Health_services_OthPrimary)</f>
        <v/>
      </c>
      <c r="BX111" s="824" t="str">
        <f>IF(Year4_Bracknell_Forest Year4_ReferralSource_Health_services_OthPrimary="","",Year4_Bracknell_Forest Year4_ReferralSource_Health_services_OthPrimary)</f>
        <v/>
      </c>
      <c r="BY111" s="825" t="str">
        <f>IF(Year5_Bracknell_Forest Year5_ReferralSource_Health_services_OthPrimary="","",Year5_Bracknell_Forest Year5_ReferralSource_Health_services_OthPrimary)</f>
        <v/>
      </c>
      <c r="BZ111" s="823" t="str">
        <f>IF(Year1_Bracknell_Forest Year1_ReferralSource_Health_services_AE="","",Year1_Bracknell_Forest Year1_ReferralSource_Health_services_AE)</f>
        <v/>
      </c>
      <c r="CA111" s="824" t="str">
        <f>IF(Year2_Bracknell_Forest Year2_ReferralSource_Health_services_AE="","",Year2_Bracknell_Forest Year2_ReferralSource_Health_services_AE)</f>
        <v/>
      </c>
      <c r="CB111" s="824" t="str">
        <f>IF(Year3_Bracknell_Forest Year3_ReferralSource_Health_services_AE="","",Year3_Bracknell_Forest Year3_ReferralSource_Health_services_AE)</f>
        <v/>
      </c>
      <c r="CC111" s="824" t="str">
        <f>IF(Year4_Bracknell_Forest Year4_ReferralSource_Health_services_AE="","",Year4_Bracknell_Forest Year4_ReferralSource_Health_services_AE)</f>
        <v/>
      </c>
      <c r="CD111" s="825" t="str">
        <f>IF(Year5_Bracknell_Forest Year5_ReferralSource_Health_services_AE="","",Year5_Bracknell_Forest Year5_ReferralSource_Health_services_AE)</f>
        <v/>
      </c>
      <c r="CE111" s="823" t="str">
        <f>IF(Year1_Bracknell_Forest Year1_ReferralSource_Health_services_Other="","",Year1_Bracknell_Forest Year1_ReferralSource_Health_services_Other)</f>
        <v/>
      </c>
      <c r="CF111" s="824" t="str">
        <f>IF(Year2_Bracknell_Forest Year2_ReferralSource_Health_services_Other="","",Year2_Bracknell_Forest Year2_ReferralSource_Health_services_Other)</f>
        <v/>
      </c>
      <c r="CG111" s="824" t="str">
        <f>IF(Year3_Bracknell_Forest Year3_ReferralSource_Health_services_Other="","",Year3_Bracknell_Forest Year3_ReferralSource_Health_services_Other)</f>
        <v/>
      </c>
      <c r="CH111" s="824" t="str">
        <f>IF(Year4_Bracknell_Forest Year4_ReferralSource_Health_services_Other="","",Year4_Bracknell_Forest Year4_ReferralSource_Health_services_Other)</f>
        <v/>
      </c>
      <c r="CI111" s="825" t="str">
        <f>IF(Year5_Bracknell_Forest Year5_ReferralSource_Health_services_Other="","",Year5_Bracknell_Forest Year5_ReferralSource_Health_services_Other)</f>
        <v/>
      </c>
      <c r="CJ111" s="805">
        <f>IF(Year1_Bracknell_Forest Year1_ReferralSource_Housing="","",Year1_Bracknell_Forest Year1_ReferralSource_Housing)</f>
        <v>22</v>
      </c>
      <c r="CK111" s="806">
        <f>IF(Year2_Bracknell_Forest Year2_ReferralSource_Housing="","",Year2_Bracknell_Forest Year2_ReferralSource_Housing)</f>
        <v>10</v>
      </c>
      <c r="CL111" s="806">
        <f>IF(Year3_Bracknell_Forest Year3_ReferralSource_Housing="","",Year3_Bracknell_Forest Year3_ReferralSource_Housing)</f>
        <v>19</v>
      </c>
      <c r="CM111" s="806">
        <f>IF(Year4_Bracknell_Forest Year4_ReferralSource_Housing="","",Year4_Bracknell_Forest Year4_ReferralSource_Housing)</f>
        <v>24</v>
      </c>
      <c r="CN111" s="807">
        <f>IF(Year5_Bracknell_Forest Year5_ReferralSource_Housing="","",Year5_Bracknell_Forest Year5_ReferralSource_Housing)</f>
        <v>30</v>
      </c>
      <c r="CO111" s="805">
        <f>IF(Year1_Bracknell_Forest Year1_ReferralSource_LA_SC="","",Year1_Bracknell_Forest Year1_ReferralSource_LA_SC)</f>
        <v>183</v>
      </c>
      <c r="CP111" s="806">
        <f>IF(Year2_Bracknell_Forest Year2_ReferralSource_LA_SC="","",Year2_Bracknell_Forest Year2_ReferralSource_LA_SC)</f>
        <v>229</v>
      </c>
      <c r="CQ111" s="806">
        <f>IF(Year3_Bracknell_Forest Year3_ReferralSource_LA_SC="","",Year3_Bracknell_Forest Year3_ReferralSource_LA_SC)</f>
        <v>290</v>
      </c>
      <c r="CR111" s="806">
        <f>IF(Year4_Bracknell_Forest Year4_ReferralSource_LA_SC="","",Year4_Bracknell_Forest Year4_ReferralSource_LA_SC)</f>
        <v>372</v>
      </c>
      <c r="CS111" s="807">
        <f>IF(Year5_Bracknell_Forest Year5_ReferralSource_LA_SC="","",Year5_Bracknell_Forest Year5_ReferralSource_LA_SC)</f>
        <v>466</v>
      </c>
      <c r="CT111" s="805" t="str">
        <f>IF(Year1_Bracknell_Forest Year1_ReferralSource_LA_Other="","",Year1_Bracknell_Forest Year1_ReferralSource_LA_Other)</f>
        <v/>
      </c>
      <c r="CU111" s="806" t="str">
        <f>IF(Year2_Bracknell_Forest Year2_ReferralSource_LA_Other="","",Year2_Bracknell_Forest Year2_ReferralSource_LA_Other)</f>
        <v/>
      </c>
      <c r="CV111" s="806" t="str">
        <f>IF(Year3_Bracknell_Forest Year3_ReferralSource_LA_Other="","",Year3_Bracknell_Forest Year3_ReferralSource_LA_Other)</f>
        <v/>
      </c>
      <c r="CW111" s="806" t="str">
        <f>IF(Year4_Bracknell_Forest Year4_ReferralSource_LA_Other="","",Year4_Bracknell_Forest Year4_ReferralSource_LA_Other)</f>
        <v/>
      </c>
      <c r="CX111" s="807" t="str">
        <f>IF(Year5_Bracknell_Forest Year5_ReferralSource_LA_Other="","",Year5_Bracknell_Forest Year5_ReferralSource_LA_Other)</f>
        <v/>
      </c>
      <c r="CY111" s="805" t="str">
        <f>IF(Year1_Bracknell_Forest Year1_ReferralSource_LA_External="","",Year1_Bracknell_Forest Year1_ReferralSource_LA_External)</f>
        <v/>
      </c>
      <c r="CZ111" s="806" t="str">
        <f>IF(Year2_Bracknell_Forest Year2_ReferralSource_LA_External="","",Year2_Bracknell_Forest Year2_ReferralSource_LA_External)</f>
        <v/>
      </c>
      <c r="DA111" s="806" t="str">
        <f>IF(Year3_Bracknell_Forest Year3_ReferralSource_LA_External="","",Year3_Bracknell_Forest Year3_ReferralSource_LA_External)</f>
        <v/>
      </c>
      <c r="DB111" s="806" t="str">
        <f>IF(Year4_Bracknell_Forest Year4_ReferralSource_LA_External="","",Year4_Bracknell_Forest Year4_ReferralSource_LA_External)</f>
        <v/>
      </c>
      <c r="DC111" s="807" t="str">
        <f>IF(Year5_Bracknell_Forest Year5_ReferralSource_LA_External="","",Year5_Bracknell_Forest Year5_ReferralSource_LA_External)</f>
        <v/>
      </c>
      <c r="DD111" s="805">
        <f>IF(Year1_Bracknell_Forest Year1_ReferralSource_Police="","",Year1_Bracknell_Forest Year1_ReferralSource_Police)</f>
        <v>238</v>
      </c>
      <c r="DE111" s="806">
        <f>IF(Year2_Bracknell_Forest Year2_ReferralSource_Police="","",Year2_Bracknell_Forest Year2_ReferralSource_Police)</f>
        <v>317</v>
      </c>
      <c r="DF111" s="806">
        <f>IF(Year3_Bracknell_Forest Year3_ReferralSource_Police="","",Year3_Bracknell_Forest Year3_ReferralSource_Police)</f>
        <v>323</v>
      </c>
      <c r="DG111" s="806">
        <f>IF(Year4_Bracknell_Forest Year4_ReferralSource_Police="","",Year4_Bracknell_Forest Year4_ReferralSource_Police)</f>
        <v>412</v>
      </c>
      <c r="DH111" s="807">
        <f>IF(Year5_Bracknell_Forest Year5_ReferralSource_Police="","",Year5_Bracknell_Forest Year5_ReferralSource_Police)</f>
        <v>443</v>
      </c>
      <c r="DI111" s="805">
        <f>IF(Year1_Bracknell_Forest Year1_ReferralSource_Other_Legal="","",Year1_Bracknell_Forest Year1_ReferralSource_Other_Legal)</f>
        <v>24</v>
      </c>
      <c r="DJ111" s="806">
        <f>IF(Year2_Bracknell_Forest Year2_ReferralSource_Other_Legal="","",Year2_Bracknell_Forest Year2_ReferralSource_Other_Legal)</f>
        <v>21</v>
      </c>
      <c r="DK111" s="806">
        <f>IF(Year3_Bracknell_Forest Year3_ReferralSource_Other_Legal="","",Year3_Bracknell_Forest Year3_ReferralSource_Other_Legal)</f>
        <v>42</v>
      </c>
      <c r="DL111" s="806">
        <f>IF(Year4_Bracknell_Forest Year4_ReferralSource_Other_Legal="","",Year4_Bracknell_Forest Year4_ReferralSource_Other_Legal)</f>
        <v>26</v>
      </c>
      <c r="DM111" s="807">
        <f>IF(Year5_Bracknell_Forest Year5_ReferralSource_Other_Legal="","",Year5_Bracknell_Forest Year5_ReferralSource_Other_Legal)</f>
        <v>53</v>
      </c>
      <c r="DN111" s="805">
        <f>IF(Year1_Bracknell_Forest Year1_ReferralSource_Other="","",Year1_Bracknell_Forest Year1_ReferralSource_Other)</f>
        <v>103</v>
      </c>
      <c r="DO111" s="806">
        <f>IF(Year2_Bracknell_Forest Year2_ReferralSource_Other="","",Year2_Bracknell_Forest Year2_ReferralSource_Other)</f>
        <v>84</v>
      </c>
      <c r="DP111" s="806">
        <f>IF(Year3_Bracknell_Forest Year3_ReferralSource_Other="","",Year3_Bracknell_Forest Year3_ReferralSource_Other)</f>
        <v>114</v>
      </c>
      <c r="DQ111" s="806">
        <f>IF(Year4_Bracknell_Forest Year4_ReferralSource_Other="","",Year4_Bracknell_Forest Year4_ReferralSource_Other)</f>
        <v>135</v>
      </c>
      <c r="DR111" s="807">
        <f>IF(Year5_Bracknell_Forest Year5_ReferralSource_Other="","",Year5_Bracknell_Forest Year5_ReferralSource_Other)</f>
        <v>95</v>
      </c>
      <c r="DS111" s="805" t="str">
        <f>IF(Year1_Bracknell_Forest Year1_ReferralSource_Anonymous="","",Year1_Bracknell_Forest Year1_ReferralSource_Anonymous)</f>
        <v>x</v>
      </c>
      <c r="DT111" s="806" t="str">
        <f>IF(Year2_Bracknell_Forest Year2_ReferralSource_Anonymous="","",Year2_Bracknell_Forest Year2_ReferralSource_Anonymous)</f>
        <v>x</v>
      </c>
      <c r="DU111" s="806">
        <f>IF(Year3_Bracknell_Forest Year3_ReferralSource_Anonymous="","",Year3_Bracknell_Forest Year3_ReferralSource_Anonymous)</f>
        <v>22</v>
      </c>
      <c r="DV111" s="806">
        <f>IF(Year4_Bracknell_Forest Year4_ReferralSource_Anonymous="","",Year4_Bracknell_Forest Year4_ReferralSource_Anonymous)</f>
        <v>55</v>
      </c>
      <c r="DW111" s="807">
        <f>IF(Year5_Bracknell_Forest Year5_ReferralSource_Anonymous="","",Year5_Bracknell_Forest Year5_ReferralSource_Anonymous)</f>
        <v>65</v>
      </c>
      <c r="DX111" s="805" t="str">
        <f>IF(Year1_Bracknell_Forest Year1_ReferralSource_Unknown="","",Year1_Bracknell_Forest Year1_ReferralSource_Unknown)</f>
        <v>x</v>
      </c>
      <c r="DY111" s="806" t="str">
        <f>IF(Year2_Bracknell_Forest Year2_ReferralSource_Unknown="","",Year2_Bracknell_Forest Year2_ReferralSource_Unknown)</f>
        <v>x</v>
      </c>
      <c r="DZ111" s="806">
        <f>IF(Year3_Bracknell_Forest Year3_ReferralSource_Unknown="","",Year3_Bracknell_Forest Year3_ReferralSource_Unknown)</f>
        <v>147</v>
      </c>
      <c r="EA111" s="806">
        <f>IF(Year4_Bracknell_Forest Year4_ReferralSource_Unknown="","",Year4_Bracknell_Forest Year4_ReferralSource_Unknown)</f>
        <v>6</v>
      </c>
      <c r="EB111" s="807">
        <f>IF(Year5_Bracknell_Forest Year5_ReferralSource_Unknown="","",Year5_Bracknell_Forest Year5_ReferralSource_Unknown)</f>
        <v>0</v>
      </c>
    </row>
    <row r="112" spans="1:132" ht="16.5" customHeight="1" x14ac:dyDescent="0.2">
      <c r="A112" s="438"/>
      <c r="B112" s="170" t="str">
        <f>Sheet1!$K$5</f>
        <v>Brighton &amp; Hove</v>
      </c>
      <c r="C112" s="9"/>
      <c r="D112" s="1483"/>
      <c r="E112" s="1484"/>
      <c r="F112" s="1483"/>
      <c r="G112" s="1484"/>
      <c r="H112" s="1483"/>
      <c r="I112" s="1484"/>
      <c r="J112" s="1483"/>
      <c r="K112" s="1484"/>
      <c r="L112" s="1483"/>
      <c r="M112" s="1484"/>
      <c r="N112" s="1483"/>
      <c r="O112" s="1484"/>
      <c r="P112" s="1483"/>
      <c r="Q112" s="1484"/>
      <c r="R112" s="1483"/>
      <c r="S112" s="1484"/>
      <c r="T112" s="1483"/>
      <c r="U112" s="1484"/>
      <c r="V112" s="1483"/>
      <c r="W112" s="1484"/>
      <c r="X112" s="9"/>
      <c r="Y112" s="122"/>
      <c r="Z112" s="138"/>
      <c r="AA112" s="76"/>
      <c r="AB112" s="805">
        <f>IF(Year1_Brighton_Hove Year1_ReferralSource_Individual_Family="","",Year1_Brighton_Hove Year1_ReferralSource_Individual_Family)</f>
        <v>454</v>
      </c>
      <c r="AC112" s="806">
        <f>IF(Year2_Brighton_Hove Year2_ReferralSource_Individual_Family="","",Year2_Brighton_Hove Year2_ReferralSource_Individual_Family)</f>
        <v>179</v>
      </c>
      <c r="AD112" s="806">
        <f>IF(Year3_Brighton_Hove Year3_ReferralSource_Individual_Family="","",Year3_Brighton_Hove Year3_ReferralSource_Individual_Family)</f>
        <v>176</v>
      </c>
      <c r="AE112" s="806">
        <f>IF(Year4_Brighton_Hove Year4_ReferralSource_Individual_Family="","",Year4_Brighton_Hove Year4_ReferralSource_Individual_Family)</f>
        <v>155</v>
      </c>
      <c r="AF112" s="822">
        <f>IF(Year5_Brighton_Hove Year5_ReferralSource_Individual_Family="","",Year5_Brighton_Hove Year5_ReferralSource_Individual_Family)</f>
        <v>105</v>
      </c>
      <c r="AG112" s="805" t="str">
        <f>IF(Year1_Brighton_Hove Year1_ReferralSource_Individual_Acquaintance="","",Year1_Brighton_Hove Year1_ReferralSource_Individual_Acquaintance)</f>
        <v/>
      </c>
      <c r="AH112" s="806" t="str">
        <f>IF(Year2_Brighton_Hove Year2_ReferralSource_Individual_Acquaintance="","",Year2_Brighton_Hove Year2_ReferralSource_Individual_Acquaintance)</f>
        <v/>
      </c>
      <c r="AI112" s="806" t="str">
        <f>IF(Year3_Brighton_Hove Year3_ReferralSource_Individual_Acquaintance="","",Year3_Brighton_Hove Year3_ReferralSource_Individual_Acquaintance)</f>
        <v/>
      </c>
      <c r="AJ112" s="806" t="str">
        <f>IF(Year4_Brighton_Hove Year4_ReferralSource_Individual_Acquaintance="","",Year4_Brighton_Hove Year4_ReferralSource_Individual_Acquaintance)</f>
        <v/>
      </c>
      <c r="AK112" s="807" t="str">
        <f>IF(Year5_Brighton_Hove Year5_ReferralSource_Individual_Acquaintance="","",Year5_Brighton_Hove Year5_ReferralSource_Individual_Acquaintance)</f>
        <v/>
      </c>
      <c r="AL112" s="805" t="str">
        <f>IF(Year1_Brighton_Hove Year1_ReferralSource_Individual_Self="","",Year1_Brighton_Hove Year1_ReferralSource_Individual_Self)</f>
        <v/>
      </c>
      <c r="AM112" s="806" t="str">
        <f>IF(Year2_Brighton_Hove Year2_ReferralSource_Individual_Self="","",Year2_Brighton_Hove Year2_ReferralSource_Individual_Self)</f>
        <v/>
      </c>
      <c r="AN112" s="806" t="str">
        <f>IF(Year3_Brighton_Hove Year3_ReferralSource_Individual_Self="","",Year3_Brighton_Hove Year3_ReferralSource_Individual_Self)</f>
        <v/>
      </c>
      <c r="AO112" s="806" t="str">
        <f>IF(Year4_Brighton_Hove Year4_ReferralSource_Individual_Self="","",Year4_Brighton_Hove Year4_ReferralSource_Individual_Self)</f>
        <v/>
      </c>
      <c r="AP112" s="807" t="str">
        <f>IF(Year5_Brighton_Hove Year5_ReferralSource_Individual_Self="","",Year5_Brighton_Hove Year5_ReferralSource_Individual_Self)</f>
        <v/>
      </c>
      <c r="AQ112" s="805" t="str">
        <f>IF(Year1_Brighton_Hove Year1_ReferralSource_Individual_Other="","",Year1_Brighton_Hove Year1_ReferralSource_Individual_Other)</f>
        <v/>
      </c>
      <c r="AR112" s="806" t="str">
        <f>IF(Year2_Brighton_Hove Year2_ReferralSource_Individual_Other="","",Year2_Brighton_Hove Year2_ReferralSource_Individual_Other)</f>
        <v/>
      </c>
      <c r="AS112" s="806" t="str">
        <f>IF(Year3_Brighton_Hove Year3_ReferralSource_Individual_Other="","",Year3_Brighton_Hove Year3_ReferralSource_Individual_Other)</f>
        <v/>
      </c>
      <c r="AT112" s="806" t="str">
        <f>IF(Year4_Brighton_Hove Year4_ReferralSource_Individual_Other="","",Year4_Brighton_Hove Year4_ReferralSource_Individual_Other)</f>
        <v/>
      </c>
      <c r="AU112" s="807" t="str">
        <f>IF(Year5_Brighton_Hove Year5_ReferralSource_Individual_Other="","",Year5_Brighton_Hove Year5_ReferralSource_Individual_Other)</f>
        <v/>
      </c>
      <c r="AV112" s="805">
        <f>IF(Year1_Brighton_Hove Year1_ReferralSource_School="","",Year1_Brighton_Hove Year1_ReferralSource_School)</f>
        <v>689</v>
      </c>
      <c r="AW112" s="806">
        <f>IF(Year2_Brighton_Hove Year2_ReferralSource_School="","",Year2_Brighton_Hove Year2_ReferralSource_School)</f>
        <v>523</v>
      </c>
      <c r="AX112" s="806">
        <f>IF(Year3_Brighton_Hove Year3_ReferralSource_School="","",Year3_Brighton_Hove Year3_ReferralSource_School)</f>
        <v>629</v>
      </c>
      <c r="AY112" s="806">
        <f>IF(Year4_Brighton_Hove Year4_ReferralSource_School="","",Year4_Brighton_Hove Year4_ReferralSource_School)</f>
        <v>560</v>
      </c>
      <c r="AZ112" s="807">
        <f>IF(Year5_Brighton_Hove Year5_ReferralSource_School="","",Year5_Brighton_Hove Year5_ReferralSource_School)</f>
        <v>508</v>
      </c>
      <c r="BA112" s="805">
        <f>IF(Year1_Brighton_Hove Year1_ReferralSource_EducationServices="","",Year1_Brighton_Hove Year1_ReferralSource_EducationServices)</f>
        <v>244</v>
      </c>
      <c r="BB112" s="806">
        <f>IF(Year2_Brighton_Hove Year2_ReferralSource_EducationServices="","",Year2_Brighton_Hove Year2_ReferralSource_EducationServices)</f>
        <v>76</v>
      </c>
      <c r="BC112" s="806">
        <f>IF(Year3_Brighton_Hove Year3_ReferralSource_EducationServices="","",Year3_Brighton_Hove Year3_ReferralSource_EducationServices)</f>
        <v>42</v>
      </c>
      <c r="BD112" s="806">
        <f>IF(Year4_Brighton_Hove Year4_ReferralSource_EducationServices="","",Year4_Brighton_Hove Year4_ReferralSource_EducationServices)</f>
        <v>62</v>
      </c>
      <c r="BE112" s="807">
        <f>IF(Year5_Brighton_Hove Year5_ReferralSource_EducationServices="","",Year5_Brighton_Hove Year5_ReferralSource_EducationServices)</f>
        <v>101</v>
      </c>
      <c r="BF112" s="823">
        <f>IF(Year1_Brighton_Hove Year1_ReferralSource_Health_services_GP="","",Year1_Brighton_Hove Year1_ReferralSource_Health_services_GP)</f>
        <v>669</v>
      </c>
      <c r="BG112" s="824">
        <f>IF(Year2_Brighton_Hove Year2_ReferralSource_Health_services_GP="","",Year2_Brighton_Hove Year2_ReferralSource_Health_services_GP)</f>
        <v>488</v>
      </c>
      <c r="BH112" s="824">
        <f>IF(Year3_Brighton_Hove Year3_ReferralSource_Health_services_GP="","",Year3_Brighton_Hove Year3_ReferralSource_Health_services_GP)</f>
        <v>336</v>
      </c>
      <c r="BI112" s="824">
        <f>IF(Year4_Brighton_Hove Year4_ReferralSource_Health_services_GP="","",Year4_Brighton_Hove Year4_ReferralSource_Health_services_GP)</f>
        <v>370</v>
      </c>
      <c r="BJ112" s="825">
        <f>IF(Year5_Brighton_Hove Year5_ReferralSource_Health_services_GP="","",Year5_Brighton_Hove Year5_ReferralSource_Health_services_GP)</f>
        <v>305</v>
      </c>
      <c r="BK112" s="823" t="str">
        <f>IF(Year1_Brighton_Hove Year1_ReferralSource_Health_services_HealthVisitor="","",Year1_Brighton_Hove Year1_ReferralSource_Health_services_HealthVisitor)</f>
        <v/>
      </c>
      <c r="BL112" s="824" t="str">
        <f>IF(Year2_Brighton_Hove Year2_ReferralSource_Health_services_HealthVisitor="","",Year2_Brighton_Hove Year2_ReferralSource_Health_services_HealthVisitor)</f>
        <v/>
      </c>
      <c r="BM112" s="824" t="str">
        <f>IF(Year3_Brighton_Hove Year3_ReferralSource_Health_services_HealthVisitor="","",Year3_Brighton_Hove Year3_ReferralSource_Health_services_HealthVisitor)</f>
        <v/>
      </c>
      <c r="BN112" s="824" t="str">
        <f>IF(Year4_Brighton_Hove Year4_ReferralSource_Health_services_HealthVisitor="","",Year4_Brighton_Hove Year4_ReferralSource_Health_services_HealthVisitor)</f>
        <v/>
      </c>
      <c r="BO112" s="825" t="str">
        <f>IF(Year5_Brighton_Hove Year5_ReferralSource_Health_services_HealthVisitor="","",Year5_Brighton_Hove Year5_ReferralSource_Health_services_HealthVisitor)</f>
        <v/>
      </c>
      <c r="BP112" s="823" t="str">
        <f>IF(Year1_Brighton_Hove Year1_ReferralSource_Health_services_SchoolNurse="","",Year1_Brighton_Hove Year1_ReferralSource_Health_services_SchoolNurse)</f>
        <v/>
      </c>
      <c r="BQ112" s="824" t="str">
        <f>IF(Year2_Brighton_Hove Year2_ReferralSource_Health_services_SchoolNurse="","",Year2_Brighton_Hove Year2_ReferralSource_Health_services_SchoolNurse)</f>
        <v/>
      </c>
      <c r="BR112" s="824" t="str">
        <f>IF(Year3_Brighton_Hove Year3_ReferralSource_Health_services_SchoolNurse="","",Year3_Brighton_Hove Year3_ReferralSource_Health_services_SchoolNurse)</f>
        <v/>
      </c>
      <c r="BS112" s="824" t="str">
        <f>IF(Year4_Brighton_Hove Year4_ReferralSource_Health_services_SchoolNurse="","",Year4_Brighton_Hove Year4_ReferralSource_Health_services_SchoolNurse)</f>
        <v/>
      </c>
      <c r="BT112" s="825" t="str">
        <f>IF(Year5_Brighton_Hove Year5_ReferralSource_Health_services_SchoolNurse="","",Year5_Brighton_Hove Year5_ReferralSource_Health_services_SchoolNurse)</f>
        <v/>
      </c>
      <c r="BU112" s="823" t="str">
        <f>IF(Year1_Brighton_Hove Year1_ReferralSource_Health_services_OthPrimary="","",Year1_Brighton_Hove Year1_ReferralSource_Health_services_OthPrimary)</f>
        <v/>
      </c>
      <c r="BV112" s="824" t="str">
        <f>IF(Year2_Brighton_Hove Year2_ReferralSource_Health_services_OthPrimary="","",Year2_Brighton_Hove Year2_ReferralSource_Health_services_OthPrimary)</f>
        <v/>
      </c>
      <c r="BW112" s="824" t="str">
        <f>IF(Year3_Brighton_Hove Year3_ReferralSource_Health_services_OthPrimary="","",Year3_Brighton_Hove Year3_ReferralSource_Health_services_OthPrimary)</f>
        <v/>
      </c>
      <c r="BX112" s="824" t="str">
        <f>IF(Year4_Brighton_Hove Year4_ReferralSource_Health_services_OthPrimary="","",Year4_Brighton_Hove Year4_ReferralSource_Health_services_OthPrimary)</f>
        <v/>
      </c>
      <c r="BY112" s="825" t="str">
        <f>IF(Year5_Brighton_Hove Year5_ReferralSource_Health_services_OthPrimary="","",Year5_Brighton_Hove Year5_ReferralSource_Health_services_OthPrimary)</f>
        <v/>
      </c>
      <c r="BZ112" s="823" t="str">
        <f>IF(Year1_Brighton_Hove Year1_ReferralSource_Health_services_AE="","",Year1_Brighton_Hove Year1_ReferralSource_Health_services_AE)</f>
        <v/>
      </c>
      <c r="CA112" s="824" t="str">
        <f>IF(Year2_Brighton_Hove Year2_ReferralSource_Health_services_AE="","",Year2_Brighton_Hove Year2_ReferralSource_Health_services_AE)</f>
        <v/>
      </c>
      <c r="CB112" s="824" t="str">
        <f>IF(Year3_Brighton_Hove Year3_ReferralSource_Health_services_AE="","",Year3_Brighton_Hove Year3_ReferralSource_Health_services_AE)</f>
        <v/>
      </c>
      <c r="CC112" s="824" t="str">
        <f>IF(Year4_Brighton_Hove Year4_ReferralSource_Health_services_AE="","",Year4_Brighton_Hove Year4_ReferralSource_Health_services_AE)</f>
        <v/>
      </c>
      <c r="CD112" s="825" t="str">
        <f>IF(Year5_Brighton_Hove Year5_ReferralSource_Health_services_AE="","",Year5_Brighton_Hove Year5_ReferralSource_Health_services_AE)</f>
        <v/>
      </c>
      <c r="CE112" s="823" t="str">
        <f>IF(Year1_Brighton_Hove Year1_ReferralSource_Health_services_Other="","",Year1_Brighton_Hove Year1_ReferralSource_Health_services_Other)</f>
        <v/>
      </c>
      <c r="CF112" s="824" t="str">
        <f>IF(Year2_Brighton_Hove Year2_ReferralSource_Health_services_Other="","",Year2_Brighton_Hove Year2_ReferralSource_Health_services_Other)</f>
        <v/>
      </c>
      <c r="CG112" s="824" t="str">
        <f>IF(Year3_Brighton_Hove Year3_ReferralSource_Health_services_Other="","",Year3_Brighton_Hove Year3_ReferralSource_Health_services_Other)</f>
        <v/>
      </c>
      <c r="CH112" s="824" t="str">
        <f>IF(Year4_Brighton_Hove Year4_ReferralSource_Health_services_Other="","",Year4_Brighton_Hove Year4_ReferralSource_Health_services_Other)</f>
        <v/>
      </c>
      <c r="CI112" s="825" t="str">
        <f>IF(Year5_Brighton_Hove Year5_ReferralSource_Health_services_Other="","",Year5_Brighton_Hove Year5_ReferralSource_Health_services_Other)</f>
        <v/>
      </c>
      <c r="CJ112" s="805">
        <f>IF(Year1_Brighton_Hove Year1_ReferralSource_Housing="","",Year1_Brighton_Hove Year1_ReferralSource_Housing)</f>
        <v>204</v>
      </c>
      <c r="CK112" s="806">
        <f>IF(Year2_Brighton_Hove Year2_ReferralSource_Housing="","",Year2_Brighton_Hove Year2_ReferralSource_Housing)</f>
        <v>0</v>
      </c>
      <c r="CL112" s="806">
        <f>IF(Year3_Brighton_Hove Year3_ReferralSource_Housing="","",Year3_Brighton_Hove Year3_ReferralSource_Housing)</f>
        <v>39</v>
      </c>
      <c r="CM112" s="806">
        <f>IF(Year4_Brighton_Hove Year4_ReferralSource_Housing="","",Year4_Brighton_Hove Year4_ReferralSource_Housing)</f>
        <v>55</v>
      </c>
      <c r="CN112" s="807">
        <f>IF(Year5_Brighton_Hove Year5_ReferralSource_Housing="","",Year5_Brighton_Hove Year5_ReferralSource_Housing)</f>
        <v>41</v>
      </c>
      <c r="CO112" s="805">
        <f>IF(Year1_Brighton_Hove Year1_ReferralSource_LA_SC="","",Year1_Brighton_Hove Year1_ReferralSource_LA_SC)</f>
        <v>642</v>
      </c>
      <c r="CP112" s="806">
        <f>IF(Year2_Brighton_Hove Year2_ReferralSource_LA_SC="","",Year2_Brighton_Hove Year2_ReferralSource_LA_SC)</f>
        <v>709</v>
      </c>
      <c r="CQ112" s="806">
        <f>IF(Year3_Brighton_Hove Year3_ReferralSource_LA_SC="","",Year3_Brighton_Hove Year3_ReferralSource_LA_SC)</f>
        <v>632</v>
      </c>
      <c r="CR112" s="806">
        <f>IF(Year4_Brighton_Hove Year4_ReferralSource_LA_SC="","",Year4_Brighton_Hove Year4_ReferralSource_LA_SC)</f>
        <v>531</v>
      </c>
      <c r="CS112" s="807">
        <f>IF(Year5_Brighton_Hove Year5_ReferralSource_LA_SC="","",Year5_Brighton_Hove Year5_ReferralSource_LA_SC)</f>
        <v>419</v>
      </c>
      <c r="CT112" s="805" t="str">
        <f>IF(Year1_Brighton_Hove Year1_ReferralSource_LA_Other="","",Year1_Brighton_Hove Year1_ReferralSource_LA_Other)</f>
        <v/>
      </c>
      <c r="CU112" s="806" t="str">
        <f>IF(Year2_Brighton_Hove Year2_ReferralSource_LA_Other="","",Year2_Brighton_Hove Year2_ReferralSource_LA_Other)</f>
        <v/>
      </c>
      <c r="CV112" s="806" t="str">
        <f>IF(Year3_Brighton_Hove Year3_ReferralSource_LA_Other="","",Year3_Brighton_Hove Year3_ReferralSource_LA_Other)</f>
        <v/>
      </c>
      <c r="CW112" s="806" t="str">
        <f>IF(Year4_Brighton_Hove Year4_ReferralSource_LA_Other="","",Year4_Brighton_Hove Year4_ReferralSource_LA_Other)</f>
        <v/>
      </c>
      <c r="CX112" s="807" t="str">
        <f>IF(Year5_Brighton_Hove Year5_ReferralSource_LA_Other="","",Year5_Brighton_Hove Year5_ReferralSource_LA_Other)</f>
        <v/>
      </c>
      <c r="CY112" s="805" t="str">
        <f>IF(Year1_Brighton_Hove Year1_ReferralSource_LA_External="","",Year1_Brighton_Hove Year1_ReferralSource_LA_External)</f>
        <v/>
      </c>
      <c r="CZ112" s="806" t="str">
        <f>IF(Year2_Brighton_Hove Year2_ReferralSource_LA_External="","",Year2_Brighton_Hove Year2_ReferralSource_LA_External)</f>
        <v/>
      </c>
      <c r="DA112" s="806" t="str">
        <f>IF(Year3_Brighton_Hove Year3_ReferralSource_LA_External="","",Year3_Brighton_Hove Year3_ReferralSource_LA_External)</f>
        <v/>
      </c>
      <c r="DB112" s="806" t="str">
        <f>IF(Year4_Brighton_Hove Year4_ReferralSource_LA_External="","",Year4_Brighton_Hove Year4_ReferralSource_LA_External)</f>
        <v/>
      </c>
      <c r="DC112" s="807" t="str">
        <f>IF(Year5_Brighton_Hove Year5_ReferralSource_LA_External="","",Year5_Brighton_Hove Year5_ReferralSource_LA_External)</f>
        <v/>
      </c>
      <c r="DD112" s="805">
        <f>IF(Year1_Brighton_Hove Year1_ReferralSource_Police="","",Year1_Brighton_Hove Year1_ReferralSource_Police)</f>
        <v>1763</v>
      </c>
      <c r="DE112" s="806">
        <f>IF(Year2_Brighton_Hove Year2_ReferralSource_Police="","",Year2_Brighton_Hove Year2_ReferralSource_Police)</f>
        <v>844</v>
      </c>
      <c r="DF112" s="806">
        <f>IF(Year3_Brighton_Hove Year3_ReferralSource_Police="","",Year3_Brighton_Hove Year3_ReferralSource_Police)</f>
        <v>871</v>
      </c>
      <c r="DG112" s="806">
        <f>IF(Year4_Brighton_Hove Year4_ReferralSource_Police="","",Year4_Brighton_Hove Year4_ReferralSource_Police)</f>
        <v>863</v>
      </c>
      <c r="DH112" s="807">
        <f>IF(Year5_Brighton_Hove Year5_ReferralSource_Police="","",Year5_Brighton_Hove Year5_ReferralSource_Police)</f>
        <v>780</v>
      </c>
      <c r="DI112" s="805">
        <f>IF(Year1_Brighton_Hove Year1_ReferralSource_Other_Legal="","",Year1_Brighton_Hove Year1_ReferralSource_Other_Legal)</f>
        <v>210</v>
      </c>
      <c r="DJ112" s="806">
        <f>IF(Year2_Brighton_Hove Year2_ReferralSource_Other_Legal="","",Year2_Brighton_Hove Year2_ReferralSource_Other_Legal)</f>
        <v>69</v>
      </c>
      <c r="DK112" s="806">
        <f>IF(Year3_Brighton_Hove Year3_ReferralSource_Other_Legal="","",Year3_Brighton_Hove Year3_ReferralSource_Other_Legal)</f>
        <v>82</v>
      </c>
      <c r="DL112" s="806">
        <f>IF(Year4_Brighton_Hove Year4_ReferralSource_Other_Legal="","",Year4_Brighton_Hove Year4_ReferralSource_Other_Legal)</f>
        <v>83</v>
      </c>
      <c r="DM112" s="807">
        <f>IF(Year5_Brighton_Hove Year5_ReferralSource_Other_Legal="","",Year5_Brighton_Hove Year5_ReferralSource_Other_Legal)</f>
        <v>80</v>
      </c>
      <c r="DN112" s="805">
        <f>IF(Year1_Brighton_Hove Year1_ReferralSource_Other="","",Year1_Brighton_Hove Year1_ReferralSource_Other)</f>
        <v>582</v>
      </c>
      <c r="DO112" s="806">
        <f>IF(Year2_Brighton_Hove Year2_ReferralSource_Other="","",Year2_Brighton_Hove Year2_ReferralSource_Other)</f>
        <v>99</v>
      </c>
      <c r="DP112" s="806">
        <f>IF(Year3_Brighton_Hove Year3_ReferralSource_Other="","",Year3_Brighton_Hove Year3_ReferralSource_Other)</f>
        <v>193</v>
      </c>
      <c r="DQ112" s="806">
        <f>IF(Year4_Brighton_Hove Year4_ReferralSource_Other="","",Year4_Brighton_Hove Year4_ReferralSource_Other)</f>
        <v>153</v>
      </c>
      <c r="DR112" s="807">
        <f>IF(Year5_Brighton_Hove Year5_ReferralSource_Other="","",Year5_Brighton_Hove Year5_ReferralSource_Other)</f>
        <v>156</v>
      </c>
      <c r="DS112" s="805">
        <f>IF(Year1_Brighton_Hove Year1_ReferralSource_Anonymous="","",Year1_Brighton_Hove Year1_ReferralSource_Anonymous)</f>
        <v>122</v>
      </c>
      <c r="DT112" s="806">
        <f>IF(Year2_Brighton_Hove Year2_ReferralSource_Anonymous="","",Year2_Brighton_Hove Year2_ReferralSource_Anonymous)</f>
        <v>87</v>
      </c>
      <c r="DU112" s="806">
        <f>IF(Year3_Brighton_Hove Year3_ReferralSource_Anonymous="","",Year3_Brighton_Hove Year3_ReferralSource_Anonymous)</f>
        <v>66</v>
      </c>
      <c r="DV112" s="806">
        <f>IF(Year4_Brighton_Hove Year4_ReferralSource_Anonymous="","",Year4_Brighton_Hove Year4_ReferralSource_Anonymous)</f>
        <v>42</v>
      </c>
      <c r="DW112" s="807">
        <f>IF(Year5_Brighton_Hove Year5_ReferralSource_Anonymous="","",Year5_Brighton_Hove Year5_ReferralSource_Anonymous)</f>
        <v>44</v>
      </c>
      <c r="DX112" s="805">
        <f>IF(Year1_Brighton_Hove Year1_ReferralSource_Unknown="","",Year1_Brighton_Hove Year1_ReferralSource_Unknown)</f>
        <v>1728</v>
      </c>
      <c r="DY112" s="806">
        <f>IF(Year2_Brighton_Hove Year2_ReferralSource_Unknown="","",Year2_Brighton_Hove Year2_ReferralSource_Unknown)</f>
        <v>352</v>
      </c>
      <c r="DZ112" s="806">
        <f>IF(Year3_Brighton_Hove Year3_ReferralSource_Unknown="","",Year3_Brighton_Hove Year3_ReferralSource_Unknown)</f>
        <v>339</v>
      </c>
      <c r="EA112" s="806">
        <f>IF(Year4_Brighton_Hove Year4_ReferralSource_Unknown="","",Year4_Brighton_Hove Year4_ReferralSource_Unknown)</f>
        <v>470</v>
      </c>
      <c r="EB112" s="807">
        <f>IF(Year5_Brighton_Hove Year5_ReferralSource_Unknown="","",Year5_Brighton_Hove Year5_ReferralSource_Unknown)</f>
        <v>700</v>
      </c>
    </row>
    <row r="113" spans="1:132" ht="16.5" customHeight="1" x14ac:dyDescent="0.2">
      <c r="A113" s="271"/>
      <c r="B113" s="170" t="str">
        <f>Sheet1!$K$6</f>
        <v>Buckinghamshire</v>
      </c>
      <c r="C113" s="9"/>
      <c r="D113" s="1483"/>
      <c r="E113" s="1484"/>
      <c r="F113" s="1483"/>
      <c r="G113" s="1484"/>
      <c r="H113" s="1483"/>
      <c r="I113" s="1484"/>
      <c r="J113" s="1483"/>
      <c r="K113" s="1484"/>
      <c r="L113" s="1483"/>
      <c r="M113" s="1484"/>
      <c r="N113" s="1483"/>
      <c r="O113" s="1484"/>
      <c r="P113" s="1483"/>
      <c r="Q113" s="1484"/>
      <c r="R113" s="1483"/>
      <c r="S113" s="1484"/>
      <c r="T113" s="1483"/>
      <c r="U113" s="1484"/>
      <c r="V113" s="1483"/>
      <c r="W113" s="1484"/>
      <c r="X113" s="9"/>
      <c r="Y113" s="119"/>
      <c r="Z113" s="138"/>
      <c r="AA113" s="76"/>
      <c r="AB113" s="805">
        <f>IF(Year1_Buckinghamshire Year1_ReferralSource_Individual_Family="","",Year1_Buckinghamshire Year1_ReferralSource_Individual_Family)</f>
        <v>483</v>
      </c>
      <c r="AC113" s="806">
        <f>IF(Year2_Buckinghamshire Year2_ReferralSource_Individual_Family="","",Year2_Buckinghamshire Year2_ReferralSource_Individual_Family)</f>
        <v>560</v>
      </c>
      <c r="AD113" s="806">
        <f>IF(Year3_Buckinghamshire Year3_ReferralSource_Individual_Family="","",Year3_Buckinghamshire Year3_ReferralSource_Individual_Family)</f>
        <v>682</v>
      </c>
      <c r="AE113" s="806">
        <f>IF(Year4_Buckinghamshire Year4_ReferralSource_Individual_Family="","",Year4_Buckinghamshire Year4_ReferralSource_Individual_Family)</f>
        <v>751</v>
      </c>
      <c r="AF113" s="822">
        <f>IF(Year5_Buckinghamshire Year5_ReferralSource_Individual_Family="","",Year5_Buckinghamshire Year5_ReferralSource_Individual_Family)</f>
        <v>571</v>
      </c>
      <c r="AG113" s="805" t="str">
        <f>IF(Year1_Buckinghamshire Year1_ReferralSource_Individual_Acquaintance="","",Year1_Buckinghamshire Year1_ReferralSource_Individual_Acquaintance)</f>
        <v/>
      </c>
      <c r="AH113" s="806" t="str">
        <f>IF(Year2_Buckinghamshire Year2_ReferralSource_Individual_Acquaintance="","",Year2_Buckinghamshire Year2_ReferralSource_Individual_Acquaintance)</f>
        <v/>
      </c>
      <c r="AI113" s="806" t="str">
        <f>IF(Year3_Buckinghamshire Year3_ReferralSource_Individual_Acquaintance="","",Year3_Buckinghamshire Year3_ReferralSource_Individual_Acquaintance)</f>
        <v/>
      </c>
      <c r="AJ113" s="806" t="str">
        <f>IF(Year4_Buckinghamshire Year4_ReferralSource_Individual_Acquaintance="","",Year4_Buckinghamshire Year4_ReferralSource_Individual_Acquaintance)</f>
        <v/>
      </c>
      <c r="AK113" s="807" t="str">
        <f>IF(Year5_Buckinghamshire Year5_ReferralSource_Individual_Acquaintance="","",Year5_Buckinghamshire Year5_ReferralSource_Individual_Acquaintance)</f>
        <v/>
      </c>
      <c r="AL113" s="805" t="str">
        <f>IF(Year1_Buckinghamshire Year1_ReferralSource_Individual_Self="","",Year1_Buckinghamshire Year1_ReferralSource_Individual_Self)</f>
        <v/>
      </c>
      <c r="AM113" s="806" t="str">
        <f>IF(Year2_Buckinghamshire Year2_ReferralSource_Individual_Self="","",Year2_Buckinghamshire Year2_ReferralSource_Individual_Self)</f>
        <v/>
      </c>
      <c r="AN113" s="806" t="str">
        <f>IF(Year3_Buckinghamshire Year3_ReferralSource_Individual_Self="","",Year3_Buckinghamshire Year3_ReferralSource_Individual_Self)</f>
        <v/>
      </c>
      <c r="AO113" s="806" t="str">
        <f>IF(Year4_Buckinghamshire Year4_ReferralSource_Individual_Self="","",Year4_Buckinghamshire Year4_ReferralSource_Individual_Self)</f>
        <v/>
      </c>
      <c r="AP113" s="807" t="str">
        <f>IF(Year5_Buckinghamshire Year5_ReferralSource_Individual_Self="","",Year5_Buckinghamshire Year5_ReferralSource_Individual_Self)</f>
        <v/>
      </c>
      <c r="AQ113" s="805" t="str">
        <f>IF(Year1_Buckinghamshire Year1_ReferralSource_Individual_Other="","",Year1_Buckinghamshire Year1_ReferralSource_Individual_Other)</f>
        <v/>
      </c>
      <c r="AR113" s="806" t="str">
        <f>IF(Year2_Buckinghamshire Year2_ReferralSource_Individual_Other="","",Year2_Buckinghamshire Year2_ReferralSource_Individual_Other)</f>
        <v/>
      </c>
      <c r="AS113" s="806" t="str">
        <f>IF(Year3_Buckinghamshire Year3_ReferralSource_Individual_Other="","",Year3_Buckinghamshire Year3_ReferralSource_Individual_Other)</f>
        <v/>
      </c>
      <c r="AT113" s="806" t="str">
        <f>IF(Year4_Buckinghamshire Year4_ReferralSource_Individual_Other="","",Year4_Buckinghamshire Year4_ReferralSource_Individual_Other)</f>
        <v/>
      </c>
      <c r="AU113" s="807" t="str">
        <f>IF(Year5_Buckinghamshire Year5_ReferralSource_Individual_Other="","",Year5_Buckinghamshire Year5_ReferralSource_Individual_Other)</f>
        <v/>
      </c>
      <c r="AV113" s="805">
        <f>IF(Year1_Buckinghamshire Year1_ReferralSource_School="","",Year1_Buckinghamshire Year1_ReferralSource_School)</f>
        <v>972</v>
      </c>
      <c r="AW113" s="806">
        <f>IF(Year2_Buckinghamshire Year2_ReferralSource_School="","",Year2_Buckinghamshire Year2_ReferralSource_School)</f>
        <v>1650</v>
      </c>
      <c r="AX113" s="806">
        <f>IF(Year3_Buckinghamshire Year3_ReferralSource_School="","",Year3_Buckinghamshire Year3_ReferralSource_School)</f>
        <v>2287</v>
      </c>
      <c r="AY113" s="806">
        <f>IF(Year4_Buckinghamshire Year4_ReferralSource_School="","",Year4_Buckinghamshire Year4_ReferralSource_School)</f>
        <v>2000</v>
      </c>
      <c r="AZ113" s="807">
        <f>IF(Year5_Buckinghamshire Year5_ReferralSource_School="","",Year5_Buckinghamshire Year5_ReferralSource_School)</f>
        <v>1537</v>
      </c>
      <c r="BA113" s="805">
        <f>IF(Year1_Buckinghamshire Year1_ReferralSource_EducationServices="","",Year1_Buckinghamshire Year1_ReferralSource_EducationServices)</f>
        <v>13</v>
      </c>
      <c r="BB113" s="806" t="str">
        <f>IF(Year2_Buckinghamshire Year2_ReferralSource_EducationServices="","",Year2_Buckinghamshire Year2_ReferralSource_EducationServices)</f>
        <v>x</v>
      </c>
      <c r="BC113" s="806">
        <f>IF(Year3_Buckinghamshire Year3_ReferralSource_EducationServices="","",Year3_Buckinghamshire Year3_ReferralSource_EducationServices)</f>
        <v>105</v>
      </c>
      <c r="BD113" s="806">
        <f>IF(Year4_Buckinghamshire Year4_ReferralSource_EducationServices="","",Year4_Buckinghamshire Year4_ReferralSource_EducationServices)</f>
        <v>51</v>
      </c>
      <c r="BE113" s="807">
        <f>IF(Year5_Buckinghamshire Year5_ReferralSource_EducationServices="","",Year5_Buckinghamshire Year5_ReferralSource_EducationServices)</f>
        <v>19</v>
      </c>
      <c r="BF113" s="823">
        <f>IF(Year1_Buckinghamshire Year1_ReferralSource_Health_services_GP="","",Year1_Buckinghamshire Year1_ReferralSource_Health_services_GP)</f>
        <v>719</v>
      </c>
      <c r="BG113" s="824">
        <f>IF(Year2_Buckinghamshire Year2_ReferralSource_Health_services_GP="","",Year2_Buckinghamshire Year2_ReferralSource_Health_services_GP)</f>
        <v>1150</v>
      </c>
      <c r="BH113" s="824">
        <f>IF(Year3_Buckinghamshire Year3_ReferralSource_Health_services_GP="","",Year3_Buckinghamshire Year3_ReferralSource_Health_services_GP)</f>
        <v>1587</v>
      </c>
      <c r="BI113" s="824">
        <f>IF(Year4_Buckinghamshire Year4_ReferralSource_Health_services_GP="","",Year4_Buckinghamshire Year4_ReferralSource_Health_services_GP)</f>
        <v>1708</v>
      </c>
      <c r="BJ113" s="825">
        <f>IF(Year5_Buckinghamshire Year5_ReferralSource_Health_services_GP="","",Year5_Buckinghamshire Year5_ReferralSource_Health_services_GP)</f>
        <v>1182</v>
      </c>
      <c r="BK113" s="823" t="str">
        <f>IF(Year1_Buckinghamshire Year1_ReferralSource_Health_services_HealthVisitor="","",Year1_Buckinghamshire Year1_ReferralSource_Health_services_HealthVisitor)</f>
        <v/>
      </c>
      <c r="BL113" s="824" t="str">
        <f>IF(Year2_Buckinghamshire Year2_ReferralSource_Health_services_HealthVisitor="","",Year2_Buckinghamshire Year2_ReferralSource_Health_services_HealthVisitor)</f>
        <v/>
      </c>
      <c r="BM113" s="824" t="str">
        <f>IF(Year3_Buckinghamshire Year3_ReferralSource_Health_services_HealthVisitor="","",Year3_Buckinghamshire Year3_ReferralSource_Health_services_HealthVisitor)</f>
        <v/>
      </c>
      <c r="BN113" s="824" t="str">
        <f>IF(Year4_Buckinghamshire Year4_ReferralSource_Health_services_HealthVisitor="","",Year4_Buckinghamshire Year4_ReferralSource_Health_services_HealthVisitor)</f>
        <v/>
      </c>
      <c r="BO113" s="825" t="str">
        <f>IF(Year5_Buckinghamshire Year5_ReferralSource_Health_services_HealthVisitor="","",Year5_Buckinghamshire Year5_ReferralSource_Health_services_HealthVisitor)</f>
        <v/>
      </c>
      <c r="BP113" s="823" t="str">
        <f>IF(Year1_Buckinghamshire Year1_ReferralSource_Health_services_SchoolNurse="","",Year1_Buckinghamshire Year1_ReferralSource_Health_services_SchoolNurse)</f>
        <v/>
      </c>
      <c r="BQ113" s="824" t="str">
        <f>IF(Year2_Buckinghamshire Year2_ReferralSource_Health_services_SchoolNurse="","",Year2_Buckinghamshire Year2_ReferralSource_Health_services_SchoolNurse)</f>
        <v/>
      </c>
      <c r="BR113" s="824" t="str">
        <f>IF(Year3_Buckinghamshire Year3_ReferralSource_Health_services_SchoolNurse="","",Year3_Buckinghamshire Year3_ReferralSource_Health_services_SchoolNurse)</f>
        <v/>
      </c>
      <c r="BS113" s="824" t="str">
        <f>IF(Year4_Buckinghamshire Year4_ReferralSource_Health_services_SchoolNurse="","",Year4_Buckinghamshire Year4_ReferralSource_Health_services_SchoolNurse)</f>
        <v/>
      </c>
      <c r="BT113" s="825" t="str">
        <f>IF(Year5_Buckinghamshire Year5_ReferralSource_Health_services_SchoolNurse="","",Year5_Buckinghamshire Year5_ReferralSource_Health_services_SchoolNurse)</f>
        <v/>
      </c>
      <c r="BU113" s="823" t="str">
        <f>IF(Year1_Buckinghamshire Year1_ReferralSource_Health_services_OthPrimary="","",Year1_Buckinghamshire Year1_ReferralSource_Health_services_OthPrimary)</f>
        <v/>
      </c>
      <c r="BV113" s="824" t="str">
        <f>IF(Year2_Buckinghamshire Year2_ReferralSource_Health_services_OthPrimary="","",Year2_Buckinghamshire Year2_ReferralSource_Health_services_OthPrimary)</f>
        <v/>
      </c>
      <c r="BW113" s="824" t="str">
        <f>IF(Year3_Buckinghamshire Year3_ReferralSource_Health_services_OthPrimary="","",Year3_Buckinghamshire Year3_ReferralSource_Health_services_OthPrimary)</f>
        <v/>
      </c>
      <c r="BX113" s="824" t="str">
        <f>IF(Year4_Buckinghamshire Year4_ReferralSource_Health_services_OthPrimary="","",Year4_Buckinghamshire Year4_ReferralSource_Health_services_OthPrimary)</f>
        <v/>
      </c>
      <c r="BY113" s="825" t="str">
        <f>IF(Year5_Buckinghamshire Year5_ReferralSource_Health_services_OthPrimary="","",Year5_Buckinghamshire Year5_ReferralSource_Health_services_OthPrimary)</f>
        <v/>
      </c>
      <c r="BZ113" s="823" t="str">
        <f>IF(Year1_Buckinghamshire Year1_ReferralSource_Health_services_AE="","",Year1_Buckinghamshire Year1_ReferralSource_Health_services_AE)</f>
        <v/>
      </c>
      <c r="CA113" s="824" t="str">
        <f>IF(Year2_Buckinghamshire Year2_ReferralSource_Health_services_AE="","",Year2_Buckinghamshire Year2_ReferralSource_Health_services_AE)</f>
        <v/>
      </c>
      <c r="CB113" s="824" t="str">
        <f>IF(Year3_Buckinghamshire Year3_ReferralSource_Health_services_AE="","",Year3_Buckinghamshire Year3_ReferralSource_Health_services_AE)</f>
        <v/>
      </c>
      <c r="CC113" s="824" t="str">
        <f>IF(Year4_Buckinghamshire Year4_ReferralSource_Health_services_AE="","",Year4_Buckinghamshire Year4_ReferralSource_Health_services_AE)</f>
        <v/>
      </c>
      <c r="CD113" s="825" t="str">
        <f>IF(Year5_Buckinghamshire Year5_ReferralSource_Health_services_AE="","",Year5_Buckinghamshire Year5_ReferralSource_Health_services_AE)</f>
        <v/>
      </c>
      <c r="CE113" s="823" t="str">
        <f>IF(Year1_Buckinghamshire Year1_ReferralSource_Health_services_Other="","",Year1_Buckinghamshire Year1_ReferralSource_Health_services_Other)</f>
        <v/>
      </c>
      <c r="CF113" s="824" t="str">
        <f>IF(Year2_Buckinghamshire Year2_ReferralSource_Health_services_Other="","",Year2_Buckinghamshire Year2_ReferralSource_Health_services_Other)</f>
        <v/>
      </c>
      <c r="CG113" s="824" t="str">
        <f>IF(Year3_Buckinghamshire Year3_ReferralSource_Health_services_Other="","",Year3_Buckinghamshire Year3_ReferralSource_Health_services_Other)</f>
        <v/>
      </c>
      <c r="CH113" s="824" t="str">
        <f>IF(Year4_Buckinghamshire Year4_ReferralSource_Health_services_Other="","",Year4_Buckinghamshire Year4_ReferralSource_Health_services_Other)</f>
        <v/>
      </c>
      <c r="CI113" s="825" t="str">
        <f>IF(Year5_Buckinghamshire Year5_ReferralSource_Health_services_Other="","",Year5_Buckinghamshire Year5_ReferralSource_Health_services_Other)</f>
        <v/>
      </c>
      <c r="CJ113" s="805">
        <f>IF(Year1_Buckinghamshire Year1_ReferralSource_Housing="","",Year1_Buckinghamshire Year1_ReferralSource_Housing)</f>
        <v>23</v>
      </c>
      <c r="CK113" s="806">
        <f>IF(Year2_Buckinghamshire Year2_ReferralSource_Housing="","",Year2_Buckinghamshire Year2_ReferralSource_Housing)</f>
        <v>54</v>
      </c>
      <c r="CL113" s="806">
        <f>IF(Year3_Buckinghamshire Year3_ReferralSource_Housing="","",Year3_Buckinghamshire Year3_ReferralSource_Housing)</f>
        <v>93</v>
      </c>
      <c r="CM113" s="806">
        <f>IF(Year4_Buckinghamshire Year4_ReferralSource_Housing="","",Year4_Buckinghamshire Year4_ReferralSource_Housing)</f>
        <v>88</v>
      </c>
      <c r="CN113" s="807">
        <f>IF(Year5_Buckinghamshire Year5_ReferralSource_Housing="","",Year5_Buckinghamshire Year5_ReferralSource_Housing)</f>
        <v>66</v>
      </c>
      <c r="CO113" s="805">
        <f>IF(Year1_Buckinghamshire Year1_ReferralSource_LA_SC="","",Year1_Buckinghamshire Year1_ReferralSource_LA_SC)</f>
        <v>1007</v>
      </c>
      <c r="CP113" s="806">
        <f>IF(Year2_Buckinghamshire Year2_ReferralSource_LA_SC="","",Year2_Buckinghamshire Year2_ReferralSource_LA_SC)</f>
        <v>937</v>
      </c>
      <c r="CQ113" s="806">
        <f>IF(Year3_Buckinghamshire Year3_ReferralSource_LA_SC="","",Year3_Buckinghamshire Year3_ReferralSource_LA_SC)</f>
        <v>1023</v>
      </c>
      <c r="CR113" s="806">
        <f>IF(Year4_Buckinghamshire Year4_ReferralSource_LA_SC="","",Year4_Buckinghamshire Year4_ReferralSource_LA_SC)</f>
        <v>995</v>
      </c>
      <c r="CS113" s="807">
        <f>IF(Year5_Buckinghamshire Year5_ReferralSource_LA_SC="","",Year5_Buckinghamshire Year5_ReferralSource_LA_SC)</f>
        <v>766</v>
      </c>
      <c r="CT113" s="805" t="str">
        <f>IF(Year1_Buckinghamshire Year1_ReferralSource_LA_Other="","",Year1_Buckinghamshire Year1_ReferralSource_LA_Other)</f>
        <v/>
      </c>
      <c r="CU113" s="806" t="str">
        <f>IF(Year2_Buckinghamshire Year2_ReferralSource_LA_Other="","",Year2_Buckinghamshire Year2_ReferralSource_LA_Other)</f>
        <v/>
      </c>
      <c r="CV113" s="806" t="str">
        <f>IF(Year3_Buckinghamshire Year3_ReferralSource_LA_Other="","",Year3_Buckinghamshire Year3_ReferralSource_LA_Other)</f>
        <v/>
      </c>
      <c r="CW113" s="806" t="str">
        <f>IF(Year4_Buckinghamshire Year4_ReferralSource_LA_Other="","",Year4_Buckinghamshire Year4_ReferralSource_LA_Other)</f>
        <v/>
      </c>
      <c r="CX113" s="807" t="str">
        <f>IF(Year5_Buckinghamshire Year5_ReferralSource_LA_Other="","",Year5_Buckinghamshire Year5_ReferralSource_LA_Other)</f>
        <v/>
      </c>
      <c r="CY113" s="805" t="str">
        <f>IF(Year1_Buckinghamshire Year1_ReferralSource_LA_External="","",Year1_Buckinghamshire Year1_ReferralSource_LA_External)</f>
        <v/>
      </c>
      <c r="CZ113" s="806" t="str">
        <f>IF(Year2_Buckinghamshire Year2_ReferralSource_LA_External="","",Year2_Buckinghamshire Year2_ReferralSource_LA_External)</f>
        <v/>
      </c>
      <c r="DA113" s="806" t="str">
        <f>IF(Year3_Buckinghamshire Year3_ReferralSource_LA_External="","",Year3_Buckinghamshire Year3_ReferralSource_LA_External)</f>
        <v/>
      </c>
      <c r="DB113" s="806" t="str">
        <f>IF(Year4_Buckinghamshire Year4_ReferralSource_LA_External="","",Year4_Buckinghamshire Year4_ReferralSource_LA_External)</f>
        <v/>
      </c>
      <c r="DC113" s="807" t="str">
        <f>IF(Year5_Buckinghamshire Year5_ReferralSource_LA_External="","",Year5_Buckinghamshire Year5_ReferralSource_LA_External)</f>
        <v/>
      </c>
      <c r="DD113" s="805">
        <f>IF(Year1_Buckinghamshire Year1_ReferralSource_Police="","",Year1_Buckinghamshire Year1_ReferralSource_Police)</f>
        <v>1369</v>
      </c>
      <c r="DE113" s="806">
        <f>IF(Year2_Buckinghamshire Year2_ReferralSource_Police="","",Year2_Buckinghamshire Year2_ReferralSource_Police)</f>
        <v>1884</v>
      </c>
      <c r="DF113" s="806">
        <f>IF(Year3_Buckinghamshire Year3_ReferralSource_Police="","",Year3_Buckinghamshire Year3_ReferralSource_Police)</f>
        <v>2528</v>
      </c>
      <c r="DG113" s="806">
        <f>IF(Year4_Buckinghamshire Year4_ReferralSource_Police="","",Year4_Buckinghamshire Year4_ReferralSource_Police)</f>
        <v>3532</v>
      </c>
      <c r="DH113" s="807">
        <f>IF(Year5_Buckinghamshire Year5_ReferralSource_Police="","",Year5_Buckinghamshire Year5_ReferralSource_Police)</f>
        <v>2712</v>
      </c>
      <c r="DI113" s="805">
        <f>IF(Year1_Buckinghamshire Year1_ReferralSource_Other_Legal="","",Year1_Buckinghamshire Year1_ReferralSource_Other_Legal)</f>
        <v>114</v>
      </c>
      <c r="DJ113" s="806">
        <f>IF(Year2_Buckinghamshire Year2_ReferralSource_Other_Legal="","",Year2_Buckinghamshire Year2_ReferralSource_Other_Legal)</f>
        <v>158</v>
      </c>
      <c r="DK113" s="806">
        <f>IF(Year3_Buckinghamshire Year3_ReferralSource_Other_Legal="","",Year3_Buckinghamshire Year3_ReferralSource_Other_Legal)</f>
        <v>225</v>
      </c>
      <c r="DL113" s="806">
        <f>IF(Year4_Buckinghamshire Year4_ReferralSource_Other_Legal="","",Year4_Buckinghamshire Year4_ReferralSource_Other_Legal)</f>
        <v>245</v>
      </c>
      <c r="DM113" s="807">
        <f>IF(Year5_Buckinghamshire Year5_ReferralSource_Other_Legal="","",Year5_Buckinghamshire Year5_ReferralSource_Other_Legal)</f>
        <v>244</v>
      </c>
      <c r="DN113" s="805">
        <f>IF(Year1_Buckinghamshire Year1_ReferralSource_Other="","",Year1_Buckinghamshire Year1_ReferralSource_Other)</f>
        <v>255</v>
      </c>
      <c r="DO113" s="806">
        <f>IF(Year2_Buckinghamshire Year2_ReferralSource_Other="","",Year2_Buckinghamshire Year2_ReferralSource_Other)</f>
        <v>421</v>
      </c>
      <c r="DP113" s="806">
        <f>IF(Year3_Buckinghamshire Year3_ReferralSource_Other="","",Year3_Buckinghamshire Year3_ReferralSource_Other)</f>
        <v>505</v>
      </c>
      <c r="DQ113" s="806">
        <f>IF(Year4_Buckinghamshire Year4_ReferralSource_Other="","",Year4_Buckinghamshire Year4_ReferralSource_Other)</f>
        <v>456</v>
      </c>
      <c r="DR113" s="807">
        <f>IF(Year5_Buckinghamshire Year5_ReferralSource_Other="","",Year5_Buckinghamshire Year5_ReferralSource_Other)</f>
        <v>345</v>
      </c>
      <c r="DS113" s="805">
        <f>IF(Year1_Buckinghamshire Year1_ReferralSource_Anonymous="","",Year1_Buckinghamshire Year1_ReferralSource_Anonymous)</f>
        <v>138</v>
      </c>
      <c r="DT113" s="806">
        <f>IF(Year2_Buckinghamshire Year2_ReferralSource_Anonymous="","",Year2_Buckinghamshire Year2_ReferralSource_Anonymous)</f>
        <v>100</v>
      </c>
      <c r="DU113" s="806">
        <f>IF(Year3_Buckinghamshire Year3_ReferralSource_Anonymous="","",Year3_Buckinghamshire Year3_ReferralSource_Anonymous)</f>
        <v>143</v>
      </c>
      <c r="DV113" s="806">
        <f>IF(Year4_Buckinghamshire Year4_ReferralSource_Anonymous="","",Year4_Buckinghamshire Year4_ReferralSource_Anonymous)</f>
        <v>305</v>
      </c>
      <c r="DW113" s="807">
        <f>IF(Year5_Buckinghamshire Year5_ReferralSource_Anonymous="","",Year5_Buckinghamshire Year5_ReferralSource_Anonymous)</f>
        <v>186</v>
      </c>
      <c r="DX113" s="805">
        <f>IF(Year1_Buckinghamshire Year1_ReferralSource_Unknown="","",Year1_Buckinghamshire Year1_ReferralSource_Unknown)</f>
        <v>36</v>
      </c>
      <c r="DY113" s="806" t="str">
        <f>IF(Year2_Buckinghamshire Year2_ReferralSource_Unknown="","",Year2_Buckinghamshire Year2_ReferralSource_Unknown)</f>
        <v>x</v>
      </c>
      <c r="DZ113" s="806">
        <f>IF(Year3_Buckinghamshire Year3_ReferralSource_Unknown="","",Year3_Buckinghamshire Year3_ReferralSource_Unknown)</f>
        <v>26</v>
      </c>
      <c r="EA113" s="806">
        <f>IF(Year4_Buckinghamshire Year4_ReferralSource_Unknown="","",Year4_Buckinghamshire Year4_ReferralSource_Unknown)</f>
        <v>206</v>
      </c>
      <c r="EB113" s="807">
        <f>IF(Year5_Buckinghamshire Year5_ReferralSource_Unknown="","",Year5_Buckinghamshire Year5_ReferralSource_Unknown)</f>
        <v>12</v>
      </c>
    </row>
    <row r="114" spans="1:132" ht="16.5" customHeight="1" x14ac:dyDescent="0.2">
      <c r="A114" s="271"/>
      <c r="B114" s="170" t="str">
        <f>Sheet1!$K$7</f>
        <v>East Sussex</v>
      </c>
      <c r="C114" s="9"/>
      <c r="D114" s="1483"/>
      <c r="E114" s="1484"/>
      <c r="F114" s="1483"/>
      <c r="G114" s="1484"/>
      <c r="H114" s="1483"/>
      <c r="I114" s="1484"/>
      <c r="J114" s="1483"/>
      <c r="K114" s="1484"/>
      <c r="L114" s="1483"/>
      <c r="M114" s="1484"/>
      <c r="N114" s="1483"/>
      <c r="O114" s="1484"/>
      <c r="P114" s="1483"/>
      <c r="Q114" s="1484"/>
      <c r="R114" s="1483"/>
      <c r="S114" s="1484"/>
      <c r="T114" s="1483"/>
      <c r="U114" s="1484"/>
      <c r="V114" s="1483"/>
      <c r="W114" s="1484"/>
      <c r="X114" s="9"/>
      <c r="Y114" s="119"/>
      <c r="Z114" s="138"/>
      <c r="AA114" s="76"/>
      <c r="AB114" s="805">
        <f>IF(Year1_East_Sussex Year1_ReferralSource_Individual_Family="","",Year1_East_Sussex Year1_ReferralSource_Individual_Family)</f>
        <v>307</v>
      </c>
      <c r="AC114" s="806">
        <f>IF(Year2_East_Sussex Year2_ReferralSource_Individual_Family="","",Year2_East_Sussex Year2_ReferralSource_Individual_Family)</f>
        <v>157</v>
      </c>
      <c r="AD114" s="806">
        <f>IF(Year3_East_Sussex Year3_ReferralSource_Individual_Family="","",Year3_East_Sussex Year3_ReferralSource_Individual_Family)</f>
        <v>279</v>
      </c>
      <c r="AE114" s="806">
        <f>IF(Year4_East_Sussex Year4_ReferralSource_Individual_Family="","",Year4_East_Sussex Year4_ReferralSource_Individual_Family)</f>
        <v>415</v>
      </c>
      <c r="AF114" s="822">
        <f>IF(Year5_East_Sussex Year5_ReferralSource_Individual_Family="","",Year5_East_Sussex Year5_ReferralSource_Individual_Family)</f>
        <v>458</v>
      </c>
      <c r="AG114" s="805" t="str">
        <f>IF(Year1_East_Sussex Year1_ReferralSource_Individual_Acquaintance="","",Year1_East_Sussex Year1_ReferralSource_Individual_Acquaintance)</f>
        <v/>
      </c>
      <c r="AH114" s="806" t="str">
        <f>IF(Year2_East_Sussex Year2_ReferralSource_Individual_Acquaintance="","",Year2_East_Sussex Year2_ReferralSource_Individual_Acquaintance)</f>
        <v/>
      </c>
      <c r="AI114" s="806" t="str">
        <f>IF(Year3_East_Sussex Year3_ReferralSource_Individual_Acquaintance="","",Year3_East_Sussex Year3_ReferralSource_Individual_Acquaintance)</f>
        <v/>
      </c>
      <c r="AJ114" s="806" t="str">
        <f>IF(Year4_East_Sussex Year4_ReferralSource_Individual_Acquaintance="","",Year4_East_Sussex Year4_ReferralSource_Individual_Acquaintance)</f>
        <v/>
      </c>
      <c r="AK114" s="807" t="str">
        <f>IF(Year5_East_Sussex Year5_ReferralSource_Individual_Acquaintance="","",Year5_East_Sussex Year5_ReferralSource_Individual_Acquaintance)</f>
        <v/>
      </c>
      <c r="AL114" s="805" t="str">
        <f>IF(Year1_East_Sussex Year1_ReferralSource_Individual_Self="","",Year1_East_Sussex Year1_ReferralSource_Individual_Self)</f>
        <v/>
      </c>
      <c r="AM114" s="806" t="str">
        <f>IF(Year2_East_Sussex Year2_ReferralSource_Individual_Self="","",Year2_East_Sussex Year2_ReferralSource_Individual_Self)</f>
        <v/>
      </c>
      <c r="AN114" s="806" t="str">
        <f>IF(Year3_East_Sussex Year3_ReferralSource_Individual_Self="","",Year3_East_Sussex Year3_ReferralSource_Individual_Self)</f>
        <v/>
      </c>
      <c r="AO114" s="806" t="str">
        <f>IF(Year4_East_Sussex Year4_ReferralSource_Individual_Self="","",Year4_East_Sussex Year4_ReferralSource_Individual_Self)</f>
        <v/>
      </c>
      <c r="AP114" s="807" t="str">
        <f>IF(Year5_East_Sussex Year5_ReferralSource_Individual_Self="","",Year5_East_Sussex Year5_ReferralSource_Individual_Self)</f>
        <v/>
      </c>
      <c r="AQ114" s="805" t="str">
        <f>IF(Year1_East_Sussex Year1_ReferralSource_Individual_Other="","",Year1_East_Sussex Year1_ReferralSource_Individual_Other)</f>
        <v/>
      </c>
      <c r="AR114" s="806" t="str">
        <f>IF(Year2_East_Sussex Year2_ReferralSource_Individual_Other="","",Year2_East_Sussex Year2_ReferralSource_Individual_Other)</f>
        <v/>
      </c>
      <c r="AS114" s="806" t="str">
        <f>IF(Year3_East_Sussex Year3_ReferralSource_Individual_Other="","",Year3_East_Sussex Year3_ReferralSource_Individual_Other)</f>
        <v/>
      </c>
      <c r="AT114" s="806" t="str">
        <f>IF(Year4_East_Sussex Year4_ReferralSource_Individual_Other="","",Year4_East_Sussex Year4_ReferralSource_Individual_Other)</f>
        <v/>
      </c>
      <c r="AU114" s="807" t="str">
        <f>IF(Year5_East_Sussex Year5_ReferralSource_Individual_Other="","",Year5_East_Sussex Year5_ReferralSource_Individual_Other)</f>
        <v/>
      </c>
      <c r="AV114" s="805">
        <f>IF(Year1_East_Sussex Year1_ReferralSource_School="","",Year1_East_Sussex Year1_ReferralSource_School)</f>
        <v>376</v>
      </c>
      <c r="AW114" s="806">
        <f>IF(Year2_East_Sussex Year2_ReferralSource_School="","",Year2_East_Sussex Year2_ReferralSource_School)</f>
        <v>241</v>
      </c>
      <c r="AX114" s="806">
        <f>IF(Year3_East_Sussex Year3_ReferralSource_School="","",Year3_East_Sussex Year3_ReferralSource_School)</f>
        <v>588</v>
      </c>
      <c r="AY114" s="806">
        <f>IF(Year4_East_Sussex Year4_ReferralSource_School="","",Year4_East_Sussex Year4_ReferralSource_School)</f>
        <v>824</v>
      </c>
      <c r="AZ114" s="807">
        <f>IF(Year5_East_Sussex Year5_ReferralSource_School="","",Year5_East_Sussex Year5_ReferralSource_School)</f>
        <v>669</v>
      </c>
      <c r="BA114" s="805">
        <f>IF(Year1_East_Sussex Year1_ReferralSource_EducationServices="","",Year1_East_Sussex Year1_ReferralSource_EducationServices)</f>
        <v>64</v>
      </c>
      <c r="BB114" s="806">
        <f>IF(Year2_East_Sussex Year2_ReferralSource_EducationServices="","",Year2_East_Sussex Year2_ReferralSource_EducationServices)</f>
        <v>20</v>
      </c>
      <c r="BC114" s="806">
        <f>IF(Year3_East_Sussex Year3_ReferralSource_EducationServices="","",Year3_East_Sussex Year3_ReferralSource_EducationServices)</f>
        <v>93</v>
      </c>
      <c r="BD114" s="806">
        <f>IF(Year4_East_Sussex Year4_ReferralSource_EducationServices="","",Year4_East_Sussex Year4_ReferralSource_EducationServices)</f>
        <v>67</v>
      </c>
      <c r="BE114" s="807">
        <f>IF(Year5_East_Sussex Year5_ReferralSource_EducationServices="","",Year5_East_Sussex Year5_ReferralSource_EducationServices)</f>
        <v>189</v>
      </c>
      <c r="BF114" s="823">
        <f>IF(Year1_East_Sussex Year1_ReferralSource_Health_services_GP="","",Year1_East_Sussex Year1_ReferralSource_Health_services_GP)</f>
        <v>405</v>
      </c>
      <c r="BG114" s="824">
        <f>IF(Year2_East_Sussex Year2_ReferralSource_Health_services_GP="","",Year2_East_Sussex Year2_ReferralSource_Health_services_GP)</f>
        <v>191</v>
      </c>
      <c r="BH114" s="824">
        <f>IF(Year3_East_Sussex Year3_ReferralSource_Health_services_GP="","",Year3_East_Sussex Year3_ReferralSource_Health_services_GP)</f>
        <v>384</v>
      </c>
      <c r="BI114" s="824">
        <f>IF(Year4_East_Sussex Year4_ReferralSource_Health_services_GP="","",Year4_East_Sussex Year4_ReferralSource_Health_services_GP)</f>
        <v>445</v>
      </c>
      <c r="BJ114" s="825">
        <f>IF(Year5_East_Sussex Year5_ReferralSource_Health_services_GP="","",Year5_East_Sussex Year5_ReferralSource_Health_services_GP)</f>
        <v>408</v>
      </c>
      <c r="BK114" s="823" t="str">
        <f>IF(Year1_East_Sussex Year1_ReferralSource_Health_services_HealthVisitor="","",Year1_East_Sussex Year1_ReferralSource_Health_services_HealthVisitor)</f>
        <v/>
      </c>
      <c r="BL114" s="824" t="str">
        <f>IF(Year2_East_Sussex Year2_ReferralSource_Health_services_HealthVisitor="","",Year2_East_Sussex Year2_ReferralSource_Health_services_HealthVisitor)</f>
        <v/>
      </c>
      <c r="BM114" s="824" t="str">
        <f>IF(Year3_East_Sussex Year3_ReferralSource_Health_services_HealthVisitor="","",Year3_East_Sussex Year3_ReferralSource_Health_services_HealthVisitor)</f>
        <v/>
      </c>
      <c r="BN114" s="824" t="str">
        <f>IF(Year4_East_Sussex Year4_ReferralSource_Health_services_HealthVisitor="","",Year4_East_Sussex Year4_ReferralSource_Health_services_HealthVisitor)</f>
        <v/>
      </c>
      <c r="BO114" s="825" t="str">
        <f>IF(Year5_East_Sussex Year5_ReferralSource_Health_services_HealthVisitor="","",Year5_East_Sussex Year5_ReferralSource_Health_services_HealthVisitor)</f>
        <v/>
      </c>
      <c r="BP114" s="823" t="str">
        <f>IF(Year1_East_Sussex Year1_ReferralSource_Health_services_SchoolNurse="","",Year1_East_Sussex Year1_ReferralSource_Health_services_SchoolNurse)</f>
        <v/>
      </c>
      <c r="BQ114" s="824" t="str">
        <f>IF(Year2_East_Sussex Year2_ReferralSource_Health_services_SchoolNurse="","",Year2_East_Sussex Year2_ReferralSource_Health_services_SchoolNurse)</f>
        <v/>
      </c>
      <c r="BR114" s="824" t="str">
        <f>IF(Year3_East_Sussex Year3_ReferralSource_Health_services_SchoolNurse="","",Year3_East_Sussex Year3_ReferralSource_Health_services_SchoolNurse)</f>
        <v/>
      </c>
      <c r="BS114" s="824" t="str">
        <f>IF(Year4_East_Sussex Year4_ReferralSource_Health_services_SchoolNurse="","",Year4_East_Sussex Year4_ReferralSource_Health_services_SchoolNurse)</f>
        <v/>
      </c>
      <c r="BT114" s="825" t="str">
        <f>IF(Year5_East_Sussex Year5_ReferralSource_Health_services_SchoolNurse="","",Year5_East_Sussex Year5_ReferralSource_Health_services_SchoolNurse)</f>
        <v/>
      </c>
      <c r="BU114" s="823" t="str">
        <f>IF(Year1_East_Sussex Year1_ReferralSource_Health_services_OthPrimary="","",Year1_East_Sussex Year1_ReferralSource_Health_services_OthPrimary)</f>
        <v/>
      </c>
      <c r="BV114" s="824" t="str">
        <f>IF(Year2_East_Sussex Year2_ReferralSource_Health_services_OthPrimary="","",Year2_East_Sussex Year2_ReferralSource_Health_services_OthPrimary)</f>
        <v/>
      </c>
      <c r="BW114" s="824" t="str">
        <f>IF(Year3_East_Sussex Year3_ReferralSource_Health_services_OthPrimary="","",Year3_East_Sussex Year3_ReferralSource_Health_services_OthPrimary)</f>
        <v/>
      </c>
      <c r="BX114" s="824" t="str">
        <f>IF(Year4_East_Sussex Year4_ReferralSource_Health_services_OthPrimary="","",Year4_East_Sussex Year4_ReferralSource_Health_services_OthPrimary)</f>
        <v/>
      </c>
      <c r="BY114" s="825" t="str">
        <f>IF(Year5_East_Sussex Year5_ReferralSource_Health_services_OthPrimary="","",Year5_East_Sussex Year5_ReferralSource_Health_services_OthPrimary)</f>
        <v/>
      </c>
      <c r="BZ114" s="823" t="str">
        <f>IF(Year1_East_Sussex Year1_ReferralSource_Health_services_AE="","",Year1_East_Sussex Year1_ReferralSource_Health_services_AE)</f>
        <v/>
      </c>
      <c r="CA114" s="824" t="str">
        <f>IF(Year2_East_Sussex Year2_ReferralSource_Health_services_AE="","",Year2_East_Sussex Year2_ReferralSource_Health_services_AE)</f>
        <v/>
      </c>
      <c r="CB114" s="824" t="str">
        <f>IF(Year3_East_Sussex Year3_ReferralSource_Health_services_AE="","",Year3_East_Sussex Year3_ReferralSource_Health_services_AE)</f>
        <v/>
      </c>
      <c r="CC114" s="824" t="str">
        <f>IF(Year4_East_Sussex Year4_ReferralSource_Health_services_AE="","",Year4_East_Sussex Year4_ReferralSource_Health_services_AE)</f>
        <v/>
      </c>
      <c r="CD114" s="825" t="str">
        <f>IF(Year5_East_Sussex Year5_ReferralSource_Health_services_AE="","",Year5_East_Sussex Year5_ReferralSource_Health_services_AE)</f>
        <v/>
      </c>
      <c r="CE114" s="823" t="str">
        <f>IF(Year1_East_Sussex Year1_ReferralSource_Health_services_Other="","",Year1_East_Sussex Year1_ReferralSource_Health_services_Other)</f>
        <v/>
      </c>
      <c r="CF114" s="824" t="str">
        <f>IF(Year2_East_Sussex Year2_ReferralSource_Health_services_Other="","",Year2_East_Sussex Year2_ReferralSource_Health_services_Other)</f>
        <v/>
      </c>
      <c r="CG114" s="824" t="str">
        <f>IF(Year3_East_Sussex Year3_ReferralSource_Health_services_Other="","",Year3_East_Sussex Year3_ReferralSource_Health_services_Other)</f>
        <v/>
      </c>
      <c r="CH114" s="824" t="str">
        <f>IF(Year4_East_Sussex Year4_ReferralSource_Health_services_Other="","",Year4_East_Sussex Year4_ReferralSource_Health_services_Other)</f>
        <v/>
      </c>
      <c r="CI114" s="825" t="str">
        <f>IF(Year5_East_Sussex Year5_ReferralSource_Health_services_Other="","",Year5_East_Sussex Year5_ReferralSource_Health_services_Other)</f>
        <v/>
      </c>
      <c r="CJ114" s="805">
        <f>IF(Year1_East_Sussex Year1_ReferralSource_Housing="","",Year1_East_Sussex Year1_ReferralSource_Housing)</f>
        <v>26</v>
      </c>
      <c r="CK114" s="806">
        <f>IF(Year2_East_Sussex Year2_ReferralSource_Housing="","",Year2_East_Sussex Year2_ReferralSource_Housing)</f>
        <v>18</v>
      </c>
      <c r="CL114" s="806">
        <f>IF(Year3_East_Sussex Year3_ReferralSource_Housing="","",Year3_East_Sussex Year3_ReferralSource_Housing)</f>
        <v>35</v>
      </c>
      <c r="CM114" s="806">
        <f>IF(Year4_East_Sussex Year4_ReferralSource_Housing="","",Year4_East_Sussex Year4_ReferralSource_Housing)</f>
        <v>40</v>
      </c>
      <c r="CN114" s="807">
        <f>IF(Year5_East_Sussex Year5_ReferralSource_Housing="","",Year5_East_Sussex Year5_ReferralSource_Housing)</f>
        <v>98</v>
      </c>
      <c r="CO114" s="805">
        <f>IF(Year1_East_Sussex Year1_ReferralSource_LA_SC="","",Year1_East_Sussex Year1_ReferralSource_LA_SC)</f>
        <v>472</v>
      </c>
      <c r="CP114" s="806">
        <f>IF(Year2_East_Sussex Year2_ReferralSource_LA_SC="","",Year2_East_Sussex Year2_ReferralSource_LA_SC)</f>
        <v>300</v>
      </c>
      <c r="CQ114" s="806">
        <f>IF(Year3_East_Sussex Year3_ReferralSource_LA_SC="","",Year3_East_Sussex Year3_ReferralSource_LA_SC)</f>
        <v>815</v>
      </c>
      <c r="CR114" s="806">
        <f>IF(Year4_East_Sussex Year4_ReferralSource_LA_SC="","",Year4_East_Sussex Year4_ReferralSource_LA_SC)</f>
        <v>771</v>
      </c>
      <c r="CS114" s="807">
        <f>IF(Year5_East_Sussex Year5_ReferralSource_LA_SC="","",Year5_East_Sussex Year5_ReferralSource_LA_SC)</f>
        <v>706</v>
      </c>
      <c r="CT114" s="805" t="str">
        <f>IF(Year1_East_Sussex Year1_ReferralSource_LA_Other="","",Year1_East_Sussex Year1_ReferralSource_LA_Other)</f>
        <v/>
      </c>
      <c r="CU114" s="806" t="str">
        <f>IF(Year2_East_Sussex Year2_ReferralSource_LA_Other="","",Year2_East_Sussex Year2_ReferralSource_LA_Other)</f>
        <v/>
      </c>
      <c r="CV114" s="806" t="str">
        <f>IF(Year3_East_Sussex Year3_ReferralSource_LA_Other="","",Year3_East_Sussex Year3_ReferralSource_LA_Other)</f>
        <v/>
      </c>
      <c r="CW114" s="806" t="str">
        <f>IF(Year4_East_Sussex Year4_ReferralSource_LA_Other="","",Year4_East_Sussex Year4_ReferralSource_LA_Other)</f>
        <v/>
      </c>
      <c r="CX114" s="807" t="str">
        <f>IF(Year5_East_Sussex Year5_ReferralSource_LA_Other="","",Year5_East_Sussex Year5_ReferralSource_LA_Other)</f>
        <v/>
      </c>
      <c r="CY114" s="805" t="str">
        <f>IF(Year1_East_Sussex Year1_ReferralSource_LA_External="","",Year1_East_Sussex Year1_ReferralSource_LA_External)</f>
        <v/>
      </c>
      <c r="CZ114" s="806" t="str">
        <f>IF(Year2_East_Sussex Year2_ReferralSource_LA_External="","",Year2_East_Sussex Year2_ReferralSource_LA_External)</f>
        <v/>
      </c>
      <c r="DA114" s="806" t="str">
        <f>IF(Year3_East_Sussex Year3_ReferralSource_LA_External="","",Year3_East_Sussex Year3_ReferralSource_LA_External)</f>
        <v/>
      </c>
      <c r="DB114" s="806" t="str">
        <f>IF(Year4_East_Sussex Year4_ReferralSource_LA_External="","",Year4_East_Sussex Year4_ReferralSource_LA_External)</f>
        <v/>
      </c>
      <c r="DC114" s="807" t="str">
        <f>IF(Year5_East_Sussex Year5_ReferralSource_LA_External="","",Year5_East_Sussex Year5_ReferralSource_LA_External)</f>
        <v/>
      </c>
      <c r="DD114" s="805">
        <f>IF(Year1_East_Sussex Year1_ReferralSource_Police="","",Year1_East_Sussex Year1_ReferralSource_Police)</f>
        <v>1039</v>
      </c>
      <c r="DE114" s="806">
        <f>IF(Year2_East_Sussex Year2_ReferralSource_Police="","",Year2_East_Sussex Year2_ReferralSource_Police)</f>
        <v>552</v>
      </c>
      <c r="DF114" s="806">
        <f>IF(Year3_East_Sussex Year3_ReferralSource_Police="","",Year3_East_Sussex Year3_ReferralSource_Police)</f>
        <v>1039</v>
      </c>
      <c r="DG114" s="806">
        <f>IF(Year4_East_Sussex Year4_ReferralSource_Police="","",Year4_East_Sussex Year4_ReferralSource_Police)</f>
        <v>1191</v>
      </c>
      <c r="DH114" s="807">
        <f>IF(Year5_East_Sussex Year5_ReferralSource_Police="","",Year5_East_Sussex Year5_ReferralSource_Police)</f>
        <v>1148</v>
      </c>
      <c r="DI114" s="805">
        <f>IF(Year1_East_Sussex Year1_ReferralSource_Other_Legal="","",Year1_East_Sussex Year1_ReferralSource_Other_Legal)</f>
        <v>123</v>
      </c>
      <c r="DJ114" s="806">
        <f>IF(Year2_East_Sussex Year2_ReferralSource_Other_Legal="","",Year2_East_Sussex Year2_ReferralSource_Other_Legal)</f>
        <v>57</v>
      </c>
      <c r="DK114" s="806">
        <f>IF(Year3_East_Sussex Year3_ReferralSource_Other_Legal="","",Year3_East_Sussex Year3_ReferralSource_Other_Legal)</f>
        <v>172</v>
      </c>
      <c r="DL114" s="806">
        <f>IF(Year4_East_Sussex Year4_ReferralSource_Other_Legal="","",Year4_East_Sussex Year4_ReferralSource_Other_Legal)</f>
        <v>173</v>
      </c>
      <c r="DM114" s="807">
        <f>IF(Year5_East_Sussex Year5_ReferralSource_Other_Legal="","",Year5_East_Sussex Year5_ReferralSource_Other_Legal)</f>
        <v>217</v>
      </c>
      <c r="DN114" s="805">
        <f>IF(Year1_East_Sussex Year1_ReferralSource_Other="","",Year1_East_Sussex Year1_ReferralSource_Other)</f>
        <v>318</v>
      </c>
      <c r="DO114" s="806">
        <f>IF(Year2_East_Sussex Year2_ReferralSource_Other="","",Year2_East_Sussex Year2_ReferralSource_Other)</f>
        <v>153</v>
      </c>
      <c r="DP114" s="806">
        <f>IF(Year3_East_Sussex Year3_ReferralSource_Other="","",Year3_East_Sussex Year3_ReferralSource_Other)</f>
        <v>190</v>
      </c>
      <c r="DQ114" s="806">
        <f>IF(Year4_East_Sussex Year4_ReferralSource_Other="","",Year4_East_Sussex Year4_ReferralSource_Other)</f>
        <v>343</v>
      </c>
      <c r="DR114" s="807">
        <f>IF(Year5_East_Sussex Year5_ReferralSource_Other="","",Year5_East_Sussex Year5_ReferralSource_Other)</f>
        <v>318</v>
      </c>
      <c r="DS114" s="805">
        <f>IF(Year1_East_Sussex Year1_ReferralSource_Anonymous="","",Year1_East_Sussex Year1_ReferralSource_Anonymous)</f>
        <v>87</v>
      </c>
      <c r="DT114" s="806">
        <f>IF(Year2_East_Sussex Year2_ReferralSource_Anonymous="","",Year2_East_Sussex Year2_ReferralSource_Anonymous)</f>
        <v>28</v>
      </c>
      <c r="DU114" s="806">
        <f>IF(Year3_East_Sussex Year3_ReferralSource_Anonymous="","",Year3_East_Sussex Year3_ReferralSource_Anonymous)</f>
        <v>75</v>
      </c>
      <c r="DV114" s="806">
        <f>IF(Year4_East_Sussex Year4_ReferralSource_Anonymous="","",Year4_East_Sussex Year4_ReferralSource_Anonymous)</f>
        <v>76</v>
      </c>
      <c r="DW114" s="807">
        <f>IF(Year5_East_Sussex Year5_ReferralSource_Anonymous="","",Year5_East_Sussex Year5_ReferralSource_Anonymous)</f>
        <v>82</v>
      </c>
      <c r="DX114" s="805">
        <f>IF(Year1_East_Sussex Year1_ReferralSource_Unknown="","",Year1_East_Sussex Year1_ReferralSource_Unknown)</f>
        <v>773</v>
      </c>
      <c r="DY114" s="806">
        <f>IF(Year2_East_Sussex Year2_ReferralSource_Unknown="","",Year2_East_Sussex Year2_ReferralSource_Unknown)</f>
        <v>1481</v>
      </c>
      <c r="DZ114" s="806">
        <f>IF(Year3_East_Sussex Year3_ReferralSource_Unknown="","",Year3_East_Sussex Year3_ReferralSource_Unknown)</f>
        <v>6</v>
      </c>
      <c r="EA114" s="806">
        <f>IF(Year4_East_Sussex Year4_ReferralSource_Unknown="","",Year4_East_Sussex Year4_ReferralSource_Unknown)</f>
        <v>22</v>
      </c>
      <c r="EB114" s="807">
        <f>IF(Year5_East_Sussex Year5_ReferralSource_Unknown="","",Year5_East_Sussex Year5_ReferralSource_Unknown)</f>
        <v>22</v>
      </c>
    </row>
    <row r="115" spans="1:132" ht="16.5" customHeight="1" x14ac:dyDescent="0.2">
      <c r="A115" s="271"/>
      <c r="B115" s="170" t="str">
        <f>Sheet1!$K$8</f>
        <v>Hampshire</v>
      </c>
      <c r="C115" s="9"/>
      <c r="D115" s="1483"/>
      <c r="E115" s="1484"/>
      <c r="F115" s="1483"/>
      <c r="G115" s="1484"/>
      <c r="H115" s="1483"/>
      <c r="I115" s="1484"/>
      <c r="J115" s="1483"/>
      <c r="K115" s="1484"/>
      <c r="L115" s="1483"/>
      <c r="M115" s="1484"/>
      <c r="N115" s="1483"/>
      <c r="O115" s="1484"/>
      <c r="P115" s="1483"/>
      <c r="Q115" s="1484"/>
      <c r="R115" s="1483"/>
      <c r="S115" s="1484"/>
      <c r="T115" s="1483"/>
      <c r="U115" s="1484"/>
      <c r="V115" s="1483"/>
      <c r="W115" s="1484"/>
      <c r="X115" s="9"/>
      <c r="Y115" s="119"/>
      <c r="Z115" s="138"/>
      <c r="AA115" s="76"/>
      <c r="AB115" s="805">
        <f>IF(Year1_Hampshire Year1_ReferralSource_Individual_Family="","",Year1_Hampshire Year1_ReferralSource_Individual_Family)</f>
        <v>1834</v>
      </c>
      <c r="AC115" s="806">
        <f>IF(Year2_Hampshire Year2_ReferralSource_Individual_Family="","",Year2_Hampshire Year2_ReferralSource_Individual_Family)</f>
        <v>1835</v>
      </c>
      <c r="AD115" s="806">
        <f>IF(Year3_Hampshire Year3_ReferralSource_Individual_Family="","",Year3_Hampshire Year3_ReferralSource_Individual_Family)</f>
        <v>2165</v>
      </c>
      <c r="AE115" s="806">
        <f>IF(Year4_Hampshire Year4_ReferralSource_Individual_Family="","",Year4_Hampshire Year4_ReferralSource_Individual_Family)</f>
        <v>1837</v>
      </c>
      <c r="AF115" s="822">
        <f>IF(Year5_Hampshire Year5_ReferralSource_Individual_Family="","",Year5_Hampshire Year5_ReferralSource_Individual_Family)</f>
        <v>1906</v>
      </c>
      <c r="AG115" s="805" t="str">
        <f>IF(Year1_Hampshire Year1_ReferralSource_Individual_Acquaintance="","",Year1_Hampshire Year1_ReferralSource_Individual_Acquaintance)</f>
        <v/>
      </c>
      <c r="AH115" s="806" t="str">
        <f>IF(Year2_Hampshire Year2_ReferralSource_Individual_Acquaintance="","",Year2_Hampshire Year2_ReferralSource_Individual_Acquaintance)</f>
        <v/>
      </c>
      <c r="AI115" s="806" t="str">
        <f>IF(Year3_Hampshire Year3_ReferralSource_Individual_Acquaintance="","",Year3_Hampshire Year3_ReferralSource_Individual_Acquaintance)</f>
        <v/>
      </c>
      <c r="AJ115" s="806" t="str">
        <f>IF(Year4_Hampshire Year4_ReferralSource_Individual_Acquaintance="","",Year4_Hampshire Year4_ReferralSource_Individual_Acquaintance)</f>
        <v/>
      </c>
      <c r="AK115" s="807" t="str">
        <f>IF(Year5_Hampshire Year5_ReferralSource_Individual_Acquaintance="","",Year5_Hampshire Year5_ReferralSource_Individual_Acquaintance)</f>
        <v/>
      </c>
      <c r="AL115" s="805" t="str">
        <f>IF(Year1_Hampshire Year1_ReferralSource_Individual_Self="","",Year1_Hampshire Year1_ReferralSource_Individual_Self)</f>
        <v/>
      </c>
      <c r="AM115" s="806" t="str">
        <f>IF(Year2_Hampshire Year2_ReferralSource_Individual_Self="","",Year2_Hampshire Year2_ReferralSource_Individual_Self)</f>
        <v/>
      </c>
      <c r="AN115" s="806" t="str">
        <f>IF(Year3_Hampshire Year3_ReferralSource_Individual_Self="","",Year3_Hampshire Year3_ReferralSource_Individual_Self)</f>
        <v/>
      </c>
      <c r="AO115" s="806" t="str">
        <f>IF(Year4_Hampshire Year4_ReferralSource_Individual_Self="","",Year4_Hampshire Year4_ReferralSource_Individual_Self)</f>
        <v/>
      </c>
      <c r="AP115" s="807" t="str">
        <f>IF(Year5_Hampshire Year5_ReferralSource_Individual_Self="","",Year5_Hampshire Year5_ReferralSource_Individual_Self)</f>
        <v/>
      </c>
      <c r="AQ115" s="805" t="str">
        <f>IF(Year1_Hampshire Year1_ReferralSource_Individual_Other="","",Year1_Hampshire Year1_ReferralSource_Individual_Other)</f>
        <v/>
      </c>
      <c r="AR115" s="806" t="str">
        <f>IF(Year2_Hampshire Year2_ReferralSource_Individual_Other="","",Year2_Hampshire Year2_ReferralSource_Individual_Other)</f>
        <v/>
      </c>
      <c r="AS115" s="806" t="str">
        <f>IF(Year3_Hampshire Year3_ReferralSource_Individual_Other="","",Year3_Hampshire Year3_ReferralSource_Individual_Other)</f>
        <v/>
      </c>
      <c r="AT115" s="806" t="str">
        <f>IF(Year4_Hampshire Year4_ReferralSource_Individual_Other="","",Year4_Hampshire Year4_ReferralSource_Individual_Other)</f>
        <v/>
      </c>
      <c r="AU115" s="807" t="str">
        <f>IF(Year5_Hampshire Year5_ReferralSource_Individual_Other="","",Year5_Hampshire Year5_ReferralSource_Individual_Other)</f>
        <v/>
      </c>
      <c r="AV115" s="805">
        <f>IF(Year1_Hampshire Year1_ReferralSource_School="","",Year1_Hampshire Year1_ReferralSource_School)</f>
        <v>3631</v>
      </c>
      <c r="AW115" s="806">
        <f>IF(Year2_Hampshire Year2_ReferralSource_School="","",Year2_Hampshire Year2_ReferralSource_School)</f>
        <v>4149</v>
      </c>
      <c r="AX115" s="806">
        <f>IF(Year3_Hampshire Year3_ReferralSource_School="","",Year3_Hampshire Year3_ReferralSource_School)</f>
        <v>4551</v>
      </c>
      <c r="AY115" s="806">
        <f>IF(Year4_Hampshire Year4_ReferralSource_School="","",Year4_Hampshire Year4_ReferralSource_School)</f>
        <v>3772</v>
      </c>
      <c r="AZ115" s="807">
        <f>IF(Year5_Hampshire Year5_ReferralSource_School="","",Year5_Hampshire Year5_ReferralSource_School)</f>
        <v>4431</v>
      </c>
      <c r="BA115" s="805" t="str">
        <f>IF(Year1_Hampshire Year1_ReferralSource_EducationServices="","",Year1_Hampshire Year1_ReferralSource_EducationServices)</f>
        <v>x</v>
      </c>
      <c r="BB115" s="806">
        <f>IF(Year2_Hampshire Year2_ReferralSource_EducationServices="","",Year2_Hampshire Year2_ReferralSource_EducationServices)</f>
        <v>0</v>
      </c>
      <c r="BC115" s="806">
        <f>IF(Year3_Hampshire Year3_ReferralSource_EducationServices="","",Year3_Hampshire Year3_ReferralSource_EducationServices)</f>
        <v>8</v>
      </c>
      <c r="BD115" s="806">
        <f>IF(Year4_Hampshire Year4_ReferralSource_EducationServices="","",Year4_Hampshire Year4_ReferralSource_EducationServices)</f>
        <v>0</v>
      </c>
      <c r="BE115" s="807">
        <f>IF(Year5_Hampshire Year5_ReferralSource_EducationServices="","",Year5_Hampshire Year5_ReferralSource_EducationServices)</f>
        <v>0</v>
      </c>
      <c r="BF115" s="823">
        <f>IF(Year1_Hampshire Year1_ReferralSource_Health_services_GP="","",Year1_Hampshire Year1_ReferralSource_Health_services_GP)</f>
        <v>2312</v>
      </c>
      <c r="BG115" s="824">
        <f>IF(Year2_Hampshire Year2_ReferralSource_Health_services_GP="","",Year2_Hampshire Year2_ReferralSource_Health_services_GP)</f>
        <v>2148</v>
      </c>
      <c r="BH115" s="824">
        <f>IF(Year3_Hampshire Year3_ReferralSource_Health_services_GP="","",Year3_Hampshire Year3_ReferralSource_Health_services_GP)</f>
        <v>2603</v>
      </c>
      <c r="BI115" s="824">
        <f>IF(Year4_Hampshire Year4_ReferralSource_Health_services_GP="","",Year4_Hampshire Year4_ReferralSource_Health_services_GP)</f>
        <v>2167</v>
      </c>
      <c r="BJ115" s="825">
        <f>IF(Year5_Hampshire Year5_ReferralSource_Health_services_GP="","",Year5_Hampshire Year5_ReferralSource_Health_services_GP)</f>
        <v>3063</v>
      </c>
      <c r="BK115" s="823" t="str">
        <f>IF(Year1_Hampshire Year1_ReferralSource_Health_services_HealthVisitor="","",Year1_Hampshire Year1_ReferralSource_Health_services_HealthVisitor)</f>
        <v/>
      </c>
      <c r="BL115" s="824" t="str">
        <f>IF(Year2_Hampshire Year2_ReferralSource_Health_services_HealthVisitor="","",Year2_Hampshire Year2_ReferralSource_Health_services_HealthVisitor)</f>
        <v/>
      </c>
      <c r="BM115" s="824" t="str">
        <f>IF(Year3_Hampshire Year3_ReferralSource_Health_services_HealthVisitor="","",Year3_Hampshire Year3_ReferralSource_Health_services_HealthVisitor)</f>
        <v/>
      </c>
      <c r="BN115" s="824" t="str">
        <f>IF(Year4_Hampshire Year4_ReferralSource_Health_services_HealthVisitor="","",Year4_Hampshire Year4_ReferralSource_Health_services_HealthVisitor)</f>
        <v/>
      </c>
      <c r="BO115" s="825" t="str">
        <f>IF(Year5_Hampshire Year5_ReferralSource_Health_services_HealthVisitor="","",Year5_Hampshire Year5_ReferralSource_Health_services_HealthVisitor)</f>
        <v/>
      </c>
      <c r="BP115" s="823" t="str">
        <f>IF(Year1_Hampshire Year1_ReferralSource_Health_services_SchoolNurse="","",Year1_Hampshire Year1_ReferralSource_Health_services_SchoolNurse)</f>
        <v/>
      </c>
      <c r="BQ115" s="824" t="str">
        <f>IF(Year2_Hampshire Year2_ReferralSource_Health_services_SchoolNurse="","",Year2_Hampshire Year2_ReferralSource_Health_services_SchoolNurse)</f>
        <v/>
      </c>
      <c r="BR115" s="824" t="str">
        <f>IF(Year3_Hampshire Year3_ReferralSource_Health_services_SchoolNurse="","",Year3_Hampshire Year3_ReferralSource_Health_services_SchoolNurse)</f>
        <v/>
      </c>
      <c r="BS115" s="824" t="str">
        <f>IF(Year4_Hampshire Year4_ReferralSource_Health_services_SchoolNurse="","",Year4_Hampshire Year4_ReferralSource_Health_services_SchoolNurse)</f>
        <v/>
      </c>
      <c r="BT115" s="825" t="str">
        <f>IF(Year5_Hampshire Year5_ReferralSource_Health_services_SchoolNurse="","",Year5_Hampshire Year5_ReferralSource_Health_services_SchoolNurse)</f>
        <v/>
      </c>
      <c r="BU115" s="823" t="str">
        <f>IF(Year1_Hampshire Year1_ReferralSource_Health_services_OthPrimary="","",Year1_Hampshire Year1_ReferralSource_Health_services_OthPrimary)</f>
        <v/>
      </c>
      <c r="BV115" s="824" t="str">
        <f>IF(Year2_Hampshire Year2_ReferralSource_Health_services_OthPrimary="","",Year2_Hampshire Year2_ReferralSource_Health_services_OthPrimary)</f>
        <v/>
      </c>
      <c r="BW115" s="824" t="str">
        <f>IF(Year3_Hampshire Year3_ReferralSource_Health_services_OthPrimary="","",Year3_Hampshire Year3_ReferralSource_Health_services_OthPrimary)</f>
        <v/>
      </c>
      <c r="BX115" s="824" t="str">
        <f>IF(Year4_Hampshire Year4_ReferralSource_Health_services_OthPrimary="","",Year4_Hampshire Year4_ReferralSource_Health_services_OthPrimary)</f>
        <v/>
      </c>
      <c r="BY115" s="825" t="str">
        <f>IF(Year5_Hampshire Year5_ReferralSource_Health_services_OthPrimary="","",Year5_Hampshire Year5_ReferralSource_Health_services_OthPrimary)</f>
        <v/>
      </c>
      <c r="BZ115" s="823" t="str">
        <f>IF(Year1_Hampshire Year1_ReferralSource_Health_services_AE="","",Year1_Hampshire Year1_ReferralSource_Health_services_AE)</f>
        <v/>
      </c>
      <c r="CA115" s="824" t="str">
        <f>IF(Year2_Hampshire Year2_ReferralSource_Health_services_AE="","",Year2_Hampshire Year2_ReferralSource_Health_services_AE)</f>
        <v/>
      </c>
      <c r="CB115" s="824" t="str">
        <f>IF(Year3_Hampshire Year3_ReferralSource_Health_services_AE="","",Year3_Hampshire Year3_ReferralSource_Health_services_AE)</f>
        <v/>
      </c>
      <c r="CC115" s="824" t="str">
        <f>IF(Year4_Hampshire Year4_ReferralSource_Health_services_AE="","",Year4_Hampshire Year4_ReferralSource_Health_services_AE)</f>
        <v/>
      </c>
      <c r="CD115" s="825" t="str">
        <f>IF(Year5_Hampshire Year5_ReferralSource_Health_services_AE="","",Year5_Hampshire Year5_ReferralSource_Health_services_AE)</f>
        <v/>
      </c>
      <c r="CE115" s="823" t="str">
        <f>IF(Year1_Hampshire Year1_ReferralSource_Health_services_Other="","",Year1_Hampshire Year1_ReferralSource_Health_services_Other)</f>
        <v/>
      </c>
      <c r="CF115" s="824" t="str">
        <f>IF(Year2_Hampshire Year2_ReferralSource_Health_services_Other="","",Year2_Hampshire Year2_ReferralSource_Health_services_Other)</f>
        <v/>
      </c>
      <c r="CG115" s="824" t="str">
        <f>IF(Year3_Hampshire Year3_ReferralSource_Health_services_Other="","",Year3_Hampshire Year3_ReferralSource_Health_services_Other)</f>
        <v/>
      </c>
      <c r="CH115" s="824" t="str">
        <f>IF(Year4_Hampshire Year4_ReferralSource_Health_services_Other="","",Year4_Hampshire Year4_ReferralSource_Health_services_Other)</f>
        <v/>
      </c>
      <c r="CI115" s="825" t="str">
        <f>IF(Year5_Hampshire Year5_ReferralSource_Health_services_Other="","",Year5_Hampshire Year5_ReferralSource_Health_services_Other)</f>
        <v/>
      </c>
      <c r="CJ115" s="805">
        <f>IF(Year1_Hampshire Year1_ReferralSource_Housing="","",Year1_Hampshire Year1_ReferralSource_Housing)</f>
        <v>277</v>
      </c>
      <c r="CK115" s="806">
        <f>IF(Year2_Hampshire Year2_ReferralSource_Housing="","",Year2_Hampshire Year2_ReferralSource_Housing)</f>
        <v>277</v>
      </c>
      <c r="CL115" s="806">
        <f>IF(Year3_Hampshire Year3_ReferralSource_Housing="","",Year3_Hampshire Year3_ReferralSource_Housing)</f>
        <v>233</v>
      </c>
      <c r="CM115" s="806">
        <f>IF(Year4_Hampshire Year4_ReferralSource_Housing="","",Year4_Hampshire Year4_ReferralSource_Housing)</f>
        <v>170</v>
      </c>
      <c r="CN115" s="807">
        <f>IF(Year5_Hampshire Year5_ReferralSource_Housing="","",Year5_Hampshire Year5_ReferralSource_Housing)</f>
        <v>0</v>
      </c>
      <c r="CO115" s="805">
        <f>IF(Year1_Hampshire Year1_ReferralSource_LA_SC="","",Year1_Hampshire Year1_ReferralSource_LA_SC)</f>
        <v>1447</v>
      </c>
      <c r="CP115" s="806">
        <f>IF(Year2_Hampshire Year2_ReferralSource_LA_SC="","",Year2_Hampshire Year2_ReferralSource_LA_SC)</f>
        <v>1596</v>
      </c>
      <c r="CQ115" s="806">
        <f>IF(Year3_Hampshire Year3_ReferralSource_LA_SC="","",Year3_Hampshire Year3_ReferralSource_LA_SC)</f>
        <v>1606</v>
      </c>
      <c r="CR115" s="806">
        <f>IF(Year4_Hampshire Year4_ReferralSource_LA_SC="","",Year4_Hampshire Year4_ReferralSource_LA_SC)</f>
        <v>1608</v>
      </c>
      <c r="CS115" s="807">
        <f>IF(Year5_Hampshire Year5_ReferralSource_LA_SC="","",Year5_Hampshire Year5_ReferralSource_LA_SC)</f>
        <v>1661</v>
      </c>
      <c r="CT115" s="805" t="str">
        <f>IF(Year1_Hampshire Year1_ReferralSource_LA_Other="","",Year1_Hampshire Year1_ReferralSource_LA_Other)</f>
        <v/>
      </c>
      <c r="CU115" s="806" t="str">
        <f>IF(Year2_Hampshire Year2_ReferralSource_LA_Other="","",Year2_Hampshire Year2_ReferralSource_LA_Other)</f>
        <v/>
      </c>
      <c r="CV115" s="806" t="str">
        <f>IF(Year3_Hampshire Year3_ReferralSource_LA_Other="","",Year3_Hampshire Year3_ReferralSource_LA_Other)</f>
        <v/>
      </c>
      <c r="CW115" s="806" t="str">
        <f>IF(Year4_Hampshire Year4_ReferralSource_LA_Other="","",Year4_Hampshire Year4_ReferralSource_LA_Other)</f>
        <v/>
      </c>
      <c r="CX115" s="807" t="str">
        <f>IF(Year5_Hampshire Year5_ReferralSource_LA_Other="","",Year5_Hampshire Year5_ReferralSource_LA_Other)</f>
        <v/>
      </c>
      <c r="CY115" s="805" t="str">
        <f>IF(Year1_Hampshire Year1_ReferralSource_LA_External="","",Year1_Hampshire Year1_ReferralSource_LA_External)</f>
        <v/>
      </c>
      <c r="CZ115" s="806" t="str">
        <f>IF(Year2_Hampshire Year2_ReferralSource_LA_External="","",Year2_Hampshire Year2_ReferralSource_LA_External)</f>
        <v/>
      </c>
      <c r="DA115" s="806" t="str">
        <f>IF(Year3_Hampshire Year3_ReferralSource_LA_External="","",Year3_Hampshire Year3_ReferralSource_LA_External)</f>
        <v/>
      </c>
      <c r="DB115" s="806" t="str">
        <f>IF(Year4_Hampshire Year4_ReferralSource_LA_External="","",Year4_Hampshire Year4_ReferralSource_LA_External)</f>
        <v/>
      </c>
      <c r="DC115" s="807" t="str">
        <f>IF(Year5_Hampshire Year5_ReferralSource_LA_External="","",Year5_Hampshire Year5_ReferralSource_LA_External)</f>
        <v/>
      </c>
      <c r="DD115" s="805">
        <f>IF(Year1_Hampshire Year1_ReferralSource_Police="","",Year1_Hampshire Year1_ReferralSource_Police)</f>
        <v>4745</v>
      </c>
      <c r="DE115" s="806">
        <f>IF(Year2_Hampshire Year2_ReferralSource_Police="","",Year2_Hampshire Year2_ReferralSource_Police)</f>
        <v>4346</v>
      </c>
      <c r="DF115" s="806">
        <f>IF(Year3_Hampshire Year3_ReferralSource_Police="","",Year3_Hampshire Year3_ReferralSource_Police)</f>
        <v>5360</v>
      </c>
      <c r="DG115" s="806">
        <f>IF(Year4_Hampshire Year4_ReferralSource_Police="","",Year4_Hampshire Year4_ReferralSource_Police)</f>
        <v>4198</v>
      </c>
      <c r="DH115" s="807">
        <f>IF(Year5_Hampshire Year5_ReferralSource_Police="","",Year5_Hampshire Year5_ReferralSource_Police)</f>
        <v>4559</v>
      </c>
      <c r="DI115" s="805">
        <f>IF(Year1_Hampshire Year1_ReferralSource_Other_Legal="","",Year1_Hampshire Year1_ReferralSource_Other_Legal)</f>
        <v>496</v>
      </c>
      <c r="DJ115" s="806">
        <f>IF(Year2_Hampshire Year2_ReferralSource_Other_Legal="","",Year2_Hampshire Year2_ReferralSource_Other_Legal)</f>
        <v>370</v>
      </c>
      <c r="DK115" s="806">
        <f>IF(Year3_Hampshire Year3_ReferralSource_Other_Legal="","",Year3_Hampshire Year3_ReferralSource_Other_Legal)</f>
        <v>447</v>
      </c>
      <c r="DL115" s="806">
        <f>IF(Year4_Hampshire Year4_ReferralSource_Other_Legal="","",Year4_Hampshire Year4_ReferralSource_Other_Legal)</f>
        <v>381</v>
      </c>
      <c r="DM115" s="807">
        <f>IF(Year5_Hampshire Year5_ReferralSource_Other_Legal="","",Year5_Hampshire Year5_ReferralSource_Other_Legal)</f>
        <v>593</v>
      </c>
      <c r="DN115" s="805">
        <f>IF(Year1_Hampshire Year1_ReferralSource_Other="","",Year1_Hampshire Year1_ReferralSource_Other)</f>
        <v>1364</v>
      </c>
      <c r="DO115" s="806">
        <f>IF(Year2_Hampshire Year2_ReferralSource_Other="","",Year2_Hampshire Year2_ReferralSource_Other)</f>
        <v>1255</v>
      </c>
      <c r="DP115" s="806">
        <f>IF(Year3_Hampshire Year3_ReferralSource_Other="","",Year3_Hampshire Year3_ReferralSource_Other)</f>
        <v>1765</v>
      </c>
      <c r="DQ115" s="806">
        <f>IF(Year4_Hampshire Year4_ReferralSource_Other="","",Year4_Hampshire Year4_ReferralSource_Other)</f>
        <v>1159</v>
      </c>
      <c r="DR115" s="807">
        <f>IF(Year5_Hampshire Year5_ReferralSource_Other="","",Year5_Hampshire Year5_ReferralSource_Other)</f>
        <v>1248</v>
      </c>
      <c r="DS115" s="805">
        <f>IF(Year1_Hampshire Year1_ReferralSource_Anonymous="","",Year1_Hampshire Year1_ReferralSource_Anonymous)</f>
        <v>419</v>
      </c>
      <c r="DT115" s="806">
        <f>IF(Year2_Hampshire Year2_ReferralSource_Anonymous="","",Year2_Hampshire Year2_ReferralSource_Anonymous)</f>
        <v>400</v>
      </c>
      <c r="DU115" s="806">
        <f>IF(Year3_Hampshire Year3_ReferralSource_Anonymous="","",Year3_Hampshire Year3_ReferralSource_Anonymous)</f>
        <v>478</v>
      </c>
      <c r="DV115" s="806">
        <f>IF(Year4_Hampshire Year4_ReferralSource_Anonymous="","",Year4_Hampshire Year4_ReferralSource_Anonymous)</f>
        <v>370</v>
      </c>
      <c r="DW115" s="807">
        <f>IF(Year5_Hampshire Year5_ReferralSource_Anonymous="","",Year5_Hampshire Year5_ReferralSource_Anonymous)</f>
        <v>495</v>
      </c>
      <c r="DX115" s="805" t="str">
        <f>IF(Year1_Hampshire Year1_ReferralSource_Unknown="","",Year1_Hampshire Year1_ReferralSource_Unknown)</f>
        <v>x</v>
      </c>
      <c r="DY115" s="806">
        <f>IF(Year2_Hampshire Year2_ReferralSource_Unknown="","",Year2_Hampshire Year2_ReferralSource_Unknown)</f>
        <v>290</v>
      </c>
      <c r="DZ115" s="806">
        <f>IF(Year3_Hampshire Year3_ReferralSource_Unknown="","",Year3_Hampshire Year3_ReferralSource_Unknown)</f>
        <v>219</v>
      </c>
      <c r="EA115" s="806">
        <f>IF(Year4_Hampshire Year4_ReferralSource_Unknown="","",Year4_Hampshire Year4_ReferralSource_Unknown)</f>
        <v>453</v>
      </c>
      <c r="EB115" s="807">
        <f>IF(Year5_Hampshire Year5_ReferralSource_Unknown="","",Year5_Hampshire Year5_ReferralSource_Unknown)</f>
        <v>263</v>
      </c>
    </row>
    <row r="116" spans="1:132" ht="16.5" customHeight="1" x14ac:dyDescent="0.2">
      <c r="A116" s="271"/>
      <c r="B116" s="170" t="str">
        <f>Sheet1!$K$9</f>
        <v>Isle of Wight</v>
      </c>
      <c r="C116" s="9"/>
      <c r="D116" s="1483"/>
      <c r="E116" s="1484"/>
      <c r="F116" s="1483"/>
      <c r="G116" s="1484"/>
      <c r="H116" s="1483"/>
      <c r="I116" s="1484"/>
      <c r="J116" s="1483"/>
      <c r="K116" s="1484"/>
      <c r="L116" s="1483"/>
      <c r="M116" s="1484"/>
      <c r="N116" s="1483"/>
      <c r="O116" s="1484"/>
      <c r="P116" s="1483"/>
      <c r="Q116" s="1484"/>
      <c r="R116" s="1483"/>
      <c r="S116" s="1484"/>
      <c r="T116" s="1483"/>
      <c r="U116" s="1484"/>
      <c r="V116" s="1483"/>
      <c r="W116" s="1484"/>
      <c r="X116" s="9"/>
      <c r="Y116" s="119"/>
      <c r="Z116" s="138"/>
      <c r="AA116" s="76"/>
      <c r="AB116" s="805">
        <f>IF(Year1_Isle_of_Wight Year1_ReferralSource_Individual_Family="","",Year1_Isle_of_Wight Year1_ReferralSource_Individual_Family)</f>
        <v>195</v>
      </c>
      <c r="AC116" s="806">
        <f>IF(Year2_Isle_of_Wight Year2_ReferralSource_Individual_Family="","",Year2_Isle_of_Wight Year2_ReferralSource_Individual_Family)</f>
        <v>248</v>
      </c>
      <c r="AD116" s="806">
        <f>IF(Year3_Isle_of_Wight Year3_ReferralSource_Individual_Family="","",Year3_Isle_of_Wight Year3_ReferralSource_Individual_Family)</f>
        <v>244</v>
      </c>
      <c r="AE116" s="806">
        <f>IF(Year4_Isle_of_Wight Year4_ReferralSource_Individual_Family="","",Year4_Isle_of_Wight Year4_ReferralSource_Individual_Family)</f>
        <v>215</v>
      </c>
      <c r="AF116" s="822">
        <f>IF(Year5_Isle_of_Wight Year5_ReferralSource_Individual_Family="","",Year5_Isle_of_Wight Year5_ReferralSource_Individual_Family)</f>
        <v>176</v>
      </c>
      <c r="AG116" s="805" t="str">
        <f>IF(Year1_Isle_of_Wight Year1_ReferralSource_Individual_Acquaintance="","",Year1_Isle_of_Wight Year1_ReferralSource_Individual_Acquaintance)</f>
        <v/>
      </c>
      <c r="AH116" s="806" t="str">
        <f>IF(Year2_Isle_of_Wight Year2_ReferralSource_Individual_Acquaintance="","",Year2_Isle_of_Wight Year2_ReferralSource_Individual_Acquaintance)</f>
        <v/>
      </c>
      <c r="AI116" s="806" t="str">
        <f>IF(Year3_Isle_of_Wight Year3_ReferralSource_Individual_Acquaintance="","",Year3_Isle_of_Wight Year3_ReferralSource_Individual_Acquaintance)</f>
        <v/>
      </c>
      <c r="AJ116" s="806" t="str">
        <f>IF(Year4_Isle_of_Wight Year4_ReferralSource_Individual_Acquaintance="","",Year4_Isle_of_Wight Year4_ReferralSource_Individual_Acquaintance)</f>
        <v/>
      </c>
      <c r="AK116" s="807" t="str">
        <f>IF(Year5_Isle_of_Wight Year5_ReferralSource_Individual_Acquaintance="","",Year5_Isle_of_Wight Year5_ReferralSource_Individual_Acquaintance)</f>
        <v/>
      </c>
      <c r="AL116" s="805" t="str">
        <f>IF(Year1_Isle_of_Wight Year1_ReferralSource_Individual_Self="","",Year1_Isle_of_Wight Year1_ReferralSource_Individual_Self)</f>
        <v/>
      </c>
      <c r="AM116" s="806" t="str">
        <f>IF(Year2_Isle_of_Wight Year2_ReferralSource_Individual_Self="","",Year2_Isle_of_Wight Year2_ReferralSource_Individual_Self)</f>
        <v/>
      </c>
      <c r="AN116" s="806" t="str">
        <f>IF(Year3_Isle_of_Wight Year3_ReferralSource_Individual_Self="","",Year3_Isle_of_Wight Year3_ReferralSource_Individual_Self)</f>
        <v/>
      </c>
      <c r="AO116" s="806" t="str">
        <f>IF(Year4_Isle_of_Wight Year4_ReferralSource_Individual_Self="","",Year4_Isle_of_Wight Year4_ReferralSource_Individual_Self)</f>
        <v/>
      </c>
      <c r="AP116" s="807" t="str">
        <f>IF(Year5_Isle_of_Wight Year5_ReferralSource_Individual_Self="","",Year5_Isle_of_Wight Year5_ReferralSource_Individual_Self)</f>
        <v/>
      </c>
      <c r="AQ116" s="805" t="str">
        <f>IF(Year1_Isle_of_Wight Year1_ReferralSource_Individual_Other="","",Year1_Isle_of_Wight Year1_ReferralSource_Individual_Other)</f>
        <v/>
      </c>
      <c r="AR116" s="806" t="str">
        <f>IF(Year2_Isle_of_Wight Year2_ReferralSource_Individual_Other="","",Year2_Isle_of_Wight Year2_ReferralSource_Individual_Other)</f>
        <v/>
      </c>
      <c r="AS116" s="806" t="str">
        <f>IF(Year3_Isle_of_Wight Year3_ReferralSource_Individual_Other="","",Year3_Isle_of_Wight Year3_ReferralSource_Individual_Other)</f>
        <v/>
      </c>
      <c r="AT116" s="806" t="str">
        <f>IF(Year4_Isle_of_Wight Year4_ReferralSource_Individual_Other="","",Year4_Isle_of_Wight Year4_ReferralSource_Individual_Other)</f>
        <v/>
      </c>
      <c r="AU116" s="807" t="str">
        <f>IF(Year5_Isle_of_Wight Year5_ReferralSource_Individual_Other="","",Year5_Isle_of_Wight Year5_ReferralSource_Individual_Other)</f>
        <v/>
      </c>
      <c r="AV116" s="805">
        <f>IF(Year1_Isle_of_Wight Year1_ReferralSource_School="","",Year1_Isle_of_Wight Year1_ReferralSource_School)</f>
        <v>664</v>
      </c>
      <c r="AW116" s="806">
        <f>IF(Year2_Isle_of_Wight Year2_ReferralSource_School="","",Year2_Isle_of_Wight Year2_ReferralSource_School)</f>
        <v>672</v>
      </c>
      <c r="AX116" s="806">
        <f>IF(Year3_Isle_of_Wight Year3_ReferralSource_School="","",Year3_Isle_of_Wight Year3_ReferralSource_School)</f>
        <v>681</v>
      </c>
      <c r="AY116" s="806">
        <f>IF(Year4_Isle_of_Wight Year4_ReferralSource_School="","",Year4_Isle_of_Wight Year4_ReferralSource_School)</f>
        <v>667</v>
      </c>
      <c r="AZ116" s="807">
        <f>IF(Year5_Isle_of_Wight Year5_ReferralSource_School="","",Year5_Isle_of_Wight Year5_ReferralSource_School)</f>
        <v>679</v>
      </c>
      <c r="BA116" s="805">
        <f>IF(Year1_Isle_of_Wight Year1_ReferralSource_EducationServices="","",Year1_Isle_of_Wight Year1_ReferralSource_EducationServices)</f>
        <v>0</v>
      </c>
      <c r="BB116" s="806">
        <f>IF(Year2_Isle_of_Wight Year2_ReferralSource_EducationServices="","",Year2_Isle_of_Wight Year2_ReferralSource_EducationServices)</f>
        <v>0</v>
      </c>
      <c r="BC116" s="806">
        <f>IF(Year3_Isle_of_Wight Year3_ReferralSource_EducationServices="","",Year3_Isle_of_Wight Year3_ReferralSource_EducationServices)</f>
        <v>0</v>
      </c>
      <c r="BD116" s="806">
        <f>IF(Year4_Isle_of_Wight Year4_ReferralSource_EducationServices="","",Year4_Isle_of_Wight Year4_ReferralSource_EducationServices)</f>
        <v>0</v>
      </c>
      <c r="BE116" s="807">
        <f>IF(Year5_Isle_of_Wight Year5_ReferralSource_EducationServices="","",Year5_Isle_of_Wight Year5_ReferralSource_EducationServices)</f>
        <v>0</v>
      </c>
      <c r="BF116" s="823">
        <f>IF(Year1_Isle_of_Wight Year1_ReferralSource_Health_services_GP="","",Year1_Isle_of_Wight Year1_ReferralSource_Health_services_GP)</f>
        <v>288</v>
      </c>
      <c r="BG116" s="824">
        <f>IF(Year2_Isle_of_Wight Year2_ReferralSource_Health_services_GP="","",Year2_Isle_of_Wight Year2_ReferralSource_Health_services_GP)</f>
        <v>278</v>
      </c>
      <c r="BH116" s="824">
        <f>IF(Year3_Isle_of_Wight Year3_ReferralSource_Health_services_GP="","",Year3_Isle_of_Wight Year3_ReferralSource_Health_services_GP)</f>
        <v>307</v>
      </c>
      <c r="BI116" s="824">
        <f>IF(Year4_Isle_of_Wight Year4_ReferralSource_Health_services_GP="","",Year4_Isle_of_Wight Year4_ReferralSource_Health_services_GP)</f>
        <v>283</v>
      </c>
      <c r="BJ116" s="825">
        <f>IF(Year5_Isle_of_Wight Year5_ReferralSource_Health_services_GP="","",Year5_Isle_of_Wight Year5_ReferralSource_Health_services_GP)</f>
        <v>308</v>
      </c>
      <c r="BK116" s="823" t="str">
        <f>IF(Year1_Isle_of_Wight Year1_ReferralSource_Health_services_HealthVisitor="","",Year1_Isle_of_Wight Year1_ReferralSource_Health_services_HealthVisitor)</f>
        <v/>
      </c>
      <c r="BL116" s="824" t="str">
        <f>IF(Year2_Isle_of_Wight Year2_ReferralSource_Health_services_HealthVisitor="","",Year2_Isle_of_Wight Year2_ReferralSource_Health_services_HealthVisitor)</f>
        <v/>
      </c>
      <c r="BM116" s="824" t="str">
        <f>IF(Year3_Isle_of_Wight Year3_ReferralSource_Health_services_HealthVisitor="","",Year3_Isle_of_Wight Year3_ReferralSource_Health_services_HealthVisitor)</f>
        <v/>
      </c>
      <c r="BN116" s="824" t="str">
        <f>IF(Year4_Isle_of_Wight Year4_ReferralSource_Health_services_HealthVisitor="","",Year4_Isle_of_Wight Year4_ReferralSource_Health_services_HealthVisitor)</f>
        <v/>
      </c>
      <c r="BO116" s="825" t="str">
        <f>IF(Year5_Isle_of_Wight Year5_ReferralSource_Health_services_HealthVisitor="","",Year5_Isle_of_Wight Year5_ReferralSource_Health_services_HealthVisitor)</f>
        <v/>
      </c>
      <c r="BP116" s="823" t="str">
        <f>IF(Year1_Isle_of_Wight Year1_ReferralSource_Health_services_SchoolNurse="","",Year1_Isle_of_Wight Year1_ReferralSource_Health_services_SchoolNurse)</f>
        <v/>
      </c>
      <c r="BQ116" s="824" t="str">
        <f>IF(Year2_Isle_of_Wight Year2_ReferralSource_Health_services_SchoolNurse="","",Year2_Isle_of_Wight Year2_ReferralSource_Health_services_SchoolNurse)</f>
        <v/>
      </c>
      <c r="BR116" s="824" t="str">
        <f>IF(Year3_Isle_of_Wight Year3_ReferralSource_Health_services_SchoolNurse="","",Year3_Isle_of_Wight Year3_ReferralSource_Health_services_SchoolNurse)</f>
        <v/>
      </c>
      <c r="BS116" s="824" t="str">
        <f>IF(Year4_Isle_of_Wight Year4_ReferralSource_Health_services_SchoolNurse="","",Year4_Isle_of_Wight Year4_ReferralSource_Health_services_SchoolNurse)</f>
        <v/>
      </c>
      <c r="BT116" s="825" t="str">
        <f>IF(Year5_Isle_of_Wight Year5_ReferralSource_Health_services_SchoolNurse="","",Year5_Isle_of_Wight Year5_ReferralSource_Health_services_SchoolNurse)</f>
        <v/>
      </c>
      <c r="BU116" s="823" t="str">
        <f>IF(Year1_Isle_of_Wight Year1_ReferralSource_Health_services_OthPrimary="","",Year1_Isle_of_Wight Year1_ReferralSource_Health_services_OthPrimary)</f>
        <v/>
      </c>
      <c r="BV116" s="824" t="str">
        <f>IF(Year2_Isle_of_Wight Year2_ReferralSource_Health_services_OthPrimary="","",Year2_Isle_of_Wight Year2_ReferralSource_Health_services_OthPrimary)</f>
        <v/>
      </c>
      <c r="BW116" s="824" t="str">
        <f>IF(Year3_Isle_of_Wight Year3_ReferralSource_Health_services_OthPrimary="","",Year3_Isle_of_Wight Year3_ReferralSource_Health_services_OthPrimary)</f>
        <v/>
      </c>
      <c r="BX116" s="824" t="str">
        <f>IF(Year4_Isle_of_Wight Year4_ReferralSource_Health_services_OthPrimary="","",Year4_Isle_of_Wight Year4_ReferralSource_Health_services_OthPrimary)</f>
        <v/>
      </c>
      <c r="BY116" s="825" t="str">
        <f>IF(Year5_Isle_of_Wight Year5_ReferralSource_Health_services_OthPrimary="","",Year5_Isle_of_Wight Year5_ReferralSource_Health_services_OthPrimary)</f>
        <v/>
      </c>
      <c r="BZ116" s="823" t="str">
        <f>IF(Year1_Isle_of_Wight Year1_ReferralSource_Health_services_AE="","",Year1_Isle_of_Wight Year1_ReferralSource_Health_services_AE)</f>
        <v/>
      </c>
      <c r="CA116" s="824" t="str">
        <f>IF(Year2_Isle_of_Wight Year2_ReferralSource_Health_services_AE="","",Year2_Isle_of_Wight Year2_ReferralSource_Health_services_AE)</f>
        <v/>
      </c>
      <c r="CB116" s="824" t="str">
        <f>IF(Year3_Isle_of_Wight Year3_ReferralSource_Health_services_AE="","",Year3_Isle_of_Wight Year3_ReferralSource_Health_services_AE)</f>
        <v/>
      </c>
      <c r="CC116" s="824" t="str">
        <f>IF(Year4_Isle_of_Wight Year4_ReferralSource_Health_services_AE="","",Year4_Isle_of_Wight Year4_ReferralSource_Health_services_AE)</f>
        <v/>
      </c>
      <c r="CD116" s="825" t="str">
        <f>IF(Year5_Isle_of_Wight Year5_ReferralSource_Health_services_AE="","",Year5_Isle_of_Wight Year5_ReferralSource_Health_services_AE)</f>
        <v/>
      </c>
      <c r="CE116" s="823" t="str">
        <f>IF(Year1_Isle_of_Wight Year1_ReferralSource_Health_services_Other="","",Year1_Isle_of_Wight Year1_ReferralSource_Health_services_Other)</f>
        <v/>
      </c>
      <c r="CF116" s="824" t="str">
        <f>IF(Year2_Isle_of_Wight Year2_ReferralSource_Health_services_Other="","",Year2_Isle_of_Wight Year2_ReferralSource_Health_services_Other)</f>
        <v/>
      </c>
      <c r="CG116" s="824" t="str">
        <f>IF(Year3_Isle_of_Wight Year3_ReferralSource_Health_services_Other="","",Year3_Isle_of_Wight Year3_ReferralSource_Health_services_Other)</f>
        <v/>
      </c>
      <c r="CH116" s="824" t="str">
        <f>IF(Year4_Isle_of_Wight Year4_ReferralSource_Health_services_Other="","",Year4_Isle_of_Wight Year4_ReferralSource_Health_services_Other)</f>
        <v/>
      </c>
      <c r="CI116" s="825" t="str">
        <f>IF(Year5_Isle_of_Wight Year5_ReferralSource_Health_services_Other="","",Year5_Isle_of_Wight Year5_ReferralSource_Health_services_Other)</f>
        <v/>
      </c>
      <c r="CJ116" s="805" t="str">
        <f>IF(Year1_Isle_of_Wight Year1_ReferralSource_Housing="","",Year1_Isle_of_Wight Year1_ReferralSource_Housing)</f>
        <v>x</v>
      </c>
      <c r="CK116" s="806">
        <f>IF(Year2_Isle_of_Wight Year2_ReferralSource_Housing="","",Year2_Isle_of_Wight Year2_ReferralSource_Housing)</f>
        <v>13</v>
      </c>
      <c r="CL116" s="806">
        <f>IF(Year3_Isle_of_Wight Year3_ReferralSource_Housing="","",Year3_Isle_of_Wight Year3_ReferralSource_Housing)</f>
        <v>41</v>
      </c>
      <c r="CM116" s="806">
        <f>IF(Year4_Isle_of_Wight Year4_ReferralSource_Housing="","",Year4_Isle_of_Wight Year4_ReferralSource_Housing)</f>
        <v>33</v>
      </c>
      <c r="CN116" s="807">
        <f>IF(Year5_Isle_of_Wight Year5_ReferralSource_Housing="","",Year5_Isle_of_Wight Year5_ReferralSource_Housing)</f>
        <v>0</v>
      </c>
      <c r="CO116" s="805">
        <f>IF(Year1_Isle_of_Wight Year1_ReferralSource_LA_SC="","",Year1_Isle_of_Wight Year1_ReferralSource_LA_SC)</f>
        <v>196</v>
      </c>
      <c r="CP116" s="806">
        <f>IF(Year2_Isle_of_Wight Year2_ReferralSource_LA_SC="","",Year2_Isle_of_Wight Year2_ReferralSource_LA_SC)</f>
        <v>214</v>
      </c>
      <c r="CQ116" s="806">
        <f>IF(Year3_Isle_of_Wight Year3_ReferralSource_LA_SC="","",Year3_Isle_of_Wight Year3_ReferralSource_LA_SC)</f>
        <v>231</v>
      </c>
      <c r="CR116" s="806">
        <f>IF(Year4_Isle_of_Wight Year4_ReferralSource_LA_SC="","",Year4_Isle_of_Wight Year4_ReferralSource_LA_SC)</f>
        <v>265</v>
      </c>
      <c r="CS116" s="807">
        <f>IF(Year5_Isle_of_Wight Year5_ReferralSource_LA_SC="","",Year5_Isle_of_Wight Year5_ReferralSource_LA_SC)</f>
        <v>227</v>
      </c>
      <c r="CT116" s="805" t="str">
        <f>IF(Year1_Isle_of_Wight Year1_ReferralSource_LA_Other="","",Year1_Isle_of_Wight Year1_ReferralSource_LA_Other)</f>
        <v/>
      </c>
      <c r="CU116" s="806" t="str">
        <f>IF(Year2_Isle_of_Wight Year2_ReferralSource_LA_Other="","",Year2_Isle_of_Wight Year2_ReferralSource_LA_Other)</f>
        <v/>
      </c>
      <c r="CV116" s="806" t="str">
        <f>IF(Year3_Isle_of_Wight Year3_ReferralSource_LA_Other="","",Year3_Isle_of_Wight Year3_ReferralSource_LA_Other)</f>
        <v/>
      </c>
      <c r="CW116" s="806" t="str">
        <f>IF(Year4_Isle_of_Wight Year4_ReferralSource_LA_Other="","",Year4_Isle_of_Wight Year4_ReferralSource_LA_Other)</f>
        <v/>
      </c>
      <c r="CX116" s="807" t="str">
        <f>IF(Year5_Isle_of_Wight Year5_ReferralSource_LA_Other="","",Year5_Isle_of_Wight Year5_ReferralSource_LA_Other)</f>
        <v/>
      </c>
      <c r="CY116" s="805" t="str">
        <f>IF(Year1_Isle_of_Wight Year1_ReferralSource_LA_External="","",Year1_Isle_of_Wight Year1_ReferralSource_LA_External)</f>
        <v/>
      </c>
      <c r="CZ116" s="806" t="str">
        <f>IF(Year2_Isle_of_Wight Year2_ReferralSource_LA_External="","",Year2_Isle_of_Wight Year2_ReferralSource_LA_External)</f>
        <v/>
      </c>
      <c r="DA116" s="806" t="str">
        <f>IF(Year3_Isle_of_Wight Year3_ReferralSource_LA_External="","",Year3_Isle_of_Wight Year3_ReferralSource_LA_External)</f>
        <v/>
      </c>
      <c r="DB116" s="806" t="str">
        <f>IF(Year4_Isle_of_Wight Year4_ReferralSource_LA_External="","",Year4_Isle_of_Wight Year4_ReferralSource_LA_External)</f>
        <v/>
      </c>
      <c r="DC116" s="807" t="str">
        <f>IF(Year5_Isle_of_Wight Year5_ReferralSource_LA_External="","",Year5_Isle_of_Wight Year5_ReferralSource_LA_External)</f>
        <v/>
      </c>
      <c r="DD116" s="805">
        <f>IF(Year1_Isle_of_Wight Year1_ReferralSource_Police="","",Year1_Isle_of_Wight Year1_ReferralSource_Police)</f>
        <v>670</v>
      </c>
      <c r="DE116" s="806">
        <f>IF(Year2_Isle_of_Wight Year2_ReferralSource_Police="","",Year2_Isle_of_Wight Year2_ReferralSource_Police)</f>
        <v>606</v>
      </c>
      <c r="DF116" s="806">
        <f>IF(Year3_Isle_of_Wight Year3_ReferralSource_Police="","",Year3_Isle_of_Wight Year3_ReferralSource_Police)</f>
        <v>766</v>
      </c>
      <c r="DG116" s="806">
        <f>IF(Year4_Isle_of_Wight Year4_ReferralSource_Police="","",Year4_Isle_of_Wight Year4_ReferralSource_Police)</f>
        <v>478</v>
      </c>
      <c r="DH116" s="807">
        <f>IF(Year5_Isle_of_Wight Year5_ReferralSource_Police="","",Year5_Isle_of_Wight Year5_ReferralSource_Police)</f>
        <v>555</v>
      </c>
      <c r="DI116" s="805">
        <f>IF(Year1_Isle_of_Wight Year1_ReferralSource_Other_Legal="","",Year1_Isle_of_Wight Year1_ReferralSource_Other_Legal)</f>
        <v>45</v>
      </c>
      <c r="DJ116" s="806">
        <f>IF(Year2_Isle_of_Wight Year2_ReferralSource_Other_Legal="","",Year2_Isle_of_Wight Year2_ReferralSource_Other_Legal)</f>
        <v>53</v>
      </c>
      <c r="DK116" s="806">
        <f>IF(Year3_Isle_of_Wight Year3_ReferralSource_Other_Legal="","",Year3_Isle_of_Wight Year3_ReferralSource_Other_Legal)</f>
        <v>33</v>
      </c>
      <c r="DL116" s="806">
        <f>IF(Year4_Isle_of_Wight Year4_ReferralSource_Other_Legal="","",Year4_Isle_of_Wight Year4_ReferralSource_Other_Legal)</f>
        <v>39</v>
      </c>
      <c r="DM116" s="807">
        <f>IF(Year5_Isle_of_Wight Year5_ReferralSource_Other_Legal="","",Year5_Isle_of_Wight Year5_ReferralSource_Other_Legal)</f>
        <v>59</v>
      </c>
      <c r="DN116" s="805">
        <f>IF(Year1_Isle_of_Wight Year1_ReferralSource_Other="","",Year1_Isle_of_Wight Year1_ReferralSource_Other)</f>
        <v>229</v>
      </c>
      <c r="DO116" s="806">
        <f>IF(Year2_Isle_of_Wight Year2_ReferralSource_Other="","",Year2_Isle_of_Wight Year2_ReferralSource_Other)</f>
        <v>241</v>
      </c>
      <c r="DP116" s="806">
        <f>IF(Year3_Isle_of_Wight Year3_ReferralSource_Other="","",Year3_Isle_of_Wight Year3_ReferralSource_Other)</f>
        <v>262</v>
      </c>
      <c r="DQ116" s="806">
        <f>IF(Year4_Isle_of_Wight Year4_ReferralSource_Other="","",Year4_Isle_of_Wight Year4_ReferralSource_Other)</f>
        <v>169</v>
      </c>
      <c r="DR116" s="807">
        <f>IF(Year5_Isle_of_Wight Year5_ReferralSource_Other="","",Year5_Isle_of_Wight Year5_ReferralSource_Other)</f>
        <v>301</v>
      </c>
      <c r="DS116" s="805">
        <f>IF(Year1_Isle_of_Wight Year1_ReferralSource_Anonymous="","",Year1_Isle_of_Wight Year1_ReferralSource_Anonymous)</f>
        <v>61</v>
      </c>
      <c r="DT116" s="806">
        <f>IF(Year2_Isle_of_Wight Year2_ReferralSource_Anonymous="","",Year2_Isle_of_Wight Year2_ReferralSource_Anonymous)</f>
        <v>64</v>
      </c>
      <c r="DU116" s="806">
        <f>IF(Year3_Isle_of_Wight Year3_ReferralSource_Anonymous="","",Year3_Isle_of_Wight Year3_ReferralSource_Anonymous)</f>
        <v>48</v>
      </c>
      <c r="DV116" s="806">
        <f>IF(Year4_Isle_of_Wight Year4_ReferralSource_Anonymous="","",Year4_Isle_of_Wight Year4_ReferralSource_Anonymous)</f>
        <v>0</v>
      </c>
      <c r="DW116" s="807">
        <f>IF(Year5_Isle_of_Wight Year5_ReferralSource_Anonymous="","",Year5_Isle_of_Wight Year5_ReferralSource_Anonymous)</f>
        <v>0</v>
      </c>
      <c r="DX116" s="805" t="str">
        <f>IF(Year1_Isle_of_Wight Year1_ReferralSource_Unknown="","",Year1_Isle_of_Wight Year1_ReferralSource_Unknown)</f>
        <v>x</v>
      </c>
      <c r="DY116" s="806">
        <f>IF(Year2_Isle_of_Wight Year2_ReferralSource_Unknown="","",Year2_Isle_of_Wight Year2_ReferralSource_Unknown)</f>
        <v>0</v>
      </c>
      <c r="DZ116" s="806">
        <f>IF(Year3_Isle_of_Wight Year3_ReferralSource_Unknown="","",Year3_Isle_of_Wight Year3_ReferralSource_Unknown)</f>
        <v>0</v>
      </c>
      <c r="EA116" s="806">
        <f>IF(Year4_Isle_of_Wight Year4_ReferralSource_Unknown="","",Year4_Isle_of_Wight Year4_ReferralSource_Unknown)</f>
        <v>63</v>
      </c>
      <c r="EB116" s="807">
        <f>IF(Year5_Isle_of_Wight Year5_ReferralSource_Unknown="","",Year5_Isle_of_Wight Year5_ReferralSource_Unknown)</f>
        <v>61</v>
      </c>
    </row>
    <row r="117" spans="1:132" ht="16.5" customHeight="1" x14ac:dyDescent="0.2">
      <c r="A117" s="271"/>
      <c r="B117" s="170" t="str">
        <f>Sheet1!$K$10</f>
        <v>Kent</v>
      </c>
      <c r="C117" s="9"/>
      <c r="D117" s="1483"/>
      <c r="E117" s="1484"/>
      <c r="F117" s="1483"/>
      <c r="G117" s="1484"/>
      <c r="H117" s="1483"/>
      <c r="I117" s="1484"/>
      <c r="J117" s="1483"/>
      <c r="K117" s="1484"/>
      <c r="L117" s="1483"/>
      <c r="M117" s="1484"/>
      <c r="N117" s="1483"/>
      <c r="O117" s="1484"/>
      <c r="P117" s="1483"/>
      <c r="Q117" s="1484"/>
      <c r="R117" s="1483"/>
      <c r="S117" s="1484"/>
      <c r="T117" s="1483"/>
      <c r="U117" s="1484"/>
      <c r="V117" s="1483"/>
      <c r="W117" s="1484"/>
      <c r="X117" s="9"/>
      <c r="Y117" s="119"/>
      <c r="Z117" s="138"/>
      <c r="AA117" s="76"/>
      <c r="AB117" s="805">
        <f>IF(Year1_Kent Year1_ReferralSource_Individual_Family="","",Year1_Kent Year1_ReferralSource_Individual_Family)</f>
        <v>1889</v>
      </c>
      <c r="AC117" s="806">
        <f>IF(Year2_Kent Year2_ReferralSource_Individual_Family="","",Year2_Kent Year2_ReferralSource_Individual_Family)</f>
        <v>1577</v>
      </c>
      <c r="AD117" s="806">
        <f>IF(Year3_Kent Year3_ReferralSource_Individual_Family="","",Year3_Kent Year3_ReferralSource_Individual_Family)</f>
        <v>1596</v>
      </c>
      <c r="AE117" s="806">
        <f>IF(Year4_Kent Year4_ReferralSource_Individual_Family="","",Year4_Kent Year4_ReferralSource_Individual_Family)</f>
        <v>2168</v>
      </c>
      <c r="AF117" s="822">
        <f>IF(Year5_Kent Year5_ReferralSource_Individual_Family="","",Year5_Kent Year5_ReferralSource_Individual_Family)</f>
        <v>1561</v>
      </c>
      <c r="AG117" s="805" t="str">
        <f>IF(Year1_Kent Year1_ReferralSource_Individual_Acquaintance="","",Year1_Kent Year1_ReferralSource_Individual_Acquaintance)</f>
        <v/>
      </c>
      <c r="AH117" s="806" t="str">
        <f>IF(Year2_Kent Year2_ReferralSource_Individual_Acquaintance="","",Year2_Kent Year2_ReferralSource_Individual_Acquaintance)</f>
        <v/>
      </c>
      <c r="AI117" s="806" t="str">
        <f>IF(Year3_Kent Year3_ReferralSource_Individual_Acquaintance="","",Year3_Kent Year3_ReferralSource_Individual_Acquaintance)</f>
        <v/>
      </c>
      <c r="AJ117" s="806" t="str">
        <f>IF(Year4_Kent Year4_ReferralSource_Individual_Acquaintance="","",Year4_Kent Year4_ReferralSource_Individual_Acquaintance)</f>
        <v/>
      </c>
      <c r="AK117" s="807" t="str">
        <f>IF(Year5_Kent Year5_ReferralSource_Individual_Acquaintance="","",Year5_Kent Year5_ReferralSource_Individual_Acquaintance)</f>
        <v/>
      </c>
      <c r="AL117" s="805" t="str">
        <f>IF(Year1_Kent Year1_ReferralSource_Individual_Self="","",Year1_Kent Year1_ReferralSource_Individual_Self)</f>
        <v/>
      </c>
      <c r="AM117" s="806" t="str">
        <f>IF(Year2_Kent Year2_ReferralSource_Individual_Self="","",Year2_Kent Year2_ReferralSource_Individual_Self)</f>
        <v/>
      </c>
      <c r="AN117" s="806" t="str">
        <f>IF(Year3_Kent Year3_ReferralSource_Individual_Self="","",Year3_Kent Year3_ReferralSource_Individual_Self)</f>
        <v/>
      </c>
      <c r="AO117" s="806" t="str">
        <f>IF(Year4_Kent Year4_ReferralSource_Individual_Self="","",Year4_Kent Year4_ReferralSource_Individual_Self)</f>
        <v/>
      </c>
      <c r="AP117" s="807" t="str">
        <f>IF(Year5_Kent Year5_ReferralSource_Individual_Self="","",Year5_Kent Year5_ReferralSource_Individual_Self)</f>
        <v/>
      </c>
      <c r="AQ117" s="805" t="str">
        <f>IF(Year1_Kent Year1_ReferralSource_Individual_Other="","",Year1_Kent Year1_ReferralSource_Individual_Other)</f>
        <v/>
      </c>
      <c r="AR117" s="806" t="str">
        <f>IF(Year2_Kent Year2_ReferralSource_Individual_Other="","",Year2_Kent Year2_ReferralSource_Individual_Other)</f>
        <v/>
      </c>
      <c r="AS117" s="806" t="str">
        <f>IF(Year3_Kent Year3_ReferralSource_Individual_Other="","",Year3_Kent Year3_ReferralSource_Individual_Other)</f>
        <v/>
      </c>
      <c r="AT117" s="806" t="str">
        <f>IF(Year4_Kent Year4_ReferralSource_Individual_Other="","",Year4_Kent Year4_ReferralSource_Individual_Other)</f>
        <v/>
      </c>
      <c r="AU117" s="807" t="str">
        <f>IF(Year5_Kent Year5_ReferralSource_Individual_Other="","",Year5_Kent Year5_ReferralSource_Individual_Other)</f>
        <v/>
      </c>
      <c r="AV117" s="805">
        <f>IF(Year1_Kent Year1_ReferralSource_School="","",Year1_Kent Year1_ReferralSource_School)</f>
        <v>2453</v>
      </c>
      <c r="AW117" s="806">
        <f>IF(Year2_Kent Year2_ReferralSource_School="","",Year2_Kent Year2_ReferralSource_School)</f>
        <v>2617</v>
      </c>
      <c r="AX117" s="806">
        <f>IF(Year3_Kent Year3_ReferralSource_School="","",Year3_Kent Year3_ReferralSource_School)</f>
        <v>2620</v>
      </c>
      <c r="AY117" s="806">
        <f>IF(Year4_Kent Year4_ReferralSource_School="","",Year4_Kent Year4_ReferralSource_School)</f>
        <v>3172</v>
      </c>
      <c r="AZ117" s="807">
        <f>IF(Year5_Kent Year5_ReferralSource_School="","",Year5_Kent Year5_ReferralSource_School)</f>
        <v>3213</v>
      </c>
      <c r="BA117" s="805">
        <f>IF(Year1_Kent Year1_ReferralSource_EducationServices="","",Year1_Kent Year1_ReferralSource_EducationServices)</f>
        <v>341</v>
      </c>
      <c r="BB117" s="806">
        <f>IF(Year2_Kent Year2_ReferralSource_EducationServices="","",Year2_Kent Year2_ReferralSource_EducationServices)</f>
        <v>216</v>
      </c>
      <c r="BC117" s="806">
        <f>IF(Year3_Kent Year3_ReferralSource_EducationServices="","",Year3_Kent Year3_ReferralSource_EducationServices)</f>
        <v>145</v>
      </c>
      <c r="BD117" s="806">
        <f>IF(Year4_Kent Year4_ReferralSource_EducationServices="","",Year4_Kent Year4_ReferralSource_EducationServices)</f>
        <v>133</v>
      </c>
      <c r="BE117" s="807">
        <f>IF(Year5_Kent Year5_ReferralSource_EducationServices="","",Year5_Kent Year5_ReferralSource_EducationServices)</f>
        <v>93</v>
      </c>
      <c r="BF117" s="823">
        <f>IF(Year1_Kent Year1_ReferralSource_Health_services_GP="","",Year1_Kent Year1_ReferralSource_Health_services_GP)</f>
        <v>2656</v>
      </c>
      <c r="BG117" s="824">
        <f>IF(Year2_Kent Year2_ReferralSource_Health_services_GP="","",Year2_Kent Year2_ReferralSource_Health_services_GP)</f>
        <v>2128</v>
      </c>
      <c r="BH117" s="824">
        <f>IF(Year3_Kent Year3_ReferralSource_Health_services_GP="","",Year3_Kent Year3_ReferralSource_Health_services_GP)</f>
        <v>1938</v>
      </c>
      <c r="BI117" s="824">
        <f>IF(Year4_Kent Year4_ReferralSource_Health_services_GP="","",Year4_Kent Year4_ReferralSource_Health_services_GP)</f>
        <v>2375</v>
      </c>
      <c r="BJ117" s="825">
        <f>IF(Year5_Kent Year5_ReferralSource_Health_services_GP="","",Year5_Kent Year5_ReferralSource_Health_services_GP)</f>
        <v>2326</v>
      </c>
      <c r="BK117" s="823" t="str">
        <f>IF(Year1_Kent Year1_ReferralSource_Health_services_HealthVisitor="","",Year1_Kent Year1_ReferralSource_Health_services_HealthVisitor)</f>
        <v/>
      </c>
      <c r="BL117" s="824" t="str">
        <f>IF(Year2_Kent Year2_ReferralSource_Health_services_HealthVisitor="","",Year2_Kent Year2_ReferralSource_Health_services_HealthVisitor)</f>
        <v/>
      </c>
      <c r="BM117" s="824" t="str">
        <f>IF(Year3_Kent Year3_ReferralSource_Health_services_HealthVisitor="","",Year3_Kent Year3_ReferralSource_Health_services_HealthVisitor)</f>
        <v/>
      </c>
      <c r="BN117" s="824" t="str">
        <f>IF(Year4_Kent Year4_ReferralSource_Health_services_HealthVisitor="","",Year4_Kent Year4_ReferralSource_Health_services_HealthVisitor)</f>
        <v/>
      </c>
      <c r="BO117" s="825" t="str">
        <f>IF(Year5_Kent Year5_ReferralSource_Health_services_HealthVisitor="","",Year5_Kent Year5_ReferralSource_Health_services_HealthVisitor)</f>
        <v/>
      </c>
      <c r="BP117" s="823" t="str">
        <f>IF(Year1_Kent Year1_ReferralSource_Health_services_SchoolNurse="","",Year1_Kent Year1_ReferralSource_Health_services_SchoolNurse)</f>
        <v/>
      </c>
      <c r="BQ117" s="824" t="str">
        <f>IF(Year2_Kent Year2_ReferralSource_Health_services_SchoolNurse="","",Year2_Kent Year2_ReferralSource_Health_services_SchoolNurse)</f>
        <v/>
      </c>
      <c r="BR117" s="824" t="str">
        <f>IF(Year3_Kent Year3_ReferralSource_Health_services_SchoolNurse="","",Year3_Kent Year3_ReferralSource_Health_services_SchoolNurse)</f>
        <v/>
      </c>
      <c r="BS117" s="824" t="str">
        <f>IF(Year4_Kent Year4_ReferralSource_Health_services_SchoolNurse="","",Year4_Kent Year4_ReferralSource_Health_services_SchoolNurse)</f>
        <v/>
      </c>
      <c r="BT117" s="825" t="str">
        <f>IF(Year5_Kent Year5_ReferralSource_Health_services_SchoolNurse="","",Year5_Kent Year5_ReferralSource_Health_services_SchoolNurse)</f>
        <v/>
      </c>
      <c r="BU117" s="823" t="str">
        <f>IF(Year1_Kent Year1_ReferralSource_Health_services_OthPrimary="","",Year1_Kent Year1_ReferralSource_Health_services_OthPrimary)</f>
        <v/>
      </c>
      <c r="BV117" s="824" t="str">
        <f>IF(Year2_Kent Year2_ReferralSource_Health_services_OthPrimary="","",Year2_Kent Year2_ReferralSource_Health_services_OthPrimary)</f>
        <v/>
      </c>
      <c r="BW117" s="824" t="str">
        <f>IF(Year3_Kent Year3_ReferralSource_Health_services_OthPrimary="","",Year3_Kent Year3_ReferralSource_Health_services_OthPrimary)</f>
        <v/>
      </c>
      <c r="BX117" s="824" t="str">
        <f>IF(Year4_Kent Year4_ReferralSource_Health_services_OthPrimary="","",Year4_Kent Year4_ReferralSource_Health_services_OthPrimary)</f>
        <v/>
      </c>
      <c r="BY117" s="825" t="str">
        <f>IF(Year5_Kent Year5_ReferralSource_Health_services_OthPrimary="","",Year5_Kent Year5_ReferralSource_Health_services_OthPrimary)</f>
        <v/>
      </c>
      <c r="BZ117" s="823" t="str">
        <f>IF(Year1_Kent Year1_ReferralSource_Health_services_AE="","",Year1_Kent Year1_ReferralSource_Health_services_AE)</f>
        <v/>
      </c>
      <c r="CA117" s="824" t="str">
        <f>IF(Year2_Kent Year2_ReferralSource_Health_services_AE="","",Year2_Kent Year2_ReferralSource_Health_services_AE)</f>
        <v/>
      </c>
      <c r="CB117" s="824" t="str">
        <f>IF(Year3_Kent Year3_ReferralSource_Health_services_AE="","",Year3_Kent Year3_ReferralSource_Health_services_AE)</f>
        <v/>
      </c>
      <c r="CC117" s="824" t="str">
        <f>IF(Year4_Kent Year4_ReferralSource_Health_services_AE="","",Year4_Kent Year4_ReferralSource_Health_services_AE)</f>
        <v/>
      </c>
      <c r="CD117" s="825" t="str">
        <f>IF(Year5_Kent Year5_ReferralSource_Health_services_AE="","",Year5_Kent Year5_ReferralSource_Health_services_AE)</f>
        <v/>
      </c>
      <c r="CE117" s="823" t="str">
        <f>IF(Year1_Kent Year1_ReferralSource_Health_services_Other="","",Year1_Kent Year1_ReferralSource_Health_services_Other)</f>
        <v/>
      </c>
      <c r="CF117" s="824" t="str">
        <f>IF(Year2_Kent Year2_ReferralSource_Health_services_Other="","",Year2_Kent Year2_ReferralSource_Health_services_Other)</f>
        <v/>
      </c>
      <c r="CG117" s="824" t="str">
        <f>IF(Year3_Kent Year3_ReferralSource_Health_services_Other="","",Year3_Kent Year3_ReferralSource_Health_services_Other)</f>
        <v/>
      </c>
      <c r="CH117" s="824" t="str">
        <f>IF(Year4_Kent Year4_ReferralSource_Health_services_Other="","",Year4_Kent Year4_ReferralSource_Health_services_Other)</f>
        <v/>
      </c>
      <c r="CI117" s="825" t="str">
        <f>IF(Year5_Kent Year5_ReferralSource_Health_services_Other="","",Year5_Kent Year5_ReferralSource_Health_services_Other)</f>
        <v/>
      </c>
      <c r="CJ117" s="805">
        <f>IF(Year1_Kent Year1_ReferralSource_Housing="","",Year1_Kent Year1_ReferralSource_Housing)</f>
        <v>458</v>
      </c>
      <c r="CK117" s="806">
        <f>IF(Year2_Kent Year2_ReferralSource_Housing="","",Year2_Kent Year2_ReferralSource_Housing)</f>
        <v>395</v>
      </c>
      <c r="CL117" s="806">
        <f>IF(Year3_Kent Year3_ReferralSource_Housing="","",Year3_Kent Year3_ReferralSource_Housing)</f>
        <v>366</v>
      </c>
      <c r="CM117" s="806">
        <f>IF(Year4_Kent Year4_ReferralSource_Housing="","",Year4_Kent Year4_ReferralSource_Housing)</f>
        <v>406</v>
      </c>
      <c r="CN117" s="807">
        <f>IF(Year5_Kent Year5_ReferralSource_Housing="","",Year5_Kent Year5_ReferralSource_Housing)</f>
        <v>363</v>
      </c>
      <c r="CO117" s="805">
        <f>IF(Year1_Kent Year1_ReferralSource_LA_SC="","",Year1_Kent Year1_ReferralSource_LA_SC)</f>
        <v>1606</v>
      </c>
      <c r="CP117" s="806">
        <f>IF(Year2_Kent Year2_ReferralSource_LA_SC="","",Year2_Kent Year2_ReferralSource_LA_SC)</f>
        <v>1670</v>
      </c>
      <c r="CQ117" s="806">
        <f>IF(Year3_Kent Year3_ReferralSource_LA_SC="","",Year3_Kent Year3_ReferralSource_LA_SC)</f>
        <v>1976</v>
      </c>
      <c r="CR117" s="806">
        <f>IF(Year4_Kent Year4_ReferralSource_LA_SC="","",Year4_Kent Year4_ReferralSource_LA_SC)</f>
        <v>2198</v>
      </c>
      <c r="CS117" s="807">
        <f>IF(Year5_Kent Year5_ReferralSource_LA_SC="","",Year5_Kent Year5_ReferralSource_LA_SC)</f>
        <v>2281</v>
      </c>
      <c r="CT117" s="805" t="str">
        <f>IF(Year1_Kent Year1_ReferralSource_LA_Other="","",Year1_Kent Year1_ReferralSource_LA_Other)</f>
        <v/>
      </c>
      <c r="CU117" s="806" t="str">
        <f>IF(Year2_Kent Year2_ReferralSource_LA_Other="","",Year2_Kent Year2_ReferralSource_LA_Other)</f>
        <v/>
      </c>
      <c r="CV117" s="806" t="str">
        <f>IF(Year3_Kent Year3_ReferralSource_LA_Other="","",Year3_Kent Year3_ReferralSource_LA_Other)</f>
        <v/>
      </c>
      <c r="CW117" s="806" t="str">
        <f>IF(Year4_Kent Year4_ReferralSource_LA_Other="","",Year4_Kent Year4_ReferralSource_LA_Other)</f>
        <v/>
      </c>
      <c r="CX117" s="807" t="str">
        <f>IF(Year5_Kent Year5_ReferralSource_LA_Other="","",Year5_Kent Year5_ReferralSource_LA_Other)</f>
        <v/>
      </c>
      <c r="CY117" s="805" t="str">
        <f>IF(Year1_Kent Year1_ReferralSource_LA_External="","",Year1_Kent Year1_ReferralSource_LA_External)</f>
        <v/>
      </c>
      <c r="CZ117" s="806" t="str">
        <f>IF(Year2_Kent Year2_ReferralSource_LA_External="","",Year2_Kent Year2_ReferralSource_LA_External)</f>
        <v/>
      </c>
      <c r="DA117" s="806" t="str">
        <f>IF(Year3_Kent Year3_ReferralSource_LA_External="","",Year3_Kent Year3_ReferralSource_LA_External)</f>
        <v/>
      </c>
      <c r="DB117" s="806" t="str">
        <f>IF(Year4_Kent Year4_ReferralSource_LA_External="","",Year4_Kent Year4_ReferralSource_LA_External)</f>
        <v/>
      </c>
      <c r="DC117" s="807" t="str">
        <f>IF(Year5_Kent Year5_ReferralSource_LA_External="","",Year5_Kent Year5_ReferralSource_LA_External)</f>
        <v/>
      </c>
      <c r="DD117" s="805">
        <f>IF(Year1_Kent Year1_ReferralSource_Police="","",Year1_Kent Year1_ReferralSource_Police)</f>
        <v>4037</v>
      </c>
      <c r="DE117" s="806">
        <f>IF(Year2_Kent Year2_ReferralSource_Police="","",Year2_Kent Year2_ReferralSource_Police)</f>
        <v>3886</v>
      </c>
      <c r="DF117" s="806">
        <f>IF(Year3_Kent Year3_ReferralSource_Police="","",Year3_Kent Year3_ReferralSource_Police)</f>
        <v>4508</v>
      </c>
      <c r="DG117" s="806">
        <f>IF(Year4_Kent Year4_ReferralSource_Police="","",Year4_Kent Year4_ReferralSource_Police)</f>
        <v>6675</v>
      </c>
      <c r="DH117" s="807">
        <f>IF(Year5_Kent Year5_ReferralSource_Police="","",Year5_Kent Year5_ReferralSource_Police)</f>
        <v>6290</v>
      </c>
      <c r="DI117" s="805">
        <f>IF(Year1_Kent Year1_ReferralSource_Other_Legal="","",Year1_Kent Year1_ReferralSource_Other_Legal)</f>
        <v>1038</v>
      </c>
      <c r="DJ117" s="806">
        <f>IF(Year2_Kent Year2_ReferralSource_Other_Legal="","",Year2_Kent Year2_ReferralSource_Other_Legal)</f>
        <v>1321</v>
      </c>
      <c r="DK117" s="806">
        <f>IF(Year3_Kent Year3_ReferralSource_Other_Legal="","",Year3_Kent Year3_ReferralSource_Other_Legal)</f>
        <v>735</v>
      </c>
      <c r="DL117" s="806">
        <f>IF(Year4_Kent Year4_ReferralSource_Other_Legal="","",Year4_Kent Year4_ReferralSource_Other_Legal)</f>
        <v>719</v>
      </c>
      <c r="DM117" s="807">
        <f>IF(Year5_Kent Year5_ReferralSource_Other_Legal="","",Year5_Kent Year5_ReferralSource_Other_Legal)</f>
        <v>884</v>
      </c>
      <c r="DN117" s="805">
        <f>IF(Year1_Kent Year1_ReferralSource_Other="","",Year1_Kent Year1_ReferralSource_Other)</f>
        <v>1546</v>
      </c>
      <c r="DO117" s="806">
        <f>IF(Year2_Kent Year2_ReferralSource_Other="","",Year2_Kent Year2_ReferralSource_Other)</f>
        <v>1244</v>
      </c>
      <c r="DP117" s="806">
        <f>IF(Year3_Kent Year3_ReferralSource_Other="","",Year3_Kent Year3_ReferralSource_Other)</f>
        <v>1563</v>
      </c>
      <c r="DQ117" s="806">
        <f>IF(Year4_Kent Year4_ReferralSource_Other="","",Year4_Kent Year4_ReferralSource_Other)</f>
        <v>1050</v>
      </c>
      <c r="DR117" s="807">
        <f>IF(Year5_Kent Year5_ReferralSource_Other="","",Year5_Kent Year5_ReferralSource_Other)</f>
        <v>698</v>
      </c>
      <c r="DS117" s="805">
        <f>IF(Year1_Kent Year1_ReferralSource_Anonymous="","",Year1_Kent Year1_ReferralSource_Anonymous)</f>
        <v>448</v>
      </c>
      <c r="DT117" s="806">
        <f>IF(Year2_Kent Year2_ReferralSource_Anonymous="","",Year2_Kent Year2_ReferralSource_Anonymous)</f>
        <v>230</v>
      </c>
      <c r="DU117" s="806">
        <f>IF(Year3_Kent Year3_ReferralSource_Anonymous="","",Year3_Kent Year3_ReferralSource_Anonymous)</f>
        <v>294</v>
      </c>
      <c r="DV117" s="806">
        <f>IF(Year4_Kent Year4_ReferralSource_Anonymous="","",Year4_Kent Year4_ReferralSource_Anonymous)</f>
        <v>413</v>
      </c>
      <c r="DW117" s="807">
        <f>IF(Year5_Kent Year5_ReferralSource_Anonymous="","",Year5_Kent Year5_ReferralSource_Anonymous)</f>
        <v>375</v>
      </c>
      <c r="DX117" s="805">
        <f>IF(Year1_Kent Year1_ReferralSource_Unknown="","",Year1_Kent Year1_ReferralSource_Unknown)</f>
        <v>57</v>
      </c>
      <c r="DY117" s="806">
        <f>IF(Year2_Kent Year2_ReferralSource_Unknown="","",Year2_Kent Year2_ReferralSource_Unknown)</f>
        <v>58</v>
      </c>
      <c r="DZ117" s="806">
        <f>IF(Year3_Kent Year3_ReferralSource_Unknown="","",Year3_Kent Year3_ReferralSource_Unknown)</f>
        <v>64</v>
      </c>
      <c r="EA117" s="806">
        <f>IF(Year4_Kent Year4_ReferralSource_Unknown="","",Year4_Kent Year4_ReferralSource_Unknown)</f>
        <v>64</v>
      </c>
      <c r="EB117" s="807">
        <f>IF(Year5_Kent Year5_ReferralSource_Unknown="","",Year5_Kent Year5_ReferralSource_Unknown)</f>
        <v>199</v>
      </c>
    </row>
    <row r="118" spans="1:132" ht="16.5" customHeight="1" x14ac:dyDescent="0.2">
      <c r="A118" s="271"/>
      <c r="B118" s="170" t="str">
        <f>Sheet1!$K$11</f>
        <v>Medway</v>
      </c>
      <c r="C118" s="9"/>
      <c r="D118" s="1483"/>
      <c r="E118" s="1484"/>
      <c r="F118" s="1483"/>
      <c r="G118" s="1484"/>
      <c r="H118" s="1483"/>
      <c r="I118" s="1484"/>
      <c r="J118" s="1483"/>
      <c r="K118" s="1484"/>
      <c r="L118" s="1483"/>
      <c r="M118" s="1484"/>
      <c r="N118" s="1483"/>
      <c r="O118" s="1484"/>
      <c r="P118" s="1483"/>
      <c r="Q118" s="1484"/>
      <c r="R118" s="1483"/>
      <c r="S118" s="1484"/>
      <c r="T118" s="1483"/>
      <c r="U118" s="1484"/>
      <c r="V118" s="1483"/>
      <c r="W118" s="1484"/>
      <c r="X118" s="9"/>
      <c r="Y118" s="119"/>
      <c r="Z118" s="138"/>
      <c r="AA118" s="76"/>
      <c r="AB118" s="805">
        <f>IF(Year1_Medway Year1_ReferralSource_Individual_Family="","",Year1_Medway Year1_ReferralSource_Individual_Family)</f>
        <v>353</v>
      </c>
      <c r="AC118" s="806">
        <f>IF(Year2_Medway Year2_ReferralSource_Individual_Family="","",Year2_Medway Year2_ReferralSource_Individual_Family)</f>
        <v>375</v>
      </c>
      <c r="AD118" s="806">
        <f>IF(Year3_Medway Year3_ReferralSource_Individual_Family="","",Year3_Medway Year3_ReferralSource_Individual_Family)</f>
        <v>343</v>
      </c>
      <c r="AE118" s="806">
        <f>IF(Year4_Medway Year4_ReferralSource_Individual_Family="","",Year4_Medway Year4_ReferralSource_Individual_Family)</f>
        <v>247</v>
      </c>
      <c r="AF118" s="822">
        <f>IF(Year5_Medway Year5_ReferralSource_Individual_Family="","",Year5_Medway Year5_ReferralSource_Individual_Family)</f>
        <v>415</v>
      </c>
      <c r="AG118" s="805" t="str">
        <f>IF(Year1_Medway Year1_ReferralSource_Individual_Acquaintance="","",Year1_Medway Year1_ReferralSource_Individual_Acquaintance)</f>
        <v/>
      </c>
      <c r="AH118" s="806" t="str">
        <f>IF(Year2_Medway Year2_ReferralSource_Individual_Acquaintance="","",Year2_Medway Year2_ReferralSource_Individual_Acquaintance)</f>
        <v/>
      </c>
      <c r="AI118" s="806" t="str">
        <f>IF(Year3_Medway Year3_ReferralSource_Individual_Acquaintance="","",Year3_Medway Year3_ReferralSource_Individual_Acquaintance)</f>
        <v/>
      </c>
      <c r="AJ118" s="806" t="str">
        <f>IF(Year4_Medway Year4_ReferralSource_Individual_Acquaintance="","",Year4_Medway Year4_ReferralSource_Individual_Acquaintance)</f>
        <v/>
      </c>
      <c r="AK118" s="807" t="str">
        <f>IF(Year5_Medway Year5_ReferralSource_Individual_Acquaintance="","",Year5_Medway Year5_ReferralSource_Individual_Acquaintance)</f>
        <v/>
      </c>
      <c r="AL118" s="805" t="str">
        <f>IF(Year1_Medway Year1_ReferralSource_Individual_Self="","",Year1_Medway Year1_ReferralSource_Individual_Self)</f>
        <v/>
      </c>
      <c r="AM118" s="806" t="str">
        <f>IF(Year2_Medway Year2_ReferralSource_Individual_Self="","",Year2_Medway Year2_ReferralSource_Individual_Self)</f>
        <v/>
      </c>
      <c r="AN118" s="806" t="str">
        <f>IF(Year3_Medway Year3_ReferralSource_Individual_Self="","",Year3_Medway Year3_ReferralSource_Individual_Self)</f>
        <v/>
      </c>
      <c r="AO118" s="806" t="str">
        <f>IF(Year4_Medway Year4_ReferralSource_Individual_Self="","",Year4_Medway Year4_ReferralSource_Individual_Self)</f>
        <v/>
      </c>
      <c r="AP118" s="807" t="str">
        <f>IF(Year5_Medway Year5_ReferralSource_Individual_Self="","",Year5_Medway Year5_ReferralSource_Individual_Self)</f>
        <v/>
      </c>
      <c r="AQ118" s="805" t="str">
        <f>IF(Year1_Medway Year1_ReferralSource_Individual_Other="","",Year1_Medway Year1_ReferralSource_Individual_Other)</f>
        <v/>
      </c>
      <c r="AR118" s="806" t="str">
        <f>IF(Year2_Medway Year2_ReferralSource_Individual_Other="","",Year2_Medway Year2_ReferralSource_Individual_Other)</f>
        <v/>
      </c>
      <c r="AS118" s="806" t="str">
        <f>IF(Year3_Medway Year3_ReferralSource_Individual_Other="","",Year3_Medway Year3_ReferralSource_Individual_Other)</f>
        <v/>
      </c>
      <c r="AT118" s="806" t="str">
        <f>IF(Year4_Medway Year4_ReferralSource_Individual_Other="","",Year4_Medway Year4_ReferralSource_Individual_Other)</f>
        <v/>
      </c>
      <c r="AU118" s="807" t="str">
        <f>IF(Year5_Medway Year5_ReferralSource_Individual_Other="","",Year5_Medway Year5_ReferralSource_Individual_Other)</f>
        <v/>
      </c>
      <c r="AV118" s="805">
        <f>IF(Year1_Medway Year1_ReferralSource_School="","",Year1_Medway Year1_ReferralSource_School)</f>
        <v>779</v>
      </c>
      <c r="AW118" s="806">
        <f>IF(Year2_Medway Year2_ReferralSource_School="","",Year2_Medway Year2_ReferralSource_School)</f>
        <v>848</v>
      </c>
      <c r="AX118" s="806">
        <f>IF(Year3_Medway Year3_ReferralSource_School="","",Year3_Medway Year3_ReferralSource_School)</f>
        <v>575</v>
      </c>
      <c r="AY118" s="806">
        <f>IF(Year4_Medway Year4_ReferralSource_School="","",Year4_Medway Year4_ReferralSource_School)</f>
        <v>519</v>
      </c>
      <c r="AZ118" s="807">
        <f>IF(Year5_Medway Year5_ReferralSource_School="","",Year5_Medway Year5_ReferralSource_School)</f>
        <v>819</v>
      </c>
      <c r="BA118" s="805">
        <f>IF(Year1_Medway Year1_ReferralSource_EducationServices="","",Year1_Medway Year1_ReferralSource_EducationServices)</f>
        <v>25</v>
      </c>
      <c r="BB118" s="806">
        <f>IF(Year2_Medway Year2_ReferralSource_EducationServices="","",Year2_Medway Year2_ReferralSource_EducationServices)</f>
        <v>57</v>
      </c>
      <c r="BC118" s="806">
        <f>IF(Year3_Medway Year3_ReferralSource_EducationServices="","",Year3_Medway Year3_ReferralSource_EducationServices)</f>
        <v>23</v>
      </c>
      <c r="BD118" s="806">
        <f>IF(Year4_Medway Year4_ReferralSource_EducationServices="","",Year4_Medway Year4_ReferralSource_EducationServices)</f>
        <v>35</v>
      </c>
      <c r="BE118" s="807">
        <f>IF(Year5_Medway Year5_ReferralSource_EducationServices="","",Year5_Medway Year5_ReferralSource_EducationServices)</f>
        <v>52</v>
      </c>
      <c r="BF118" s="823">
        <f>IF(Year1_Medway Year1_ReferralSource_Health_services_GP="","",Year1_Medway Year1_ReferralSource_Health_services_GP)</f>
        <v>346</v>
      </c>
      <c r="BG118" s="824">
        <f>IF(Year2_Medway Year2_ReferralSource_Health_services_GP="","",Year2_Medway Year2_ReferralSource_Health_services_GP)</f>
        <v>350</v>
      </c>
      <c r="BH118" s="824">
        <f>IF(Year3_Medway Year3_ReferralSource_Health_services_GP="","",Year3_Medway Year3_ReferralSource_Health_services_GP)</f>
        <v>250</v>
      </c>
      <c r="BI118" s="824">
        <f>IF(Year4_Medway Year4_ReferralSource_Health_services_GP="","",Year4_Medway Year4_ReferralSource_Health_services_GP)</f>
        <v>316</v>
      </c>
      <c r="BJ118" s="825">
        <f>IF(Year5_Medway Year5_ReferralSource_Health_services_GP="","",Year5_Medway Year5_ReferralSource_Health_services_GP)</f>
        <v>359</v>
      </c>
      <c r="BK118" s="823" t="str">
        <f>IF(Year1_Medway Year1_ReferralSource_Health_services_HealthVisitor="","",Year1_Medway Year1_ReferralSource_Health_services_HealthVisitor)</f>
        <v/>
      </c>
      <c r="BL118" s="824" t="str">
        <f>IF(Year2_Medway Year2_ReferralSource_Health_services_HealthVisitor="","",Year2_Medway Year2_ReferralSource_Health_services_HealthVisitor)</f>
        <v/>
      </c>
      <c r="BM118" s="824" t="str">
        <f>IF(Year3_Medway Year3_ReferralSource_Health_services_HealthVisitor="","",Year3_Medway Year3_ReferralSource_Health_services_HealthVisitor)</f>
        <v/>
      </c>
      <c r="BN118" s="824" t="str">
        <f>IF(Year4_Medway Year4_ReferralSource_Health_services_HealthVisitor="","",Year4_Medway Year4_ReferralSource_Health_services_HealthVisitor)</f>
        <v/>
      </c>
      <c r="BO118" s="825" t="str">
        <f>IF(Year5_Medway Year5_ReferralSource_Health_services_HealthVisitor="","",Year5_Medway Year5_ReferralSource_Health_services_HealthVisitor)</f>
        <v/>
      </c>
      <c r="BP118" s="823" t="str">
        <f>IF(Year1_Medway Year1_ReferralSource_Health_services_SchoolNurse="","",Year1_Medway Year1_ReferralSource_Health_services_SchoolNurse)</f>
        <v/>
      </c>
      <c r="BQ118" s="824" t="str">
        <f>IF(Year2_Medway Year2_ReferralSource_Health_services_SchoolNurse="","",Year2_Medway Year2_ReferralSource_Health_services_SchoolNurse)</f>
        <v/>
      </c>
      <c r="BR118" s="824" t="str">
        <f>IF(Year3_Medway Year3_ReferralSource_Health_services_SchoolNurse="","",Year3_Medway Year3_ReferralSource_Health_services_SchoolNurse)</f>
        <v/>
      </c>
      <c r="BS118" s="824" t="str">
        <f>IF(Year4_Medway Year4_ReferralSource_Health_services_SchoolNurse="","",Year4_Medway Year4_ReferralSource_Health_services_SchoolNurse)</f>
        <v/>
      </c>
      <c r="BT118" s="825" t="str">
        <f>IF(Year5_Medway Year5_ReferralSource_Health_services_SchoolNurse="","",Year5_Medway Year5_ReferralSource_Health_services_SchoolNurse)</f>
        <v/>
      </c>
      <c r="BU118" s="823" t="str">
        <f>IF(Year1_Medway Year1_ReferralSource_Health_services_OthPrimary="","",Year1_Medway Year1_ReferralSource_Health_services_OthPrimary)</f>
        <v/>
      </c>
      <c r="BV118" s="824" t="str">
        <f>IF(Year2_Medway Year2_ReferralSource_Health_services_OthPrimary="","",Year2_Medway Year2_ReferralSource_Health_services_OthPrimary)</f>
        <v/>
      </c>
      <c r="BW118" s="824" t="str">
        <f>IF(Year3_Medway Year3_ReferralSource_Health_services_OthPrimary="","",Year3_Medway Year3_ReferralSource_Health_services_OthPrimary)</f>
        <v/>
      </c>
      <c r="BX118" s="824" t="str">
        <f>IF(Year4_Medway Year4_ReferralSource_Health_services_OthPrimary="","",Year4_Medway Year4_ReferralSource_Health_services_OthPrimary)</f>
        <v/>
      </c>
      <c r="BY118" s="825" t="str">
        <f>IF(Year5_Medway Year5_ReferralSource_Health_services_OthPrimary="","",Year5_Medway Year5_ReferralSource_Health_services_OthPrimary)</f>
        <v/>
      </c>
      <c r="BZ118" s="823" t="str">
        <f>IF(Year1_Medway Year1_ReferralSource_Health_services_AE="","",Year1_Medway Year1_ReferralSource_Health_services_AE)</f>
        <v/>
      </c>
      <c r="CA118" s="824" t="str">
        <f>IF(Year2_Medway Year2_ReferralSource_Health_services_AE="","",Year2_Medway Year2_ReferralSource_Health_services_AE)</f>
        <v/>
      </c>
      <c r="CB118" s="824" t="str">
        <f>IF(Year3_Medway Year3_ReferralSource_Health_services_AE="","",Year3_Medway Year3_ReferralSource_Health_services_AE)</f>
        <v/>
      </c>
      <c r="CC118" s="824" t="str">
        <f>IF(Year4_Medway Year4_ReferralSource_Health_services_AE="","",Year4_Medway Year4_ReferralSource_Health_services_AE)</f>
        <v/>
      </c>
      <c r="CD118" s="825" t="str">
        <f>IF(Year5_Medway Year5_ReferralSource_Health_services_AE="","",Year5_Medway Year5_ReferralSource_Health_services_AE)</f>
        <v/>
      </c>
      <c r="CE118" s="823" t="str">
        <f>IF(Year1_Medway Year1_ReferralSource_Health_services_Other="","",Year1_Medway Year1_ReferralSource_Health_services_Other)</f>
        <v/>
      </c>
      <c r="CF118" s="824" t="str">
        <f>IF(Year2_Medway Year2_ReferralSource_Health_services_Other="","",Year2_Medway Year2_ReferralSource_Health_services_Other)</f>
        <v/>
      </c>
      <c r="CG118" s="824" t="str">
        <f>IF(Year3_Medway Year3_ReferralSource_Health_services_Other="","",Year3_Medway Year3_ReferralSource_Health_services_Other)</f>
        <v/>
      </c>
      <c r="CH118" s="824" t="str">
        <f>IF(Year4_Medway Year4_ReferralSource_Health_services_Other="","",Year4_Medway Year4_ReferralSource_Health_services_Other)</f>
        <v/>
      </c>
      <c r="CI118" s="825" t="str">
        <f>IF(Year5_Medway Year5_ReferralSource_Health_services_Other="","",Year5_Medway Year5_ReferralSource_Health_services_Other)</f>
        <v/>
      </c>
      <c r="CJ118" s="805">
        <f>IF(Year1_Medway Year1_ReferralSource_Housing="","",Year1_Medway Year1_ReferralSource_Housing)</f>
        <v>117</v>
      </c>
      <c r="CK118" s="806">
        <f>IF(Year2_Medway Year2_ReferralSource_Housing="","",Year2_Medway Year2_ReferralSource_Housing)</f>
        <v>102</v>
      </c>
      <c r="CL118" s="806">
        <f>IF(Year3_Medway Year3_ReferralSource_Housing="","",Year3_Medway Year3_ReferralSource_Housing)</f>
        <v>81</v>
      </c>
      <c r="CM118" s="806">
        <f>IF(Year4_Medway Year4_ReferralSource_Housing="","",Year4_Medway Year4_ReferralSource_Housing)</f>
        <v>64</v>
      </c>
      <c r="CN118" s="807">
        <f>IF(Year5_Medway Year5_ReferralSource_Housing="","",Year5_Medway Year5_ReferralSource_Housing)</f>
        <v>67</v>
      </c>
      <c r="CO118" s="805">
        <f>IF(Year1_Medway Year1_ReferralSource_LA_SC="","",Year1_Medway Year1_ReferralSource_LA_SC)</f>
        <v>219</v>
      </c>
      <c r="CP118" s="806">
        <f>IF(Year2_Medway Year2_ReferralSource_LA_SC="","",Year2_Medway Year2_ReferralSource_LA_SC)</f>
        <v>515</v>
      </c>
      <c r="CQ118" s="806">
        <f>IF(Year3_Medway Year3_ReferralSource_LA_SC="","",Year3_Medway Year3_ReferralSource_LA_SC)</f>
        <v>394</v>
      </c>
      <c r="CR118" s="806">
        <f>IF(Year4_Medway Year4_ReferralSource_LA_SC="","",Year4_Medway Year4_ReferralSource_LA_SC)</f>
        <v>349</v>
      </c>
      <c r="CS118" s="807">
        <f>IF(Year5_Medway Year5_ReferralSource_LA_SC="","",Year5_Medway Year5_ReferralSource_LA_SC)</f>
        <v>506</v>
      </c>
      <c r="CT118" s="805" t="str">
        <f>IF(Year1_Medway Year1_ReferralSource_LA_Other="","",Year1_Medway Year1_ReferralSource_LA_Other)</f>
        <v/>
      </c>
      <c r="CU118" s="806" t="str">
        <f>IF(Year2_Medway Year2_ReferralSource_LA_Other="","",Year2_Medway Year2_ReferralSource_LA_Other)</f>
        <v/>
      </c>
      <c r="CV118" s="806" t="str">
        <f>IF(Year3_Medway Year3_ReferralSource_LA_Other="","",Year3_Medway Year3_ReferralSource_LA_Other)</f>
        <v/>
      </c>
      <c r="CW118" s="806" t="str">
        <f>IF(Year4_Medway Year4_ReferralSource_LA_Other="","",Year4_Medway Year4_ReferralSource_LA_Other)</f>
        <v/>
      </c>
      <c r="CX118" s="807" t="str">
        <f>IF(Year5_Medway Year5_ReferralSource_LA_Other="","",Year5_Medway Year5_ReferralSource_LA_Other)</f>
        <v/>
      </c>
      <c r="CY118" s="805" t="str">
        <f>IF(Year1_Medway Year1_ReferralSource_LA_External="","",Year1_Medway Year1_ReferralSource_LA_External)</f>
        <v/>
      </c>
      <c r="CZ118" s="806" t="str">
        <f>IF(Year2_Medway Year2_ReferralSource_LA_External="","",Year2_Medway Year2_ReferralSource_LA_External)</f>
        <v/>
      </c>
      <c r="DA118" s="806" t="str">
        <f>IF(Year3_Medway Year3_ReferralSource_LA_External="","",Year3_Medway Year3_ReferralSource_LA_External)</f>
        <v/>
      </c>
      <c r="DB118" s="806" t="str">
        <f>IF(Year4_Medway Year4_ReferralSource_LA_External="","",Year4_Medway Year4_ReferralSource_LA_External)</f>
        <v/>
      </c>
      <c r="DC118" s="807" t="str">
        <f>IF(Year5_Medway Year5_ReferralSource_LA_External="","",Year5_Medway Year5_ReferralSource_LA_External)</f>
        <v/>
      </c>
      <c r="DD118" s="805">
        <f>IF(Year1_Medway Year1_ReferralSource_Police="","",Year1_Medway Year1_ReferralSource_Police)</f>
        <v>794</v>
      </c>
      <c r="DE118" s="806">
        <f>IF(Year2_Medway Year2_ReferralSource_Police="","",Year2_Medway Year2_ReferralSource_Police)</f>
        <v>718</v>
      </c>
      <c r="DF118" s="806">
        <f>IF(Year3_Medway Year3_ReferralSource_Police="","",Year3_Medway Year3_ReferralSource_Police)</f>
        <v>770</v>
      </c>
      <c r="DG118" s="806">
        <f>IF(Year4_Medway Year4_ReferralSource_Police="","",Year4_Medway Year4_ReferralSource_Police)</f>
        <v>817</v>
      </c>
      <c r="DH118" s="807">
        <f>IF(Year5_Medway Year5_ReferralSource_Police="","",Year5_Medway Year5_ReferralSource_Police)</f>
        <v>1341</v>
      </c>
      <c r="DI118" s="805">
        <f>IF(Year1_Medway Year1_ReferralSource_Other_Legal="","",Year1_Medway Year1_ReferralSource_Other_Legal)</f>
        <v>60</v>
      </c>
      <c r="DJ118" s="806">
        <f>IF(Year2_Medway Year2_ReferralSource_Other_Legal="","",Year2_Medway Year2_ReferralSource_Other_Legal)</f>
        <v>142</v>
      </c>
      <c r="DK118" s="806">
        <f>IF(Year3_Medway Year3_ReferralSource_Other_Legal="","",Year3_Medway Year3_ReferralSource_Other_Legal)</f>
        <v>89</v>
      </c>
      <c r="DL118" s="806">
        <f>IF(Year4_Medway Year4_ReferralSource_Other_Legal="","",Year4_Medway Year4_ReferralSource_Other_Legal)</f>
        <v>76</v>
      </c>
      <c r="DM118" s="807">
        <f>IF(Year5_Medway Year5_ReferralSource_Other_Legal="","",Year5_Medway Year5_ReferralSource_Other_Legal)</f>
        <v>135</v>
      </c>
      <c r="DN118" s="805">
        <f>IF(Year1_Medway Year1_ReferralSource_Other="","",Year1_Medway Year1_ReferralSource_Other)</f>
        <v>211</v>
      </c>
      <c r="DO118" s="806">
        <f>IF(Year2_Medway Year2_ReferralSource_Other="","",Year2_Medway Year2_ReferralSource_Other)</f>
        <v>150</v>
      </c>
      <c r="DP118" s="806">
        <f>IF(Year3_Medway Year3_ReferralSource_Other="","",Year3_Medway Year3_ReferralSource_Other)</f>
        <v>107</v>
      </c>
      <c r="DQ118" s="806">
        <f>IF(Year4_Medway Year4_ReferralSource_Other="","",Year4_Medway Year4_ReferralSource_Other)</f>
        <v>81</v>
      </c>
      <c r="DR118" s="807">
        <f>IF(Year5_Medway Year5_ReferralSource_Other="","",Year5_Medway Year5_ReferralSource_Other)</f>
        <v>163</v>
      </c>
      <c r="DS118" s="805">
        <f>IF(Year1_Medway Year1_ReferralSource_Anonymous="","",Year1_Medway Year1_ReferralSource_Anonymous)</f>
        <v>128</v>
      </c>
      <c r="DT118" s="806">
        <f>IF(Year2_Medway Year2_ReferralSource_Anonymous="","",Year2_Medway Year2_ReferralSource_Anonymous)</f>
        <v>96</v>
      </c>
      <c r="DU118" s="806">
        <f>IF(Year3_Medway Year3_ReferralSource_Anonymous="","",Year3_Medway Year3_ReferralSource_Anonymous)</f>
        <v>100</v>
      </c>
      <c r="DV118" s="806">
        <f>IF(Year4_Medway Year4_ReferralSource_Anonymous="","",Year4_Medway Year4_ReferralSource_Anonymous)</f>
        <v>83</v>
      </c>
      <c r="DW118" s="807">
        <f>IF(Year5_Medway Year5_ReferralSource_Anonymous="","",Year5_Medway Year5_ReferralSource_Anonymous)</f>
        <v>89</v>
      </c>
      <c r="DX118" s="805">
        <f>IF(Year1_Medway Year1_ReferralSource_Unknown="","",Year1_Medway Year1_ReferralSource_Unknown)</f>
        <v>48</v>
      </c>
      <c r="DY118" s="806">
        <f>IF(Year2_Medway Year2_ReferralSource_Unknown="","",Year2_Medway Year2_ReferralSource_Unknown)</f>
        <v>15</v>
      </c>
      <c r="DZ118" s="806">
        <f>IF(Year3_Medway Year3_ReferralSource_Unknown="","",Year3_Medway Year3_ReferralSource_Unknown)</f>
        <v>0</v>
      </c>
      <c r="EA118" s="806">
        <f>IF(Year4_Medway Year4_ReferralSource_Unknown="","",Year4_Medway Year4_ReferralSource_Unknown)</f>
        <v>25</v>
      </c>
      <c r="EB118" s="807">
        <f>IF(Year5_Medway Year5_ReferralSource_Unknown="","",Year5_Medway Year5_ReferralSource_Unknown)</f>
        <v>79</v>
      </c>
    </row>
    <row r="119" spans="1:132" ht="16.5" customHeight="1" x14ac:dyDescent="0.2">
      <c r="A119" s="271"/>
      <c r="B119" s="170" t="str">
        <f>Sheet1!$K$12</f>
        <v>Milton Keynes</v>
      </c>
      <c r="C119" s="9"/>
      <c r="D119" s="1483"/>
      <c r="E119" s="1484"/>
      <c r="F119" s="1483"/>
      <c r="G119" s="1484"/>
      <c r="H119" s="1483"/>
      <c r="I119" s="1484"/>
      <c r="J119" s="1483"/>
      <c r="K119" s="1484"/>
      <c r="L119" s="1483"/>
      <c r="M119" s="1484"/>
      <c r="N119" s="1483"/>
      <c r="O119" s="1484"/>
      <c r="P119" s="1483"/>
      <c r="Q119" s="1484"/>
      <c r="R119" s="1483"/>
      <c r="S119" s="1484"/>
      <c r="T119" s="1483"/>
      <c r="U119" s="1484"/>
      <c r="V119" s="1483"/>
      <c r="W119" s="1484"/>
      <c r="X119" s="9"/>
      <c r="Y119" s="119"/>
      <c r="Z119" s="138"/>
      <c r="AA119" s="76"/>
      <c r="AB119" s="805">
        <f>IF(Year1_Milton_Keynes Year1_ReferralSource_Individual_Family="","",Year1_Milton_Keynes Year1_ReferralSource_Individual_Family)</f>
        <v>252</v>
      </c>
      <c r="AC119" s="806">
        <f>IF(Year2_Milton_Keynes Year2_ReferralSource_Individual_Family="","",Year2_Milton_Keynes Year2_ReferralSource_Individual_Family)</f>
        <v>219</v>
      </c>
      <c r="AD119" s="806">
        <f>IF(Year3_Milton_Keynes Year3_ReferralSource_Individual_Family="","",Year3_Milton_Keynes Year3_ReferralSource_Individual_Family)</f>
        <v>255</v>
      </c>
      <c r="AE119" s="806">
        <f>IF(Year4_Milton_Keynes Year4_ReferralSource_Individual_Family="","",Year4_Milton_Keynes Year4_ReferralSource_Individual_Family)</f>
        <v>214</v>
      </c>
      <c r="AF119" s="822">
        <f>IF(Year5_Milton_Keynes Year5_ReferralSource_Individual_Family="","",Year5_Milton_Keynes Year5_ReferralSource_Individual_Family)</f>
        <v>287</v>
      </c>
      <c r="AG119" s="805" t="str">
        <f>IF(Year1_Milton_Keynes Year1_ReferralSource_Individual_Acquaintance="","",Year1_Milton_Keynes Year1_ReferralSource_Individual_Acquaintance)</f>
        <v/>
      </c>
      <c r="AH119" s="806" t="str">
        <f>IF(Year2_Milton_Keynes Year2_ReferralSource_Individual_Acquaintance="","",Year2_Milton_Keynes Year2_ReferralSource_Individual_Acquaintance)</f>
        <v/>
      </c>
      <c r="AI119" s="806" t="str">
        <f>IF(Year3_Milton_Keynes Year3_ReferralSource_Individual_Acquaintance="","",Year3_Milton_Keynes Year3_ReferralSource_Individual_Acquaintance)</f>
        <v/>
      </c>
      <c r="AJ119" s="806" t="str">
        <f>IF(Year4_Milton_Keynes Year4_ReferralSource_Individual_Acquaintance="","",Year4_Milton_Keynes Year4_ReferralSource_Individual_Acquaintance)</f>
        <v/>
      </c>
      <c r="AK119" s="807" t="str">
        <f>IF(Year5_Milton_Keynes Year5_ReferralSource_Individual_Acquaintance="","",Year5_Milton_Keynes Year5_ReferralSource_Individual_Acquaintance)</f>
        <v/>
      </c>
      <c r="AL119" s="805" t="str">
        <f>IF(Year1_Milton_Keynes Year1_ReferralSource_Individual_Self="","",Year1_Milton_Keynes Year1_ReferralSource_Individual_Self)</f>
        <v/>
      </c>
      <c r="AM119" s="806" t="str">
        <f>IF(Year2_Milton_Keynes Year2_ReferralSource_Individual_Self="","",Year2_Milton_Keynes Year2_ReferralSource_Individual_Self)</f>
        <v/>
      </c>
      <c r="AN119" s="806" t="str">
        <f>IF(Year3_Milton_Keynes Year3_ReferralSource_Individual_Self="","",Year3_Milton_Keynes Year3_ReferralSource_Individual_Self)</f>
        <v/>
      </c>
      <c r="AO119" s="806" t="str">
        <f>IF(Year4_Milton_Keynes Year4_ReferralSource_Individual_Self="","",Year4_Milton_Keynes Year4_ReferralSource_Individual_Self)</f>
        <v/>
      </c>
      <c r="AP119" s="807" t="str">
        <f>IF(Year5_Milton_Keynes Year5_ReferralSource_Individual_Self="","",Year5_Milton_Keynes Year5_ReferralSource_Individual_Self)</f>
        <v/>
      </c>
      <c r="AQ119" s="805" t="str">
        <f>IF(Year1_Milton_Keynes Year1_ReferralSource_Individual_Other="","",Year1_Milton_Keynes Year1_ReferralSource_Individual_Other)</f>
        <v/>
      </c>
      <c r="AR119" s="806" t="str">
        <f>IF(Year2_Milton_Keynes Year2_ReferralSource_Individual_Other="","",Year2_Milton_Keynes Year2_ReferralSource_Individual_Other)</f>
        <v/>
      </c>
      <c r="AS119" s="806" t="str">
        <f>IF(Year3_Milton_Keynes Year3_ReferralSource_Individual_Other="","",Year3_Milton_Keynes Year3_ReferralSource_Individual_Other)</f>
        <v/>
      </c>
      <c r="AT119" s="806" t="str">
        <f>IF(Year4_Milton_Keynes Year4_ReferralSource_Individual_Other="","",Year4_Milton_Keynes Year4_ReferralSource_Individual_Other)</f>
        <v/>
      </c>
      <c r="AU119" s="807" t="str">
        <f>IF(Year5_Milton_Keynes Year5_ReferralSource_Individual_Other="","",Year5_Milton_Keynes Year5_ReferralSource_Individual_Other)</f>
        <v/>
      </c>
      <c r="AV119" s="805">
        <f>IF(Year1_Milton_Keynes Year1_ReferralSource_School="","",Year1_Milton_Keynes Year1_ReferralSource_School)</f>
        <v>577</v>
      </c>
      <c r="AW119" s="806">
        <f>IF(Year2_Milton_Keynes Year2_ReferralSource_School="","",Year2_Milton_Keynes Year2_ReferralSource_School)</f>
        <v>620</v>
      </c>
      <c r="AX119" s="806">
        <f>IF(Year3_Milton_Keynes Year3_ReferralSource_School="","",Year3_Milton_Keynes Year3_ReferralSource_School)</f>
        <v>791</v>
      </c>
      <c r="AY119" s="806">
        <f>IF(Year4_Milton_Keynes Year4_ReferralSource_School="","",Year4_Milton_Keynes Year4_ReferralSource_School)</f>
        <v>441</v>
      </c>
      <c r="AZ119" s="807">
        <f>IF(Year5_Milton_Keynes Year5_ReferralSource_School="","",Year5_Milton_Keynes Year5_ReferralSource_School)</f>
        <v>567</v>
      </c>
      <c r="BA119" s="805">
        <f>IF(Year1_Milton_Keynes Year1_ReferralSource_EducationServices="","",Year1_Milton_Keynes Year1_ReferralSource_EducationServices)</f>
        <v>32</v>
      </c>
      <c r="BB119" s="806">
        <f>IF(Year2_Milton_Keynes Year2_ReferralSource_EducationServices="","",Year2_Milton_Keynes Year2_ReferralSource_EducationServices)</f>
        <v>69</v>
      </c>
      <c r="BC119" s="806">
        <f>IF(Year3_Milton_Keynes Year3_ReferralSource_EducationServices="","",Year3_Milton_Keynes Year3_ReferralSource_EducationServices)</f>
        <v>33</v>
      </c>
      <c r="BD119" s="806">
        <f>IF(Year4_Milton_Keynes Year4_ReferralSource_EducationServices="","",Year4_Milton_Keynes Year4_ReferralSource_EducationServices)</f>
        <v>27</v>
      </c>
      <c r="BE119" s="807">
        <f>IF(Year5_Milton_Keynes Year5_ReferralSource_EducationServices="","",Year5_Milton_Keynes Year5_ReferralSource_EducationServices)</f>
        <v>0</v>
      </c>
      <c r="BF119" s="823">
        <f>IF(Year1_Milton_Keynes Year1_ReferralSource_Health_services_GP="","",Year1_Milton_Keynes Year1_ReferralSource_Health_services_GP)</f>
        <v>283</v>
      </c>
      <c r="BG119" s="824">
        <f>IF(Year2_Milton_Keynes Year2_ReferralSource_Health_services_GP="","",Year2_Milton_Keynes Year2_ReferralSource_Health_services_GP)</f>
        <v>270</v>
      </c>
      <c r="BH119" s="824">
        <f>IF(Year3_Milton_Keynes Year3_ReferralSource_Health_services_GP="","",Year3_Milton_Keynes Year3_ReferralSource_Health_services_GP)</f>
        <v>331</v>
      </c>
      <c r="BI119" s="824">
        <f>IF(Year4_Milton_Keynes Year4_ReferralSource_Health_services_GP="","",Year4_Milton_Keynes Year4_ReferralSource_Health_services_GP)</f>
        <v>298</v>
      </c>
      <c r="BJ119" s="825">
        <f>IF(Year5_Milton_Keynes Year5_ReferralSource_Health_services_GP="","",Year5_Milton_Keynes Year5_ReferralSource_Health_services_GP)</f>
        <v>332</v>
      </c>
      <c r="BK119" s="823" t="str">
        <f>IF(Year1_Milton_Keynes Year1_ReferralSource_Health_services_HealthVisitor="","",Year1_Milton_Keynes Year1_ReferralSource_Health_services_HealthVisitor)</f>
        <v/>
      </c>
      <c r="BL119" s="824" t="str">
        <f>IF(Year2_Milton_Keynes Year2_ReferralSource_Health_services_HealthVisitor="","",Year2_Milton_Keynes Year2_ReferralSource_Health_services_HealthVisitor)</f>
        <v/>
      </c>
      <c r="BM119" s="824" t="str">
        <f>IF(Year3_Milton_Keynes Year3_ReferralSource_Health_services_HealthVisitor="","",Year3_Milton_Keynes Year3_ReferralSource_Health_services_HealthVisitor)</f>
        <v/>
      </c>
      <c r="BN119" s="824" t="str">
        <f>IF(Year4_Milton_Keynes Year4_ReferralSource_Health_services_HealthVisitor="","",Year4_Milton_Keynes Year4_ReferralSource_Health_services_HealthVisitor)</f>
        <v/>
      </c>
      <c r="BO119" s="825" t="str">
        <f>IF(Year5_Milton_Keynes Year5_ReferralSource_Health_services_HealthVisitor="","",Year5_Milton_Keynes Year5_ReferralSource_Health_services_HealthVisitor)</f>
        <v/>
      </c>
      <c r="BP119" s="823" t="str">
        <f>IF(Year1_Milton_Keynes Year1_ReferralSource_Health_services_SchoolNurse="","",Year1_Milton_Keynes Year1_ReferralSource_Health_services_SchoolNurse)</f>
        <v/>
      </c>
      <c r="BQ119" s="824" t="str">
        <f>IF(Year2_Milton_Keynes Year2_ReferralSource_Health_services_SchoolNurse="","",Year2_Milton_Keynes Year2_ReferralSource_Health_services_SchoolNurse)</f>
        <v/>
      </c>
      <c r="BR119" s="824" t="str">
        <f>IF(Year3_Milton_Keynes Year3_ReferralSource_Health_services_SchoolNurse="","",Year3_Milton_Keynes Year3_ReferralSource_Health_services_SchoolNurse)</f>
        <v/>
      </c>
      <c r="BS119" s="824" t="str">
        <f>IF(Year4_Milton_Keynes Year4_ReferralSource_Health_services_SchoolNurse="","",Year4_Milton_Keynes Year4_ReferralSource_Health_services_SchoolNurse)</f>
        <v/>
      </c>
      <c r="BT119" s="825" t="str">
        <f>IF(Year5_Milton_Keynes Year5_ReferralSource_Health_services_SchoolNurse="","",Year5_Milton_Keynes Year5_ReferralSource_Health_services_SchoolNurse)</f>
        <v/>
      </c>
      <c r="BU119" s="823" t="str">
        <f>IF(Year1_Milton_Keynes Year1_ReferralSource_Health_services_OthPrimary="","",Year1_Milton_Keynes Year1_ReferralSource_Health_services_OthPrimary)</f>
        <v/>
      </c>
      <c r="BV119" s="824" t="str">
        <f>IF(Year2_Milton_Keynes Year2_ReferralSource_Health_services_OthPrimary="","",Year2_Milton_Keynes Year2_ReferralSource_Health_services_OthPrimary)</f>
        <v/>
      </c>
      <c r="BW119" s="824" t="str">
        <f>IF(Year3_Milton_Keynes Year3_ReferralSource_Health_services_OthPrimary="","",Year3_Milton_Keynes Year3_ReferralSource_Health_services_OthPrimary)</f>
        <v/>
      </c>
      <c r="BX119" s="824" t="str">
        <f>IF(Year4_Milton_Keynes Year4_ReferralSource_Health_services_OthPrimary="","",Year4_Milton_Keynes Year4_ReferralSource_Health_services_OthPrimary)</f>
        <v/>
      </c>
      <c r="BY119" s="825" t="str">
        <f>IF(Year5_Milton_Keynes Year5_ReferralSource_Health_services_OthPrimary="","",Year5_Milton_Keynes Year5_ReferralSource_Health_services_OthPrimary)</f>
        <v/>
      </c>
      <c r="BZ119" s="823" t="str">
        <f>IF(Year1_Milton_Keynes Year1_ReferralSource_Health_services_AE="","",Year1_Milton_Keynes Year1_ReferralSource_Health_services_AE)</f>
        <v/>
      </c>
      <c r="CA119" s="824" t="str">
        <f>IF(Year2_Milton_Keynes Year2_ReferralSource_Health_services_AE="","",Year2_Milton_Keynes Year2_ReferralSource_Health_services_AE)</f>
        <v/>
      </c>
      <c r="CB119" s="824" t="str">
        <f>IF(Year3_Milton_Keynes Year3_ReferralSource_Health_services_AE="","",Year3_Milton_Keynes Year3_ReferralSource_Health_services_AE)</f>
        <v/>
      </c>
      <c r="CC119" s="824" t="str">
        <f>IF(Year4_Milton_Keynes Year4_ReferralSource_Health_services_AE="","",Year4_Milton_Keynes Year4_ReferralSource_Health_services_AE)</f>
        <v/>
      </c>
      <c r="CD119" s="825" t="str">
        <f>IF(Year5_Milton_Keynes Year5_ReferralSource_Health_services_AE="","",Year5_Milton_Keynes Year5_ReferralSource_Health_services_AE)</f>
        <v/>
      </c>
      <c r="CE119" s="823" t="str">
        <f>IF(Year1_Milton_Keynes Year1_ReferralSource_Health_services_Other="","",Year1_Milton_Keynes Year1_ReferralSource_Health_services_Other)</f>
        <v/>
      </c>
      <c r="CF119" s="824" t="str">
        <f>IF(Year2_Milton_Keynes Year2_ReferralSource_Health_services_Other="","",Year2_Milton_Keynes Year2_ReferralSource_Health_services_Other)</f>
        <v/>
      </c>
      <c r="CG119" s="824" t="str">
        <f>IF(Year3_Milton_Keynes Year3_ReferralSource_Health_services_Other="","",Year3_Milton_Keynes Year3_ReferralSource_Health_services_Other)</f>
        <v/>
      </c>
      <c r="CH119" s="824" t="str">
        <f>IF(Year4_Milton_Keynes Year4_ReferralSource_Health_services_Other="","",Year4_Milton_Keynes Year4_ReferralSource_Health_services_Other)</f>
        <v/>
      </c>
      <c r="CI119" s="825" t="str">
        <f>IF(Year5_Milton_Keynes Year5_ReferralSource_Health_services_Other="","",Year5_Milton_Keynes Year5_ReferralSource_Health_services_Other)</f>
        <v/>
      </c>
      <c r="CJ119" s="805">
        <f>IF(Year1_Milton_Keynes Year1_ReferralSource_Housing="","",Year1_Milton_Keynes Year1_ReferralSource_Housing)</f>
        <v>38</v>
      </c>
      <c r="CK119" s="806" t="str">
        <f>IF(Year2_Milton_Keynes Year2_ReferralSource_Housing="","",Year2_Milton_Keynes Year2_ReferralSource_Housing)</f>
        <v>x</v>
      </c>
      <c r="CL119" s="806" t="str">
        <f>IF(Year3_Milton_Keynes Year3_ReferralSource_Housing="","",Year3_Milton_Keynes Year3_ReferralSource_Housing)</f>
        <v>x</v>
      </c>
      <c r="CM119" s="806" t="str">
        <f>IF(Year4_Milton_Keynes Year4_ReferralSource_Housing="","",Year4_Milton_Keynes Year4_ReferralSource_Housing)</f>
        <v>x</v>
      </c>
      <c r="CN119" s="807">
        <f>IF(Year5_Milton_Keynes Year5_ReferralSource_Housing="","",Year5_Milton_Keynes Year5_ReferralSource_Housing)</f>
        <v>43</v>
      </c>
      <c r="CO119" s="805">
        <f>IF(Year1_Milton_Keynes Year1_ReferralSource_LA_SC="","",Year1_Milton_Keynes Year1_ReferralSource_LA_SC)</f>
        <v>366</v>
      </c>
      <c r="CP119" s="806">
        <f>IF(Year2_Milton_Keynes Year2_ReferralSource_LA_SC="","",Year2_Milton_Keynes Year2_ReferralSource_LA_SC)</f>
        <v>462</v>
      </c>
      <c r="CQ119" s="806">
        <f>IF(Year3_Milton_Keynes Year3_ReferralSource_LA_SC="","",Year3_Milton_Keynes Year3_ReferralSource_LA_SC)</f>
        <v>529</v>
      </c>
      <c r="CR119" s="806">
        <f>IF(Year4_Milton_Keynes Year4_ReferralSource_LA_SC="","",Year4_Milton_Keynes Year4_ReferralSource_LA_SC)</f>
        <v>406</v>
      </c>
      <c r="CS119" s="807">
        <f>IF(Year5_Milton_Keynes Year5_ReferralSource_LA_SC="","",Year5_Milton_Keynes Year5_ReferralSource_LA_SC)</f>
        <v>418</v>
      </c>
      <c r="CT119" s="805" t="str">
        <f>IF(Year1_Milton_Keynes Year1_ReferralSource_LA_Other="","",Year1_Milton_Keynes Year1_ReferralSource_LA_Other)</f>
        <v/>
      </c>
      <c r="CU119" s="806" t="str">
        <f>IF(Year2_Milton_Keynes Year2_ReferralSource_LA_Other="","",Year2_Milton_Keynes Year2_ReferralSource_LA_Other)</f>
        <v/>
      </c>
      <c r="CV119" s="806" t="str">
        <f>IF(Year3_Milton_Keynes Year3_ReferralSource_LA_Other="","",Year3_Milton_Keynes Year3_ReferralSource_LA_Other)</f>
        <v/>
      </c>
      <c r="CW119" s="806" t="str">
        <f>IF(Year4_Milton_Keynes Year4_ReferralSource_LA_Other="","",Year4_Milton_Keynes Year4_ReferralSource_LA_Other)</f>
        <v/>
      </c>
      <c r="CX119" s="807" t="str">
        <f>IF(Year5_Milton_Keynes Year5_ReferralSource_LA_Other="","",Year5_Milton_Keynes Year5_ReferralSource_LA_Other)</f>
        <v/>
      </c>
      <c r="CY119" s="805" t="str">
        <f>IF(Year1_Milton_Keynes Year1_ReferralSource_LA_External="","",Year1_Milton_Keynes Year1_ReferralSource_LA_External)</f>
        <v/>
      </c>
      <c r="CZ119" s="806" t="str">
        <f>IF(Year2_Milton_Keynes Year2_ReferralSource_LA_External="","",Year2_Milton_Keynes Year2_ReferralSource_LA_External)</f>
        <v/>
      </c>
      <c r="DA119" s="806" t="str">
        <f>IF(Year3_Milton_Keynes Year3_ReferralSource_LA_External="","",Year3_Milton_Keynes Year3_ReferralSource_LA_External)</f>
        <v/>
      </c>
      <c r="DB119" s="806" t="str">
        <f>IF(Year4_Milton_Keynes Year4_ReferralSource_LA_External="","",Year4_Milton_Keynes Year4_ReferralSource_LA_External)</f>
        <v/>
      </c>
      <c r="DC119" s="807" t="str">
        <f>IF(Year5_Milton_Keynes Year5_ReferralSource_LA_External="","",Year5_Milton_Keynes Year5_ReferralSource_LA_External)</f>
        <v/>
      </c>
      <c r="DD119" s="805">
        <f>IF(Year1_Milton_Keynes Year1_ReferralSource_Police="","",Year1_Milton_Keynes Year1_ReferralSource_Police)</f>
        <v>713</v>
      </c>
      <c r="DE119" s="806">
        <f>IF(Year2_Milton_Keynes Year2_ReferralSource_Police="","",Year2_Milton_Keynes Year2_ReferralSource_Police)</f>
        <v>718</v>
      </c>
      <c r="DF119" s="806">
        <f>IF(Year3_Milton_Keynes Year3_ReferralSource_Police="","",Year3_Milton_Keynes Year3_ReferralSource_Police)</f>
        <v>785</v>
      </c>
      <c r="DG119" s="806">
        <f>IF(Year4_Milton_Keynes Year4_ReferralSource_Police="","",Year4_Milton_Keynes Year4_ReferralSource_Police)</f>
        <v>666</v>
      </c>
      <c r="DH119" s="807">
        <f>IF(Year5_Milton_Keynes Year5_ReferralSource_Police="","",Year5_Milton_Keynes Year5_ReferralSource_Police)</f>
        <v>754</v>
      </c>
      <c r="DI119" s="805">
        <f>IF(Year1_Milton_Keynes Year1_ReferralSource_Other_Legal="","",Year1_Milton_Keynes Year1_ReferralSource_Other_Legal)</f>
        <v>128</v>
      </c>
      <c r="DJ119" s="806">
        <f>IF(Year2_Milton_Keynes Year2_ReferralSource_Other_Legal="","",Year2_Milton_Keynes Year2_ReferralSource_Other_Legal)</f>
        <v>160</v>
      </c>
      <c r="DK119" s="806">
        <f>IF(Year3_Milton_Keynes Year3_ReferralSource_Other_Legal="","",Year3_Milton_Keynes Year3_ReferralSource_Other_Legal)</f>
        <v>70</v>
      </c>
      <c r="DL119" s="806">
        <f>IF(Year4_Milton_Keynes Year4_ReferralSource_Other_Legal="","",Year4_Milton_Keynes Year4_ReferralSource_Other_Legal)</f>
        <v>141</v>
      </c>
      <c r="DM119" s="807">
        <f>IF(Year5_Milton_Keynes Year5_ReferralSource_Other_Legal="","",Year5_Milton_Keynes Year5_ReferralSource_Other_Legal)</f>
        <v>107</v>
      </c>
      <c r="DN119" s="805">
        <f>IF(Year1_Milton_Keynes Year1_ReferralSource_Other="","",Year1_Milton_Keynes Year1_ReferralSource_Other)</f>
        <v>105</v>
      </c>
      <c r="DO119" s="806">
        <f>IF(Year2_Milton_Keynes Year2_ReferralSource_Other="","",Year2_Milton_Keynes Year2_ReferralSource_Other)</f>
        <v>123</v>
      </c>
      <c r="DP119" s="806">
        <f>IF(Year3_Milton_Keynes Year3_ReferralSource_Other="","",Year3_Milton_Keynes Year3_ReferralSource_Other)</f>
        <v>165</v>
      </c>
      <c r="DQ119" s="806">
        <f>IF(Year4_Milton_Keynes Year4_ReferralSource_Other="","",Year4_Milton_Keynes Year4_ReferralSource_Other)</f>
        <v>95</v>
      </c>
      <c r="DR119" s="807">
        <f>IF(Year5_Milton_Keynes Year5_ReferralSource_Other="","",Year5_Milton_Keynes Year5_ReferralSource_Other)</f>
        <v>106</v>
      </c>
      <c r="DS119" s="805">
        <f>IF(Year1_Milton_Keynes Year1_ReferralSource_Anonymous="","",Year1_Milton_Keynes Year1_ReferralSource_Anonymous)</f>
        <v>66</v>
      </c>
      <c r="DT119" s="806">
        <f>IF(Year2_Milton_Keynes Year2_ReferralSource_Anonymous="","",Year2_Milton_Keynes Year2_ReferralSource_Anonymous)</f>
        <v>73</v>
      </c>
      <c r="DU119" s="806">
        <f>IF(Year3_Milton_Keynes Year3_ReferralSource_Anonymous="","",Year3_Milton_Keynes Year3_ReferralSource_Anonymous)</f>
        <v>90</v>
      </c>
      <c r="DV119" s="806">
        <f>IF(Year4_Milton_Keynes Year4_ReferralSource_Anonymous="","",Year4_Milton_Keynes Year4_ReferralSource_Anonymous)</f>
        <v>48</v>
      </c>
      <c r="DW119" s="807">
        <f>IF(Year5_Milton_Keynes Year5_ReferralSource_Anonymous="","",Year5_Milton_Keynes Year5_ReferralSource_Anonymous)</f>
        <v>63</v>
      </c>
      <c r="DX119" s="805">
        <f>IF(Year1_Milton_Keynes Year1_ReferralSource_Unknown="","",Year1_Milton_Keynes Year1_ReferralSource_Unknown)</f>
        <v>9</v>
      </c>
      <c r="DY119" s="806" t="str">
        <f>IF(Year2_Milton_Keynes Year2_ReferralSource_Unknown="","",Year2_Milton_Keynes Year2_ReferralSource_Unknown)</f>
        <v>x</v>
      </c>
      <c r="DZ119" s="806" t="str">
        <f>IF(Year3_Milton_Keynes Year3_ReferralSource_Unknown="","",Year3_Milton_Keynes Year3_ReferralSource_Unknown)</f>
        <v>x</v>
      </c>
      <c r="EA119" s="806" t="str">
        <f>IF(Year4_Milton_Keynes Year4_ReferralSource_Unknown="","",Year4_Milton_Keynes Year4_ReferralSource_Unknown)</f>
        <v>x</v>
      </c>
      <c r="EB119" s="807">
        <f>IF(Year5_Milton_Keynes Year5_ReferralSource_Unknown="","",Year5_Milton_Keynes Year5_ReferralSource_Unknown)</f>
        <v>0</v>
      </c>
    </row>
    <row r="120" spans="1:132" ht="16.5" customHeight="1" x14ac:dyDescent="0.2">
      <c r="A120" s="271"/>
      <c r="B120" s="170" t="str">
        <f>Sheet1!$K$13</f>
        <v>Oxfordshire</v>
      </c>
      <c r="C120" s="9"/>
      <c r="D120" s="1483"/>
      <c r="E120" s="1484"/>
      <c r="F120" s="1483"/>
      <c r="G120" s="1484"/>
      <c r="H120" s="1483"/>
      <c r="I120" s="1484"/>
      <c r="J120" s="1483"/>
      <c r="K120" s="1484"/>
      <c r="L120" s="1483"/>
      <c r="M120" s="1484"/>
      <c r="N120" s="1483"/>
      <c r="O120" s="1484"/>
      <c r="P120" s="1483"/>
      <c r="Q120" s="1484"/>
      <c r="R120" s="1483"/>
      <c r="S120" s="1484"/>
      <c r="T120" s="1483"/>
      <c r="U120" s="1484"/>
      <c r="V120" s="1483"/>
      <c r="W120" s="1484"/>
      <c r="X120" s="9"/>
      <c r="Y120" s="119"/>
      <c r="Z120" s="138"/>
      <c r="AA120" s="76"/>
      <c r="AB120" s="805">
        <f>IF(Year1_Oxfordshire Year1_ReferralSource_Individual_Family="","",Year1_Oxfordshire Year1_ReferralSource_Individual_Family)</f>
        <v>546</v>
      </c>
      <c r="AC120" s="806">
        <f>IF(Year2_Oxfordshire Year2_ReferralSource_Individual_Family="","",Year2_Oxfordshire Year2_ReferralSource_Individual_Family)</f>
        <v>490</v>
      </c>
      <c r="AD120" s="806">
        <f>IF(Year3_Oxfordshire Year3_ReferralSource_Individual_Family="","",Year3_Oxfordshire Year3_ReferralSource_Individual_Family)</f>
        <v>536</v>
      </c>
      <c r="AE120" s="806">
        <f>IF(Year4_Oxfordshire Year4_ReferralSource_Individual_Family="","",Year4_Oxfordshire Year4_ReferralSource_Individual_Family)</f>
        <v>383</v>
      </c>
      <c r="AF120" s="807">
        <f>IF(Year5_Oxfordshire Year5_ReferralSource_Individual_Family="","",Year5_Oxfordshire Year5_ReferralSource_Individual_Family)</f>
        <v>392</v>
      </c>
      <c r="AG120" s="805" t="str">
        <f>IF(Year1_Oxfordshire Year1_ReferralSource_Individual_Acquaintance="","",Year1_Oxfordshire Year1_ReferralSource_Individual_Acquaintance)</f>
        <v/>
      </c>
      <c r="AH120" s="806" t="str">
        <f>IF(Year2_Oxfordshire Year2_ReferralSource_Individual_Acquaintance="","",Year2_Oxfordshire Year2_ReferralSource_Individual_Acquaintance)</f>
        <v/>
      </c>
      <c r="AI120" s="806" t="str">
        <f>IF(Year3_Oxfordshire Year3_ReferralSource_Individual_Acquaintance="","",Year3_Oxfordshire Year3_ReferralSource_Individual_Acquaintance)</f>
        <v/>
      </c>
      <c r="AJ120" s="806" t="str">
        <f>IF(Year4_Oxfordshire Year4_ReferralSource_Individual_Acquaintance="","",Year4_Oxfordshire Year4_ReferralSource_Individual_Acquaintance)</f>
        <v/>
      </c>
      <c r="AK120" s="807" t="str">
        <f>IF(Year5_Oxfordshire Year5_ReferralSource_Individual_Acquaintance="","",Year5_Oxfordshire Year5_ReferralSource_Individual_Acquaintance)</f>
        <v/>
      </c>
      <c r="AL120" s="805" t="str">
        <f>IF(Year1_Oxfordshire Year1_ReferralSource_Individual_Self="","",Year1_Oxfordshire Year1_ReferralSource_Individual_Self)</f>
        <v/>
      </c>
      <c r="AM120" s="806" t="str">
        <f>IF(Year2_Oxfordshire Year2_ReferralSource_Individual_Self="","",Year2_Oxfordshire Year2_ReferralSource_Individual_Self)</f>
        <v/>
      </c>
      <c r="AN120" s="806" t="str">
        <f>IF(Year3_Oxfordshire Year3_ReferralSource_Individual_Self="","",Year3_Oxfordshire Year3_ReferralSource_Individual_Self)</f>
        <v/>
      </c>
      <c r="AO120" s="806" t="str">
        <f>IF(Year4_Oxfordshire Year4_ReferralSource_Individual_Self="","",Year4_Oxfordshire Year4_ReferralSource_Individual_Self)</f>
        <v/>
      </c>
      <c r="AP120" s="807" t="str">
        <f>IF(Year5_Oxfordshire Year5_ReferralSource_Individual_Self="","",Year5_Oxfordshire Year5_ReferralSource_Individual_Self)</f>
        <v/>
      </c>
      <c r="AQ120" s="805" t="str">
        <f>IF(Year1_Oxfordshire Year1_ReferralSource_Individual_Other="","",Year1_Oxfordshire Year1_ReferralSource_Individual_Other)</f>
        <v/>
      </c>
      <c r="AR120" s="806" t="str">
        <f>IF(Year2_Oxfordshire Year2_ReferralSource_Individual_Other="","",Year2_Oxfordshire Year2_ReferralSource_Individual_Other)</f>
        <v/>
      </c>
      <c r="AS120" s="806" t="str">
        <f>IF(Year3_Oxfordshire Year3_ReferralSource_Individual_Other="","",Year3_Oxfordshire Year3_ReferralSource_Individual_Other)</f>
        <v/>
      </c>
      <c r="AT120" s="806" t="str">
        <f>IF(Year4_Oxfordshire Year4_ReferralSource_Individual_Other="","",Year4_Oxfordshire Year4_ReferralSource_Individual_Other)</f>
        <v/>
      </c>
      <c r="AU120" s="807" t="str">
        <f>IF(Year5_Oxfordshire Year5_ReferralSource_Individual_Other="","",Year5_Oxfordshire Year5_ReferralSource_Individual_Other)</f>
        <v/>
      </c>
      <c r="AV120" s="805">
        <f>IF(Year1_Oxfordshire Year1_ReferralSource_School="","",Year1_Oxfordshire Year1_ReferralSource_School)</f>
        <v>758</v>
      </c>
      <c r="AW120" s="806">
        <f>IF(Year2_Oxfordshire Year2_ReferralSource_School="","",Year2_Oxfordshire Year2_ReferralSource_School)</f>
        <v>964</v>
      </c>
      <c r="AX120" s="806">
        <f>IF(Year3_Oxfordshire Year3_ReferralSource_School="","",Year3_Oxfordshire Year3_ReferralSource_School)</f>
        <v>1347</v>
      </c>
      <c r="AY120" s="806">
        <f>IF(Year4_Oxfordshire Year4_ReferralSource_School="","",Year4_Oxfordshire Year4_ReferralSource_School)</f>
        <v>861</v>
      </c>
      <c r="AZ120" s="807">
        <f>IF(Year5_Oxfordshire Year5_ReferralSource_School="","",Year5_Oxfordshire Year5_ReferralSource_School)</f>
        <v>1387</v>
      </c>
      <c r="BA120" s="805">
        <f>IF(Year1_Oxfordshire Year1_ReferralSource_EducationServices="","",Year1_Oxfordshire Year1_ReferralSource_EducationServices)</f>
        <v>103</v>
      </c>
      <c r="BB120" s="806">
        <f>IF(Year2_Oxfordshire Year2_ReferralSource_EducationServices="","",Year2_Oxfordshire Year2_ReferralSource_EducationServices)</f>
        <v>322</v>
      </c>
      <c r="BC120" s="806">
        <f>IF(Year3_Oxfordshire Year3_ReferralSource_EducationServices="","",Year3_Oxfordshire Year3_ReferralSource_EducationServices)</f>
        <v>175</v>
      </c>
      <c r="BD120" s="806">
        <f>IF(Year4_Oxfordshire Year4_ReferralSource_EducationServices="","",Year4_Oxfordshire Year4_ReferralSource_EducationServices)</f>
        <v>35</v>
      </c>
      <c r="BE120" s="807">
        <f>IF(Year5_Oxfordshire Year5_ReferralSource_EducationServices="","",Year5_Oxfordshire Year5_ReferralSource_EducationServices)</f>
        <v>32</v>
      </c>
      <c r="BF120" s="823">
        <f>IF(Year1_Oxfordshire Year1_ReferralSource_Health_services_GP="","",Year1_Oxfordshire Year1_ReferralSource_Health_services_GP)</f>
        <v>1016</v>
      </c>
      <c r="BG120" s="824">
        <f>IF(Year2_Oxfordshire Year2_ReferralSource_Health_services_GP="","",Year2_Oxfordshire Year2_ReferralSource_Health_services_GP)</f>
        <v>1035</v>
      </c>
      <c r="BH120" s="824">
        <f>IF(Year3_Oxfordshire Year3_ReferralSource_Health_services_GP="","",Year3_Oxfordshire Year3_ReferralSource_Health_services_GP)</f>
        <v>1092</v>
      </c>
      <c r="BI120" s="824">
        <f>IF(Year4_Oxfordshire Year4_ReferralSource_Health_services_GP="","",Year4_Oxfordshire Year4_ReferralSource_Health_services_GP)</f>
        <v>621</v>
      </c>
      <c r="BJ120" s="825">
        <f>IF(Year5_Oxfordshire Year5_ReferralSource_Health_services_GP="","",Year5_Oxfordshire Year5_ReferralSource_Health_services_GP)</f>
        <v>623</v>
      </c>
      <c r="BK120" s="823" t="str">
        <f>IF(Year1_Oxfordshire Year1_ReferralSource_Health_services_HealthVisitor="","",Year1_Oxfordshire Year1_ReferralSource_Health_services_HealthVisitor)</f>
        <v/>
      </c>
      <c r="BL120" s="824" t="str">
        <f>IF(Year2_Oxfordshire Year2_ReferralSource_Health_services_HealthVisitor="","",Year2_Oxfordshire Year2_ReferralSource_Health_services_HealthVisitor)</f>
        <v/>
      </c>
      <c r="BM120" s="824" t="str">
        <f>IF(Year3_Oxfordshire Year3_ReferralSource_Health_services_HealthVisitor="","",Year3_Oxfordshire Year3_ReferralSource_Health_services_HealthVisitor)</f>
        <v/>
      </c>
      <c r="BN120" s="824" t="str">
        <f>IF(Year4_Oxfordshire Year4_ReferralSource_Health_services_HealthVisitor="","",Year4_Oxfordshire Year4_ReferralSource_Health_services_HealthVisitor)</f>
        <v/>
      </c>
      <c r="BO120" s="825" t="str">
        <f>IF(Year5_Oxfordshire Year5_ReferralSource_Health_services_HealthVisitor="","",Year5_Oxfordshire Year5_ReferralSource_Health_services_HealthVisitor)</f>
        <v/>
      </c>
      <c r="BP120" s="823" t="str">
        <f>IF(Year1_Oxfordshire Year1_ReferralSource_Health_services_SchoolNurse="","",Year1_Oxfordshire Year1_ReferralSource_Health_services_SchoolNurse)</f>
        <v/>
      </c>
      <c r="BQ120" s="824" t="str">
        <f>IF(Year2_Oxfordshire Year2_ReferralSource_Health_services_SchoolNurse="","",Year2_Oxfordshire Year2_ReferralSource_Health_services_SchoolNurse)</f>
        <v/>
      </c>
      <c r="BR120" s="824" t="str">
        <f>IF(Year3_Oxfordshire Year3_ReferralSource_Health_services_SchoolNurse="","",Year3_Oxfordshire Year3_ReferralSource_Health_services_SchoolNurse)</f>
        <v/>
      </c>
      <c r="BS120" s="824" t="str">
        <f>IF(Year4_Oxfordshire Year4_ReferralSource_Health_services_SchoolNurse="","",Year4_Oxfordshire Year4_ReferralSource_Health_services_SchoolNurse)</f>
        <v/>
      </c>
      <c r="BT120" s="825" t="str">
        <f>IF(Year5_Oxfordshire Year5_ReferralSource_Health_services_SchoolNurse="","",Year5_Oxfordshire Year5_ReferralSource_Health_services_SchoolNurse)</f>
        <v/>
      </c>
      <c r="BU120" s="823" t="str">
        <f>IF(Year1_Oxfordshire Year1_ReferralSource_Health_services_OthPrimary="","",Year1_Oxfordshire Year1_ReferralSource_Health_services_OthPrimary)</f>
        <v/>
      </c>
      <c r="BV120" s="824" t="str">
        <f>IF(Year2_Oxfordshire Year2_ReferralSource_Health_services_OthPrimary="","",Year2_Oxfordshire Year2_ReferralSource_Health_services_OthPrimary)</f>
        <v/>
      </c>
      <c r="BW120" s="824" t="str">
        <f>IF(Year3_Oxfordshire Year3_ReferralSource_Health_services_OthPrimary="","",Year3_Oxfordshire Year3_ReferralSource_Health_services_OthPrimary)</f>
        <v/>
      </c>
      <c r="BX120" s="824" t="str">
        <f>IF(Year4_Oxfordshire Year4_ReferralSource_Health_services_OthPrimary="","",Year4_Oxfordshire Year4_ReferralSource_Health_services_OthPrimary)</f>
        <v/>
      </c>
      <c r="BY120" s="825" t="str">
        <f>IF(Year5_Oxfordshire Year5_ReferralSource_Health_services_OthPrimary="","",Year5_Oxfordshire Year5_ReferralSource_Health_services_OthPrimary)</f>
        <v/>
      </c>
      <c r="BZ120" s="823" t="str">
        <f>IF(Year1_Oxfordshire Year1_ReferralSource_Health_services_AE="","",Year1_Oxfordshire Year1_ReferralSource_Health_services_AE)</f>
        <v/>
      </c>
      <c r="CA120" s="824" t="str">
        <f>IF(Year2_Oxfordshire Year2_ReferralSource_Health_services_AE="","",Year2_Oxfordshire Year2_ReferralSource_Health_services_AE)</f>
        <v/>
      </c>
      <c r="CB120" s="824" t="str">
        <f>IF(Year3_Oxfordshire Year3_ReferralSource_Health_services_AE="","",Year3_Oxfordshire Year3_ReferralSource_Health_services_AE)</f>
        <v/>
      </c>
      <c r="CC120" s="824" t="str">
        <f>IF(Year4_Oxfordshire Year4_ReferralSource_Health_services_AE="","",Year4_Oxfordshire Year4_ReferralSource_Health_services_AE)</f>
        <v/>
      </c>
      <c r="CD120" s="825" t="str">
        <f>IF(Year5_Oxfordshire Year5_ReferralSource_Health_services_AE="","",Year5_Oxfordshire Year5_ReferralSource_Health_services_AE)</f>
        <v/>
      </c>
      <c r="CE120" s="823" t="str">
        <f>IF(Year1_Oxfordshire Year1_ReferralSource_Health_services_Other="","",Year1_Oxfordshire Year1_ReferralSource_Health_services_Other)</f>
        <v/>
      </c>
      <c r="CF120" s="824" t="str">
        <f>IF(Year2_Oxfordshire Year2_ReferralSource_Health_services_Other="","",Year2_Oxfordshire Year2_ReferralSource_Health_services_Other)</f>
        <v/>
      </c>
      <c r="CG120" s="824" t="str">
        <f>IF(Year3_Oxfordshire Year3_ReferralSource_Health_services_Other="","",Year3_Oxfordshire Year3_ReferralSource_Health_services_Other)</f>
        <v/>
      </c>
      <c r="CH120" s="824" t="str">
        <f>IF(Year4_Oxfordshire Year4_ReferralSource_Health_services_Other="","",Year4_Oxfordshire Year4_ReferralSource_Health_services_Other)</f>
        <v/>
      </c>
      <c r="CI120" s="825" t="str">
        <f>IF(Year5_Oxfordshire Year5_ReferralSource_Health_services_Other="","",Year5_Oxfordshire Year5_ReferralSource_Health_services_Other)</f>
        <v/>
      </c>
      <c r="CJ120" s="805">
        <f>IF(Year1_Oxfordshire Year1_ReferralSource_Housing="","",Year1_Oxfordshire Year1_ReferralSource_Housing)</f>
        <v>84</v>
      </c>
      <c r="CK120" s="806">
        <f>IF(Year2_Oxfordshire Year2_ReferralSource_Housing="","",Year2_Oxfordshire Year2_ReferralSource_Housing)</f>
        <v>89</v>
      </c>
      <c r="CL120" s="806">
        <f>IF(Year3_Oxfordshire Year3_ReferralSource_Housing="","",Year3_Oxfordshire Year3_ReferralSource_Housing)</f>
        <v>73</v>
      </c>
      <c r="CM120" s="806">
        <f>IF(Year4_Oxfordshire Year4_ReferralSource_Housing="","",Year4_Oxfordshire Year4_ReferralSource_Housing)</f>
        <v>35</v>
      </c>
      <c r="CN120" s="807">
        <f>IF(Year5_Oxfordshire Year5_ReferralSource_Housing="","",Year5_Oxfordshire Year5_ReferralSource_Housing)</f>
        <v>53</v>
      </c>
      <c r="CO120" s="805">
        <f>IF(Year1_Oxfordshire Year1_ReferralSource_LA_SC="","",Year1_Oxfordshire Year1_ReferralSource_LA_SC)</f>
        <v>643</v>
      </c>
      <c r="CP120" s="806">
        <f>IF(Year2_Oxfordshire Year2_ReferralSource_LA_SC="","",Year2_Oxfordshire Year2_ReferralSource_LA_SC)</f>
        <v>655</v>
      </c>
      <c r="CQ120" s="806">
        <f>IF(Year3_Oxfordshire Year3_ReferralSource_LA_SC="","",Year3_Oxfordshire Year3_ReferralSource_LA_SC)</f>
        <v>722</v>
      </c>
      <c r="CR120" s="806">
        <f>IF(Year4_Oxfordshire Year4_ReferralSource_LA_SC="","",Year4_Oxfordshire Year4_ReferralSource_LA_SC)</f>
        <v>492</v>
      </c>
      <c r="CS120" s="807">
        <f>IF(Year5_Oxfordshire Year5_ReferralSource_LA_SC="","",Year5_Oxfordshire Year5_ReferralSource_LA_SC)</f>
        <v>331</v>
      </c>
      <c r="CT120" s="805" t="str">
        <f>IF(Year1_Oxfordshire Year1_ReferralSource_LA_Other="","",Year1_Oxfordshire Year1_ReferralSource_LA_Other)</f>
        <v/>
      </c>
      <c r="CU120" s="806" t="str">
        <f>IF(Year2_Oxfordshire Year2_ReferralSource_LA_Other="","",Year2_Oxfordshire Year2_ReferralSource_LA_Other)</f>
        <v/>
      </c>
      <c r="CV120" s="806" t="str">
        <f>IF(Year3_Oxfordshire Year3_ReferralSource_LA_Other="","",Year3_Oxfordshire Year3_ReferralSource_LA_Other)</f>
        <v/>
      </c>
      <c r="CW120" s="806" t="str">
        <f>IF(Year4_Oxfordshire Year4_ReferralSource_LA_Other="","",Year4_Oxfordshire Year4_ReferralSource_LA_Other)</f>
        <v/>
      </c>
      <c r="CX120" s="807" t="str">
        <f>IF(Year5_Oxfordshire Year5_ReferralSource_LA_Other="","",Year5_Oxfordshire Year5_ReferralSource_LA_Other)</f>
        <v/>
      </c>
      <c r="CY120" s="805" t="str">
        <f>IF(Year1_Oxfordshire Year1_ReferralSource_LA_External="","",Year1_Oxfordshire Year1_ReferralSource_LA_External)</f>
        <v/>
      </c>
      <c r="CZ120" s="806" t="str">
        <f>IF(Year2_Oxfordshire Year2_ReferralSource_LA_External="","",Year2_Oxfordshire Year2_ReferralSource_LA_External)</f>
        <v/>
      </c>
      <c r="DA120" s="806" t="str">
        <f>IF(Year3_Oxfordshire Year3_ReferralSource_LA_External="","",Year3_Oxfordshire Year3_ReferralSource_LA_External)</f>
        <v/>
      </c>
      <c r="DB120" s="806" t="str">
        <f>IF(Year4_Oxfordshire Year4_ReferralSource_LA_External="","",Year4_Oxfordshire Year4_ReferralSource_LA_External)</f>
        <v/>
      </c>
      <c r="DC120" s="807" t="str">
        <f>IF(Year5_Oxfordshire Year5_ReferralSource_LA_External="","",Year5_Oxfordshire Year5_ReferralSource_LA_External)</f>
        <v/>
      </c>
      <c r="DD120" s="805">
        <f>IF(Year1_Oxfordshire Year1_ReferralSource_Police="","",Year1_Oxfordshire Year1_ReferralSource_Police)</f>
        <v>1747</v>
      </c>
      <c r="DE120" s="806">
        <f>IF(Year2_Oxfordshire Year2_ReferralSource_Police="","",Year2_Oxfordshire Year2_ReferralSource_Police)</f>
        <v>2323</v>
      </c>
      <c r="DF120" s="806">
        <f>IF(Year3_Oxfordshire Year3_ReferralSource_Police="","",Year3_Oxfordshire Year3_ReferralSource_Police)</f>
        <v>2385</v>
      </c>
      <c r="DG120" s="806">
        <f>IF(Year4_Oxfordshire Year4_ReferralSource_Police="","",Year4_Oxfordshire Year4_ReferralSource_Police)</f>
        <v>1998</v>
      </c>
      <c r="DH120" s="807">
        <f>IF(Year5_Oxfordshire Year5_ReferralSource_Police="","",Year5_Oxfordshire Year5_ReferralSource_Police)</f>
        <v>2080</v>
      </c>
      <c r="DI120" s="805">
        <f>IF(Year1_Oxfordshire Year1_ReferralSource_Other_Legal="","",Year1_Oxfordshire Year1_ReferralSource_Other_Legal)</f>
        <v>51</v>
      </c>
      <c r="DJ120" s="806">
        <f>IF(Year2_Oxfordshire Year2_ReferralSource_Other_Legal="","",Year2_Oxfordshire Year2_ReferralSource_Other_Legal)</f>
        <v>128</v>
      </c>
      <c r="DK120" s="806">
        <f>IF(Year3_Oxfordshire Year3_ReferralSource_Other_Legal="","",Year3_Oxfordshire Year3_ReferralSource_Other_Legal)</f>
        <v>150</v>
      </c>
      <c r="DL120" s="806">
        <f>IF(Year4_Oxfordshire Year4_ReferralSource_Other_Legal="","",Year4_Oxfordshire Year4_ReferralSource_Other_Legal)</f>
        <v>80</v>
      </c>
      <c r="DM120" s="807">
        <f>IF(Year5_Oxfordshire Year5_ReferralSource_Other_Legal="","",Year5_Oxfordshire Year5_ReferralSource_Other_Legal)</f>
        <v>73</v>
      </c>
      <c r="DN120" s="805">
        <f>IF(Year1_Oxfordshire Year1_ReferralSource_Other="","",Year1_Oxfordshire Year1_ReferralSource_Other)</f>
        <v>382</v>
      </c>
      <c r="DO120" s="806">
        <f>IF(Year2_Oxfordshire Year2_ReferralSource_Other="","",Year2_Oxfordshire Year2_ReferralSource_Other)</f>
        <v>371</v>
      </c>
      <c r="DP120" s="806">
        <f>IF(Year3_Oxfordshire Year3_ReferralSource_Other="","",Year3_Oxfordshire Year3_ReferralSource_Other)</f>
        <v>371</v>
      </c>
      <c r="DQ120" s="806">
        <f>IF(Year4_Oxfordshire Year4_ReferralSource_Other="","",Year4_Oxfordshire Year4_ReferralSource_Other)</f>
        <v>1754</v>
      </c>
      <c r="DR120" s="807">
        <f>IF(Year5_Oxfordshire Year5_ReferralSource_Other="","",Year5_Oxfordshire Year5_ReferralSource_Other)</f>
        <v>975</v>
      </c>
      <c r="DS120" s="805">
        <f>IF(Year1_Oxfordshire Year1_ReferralSource_Anonymous="","",Year1_Oxfordshire Year1_ReferralSource_Anonymous)</f>
        <v>285</v>
      </c>
      <c r="DT120" s="806">
        <f>IF(Year2_Oxfordshire Year2_ReferralSource_Anonymous="","",Year2_Oxfordshire Year2_ReferralSource_Anonymous)</f>
        <v>198</v>
      </c>
      <c r="DU120" s="806">
        <f>IF(Year3_Oxfordshire Year3_ReferralSource_Anonymous="","",Year3_Oxfordshire Year3_ReferralSource_Anonymous)</f>
        <v>192</v>
      </c>
      <c r="DV120" s="806">
        <f>IF(Year4_Oxfordshire Year4_ReferralSource_Anonymous="","",Year4_Oxfordshire Year4_ReferralSource_Anonymous)</f>
        <v>128</v>
      </c>
      <c r="DW120" s="807">
        <f>IF(Year5_Oxfordshire Year5_ReferralSource_Anonymous="","",Year5_Oxfordshire Year5_ReferralSource_Anonymous)</f>
        <v>70</v>
      </c>
      <c r="DX120" s="805">
        <f>IF(Year1_Oxfordshire Year1_ReferralSource_Unknown="","",Year1_Oxfordshire Year1_ReferralSource_Unknown)</f>
        <v>48</v>
      </c>
      <c r="DY120" s="806">
        <f>IF(Year2_Oxfordshire Year2_ReferralSource_Unknown="","",Year2_Oxfordshire Year2_ReferralSource_Unknown)</f>
        <v>175</v>
      </c>
      <c r="DZ120" s="806">
        <f>IF(Year3_Oxfordshire Year3_ReferralSource_Unknown="","",Year3_Oxfordshire Year3_ReferralSource_Unknown)</f>
        <v>23</v>
      </c>
      <c r="EA120" s="806">
        <f>IF(Year4_Oxfordshire Year4_ReferralSource_Unknown="","",Year4_Oxfordshire Year4_ReferralSource_Unknown)</f>
        <v>427</v>
      </c>
      <c r="EB120" s="807">
        <f>IF(Year5_Oxfordshire Year5_ReferralSource_Unknown="","",Year5_Oxfordshire Year5_ReferralSource_Unknown)</f>
        <v>763</v>
      </c>
    </row>
    <row r="121" spans="1:132" s="83" customFormat="1" ht="16.5" customHeight="1" x14ac:dyDescent="0.2">
      <c r="A121" s="271"/>
      <c r="B121" s="170" t="str">
        <f>Sheet1!$K$14</f>
        <v>Portsmouth</v>
      </c>
      <c r="C121" s="9"/>
      <c r="D121" s="1483"/>
      <c r="E121" s="1484"/>
      <c r="F121" s="1483"/>
      <c r="G121" s="1484"/>
      <c r="H121" s="1483"/>
      <c r="I121" s="1484"/>
      <c r="J121" s="1483"/>
      <c r="K121" s="1484"/>
      <c r="L121" s="1483"/>
      <c r="M121" s="1484"/>
      <c r="N121" s="1483"/>
      <c r="O121" s="1484"/>
      <c r="P121" s="1483"/>
      <c r="Q121" s="1484"/>
      <c r="R121" s="1483"/>
      <c r="S121" s="1484"/>
      <c r="T121" s="1483"/>
      <c r="U121" s="1484"/>
      <c r="V121" s="1483"/>
      <c r="W121" s="1484"/>
      <c r="X121" s="15"/>
      <c r="Y121" s="119"/>
      <c r="Z121" s="138"/>
      <c r="AB121" s="805">
        <f>IF(Year1_Portsmouth Year1_ReferralSource_Individual_Family="","",Year1_Portsmouth Year1_ReferralSource_Individual_Family)</f>
        <v>140</v>
      </c>
      <c r="AC121" s="806">
        <f>IF(Year2_Portsmouth Year2_ReferralSource_Individual_Family="","",Year2_Portsmouth Year2_ReferralSource_Individual_Family)</f>
        <v>228</v>
      </c>
      <c r="AD121" s="806">
        <f>IF(Year3_Portsmouth Year3_ReferralSource_Individual_Family="","",Year3_Portsmouth Year3_ReferralSource_Individual_Family)</f>
        <v>196</v>
      </c>
      <c r="AE121" s="806">
        <f>IF(Year4_Portsmouth Year4_ReferralSource_Individual_Family="","",Year4_Portsmouth Year4_ReferralSource_Individual_Family)</f>
        <v>246</v>
      </c>
      <c r="AF121" s="807">
        <f>IF(Year5_Portsmouth Year5_ReferralSource_Individual_Family="","",Year5_Portsmouth Year5_ReferralSource_Individual_Family)</f>
        <v>220</v>
      </c>
      <c r="AG121" s="805" t="str">
        <f>IF(Year1_Portsmouth Year1_ReferralSource_Individual_Acquaintance="","",Year1_Portsmouth Year1_ReferralSource_Individual_Acquaintance)</f>
        <v/>
      </c>
      <c r="AH121" s="806" t="str">
        <f>IF(Year2_Portsmouth Year2_ReferralSource_Individual_Acquaintance="","",Year2_Portsmouth Year2_ReferralSource_Individual_Acquaintance)</f>
        <v/>
      </c>
      <c r="AI121" s="806" t="str">
        <f>IF(Year3_Portsmouth Year3_ReferralSource_Individual_Acquaintance="","",Year3_Portsmouth Year3_ReferralSource_Individual_Acquaintance)</f>
        <v/>
      </c>
      <c r="AJ121" s="806" t="str">
        <f>IF(Year4_Portsmouth Year4_ReferralSource_Individual_Acquaintance="","",Year4_Portsmouth Year4_ReferralSource_Individual_Acquaintance)</f>
        <v/>
      </c>
      <c r="AK121" s="807" t="str">
        <f>IF(Year5_Portsmouth Year5_ReferralSource_Individual_Acquaintance="","",Year5_Portsmouth Year5_ReferralSource_Individual_Acquaintance)</f>
        <v/>
      </c>
      <c r="AL121" s="805" t="str">
        <f>IF(Year1_Portsmouth Year1_ReferralSource_Individual_Self="","",Year1_Portsmouth Year1_ReferralSource_Individual_Self)</f>
        <v/>
      </c>
      <c r="AM121" s="806" t="str">
        <f>IF(Year2_Portsmouth Year2_ReferralSource_Individual_Self="","",Year2_Portsmouth Year2_ReferralSource_Individual_Self)</f>
        <v/>
      </c>
      <c r="AN121" s="806" t="str">
        <f>IF(Year3_Portsmouth Year3_ReferralSource_Individual_Self="","",Year3_Portsmouth Year3_ReferralSource_Individual_Self)</f>
        <v/>
      </c>
      <c r="AO121" s="806" t="str">
        <f>IF(Year4_Portsmouth Year4_ReferralSource_Individual_Self="","",Year4_Portsmouth Year4_ReferralSource_Individual_Self)</f>
        <v/>
      </c>
      <c r="AP121" s="807" t="str">
        <f>IF(Year5_Portsmouth Year5_ReferralSource_Individual_Self="","",Year5_Portsmouth Year5_ReferralSource_Individual_Self)</f>
        <v/>
      </c>
      <c r="AQ121" s="805" t="str">
        <f>IF(Year1_Portsmouth Year1_ReferralSource_Individual_Other="","",Year1_Portsmouth Year1_ReferralSource_Individual_Other)</f>
        <v/>
      </c>
      <c r="AR121" s="806" t="str">
        <f>IF(Year2_Portsmouth Year2_ReferralSource_Individual_Other="","",Year2_Portsmouth Year2_ReferralSource_Individual_Other)</f>
        <v/>
      </c>
      <c r="AS121" s="806" t="str">
        <f>IF(Year3_Portsmouth Year3_ReferralSource_Individual_Other="","",Year3_Portsmouth Year3_ReferralSource_Individual_Other)</f>
        <v/>
      </c>
      <c r="AT121" s="806" t="str">
        <f>IF(Year4_Portsmouth Year4_ReferralSource_Individual_Other="","",Year4_Portsmouth Year4_ReferralSource_Individual_Other)</f>
        <v/>
      </c>
      <c r="AU121" s="807" t="str">
        <f>IF(Year5_Portsmouth Year5_ReferralSource_Individual_Other="","",Year5_Portsmouth Year5_ReferralSource_Individual_Other)</f>
        <v/>
      </c>
      <c r="AV121" s="805">
        <f>IF(Year1_Portsmouth Year1_ReferralSource_School="","",Year1_Portsmouth Year1_ReferralSource_School)</f>
        <v>439</v>
      </c>
      <c r="AW121" s="806">
        <f>IF(Year2_Portsmouth Year2_ReferralSource_School="","",Year2_Portsmouth Year2_ReferralSource_School)</f>
        <v>341</v>
      </c>
      <c r="AX121" s="806">
        <f>IF(Year3_Portsmouth Year3_ReferralSource_School="","",Year3_Portsmouth Year3_ReferralSource_School)</f>
        <v>454</v>
      </c>
      <c r="AY121" s="806">
        <f>IF(Year4_Portsmouth Year4_ReferralSource_School="","",Year4_Portsmouth Year4_ReferralSource_School)</f>
        <v>517</v>
      </c>
      <c r="AZ121" s="807">
        <f>IF(Year5_Portsmouth Year5_ReferralSource_School="","",Year5_Portsmouth Year5_ReferralSource_School)</f>
        <v>548</v>
      </c>
      <c r="BA121" s="805">
        <f>IF(Year1_Portsmouth Year1_ReferralSource_EducationServices="","",Year1_Portsmouth Year1_ReferralSource_EducationServices)</f>
        <v>49</v>
      </c>
      <c r="BB121" s="806">
        <f>IF(Year2_Portsmouth Year2_ReferralSource_EducationServices="","",Year2_Portsmouth Year2_ReferralSource_EducationServices)</f>
        <v>45</v>
      </c>
      <c r="BC121" s="806">
        <f>IF(Year3_Portsmouth Year3_ReferralSource_EducationServices="","",Year3_Portsmouth Year3_ReferralSource_EducationServices)</f>
        <v>26</v>
      </c>
      <c r="BD121" s="806">
        <f>IF(Year4_Portsmouth Year4_ReferralSource_EducationServices="","",Year4_Portsmouth Year4_ReferralSource_EducationServices)</f>
        <v>15</v>
      </c>
      <c r="BE121" s="807">
        <f>IF(Year5_Portsmouth Year5_ReferralSource_EducationServices="","",Year5_Portsmouth Year5_ReferralSource_EducationServices)</f>
        <v>18</v>
      </c>
      <c r="BF121" s="823">
        <f>IF(Year1_Portsmouth Year1_ReferralSource_Health_services_GP="","",Year1_Portsmouth Year1_ReferralSource_Health_services_GP)</f>
        <v>258</v>
      </c>
      <c r="BG121" s="824">
        <f>IF(Year2_Portsmouth Year2_ReferralSource_Health_services_GP="","",Year2_Portsmouth Year2_ReferralSource_Health_services_GP)</f>
        <v>300</v>
      </c>
      <c r="BH121" s="824">
        <f>IF(Year3_Portsmouth Year3_ReferralSource_Health_services_GP="","",Year3_Portsmouth Year3_ReferralSource_Health_services_GP)</f>
        <v>325</v>
      </c>
      <c r="BI121" s="824">
        <f>IF(Year4_Portsmouth Year4_ReferralSource_Health_services_GP="","",Year4_Portsmouth Year4_ReferralSource_Health_services_GP)</f>
        <v>437</v>
      </c>
      <c r="BJ121" s="825">
        <f>IF(Year5_Portsmouth Year5_ReferralSource_Health_services_GP="","",Year5_Portsmouth Year5_ReferralSource_Health_services_GP)</f>
        <v>371</v>
      </c>
      <c r="BK121" s="823" t="str">
        <f>IF(Year1_Portsmouth Year1_ReferralSource_Health_services_HealthVisitor="","",Year1_Portsmouth Year1_ReferralSource_Health_services_HealthVisitor)</f>
        <v/>
      </c>
      <c r="BL121" s="824" t="str">
        <f>IF(Year2_Portsmouth Year2_ReferralSource_Health_services_HealthVisitor="","",Year2_Portsmouth Year2_ReferralSource_Health_services_HealthVisitor)</f>
        <v/>
      </c>
      <c r="BM121" s="824" t="str">
        <f>IF(Year3_Portsmouth Year3_ReferralSource_Health_services_HealthVisitor="","",Year3_Portsmouth Year3_ReferralSource_Health_services_HealthVisitor)</f>
        <v/>
      </c>
      <c r="BN121" s="824" t="str">
        <f>IF(Year4_Portsmouth Year4_ReferralSource_Health_services_HealthVisitor="","",Year4_Portsmouth Year4_ReferralSource_Health_services_HealthVisitor)</f>
        <v/>
      </c>
      <c r="BO121" s="825" t="str">
        <f>IF(Year5_Portsmouth Year5_ReferralSource_Health_services_HealthVisitor="","",Year5_Portsmouth Year5_ReferralSource_Health_services_HealthVisitor)</f>
        <v/>
      </c>
      <c r="BP121" s="823" t="str">
        <f>IF(Year1_Portsmouth Year1_ReferralSource_Health_services_SchoolNurse="","",Year1_Portsmouth Year1_ReferralSource_Health_services_SchoolNurse)</f>
        <v/>
      </c>
      <c r="BQ121" s="824" t="str">
        <f>IF(Year2_Portsmouth Year2_ReferralSource_Health_services_SchoolNurse="","",Year2_Portsmouth Year2_ReferralSource_Health_services_SchoolNurse)</f>
        <v/>
      </c>
      <c r="BR121" s="824" t="str">
        <f>IF(Year3_Portsmouth Year3_ReferralSource_Health_services_SchoolNurse="","",Year3_Portsmouth Year3_ReferralSource_Health_services_SchoolNurse)</f>
        <v/>
      </c>
      <c r="BS121" s="824" t="str">
        <f>IF(Year4_Portsmouth Year4_ReferralSource_Health_services_SchoolNurse="","",Year4_Portsmouth Year4_ReferralSource_Health_services_SchoolNurse)</f>
        <v/>
      </c>
      <c r="BT121" s="825" t="str">
        <f>IF(Year5_Portsmouth Year5_ReferralSource_Health_services_SchoolNurse="","",Year5_Portsmouth Year5_ReferralSource_Health_services_SchoolNurse)</f>
        <v/>
      </c>
      <c r="BU121" s="823" t="str">
        <f>IF(Year1_Portsmouth Year1_ReferralSource_Health_services_OthPrimary="","",Year1_Portsmouth Year1_ReferralSource_Health_services_OthPrimary)</f>
        <v/>
      </c>
      <c r="BV121" s="824" t="str">
        <f>IF(Year2_Portsmouth Year2_ReferralSource_Health_services_OthPrimary="","",Year2_Portsmouth Year2_ReferralSource_Health_services_OthPrimary)</f>
        <v/>
      </c>
      <c r="BW121" s="824" t="str">
        <f>IF(Year3_Portsmouth Year3_ReferralSource_Health_services_OthPrimary="","",Year3_Portsmouth Year3_ReferralSource_Health_services_OthPrimary)</f>
        <v/>
      </c>
      <c r="BX121" s="824" t="str">
        <f>IF(Year4_Portsmouth Year4_ReferralSource_Health_services_OthPrimary="","",Year4_Portsmouth Year4_ReferralSource_Health_services_OthPrimary)</f>
        <v/>
      </c>
      <c r="BY121" s="825" t="str">
        <f>IF(Year5_Portsmouth Year5_ReferralSource_Health_services_OthPrimary="","",Year5_Portsmouth Year5_ReferralSource_Health_services_OthPrimary)</f>
        <v/>
      </c>
      <c r="BZ121" s="823" t="str">
        <f>IF(Year1_Portsmouth Year1_ReferralSource_Health_services_AE="","",Year1_Portsmouth Year1_ReferralSource_Health_services_AE)</f>
        <v/>
      </c>
      <c r="CA121" s="824" t="str">
        <f>IF(Year2_Portsmouth Year2_ReferralSource_Health_services_AE="","",Year2_Portsmouth Year2_ReferralSource_Health_services_AE)</f>
        <v/>
      </c>
      <c r="CB121" s="824" t="str">
        <f>IF(Year3_Portsmouth Year3_ReferralSource_Health_services_AE="","",Year3_Portsmouth Year3_ReferralSource_Health_services_AE)</f>
        <v/>
      </c>
      <c r="CC121" s="824" t="str">
        <f>IF(Year4_Portsmouth Year4_ReferralSource_Health_services_AE="","",Year4_Portsmouth Year4_ReferralSource_Health_services_AE)</f>
        <v/>
      </c>
      <c r="CD121" s="825" t="str">
        <f>IF(Year5_Portsmouth Year5_ReferralSource_Health_services_AE="","",Year5_Portsmouth Year5_ReferralSource_Health_services_AE)</f>
        <v/>
      </c>
      <c r="CE121" s="823" t="str">
        <f>IF(Year1_Portsmouth Year1_ReferralSource_Health_services_Other="","",Year1_Portsmouth Year1_ReferralSource_Health_services_Other)</f>
        <v/>
      </c>
      <c r="CF121" s="824" t="str">
        <f>IF(Year2_Portsmouth Year2_ReferralSource_Health_services_Other="","",Year2_Portsmouth Year2_ReferralSource_Health_services_Other)</f>
        <v/>
      </c>
      <c r="CG121" s="824" t="str">
        <f>IF(Year3_Portsmouth Year3_ReferralSource_Health_services_Other="","",Year3_Portsmouth Year3_ReferralSource_Health_services_Other)</f>
        <v/>
      </c>
      <c r="CH121" s="824" t="str">
        <f>IF(Year4_Portsmouth Year4_ReferralSource_Health_services_Other="","",Year4_Portsmouth Year4_ReferralSource_Health_services_Other)</f>
        <v/>
      </c>
      <c r="CI121" s="825" t="str">
        <f>IF(Year5_Portsmouth Year5_ReferralSource_Health_services_Other="","",Year5_Portsmouth Year5_ReferralSource_Health_services_Other)</f>
        <v/>
      </c>
      <c r="CJ121" s="805">
        <f>IF(Year1_Portsmouth Year1_ReferralSource_Housing="","",Year1_Portsmouth Year1_ReferralSource_Housing)</f>
        <v>77</v>
      </c>
      <c r="CK121" s="806">
        <f>IF(Year2_Portsmouth Year2_ReferralSource_Housing="","",Year2_Portsmouth Year2_ReferralSource_Housing)</f>
        <v>45</v>
      </c>
      <c r="CL121" s="806">
        <f>IF(Year3_Portsmouth Year3_ReferralSource_Housing="","",Year3_Portsmouth Year3_ReferralSource_Housing)</f>
        <v>69</v>
      </c>
      <c r="CM121" s="806">
        <f>IF(Year4_Portsmouth Year4_ReferralSource_Housing="","",Year4_Portsmouth Year4_ReferralSource_Housing)</f>
        <v>85</v>
      </c>
      <c r="CN121" s="807">
        <f>IF(Year5_Portsmouth Year5_ReferralSource_Housing="","",Year5_Portsmouth Year5_ReferralSource_Housing)</f>
        <v>108</v>
      </c>
      <c r="CO121" s="805">
        <f>IF(Year1_Portsmouth Year1_ReferralSource_LA_SC="","",Year1_Portsmouth Year1_ReferralSource_LA_SC)</f>
        <v>217</v>
      </c>
      <c r="CP121" s="806">
        <f>IF(Year2_Portsmouth Year2_ReferralSource_LA_SC="","",Year2_Portsmouth Year2_ReferralSource_LA_SC)</f>
        <v>246</v>
      </c>
      <c r="CQ121" s="806">
        <f>IF(Year3_Portsmouth Year3_ReferralSource_LA_SC="","",Year3_Portsmouth Year3_ReferralSource_LA_SC)</f>
        <v>253</v>
      </c>
      <c r="CR121" s="806">
        <f>IF(Year4_Portsmouth Year4_ReferralSource_LA_SC="","",Year4_Portsmouth Year4_ReferralSource_LA_SC)</f>
        <v>353</v>
      </c>
      <c r="CS121" s="807">
        <f>IF(Year5_Portsmouth Year5_ReferralSource_LA_SC="","",Year5_Portsmouth Year5_ReferralSource_LA_SC)</f>
        <v>513</v>
      </c>
      <c r="CT121" s="805" t="str">
        <f>IF(Year1_Portsmouth Year1_ReferralSource_LA_Other="","",Year1_Portsmouth Year1_ReferralSource_LA_Other)</f>
        <v/>
      </c>
      <c r="CU121" s="806" t="str">
        <f>IF(Year2_Portsmouth Year2_ReferralSource_LA_Other="","",Year2_Portsmouth Year2_ReferralSource_LA_Other)</f>
        <v/>
      </c>
      <c r="CV121" s="806" t="str">
        <f>IF(Year3_Portsmouth Year3_ReferralSource_LA_Other="","",Year3_Portsmouth Year3_ReferralSource_LA_Other)</f>
        <v/>
      </c>
      <c r="CW121" s="806" t="str">
        <f>IF(Year4_Portsmouth Year4_ReferralSource_LA_Other="","",Year4_Portsmouth Year4_ReferralSource_LA_Other)</f>
        <v/>
      </c>
      <c r="CX121" s="807" t="str">
        <f>IF(Year5_Portsmouth Year5_ReferralSource_LA_Other="","",Year5_Portsmouth Year5_ReferralSource_LA_Other)</f>
        <v/>
      </c>
      <c r="CY121" s="805" t="str">
        <f>IF(Year1_Portsmouth Year1_ReferralSource_LA_External="","",Year1_Portsmouth Year1_ReferralSource_LA_External)</f>
        <v/>
      </c>
      <c r="CZ121" s="806" t="str">
        <f>IF(Year2_Portsmouth Year2_ReferralSource_LA_External="","",Year2_Portsmouth Year2_ReferralSource_LA_External)</f>
        <v/>
      </c>
      <c r="DA121" s="806" t="str">
        <f>IF(Year3_Portsmouth Year3_ReferralSource_LA_External="","",Year3_Portsmouth Year3_ReferralSource_LA_External)</f>
        <v/>
      </c>
      <c r="DB121" s="806" t="str">
        <f>IF(Year4_Portsmouth Year4_ReferralSource_LA_External="","",Year4_Portsmouth Year4_ReferralSource_LA_External)</f>
        <v/>
      </c>
      <c r="DC121" s="807" t="str">
        <f>IF(Year5_Portsmouth Year5_ReferralSource_LA_External="","",Year5_Portsmouth Year5_ReferralSource_LA_External)</f>
        <v/>
      </c>
      <c r="DD121" s="805">
        <f>IF(Year1_Portsmouth Year1_ReferralSource_Police="","",Year1_Portsmouth Year1_ReferralSource_Police)</f>
        <v>517</v>
      </c>
      <c r="DE121" s="806">
        <f>IF(Year2_Portsmouth Year2_ReferralSource_Police="","",Year2_Portsmouth Year2_ReferralSource_Police)</f>
        <v>655</v>
      </c>
      <c r="DF121" s="806">
        <f>IF(Year3_Portsmouth Year3_ReferralSource_Police="","",Year3_Portsmouth Year3_ReferralSource_Police)</f>
        <v>825</v>
      </c>
      <c r="DG121" s="806">
        <f>IF(Year4_Portsmouth Year4_ReferralSource_Police="","",Year4_Portsmouth Year4_ReferralSource_Police)</f>
        <v>887</v>
      </c>
      <c r="DH121" s="807">
        <f>IF(Year5_Portsmouth Year5_ReferralSource_Police="","",Year5_Portsmouth Year5_ReferralSource_Police)</f>
        <v>700</v>
      </c>
      <c r="DI121" s="805">
        <f>IF(Year1_Portsmouth Year1_ReferralSource_Other_Legal="","",Year1_Portsmouth Year1_ReferralSource_Other_Legal)</f>
        <v>53</v>
      </c>
      <c r="DJ121" s="806">
        <f>IF(Year2_Portsmouth Year2_ReferralSource_Other_Legal="","",Year2_Portsmouth Year2_ReferralSource_Other_Legal)</f>
        <v>70</v>
      </c>
      <c r="DK121" s="806">
        <f>IF(Year3_Portsmouth Year3_ReferralSource_Other_Legal="","",Year3_Portsmouth Year3_ReferralSource_Other_Legal)</f>
        <v>105</v>
      </c>
      <c r="DL121" s="806">
        <f>IF(Year4_Portsmouth Year4_ReferralSource_Other_Legal="","",Year4_Portsmouth Year4_ReferralSource_Other_Legal)</f>
        <v>126</v>
      </c>
      <c r="DM121" s="807">
        <f>IF(Year5_Portsmouth Year5_ReferralSource_Other_Legal="","",Year5_Portsmouth Year5_ReferralSource_Other_Legal)</f>
        <v>151</v>
      </c>
      <c r="DN121" s="805">
        <f>IF(Year1_Portsmouth Year1_ReferralSource_Other="","",Year1_Portsmouth Year1_ReferralSource_Other)</f>
        <v>157</v>
      </c>
      <c r="DO121" s="806">
        <f>IF(Year2_Portsmouth Year2_ReferralSource_Other="","",Year2_Portsmouth Year2_ReferralSource_Other)</f>
        <v>117</v>
      </c>
      <c r="DP121" s="806">
        <f>IF(Year3_Portsmouth Year3_ReferralSource_Other="","",Year3_Portsmouth Year3_ReferralSource_Other)</f>
        <v>198</v>
      </c>
      <c r="DQ121" s="806">
        <f>IF(Year4_Portsmouth Year4_ReferralSource_Other="","",Year4_Portsmouth Year4_ReferralSource_Other)</f>
        <v>130</v>
      </c>
      <c r="DR121" s="807">
        <f>IF(Year5_Portsmouth Year5_ReferralSource_Other="","",Year5_Portsmouth Year5_ReferralSource_Other)</f>
        <v>149</v>
      </c>
      <c r="DS121" s="805" t="str">
        <f>IF(Year1_Portsmouth Year1_ReferralSource_Anonymous="","",Year1_Portsmouth Year1_ReferralSource_Anonymous)</f>
        <v>x</v>
      </c>
      <c r="DT121" s="806">
        <f>IF(Year2_Portsmouth Year2_ReferralSource_Anonymous="","",Year2_Portsmouth Year2_ReferralSource_Anonymous)</f>
        <v>46</v>
      </c>
      <c r="DU121" s="806">
        <f>IF(Year3_Portsmouth Year3_ReferralSource_Anonymous="","",Year3_Portsmouth Year3_ReferralSource_Anonymous)</f>
        <v>36</v>
      </c>
      <c r="DV121" s="806">
        <f>IF(Year4_Portsmouth Year4_ReferralSource_Anonymous="","",Year4_Portsmouth Year4_ReferralSource_Anonymous)</f>
        <v>49</v>
      </c>
      <c r="DW121" s="807">
        <f>IF(Year5_Portsmouth Year5_ReferralSource_Anonymous="","",Year5_Portsmouth Year5_ReferralSource_Anonymous)</f>
        <v>66</v>
      </c>
      <c r="DX121" s="805" t="str">
        <f>IF(Year1_Portsmouth Year1_ReferralSource_Unknown="","",Year1_Portsmouth Year1_ReferralSource_Unknown)</f>
        <v>x</v>
      </c>
      <c r="DY121" s="806">
        <f>IF(Year2_Portsmouth Year2_ReferralSource_Unknown="","",Year2_Portsmouth Year2_ReferralSource_Unknown)</f>
        <v>0</v>
      </c>
      <c r="DZ121" s="806">
        <f>IF(Year3_Portsmouth Year3_ReferralSource_Unknown="","",Year3_Portsmouth Year3_ReferralSource_Unknown)</f>
        <v>0</v>
      </c>
      <c r="EA121" s="806">
        <f>IF(Year4_Portsmouth Year4_ReferralSource_Unknown="","",Year4_Portsmouth Year4_ReferralSource_Unknown)</f>
        <v>0</v>
      </c>
      <c r="EB121" s="807">
        <f>IF(Year5_Portsmouth Year5_ReferralSource_Unknown="","",Year5_Portsmouth Year5_ReferralSource_Unknown)</f>
        <v>0</v>
      </c>
    </row>
    <row r="122" spans="1:132" s="83" customFormat="1" ht="16.5" customHeight="1" x14ac:dyDescent="0.2">
      <c r="A122" s="271"/>
      <c r="B122" s="170" t="str">
        <f>Sheet1!$K$15</f>
        <v>Reading</v>
      </c>
      <c r="C122" s="9"/>
      <c r="D122" s="1483"/>
      <c r="E122" s="1484"/>
      <c r="F122" s="1483"/>
      <c r="G122" s="1484"/>
      <c r="H122" s="1483"/>
      <c r="I122" s="1484"/>
      <c r="J122" s="1483"/>
      <c r="K122" s="1484"/>
      <c r="L122" s="1483"/>
      <c r="M122" s="1484"/>
      <c r="N122" s="1483"/>
      <c r="O122" s="1484"/>
      <c r="P122" s="1483"/>
      <c r="Q122" s="1484"/>
      <c r="R122" s="1483"/>
      <c r="S122" s="1484"/>
      <c r="T122" s="1483"/>
      <c r="U122" s="1484"/>
      <c r="V122" s="1483"/>
      <c r="W122" s="1484"/>
      <c r="X122" s="15"/>
      <c r="Y122" s="119"/>
      <c r="Z122" s="138"/>
      <c r="AB122" s="805">
        <f>IF(Year1_Reading Year1_ReferralSource_Individual_Family="","",Year1_Reading Year1_ReferralSource_Individual_Family)</f>
        <v>18</v>
      </c>
      <c r="AC122" s="806">
        <f>IF(Year2_Reading Year2_ReferralSource_Individual_Family="","",Year2_Reading Year2_ReferralSource_Individual_Family)</f>
        <v>231</v>
      </c>
      <c r="AD122" s="806">
        <f>IF(Year3_Reading Year3_ReferralSource_Individual_Family="","",Year3_Reading Year3_ReferralSource_Individual_Family)</f>
        <v>166</v>
      </c>
      <c r="AE122" s="806">
        <f>IF(Year4_Reading Year4_ReferralSource_Individual_Family="","",Year4_Reading Year4_ReferralSource_Individual_Family)</f>
        <v>168</v>
      </c>
      <c r="AF122" s="807">
        <f>IF(Year5_Reading Year5_ReferralSource_Individual_Family="","",Year5_Reading Year5_ReferralSource_Individual_Family)</f>
        <v>176</v>
      </c>
      <c r="AG122" s="805" t="str">
        <f>IF(Year1_Reading Year1_ReferralSource_Individual_Acquaintance="","",Year1_Reading Year1_ReferralSource_Individual_Acquaintance)</f>
        <v/>
      </c>
      <c r="AH122" s="806" t="str">
        <f>IF(Year2_Reading Year2_ReferralSource_Individual_Acquaintance="","",Year2_Reading Year2_ReferralSource_Individual_Acquaintance)</f>
        <v/>
      </c>
      <c r="AI122" s="806" t="str">
        <f>IF(Year3_Reading Year3_ReferralSource_Individual_Acquaintance="","",Year3_Reading Year3_ReferralSource_Individual_Acquaintance)</f>
        <v/>
      </c>
      <c r="AJ122" s="806" t="str">
        <f>IF(Year4_Reading Year4_ReferralSource_Individual_Acquaintance="","",Year4_Reading Year4_ReferralSource_Individual_Acquaintance)</f>
        <v/>
      </c>
      <c r="AK122" s="807" t="str">
        <f>IF(Year5_Reading Year5_ReferralSource_Individual_Acquaintance="","",Year5_Reading Year5_ReferralSource_Individual_Acquaintance)</f>
        <v/>
      </c>
      <c r="AL122" s="805" t="str">
        <f>IF(Year1_Reading Year1_ReferralSource_Individual_Self="","",Year1_Reading Year1_ReferralSource_Individual_Self)</f>
        <v/>
      </c>
      <c r="AM122" s="806" t="str">
        <f>IF(Year2_Reading Year2_ReferralSource_Individual_Self="","",Year2_Reading Year2_ReferralSource_Individual_Self)</f>
        <v/>
      </c>
      <c r="AN122" s="806" t="str">
        <f>IF(Year3_Reading Year3_ReferralSource_Individual_Self="","",Year3_Reading Year3_ReferralSource_Individual_Self)</f>
        <v/>
      </c>
      <c r="AO122" s="806" t="str">
        <f>IF(Year4_Reading Year4_ReferralSource_Individual_Self="","",Year4_Reading Year4_ReferralSource_Individual_Self)</f>
        <v/>
      </c>
      <c r="AP122" s="807" t="str">
        <f>IF(Year5_Reading Year5_ReferralSource_Individual_Self="","",Year5_Reading Year5_ReferralSource_Individual_Self)</f>
        <v/>
      </c>
      <c r="AQ122" s="805" t="str">
        <f>IF(Year1_Reading Year1_ReferralSource_Individual_Other="","",Year1_Reading Year1_ReferralSource_Individual_Other)</f>
        <v/>
      </c>
      <c r="AR122" s="806" t="str">
        <f>IF(Year2_Reading Year2_ReferralSource_Individual_Other="","",Year2_Reading Year2_ReferralSource_Individual_Other)</f>
        <v/>
      </c>
      <c r="AS122" s="806" t="str">
        <f>IF(Year3_Reading Year3_ReferralSource_Individual_Other="","",Year3_Reading Year3_ReferralSource_Individual_Other)</f>
        <v/>
      </c>
      <c r="AT122" s="806" t="str">
        <f>IF(Year4_Reading Year4_ReferralSource_Individual_Other="","",Year4_Reading Year4_ReferralSource_Individual_Other)</f>
        <v/>
      </c>
      <c r="AU122" s="807" t="str">
        <f>IF(Year5_Reading Year5_ReferralSource_Individual_Other="","",Year5_Reading Year5_ReferralSource_Individual_Other)</f>
        <v/>
      </c>
      <c r="AV122" s="805" t="str">
        <f>IF(Year1_Reading Year1_ReferralSource_School="","",Year1_Reading Year1_ReferralSource_School)</f>
        <v>x</v>
      </c>
      <c r="AW122" s="806">
        <f>IF(Year2_Reading Year2_ReferralSource_School="","",Year2_Reading Year2_ReferralSource_School)</f>
        <v>590</v>
      </c>
      <c r="AX122" s="806">
        <f>IF(Year3_Reading Year3_ReferralSource_School="","",Year3_Reading Year3_ReferralSource_School)</f>
        <v>536</v>
      </c>
      <c r="AY122" s="806">
        <f>IF(Year4_Reading Year4_ReferralSource_School="","",Year4_Reading Year4_ReferralSource_School)</f>
        <v>444</v>
      </c>
      <c r="AZ122" s="807">
        <f>IF(Year5_Reading Year5_ReferralSource_School="","",Year5_Reading Year5_ReferralSource_School)</f>
        <v>458</v>
      </c>
      <c r="BA122" s="805">
        <f>IF(Year1_Reading Year1_ReferralSource_EducationServices="","",Year1_Reading Year1_ReferralSource_EducationServices)</f>
        <v>29</v>
      </c>
      <c r="BB122" s="806">
        <f>IF(Year2_Reading Year2_ReferralSource_EducationServices="","",Year2_Reading Year2_ReferralSource_EducationServices)</f>
        <v>56</v>
      </c>
      <c r="BC122" s="806">
        <f>IF(Year3_Reading Year3_ReferralSource_EducationServices="","",Year3_Reading Year3_ReferralSource_EducationServices)</f>
        <v>12</v>
      </c>
      <c r="BD122" s="806">
        <f>IF(Year4_Reading Year4_ReferralSource_EducationServices="","",Year4_Reading Year4_ReferralSource_EducationServices)</f>
        <v>38</v>
      </c>
      <c r="BE122" s="807">
        <f>IF(Year5_Reading Year5_ReferralSource_EducationServices="","",Year5_Reading Year5_ReferralSource_EducationServices)</f>
        <v>77</v>
      </c>
      <c r="BF122" s="823">
        <f>IF(Year1_Reading Year1_ReferralSource_Health_services_GP="","",Year1_Reading Year1_ReferralSource_Health_services_GP)</f>
        <v>45</v>
      </c>
      <c r="BG122" s="824">
        <f>IF(Year2_Reading Year2_ReferralSource_Health_services_GP="","",Year2_Reading Year2_ReferralSource_Health_services_GP)</f>
        <v>402</v>
      </c>
      <c r="BH122" s="824">
        <f>IF(Year3_Reading Year3_ReferralSource_Health_services_GP="","",Year3_Reading Year3_ReferralSource_Health_services_GP)</f>
        <v>481</v>
      </c>
      <c r="BI122" s="824">
        <f>IF(Year4_Reading Year4_ReferralSource_Health_services_GP="","",Year4_Reading Year4_ReferralSource_Health_services_GP)</f>
        <v>397</v>
      </c>
      <c r="BJ122" s="825">
        <f>IF(Year5_Reading Year5_ReferralSource_Health_services_GP="","",Year5_Reading Year5_ReferralSource_Health_services_GP)</f>
        <v>397</v>
      </c>
      <c r="BK122" s="823" t="str">
        <f>IF(Year1_Reading Year1_ReferralSource_Health_services_HealthVisitor="","",Year1_Reading Year1_ReferralSource_Health_services_HealthVisitor)</f>
        <v/>
      </c>
      <c r="BL122" s="824" t="str">
        <f>IF(Year2_Reading Year2_ReferralSource_Health_services_HealthVisitor="","",Year2_Reading Year2_ReferralSource_Health_services_HealthVisitor)</f>
        <v/>
      </c>
      <c r="BM122" s="824" t="str">
        <f>IF(Year3_Reading Year3_ReferralSource_Health_services_HealthVisitor="","",Year3_Reading Year3_ReferralSource_Health_services_HealthVisitor)</f>
        <v/>
      </c>
      <c r="BN122" s="824" t="str">
        <f>IF(Year4_Reading Year4_ReferralSource_Health_services_HealthVisitor="","",Year4_Reading Year4_ReferralSource_Health_services_HealthVisitor)</f>
        <v/>
      </c>
      <c r="BO122" s="825" t="str">
        <f>IF(Year5_Reading Year5_ReferralSource_Health_services_HealthVisitor="","",Year5_Reading Year5_ReferralSource_Health_services_HealthVisitor)</f>
        <v/>
      </c>
      <c r="BP122" s="823" t="str">
        <f>IF(Year1_Reading Year1_ReferralSource_Health_services_SchoolNurse="","",Year1_Reading Year1_ReferralSource_Health_services_SchoolNurse)</f>
        <v/>
      </c>
      <c r="BQ122" s="824" t="str">
        <f>IF(Year2_Reading Year2_ReferralSource_Health_services_SchoolNurse="","",Year2_Reading Year2_ReferralSource_Health_services_SchoolNurse)</f>
        <v/>
      </c>
      <c r="BR122" s="824" t="str">
        <f>IF(Year3_Reading Year3_ReferralSource_Health_services_SchoolNurse="","",Year3_Reading Year3_ReferralSource_Health_services_SchoolNurse)</f>
        <v/>
      </c>
      <c r="BS122" s="824" t="str">
        <f>IF(Year4_Reading Year4_ReferralSource_Health_services_SchoolNurse="","",Year4_Reading Year4_ReferralSource_Health_services_SchoolNurse)</f>
        <v/>
      </c>
      <c r="BT122" s="825" t="str">
        <f>IF(Year5_Reading Year5_ReferralSource_Health_services_SchoolNurse="","",Year5_Reading Year5_ReferralSource_Health_services_SchoolNurse)</f>
        <v/>
      </c>
      <c r="BU122" s="823" t="str">
        <f>IF(Year1_Reading Year1_ReferralSource_Health_services_OthPrimary="","",Year1_Reading Year1_ReferralSource_Health_services_OthPrimary)</f>
        <v/>
      </c>
      <c r="BV122" s="824" t="str">
        <f>IF(Year2_Reading Year2_ReferralSource_Health_services_OthPrimary="","",Year2_Reading Year2_ReferralSource_Health_services_OthPrimary)</f>
        <v/>
      </c>
      <c r="BW122" s="824" t="str">
        <f>IF(Year3_Reading Year3_ReferralSource_Health_services_OthPrimary="","",Year3_Reading Year3_ReferralSource_Health_services_OthPrimary)</f>
        <v/>
      </c>
      <c r="BX122" s="824" t="str">
        <f>IF(Year4_Reading Year4_ReferralSource_Health_services_OthPrimary="","",Year4_Reading Year4_ReferralSource_Health_services_OthPrimary)</f>
        <v/>
      </c>
      <c r="BY122" s="825" t="str">
        <f>IF(Year5_Reading Year5_ReferralSource_Health_services_OthPrimary="","",Year5_Reading Year5_ReferralSource_Health_services_OthPrimary)</f>
        <v/>
      </c>
      <c r="BZ122" s="823" t="str">
        <f>IF(Year1_Reading Year1_ReferralSource_Health_services_AE="","",Year1_Reading Year1_ReferralSource_Health_services_AE)</f>
        <v/>
      </c>
      <c r="CA122" s="824" t="str">
        <f>IF(Year2_Reading Year2_ReferralSource_Health_services_AE="","",Year2_Reading Year2_ReferralSource_Health_services_AE)</f>
        <v/>
      </c>
      <c r="CB122" s="824" t="str">
        <f>IF(Year3_Reading Year3_ReferralSource_Health_services_AE="","",Year3_Reading Year3_ReferralSource_Health_services_AE)</f>
        <v/>
      </c>
      <c r="CC122" s="824" t="str">
        <f>IF(Year4_Reading Year4_ReferralSource_Health_services_AE="","",Year4_Reading Year4_ReferralSource_Health_services_AE)</f>
        <v/>
      </c>
      <c r="CD122" s="825" t="str">
        <f>IF(Year5_Reading Year5_ReferralSource_Health_services_AE="","",Year5_Reading Year5_ReferralSource_Health_services_AE)</f>
        <v/>
      </c>
      <c r="CE122" s="823" t="str">
        <f>IF(Year1_Reading Year1_ReferralSource_Health_services_Other="","",Year1_Reading Year1_ReferralSource_Health_services_Other)</f>
        <v/>
      </c>
      <c r="CF122" s="824" t="str">
        <f>IF(Year2_Reading Year2_ReferralSource_Health_services_Other="","",Year2_Reading Year2_ReferralSource_Health_services_Other)</f>
        <v/>
      </c>
      <c r="CG122" s="824" t="str">
        <f>IF(Year3_Reading Year3_ReferralSource_Health_services_Other="","",Year3_Reading Year3_ReferralSource_Health_services_Other)</f>
        <v/>
      </c>
      <c r="CH122" s="824" t="str">
        <f>IF(Year4_Reading Year4_ReferralSource_Health_services_Other="","",Year4_Reading Year4_ReferralSource_Health_services_Other)</f>
        <v/>
      </c>
      <c r="CI122" s="825" t="str">
        <f>IF(Year5_Reading Year5_ReferralSource_Health_services_Other="","",Year5_Reading Year5_ReferralSource_Health_services_Other)</f>
        <v/>
      </c>
      <c r="CJ122" s="805">
        <f>IF(Year1_Reading Year1_ReferralSource_Housing="","",Year1_Reading Year1_ReferralSource_Housing)</f>
        <v>11</v>
      </c>
      <c r="CK122" s="806">
        <f>IF(Year2_Reading Year2_ReferralSource_Housing="","",Year2_Reading Year2_ReferralSource_Housing)</f>
        <v>123</v>
      </c>
      <c r="CL122" s="806">
        <f>IF(Year3_Reading Year3_ReferralSource_Housing="","",Year3_Reading Year3_ReferralSource_Housing)</f>
        <v>113</v>
      </c>
      <c r="CM122" s="806">
        <f>IF(Year4_Reading Year4_ReferralSource_Housing="","",Year4_Reading Year4_ReferralSource_Housing)</f>
        <v>66</v>
      </c>
      <c r="CN122" s="807">
        <f>IF(Year5_Reading Year5_ReferralSource_Housing="","",Year5_Reading Year5_ReferralSource_Housing)</f>
        <v>76</v>
      </c>
      <c r="CO122" s="805">
        <f>IF(Year1_Reading Year1_ReferralSource_LA_SC="","",Year1_Reading Year1_ReferralSource_LA_SC)</f>
        <v>33</v>
      </c>
      <c r="CP122" s="806">
        <f>IF(Year2_Reading Year2_ReferralSource_LA_SC="","",Year2_Reading Year2_ReferralSource_LA_SC)</f>
        <v>254</v>
      </c>
      <c r="CQ122" s="806">
        <f>IF(Year3_Reading Year3_ReferralSource_LA_SC="","",Year3_Reading Year3_ReferralSource_LA_SC)</f>
        <v>308</v>
      </c>
      <c r="CR122" s="806">
        <f>IF(Year4_Reading Year4_ReferralSource_LA_SC="","",Year4_Reading Year4_ReferralSource_LA_SC)</f>
        <v>279</v>
      </c>
      <c r="CS122" s="807">
        <f>IF(Year5_Reading Year5_ReferralSource_LA_SC="","",Year5_Reading Year5_ReferralSource_LA_SC)</f>
        <v>249</v>
      </c>
      <c r="CT122" s="805" t="str">
        <f>IF(Year1_Reading Year1_ReferralSource_LA_Other="","",Year1_Reading Year1_ReferralSource_LA_Other)</f>
        <v/>
      </c>
      <c r="CU122" s="806" t="str">
        <f>IF(Year2_Reading Year2_ReferralSource_LA_Other="","",Year2_Reading Year2_ReferralSource_LA_Other)</f>
        <v/>
      </c>
      <c r="CV122" s="806" t="str">
        <f>IF(Year3_Reading Year3_ReferralSource_LA_Other="","",Year3_Reading Year3_ReferralSource_LA_Other)</f>
        <v/>
      </c>
      <c r="CW122" s="806" t="str">
        <f>IF(Year4_Reading Year4_ReferralSource_LA_Other="","",Year4_Reading Year4_ReferralSource_LA_Other)</f>
        <v/>
      </c>
      <c r="CX122" s="807" t="str">
        <f>IF(Year5_Reading Year5_ReferralSource_LA_Other="","",Year5_Reading Year5_ReferralSource_LA_Other)</f>
        <v/>
      </c>
      <c r="CY122" s="805" t="str">
        <f>IF(Year1_Reading Year1_ReferralSource_LA_External="","",Year1_Reading Year1_ReferralSource_LA_External)</f>
        <v/>
      </c>
      <c r="CZ122" s="806" t="str">
        <f>IF(Year2_Reading Year2_ReferralSource_LA_External="","",Year2_Reading Year2_ReferralSource_LA_External)</f>
        <v/>
      </c>
      <c r="DA122" s="806" t="str">
        <f>IF(Year3_Reading Year3_ReferralSource_LA_External="","",Year3_Reading Year3_ReferralSource_LA_External)</f>
        <v/>
      </c>
      <c r="DB122" s="806" t="str">
        <f>IF(Year4_Reading Year4_ReferralSource_LA_External="","",Year4_Reading Year4_ReferralSource_LA_External)</f>
        <v/>
      </c>
      <c r="DC122" s="807" t="str">
        <f>IF(Year5_Reading Year5_ReferralSource_LA_External="","",Year5_Reading Year5_ReferralSource_LA_External)</f>
        <v/>
      </c>
      <c r="DD122" s="805">
        <f>IF(Year1_Reading Year1_ReferralSource_Police="","",Year1_Reading Year1_ReferralSource_Police)</f>
        <v>113</v>
      </c>
      <c r="DE122" s="806">
        <f>IF(Year2_Reading Year2_ReferralSource_Police="","",Year2_Reading Year2_ReferralSource_Police)</f>
        <v>1014</v>
      </c>
      <c r="DF122" s="806">
        <f>IF(Year3_Reading Year3_ReferralSource_Police="","",Year3_Reading Year3_ReferralSource_Police)</f>
        <v>1198</v>
      </c>
      <c r="DG122" s="806">
        <f>IF(Year4_Reading Year4_ReferralSource_Police="","",Year4_Reading Year4_ReferralSource_Police)</f>
        <v>1014</v>
      </c>
      <c r="DH122" s="807">
        <f>IF(Year5_Reading Year5_ReferralSource_Police="","",Year5_Reading Year5_ReferralSource_Police)</f>
        <v>1062</v>
      </c>
      <c r="DI122" s="805">
        <f>IF(Year1_Reading Year1_ReferralSource_Other_Legal="","",Year1_Reading Year1_ReferralSource_Other_Legal)</f>
        <v>33</v>
      </c>
      <c r="DJ122" s="806">
        <f>IF(Year2_Reading Year2_ReferralSource_Other_Legal="","",Year2_Reading Year2_ReferralSource_Other_Legal)</f>
        <v>135</v>
      </c>
      <c r="DK122" s="806">
        <f>IF(Year3_Reading Year3_ReferralSource_Other_Legal="","",Year3_Reading Year3_ReferralSource_Other_Legal)</f>
        <v>79</v>
      </c>
      <c r="DL122" s="806">
        <f>IF(Year4_Reading Year4_ReferralSource_Other_Legal="","",Year4_Reading Year4_ReferralSource_Other_Legal)</f>
        <v>70</v>
      </c>
      <c r="DM122" s="807">
        <f>IF(Year5_Reading Year5_ReferralSource_Other_Legal="","",Year5_Reading Year5_ReferralSource_Other_Legal)</f>
        <v>71</v>
      </c>
      <c r="DN122" s="805">
        <f>IF(Year1_Reading Year1_ReferralSource_Other="","",Year1_Reading Year1_ReferralSource_Other)</f>
        <v>11</v>
      </c>
      <c r="DO122" s="806">
        <f>IF(Year2_Reading Year2_ReferralSource_Other="","",Year2_Reading Year2_ReferralSource_Other)</f>
        <v>204</v>
      </c>
      <c r="DP122" s="806">
        <f>IF(Year3_Reading Year3_ReferralSource_Other="","",Year3_Reading Year3_ReferralSource_Other)</f>
        <v>292</v>
      </c>
      <c r="DQ122" s="806">
        <f>IF(Year4_Reading Year4_ReferralSource_Other="","",Year4_Reading Year4_ReferralSource_Other)</f>
        <v>122</v>
      </c>
      <c r="DR122" s="807">
        <f>IF(Year5_Reading Year5_ReferralSource_Other="","",Year5_Reading Year5_ReferralSource_Other)</f>
        <v>138</v>
      </c>
      <c r="DS122" s="805" t="str">
        <f>IF(Year1_Reading Year1_ReferralSource_Anonymous="","",Year1_Reading Year1_ReferralSource_Anonymous)</f>
        <v>x</v>
      </c>
      <c r="DT122" s="806">
        <f>IF(Year2_Reading Year2_ReferralSource_Anonymous="","",Year2_Reading Year2_ReferralSource_Anonymous)</f>
        <v>22</v>
      </c>
      <c r="DU122" s="806">
        <f>IF(Year3_Reading Year3_ReferralSource_Anonymous="","",Year3_Reading Year3_ReferralSource_Anonymous)</f>
        <v>35</v>
      </c>
      <c r="DV122" s="806" t="str">
        <f>IF(Year4_Reading Year4_ReferralSource_Anonymous="","",Year4_Reading Year4_ReferralSource_Anonymous)</f>
        <v>x</v>
      </c>
      <c r="DW122" s="807">
        <f>IF(Year5_Reading Year5_ReferralSource_Anonymous="","",Year5_Reading Year5_ReferralSource_Anonymous)</f>
        <v>35</v>
      </c>
      <c r="DX122" s="805">
        <f>IF(Year1_Reading Year1_ReferralSource_Unknown="","",Year1_Reading Year1_ReferralSource_Unknown)</f>
        <v>1366</v>
      </c>
      <c r="DY122" s="806">
        <f>IF(Year2_Reading Year2_ReferralSource_Unknown="","",Year2_Reading Year2_ReferralSource_Unknown)</f>
        <v>47</v>
      </c>
      <c r="DZ122" s="806">
        <f>IF(Year3_Reading Year3_ReferralSource_Unknown="","",Year3_Reading Year3_ReferralSource_Unknown)</f>
        <v>47</v>
      </c>
      <c r="EA122" s="806" t="str">
        <f>IF(Year4_Reading Year4_ReferralSource_Unknown="","",Year4_Reading Year4_ReferralSource_Unknown)</f>
        <v>x</v>
      </c>
      <c r="EB122" s="807">
        <f>IF(Year5_Reading Year5_ReferralSource_Unknown="","",Year5_Reading Year5_ReferralSource_Unknown)</f>
        <v>0</v>
      </c>
    </row>
    <row r="123" spans="1:132" s="83" customFormat="1" ht="16.5" customHeight="1" x14ac:dyDescent="0.2">
      <c r="A123" s="271"/>
      <c r="B123" s="170" t="str">
        <f>Sheet1!$K$16</f>
        <v>Slough</v>
      </c>
      <c r="C123" s="9"/>
      <c r="D123" s="1483"/>
      <c r="E123" s="1484"/>
      <c r="F123" s="1483"/>
      <c r="G123" s="1484"/>
      <c r="H123" s="1483"/>
      <c r="I123" s="1484"/>
      <c r="J123" s="1483"/>
      <c r="K123" s="1484"/>
      <c r="L123" s="1483"/>
      <c r="M123" s="1484"/>
      <c r="N123" s="1483"/>
      <c r="O123" s="1484"/>
      <c r="P123" s="1483"/>
      <c r="Q123" s="1484"/>
      <c r="R123" s="1483"/>
      <c r="S123" s="1484"/>
      <c r="T123" s="1483"/>
      <c r="U123" s="1484"/>
      <c r="V123" s="1483"/>
      <c r="W123" s="1484"/>
      <c r="X123" s="15"/>
      <c r="Y123" s="119"/>
      <c r="Z123" s="138"/>
      <c r="AB123" s="814">
        <f>IF(Year1_Slough Year1_ReferralSource_Individual_Family="","",Year1_Slough Year1_ReferralSource_Individual_Family)</f>
        <v>153</v>
      </c>
      <c r="AC123" s="815">
        <f>IF(Year2_Slough Year2_ReferralSource_Individual_Family="","",Year2_Slough Year2_ReferralSource_Individual_Family)</f>
        <v>177</v>
      </c>
      <c r="AD123" s="815">
        <f>IF(Year3_Slough Year3_ReferralSource_Individual_Family="","",Year3_Slough Year3_ReferralSource_Individual_Family)</f>
        <v>261</v>
      </c>
      <c r="AE123" s="815">
        <f>IF(Year4_Slough Year4_ReferralSource_Individual_Family="","",Year4_Slough Year4_ReferralSource_Individual_Family)</f>
        <v>110</v>
      </c>
      <c r="AF123" s="816">
        <f>IF(Year5_Slough Year5_ReferralSource_Individual_Family="","",Year5_Slough Year5_ReferralSource_Individual_Family)</f>
        <v>138</v>
      </c>
      <c r="AG123" s="814" t="str">
        <f>IF(Year1_Slough Year1_ReferralSource_Individual_Acquaintance="","",Year1_Slough Year1_ReferralSource_Individual_Acquaintance)</f>
        <v/>
      </c>
      <c r="AH123" s="815" t="str">
        <f>IF(Year2_Slough Year2_ReferralSource_Individual_Acquaintance="","",Year2_Slough Year2_ReferralSource_Individual_Acquaintance)</f>
        <v/>
      </c>
      <c r="AI123" s="815" t="str">
        <f>IF(Year3_Slough Year3_ReferralSource_Individual_Acquaintance="","",Year3_Slough Year3_ReferralSource_Individual_Acquaintance)</f>
        <v/>
      </c>
      <c r="AJ123" s="815" t="str">
        <f>IF(Year4_Slough Year4_ReferralSource_Individual_Acquaintance="","",Year4_Slough Year4_ReferralSource_Individual_Acquaintance)</f>
        <v/>
      </c>
      <c r="AK123" s="816" t="str">
        <f>IF(Year5_Slough Year5_ReferralSource_Individual_Acquaintance="","",Year5_Slough Year5_ReferralSource_Individual_Acquaintance)</f>
        <v/>
      </c>
      <c r="AL123" s="814" t="str">
        <f>IF(Year1_Slough Year1_ReferralSource_Individual_Self="","",Year1_Slough Year1_ReferralSource_Individual_Self)</f>
        <v/>
      </c>
      <c r="AM123" s="815" t="str">
        <f>IF(Year2_Slough Year2_ReferralSource_Individual_Self="","",Year2_Slough Year2_ReferralSource_Individual_Self)</f>
        <v/>
      </c>
      <c r="AN123" s="815" t="str">
        <f>IF(Year3_Slough Year3_ReferralSource_Individual_Self="","",Year3_Slough Year3_ReferralSource_Individual_Self)</f>
        <v/>
      </c>
      <c r="AO123" s="815" t="str">
        <f>IF(Year4_Slough Year4_ReferralSource_Individual_Self="","",Year4_Slough Year4_ReferralSource_Individual_Self)</f>
        <v/>
      </c>
      <c r="AP123" s="816" t="str">
        <f>IF(Year5_Slough Year5_ReferralSource_Individual_Self="","",Year5_Slough Year5_ReferralSource_Individual_Self)</f>
        <v/>
      </c>
      <c r="AQ123" s="814" t="str">
        <f>IF(Year1_Slough Year1_ReferralSource_Individual_Other="","",Year1_Slough Year1_ReferralSource_Individual_Other)</f>
        <v/>
      </c>
      <c r="AR123" s="815" t="str">
        <f>IF(Year2_Slough Year2_ReferralSource_Individual_Other="","",Year2_Slough Year2_ReferralSource_Individual_Other)</f>
        <v/>
      </c>
      <c r="AS123" s="815" t="str">
        <f>IF(Year3_Slough Year3_ReferralSource_Individual_Other="","",Year3_Slough Year3_ReferralSource_Individual_Other)</f>
        <v/>
      </c>
      <c r="AT123" s="815" t="str">
        <f>IF(Year4_Slough Year4_ReferralSource_Individual_Other="","",Year4_Slough Year4_ReferralSource_Individual_Other)</f>
        <v/>
      </c>
      <c r="AU123" s="816" t="str">
        <f>IF(Year5_Slough Year5_ReferralSource_Individual_Other="","",Year5_Slough Year5_ReferralSource_Individual_Other)</f>
        <v/>
      </c>
      <c r="AV123" s="814">
        <f>IF(Year1_Slough Year1_ReferralSource_School="","",Year1_Slough Year1_ReferralSource_School)</f>
        <v>477</v>
      </c>
      <c r="AW123" s="815">
        <f>IF(Year2_Slough Year2_ReferralSource_School="","",Year2_Slough Year2_ReferralSource_School)</f>
        <v>524</v>
      </c>
      <c r="AX123" s="815">
        <f>IF(Year3_Slough Year3_ReferralSource_School="","",Year3_Slough Year3_ReferralSource_School)</f>
        <v>712</v>
      </c>
      <c r="AY123" s="815">
        <f>IF(Year4_Slough Year4_ReferralSource_School="","",Year4_Slough Year4_ReferralSource_School)</f>
        <v>266</v>
      </c>
      <c r="AZ123" s="816">
        <f>IF(Year5_Slough Year5_ReferralSource_School="","",Year5_Slough Year5_ReferralSource_School)</f>
        <v>459</v>
      </c>
      <c r="BA123" s="814">
        <f>IF(Year1_Slough Year1_ReferralSource_EducationServices="","",Year1_Slough Year1_ReferralSource_EducationServices)</f>
        <v>11</v>
      </c>
      <c r="BB123" s="815">
        <f>IF(Year2_Slough Year2_ReferralSource_EducationServices="","",Year2_Slough Year2_ReferralSource_EducationServices)</f>
        <v>48</v>
      </c>
      <c r="BC123" s="815">
        <f>IF(Year3_Slough Year3_ReferralSource_EducationServices="","",Year3_Slough Year3_ReferralSource_EducationServices)</f>
        <v>62</v>
      </c>
      <c r="BD123" s="815">
        <f>IF(Year4_Slough Year4_ReferralSource_EducationServices="","",Year4_Slough Year4_ReferralSource_EducationServices)</f>
        <v>12</v>
      </c>
      <c r="BE123" s="816">
        <f>IF(Year5_Slough Year5_ReferralSource_EducationServices="","",Year5_Slough Year5_ReferralSource_EducationServices)</f>
        <v>0</v>
      </c>
      <c r="BF123" s="826">
        <f>IF(Year1_Slough Year1_ReferralSource_Health_services_GP="","",Year1_Slough Year1_ReferralSource_Health_services_GP)</f>
        <v>266</v>
      </c>
      <c r="BG123" s="827">
        <f>IF(Year2_Slough Year2_ReferralSource_Health_services_GP="","",Year2_Slough Year2_ReferralSource_Health_services_GP)</f>
        <v>346</v>
      </c>
      <c r="BH123" s="827">
        <f>IF(Year3_Slough Year3_ReferralSource_Health_services_GP="","",Year3_Slough Year3_ReferralSource_Health_services_GP)</f>
        <v>690</v>
      </c>
      <c r="BI123" s="827">
        <f>IF(Year4_Slough Year4_ReferralSource_Health_services_GP="","",Year4_Slough Year4_ReferralSource_Health_services_GP)</f>
        <v>200</v>
      </c>
      <c r="BJ123" s="828">
        <f>IF(Year5_Slough Year5_ReferralSource_Health_services_GP="","",Year5_Slough Year5_ReferralSource_Health_services_GP)</f>
        <v>209</v>
      </c>
      <c r="BK123" s="826" t="str">
        <f>IF(Year1_Slough Year1_ReferralSource_Health_services_HealthVisitor="","",Year1_Slough Year1_ReferralSource_Health_services_HealthVisitor)</f>
        <v/>
      </c>
      <c r="BL123" s="827" t="str">
        <f>IF(Year2_Slough Year2_ReferralSource_Health_services_HealthVisitor="","",Year2_Slough Year2_ReferralSource_Health_services_HealthVisitor)</f>
        <v/>
      </c>
      <c r="BM123" s="827" t="str">
        <f>IF(Year3_Slough Year3_ReferralSource_Health_services_HealthVisitor="","",Year3_Slough Year3_ReferralSource_Health_services_HealthVisitor)</f>
        <v/>
      </c>
      <c r="BN123" s="827" t="str">
        <f>IF(Year4_Slough Year4_ReferralSource_Health_services_HealthVisitor="","",Year4_Slough Year4_ReferralSource_Health_services_HealthVisitor)</f>
        <v/>
      </c>
      <c r="BO123" s="828" t="str">
        <f>IF(Year5_Slough Year5_ReferralSource_Health_services_HealthVisitor="","",Year5_Slough Year5_ReferralSource_Health_services_HealthVisitor)</f>
        <v/>
      </c>
      <c r="BP123" s="826" t="str">
        <f>IF(Year1_Slough Year1_ReferralSource_Health_services_SchoolNurse="","",Year1_Slough Year1_ReferralSource_Health_services_SchoolNurse)</f>
        <v/>
      </c>
      <c r="BQ123" s="827" t="str">
        <f>IF(Year2_Slough Year2_ReferralSource_Health_services_SchoolNurse="","",Year2_Slough Year2_ReferralSource_Health_services_SchoolNurse)</f>
        <v/>
      </c>
      <c r="BR123" s="827" t="str">
        <f>IF(Year3_Slough Year3_ReferralSource_Health_services_SchoolNurse="","",Year3_Slough Year3_ReferralSource_Health_services_SchoolNurse)</f>
        <v/>
      </c>
      <c r="BS123" s="827" t="str">
        <f>IF(Year4_Slough Year4_ReferralSource_Health_services_SchoolNurse="","",Year4_Slough Year4_ReferralSource_Health_services_SchoolNurse)</f>
        <v/>
      </c>
      <c r="BT123" s="828" t="str">
        <f>IF(Year5_Slough Year5_ReferralSource_Health_services_SchoolNurse="","",Year5_Slough Year5_ReferralSource_Health_services_SchoolNurse)</f>
        <v/>
      </c>
      <c r="BU123" s="826" t="str">
        <f>IF(Year1_Slough Year1_ReferralSource_Health_services_OthPrimary="","",Year1_Slough Year1_ReferralSource_Health_services_OthPrimary)</f>
        <v/>
      </c>
      <c r="BV123" s="827" t="str">
        <f>IF(Year2_Slough Year2_ReferralSource_Health_services_OthPrimary="","",Year2_Slough Year2_ReferralSource_Health_services_OthPrimary)</f>
        <v/>
      </c>
      <c r="BW123" s="827" t="str">
        <f>IF(Year3_Slough Year3_ReferralSource_Health_services_OthPrimary="","",Year3_Slough Year3_ReferralSource_Health_services_OthPrimary)</f>
        <v/>
      </c>
      <c r="BX123" s="827" t="str">
        <f>IF(Year4_Slough Year4_ReferralSource_Health_services_OthPrimary="","",Year4_Slough Year4_ReferralSource_Health_services_OthPrimary)</f>
        <v/>
      </c>
      <c r="BY123" s="828" t="str">
        <f>IF(Year5_Slough Year5_ReferralSource_Health_services_OthPrimary="","",Year5_Slough Year5_ReferralSource_Health_services_OthPrimary)</f>
        <v/>
      </c>
      <c r="BZ123" s="826" t="str">
        <f>IF(Year1_Slough Year1_ReferralSource_Health_services_AE="","",Year1_Slough Year1_ReferralSource_Health_services_AE)</f>
        <v/>
      </c>
      <c r="CA123" s="827" t="str">
        <f>IF(Year2_Slough Year2_ReferralSource_Health_services_AE="","",Year2_Slough Year2_ReferralSource_Health_services_AE)</f>
        <v/>
      </c>
      <c r="CB123" s="827" t="str">
        <f>IF(Year3_Slough Year3_ReferralSource_Health_services_AE="","",Year3_Slough Year3_ReferralSource_Health_services_AE)</f>
        <v/>
      </c>
      <c r="CC123" s="827" t="str">
        <f>IF(Year4_Slough Year4_ReferralSource_Health_services_AE="","",Year4_Slough Year4_ReferralSource_Health_services_AE)</f>
        <v/>
      </c>
      <c r="CD123" s="828" t="str">
        <f>IF(Year5_Slough Year5_ReferralSource_Health_services_AE="","",Year5_Slough Year5_ReferralSource_Health_services_AE)</f>
        <v/>
      </c>
      <c r="CE123" s="826" t="str">
        <f>IF(Year1_Slough Year1_ReferralSource_Health_services_Other="","",Year1_Slough Year1_ReferralSource_Health_services_Other)</f>
        <v/>
      </c>
      <c r="CF123" s="827" t="str">
        <f>IF(Year2_Slough Year2_ReferralSource_Health_services_Other="","",Year2_Slough Year2_ReferralSource_Health_services_Other)</f>
        <v/>
      </c>
      <c r="CG123" s="827" t="str">
        <f>IF(Year3_Slough Year3_ReferralSource_Health_services_Other="","",Year3_Slough Year3_ReferralSource_Health_services_Other)</f>
        <v/>
      </c>
      <c r="CH123" s="827" t="str">
        <f>IF(Year4_Slough Year4_ReferralSource_Health_services_Other="","",Year4_Slough Year4_ReferralSource_Health_services_Other)</f>
        <v/>
      </c>
      <c r="CI123" s="828" t="str">
        <f>IF(Year5_Slough Year5_ReferralSource_Health_services_Other="","",Year5_Slough Year5_ReferralSource_Health_services_Other)</f>
        <v/>
      </c>
      <c r="CJ123" s="814">
        <f>IF(Year1_Slough Year1_ReferralSource_Housing="","",Year1_Slough Year1_ReferralSource_Housing)</f>
        <v>20</v>
      </c>
      <c r="CK123" s="815">
        <f>IF(Year2_Slough Year2_ReferralSource_Housing="","",Year2_Slough Year2_ReferralSource_Housing)</f>
        <v>21</v>
      </c>
      <c r="CL123" s="815" t="str">
        <f>IF(Year3_Slough Year3_ReferralSource_Housing="","",Year3_Slough Year3_ReferralSource_Housing)</f>
        <v>x</v>
      </c>
      <c r="CM123" s="815" t="str">
        <f>IF(Year4_Slough Year4_ReferralSource_Housing="","",Year4_Slough Year4_ReferralSource_Housing)</f>
        <v>x</v>
      </c>
      <c r="CN123" s="816">
        <f>IF(Year5_Slough Year5_ReferralSource_Housing="","",Year5_Slough Year5_ReferralSource_Housing)</f>
        <v>0</v>
      </c>
      <c r="CO123" s="814">
        <f>IF(Year1_Slough Year1_ReferralSource_LA_SC="","",Year1_Slough Year1_ReferralSource_LA_SC)</f>
        <v>498</v>
      </c>
      <c r="CP123" s="815">
        <f>IF(Year2_Slough Year2_ReferralSource_LA_SC="","",Year2_Slough Year2_ReferralSource_LA_SC)</f>
        <v>553</v>
      </c>
      <c r="CQ123" s="815">
        <f>IF(Year3_Slough Year3_ReferralSource_LA_SC="","",Year3_Slough Year3_ReferralSource_LA_SC)</f>
        <v>997</v>
      </c>
      <c r="CR123" s="815">
        <f>IF(Year4_Slough Year4_ReferralSource_LA_SC="","",Year4_Slough Year4_ReferralSource_LA_SC)</f>
        <v>368</v>
      </c>
      <c r="CS123" s="816">
        <f>IF(Year5_Slough Year5_ReferralSource_LA_SC="","",Year5_Slough Year5_ReferralSource_LA_SC)</f>
        <v>331</v>
      </c>
      <c r="CT123" s="814" t="str">
        <f>IF(Year1_Slough Year1_ReferralSource_LA_Other="","",Year1_Slough Year1_ReferralSource_LA_Other)</f>
        <v/>
      </c>
      <c r="CU123" s="815" t="str">
        <f>IF(Year2_Slough Year2_ReferralSource_LA_Other="","",Year2_Slough Year2_ReferralSource_LA_Other)</f>
        <v/>
      </c>
      <c r="CV123" s="815" t="str">
        <f>IF(Year3_Slough Year3_ReferralSource_LA_Other="","",Year3_Slough Year3_ReferralSource_LA_Other)</f>
        <v/>
      </c>
      <c r="CW123" s="815" t="str">
        <f>IF(Year4_Slough Year4_ReferralSource_LA_Other="","",Year4_Slough Year4_ReferralSource_LA_Other)</f>
        <v/>
      </c>
      <c r="CX123" s="816" t="str">
        <f>IF(Year5_Slough Year5_ReferralSource_LA_Other="","",Year5_Slough Year5_ReferralSource_LA_Other)</f>
        <v/>
      </c>
      <c r="CY123" s="814" t="str">
        <f>IF(Year1_Slough Year1_ReferralSource_LA_External="","",Year1_Slough Year1_ReferralSource_LA_External)</f>
        <v/>
      </c>
      <c r="CZ123" s="815" t="str">
        <f>IF(Year2_Slough Year2_ReferralSource_LA_External="","",Year2_Slough Year2_ReferralSource_LA_External)</f>
        <v/>
      </c>
      <c r="DA123" s="815" t="str">
        <f>IF(Year3_Slough Year3_ReferralSource_LA_External="","",Year3_Slough Year3_ReferralSource_LA_External)</f>
        <v/>
      </c>
      <c r="DB123" s="815" t="str">
        <f>IF(Year4_Slough Year4_ReferralSource_LA_External="","",Year4_Slough Year4_ReferralSource_LA_External)</f>
        <v/>
      </c>
      <c r="DC123" s="816" t="str">
        <f>IF(Year5_Slough Year5_ReferralSource_LA_External="","",Year5_Slough Year5_ReferralSource_LA_External)</f>
        <v/>
      </c>
      <c r="DD123" s="814">
        <f>IF(Year1_Slough Year1_ReferralSource_Police="","",Year1_Slough Year1_ReferralSource_Police)</f>
        <v>642</v>
      </c>
      <c r="DE123" s="815">
        <f>IF(Year2_Slough Year2_ReferralSource_Police="","",Year2_Slough Year2_ReferralSource_Police)</f>
        <v>917</v>
      </c>
      <c r="DF123" s="815">
        <f>IF(Year3_Slough Year3_ReferralSource_Police="","",Year3_Slough Year3_ReferralSource_Police)</f>
        <v>2192</v>
      </c>
      <c r="DG123" s="815">
        <f>IF(Year4_Slough Year4_ReferralSource_Police="","",Year4_Slough Year4_ReferralSource_Police)</f>
        <v>515</v>
      </c>
      <c r="DH123" s="816">
        <f>IF(Year5_Slough Year5_ReferralSource_Police="","",Year5_Slough Year5_ReferralSource_Police)</f>
        <v>624</v>
      </c>
      <c r="DI123" s="814">
        <f>IF(Year1_Slough Year1_ReferralSource_Other_Legal="","",Year1_Slough Year1_ReferralSource_Other_Legal)</f>
        <v>56</v>
      </c>
      <c r="DJ123" s="815">
        <f>IF(Year2_Slough Year2_ReferralSource_Other_Legal="","",Year2_Slough Year2_ReferralSource_Other_Legal)</f>
        <v>68</v>
      </c>
      <c r="DK123" s="815">
        <f>IF(Year3_Slough Year3_ReferralSource_Other_Legal="","",Year3_Slough Year3_ReferralSource_Other_Legal)</f>
        <v>574</v>
      </c>
      <c r="DL123" s="815">
        <f>IF(Year4_Slough Year4_ReferralSource_Other_Legal="","",Year4_Slough Year4_ReferralSource_Other_Legal)</f>
        <v>45</v>
      </c>
      <c r="DM123" s="816">
        <f>IF(Year5_Slough Year5_ReferralSource_Other_Legal="","",Year5_Slough Year5_ReferralSource_Other_Legal)</f>
        <v>69</v>
      </c>
      <c r="DN123" s="814">
        <f>IF(Year1_Slough Year1_ReferralSource_Other="","",Year1_Slough Year1_ReferralSource_Other)</f>
        <v>139</v>
      </c>
      <c r="DO123" s="815">
        <f>IF(Year2_Slough Year2_ReferralSource_Other="","",Year2_Slough Year2_ReferralSource_Other)</f>
        <v>89</v>
      </c>
      <c r="DP123" s="815">
        <f>IF(Year3_Slough Year3_ReferralSource_Other="","",Year3_Slough Year3_ReferralSource_Other)</f>
        <v>164</v>
      </c>
      <c r="DQ123" s="815">
        <f>IF(Year4_Slough Year4_ReferralSource_Other="","",Year4_Slough Year4_ReferralSource_Other)</f>
        <v>29</v>
      </c>
      <c r="DR123" s="816">
        <f>IF(Year5_Slough Year5_ReferralSource_Other="","",Year5_Slough Year5_ReferralSource_Other)</f>
        <v>124</v>
      </c>
      <c r="DS123" s="814">
        <f>IF(Year1_Slough Year1_ReferralSource_Anonymous="","",Year1_Slough Year1_ReferralSource_Anonymous)</f>
        <v>20</v>
      </c>
      <c r="DT123" s="815">
        <f>IF(Year2_Slough Year2_ReferralSource_Anonymous="","",Year2_Slough Year2_ReferralSource_Anonymous)</f>
        <v>31</v>
      </c>
      <c r="DU123" s="815">
        <f>IF(Year3_Slough Year3_ReferralSource_Anonymous="","",Year3_Slough Year3_ReferralSource_Anonymous)</f>
        <v>32</v>
      </c>
      <c r="DV123" s="815">
        <f>IF(Year4_Slough Year4_ReferralSource_Anonymous="","",Year4_Slough Year4_ReferralSource_Anonymous)</f>
        <v>43</v>
      </c>
      <c r="DW123" s="816">
        <f>IF(Year5_Slough Year5_ReferralSource_Anonymous="","",Year5_Slough Year5_ReferralSource_Anonymous)</f>
        <v>21</v>
      </c>
      <c r="DX123" s="814">
        <f>IF(Year1_Slough Year1_ReferralSource_Unknown="","",Year1_Slough Year1_ReferralSource_Unknown)</f>
        <v>0</v>
      </c>
      <c r="DY123" s="815">
        <f>IF(Year2_Slough Year2_ReferralSource_Unknown="","",Year2_Slough Year2_ReferralSource_Unknown)</f>
        <v>0</v>
      </c>
      <c r="DZ123" s="815" t="str">
        <f>IF(Year3_Slough Year3_ReferralSource_Unknown="","",Year3_Slough Year3_ReferralSource_Unknown)</f>
        <v>x</v>
      </c>
      <c r="EA123" s="815" t="str">
        <f>IF(Year4_Slough Year4_ReferralSource_Unknown="","",Year4_Slough Year4_ReferralSource_Unknown)</f>
        <v>x</v>
      </c>
      <c r="EB123" s="816">
        <f>IF(Year5_Slough Year5_ReferralSource_Unknown="","",Year5_Slough Year5_ReferralSource_Unknown)</f>
        <v>0</v>
      </c>
    </row>
    <row r="124" spans="1:132" s="83" customFormat="1" ht="16.5" customHeight="1" x14ac:dyDescent="0.2">
      <c r="A124" s="271"/>
      <c r="B124" s="170" t="str">
        <f>Sheet1!$K$17</f>
        <v>Somerset</v>
      </c>
      <c r="C124" s="9"/>
      <c r="D124" s="1483"/>
      <c r="E124" s="1484"/>
      <c r="F124" s="1483"/>
      <c r="G124" s="1484"/>
      <c r="H124" s="1483"/>
      <c r="I124" s="1484"/>
      <c r="J124" s="1483"/>
      <c r="K124" s="1484"/>
      <c r="L124" s="1483"/>
      <c r="M124" s="1484"/>
      <c r="N124" s="1483"/>
      <c r="O124" s="1484"/>
      <c r="P124" s="1483"/>
      <c r="Q124" s="1484"/>
      <c r="R124" s="1483"/>
      <c r="S124" s="1484"/>
      <c r="T124" s="1483"/>
      <c r="U124" s="1484"/>
      <c r="V124" s="1483"/>
      <c r="W124" s="1484"/>
      <c r="X124" s="15"/>
      <c r="Y124" s="119"/>
      <c r="Z124" s="138"/>
      <c r="AB124" s="808">
        <f>IF(Year1_Somerset Year1_ReferralSource_Individual_Family="","",Year1_Somerset Year1_ReferralSource_Individual_Family)</f>
        <v>582</v>
      </c>
      <c r="AC124" s="809">
        <f>IF(Year2_Somerset Year2_ReferralSource_Individual_Family="","",Year2_Somerset Year2_ReferralSource_Individual_Family)</f>
        <v>512</v>
      </c>
      <c r="AD124" s="809">
        <f>IF(Year3_Somerset Year3_ReferralSource_Individual_Family="","",Year3_Somerset Year3_ReferralSource_Individual_Family)</f>
        <v>621</v>
      </c>
      <c r="AE124" s="809">
        <f>IF(Year4_Somerset Year4_ReferralSource_Individual_Family="","",Year4_Somerset Year4_ReferralSource_Individual_Family)</f>
        <v>641</v>
      </c>
      <c r="AF124" s="810">
        <f>IF(Year5_Somerset Year5_ReferralSource_Individual_Family="","",Year5_Somerset Year5_ReferralSource_Individual_Family)</f>
        <v>92</v>
      </c>
      <c r="AG124" s="808" t="str">
        <f>IF(Year1_Somerset Year1_ReferralSource_Individual_Acquaintance="","",Year1_Somerset Year1_ReferralSource_Individual_Acquaintance)</f>
        <v/>
      </c>
      <c r="AH124" s="809" t="str">
        <f>IF(Year2_Somerset Year2_ReferralSource_Individual_Acquaintance="","",Year2_Somerset Year2_ReferralSource_Individual_Acquaintance)</f>
        <v/>
      </c>
      <c r="AI124" s="809" t="str">
        <f>IF(Year3_Somerset Year3_ReferralSource_Individual_Acquaintance="","",Year3_Somerset Year3_ReferralSource_Individual_Acquaintance)</f>
        <v/>
      </c>
      <c r="AJ124" s="809" t="str">
        <f>IF(Year4_Somerset Year4_ReferralSource_Individual_Acquaintance="","",Year4_Somerset Year4_ReferralSource_Individual_Acquaintance)</f>
        <v/>
      </c>
      <c r="AK124" s="810" t="str">
        <f>IF(Year5_Somerset Year5_ReferralSource_Individual_Acquaintance="","",Year5_Somerset Year5_ReferralSource_Individual_Acquaintance)</f>
        <v/>
      </c>
      <c r="AL124" s="808" t="str">
        <f>IF(Year1_Somerset Year1_ReferralSource_Individual_Self="","",Year1_Somerset Year1_ReferralSource_Individual_Self)</f>
        <v/>
      </c>
      <c r="AM124" s="809" t="str">
        <f>IF(Year2_Somerset Year2_ReferralSource_Individual_Self="","",Year2_Somerset Year2_ReferralSource_Individual_Self)</f>
        <v/>
      </c>
      <c r="AN124" s="809" t="str">
        <f>IF(Year3_Somerset Year3_ReferralSource_Individual_Self="","",Year3_Somerset Year3_ReferralSource_Individual_Self)</f>
        <v/>
      </c>
      <c r="AO124" s="809" t="str">
        <f>IF(Year4_Somerset Year4_ReferralSource_Individual_Self="","",Year4_Somerset Year4_ReferralSource_Individual_Self)</f>
        <v/>
      </c>
      <c r="AP124" s="810" t="str">
        <f>IF(Year5_Somerset Year5_ReferralSource_Individual_Self="","",Year5_Somerset Year5_ReferralSource_Individual_Self)</f>
        <v/>
      </c>
      <c r="AQ124" s="808" t="str">
        <f>IF(Year1_Somerset Year1_ReferralSource_Individual_Other="","",Year1_Somerset Year1_ReferralSource_Individual_Other)</f>
        <v/>
      </c>
      <c r="AR124" s="809" t="str">
        <f>IF(Year2_Somerset Year2_ReferralSource_Individual_Other="","",Year2_Somerset Year2_ReferralSource_Individual_Other)</f>
        <v/>
      </c>
      <c r="AS124" s="809" t="str">
        <f>IF(Year3_Somerset Year3_ReferralSource_Individual_Other="","",Year3_Somerset Year3_ReferralSource_Individual_Other)</f>
        <v/>
      </c>
      <c r="AT124" s="809" t="str">
        <f>IF(Year4_Somerset Year4_ReferralSource_Individual_Other="","",Year4_Somerset Year4_ReferralSource_Individual_Other)</f>
        <v/>
      </c>
      <c r="AU124" s="810" t="str">
        <f>IF(Year5_Somerset Year5_ReferralSource_Individual_Other="","",Year5_Somerset Year5_ReferralSource_Individual_Other)</f>
        <v/>
      </c>
      <c r="AV124" s="808">
        <f>IF(Year1_Somerset Year1_ReferralSource_School="","",Year1_Somerset Year1_ReferralSource_School)</f>
        <v>1157</v>
      </c>
      <c r="AW124" s="809">
        <f>IF(Year2_Somerset Year2_ReferralSource_School="","",Year2_Somerset Year2_ReferralSource_School)</f>
        <v>733</v>
      </c>
      <c r="AX124" s="809">
        <f>IF(Year3_Somerset Year3_ReferralSource_School="","",Year3_Somerset Year3_ReferralSource_School)</f>
        <v>809</v>
      </c>
      <c r="AY124" s="809">
        <f>IF(Year4_Somerset Year4_ReferralSource_School="","",Year4_Somerset Year4_ReferralSource_School)</f>
        <v>669</v>
      </c>
      <c r="AZ124" s="810">
        <f>IF(Year5_Somerset Year5_ReferralSource_School="","",Year5_Somerset Year5_ReferralSource_School)</f>
        <v>561</v>
      </c>
      <c r="BA124" s="808">
        <f>IF(Year1_Somerset Year1_ReferralSource_EducationServices="","",Year1_Somerset Year1_ReferralSource_EducationServices)</f>
        <v>117</v>
      </c>
      <c r="BB124" s="809">
        <f>IF(Year2_Somerset Year2_ReferralSource_EducationServices="","",Year2_Somerset Year2_ReferralSource_EducationServices)</f>
        <v>85</v>
      </c>
      <c r="BC124" s="809">
        <f>IF(Year3_Somerset Year3_ReferralSource_EducationServices="","",Year3_Somerset Year3_ReferralSource_EducationServices)</f>
        <v>104</v>
      </c>
      <c r="BD124" s="809">
        <f>IF(Year4_Somerset Year4_ReferralSource_EducationServices="","",Year4_Somerset Year4_ReferralSource_EducationServices)</f>
        <v>67</v>
      </c>
      <c r="BE124" s="810">
        <f>IF(Year5_Somerset Year5_ReferralSource_EducationServices="","",Year5_Somerset Year5_ReferralSource_EducationServices)</f>
        <v>0</v>
      </c>
      <c r="BF124" s="829">
        <f>IF(Year1_Somerset Year1_ReferralSource_Health_services_GP="","",Year1_Somerset Year1_ReferralSource_Health_services_GP)</f>
        <v>1009</v>
      </c>
      <c r="BG124" s="830">
        <f>IF(Year2_Somerset Year2_ReferralSource_Health_services_GP="","",Year2_Somerset Year2_ReferralSource_Health_services_GP)</f>
        <v>686</v>
      </c>
      <c r="BH124" s="830">
        <f>IF(Year3_Somerset Year3_ReferralSource_Health_services_GP="","",Year3_Somerset Year3_ReferralSource_Health_services_GP)</f>
        <v>670</v>
      </c>
      <c r="BI124" s="830">
        <f>IF(Year4_Somerset Year4_ReferralSource_Health_services_GP="","",Year4_Somerset Year4_ReferralSource_Health_services_GP)</f>
        <v>806</v>
      </c>
      <c r="BJ124" s="831">
        <f>IF(Year5_Somerset Year5_ReferralSource_Health_services_GP="","",Year5_Somerset Year5_ReferralSource_Health_services_GP)</f>
        <v>363</v>
      </c>
      <c r="BK124" s="829" t="str">
        <f>IF(Year1_Somerset Year1_ReferralSource_Health_services_HealthVisitor="","",Year1_Somerset Year1_ReferralSource_Health_services_HealthVisitor)</f>
        <v/>
      </c>
      <c r="BL124" s="830" t="str">
        <f>IF(Year2_Somerset Year2_ReferralSource_Health_services_HealthVisitor="","",Year2_Somerset Year2_ReferralSource_Health_services_HealthVisitor)</f>
        <v/>
      </c>
      <c r="BM124" s="830" t="str">
        <f>IF(Year3_Somerset Year3_ReferralSource_Health_services_HealthVisitor="","",Year3_Somerset Year3_ReferralSource_Health_services_HealthVisitor)</f>
        <v/>
      </c>
      <c r="BN124" s="830" t="str">
        <f>IF(Year4_Somerset Year4_ReferralSource_Health_services_HealthVisitor="","",Year4_Somerset Year4_ReferralSource_Health_services_HealthVisitor)</f>
        <v/>
      </c>
      <c r="BO124" s="831" t="str">
        <f>IF(Year5_Somerset Year5_ReferralSource_Health_services_HealthVisitor="","",Year5_Somerset Year5_ReferralSource_Health_services_HealthVisitor)</f>
        <v/>
      </c>
      <c r="BP124" s="829" t="str">
        <f>IF(Year1_Somerset Year1_ReferralSource_Health_services_SchoolNurse="","",Year1_Somerset Year1_ReferralSource_Health_services_SchoolNurse)</f>
        <v/>
      </c>
      <c r="BQ124" s="830" t="str">
        <f>IF(Year2_Somerset Year2_ReferralSource_Health_services_SchoolNurse="","",Year2_Somerset Year2_ReferralSource_Health_services_SchoolNurse)</f>
        <v/>
      </c>
      <c r="BR124" s="830" t="str">
        <f>IF(Year3_Somerset Year3_ReferralSource_Health_services_SchoolNurse="","",Year3_Somerset Year3_ReferralSource_Health_services_SchoolNurse)</f>
        <v/>
      </c>
      <c r="BS124" s="830" t="str">
        <f>IF(Year4_Somerset Year4_ReferralSource_Health_services_SchoolNurse="","",Year4_Somerset Year4_ReferralSource_Health_services_SchoolNurse)</f>
        <v/>
      </c>
      <c r="BT124" s="831" t="str">
        <f>IF(Year5_Somerset Year5_ReferralSource_Health_services_SchoolNurse="","",Year5_Somerset Year5_ReferralSource_Health_services_SchoolNurse)</f>
        <v/>
      </c>
      <c r="BU124" s="829" t="str">
        <f>IF(Year1_Somerset Year1_ReferralSource_Health_services_OthPrimary="","",Year1_Somerset Year1_ReferralSource_Health_services_OthPrimary)</f>
        <v/>
      </c>
      <c r="BV124" s="830" t="str">
        <f>IF(Year2_Somerset Year2_ReferralSource_Health_services_OthPrimary="","",Year2_Somerset Year2_ReferralSource_Health_services_OthPrimary)</f>
        <v/>
      </c>
      <c r="BW124" s="830" t="str">
        <f>IF(Year3_Somerset Year3_ReferralSource_Health_services_OthPrimary="","",Year3_Somerset Year3_ReferralSource_Health_services_OthPrimary)</f>
        <v/>
      </c>
      <c r="BX124" s="830" t="str">
        <f>IF(Year4_Somerset Year4_ReferralSource_Health_services_OthPrimary="","",Year4_Somerset Year4_ReferralSource_Health_services_OthPrimary)</f>
        <v/>
      </c>
      <c r="BY124" s="831" t="str">
        <f>IF(Year5_Somerset Year5_ReferralSource_Health_services_OthPrimary="","",Year5_Somerset Year5_ReferralSource_Health_services_OthPrimary)</f>
        <v/>
      </c>
      <c r="BZ124" s="829" t="str">
        <f>IF(Year1_Somerset Year1_ReferralSource_Health_services_AE="","",Year1_Somerset Year1_ReferralSource_Health_services_AE)</f>
        <v/>
      </c>
      <c r="CA124" s="830" t="str">
        <f>IF(Year2_Somerset Year2_ReferralSource_Health_services_AE="","",Year2_Somerset Year2_ReferralSource_Health_services_AE)</f>
        <v/>
      </c>
      <c r="CB124" s="830" t="str">
        <f>IF(Year3_Somerset Year3_ReferralSource_Health_services_AE="","",Year3_Somerset Year3_ReferralSource_Health_services_AE)</f>
        <v/>
      </c>
      <c r="CC124" s="830" t="str">
        <f>IF(Year4_Somerset Year4_ReferralSource_Health_services_AE="","",Year4_Somerset Year4_ReferralSource_Health_services_AE)</f>
        <v/>
      </c>
      <c r="CD124" s="831" t="str">
        <f>IF(Year5_Somerset Year5_ReferralSource_Health_services_AE="","",Year5_Somerset Year5_ReferralSource_Health_services_AE)</f>
        <v/>
      </c>
      <c r="CE124" s="829" t="str">
        <f>IF(Year1_Somerset Year1_ReferralSource_Health_services_Other="","",Year1_Somerset Year1_ReferralSource_Health_services_Other)</f>
        <v/>
      </c>
      <c r="CF124" s="830" t="str">
        <f>IF(Year2_Somerset Year2_ReferralSource_Health_services_Other="","",Year2_Somerset Year2_ReferralSource_Health_services_Other)</f>
        <v/>
      </c>
      <c r="CG124" s="830" t="str">
        <f>IF(Year3_Somerset Year3_ReferralSource_Health_services_Other="","",Year3_Somerset Year3_ReferralSource_Health_services_Other)</f>
        <v/>
      </c>
      <c r="CH124" s="830" t="str">
        <f>IF(Year4_Somerset Year4_ReferralSource_Health_services_Other="","",Year4_Somerset Year4_ReferralSource_Health_services_Other)</f>
        <v/>
      </c>
      <c r="CI124" s="831" t="str">
        <f>IF(Year5_Somerset Year5_ReferralSource_Health_services_Other="","",Year5_Somerset Year5_ReferralSource_Health_services_Other)</f>
        <v/>
      </c>
      <c r="CJ124" s="808">
        <f>IF(Year1_Somerset Year1_ReferralSource_Housing="","",Year1_Somerset Year1_ReferralSource_Housing)</f>
        <v>80</v>
      </c>
      <c r="CK124" s="809" t="str">
        <f>IF(Year2_Somerset Year2_ReferralSource_Housing="","",Year2_Somerset Year2_ReferralSource_Housing)</f>
        <v>x</v>
      </c>
      <c r="CL124" s="809">
        <f>IF(Year3_Somerset Year3_ReferralSource_Housing="","",Year3_Somerset Year3_ReferralSource_Housing)</f>
        <v>61</v>
      </c>
      <c r="CM124" s="809">
        <f>IF(Year4_Somerset Year4_ReferralSource_Housing="","",Year4_Somerset Year4_ReferralSource_Housing)</f>
        <v>28</v>
      </c>
      <c r="CN124" s="810">
        <f>IF(Year5_Somerset Year5_ReferralSource_Housing="","",Year5_Somerset Year5_ReferralSource_Housing)</f>
        <v>0</v>
      </c>
      <c r="CO124" s="808">
        <f>IF(Year1_Somerset Year1_ReferralSource_LA_SC="","",Year1_Somerset Year1_ReferralSource_LA_SC)</f>
        <v>794</v>
      </c>
      <c r="CP124" s="809">
        <f>IF(Year2_Somerset Year2_ReferralSource_LA_SC="","",Year2_Somerset Year2_ReferralSource_LA_SC)</f>
        <v>624</v>
      </c>
      <c r="CQ124" s="809">
        <f>IF(Year3_Somerset Year3_ReferralSource_LA_SC="","",Year3_Somerset Year3_ReferralSource_LA_SC)</f>
        <v>638</v>
      </c>
      <c r="CR124" s="809">
        <f>IF(Year4_Somerset Year4_ReferralSource_LA_SC="","",Year4_Somerset Year4_ReferralSource_LA_SC)</f>
        <v>565</v>
      </c>
      <c r="CS124" s="810">
        <f>IF(Year5_Somerset Year5_ReferralSource_LA_SC="","",Year5_Somerset Year5_ReferralSource_LA_SC)</f>
        <v>433</v>
      </c>
      <c r="CT124" s="808" t="str">
        <f>IF(Year1_Somerset Year1_ReferralSource_LA_Other="","",Year1_Somerset Year1_ReferralSource_LA_Other)</f>
        <v/>
      </c>
      <c r="CU124" s="809" t="str">
        <f>IF(Year2_Somerset Year2_ReferralSource_LA_Other="","",Year2_Somerset Year2_ReferralSource_LA_Other)</f>
        <v/>
      </c>
      <c r="CV124" s="809" t="str">
        <f>IF(Year3_Somerset Year3_ReferralSource_LA_Other="","",Year3_Somerset Year3_ReferralSource_LA_Other)</f>
        <v/>
      </c>
      <c r="CW124" s="809" t="str">
        <f>IF(Year4_Somerset Year4_ReferralSource_LA_Other="","",Year4_Somerset Year4_ReferralSource_LA_Other)</f>
        <v/>
      </c>
      <c r="CX124" s="810" t="str">
        <f>IF(Year5_Somerset Year5_ReferralSource_LA_Other="","",Year5_Somerset Year5_ReferralSource_LA_Other)</f>
        <v/>
      </c>
      <c r="CY124" s="808" t="str">
        <f>IF(Year1_Somerset Year1_ReferralSource_LA_External="","",Year1_Somerset Year1_ReferralSource_LA_External)</f>
        <v/>
      </c>
      <c r="CZ124" s="809" t="str">
        <f>IF(Year2_Somerset Year2_ReferralSource_LA_External="","",Year2_Somerset Year2_ReferralSource_LA_External)</f>
        <v/>
      </c>
      <c r="DA124" s="809" t="str">
        <f>IF(Year3_Somerset Year3_ReferralSource_LA_External="","",Year3_Somerset Year3_ReferralSource_LA_External)</f>
        <v/>
      </c>
      <c r="DB124" s="809" t="str">
        <f>IF(Year4_Somerset Year4_ReferralSource_LA_External="","",Year4_Somerset Year4_ReferralSource_LA_External)</f>
        <v/>
      </c>
      <c r="DC124" s="810" t="str">
        <f>IF(Year5_Somerset Year5_ReferralSource_LA_External="","",Year5_Somerset Year5_ReferralSource_LA_External)</f>
        <v/>
      </c>
      <c r="DD124" s="808">
        <f>IF(Year1_Somerset Year1_ReferralSource_Police="","",Year1_Somerset Year1_ReferralSource_Police)</f>
        <v>1201</v>
      </c>
      <c r="DE124" s="809">
        <f>IF(Year2_Somerset Year2_ReferralSource_Police="","",Year2_Somerset Year2_ReferralSource_Police)</f>
        <v>955</v>
      </c>
      <c r="DF124" s="809">
        <f>IF(Year3_Somerset Year3_ReferralSource_Police="","",Year3_Somerset Year3_ReferralSource_Police)</f>
        <v>1336</v>
      </c>
      <c r="DG124" s="809">
        <f>IF(Year4_Somerset Year4_ReferralSource_Police="","",Year4_Somerset Year4_ReferralSource_Police)</f>
        <v>1651</v>
      </c>
      <c r="DH124" s="810">
        <f>IF(Year5_Somerset Year5_ReferralSource_Police="","",Year5_Somerset Year5_ReferralSource_Police)</f>
        <v>813</v>
      </c>
      <c r="DI124" s="808">
        <f>IF(Year1_Somerset Year1_ReferralSource_Other_Legal="","",Year1_Somerset Year1_ReferralSource_Other_Legal)</f>
        <v>129</v>
      </c>
      <c r="DJ124" s="809">
        <f>IF(Year2_Somerset Year2_ReferralSource_Other_Legal="","",Year2_Somerset Year2_ReferralSource_Other_Legal)</f>
        <v>107</v>
      </c>
      <c r="DK124" s="809">
        <f>IF(Year3_Somerset Year3_ReferralSource_Other_Legal="","",Year3_Somerset Year3_ReferralSource_Other_Legal)</f>
        <v>136</v>
      </c>
      <c r="DL124" s="809">
        <f>IF(Year4_Somerset Year4_ReferralSource_Other_Legal="","",Year4_Somerset Year4_ReferralSource_Other_Legal)</f>
        <v>176</v>
      </c>
      <c r="DM124" s="810">
        <f>IF(Year5_Somerset Year5_ReferralSource_Other_Legal="","",Year5_Somerset Year5_ReferralSource_Other_Legal)</f>
        <v>65</v>
      </c>
      <c r="DN124" s="808">
        <f>IF(Year1_Somerset Year1_ReferralSource_Other="","",Year1_Somerset Year1_ReferralSource_Other)</f>
        <v>309</v>
      </c>
      <c r="DO124" s="809">
        <f>IF(Year2_Somerset Year2_ReferralSource_Other="","",Year2_Somerset Year2_ReferralSource_Other)</f>
        <v>185</v>
      </c>
      <c r="DP124" s="809">
        <f>IF(Year3_Somerset Year3_ReferralSource_Other="","",Year3_Somerset Year3_ReferralSource_Other)</f>
        <v>211</v>
      </c>
      <c r="DQ124" s="809">
        <f>IF(Year4_Somerset Year4_ReferralSource_Other="","",Year4_Somerset Year4_ReferralSource_Other)</f>
        <v>343</v>
      </c>
      <c r="DR124" s="810">
        <f>IF(Year5_Somerset Year5_ReferralSource_Other="","",Year5_Somerset Year5_ReferralSource_Other)</f>
        <v>179</v>
      </c>
      <c r="DS124" s="808">
        <f>IF(Year1_Somerset Year1_ReferralSource_Anonymous="","",Year1_Somerset Year1_ReferralSource_Anonymous)</f>
        <v>213</v>
      </c>
      <c r="DT124" s="809">
        <f>IF(Year2_Somerset Year2_ReferralSource_Anonymous="","",Year2_Somerset Year2_ReferralSource_Anonymous)</f>
        <v>184</v>
      </c>
      <c r="DU124" s="809">
        <f>IF(Year3_Somerset Year3_ReferralSource_Anonymous="","",Year3_Somerset Year3_ReferralSource_Anonymous)</f>
        <v>191</v>
      </c>
      <c r="DV124" s="809">
        <f>IF(Year4_Somerset Year4_ReferralSource_Anonymous="","",Year4_Somerset Year4_ReferralSource_Anonymous)</f>
        <v>207</v>
      </c>
      <c r="DW124" s="810">
        <f>IF(Year5_Somerset Year5_ReferralSource_Anonymous="","",Year5_Somerset Year5_ReferralSource_Anonymous)</f>
        <v>56</v>
      </c>
      <c r="DX124" s="808">
        <f>IF(Year1_Somerset Year1_ReferralSource_Unknown="","",Year1_Somerset Year1_ReferralSource_Unknown)</f>
        <v>0</v>
      </c>
      <c r="DY124" s="809" t="str">
        <f>IF(Year2_Somerset Year2_ReferralSource_Unknown="","",Year2_Somerset Year2_ReferralSource_Unknown)</f>
        <v>x</v>
      </c>
      <c r="DZ124" s="809">
        <f>IF(Year3_Somerset Year3_ReferralSource_Unknown="","",Year3_Somerset Year3_ReferralSource_Unknown)</f>
        <v>0</v>
      </c>
      <c r="EA124" s="809">
        <f>IF(Year4_Somerset Year4_ReferralSource_Unknown="","",Year4_Somerset Year4_ReferralSource_Unknown)</f>
        <v>12</v>
      </c>
      <c r="EB124" s="810">
        <f>IF(Year5_Somerset Year5_ReferralSource_Unknown="","",Year5_Somerset Year5_ReferralSource_Unknown)</f>
        <v>24</v>
      </c>
    </row>
    <row r="125" spans="1:132" s="83" customFormat="1" ht="16.5" customHeight="1" x14ac:dyDescent="0.2">
      <c r="A125" s="271"/>
      <c r="B125" s="170" t="str">
        <f>Sheet1!$K$18</f>
        <v>Southampton</v>
      </c>
      <c r="C125" s="9"/>
      <c r="D125" s="1483"/>
      <c r="E125" s="1484"/>
      <c r="F125" s="1483"/>
      <c r="G125" s="1484"/>
      <c r="H125" s="1483"/>
      <c r="I125" s="1484"/>
      <c r="J125" s="1483"/>
      <c r="K125" s="1484"/>
      <c r="L125" s="1483"/>
      <c r="M125" s="1484"/>
      <c r="N125" s="1483"/>
      <c r="O125" s="1484"/>
      <c r="P125" s="1483"/>
      <c r="Q125" s="1484"/>
      <c r="R125" s="1483"/>
      <c r="S125" s="1484"/>
      <c r="T125" s="1483"/>
      <c r="U125" s="1484"/>
      <c r="V125" s="1483"/>
      <c r="W125" s="1484"/>
      <c r="X125" s="15"/>
      <c r="Y125" s="119"/>
      <c r="Z125" s="138"/>
      <c r="AB125" s="811">
        <f>IF(Year1_Southampton Year1_ReferralSource_Individual_Family="","",Year1_Southampton Year1_ReferralSource_Individual_Family)</f>
        <v>281</v>
      </c>
      <c r="AC125" s="812">
        <f>IF(Year2_Southampton Year2_ReferralSource_Individual_Family="","",Year2_Southampton Year2_ReferralSource_Individual_Family)</f>
        <v>143</v>
      </c>
      <c r="AD125" s="812">
        <f>IF(Year3_Southampton Year3_ReferralSource_Individual_Family="","",Year3_Southampton Year3_ReferralSource_Individual_Family)</f>
        <v>98</v>
      </c>
      <c r="AE125" s="812">
        <f>IF(Year4_Southampton Year4_ReferralSource_Individual_Family="","",Year4_Southampton Year4_ReferralSource_Individual_Family)</f>
        <v>99</v>
      </c>
      <c r="AF125" s="813">
        <f>IF(Year5_Southampton Year5_ReferralSource_Individual_Family="","",Year5_Southampton Year5_ReferralSource_Individual_Family)</f>
        <v>565</v>
      </c>
      <c r="AG125" s="811" t="str">
        <f>IF(Year1_Southampton Year1_ReferralSource_Individual_Acquaintance="","",Year1_Southampton Year1_ReferralSource_Individual_Acquaintance)</f>
        <v/>
      </c>
      <c r="AH125" s="812" t="str">
        <f>IF(Year2_Southampton Year2_ReferralSource_Individual_Acquaintance="","",Year2_Southampton Year2_ReferralSource_Individual_Acquaintance)</f>
        <v/>
      </c>
      <c r="AI125" s="812" t="str">
        <f>IF(Year3_Southampton Year3_ReferralSource_Individual_Acquaintance="","",Year3_Southampton Year3_ReferralSource_Individual_Acquaintance)</f>
        <v/>
      </c>
      <c r="AJ125" s="812" t="str">
        <f>IF(Year4_Southampton Year4_ReferralSource_Individual_Acquaintance="","",Year4_Southampton Year4_ReferralSource_Individual_Acquaintance)</f>
        <v/>
      </c>
      <c r="AK125" s="813" t="str">
        <f>IF(Year5_Southampton Year5_ReferralSource_Individual_Acquaintance="","",Year5_Southampton Year5_ReferralSource_Individual_Acquaintance)</f>
        <v/>
      </c>
      <c r="AL125" s="811" t="str">
        <f>IF(Year1_Southampton Year1_ReferralSource_Individual_Self="","",Year1_Southampton Year1_ReferralSource_Individual_Self)</f>
        <v/>
      </c>
      <c r="AM125" s="812" t="str">
        <f>IF(Year2_Southampton Year2_ReferralSource_Individual_Self="","",Year2_Southampton Year2_ReferralSource_Individual_Self)</f>
        <v/>
      </c>
      <c r="AN125" s="812" t="str">
        <f>IF(Year3_Southampton Year3_ReferralSource_Individual_Self="","",Year3_Southampton Year3_ReferralSource_Individual_Self)</f>
        <v/>
      </c>
      <c r="AO125" s="812" t="str">
        <f>IF(Year4_Southampton Year4_ReferralSource_Individual_Self="","",Year4_Southampton Year4_ReferralSource_Individual_Self)</f>
        <v/>
      </c>
      <c r="AP125" s="813" t="str">
        <f>IF(Year5_Southampton Year5_ReferralSource_Individual_Self="","",Year5_Southampton Year5_ReferralSource_Individual_Self)</f>
        <v/>
      </c>
      <c r="AQ125" s="811" t="str">
        <f>IF(Year1_Southampton Year1_ReferralSource_Individual_Other="","",Year1_Southampton Year1_ReferralSource_Individual_Other)</f>
        <v/>
      </c>
      <c r="AR125" s="812" t="str">
        <f>IF(Year2_Southampton Year2_ReferralSource_Individual_Other="","",Year2_Southampton Year2_ReferralSource_Individual_Other)</f>
        <v/>
      </c>
      <c r="AS125" s="812" t="str">
        <f>IF(Year3_Southampton Year3_ReferralSource_Individual_Other="","",Year3_Southampton Year3_ReferralSource_Individual_Other)</f>
        <v/>
      </c>
      <c r="AT125" s="812" t="str">
        <f>IF(Year4_Southampton Year4_ReferralSource_Individual_Other="","",Year4_Southampton Year4_ReferralSource_Individual_Other)</f>
        <v/>
      </c>
      <c r="AU125" s="813" t="str">
        <f>IF(Year5_Southampton Year5_ReferralSource_Individual_Other="","",Year5_Southampton Year5_ReferralSource_Individual_Other)</f>
        <v/>
      </c>
      <c r="AV125" s="811">
        <f>IF(Year1_Southampton Year1_ReferralSource_School="","",Year1_Southampton Year1_ReferralSource_School)</f>
        <v>1048</v>
      </c>
      <c r="AW125" s="812">
        <f>IF(Year2_Southampton Year2_ReferralSource_School="","",Year2_Southampton Year2_ReferralSource_School)</f>
        <v>819</v>
      </c>
      <c r="AX125" s="812">
        <f>IF(Year3_Southampton Year3_ReferralSource_School="","",Year3_Southampton Year3_ReferralSource_School)</f>
        <v>789</v>
      </c>
      <c r="AY125" s="812">
        <f>IF(Year4_Southampton Year4_ReferralSource_School="","",Year4_Southampton Year4_ReferralSource_School)</f>
        <v>552</v>
      </c>
      <c r="AZ125" s="813">
        <f>IF(Year5_Southampton Year5_ReferralSource_School="","",Year5_Southampton Year5_ReferralSource_School)</f>
        <v>1842</v>
      </c>
      <c r="BA125" s="811">
        <f>IF(Year1_Southampton Year1_ReferralSource_EducationServices="","",Year1_Southampton Year1_ReferralSource_EducationServices)</f>
        <v>28</v>
      </c>
      <c r="BB125" s="812">
        <f>IF(Year2_Southampton Year2_ReferralSource_EducationServices="","",Year2_Southampton Year2_ReferralSource_EducationServices)</f>
        <v>11</v>
      </c>
      <c r="BC125" s="812">
        <f>IF(Year3_Southampton Year3_ReferralSource_EducationServices="","",Year3_Southampton Year3_ReferralSource_EducationServices)</f>
        <v>14</v>
      </c>
      <c r="BD125" s="812">
        <f>IF(Year4_Southampton Year4_ReferralSource_EducationServices="","",Year4_Southampton Year4_ReferralSource_EducationServices)</f>
        <v>7</v>
      </c>
      <c r="BE125" s="813">
        <f>IF(Year5_Southampton Year5_ReferralSource_EducationServices="","",Year5_Southampton Year5_ReferralSource_EducationServices)</f>
        <v>416</v>
      </c>
      <c r="BF125" s="832">
        <f>IF(Year1_Southampton Year1_ReferralSource_Health_services_GP="","",Year1_Southampton Year1_ReferralSource_Health_services_GP)</f>
        <v>732</v>
      </c>
      <c r="BG125" s="833">
        <f>IF(Year2_Southampton Year2_ReferralSource_Health_services_GP="","",Year2_Southampton Year2_ReferralSource_Health_services_GP)</f>
        <v>585</v>
      </c>
      <c r="BH125" s="833">
        <f>IF(Year3_Southampton Year3_ReferralSource_Health_services_GP="","",Year3_Southampton Year3_ReferralSource_Health_services_GP)</f>
        <v>373</v>
      </c>
      <c r="BI125" s="833">
        <f>IF(Year4_Southampton Year4_ReferralSource_Health_services_GP="","",Year4_Southampton Year4_ReferralSource_Health_services_GP)</f>
        <v>342</v>
      </c>
      <c r="BJ125" s="834">
        <f>IF(Year5_Southampton Year5_ReferralSource_Health_services_GP="","",Year5_Southampton Year5_ReferralSource_Health_services_GP)</f>
        <v>1437</v>
      </c>
      <c r="BK125" s="832" t="str">
        <f>IF(Year1_Southampton Year1_ReferralSource_Health_services_HealthVisitor="","",Year1_Southampton Year1_ReferralSource_Health_services_HealthVisitor)</f>
        <v/>
      </c>
      <c r="BL125" s="833" t="str">
        <f>IF(Year2_Southampton Year2_ReferralSource_Health_services_HealthVisitor="","",Year2_Southampton Year2_ReferralSource_Health_services_HealthVisitor)</f>
        <v/>
      </c>
      <c r="BM125" s="833" t="str">
        <f>IF(Year3_Southampton Year3_ReferralSource_Health_services_HealthVisitor="","",Year3_Southampton Year3_ReferralSource_Health_services_HealthVisitor)</f>
        <v/>
      </c>
      <c r="BN125" s="833" t="str">
        <f>IF(Year4_Southampton Year4_ReferralSource_Health_services_HealthVisitor="","",Year4_Southampton Year4_ReferralSource_Health_services_HealthVisitor)</f>
        <v/>
      </c>
      <c r="BO125" s="834" t="str">
        <f>IF(Year5_Southampton Year5_ReferralSource_Health_services_HealthVisitor="","",Year5_Southampton Year5_ReferralSource_Health_services_HealthVisitor)</f>
        <v/>
      </c>
      <c r="BP125" s="832" t="str">
        <f>IF(Year1_Southampton Year1_ReferralSource_Health_services_SchoolNurse="","",Year1_Southampton Year1_ReferralSource_Health_services_SchoolNurse)</f>
        <v/>
      </c>
      <c r="BQ125" s="833" t="str">
        <f>IF(Year2_Southampton Year2_ReferralSource_Health_services_SchoolNurse="","",Year2_Southampton Year2_ReferralSource_Health_services_SchoolNurse)</f>
        <v/>
      </c>
      <c r="BR125" s="833" t="str">
        <f>IF(Year3_Southampton Year3_ReferralSource_Health_services_SchoolNurse="","",Year3_Southampton Year3_ReferralSource_Health_services_SchoolNurse)</f>
        <v/>
      </c>
      <c r="BS125" s="833" t="str">
        <f>IF(Year4_Southampton Year4_ReferralSource_Health_services_SchoolNurse="","",Year4_Southampton Year4_ReferralSource_Health_services_SchoolNurse)</f>
        <v/>
      </c>
      <c r="BT125" s="834" t="str">
        <f>IF(Year5_Southampton Year5_ReferralSource_Health_services_SchoolNurse="","",Year5_Southampton Year5_ReferralSource_Health_services_SchoolNurse)</f>
        <v/>
      </c>
      <c r="BU125" s="832" t="str">
        <f>IF(Year1_Southampton Year1_ReferralSource_Health_services_OthPrimary="","",Year1_Southampton Year1_ReferralSource_Health_services_OthPrimary)</f>
        <v/>
      </c>
      <c r="BV125" s="833" t="str">
        <f>IF(Year2_Southampton Year2_ReferralSource_Health_services_OthPrimary="","",Year2_Southampton Year2_ReferralSource_Health_services_OthPrimary)</f>
        <v/>
      </c>
      <c r="BW125" s="833" t="str">
        <f>IF(Year3_Southampton Year3_ReferralSource_Health_services_OthPrimary="","",Year3_Southampton Year3_ReferralSource_Health_services_OthPrimary)</f>
        <v/>
      </c>
      <c r="BX125" s="833" t="str">
        <f>IF(Year4_Southampton Year4_ReferralSource_Health_services_OthPrimary="","",Year4_Southampton Year4_ReferralSource_Health_services_OthPrimary)</f>
        <v/>
      </c>
      <c r="BY125" s="834" t="str">
        <f>IF(Year5_Southampton Year5_ReferralSource_Health_services_OthPrimary="","",Year5_Southampton Year5_ReferralSource_Health_services_OthPrimary)</f>
        <v/>
      </c>
      <c r="BZ125" s="832" t="str">
        <f>IF(Year1_Southampton Year1_ReferralSource_Health_services_AE="","",Year1_Southampton Year1_ReferralSource_Health_services_AE)</f>
        <v/>
      </c>
      <c r="CA125" s="833" t="str">
        <f>IF(Year2_Southampton Year2_ReferralSource_Health_services_AE="","",Year2_Southampton Year2_ReferralSource_Health_services_AE)</f>
        <v/>
      </c>
      <c r="CB125" s="833" t="str">
        <f>IF(Year3_Southampton Year3_ReferralSource_Health_services_AE="","",Year3_Southampton Year3_ReferralSource_Health_services_AE)</f>
        <v/>
      </c>
      <c r="CC125" s="833" t="str">
        <f>IF(Year4_Southampton Year4_ReferralSource_Health_services_AE="","",Year4_Southampton Year4_ReferralSource_Health_services_AE)</f>
        <v/>
      </c>
      <c r="CD125" s="834" t="str">
        <f>IF(Year5_Southampton Year5_ReferralSource_Health_services_AE="","",Year5_Southampton Year5_ReferralSource_Health_services_AE)</f>
        <v/>
      </c>
      <c r="CE125" s="832" t="str">
        <f>IF(Year1_Southampton Year1_ReferralSource_Health_services_Other="","",Year1_Southampton Year1_ReferralSource_Health_services_Other)</f>
        <v/>
      </c>
      <c r="CF125" s="833" t="str">
        <f>IF(Year2_Southampton Year2_ReferralSource_Health_services_Other="","",Year2_Southampton Year2_ReferralSource_Health_services_Other)</f>
        <v/>
      </c>
      <c r="CG125" s="833" t="str">
        <f>IF(Year3_Southampton Year3_ReferralSource_Health_services_Other="","",Year3_Southampton Year3_ReferralSource_Health_services_Other)</f>
        <v/>
      </c>
      <c r="CH125" s="833" t="str">
        <f>IF(Year4_Southampton Year4_ReferralSource_Health_services_Other="","",Year4_Southampton Year4_ReferralSource_Health_services_Other)</f>
        <v/>
      </c>
      <c r="CI125" s="834" t="str">
        <f>IF(Year5_Southampton Year5_ReferralSource_Health_services_Other="","",Year5_Southampton Year5_ReferralSource_Health_services_Other)</f>
        <v/>
      </c>
      <c r="CJ125" s="811">
        <f>IF(Year1_Southampton Year1_ReferralSource_Housing="","",Year1_Southampton Year1_ReferralSource_Housing)</f>
        <v>63</v>
      </c>
      <c r="CK125" s="812">
        <f>IF(Year2_Southampton Year2_ReferralSource_Housing="","",Year2_Southampton Year2_ReferralSource_Housing)</f>
        <v>47</v>
      </c>
      <c r="CL125" s="812">
        <f>IF(Year3_Southampton Year3_ReferralSource_Housing="","",Year3_Southampton Year3_ReferralSource_Housing)</f>
        <v>64</v>
      </c>
      <c r="CM125" s="812">
        <f>IF(Year4_Southampton Year4_ReferralSource_Housing="","",Year4_Southampton Year4_ReferralSource_Housing)</f>
        <v>37</v>
      </c>
      <c r="CN125" s="813">
        <f>IF(Year5_Southampton Year5_ReferralSource_Housing="","",Year5_Southampton Year5_ReferralSource_Housing)</f>
        <v>145</v>
      </c>
      <c r="CO125" s="811">
        <f>IF(Year1_Southampton Year1_ReferralSource_LA_SC="","",Year1_Southampton Year1_ReferralSource_LA_SC)</f>
        <v>541</v>
      </c>
      <c r="CP125" s="812">
        <f>IF(Year2_Southampton Year2_ReferralSource_LA_SC="","",Year2_Southampton Year2_ReferralSource_LA_SC)</f>
        <v>417</v>
      </c>
      <c r="CQ125" s="812">
        <f>IF(Year3_Southampton Year3_ReferralSource_LA_SC="","",Year3_Southampton Year3_ReferralSource_LA_SC)</f>
        <v>536</v>
      </c>
      <c r="CR125" s="812">
        <f>IF(Year4_Southampton Year4_ReferralSource_LA_SC="","",Year4_Southampton Year4_ReferralSource_LA_SC)</f>
        <v>482</v>
      </c>
      <c r="CS125" s="813">
        <f>IF(Year5_Southampton Year5_ReferralSource_LA_SC="","",Year5_Southampton Year5_ReferralSource_LA_SC)</f>
        <v>1299</v>
      </c>
      <c r="CT125" s="811" t="str">
        <f>IF(Year1_Southampton Year1_ReferralSource_LA_Other="","",Year1_Southampton Year1_ReferralSource_LA_Other)</f>
        <v/>
      </c>
      <c r="CU125" s="812" t="str">
        <f>IF(Year2_Southampton Year2_ReferralSource_LA_Other="","",Year2_Southampton Year2_ReferralSource_LA_Other)</f>
        <v/>
      </c>
      <c r="CV125" s="812" t="str">
        <f>IF(Year3_Southampton Year3_ReferralSource_LA_Other="","",Year3_Southampton Year3_ReferralSource_LA_Other)</f>
        <v/>
      </c>
      <c r="CW125" s="812" t="str">
        <f>IF(Year4_Southampton Year4_ReferralSource_LA_Other="","",Year4_Southampton Year4_ReferralSource_LA_Other)</f>
        <v/>
      </c>
      <c r="CX125" s="813" t="str">
        <f>IF(Year5_Southampton Year5_ReferralSource_LA_Other="","",Year5_Southampton Year5_ReferralSource_LA_Other)</f>
        <v/>
      </c>
      <c r="CY125" s="811" t="str">
        <f>IF(Year1_Southampton Year1_ReferralSource_LA_External="","",Year1_Southampton Year1_ReferralSource_LA_External)</f>
        <v/>
      </c>
      <c r="CZ125" s="812" t="str">
        <f>IF(Year2_Southampton Year2_ReferralSource_LA_External="","",Year2_Southampton Year2_ReferralSource_LA_External)</f>
        <v/>
      </c>
      <c r="DA125" s="812" t="str">
        <f>IF(Year3_Southampton Year3_ReferralSource_LA_External="","",Year3_Southampton Year3_ReferralSource_LA_External)</f>
        <v/>
      </c>
      <c r="DB125" s="812" t="str">
        <f>IF(Year4_Southampton Year4_ReferralSource_LA_External="","",Year4_Southampton Year4_ReferralSource_LA_External)</f>
        <v/>
      </c>
      <c r="DC125" s="813" t="str">
        <f>IF(Year5_Southampton Year5_ReferralSource_LA_External="","",Year5_Southampton Year5_ReferralSource_LA_External)</f>
        <v/>
      </c>
      <c r="DD125" s="811">
        <f>IF(Year1_Southampton Year1_ReferralSource_Police="","",Year1_Southampton Year1_ReferralSource_Police)</f>
        <v>1209</v>
      </c>
      <c r="DE125" s="812">
        <f>IF(Year2_Southampton Year2_ReferralSource_Police="","",Year2_Southampton Year2_ReferralSource_Police)</f>
        <v>951</v>
      </c>
      <c r="DF125" s="812">
        <f>IF(Year3_Southampton Year3_ReferralSource_Police="","",Year3_Southampton Year3_ReferralSource_Police)</f>
        <v>799</v>
      </c>
      <c r="DG125" s="812">
        <f>IF(Year4_Southampton Year4_ReferralSource_Police="","",Year4_Southampton Year4_ReferralSource_Police)</f>
        <v>800</v>
      </c>
      <c r="DH125" s="813">
        <f>IF(Year5_Southampton Year5_ReferralSource_Police="","",Year5_Southampton Year5_ReferralSource_Police)</f>
        <v>3862</v>
      </c>
      <c r="DI125" s="811">
        <f>IF(Year1_Southampton Year1_ReferralSource_Other_Legal="","",Year1_Southampton Year1_ReferralSource_Other_Legal)</f>
        <v>81</v>
      </c>
      <c r="DJ125" s="812">
        <f>IF(Year2_Southampton Year2_ReferralSource_Other_Legal="","",Year2_Southampton Year2_ReferralSource_Other_Legal)</f>
        <v>67</v>
      </c>
      <c r="DK125" s="812">
        <f>IF(Year3_Southampton Year3_ReferralSource_Other_Legal="","",Year3_Southampton Year3_ReferralSource_Other_Legal)</f>
        <v>47</v>
      </c>
      <c r="DL125" s="812">
        <f>IF(Year4_Southampton Year4_ReferralSource_Other_Legal="","",Year4_Southampton Year4_ReferralSource_Other_Legal)</f>
        <v>67</v>
      </c>
      <c r="DM125" s="813">
        <f>IF(Year5_Southampton Year5_ReferralSource_Other_Legal="","",Year5_Southampton Year5_ReferralSource_Other_Legal)</f>
        <v>340</v>
      </c>
      <c r="DN125" s="811">
        <f>IF(Year1_Southampton Year1_ReferralSource_Other="","",Year1_Southampton Year1_ReferralSource_Other)</f>
        <v>350</v>
      </c>
      <c r="DO125" s="812">
        <f>IF(Year2_Southampton Year2_ReferralSource_Other="","",Year2_Southampton Year2_ReferralSource_Other)</f>
        <v>188</v>
      </c>
      <c r="DP125" s="812">
        <f>IF(Year3_Southampton Year3_ReferralSource_Other="","",Year3_Southampton Year3_ReferralSource_Other)</f>
        <v>210</v>
      </c>
      <c r="DQ125" s="812">
        <f>IF(Year4_Southampton Year4_ReferralSource_Other="","",Year4_Southampton Year4_ReferralSource_Other)</f>
        <v>159</v>
      </c>
      <c r="DR125" s="813">
        <f>IF(Year5_Southampton Year5_ReferralSource_Other="","",Year5_Southampton Year5_ReferralSource_Other)</f>
        <v>587</v>
      </c>
      <c r="DS125" s="811">
        <f>IF(Year1_Southampton Year1_ReferralSource_Anonymous="","",Year1_Southampton Year1_ReferralSource_Anonymous)</f>
        <v>200</v>
      </c>
      <c r="DT125" s="812">
        <f>IF(Year2_Southampton Year2_ReferralSource_Anonymous="","",Year2_Southampton Year2_ReferralSource_Anonymous)</f>
        <v>108</v>
      </c>
      <c r="DU125" s="812">
        <f>IF(Year3_Southampton Year3_ReferralSource_Anonymous="","",Year3_Southampton Year3_ReferralSource_Anonymous)</f>
        <v>91</v>
      </c>
      <c r="DV125" s="812">
        <f>IF(Year4_Southampton Year4_ReferralSource_Anonymous="","",Year4_Southampton Year4_ReferralSource_Anonymous)</f>
        <v>68</v>
      </c>
      <c r="DW125" s="813">
        <f>IF(Year5_Southampton Year5_ReferralSource_Anonymous="","",Year5_Southampton Year5_ReferralSource_Anonymous)</f>
        <v>142</v>
      </c>
      <c r="DX125" s="811">
        <f>IF(Year1_Southampton Year1_ReferralSource_Unknown="","",Year1_Southampton Year1_ReferralSource_Unknown)</f>
        <v>1874</v>
      </c>
      <c r="DY125" s="812">
        <f>IF(Year2_Southampton Year2_ReferralSource_Unknown="","",Year2_Southampton Year2_ReferralSource_Unknown)</f>
        <v>780</v>
      </c>
      <c r="DZ125" s="812">
        <f>IF(Year3_Southampton Year3_ReferralSource_Unknown="","",Year3_Southampton Year3_ReferralSource_Unknown)</f>
        <v>23</v>
      </c>
      <c r="EA125" s="812">
        <f>IF(Year4_Southampton Year4_ReferralSource_Unknown="","",Year4_Southampton Year4_ReferralSource_Unknown)</f>
        <v>0</v>
      </c>
      <c r="EB125" s="813">
        <f>IF(Year5_Southampton Year5_ReferralSource_Unknown="","",Year5_Southampton Year5_ReferralSource_Unknown)</f>
        <v>0</v>
      </c>
    </row>
    <row r="126" spans="1:132" s="83" customFormat="1" ht="16.5" customHeight="1" x14ac:dyDescent="0.2">
      <c r="A126" s="271"/>
      <c r="B126" s="170" t="str">
        <f>Sheet1!$K$19</f>
        <v>Surrey</v>
      </c>
      <c r="C126" s="9"/>
      <c r="D126" s="1483"/>
      <c r="E126" s="1484"/>
      <c r="F126" s="1483"/>
      <c r="G126" s="1484"/>
      <c r="H126" s="1483"/>
      <c r="I126" s="1484"/>
      <c r="J126" s="1483"/>
      <c r="K126" s="1484"/>
      <c r="L126" s="1483"/>
      <c r="M126" s="1484"/>
      <c r="N126" s="1483"/>
      <c r="O126" s="1484"/>
      <c r="P126" s="1483"/>
      <c r="Q126" s="1484"/>
      <c r="R126" s="1483"/>
      <c r="S126" s="1484"/>
      <c r="T126" s="1483"/>
      <c r="U126" s="1484"/>
      <c r="V126" s="1483"/>
      <c r="W126" s="1484"/>
      <c r="X126" s="15"/>
      <c r="Y126" s="119"/>
      <c r="Z126" s="138"/>
      <c r="AB126" s="814">
        <f>IF(Year1_Surrey Year1_ReferralSource_Individual_Family="","",Year1_Surrey Year1_ReferralSource_Individual_Family)</f>
        <v>691</v>
      </c>
      <c r="AC126" s="815">
        <f>IF(Year2_Surrey Year2_ReferralSource_Individual_Family="","",Year2_Surrey Year2_ReferralSource_Individual_Family)</f>
        <v>707</v>
      </c>
      <c r="AD126" s="815">
        <f>IF(Year3_Surrey Year3_ReferralSource_Individual_Family="","",Year3_Surrey Year3_ReferralSource_Individual_Family)</f>
        <v>642</v>
      </c>
      <c r="AE126" s="815">
        <f>IF(Year4_Surrey Year4_ReferralSource_Individual_Family="","",Year4_Surrey Year4_ReferralSource_Individual_Family)</f>
        <v>654</v>
      </c>
      <c r="AF126" s="816">
        <f>IF(Year5_Surrey Year5_ReferralSource_Individual_Family="","",Year5_Surrey Year5_ReferralSource_Individual_Family)</f>
        <v>194</v>
      </c>
      <c r="AG126" s="814" t="str">
        <f>IF(Year1_Surrey Year1_ReferralSource_Individual_Acquaintance="","",Year1_Surrey Year1_ReferralSource_Individual_Acquaintance)</f>
        <v/>
      </c>
      <c r="AH126" s="815" t="str">
        <f>IF(Year2_Surrey Year2_ReferralSource_Individual_Acquaintance="","",Year2_Surrey Year2_ReferralSource_Individual_Acquaintance)</f>
        <v/>
      </c>
      <c r="AI126" s="815" t="str">
        <f>IF(Year3_Surrey Year3_ReferralSource_Individual_Acquaintance="","",Year3_Surrey Year3_ReferralSource_Individual_Acquaintance)</f>
        <v/>
      </c>
      <c r="AJ126" s="815" t="str">
        <f>IF(Year4_Surrey Year4_ReferralSource_Individual_Acquaintance="","",Year4_Surrey Year4_ReferralSource_Individual_Acquaintance)</f>
        <v/>
      </c>
      <c r="AK126" s="816" t="str">
        <f>IF(Year5_Surrey Year5_ReferralSource_Individual_Acquaintance="","",Year5_Surrey Year5_ReferralSource_Individual_Acquaintance)</f>
        <v/>
      </c>
      <c r="AL126" s="814" t="str">
        <f>IF(Year1_Surrey Year1_ReferralSource_Individual_Self="","",Year1_Surrey Year1_ReferralSource_Individual_Self)</f>
        <v/>
      </c>
      <c r="AM126" s="815" t="str">
        <f>IF(Year2_Surrey Year2_ReferralSource_Individual_Self="","",Year2_Surrey Year2_ReferralSource_Individual_Self)</f>
        <v/>
      </c>
      <c r="AN126" s="815" t="str">
        <f>IF(Year3_Surrey Year3_ReferralSource_Individual_Self="","",Year3_Surrey Year3_ReferralSource_Individual_Self)</f>
        <v/>
      </c>
      <c r="AO126" s="815" t="str">
        <f>IF(Year4_Surrey Year4_ReferralSource_Individual_Self="","",Year4_Surrey Year4_ReferralSource_Individual_Self)</f>
        <v/>
      </c>
      <c r="AP126" s="816" t="str">
        <f>IF(Year5_Surrey Year5_ReferralSource_Individual_Self="","",Year5_Surrey Year5_ReferralSource_Individual_Self)</f>
        <v/>
      </c>
      <c r="AQ126" s="814" t="str">
        <f>IF(Year1_Surrey Year1_ReferralSource_Individual_Other="","",Year1_Surrey Year1_ReferralSource_Individual_Other)</f>
        <v/>
      </c>
      <c r="AR126" s="815" t="str">
        <f>IF(Year2_Surrey Year2_ReferralSource_Individual_Other="","",Year2_Surrey Year2_ReferralSource_Individual_Other)</f>
        <v/>
      </c>
      <c r="AS126" s="815" t="str">
        <f>IF(Year3_Surrey Year3_ReferralSource_Individual_Other="","",Year3_Surrey Year3_ReferralSource_Individual_Other)</f>
        <v/>
      </c>
      <c r="AT126" s="815" t="str">
        <f>IF(Year4_Surrey Year4_ReferralSource_Individual_Other="","",Year4_Surrey Year4_ReferralSource_Individual_Other)</f>
        <v/>
      </c>
      <c r="AU126" s="816" t="str">
        <f>IF(Year5_Surrey Year5_ReferralSource_Individual_Other="","",Year5_Surrey Year5_ReferralSource_Individual_Other)</f>
        <v/>
      </c>
      <c r="AV126" s="814">
        <f>IF(Year1_Surrey Year1_ReferralSource_School="","",Year1_Surrey Year1_ReferralSource_School)</f>
        <v>1741</v>
      </c>
      <c r="AW126" s="815">
        <f>IF(Year2_Surrey Year2_ReferralSource_School="","",Year2_Surrey Year2_ReferralSource_School)</f>
        <v>1850</v>
      </c>
      <c r="AX126" s="815">
        <f>IF(Year3_Surrey Year3_ReferralSource_School="","",Year3_Surrey Year3_ReferralSource_School)</f>
        <v>2095</v>
      </c>
      <c r="AY126" s="815">
        <f>IF(Year4_Surrey Year4_ReferralSource_School="","",Year4_Surrey Year4_ReferralSource_School)</f>
        <v>2652</v>
      </c>
      <c r="AZ126" s="816">
        <f>IF(Year5_Surrey Year5_ReferralSource_School="","",Year5_Surrey Year5_ReferralSource_School)</f>
        <v>219</v>
      </c>
      <c r="BA126" s="814">
        <f>IF(Year1_Surrey Year1_ReferralSource_EducationServices="","",Year1_Surrey Year1_ReferralSource_EducationServices)</f>
        <v>89</v>
      </c>
      <c r="BB126" s="815">
        <f>IF(Year2_Surrey Year2_ReferralSource_EducationServices="","",Year2_Surrey Year2_ReferralSource_EducationServices)</f>
        <v>126</v>
      </c>
      <c r="BC126" s="815">
        <f>IF(Year3_Surrey Year3_ReferralSource_EducationServices="","",Year3_Surrey Year3_ReferralSource_EducationServices)</f>
        <v>86</v>
      </c>
      <c r="BD126" s="815">
        <f>IF(Year4_Surrey Year4_ReferralSource_EducationServices="","",Year4_Surrey Year4_ReferralSource_EducationServices)</f>
        <v>106</v>
      </c>
      <c r="BE126" s="816">
        <f>IF(Year5_Surrey Year5_ReferralSource_EducationServices="","",Year5_Surrey Year5_ReferralSource_EducationServices)</f>
        <v>104</v>
      </c>
      <c r="BF126" s="826">
        <f>IF(Year1_Surrey Year1_ReferralSource_Health_services_GP="","",Year1_Surrey Year1_ReferralSource_Health_services_GP)</f>
        <v>1559</v>
      </c>
      <c r="BG126" s="827">
        <f>IF(Year2_Surrey Year2_ReferralSource_Health_services_GP="","",Year2_Surrey Year2_ReferralSource_Health_services_GP)</f>
        <v>1597</v>
      </c>
      <c r="BH126" s="827">
        <f>IF(Year3_Surrey Year3_ReferralSource_Health_services_GP="","",Year3_Surrey Year3_ReferralSource_Health_services_GP)</f>
        <v>1622</v>
      </c>
      <c r="BI126" s="827">
        <f>IF(Year4_Surrey Year4_ReferralSource_Health_services_GP="","",Year4_Surrey Year4_ReferralSource_Health_services_GP)</f>
        <v>1778</v>
      </c>
      <c r="BJ126" s="828">
        <f>IF(Year5_Surrey Year5_ReferralSource_Health_services_GP="","",Year5_Surrey Year5_ReferralSource_Health_services_GP)</f>
        <v>150</v>
      </c>
      <c r="BK126" s="826" t="str">
        <f>IF(Year1_Surrey Year1_ReferralSource_Health_services_HealthVisitor="","",Year1_Surrey Year1_ReferralSource_Health_services_HealthVisitor)</f>
        <v/>
      </c>
      <c r="BL126" s="827" t="str">
        <f>IF(Year2_Surrey Year2_ReferralSource_Health_services_HealthVisitor="","",Year2_Surrey Year2_ReferralSource_Health_services_HealthVisitor)</f>
        <v/>
      </c>
      <c r="BM126" s="827" t="str">
        <f>IF(Year3_Surrey Year3_ReferralSource_Health_services_HealthVisitor="","",Year3_Surrey Year3_ReferralSource_Health_services_HealthVisitor)</f>
        <v/>
      </c>
      <c r="BN126" s="827" t="str">
        <f>IF(Year4_Surrey Year4_ReferralSource_Health_services_HealthVisitor="","",Year4_Surrey Year4_ReferralSource_Health_services_HealthVisitor)</f>
        <v/>
      </c>
      <c r="BO126" s="828" t="str">
        <f>IF(Year5_Surrey Year5_ReferralSource_Health_services_HealthVisitor="","",Year5_Surrey Year5_ReferralSource_Health_services_HealthVisitor)</f>
        <v/>
      </c>
      <c r="BP126" s="826" t="str">
        <f>IF(Year1_Surrey Year1_ReferralSource_Health_services_SchoolNurse="","",Year1_Surrey Year1_ReferralSource_Health_services_SchoolNurse)</f>
        <v/>
      </c>
      <c r="BQ126" s="827" t="str">
        <f>IF(Year2_Surrey Year2_ReferralSource_Health_services_SchoolNurse="","",Year2_Surrey Year2_ReferralSource_Health_services_SchoolNurse)</f>
        <v/>
      </c>
      <c r="BR126" s="827" t="str">
        <f>IF(Year3_Surrey Year3_ReferralSource_Health_services_SchoolNurse="","",Year3_Surrey Year3_ReferralSource_Health_services_SchoolNurse)</f>
        <v/>
      </c>
      <c r="BS126" s="827" t="str">
        <f>IF(Year4_Surrey Year4_ReferralSource_Health_services_SchoolNurse="","",Year4_Surrey Year4_ReferralSource_Health_services_SchoolNurse)</f>
        <v/>
      </c>
      <c r="BT126" s="828" t="str">
        <f>IF(Year5_Surrey Year5_ReferralSource_Health_services_SchoolNurse="","",Year5_Surrey Year5_ReferralSource_Health_services_SchoolNurse)</f>
        <v/>
      </c>
      <c r="BU126" s="826" t="str">
        <f>IF(Year1_Surrey Year1_ReferralSource_Health_services_OthPrimary="","",Year1_Surrey Year1_ReferralSource_Health_services_OthPrimary)</f>
        <v/>
      </c>
      <c r="BV126" s="827" t="str">
        <f>IF(Year2_Surrey Year2_ReferralSource_Health_services_OthPrimary="","",Year2_Surrey Year2_ReferralSource_Health_services_OthPrimary)</f>
        <v/>
      </c>
      <c r="BW126" s="827" t="str">
        <f>IF(Year3_Surrey Year3_ReferralSource_Health_services_OthPrimary="","",Year3_Surrey Year3_ReferralSource_Health_services_OthPrimary)</f>
        <v/>
      </c>
      <c r="BX126" s="827" t="str">
        <f>IF(Year4_Surrey Year4_ReferralSource_Health_services_OthPrimary="","",Year4_Surrey Year4_ReferralSource_Health_services_OthPrimary)</f>
        <v/>
      </c>
      <c r="BY126" s="828" t="str">
        <f>IF(Year5_Surrey Year5_ReferralSource_Health_services_OthPrimary="","",Year5_Surrey Year5_ReferralSource_Health_services_OthPrimary)</f>
        <v/>
      </c>
      <c r="BZ126" s="826" t="str">
        <f>IF(Year1_Surrey Year1_ReferralSource_Health_services_AE="","",Year1_Surrey Year1_ReferralSource_Health_services_AE)</f>
        <v/>
      </c>
      <c r="CA126" s="827" t="str">
        <f>IF(Year2_Surrey Year2_ReferralSource_Health_services_AE="","",Year2_Surrey Year2_ReferralSource_Health_services_AE)</f>
        <v/>
      </c>
      <c r="CB126" s="827" t="str">
        <f>IF(Year3_Surrey Year3_ReferralSource_Health_services_AE="","",Year3_Surrey Year3_ReferralSource_Health_services_AE)</f>
        <v/>
      </c>
      <c r="CC126" s="827" t="str">
        <f>IF(Year4_Surrey Year4_ReferralSource_Health_services_AE="","",Year4_Surrey Year4_ReferralSource_Health_services_AE)</f>
        <v/>
      </c>
      <c r="CD126" s="828" t="str">
        <f>IF(Year5_Surrey Year5_ReferralSource_Health_services_AE="","",Year5_Surrey Year5_ReferralSource_Health_services_AE)</f>
        <v/>
      </c>
      <c r="CE126" s="826" t="str">
        <f>IF(Year1_Surrey Year1_ReferralSource_Health_services_Other="","",Year1_Surrey Year1_ReferralSource_Health_services_Other)</f>
        <v/>
      </c>
      <c r="CF126" s="827" t="str">
        <f>IF(Year2_Surrey Year2_ReferralSource_Health_services_Other="","",Year2_Surrey Year2_ReferralSource_Health_services_Other)</f>
        <v/>
      </c>
      <c r="CG126" s="827" t="str">
        <f>IF(Year3_Surrey Year3_ReferralSource_Health_services_Other="","",Year3_Surrey Year3_ReferralSource_Health_services_Other)</f>
        <v/>
      </c>
      <c r="CH126" s="827" t="str">
        <f>IF(Year4_Surrey Year4_ReferralSource_Health_services_Other="","",Year4_Surrey Year4_ReferralSource_Health_services_Other)</f>
        <v/>
      </c>
      <c r="CI126" s="828" t="str">
        <f>IF(Year5_Surrey Year5_ReferralSource_Health_services_Other="","",Year5_Surrey Year5_ReferralSource_Health_services_Other)</f>
        <v/>
      </c>
      <c r="CJ126" s="814">
        <f>IF(Year1_Surrey Year1_ReferralSource_Housing="","",Year1_Surrey Year1_ReferralSource_Housing)</f>
        <v>126</v>
      </c>
      <c r="CK126" s="815">
        <f>IF(Year2_Surrey Year2_ReferralSource_Housing="","",Year2_Surrey Year2_ReferralSource_Housing)</f>
        <v>84</v>
      </c>
      <c r="CL126" s="815">
        <f>IF(Year3_Surrey Year3_ReferralSource_Housing="","",Year3_Surrey Year3_ReferralSource_Housing)</f>
        <v>118</v>
      </c>
      <c r="CM126" s="815">
        <f>IF(Year4_Surrey Year4_ReferralSource_Housing="","",Year4_Surrey Year4_ReferralSource_Housing)</f>
        <v>126</v>
      </c>
      <c r="CN126" s="816">
        <f>IF(Year5_Surrey Year5_ReferralSource_Housing="","",Year5_Surrey Year5_ReferralSource_Housing)</f>
        <v>32</v>
      </c>
      <c r="CO126" s="814">
        <f>IF(Year1_Surrey Year1_ReferralSource_LA_SC="","",Year1_Surrey Year1_ReferralSource_LA_SC)</f>
        <v>1062</v>
      </c>
      <c r="CP126" s="815">
        <f>IF(Year2_Surrey Year2_ReferralSource_LA_SC="","",Year2_Surrey Year2_ReferralSource_LA_SC)</f>
        <v>1079</v>
      </c>
      <c r="CQ126" s="815">
        <f>IF(Year3_Surrey Year3_ReferralSource_LA_SC="","",Year3_Surrey Year3_ReferralSource_LA_SC)</f>
        <v>1086</v>
      </c>
      <c r="CR126" s="815">
        <f>IF(Year4_Surrey Year4_ReferralSource_LA_SC="","",Year4_Surrey Year4_ReferralSource_LA_SC)</f>
        <v>1746</v>
      </c>
      <c r="CS126" s="816">
        <f>IF(Year5_Surrey Year5_ReferralSource_LA_SC="","",Year5_Surrey Year5_ReferralSource_LA_SC)</f>
        <v>300</v>
      </c>
      <c r="CT126" s="814" t="str">
        <f>IF(Year1_Surrey Year1_ReferralSource_LA_Other="","",Year1_Surrey Year1_ReferralSource_LA_Other)</f>
        <v/>
      </c>
      <c r="CU126" s="815" t="str">
        <f>IF(Year2_Surrey Year2_ReferralSource_LA_Other="","",Year2_Surrey Year2_ReferralSource_LA_Other)</f>
        <v/>
      </c>
      <c r="CV126" s="815" t="str">
        <f>IF(Year3_Surrey Year3_ReferralSource_LA_Other="","",Year3_Surrey Year3_ReferralSource_LA_Other)</f>
        <v/>
      </c>
      <c r="CW126" s="815" t="str">
        <f>IF(Year4_Surrey Year4_ReferralSource_LA_Other="","",Year4_Surrey Year4_ReferralSource_LA_Other)</f>
        <v/>
      </c>
      <c r="CX126" s="816" t="str">
        <f>IF(Year5_Surrey Year5_ReferralSource_LA_Other="","",Year5_Surrey Year5_ReferralSource_LA_Other)</f>
        <v/>
      </c>
      <c r="CY126" s="814" t="str">
        <f>IF(Year1_Surrey Year1_ReferralSource_LA_External="","",Year1_Surrey Year1_ReferralSource_LA_External)</f>
        <v/>
      </c>
      <c r="CZ126" s="815" t="str">
        <f>IF(Year2_Surrey Year2_ReferralSource_LA_External="","",Year2_Surrey Year2_ReferralSource_LA_External)</f>
        <v/>
      </c>
      <c r="DA126" s="815" t="str">
        <f>IF(Year3_Surrey Year3_ReferralSource_LA_External="","",Year3_Surrey Year3_ReferralSource_LA_External)</f>
        <v/>
      </c>
      <c r="DB126" s="815" t="str">
        <f>IF(Year4_Surrey Year4_ReferralSource_LA_External="","",Year4_Surrey Year4_ReferralSource_LA_External)</f>
        <v/>
      </c>
      <c r="DC126" s="816" t="str">
        <f>IF(Year5_Surrey Year5_ReferralSource_LA_External="","",Year5_Surrey Year5_ReferralSource_LA_External)</f>
        <v/>
      </c>
      <c r="DD126" s="814">
        <f>IF(Year1_Surrey Year1_ReferralSource_Police="","",Year1_Surrey Year1_ReferralSource_Police)</f>
        <v>3420</v>
      </c>
      <c r="DE126" s="815">
        <f>IF(Year2_Surrey Year2_ReferralSource_Police="","",Year2_Surrey Year2_ReferralSource_Police)</f>
        <v>4858</v>
      </c>
      <c r="DF126" s="815">
        <f>IF(Year3_Surrey Year3_ReferralSource_Police="","",Year3_Surrey Year3_ReferralSource_Police)</f>
        <v>4629</v>
      </c>
      <c r="DG126" s="815">
        <f>IF(Year4_Surrey Year4_ReferralSource_Police="","",Year4_Surrey Year4_ReferralSource_Police)</f>
        <v>5199</v>
      </c>
      <c r="DH126" s="816">
        <f>IF(Year5_Surrey Year5_ReferralSource_Police="","",Year5_Surrey Year5_ReferralSource_Police)</f>
        <v>545</v>
      </c>
      <c r="DI126" s="814">
        <f>IF(Year1_Surrey Year1_ReferralSource_Other_Legal="","",Year1_Surrey Year1_ReferralSource_Other_Legal)</f>
        <v>381</v>
      </c>
      <c r="DJ126" s="815">
        <f>IF(Year2_Surrey Year2_ReferralSource_Other_Legal="","",Year2_Surrey Year2_ReferralSource_Other_Legal)</f>
        <v>319</v>
      </c>
      <c r="DK126" s="815">
        <f>IF(Year3_Surrey Year3_ReferralSource_Other_Legal="","",Year3_Surrey Year3_ReferralSource_Other_Legal)</f>
        <v>361</v>
      </c>
      <c r="DL126" s="815">
        <f>IF(Year4_Surrey Year4_ReferralSource_Other_Legal="","",Year4_Surrey Year4_ReferralSource_Other_Legal)</f>
        <v>367</v>
      </c>
      <c r="DM126" s="816">
        <f>IF(Year5_Surrey Year5_ReferralSource_Other_Legal="","",Year5_Surrey Year5_ReferralSource_Other_Legal)</f>
        <v>47</v>
      </c>
      <c r="DN126" s="814">
        <f>IF(Year1_Surrey Year1_ReferralSource_Other="","",Year1_Surrey Year1_ReferralSource_Other)</f>
        <v>736</v>
      </c>
      <c r="DO126" s="815">
        <f>IF(Year2_Surrey Year2_ReferralSource_Other="","",Year2_Surrey Year2_ReferralSource_Other)</f>
        <v>878</v>
      </c>
      <c r="DP126" s="815">
        <f>IF(Year3_Surrey Year3_ReferralSource_Other="","",Year3_Surrey Year3_ReferralSource_Other)</f>
        <v>827</v>
      </c>
      <c r="DQ126" s="815">
        <f>IF(Year4_Surrey Year4_ReferralSource_Other="","",Year4_Surrey Year4_ReferralSource_Other)</f>
        <v>803</v>
      </c>
      <c r="DR126" s="816">
        <f>IF(Year5_Surrey Year5_ReferralSource_Other="","",Year5_Surrey Year5_ReferralSource_Other)</f>
        <v>38</v>
      </c>
      <c r="DS126" s="814">
        <f>IF(Year1_Surrey Year1_ReferralSource_Anonymous="","",Year1_Surrey Year1_ReferralSource_Anonymous)</f>
        <v>174</v>
      </c>
      <c r="DT126" s="815">
        <f>IF(Year2_Surrey Year2_ReferralSource_Anonymous="","",Year2_Surrey Year2_ReferralSource_Anonymous)</f>
        <v>270</v>
      </c>
      <c r="DU126" s="815">
        <f>IF(Year3_Surrey Year3_ReferralSource_Anonymous="","",Year3_Surrey Year3_ReferralSource_Anonymous)</f>
        <v>213</v>
      </c>
      <c r="DV126" s="815">
        <f>IF(Year4_Surrey Year4_ReferralSource_Anonymous="","",Year4_Surrey Year4_ReferralSource_Anonymous)</f>
        <v>195</v>
      </c>
      <c r="DW126" s="816">
        <f>IF(Year5_Surrey Year5_ReferralSource_Anonymous="","",Year5_Surrey Year5_ReferralSource_Anonymous)</f>
        <v>37</v>
      </c>
      <c r="DX126" s="814">
        <f>IF(Year1_Surrey Year1_ReferralSource_Unknown="","",Year1_Surrey Year1_ReferralSource_Unknown)</f>
        <v>0</v>
      </c>
      <c r="DY126" s="815">
        <f>IF(Year2_Surrey Year2_ReferralSource_Unknown="","",Year2_Surrey Year2_ReferralSource_Unknown)</f>
        <v>0</v>
      </c>
      <c r="DZ126" s="815">
        <f>IF(Year3_Surrey Year3_ReferralSource_Unknown="","",Year3_Surrey Year3_ReferralSource_Unknown)</f>
        <v>0</v>
      </c>
      <c r="EA126" s="815">
        <f>IF(Year4_Surrey Year4_ReferralSource_Unknown="","",Year4_Surrey Year4_ReferralSource_Unknown)</f>
        <v>0</v>
      </c>
      <c r="EB126" s="816">
        <f>IF(Year5_Surrey Year5_ReferralSource_Unknown="","",Year5_Surrey Year5_ReferralSource_Unknown)</f>
        <v>20</v>
      </c>
    </row>
    <row r="127" spans="1:132" s="83" customFormat="1" ht="16.5" customHeight="1" x14ac:dyDescent="0.2">
      <c r="A127" s="271"/>
      <c r="B127" s="170" t="str">
        <f>Sheet1!$K$20</f>
        <v>Swindon</v>
      </c>
      <c r="C127" s="9"/>
      <c r="D127" s="1483"/>
      <c r="E127" s="1484"/>
      <c r="F127" s="1483"/>
      <c r="G127" s="1484"/>
      <c r="H127" s="1483"/>
      <c r="I127" s="1484"/>
      <c r="J127" s="1483"/>
      <c r="K127" s="1484"/>
      <c r="L127" s="1483"/>
      <c r="M127" s="1484"/>
      <c r="N127" s="1483"/>
      <c r="O127" s="1484"/>
      <c r="P127" s="1483"/>
      <c r="Q127" s="1484"/>
      <c r="R127" s="1483"/>
      <c r="S127" s="1484"/>
      <c r="T127" s="1483"/>
      <c r="U127" s="1484"/>
      <c r="V127" s="1483"/>
      <c r="W127" s="1484"/>
      <c r="X127" s="15"/>
      <c r="Y127" s="119"/>
      <c r="Z127" s="138"/>
      <c r="AB127" s="805">
        <f>IF(Year1_Swindon Year1_ReferralSource_Individual_Family="","",Year1_Swindon Year1_ReferralSource_Individual_Family)</f>
        <v>211</v>
      </c>
      <c r="AC127" s="806">
        <f>IF(Year2_Swindon Year2_ReferralSource_Individual_Family="","",Year2_Swindon Year2_ReferralSource_Individual_Family)</f>
        <v>323</v>
      </c>
      <c r="AD127" s="806">
        <f>IF(Year3_Swindon Year3_ReferralSource_Individual_Family="","",Year3_Swindon Year3_ReferralSource_Individual_Family)</f>
        <v>220</v>
      </c>
      <c r="AE127" s="806">
        <f>IF(Year4_Swindon Year4_ReferralSource_Individual_Family="","",Year4_Swindon Year4_ReferralSource_Individual_Family)</f>
        <v>319</v>
      </c>
      <c r="AF127" s="807">
        <f>IF(Year5_Swindon Year5_ReferralSource_Individual_Family="","",Year5_Swindon Year5_ReferralSource_Individual_Family)</f>
        <v>820</v>
      </c>
      <c r="AG127" s="805" t="str">
        <f>IF(Year1_Swindon Year1_ReferralSource_Individual_Acquaintance="","",Year1_Swindon Year1_ReferralSource_Individual_Acquaintance)</f>
        <v/>
      </c>
      <c r="AH127" s="806" t="str">
        <f>IF(Year2_Swindon Year2_ReferralSource_Individual_Acquaintance="","",Year2_Swindon Year2_ReferralSource_Individual_Acquaintance)</f>
        <v/>
      </c>
      <c r="AI127" s="806" t="str">
        <f>IF(Year3_Swindon Year3_ReferralSource_Individual_Acquaintance="","",Year3_Swindon Year3_ReferralSource_Individual_Acquaintance)</f>
        <v/>
      </c>
      <c r="AJ127" s="806" t="str">
        <f>IF(Year4_Swindon Year4_ReferralSource_Individual_Acquaintance="","",Year4_Swindon Year4_ReferralSource_Individual_Acquaintance)</f>
        <v/>
      </c>
      <c r="AK127" s="807" t="str">
        <f>IF(Year5_Swindon Year5_ReferralSource_Individual_Acquaintance="","",Year5_Swindon Year5_ReferralSource_Individual_Acquaintance)</f>
        <v/>
      </c>
      <c r="AL127" s="805" t="str">
        <f>IF(Year1_Swindon Year1_ReferralSource_Individual_Self="","",Year1_Swindon Year1_ReferralSource_Individual_Self)</f>
        <v/>
      </c>
      <c r="AM127" s="806" t="str">
        <f>IF(Year2_Swindon Year2_ReferralSource_Individual_Self="","",Year2_Swindon Year2_ReferralSource_Individual_Self)</f>
        <v/>
      </c>
      <c r="AN127" s="806" t="str">
        <f>IF(Year3_Swindon Year3_ReferralSource_Individual_Self="","",Year3_Swindon Year3_ReferralSource_Individual_Self)</f>
        <v/>
      </c>
      <c r="AO127" s="806" t="str">
        <f>IF(Year4_Swindon Year4_ReferralSource_Individual_Self="","",Year4_Swindon Year4_ReferralSource_Individual_Self)</f>
        <v/>
      </c>
      <c r="AP127" s="807" t="str">
        <f>IF(Year5_Swindon Year5_ReferralSource_Individual_Self="","",Year5_Swindon Year5_ReferralSource_Individual_Self)</f>
        <v/>
      </c>
      <c r="AQ127" s="805" t="str">
        <f>IF(Year1_Swindon Year1_ReferralSource_Individual_Other="","",Year1_Swindon Year1_ReferralSource_Individual_Other)</f>
        <v/>
      </c>
      <c r="AR127" s="806" t="str">
        <f>IF(Year2_Swindon Year2_ReferralSource_Individual_Other="","",Year2_Swindon Year2_ReferralSource_Individual_Other)</f>
        <v/>
      </c>
      <c r="AS127" s="806" t="str">
        <f>IF(Year3_Swindon Year3_ReferralSource_Individual_Other="","",Year3_Swindon Year3_ReferralSource_Individual_Other)</f>
        <v/>
      </c>
      <c r="AT127" s="806" t="str">
        <f>IF(Year4_Swindon Year4_ReferralSource_Individual_Other="","",Year4_Swindon Year4_ReferralSource_Individual_Other)</f>
        <v/>
      </c>
      <c r="AU127" s="807" t="str">
        <f>IF(Year5_Swindon Year5_ReferralSource_Individual_Other="","",Year5_Swindon Year5_ReferralSource_Individual_Other)</f>
        <v/>
      </c>
      <c r="AV127" s="805">
        <f>IF(Year1_Swindon Year1_ReferralSource_School="","",Year1_Swindon Year1_ReferralSource_School)</f>
        <v>497</v>
      </c>
      <c r="AW127" s="806">
        <f>IF(Year2_Swindon Year2_ReferralSource_School="","",Year2_Swindon Year2_ReferralSource_School)</f>
        <v>597</v>
      </c>
      <c r="AX127" s="806">
        <f>IF(Year3_Swindon Year3_ReferralSource_School="","",Year3_Swindon Year3_ReferralSource_School)</f>
        <v>620</v>
      </c>
      <c r="AY127" s="806">
        <f>IF(Year4_Swindon Year4_ReferralSource_School="","",Year4_Swindon Year4_ReferralSource_School)</f>
        <v>724</v>
      </c>
      <c r="AZ127" s="807">
        <f>IF(Year5_Swindon Year5_ReferralSource_School="","",Year5_Swindon Year5_ReferralSource_School)</f>
        <v>2046</v>
      </c>
      <c r="BA127" s="805" t="str">
        <f>IF(Year1_Swindon Year1_ReferralSource_EducationServices="","",Year1_Swindon Year1_ReferralSource_EducationServices)</f>
        <v>x</v>
      </c>
      <c r="BB127" s="806">
        <f>IF(Year2_Swindon Year2_ReferralSource_EducationServices="","",Year2_Swindon Year2_ReferralSource_EducationServices)</f>
        <v>22</v>
      </c>
      <c r="BC127" s="806">
        <f>IF(Year3_Swindon Year3_ReferralSource_EducationServices="","",Year3_Swindon Year3_ReferralSource_EducationServices)</f>
        <v>9</v>
      </c>
      <c r="BD127" s="806">
        <f>IF(Year4_Swindon Year4_ReferralSource_EducationServices="","",Year4_Swindon Year4_ReferralSource_EducationServices)</f>
        <v>6</v>
      </c>
      <c r="BE127" s="807">
        <f>IF(Year5_Swindon Year5_ReferralSource_EducationServices="","",Year5_Swindon Year5_ReferralSource_EducationServices)</f>
        <v>0</v>
      </c>
      <c r="BF127" s="823">
        <f>IF(Year1_Swindon Year1_ReferralSource_Health_services_GP="","",Year1_Swindon Year1_ReferralSource_Health_services_GP)</f>
        <v>351</v>
      </c>
      <c r="BG127" s="824">
        <f>IF(Year2_Swindon Year2_ReferralSource_Health_services_GP="","",Year2_Swindon Year2_ReferralSource_Health_services_GP)</f>
        <v>392</v>
      </c>
      <c r="BH127" s="824">
        <f>IF(Year3_Swindon Year3_ReferralSource_Health_services_GP="","",Year3_Swindon Year3_ReferralSource_Health_services_GP)</f>
        <v>265</v>
      </c>
      <c r="BI127" s="824">
        <f>IF(Year4_Swindon Year4_ReferralSource_Health_services_GP="","",Year4_Swindon Year4_ReferralSource_Health_services_GP)</f>
        <v>460</v>
      </c>
      <c r="BJ127" s="825">
        <f>IF(Year5_Swindon Year5_ReferralSource_Health_services_GP="","",Year5_Swindon Year5_ReferralSource_Health_services_GP)</f>
        <v>1139</v>
      </c>
      <c r="BK127" s="823" t="str">
        <f>IF(Year1_Swindon Year1_ReferralSource_Health_services_HealthVisitor="","",Year1_Swindon Year1_ReferralSource_Health_services_HealthVisitor)</f>
        <v/>
      </c>
      <c r="BL127" s="824" t="str">
        <f>IF(Year2_Swindon Year2_ReferralSource_Health_services_HealthVisitor="","",Year2_Swindon Year2_ReferralSource_Health_services_HealthVisitor)</f>
        <v/>
      </c>
      <c r="BM127" s="824" t="str">
        <f>IF(Year3_Swindon Year3_ReferralSource_Health_services_HealthVisitor="","",Year3_Swindon Year3_ReferralSource_Health_services_HealthVisitor)</f>
        <v/>
      </c>
      <c r="BN127" s="824" t="str">
        <f>IF(Year4_Swindon Year4_ReferralSource_Health_services_HealthVisitor="","",Year4_Swindon Year4_ReferralSource_Health_services_HealthVisitor)</f>
        <v/>
      </c>
      <c r="BO127" s="825" t="str">
        <f>IF(Year5_Swindon Year5_ReferralSource_Health_services_HealthVisitor="","",Year5_Swindon Year5_ReferralSource_Health_services_HealthVisitor)</f>
        <v/>
      </c>
      <c r="BP127" s="823" t="str">
        <f>IF(Year1_Swindon Year1_ReferralSource_Health_services_SchoolNurse="","",Year1_Swindon Year1_ReferralSource_Health_services_SchoolNurse)</f>
        <v/>
      </c>
      <c r="BQ127" s="824" t="str">
        <f>IF(Year2_Swindon Year2_ReferralSource_Health_services_SchoolNurse="","",Year2_Swindon Year2_ReferralSource_Health_services_SchoolNurse)</f>
        <v/>
      </c>
      <c r="BR127" s="824" t="str">
        <f>IF(Year3_Swindon Year3_ReferralSource_Health_services_SchoolNurse="","",Year3_Swindon Year3_ReferralSource_Health_services_SchoolNurse)</f>
        <v/>
      </c>
      <c r="BS127" s="824" t="str">
        <f>IF(Year4_Swindon Year4_ReferralSource_Health_services_SchoolNurse="","",Year4_Swindon Year4_ReferralSource_Health_services_SchoolNurse)</f>
        <v/>
      </c>
      <c r="BT127" s="825" t="str">
        <f>IF(Year5_Swindon Year5_ReferralSource_Health_services_SchoolNurse="","",Year5_Swindon Year5_ReferralSource_Health_services_SchoolNurse)</f>
        <v/>
      </c>
      <c r="BU127" s="823" t="str">
        <f>IF(Year1_Swindon Year1_ReferralSource_Health_services_OthPrimary="","",Year1_Swindon Year1_ReferralSource_Health_services_OthPrimary)</f>
        <v/>
      </c>
      <c r="BV127" s="824" t="str">
        <f>IF(Year2_Swindon Year2_ReferralSource_Health_services_OthPrimary="","",Year2_Swindon Year2_ReferralSource_Health_services_OthPrimary)</f>
        <v/>
      </c>
      <c r="BW127" s="824" t="str">
        <f>IF(Year3_Swindon Year3_ReferralSource_Health_services_OthPrimary="","",Year3_Swindon Year3_ReferralSource_Health_services_OthPrimary)</f>
        <v/>
      </c>
      <c r="BX127" s="824" t="str">
        <f>IF(Year4_Swindon Year4_ReferralSource_Health_services_OthPrimary="","",Year4_Swindon Year4_ReferralSource_Health_services_OthPrimary)</f>
        <v/>
      </c>
      <c r="BY127" s="825" t="str">
        <f>IF(Year5_Swindon Year5_ReferralSource_Health_services_OthPrimary="","",Year5_Swindon Year5_ReferralSource_Health_services_OthPrimary)</f>
        <v/>
      </c>
      <c r="BZ127" s="823" t="str">
        <f>IF(Year1_Swindon Year1_ReferralSource_Health_services_AE="","",Year1_Swindon Year1_ReferralSource_Health_services_AE)</f>
        <v/>
      </c>
      <c r="CA127" s="824" t="str">
        <f>IF(Year2_Swindon Year2_ReferralSource_Health_services_AE="","",Year2_Swindon Year2_ReferralSource_Health_services_AE)</f>
        <v/>
      </c>
      <c r="CB127" s="824" t="str">
        <f>IF(Year3_Swindon Year3_ReferralSource_Health_services_AE="","",Year3_Swindon Year3_ReferralSource_Health_services_AE)</f>
        <v/>
      </c>
      <c r="CC127" s="824" t="str">
        <f>IF(Year4_Swindon Year4_ReferralSource_Health_services_AE="","",Year4_Swindon Year4_ReferralSource_Health_services_AE)</f>
        <v/>
      </c>
      <c r="CD127" s="825" t="str">
        <f>IF(Year5_Swindon Year5_ReferralSource_Health_services_AE="","",Year5_Swindon Year5_ReferralSource_Health_services_AE)</f>
        <v/>
      </c>
      <c r="CE127" s="823" t="str">
        <f>IF(Year1_Swindon Year1_ReferralSource_Health_services_Other="","",Year1_Swindon Year1_ReferralSource_Health_services_Other)</f>
        <v/>
      </c>
      <c r="CF127" s="824" t="str">
        <f>IF(Year2_Swindon Year2_ReferralSource_Health_services_Other="","",Year2_Swindon Year2_ReferralSource_Health_services_Other)</f>
        <v/>
      </c>
      <c r="CG127" s="824" t="str">
        <f>IF(Year3_Swindon Year3_ReferralSource_Health_services_Other="","",Year3_Swindon Year3_ReferralSource_Health_services_Other)</f>
        <v/>
      </c>
      <c r="CH127" s="824" t="str">
        <f>IF(Year4_Swindon Year4_ReferralSource_Health_services_Other="","",Year4_Swindon Year4_ReferralSource_Health_services_Other)</f>
        <v/>
      </c>
      <c r="CI127" s="825" t="str">
        <f>IF(Year5_Swindon Year5_ReferralSource_Health_services_Other="","",Year5_Swindon Year5_ReferralSource_Health_services_Other)</f>
        <v/>
      </c>
      <c r="CJ127" s="805" t="str">
        <f>IF(Year1_Swindon Year1_ReferralSource_Housing="","",Year1_Swindon Year1_ReferralSource_Housing)</f>
        <v>x</v>
      </c>
      <c r="CK127" s="806">
        <f>IF(Year2_Swindon Year2_ReferralSource_Housing="","",Year2_Swindon Year2_ReferralSource_Housing)</f>
        <v>67</v>
      </c>
      <c r="CL127" s="806">
        <f>IF(Year3_Swindon Year3_ReferralSource_Housing="","",Year3_Swindon Year3_ReferralSource_Housing)</f>
        <v>33</v>
      </c>
      <c r="CM127" s="806">
        <f>IF(Year4_Swindon Year4_ReferralSource_Housing="","",Year4_Swindon Year4_ReferralSource_Housing)</f>
        <v>46</v>
      </c>
      <c r="CN127" s="807">
        <f>IF(Year5_Swindon Year5_ReferralSource_Housing="","",Year5_Swindon Year5_ReferralSource_Housing)</f>
        <v>143</v>
      </c>
      <c r="CO127" s="805">
        <f>IF(Year1_Swindon Year1_ReferralSource_LA_SC="","",Year1_Swindon Year1_ReferralSource_LA_SC)</f>
        <v>220</v>
      </c>
      <c r="CP127" s="806">
        <f>IF(Year2_Swindon Year2_ReferralSource_LA_SC="","",Year2_Swindon Year2_ReferralSource_LA_SC)</f>
        <v>266</v>
      </c>
      <c r="CQ127" s="806">
        <f>IF(Year3_Swindon Year3_ReferralSource_LA_SC="","",Year3_Swindon Year3_ReferralSource_LA_SC)</f>
        <v>266</v>
      </c>
      <c r="CR127" s="806">
        <f>IF(Year4_Swindon Year4_ReferralSource_LA_SC="","",Year4_Swindon Year4_ReferralSource_LA_SC)</f>
        <v>250</v>
      </c>
      <c r="CS127" s="807">
        <f>IF(Year5_Swindon Year5_ReferralSource_LA_SC="","",Year5_Swindon Year5_ReferralSource_LA_SC)</f>
        <v>1493</v>
      </c>
      <c r="CT127" s="805" t="str">
        <f>IF(Year1_Swindon Year1_ReferralSource_LA_Other="","",Year1_Swindon Year1_ReferralSource_LA_Other)</f>
        <v/>
      </c>
      <c r="CU127" s="806" t="str">
        <f>IF(Year2_Swindon Year2_ReferralSource_LA_Other="","",Year2_Swindon Year2_ReferralSource_LA_Other)</f>
        <v/>
      </c>
      <c r="CV127" s="806" t="str">
        <f>IF(Year3_Swindon Year3_ReferralSource_LA_Other="","",Year3_Swindon Year3_ReferralSource_LA_Other)</f>
        <v/>
      </c>
      <c r="CW127" s="806" t="str">
        <f>IF(Year4_Swindon Year4_ReferralSource_LA_Other="","",Year4_Swindon Year4_ReferralSource_LA_Other)</f>
        <v/>
      </c>
      <c r="CX127" s="807" t="str">
        <f>IF(Year5_Swindon Year5_ReferralSource_LA_Other="","",Year5_Swindon Year5_ReferralSource_LA_Other)</f>
        <v/>
      </c>
      <c r="CY127" s="805" t="str">
        <f>IF(Year1_Swindon Year1_ReferralSource_LA_External="","",Year1_Swindon Year1_ReferralSource_LA_External)</f>
        <v/>
      </c>
      <c r="CZ127" s="806" t="str">
        <f>IF(Year2_Swindon Year2_ReferralSource_LA_External="","",Year2_Swindon Year2_ReferralSource_LA_External)</f>
        <v/>
      </c>
      <c r="DA127" s="806" t="str">
        <f>IF(Year3_Swindon Year3_ReferralSource_LA_External="","",Year3_Swindon Year3_ReferralSource_LA_External)</f>
        <v/>
      </c>
      <c r="DB127" s="806" t="str">
        <f>IF(Year4_Swindon Year4_ReferralSource_LA_External="","",Year4_Swindon Year4_ReferralSource_LA_External)</f>
        <v/>
      </c>
      <c r="DC127" s="807" t="str">
        <f>IF(Year5_Swindon Year5_ReferralSource_LA_External="","",Year5_Swindon Year5_ReferralSource_LA_External)</f>
        <v/>
      </c>
      <c r="DD127" s="805">
        <f>IF(Year1_Swindon Year1_ReferralSource_Police="","",Year1_Swindon Year1_ReferralSource_Police)</f>
        <v>833</v>
      </c>
      <c r="DE127" s="806">
        <f>IF(Year2_Swindon Year2_ReferralSource_Police="","",Year2_Swindon Year2_ReferralSource_Police)</f>
        <v>1099</v>
      </c>
      <c r="DF127" s="806">
        <f>IF(Year3_Swindon Year3_ReferralSource_Police="","",Year3_Swindon Year3_ReferralSource_Police)</f>
        <v>1122</v>
      </c>
      <c r="DG127" s="806">
        <f>IF(Year4_Swindon Year4_ReferralSource_Police="","",Year4_Swindon Year4_ReferralSource_Police)</f>
        <v>1281</v>
      </c>
      <c r="DH127" s="807">
        <f>IF(Year5_Swindon Year5_ReferralSource_Police="","",Year5_Swindon Year5_ReferralSource_Police)</f>
        <v>2556</v>
      </c>
      <c r="DI127" s="805">
        <f>IF(Year1_Swindon Year1_ReferralSource_Other_Legal="","",Year1_Swindon Year1_ReferralSource_Other_Legal)</f>
        <v>42</v>
      </c>
      <c r="DJ127" s="806">
        <f>IF(Year2_Swindon Year2_ReferralSource_Other_Legal="","",Year2_Swindon Year2_ReferralSource_Other_Legal)</f>
        <v>72</v>
      </c>
      <c r="DK127" s="806">
        <f>IF(Year3_Swindon Year3_ReferralSource_Other_Legal="","",Year3_Swindon Year3_ReferralSource_Other_Legal)</f>
        <v>66</v>
      </c>
      <c r="DL127" s="806">
        <f>IF(Year4_Swindon Year4_ReferralSource_Other_Legal="","",Year4_Swindon Year4_ReferralSource_Other_Legal)</f>
        <v>84</v>
      </c>
      <c r="DM127" s="807">
        <f>IF(Year5_Swindon Year5_ReferralSource_Other_Legal="","",Year5_Swindon Year5_ReferralSource_Other_Legal)</f>
        <v>292</v>
      </c>
      <c r="DN127" s="805">
        <f>IF(Year1_Swindon Year1_ReferralSource_Other="","",Year1_Swindon Year1_ReferralSource_Other)</f>
        <v>173</v>
      </c>
      <c r="DO127" s="806">
        <f>IF(Year2_Swindon Year2_ReferralSource_Other="","",Year2_Swindon Year2_ReferralSource_Other)</f>
        <v>59</v>
      </c>
      <c r="DP127" s="806">
        <f>IF(Year3_Swindon Year3_ReferralSource_Other="","",Year3_Swindon Year3_ReferralSource_Other)</f>
        <v>180</v>
      </c>
      <c r="DQ127" s="806">
        <f>IF(Year4_Swindon Year4_ReferralSource_Other="","",Year4_Swindon Year4_ReferralSource_Other)</f>
        <v>210</v>
      </c>
      <c r="DR127" s="807">
        <f>IF(Year5_Swindon Year5_ReferralSource_Other="","",Year5_Swindon Year5_ReferralSource_Other)</f>
        <v>609</v>
      </c>
      <c r="DS127" s="805">
        <f>IF(Year1_Swindon Year1_ReferralSource_Anonymous="","",Year1_Swindon Year1_ReferralSource_Anonymous)</f>
        <v>36</v>
      </c>
      <c r="DT127" s="806">
        <f>IF(Year2_Swindon Year2_ReferralSource_Anonymous="","",Year2_Swindon Year2_ReferralSource_Anonymous)</f>
        <v>122</v>
      </c>
      <c r="DU127" s="806">
        <f>IF(Year3_Swindon Year3_ReferralSource_Anonymous="","",Year3_Swindon Year3_ReferralSource_Anonymous)</f>
        <v>77</v>
      </c>
      <c r="DV127" s="806">
        <f>IF(Year4_Swindon Year4_ReferralSource_Anonymous="","",Year4_Swindon Year4_ReferralSource_Anonymous)</f>
        <v>144</v>
      </c>
      <c r="DW127" s="807">
        <f>IF(Year5_Swindon Year5_ReferralSource_Anonymous="","",Year5_Swindon Year5_ReferralSource_Anonymous)</f>
        <v>0</v>
      </c>
      <c r="DX127" s="805">
        <f>IF(Year1_Swindon Year1_ReferralSource_Unknown="","",Year1_Swindon Year1_ReferralSource_Unknown)</f>
        <v>251</v>
      </c>
      <c r="DY127" s="806">
        <f>IF(Year2_Swindon Year2_ReferralSource_Unknown="","",Year2_Swindon Year2_ReferralSource_Unknown)</f>
        <v>386</v>
      </c>
      <c r="DZ127" s="806">
        <f>IF(Year3_Swindon Year3_ReferralSource_Unknown="","",Year3_Swindon Year3_ReferralSource_Unknown)</f>
        <v>163</v>
      </c>
      <c r="EA127" s="806">
        <f>IF(Year4_Swindon Year4_ReferralSource_Unknown="","",Year4_Swindon Year4_ReferralSource_Unknown)</f>
        <v>103</v>
      </c>
      <c r="EB127" s="807">
        <f>IF(Year5_Swindon Year5_ReferralSource_Unknown="","",Year5_Swindon Year5_ReferralSource_Unknown)</f>
        <v>392</v>
      </c>
    </row>
    <row r="128" spans="1:132" s="83" customFormat="1" ht="16.5" customHeight="1" x14ac:dyDescent="0.2">
      <c r="A128" s="271"/>
      <c r="B128" s="170" t="str">
        <f>Sheet1!$K$21</f>
        <v>Torbay</v>
      </c>
      <c r="C128" s="9"/>
      <c r="D128" s="1483"/>
      <c r="E128" s="1484"/>
      <c r="F128" s="1483"/>
      <c r="G128" s="1484"/>
      <c r="H128" s="1483"/>
      <c r="I128" s="1484"/>
      <c r="J128" s="1483"/>
      <c r="K128" s="1484"/>
      <c r="L128" s="1483"/>
      <c r="M128" s="1484"/>
      <c r="N128" s="1483"/>
      <c r="O128" s="1484"/>
      <c r="P128" s="1483"/>
      <c r="Q128" s="1484"/>
      <c r="R128" s="1483"/>
      <c r="S128" s="1484"/>
      <c r="T128" s="1483"/>
      <c r="U128" s="1484"/>
      <c r="V128" s="1483"/>
      <c r="W128" s="1484"/>
      <c r="X128" s="15"/>
      <c r="Y128" s="119"/>
      <c r="Z128" s="138"/>
      <c r="AB128" s="805">
        <f>IF(Year1_Torbay Year1_ReferralSource_Individual_Family="","",Year1_Torbay Year1_ReferralSource_Individual_Family)</f>
        <v>245</v>
      </c>
      <c r="AC128" s="806">
        <f>IF(Year2_Torbay Year2_ReferralSource_Individual_Family="","",Year2_Torbay Year2_ReferralSource_Individual_Family)</f>
        <v>134</v>
      </c>
      <c r="AD128" s="806">
        <f>IF(Year3_Torbay Year3_ReferralSource_Individual_Family="","",Year3_Torbay Year3_ReferralSource_Individual_Family)</f>
        <v>127</v>
      </c>
      <c r="AE128" s="806">
        <f>IF(Year4_Torbay Year4_ReferralSource_Individual_Family="","",Year4_Torbay Year4_ReferralSource_Individual_Family)</f>
        <v>141</v>
      </c>
      <c r="AF128" s="807">
        <f>IF(Year5_Torbay Year5_ReferralSource_Individual_Family="","",Year5_Torbay Year5_ReferralSource_Individual_Family)</f>
        <v>89</v>
      </c>
      <c r="AG128" s="805" t="str">
        <f>IF(Year1_Torbay Year1_ReferralSource_Individual_Acquaintance="","",Year1_Torbay Year1_ReferralSource_Individual_Acquaintance)</f>
        <v/>
      </c>
      <c r="AH128" s="806" t="str">
        <f>IF(Year2_Torbay Year2_ReferralSource_Individual_Acquaintance="","",Year2_Torbay Year2_ReferralSource_Individual_Acquaintance)</f>
        <v/>
      </c>
      <c r="AI128" s="806" t="str">
        <f>IF(Year3_Torbay Year3_ReferralSource_Individual_Acquaintance="","",Year3_Torbay Year3_ReferralSource_Individual_Acquaintance)</f>
        <v/>
      </c>
      <c r="AJ128" s="806" t="str">
        <f>IF(Year4_Torbay Year4_ReferralSource_Individual_Acquaintance="","",Year4_Torbay Year4_ReferralSource_Individual_Acquaintance)</f>
        <v/>
      </c>
      <c r="AK128" s="807" t="str">
        <f>IF(Year5_Torbay Year5_ReferralSource_Individual_Acquaintance="","",Year5_Torbay Year5_ReferralSource_Individual_Acquaintance)</f>
        <v/>
      </c>
      <c r="AL128" s="805" t="str">
        <f>IF(Year1_Torbay Year1_ReferralSource_Individual_Self="","",Year1_Torbay Year1_ReferralSource_Individual_Self)</f>
        <v/>
      </c>
      <c r="AM128" s="806" t="str">
        <f>IF(Year2_Torbay Year2_ReferralSource_Individual_Self="","",Year2_Torbay Year2_ReferralSource_Individual_Self)</f>
        <v/>
      </c>
      <c r="AN128" s="806" t="str">
        <f>IF(Year3_Torbay Year3_ReferralSource_Individual_Self="","",Year3_Torbay Year3_ReferralSource_Individual_Self)</f>
        <v/>
      </c>
      <c r="AO128" s="806" t="str">
        <f>IF(Year4_Torbay Year4_ReferralSource_Individual_Self="","",Year4_Torbay Year4_ReferralSource_Individual_Self)</f>
        <v/>
      </c>
      <c r="AP128" s="807" t="str">
        <f>IF(Year5_Torbay Year5_ReferralSource_Individual_Self="","",Year5_Torbay Year5_ReferralSource_Individual_Self)</f>
        <v/>
      </c>
      <c r="AQ128" s="805" t="str">
        <f>IF(Year1_Torbay Year1_ReferralSource_Individual_Other="","",Year1_Torbay Year1_ReferralSource_Individual_Other)</f>
        <v/>
      </c>
      <c r="AR128" s="806" t="str">
        <f>IF(Year2_Torbay Year2_ReferralSource_Individual_Other="","",Year2_Torbay Year2_ReferralSource_Individual_Other)</f>
        <v/>
      </c>
      <c r="AS128" s="806" t="str">
        <f>IF(Year3_Torbay Year3_ReferralSource_Individual_Other="","",Year3_Torbay Year3_ReferralSource_Individual_Other)</f>
        <v/>
      </c>
      <c r="AT128" s="806" t="str">
        <f>IF(Year4_Torbay Year4_ReferralSource_Individual_Other="","",Year4_Torbay Year4_ReferralSource_Individual_Other)</f>
        <v/>
      </c>
      <c r="AU128" s="807" t="str">
        <f>IF(Year5_Torbay Year5_ReferralSource_Individual_Other="","",Year5_Torbay Year5_ReferralSource_Individual_Other)</f>
        <v/>
      </c>
      <c r="AV128" s="805">
        <f>IF(Year1_Torbay Year1_ReferralSource_School="","",Year1_Torbay Year1_ReferralSource_School)</f>
        <v>316</v>
      </c>
      <c r="AW128" s="806">
        <f>IF(Year2_Torbay Year2_ReferralSource_School="","",Year2_Torbay Year2_ReferralSource_School)</f>
        <v>307</v>
      </c>
      <c r="AX128" s="806">
        <f>IF(Year3_Torbay Year3_ReferralSource_School="","",Year3_Torbay Year3_ReferralSource_School)</f>
        <v>391</v>
      </c>
      <c r="AY128" s="806">
        <f>IF(Year4_Torbay Year4_ReferralSource_School="","",Year4_Torbay Year4_ReferralSource_School)</f>
        <v>382</v>
      </c>
      <c r="AZ128" s="807">
        <f>IF(Year5_Torbay Year5_ReferralSource_School="","",Year5_Torbay Year5_ReferralSource_School)</f>
        <v>172</v>
      </c>
      <c r="BA128" s="805">
        <f>IF(Year1_Torbay Year1_ReferralSource_EducationServices="","",Year1_Torbay Year1_ReferralSource_EducationServices)</f>
        <v>0</v>
      </c>
      <c r="BB128" s="806">
        <f>IF(Year2_Torbay Year2_ReferralSource_EducationServices="","",Year2_Torbay Year2_ReferralSource_EducationServices)</f>
        <v>0</v>
      </c>
      <c r="BC128" s="806">
        <f>IF(Year3_Torbay Year3_ReferralSource_EducationServices="","",Year3_Torbay Year3_ReferralSource_EducationServices)</f>
        <v>0</v>
      </c>
      <c r="BD128" s="806">
        <f>IF(Year4_Torbay Year4_ReferralSource_EducationServices="","",Year4_Torbay Year4_ReferralSource_EducationServices)</f>
        <v>0</v>
      </c>
      <c r="BE128" s="807">
        <f>IF(Year5_Torbay Year5_ReferralSource_EducationServices="","",Year5_Torbay Year5_ReferralSource_EducationServices)</f>
        <v>12</v>
      </c>
      <c r="BF128" s="823">
        <f>IF(Year1_Torbay Year1_ReferralSource_Health_services_GP="","",Year1_Torbay Year1_ReferralSource_Health_services_GP)</f>
        <v>357</v>
      </c>
      <c r="BG128" s="824">
        <f>IF(Year2_Torbay Year2_ReferralSource_Health_services_GP="","",Year2_Torbay Year2_ReferralSource_Health_services_GP)</f>
        <v>260</v>
      </c>
      <c r="BH128" s="824">
        <f>IF(Year3_Torbay Year3_ReferralSource_Health_services_GP="","",Year3_Torbay Year3_ReferralSource_Health_services_GP)</f>
        <v>162</v>
      </c>
      <c r="BI128" s="824">
        <f>IF(Year4_Torbay Year4_ReferralSource_Health_services_GP="","",Year4_Torbay Year4_ReferralSource_Health_services_GP)</f>
        <v>261</v>
      </c>
      <c r="BJ128" s="825">
        <f>IF(Year5_Torbay Year5_ReferralSource_Health_services_GP="","",Year5_Torbay Year5_ReferralSource_Health_services_GP)</f>
        <v>130</v>
      </c>
      <c r="BK128" s="823" t="str">
        <f>IF(Year1_Torbay Year1_ReferralSource_Health_services_HealthVisitor="","",Year1_Torbay Year1_ReferralSource_Health_services_HealthVisitor)</f>
        <v/>
      </c>
      <c r="BL128" s="824" t="str">
        <f>IF(Year2_Torbay Year2_ReferralSource_Health_services_HealthVisitor="","",Year2_Torbay Year2_ReferralSource_Health_services_HealthVisitor)</f>
        <v/>
      </c>
      <c r="BM128" s="824" t="str">
        <f>IF(Year3_Torbay Year3_ReferralSource_Health_services_HealthVisitor="","",Year3_Torbay Year3_ReferralSource_Health_services_HealthVisitor)</f>
        <v/>
      </c>
      <c r="BN128" s="824" t="str">
        <f>IF(Year4_Torbay Year4_ReferralSource_Health_services_HealthVisitor="","",Year4_Torbay Year4_ReferralSource_Health_services_HealthVisitor)</f>
        <v/>
      </c>
      <c r="BO128" s="825" t="str">
        <f>IF(Year5_Torbay Year5_ReferralSource_Health_services_HealthVisitor="","",Year5_Torbay Year5_ReferralSource_Health_services_HealthVisitor)</f>
        <v/>
      </c>
      <c r="BP128" s="823" t="str">
        <f>IF(Year1_Torbay Year1_ReferralSource_Health_services_SchoolNurse="","",Year1_Torbay Year1_ReferralSource_Health_services_SchoolNurse)</f>
        <v/>
      </c>
      <c r="BQ128" s="824" t="str">
        <f>IF(Year2_Torbay Year2_ReferralSource_Health_services_SchoolNurse="","",Year2_Torbay Year2_ReferralSource_Health_services_SchoolNurse)</f>
        <v/>
      </c>
      <c r="BR128" s="824" t="str">
        <f>IF(Year3_Torbay Year3_ReferralSource_Health_services_SchoolNurse="","",Year3_Torbay Year3_ReferralSource_Health_services_SchoolNurse)</f>
        <v/>
      </c>
      <c r="BS128" s="824" t="str">
        <f>IF(Year4_Torbay Year4_ReferralSource_Health_services_SchoolNurse="","",Year4_Torbay Year4_ReferralSource_Health_services_SchoolNurse)</f>
        <v/>
      </c>
      <c r="BT128" s="825" t="str">
        <f>IF(Year5_Torbay Year5_ReferralSource_Health_services_SchoolNurse="","",Year5_Torbay Year5_ReferralSource_Health_services_SchoolNurse)</f>
        <v/>
      </c>
      <c r="BU128" s="823" t="str">
        <f>IF(Year1_Torbay Year1_ReferralSource_Health_services_OthPrimary="","",Year1_Torbay Year1_ReferralSource_Health_services_OthPrimary)</f>
        <v/>
      </c>
      <c r="BV128" s="824" t="str">
        <f>IF(Year2_Torbay Year2_ReferralSource_Health_services_OthPrimary="","",Year2_Torbay Year2_ReferralSource_Health_services_OthPrimary)</f>
        <v/>
      </c>
      <c r="BW128" s="824" t="str">
        <f>IF(Year3_Torbay Year3_ReferralSource_Health_services_OthPrimary="","",Year3_Torbay Year3_ReferralSource_Health_services_OthPrimary)</f>
        <v/>
      </c>
      <c r="BX128" s="824" t="str">
        <f>IF(Year4_Torbay Year4_ReferralSource_Health_services_OthPrimary="","",Year4_Torbay Year4_ReferralSource_Health_services_OthPrimary)</f>
        <v/>
      </c>
      <c r="BY128" s="825" t="str">
        <f>IF(Year5_Torbay Year5_ReferralSource_Health_services_OthPrimary="","",Year5_Torbay Year5_ReferralSource_Health_services_OthPrimary)</f>
        <v/>
      </c>
      <c r="BZ128" s="823" t="str">
        <f>IF(Year1_Torbay Year1_ReferralSource_Health_services_AE="","",Year1_Torbay Year1_ReferralSource_Health_services_AE)</f>
        <v/>
      </c>
      <c r="CA128" s="824" t="str">
        <f>IF(Year2_Torbay Year2_ReferralSource_Health_services_AE="","",Year2_Torbay Year2_ReferralSource_Health_services_AE)</f>
        <v/>
      </c>
      <c r="CB128" s="824" t="str">
        <f>IF(Year3_Torbay Year3_ReferralSource_Health_services_AE="","",Year3_Torbay Year3_ReferralSource_Health_services_AE)</f>
        <v/>
      </c>
      <c r="CC128" s="824" t="str">
        <f>IF(Year4_Torbay Year4_ReferralSource_Health_services_AE="","",Year4_Torbay Year4_ReferralSource_Health_services_AE)</f>
        <v/>
      </c>
      <c r="CD128" s="825" t="str">
        <f>IF(Year5_Torbay Year5_ReferralSource_Health_services_AE="","",Year5_Torbay Year5_ReferralSource_Health_services_AE)</f>
        <v/>
      </c>
      <c r="CE128" s="823" t="str">
        <f>IF(Year1_Torbay Year1_ReferralSource_Health_services_Other="","",Year1_Torbay Year1_ReferralSource_Health_services_Other)</f>
        <v/>
      </c>
      <c r="CF128" s="824" t="str">
        <f>IF(Year2_Torbay Year2_ReferralSource_Health_services_Other="","",Year2_Torbay Year2_ReferralSource_Health_services_Other)</f>
        <v/>
      </c>
      <c r="CG128" s="824" t="str">
        <f>IF(Year3_Torbay Year3_ReferralSource_Health_services_Other="","",Year3_Torbay Year3_ReferralSource_Health_services_Other)</f>
        <v/>
      </c>
      <c r="CH128" s="824" t="str">
        <f>IF(Year4_Torbay Year4_ReferralSource_Health_services_Other="","",Year4_Torbay Year4_ReferralSource_Health_services_Other)</f>
        <v/>
      </c>
      <c r="CI128" s="825" t="str">
        <f>IF(Year5_Torbay Year5_ReferralSource_Health_services_Other="","",Year5_Torbay Year5_ReferralSource_Health_services_Other)</f>
        <v/>
      </c>
      <c r="CJ128" s="805">
        <f>IF(Year1_Torbay Year1_ReferralSource_Housing="","",Year1_Torbay Year1_ReferralSource_Housing)</f>
        <v>15</v>
      </c>
      <c r="CK128" s="806">
        <f>IF(Year2_Torbay Year2_ReferralSource_Housing="","",Year2_Torbay Year2_ReferralSource_Housing)</f>
        <v>10</v>
      </c>
      <c r="CL128" s="806">
        <f>IF(Year3_Torbay Year3_ReferralSource_Housing="","",Year3_Torbay Year3_ReferralSource_Housing)</f>
        <v>20</v>
      </c>
      <c r="CM128" s="806">
        <f>IF(Year4_Torbay Year4_ReferralSource_Housing="","",Year4_Torbay Year4_ReferralSource_Housing)</f>
        <v>9</v>
      </c>
      <c r="CN128" s="807">
        <f>IF(Year5_Torbay Year5_ReferralSource_Housing="","",Year5_Torbay Year5_ReferralSource_Housing)</f>
        <v>10</v>
      </c>
      <c r="CO128" s="805">
        <f>IF(Year1_Torbay Year1_ReferralSource_LA_SC="","",Year1_Torbay Year1_ReferralSource_LA_SC)</f>
        <v>314</v>
      </c>
      <c r="CP128" s="806">
        <f>IF(Year2_Torbay Year2_ReferralSource_LA_SC="","",Year2_Torbay Year2_ReferralSource_LA_SC)</f>
        <v>466</v>
      </c>
      <c r="CQ128" s="806">
        <f>IF(Year3_Torbay Year3_ReferralSource_LA_SC="","",Year3_Torbay Year3_ReferralSource_LA_SC)</f>
        <v>370</v>
      </c>
      <c r="CR128" s="806">
        <f>IF(Year4_Torbay Year4_ReferralSource_LA_SC="","",Year4_Torbay Year4_ReferralSource_LA_SC)</f>
        <v>278</v>
      </c>
      <c r="CS128" s="807">
        <f>IF(Year5_Torbay Year5_ReferralSource_LA_SC="","",Year5_Torbay Year5_ReferralSource_LA_SC)</f>
        <v>77</v>
      </c>
      <c r="CT128" s="805" t="str">
        <f>IF(Year1_Torbay Year1_ReferralSource_LA_Other="","",Year1_Torbay Year1_ReferralSource_LA_Other)</f>
        <v/>
      </c>
      <c r="CU128" s="806" t="str">
        <f>IF(Year2_Torbay Year2_ReferralSource_LA_Other="","",Year2_Torbay Year2_ReferralSource_LA_Other)</f>
        <v/>
      </c>
      <c r="CV128" s="806" t="str">
        <f>IF(Year3_Torbay Year3_ReferralSource_LA_Other="","",Year3_Torbay Year3_ReferralSource_LA_Other)</f>
        <v/>
      </c>
      <c r="CW128" s="806" t="str">
        <f>IF(Year4_Torbay Year4_ReferralSource_LA_Other="","",Year4_Torbay Year4_ReferralSource_LA_Other)</f>
        <v/>
      </c>
      <c r="CX128" s="807" t="str">
        <f>IF(Year5_Torbay Year5_ReferralSource_LA_Other="","",Year5_Torbay Year5_ReferralSource_LA_Other)</f>
        <v/>
      </c>
      <c r="CY128" s="805" t="str">
        <f>IF(Year1_Torbay Year1_ReferralSource_LA_External="","",Year1_Torbay Year1_ReferralSource_LA_External)</f>
        <v/>
      </c>
      <c r="CZ128" s="806" t="str">
        <f>IF(Year2_Torbay Year2_ReferralSource_LA_External="","",Year2_Torbay Year2_ReferralSource_LA_External)</f>
        <v/>
      </c>
      <c r="DA128" s="806" t="str">
        <f>IF(Year3_Torbay Year3_ReferralSource_LA_External="","",Year3_Torbay Year3_ReferralSource_LA_External)</f>
        <v/>
      </c>
      <c r="DB128" s="806" t="str">
        <f>IF(Year4_Torbay Year4_ReferralSource_LA_External="","",Year4_Torbay Year4_ReferralSource_LA_External)</f>
        <v/>
      </c>
      <c r="DC128" s="807" t="str">
        <f>IF(Year5_Torbay Year5_ReferralSource_LA_External="","",Year5_Torbay Year5_ReferralSource_LA_External)</f>
        <v/>
      </c>
      <c r="DD128" s="805">
        <f>IF(Year1_Torbay Year1_ReferralSource_Police="","",Year1_Torbay Year1_ReferralSource_Police)</f>
        <v>550</v>
      </c>
      <c r="DE128" s="806">
        <f>IF(Year2_Torbay Year2_ReferralSource_Police="","",Year2_Torbay Year2_ReferralSource_Police)</f>
        <v>520</v>
      </c>
      <c r="DF128" s="806">
        <f>IF(Year3_Torbay Year3_ReferralSource_Police="","",Year3_Torbay Year3_ReferralSource_Police)</f>
        <v>351</v>
      </c>
      <c r="DG128" s="806">
        <f>IF(Year4_Torbay Year4_ReferralSource_Police="","",Year4_Torbay Year4_ReferralSource_Police)</f>
        <v>435</v>
      </c>
      <c r="DH128" s="807">
        <f>IF(Year5_Torbay Year5_ReferralSource_Police="","",Year5_Torbay Year5_ReferralSource_Police)</f>
        <v>401</v>
      </c>
      <c r="DI128" s="805">
        <f>IF(Year1_Torbay Year1_ReferralSource_Other_Legal="","",Year1_Torbay Year1_ReferralSource_Other_Legal)</f>
        <v>43</v>
      </c>
      <c r="DJ128" s="806">
        <f>IF(Year2_Torbay Year2_ReferralSource_Other_Legal="","",Year2_Torbay Year2_ReferralSource_Other_Legal)</f>
        <v>33</v>
      </c>
      <c r="DK128" s="806">
        <f>IF(Year3_Torbay Year3_ReferralSource_Other_Legal="","",Year3_Torbay Year3_ReferralSource_Other_Legal)</f>
        <v>19</v>
      </c>
      <c r="DL128" s="806">
        <f>IF(Year4_Torbay Year4_ReferralSource_Other_Legal="","",Year4_Torbay Year4_ReferralSource_Other_Legal)</f>
        <v>23</v>
      </c>
      <c r="DM128" s="807">
        <f>IF(Year5_Torbay Year5_ReferralSource_Other_Legal="","",Year5_Torbay Year5_ReferralSource_Other_Legal)</f>
        <v>27</v>
      </c>
      <c r="DN128" s="805">
        <f>IF(Year1_Torbay Year1_ReferralSource_Other="","",Year1_Torbay Year1_ReferralSource_Other)</f>
        <v>197</v>
      </c>
      <c r="DO128" s="806">
        <f>IF(Year2_Torbay Year2_ReferralSource_Other="","",Year2_Torbay Year2_ReferralSource_Other)</f>
        <v>165</v>
      </c>
      <c r="DP128" s="806">
        <f>IF(Year3_Torbay Year3_ReferralSource_Other="","",Year3_Torbay Year3_ReferralSource_Other)</f>
        <v>91</v>
      </c>
      <c r="DQ128" s="806">
        <f>IF(Year4_Torbay Year4_ReferralSource_Other="","",Year4_Torbay Year4_ReferralSource_Other)</f>
        <v>156</v>
      </c>
      <c r="DR128" s="807">
        <f>IF(Year5_Torbay Year5_ReferralSource_Other="","",Year5_Torbay Year5_ReferralSource_Other)</f>
        <v>148</v>
      </c>
      <c r="DS128" s="805">
        <f>IF(Year1_Torbay Year1_ReferralSource_Anonymous="","",Year1_Torbay Year1_ReferralSource_Anonymous)</f>
        <v>97</v>
      </c>
      <c r="DT128" s="806">
        <f>IF(Year2_Torbay Year2_ReferralSource_Anonymous="","",Year2_Torbay Year2_ReferralSource_Anonymous)</f>
        <v>71</v>
      </c>
      <c r="DU128" s="806">
        <f>IF(Year3_Torbay Year3_ReferralSource_Anonymous="","",Year3_Torbay Year3_ReferralSource_Anonymous)</f>
        <v>44</v>
      </c>
      <c r="DV128" s="806">
        <f>IF(Year4_Torbay Year4_ReferralSource_Anonymous="","",Year4_Torbay Year4_ReferralSource_Anonymous)</f>
        <v>61</v>
      </c>
      <c r="DW128" s="807">
        <f>IF(Year5_Torbay Year5_ReferralSource_Anonymous="","",Year5_Torbay Year5_ReferralSource_Anonymous)</f>
        <v>19</v>
      </c>
      <c r="DX128" s="805">
        <f>IF(Year1_Torbay Year1_ReferralSource_Unknown="","",Year1_Torbay Year1_ReferralSource_Unknown)</f>
        <v>0</v>
      </c>
      <c r="DY128" s="806">
        <f>IF(Year2_Torbay Year2_ReferralSource_Unknown="","",Year2_Torbay Year2_ReferralSource_Unknown)</f>
        <v>22</v>
      </c>
      <c r="DZ128" s="806">
        <f>IF(Year3_Torbay Year3_ReferralSource_Unknown="","",Year3_Torbay Year3_ReferralSource_Unknown)</f>
        <v>41</v>
      </c>
      <c r="EA128" s="806">
        <f>IF(Year4_Torbay Year4_ReferralSource_Unknown="","",Year4_Torbay Year4_ReferralSource_Unknown)</f>
        <v>59</v>
      </c>
      <c r="EB128" s="807">
        <f>IF(Year5_Torbay Year5_ReferralSource_Unknown="","",Year5_Torbay Year5_ReferralSource_Unknown)</f>
        <v>50</v>
      </c>
    </row>
    <row r="129" spans="1:132" s="83" customFormat="1" ht="16.5" customHeight="1" x14ac:dyDescent="0.2">
      <c r="A129" s="271"/>
      <c r="B129" s="170" t="str">
        <f>Sheet1!$K$22</f>
        <v>West Berkshire</v>
      </c>
      <c r="C129" s="9"/>
      <c r="D129" s="1483"/>
      <c r="E129" s="1484"/>
      <c r="F129" s="1483"/>
      <c r="G129" s="1484"/>
      <c r="H129" s="1483"/>
      <c r="I129" s="1484"/>
      <c r="J129" s="1483"/>
      <c r="K129" s="1484"/>
      <c r="L129" s="1483"/>
      <c r="M129" s="1484"/>
      <c r="N129" s="1483"/>
      <c r="O129" s="1484"/>
      <c r="P129" s="1483"/>
      <c r="Q129" s="1484"/>
      <c r="R129" s="1483"/>
      <c r="S129" s="1484"/>
      <c r="T129" s="1483"/>
      <c r="U129" s="1484"/>
      <c r="V129" s="1483"/>
      <c r="W129" s="1484"/>
      <c r="X129" s="15"/>
      <c r="Y129" s="119"/>
      <c r="Z129" s="138"/>
      <c r="AA129" s="178"/>
      <c r="AB129" s="805">
        <f>IF(Year1_West_Berkshire Year1_ReferralSource_Individual_Family="","",Year1_West_Berkshire Year1_ReferralSource_Individual_Family)</f>
        <v>129</v>
      </c>
      <c r="AC129" s="806">
        <f>IF(Year2_West_Berkshire Year2_ReferralSource_Individual_Family="","",Year2_West_Berkshire Year2_ReferralSource_Individual_Family)</f>
        <v>79</v>
      </c>
      <c r="AD129" s="806">
        <f>IF(Year3_West_Berkshire Year3_ReferralSource_Individual_Family="","",Year3_West_Berkshire Year3_ReferralSource_Individual_Family)</f>
        <v>134</v>
      </c>
      <c r="AE129" s="806">
        <f>IF(Year4_West_Berkshire Year4_ReferralSource_Individual_Family="","",Year4_West_Berkshire Year4_ReferralSource_Individual_Family)</f>
        <v>139</v>
      </c>
      <c r="AF129" s="807">
        <f>IF(Year5_West_Berkshire Year5_ReferralSource_Individual_Family="","",Year5_West_Berkshire Year5_ReferralSource_Individual_Family)</f>
        <v>142</v>
      </c>
      <c r="AG129" s="805" t="str">
        <f>IF(Year1_West_Berkshire Year1_ReferralSource_Individual_Acquaintance="","",Year1_West_Berkshire Year1_ReferralSource_Individual_Acquaintance)</f>
        <v/>
      </c>
      <c r="AH129" s="806" t="str">
        <f>IF(Year2_West_Berkshire Year2_ReferralSource_Individual_Acquaintance="","",Year2_West_Berkshire Year2_ReferralSource_Individual_Acquaintance)</f>
        <v/>
      </c>
      <c r="AI129" s="806" t="str">
        <f>IF(Year3_West_Berkshire Year3_ReferralSource_Individual_Acquaintance="","",Year3_West_Berkshire Year3_ReferralSource_Individual_Acquaintance)</f>
        <v/>
      </c>
      <c r="AJ129" s="806" t="str">
        <f>IF(Year4_West_Berkshire Year4_ReferralSource_Individual_Acquaintance="","",Year4_West_Berkshire Year4_ReferralSource_Individual_Acquaintance)</f>
        <v/>
      </c>
      <c r="AK129" s="807" t="str">
        <f>IF(Year5_West_Berkshire Year5_ReferralSource_Individual_Acquaintance="","",Year5_West_Berkshire Year5_ReferralSource_Individual_Acquaintance)</f>
        <v/>
      </c>
      <c r="AL129" s="805" t="str">
        <f>IF(Year1_West_Berkshire Year1_ReferralSource_Individual_Self="","",Year1_West_Berkshire Year1_ReferralSource_Individual_Self)</f>
        <v/>
      </c>
      <c r="AM129" s="806" t="str">
        <f>IF(Year2_West_Berkshire Year2_ReferralSource_Individual_Self="","",Year2_West_Berkshire Year2_ReferralSource_Individual_Self)</f>
        <v/>
      </c>
      <c r="AN129" s="806" t="str">
        <f>IF(Year3_West_Berkshire Year3_ReferralSource_Individual_Self="","",Year3_West_Berkshire Year3_ReferralSource_Individual_Self)</f>
        <v/>
      </c>
      <c r="AO129" s="806" t="str">
        <f>IF(Year4_West_Berkshire Year4_ReferralSource_Individual_Self="","",Year4_West_Berkshire Year4_ReferralSource_Individual_Self)</f>
        <v/>
      </c>
      <c r="AP129" s="807" t="str">
        <f>IF(Year5_West_Berkshire Year5_ReferralSource_Individual_Self="","",Year5_West_Berkshire Year5_ReferralSource_Individual_Self)</f>
        <v/>
      </c>
      <c r="AQ129" s="805" t="str">
        <f>IF(Year1_West_Berkshire Year1_ReferralSource_Individual_Other="","",Year1_West_Berkshire Year1_ReferralSource_Individual_Other)</f>
        <v/>
      </c>
      <c r="AR129" s="806" t="str">
        <f>IF(Year2_West_Berkshire Year2_ReferralSource_Individual_Other="","",Year2_West_Berkshire Year2_ReferralSource_Individual_Other)</f>
        <v/>
      </c>
      <c r="AS129" s="806" t="str">
        <f>IF(Year3_West_Berkshire Year3_ReferralSource_Individual_Other="","",Year3_West_Berkshire Year3_ReferralSource_Individual_Other)</f>
        <v/>
      </c>
      <c r="AT129" s="806" t="str">
        <f>IF(Year4_West_Berkshire Year4_ReferralSource_Individual_Other="","",Year4_West_Berkshire Year4_ReferralSource_Individual_Other)</f>
        <v/>
      </c>
      <c r="AU129" s="807" t="str">
        <f>IF(Year5_West_Berkshire Year5_ReferralSource_Individual_Other="","",Year5_West_Berkshire Year5_ReferralSource_Individual_Other)</f>
        <v/>
      </c>
      <c r="AV129" s="805">
        <f>IF(Year1_West_Berkshire Year1_ReferralSource_School="","",Year1_West_Berkshire Year1_ReferralSource_School)</f>
        <v>240</v>
      </c>
      <c r="AW129" s="806">
        <f>IF(Year2_West_Berkshire Year2_ReferralSource_School="","",Year2_West_Berkshire Year2_ReferralSource_School)</f>
        <v>224</v>
      </c>
      <c r="AX129" s="806">
        <f>IF(Year3_West_Berkshire Year3_ReferralSource_School="","",Year3_West_Berkshire Year3_ReferralSource_School)</f>
        <v>318</v>
      </c>
      <c r="AY129" s="806">
        <f>IF(Year4_West_Berkshire Year4_ReferralSource_School="","",Year4_West_Berkshire Year4_ReferralSource_School)</f>
        <v>296</v>
      </c>
      <c r="AZ129" s="807">
        <f>IF(Year5_West_Berkshire Year5_ReferralSource_School="","",Year5_West_Berkshire Year5_ReferralSource_School)</f>
        <v>334</v>
      </c>
      <c r="BA129" s="805">
        <f>IF(Year1_West_Berkshire Year1_ReferralSource_EducationServices="","",Year1_West_Berkshire Year1_ReferralSource_EducationServices)</f>
        <v>20</v>
      </c>
      <c r="BB129" s="806">
        <f>IF(Year2_West_Berkshire Year2_ReferralSource_EducationServices="","",Year2_West_Berkshire Year2_ReferralSource_EducationServices)</f>
        <v>33</v>
      </c>
      <c r="BC129" s="806">
        <f>IF(Year3_West_Berkshire Year3_ReferralSource_EducationServices="","",Year3_West_Berkshire Year3_ReferralSource_EducationServices)</f>
        <v>25</v>
      </c>
      <c r="BD129" s="806">
        <f>IF(Year4_West_Berkshire Year4_ReferralSource_EducationServices="","",Year4_West_Berkshire Year4_ReferralSource_EducationServices)</f>
        <v>33</v>
      </c>
      <c r="BE129" s="807">
        <f>IF(Year5_West_Berkshire Year5_ReferralSource_EducationServices="","",Year5_West_Berkshire Year5_ReferralSource_EducationServices)</f>
        <v>11</v>
      </c>
      <c r="BF129" s="823">
        <f>IF(Year1_West_Berkshire Year1_ReferralSource_Health_services_GP="","",Year1_West_Berkshire Year1_ReferralSource_Health_services_GP)</f>
        <v>119</v>
      </c>
      <c r="BG129" s="824">
        <f>IF(Year2_West_Berkshire Year2_ReferralSource_Health_services_GP="","",Year2_West_Berkshire Year2_ReferralSource_Health_services_GP)</f>
        <v>146</v>
      </c>
      <c r="BH129" s="824">
        <f>IF(Year3_West_Berkshire Year3_ReferralSource_Health_services_GP="","",Year3_West_Berkshire Year3_ReferralSource_Health_services_GP)</f>
        <v>131</v>
      </c>
      <c r="BI129" s="824">
        <f>IF(Year4_West_Berkshire Year4_ReferralSource_Health_services_GP="","",Year4_West_Berkshire Year4_ReferralSource_Health_services_GP)</f>
        <v>187</v>
      </c>
      <c r="BJ129" s="825">
        <f>IF(Year5_West_Berkshire Year5_ReferralSource_Health_services_GP="","",Year5_West_Berkshire Year5_ReferralSource_Health_services_GP)</f>
        <v>253</v>
      </c>
      <c r="BK129" s="823" t="str">
        <f>IF(Year1_West_Berkshire Year1_ReferralSource_Health_services_HealthVisitor="","",Year1_West_Berkshire Year1_ReferralSource_Health_services_HealthVisitor)</f>
        <v/>
      </c>
      <c r="BL129" s="824" t="str">
        <f>IF(Year2_West_Berkshire Year2_ReferralSource_Health_services_HealthVisitor="","",Year2_West_Berkshire Year2_ReferralSource_Health_services_HealthVisitor)</f>
        <v/>
      </c>
      <c r="BM129" s="824" t="str">
        <f>IF(Year3_West_Berkshire Year3_ReferralSource_Health_services_HealthVisitor="","",Year3_West_Berkshire Year3_ReferralSource_Health_services_HealthVisitor)</f>
        <v/>
      </c>
      <c r="BN129" s="824" t="str">
        <f>IF(Year4_West_Berkshire Year4_ReferralSource_Health_services_HealthVisitor="","",Year4_West_Berkshire Year4_ReferralSource_Health_services_HealthVisitor)</f>
        <v/>
      </c>
      <c r="BO129" s="825" t="str">
        <f>IF(Year5_West_Berkshire Year5_ReferralSource_Health_services_HealthVisitor="","",Year5_West_Berkshire Year5_ReferralSource_Health_services_HealthVisitor)</f>
        <v/>
      </c>
      <c r="BP129" s="823" t="str">
        <f>IF(Year1_West_Berkshire Year1_ReferralSource_Health_services_SchoolNurse="","",Year1_West_Berkshire Year1_ReferralSource_Health_services_SchoolNurse)</f>
        <v/>
      </c>
      <c r="BQ129" s="824" t="str">
        <f>IF(Year2_West_Berkshire Year2_ReferralSource_Health_services_SchoolNurse="","",Year2_West_Berkshire Year2_ReferralSource_Health_services_SchoolNurse)</f>
        <v/>
      </c>
      <c r="BR129" s="824" t="str">
        <f>IF(Year3_West_Berkshire Year3_ReferralSource_Health_services_SchoolNurse="","",Year3_West_Berkshire Year3_ReferralSource_Health_services_SchoolNurse)</f>
        <v/>
      </c>
      <c r="BS129" s="824" t="str">
        <f>IF(Year4_West_Berkshire Year4_ReferralSource_Health_services_SchoolNurse="","",Year4_West_Berkshire Year4_ReferralSource_Health_services_SchoolNurse)</f>
        <v/>
      </c>
      <c r="BT129" s="825" t="str">
        <f>IF(Year5_West_Berkshire Year5_ReferralSource_Health_services_SchoolNurse="","",Year5_West_Berkshire Year5_ReferralSource_Health_services_SchoolNurse)</f>
        <v/>
      </c>
      <c r="BU129" s="823" t="str">
        <f>IF(Year1_West_Berkshire Year1_ReferralSource_Health_services_OthPrimary="","",Year1_West_Berkshire Year1_ReferralSource_Health_services_OthPrimary)</f>
        <v/>
      </c>
      <c r="BV129" s="824" t="str">
        <f>IF(Year2_West_Berkshire Year2_ReferralSource_Health_services_OthPrimary="","",Year2_West_Berkshire Year2_ReferralSource_Health_services_OthPrimary)</f>
        <v/>
      </c>
      <c r="BW129" s="824" t="str">
        <f>IF(Year3_West_Berkshire Year3_ReferralSource_Health_services_OthPrimary="","",Year3_West_Berkshire Year3_ReferralSource_Health_services_OthPrimary)</f>
        <v/>
      </c>
      <c r="BX129" s="824" t="str">
        <f>IF(Year4_West_Berkshire Year4_ReferralSource_Health_services_OthPrimary="","",Year4_West_Berkshire Year4_ReferralSource_Health_services_OthPrimary)</f>
        <v/>
      </c>
      <c r="BY129" s="825" t="str">
        <f>IF(Year5_West_Berkshire Year5_ReferralSource_Health_services_OthPrimary="","",Year5_West_Berkshire Year5_ReferralSource_Health_services_OthPrimary)</f>
        <v/>
      </c>
      <c r="BZ129" s="823" t="str">
        <f>IF(Year1_West_Berkshire Year1_ReferralSource_Health_services_AE="","",Year1_West_Berkshire Year1_ReferralSource_Health_services_AE)</f>
        <v/>
      </c>
      <c r="CA129" s="824" t="str">
        <f>IF(Year2_West_Berkshire Year2_ReferralSource_Health_services_AE="","",Year2_West_Berkshire Year2_ReferralSource_Health_services_AE)</f>
        <v/>
      </c>
      <c r="CB129" s="824" t="str">
        <f>IF(Year3_West_Berkshire Year3_ReferralSource_Health_services_AE="","",Year3_West_Berkshire Year3_ReferralSource_Health_services_AE)</f>
        <v/>
      </c>
      <c r="CC129" s="824" t="str">
        <f>IF(Year4_West_Berkshire Year4_ReferralSource_Health_services_AE="","",Year4_West_Berkshire Year4_ReferralSource_Health_services_AE)</f>
        <v/>
      </c>
      <c r="CD129" s="825" t="str">
        <f>IF(Year5_West_Berkshire Year5_ReferralSource_Health_services_AE="","",Year5_West_Berkshire Year5_ReferralSource_Health_services_AE)</f>
        <v/>
      </c>
      <c r="CE129" s="823" t="str">
        <f>IF(Year1_West_Berkshire Year1_ReferralSource_Health_services_Other="","",Year1_West_Berkshire Year1_ReferralSource_Health_services_Other)</f>
        <v/>
      </c>
      <c r="CF129" s="824" t="str">
        <f>IF(Year2_West_Berkshire Year2_ReferralSource_Health_services_Other="","",Year2_West_Berkshire Year2_ReferralSource_Health_services_Other)</f>
        <v/>
      </c>
      <c r="CG129" s="824" t="str">
        <f>IF(Year3_West_Berkshire Year3_ReferralSource_Health_services_Other="","",Year3_West_Berkshire Year3_ReferralSource_Health_services_Other)</f>
        <v/>
      </c>
      <c r="CH129" s="824" t="str">
        <f>IF(Year4_West_Berkshire Year4_ReferralSource_Health_services_Other="","",Year4_West_Berkshire Year4_ReferralSource_Health_services_Other)</f>
        <v/>
      </c>
      <c r="CI129" s="825" t="str">
        <f>IF(Year5_West_Berkshire Year5_ReferralSource_Health_services_Other="","",Year5_West_Berkshire Year5_ReferralSource_Health_services_Other)</f>
        <v/>
      </c>
      <c r="CJ129" s="805">
        <f>IF(Year1_West_Berkshire Year1_ReferralSource_Housing="","",Year1_West_Berkshire Year1_ReferralSource_Housing)</f>
        <v>36</v>
      </c>
      <c r="CK129" s="806">
        <f>IF(Year2_West_Berkshire Year2_ReferralSource_Housing="","",Year2_West_Berkshire Year2_ReferralSource_Housing)</f>
        <v>54</v>
      </c>
      <c r="CL129" s="806">
        <f>IF(Year3_West_Berkshire Year3_ReferralSource_Housing="","",Year3_West_Berkshire Year3_ReferralSource_Housing)</f>
        <v>35</v>
      </c>
      <c r="CM129" s="806">
        <f>IF(Year4_West_Berkshire Year4_ReferralSource_Housing="","",Year4_West_Berkshire Year4_ReferralSource_Housing)</f>
        <v>28</v>
      </c>
      <c r="CN129" s="807">
        <f>IF(Year5_West_Berkshire Year5_ReferralSource_Housing="","",Year5_West_Berkshire Year5_ReferralSource_Housing)</f>
        <v>9</v>
      </c>
      <c r="CO129" s="805">
        <f>IF(Year1_West_Berkshire Year1_ReferralSource_LA_SC="","",Year1_West_Berkshire Year1_ReferralSource_LA_SC)</f>
        <v>276</v>
      </c>
      <c r="CP129" s="806">
        <f>IF(Year2_West_Berkshire Year2_ReferralSource_LA_SC="","",Year2_West_Berkshire Year2_ReferralSource_LA_SC)</f>
        <v>310</v>
      </c>
      <c r="CQ129" s="806">
        <f>IF(Year3_West_Berkshire Year3_ReferralSource_LA_SC="","",Year3_West_Berkshire Year3_ReferralSource_LA_SC)</f>
        <v>410</v>
      </c>
      <c r="CR129" s="806">
        <f>IF(Year4_West_Berkshire Year4_ReferralSource_LA_SC="","",Year4_West_Berkshire Year4_ReferralSource_LA_SC)</f>
        <v>254</v>
      </c>
      <c r="CS129" s="807">
        <f>IF(Year5_West_Berkshire Year5_ReferralSource_LA_SC="","",Year5_West_Berkshire Year5_ReferralSource_LA_SC)</f>
        <v>151</v>
      </c>
      <c r="CT129" s="805" t="str">
        <f>IF(Year1_West_Berkshire Year1_ReferralSource_LA_Other="","",Year1_West_Berkshire Year1_ReferralSource_LA_Other)</f>
        <v/>
      </c>
      <c r="CU129" s="806" t="str">
        <f>IF(Year2_West_Berkshire Year2_ReferralSource_LA_Other="","",Year2_West_Berkshire Year2_ReferralSource_LA_Other)</f>
        <v/>
      </c>
      <c r="CV129" s="806" t="str">
        <f>IF(Year3_West_Berkshire Year3_ReferralSource_LA_Other="","",Year3_West_Berkshire Year3_ReferralSource_LA_Other)</f>
        <v/>
      </c>
      <c r="CW129" s="806" t="str">
        <f>IF(Year4_West_Berkshire Year4_ReferralSource_LA_Other="","",Year4_West_Berkshire Year4_ReferralSource_LA_Other)</f>
        <v/>
      </c>
      <c r="CX129" s="807" t="str">
        <f>IF(Year5_West_Berkshire Year5_ReferralSource_LA_Other="","",Year5_West_Berkshire Year5_ReferralSource_LA_Other)</f>
        <v/>
      </c>
      <c r="CY129" s="805" t="str">
        <f>IF(Year1_West_Berkshire Year1_ReferralSource_LA_External="","",Year1_West_Berkshire Year1_ReferralSource_LA_External)</f>
        <v/>
      </c>
      <c r="CZ129" s="806" t="str">
        <f>IF(Year2_West_Berkshire Year2_ReferralSource_LA_External="","",Year2_West_Berkshire Year2_ReferralSource_LA_External)</f>
        <v/>
      </c>
      <c r="DA129" s="806" t="str">
        <f>IF(Year3_West_Berkshire Year3_ReferralSource_LA_External="","",Year3_West_Berkshire Year3_ReferralSource_LA_External)</f>
        <v/>
      </c>
      <c r="DB129" s="806" t="str">
        <f>IF(Year4_West_Berkshire Year4_ReferralSource_LA_External="","",Year4_West_Berkshire Year4_ReferralSource_LA_External)</f>
        <v/>
      </c>
      <c r="DC129" s="807" t="str">
        <f>IF(Year5_West_Berkshire Year5_ReferralSource_LA_External="","",Year5_West_Berkshire Year5_ReferralSource_LA_External)</f>
        <v/>
      </c>
      <c r="DD129" s="805">
        <f>IF(Year1_West_Berkshire Year1_ReferralSource_Police="","",Year1_West_Berkshire Year1_ReferralSource_Police)</f>
        <v>266</v>
      </c>
      <c r="DE129" s="806">
        <f>IF(Year2_West_Berkshire Year2_ReferralSource_Police="","",Year2_West_Berkshire Year2_ReferralSource_Police)</f>
        <v>285</v>
      </c>
      <c r="DF129" s="806">
        <f>IF(Year3_West_Berkshire Year3_ReferralSource_Police="","",Year3_West_Berkshire Year3_ReferralSource_Police)</f>
        <v>468</v>
      </c>
      <c r="DG129" s="806">
        <f>IF(Year4_West_Berkshire Year4_ReferralSource_Police="","",Year4_West_Berkshire Year4_ReferralSource_Police)</f>
        <v>478</v>
      </c>
      <c r="DH129" s="807">
        <f>IF(Year5_West_Berkshire Year5_ReferralSource_Police="","",Year5_West_Berkshire Year5_ReferralSource_Police)</f>
        <v>617</v>
      </c>
      <c r="DI129" s="805">
        <f>IF(Year1_West_Berkshire Year1_ReferralSource_Other_Legal="","",Year1_West_Berkshire Year1_ReferralSource_Other_Legal)</f>
        <v>35</v>
      </c>
      <c r="DJ129" s="806">
        <f>IF(Year2_West_Berkshire Year2_ReferralSource_Other_Legal="","",Year2_West_Berkshire Year2_ReferralSource_Other_Legal)</f>
        <v>24</v>
      </c>
      <c r="DK129" s="806">
        <f>IF(Year3_West_Berkshire Year3_ReferralSource_Other_Legal="","",Year3_West_Berkshire Year3_ReferralSource_Other_Legal)</f>
        <v>47</v>
      </c>
      <c r="DL129" s="806" t="str">
        <f>IF(Year4_West_Berkshire Year4_ReferralSource_Other_Legal="","",Year4_West_Berkshire Year4_ReferralSource_Other_Legal)</f>
        <v>x</v>
      </c>
      <c r="DM129" s="807">
        <f>IF(Year5_West_Berkshire Year5_ReferralSource_Other_Legal="","",Year5_West_Berkshire Year5_ReferralSource_Other_Legal)</f>
        <v>41</v>
      </c>
      <c r="DN129" s="805">
        <f>IF(Year1_West_Berkshire Year1_ReferralSource_Other="","",Year1_West_Berkshire Year1_ReferralSource_Other)</f>
        <v>125</v>
      </c>
      <c r="DO129" s="806">
        <f>IF(Year2_West_Berkshire Year2_ReferralSource_Other="","",Year2_West_Berkshire Year2_ReferralSource_Other)</f>
        <v>207</v>
      </c>
      <c r="DP129" s="806">
        <f>IF(Year3_West_Berkshire Year3_ReferralSource_Other="","",Year3_West_Berkshire Year3_ReferralSource_Other)</f>
        <v>67</v>
      </c>
      <c r="DQ129" s="806">
        <f>IF(Year4_West_Berkshire Year4_ReferralSource_Other="","",Year4_West_Berkshire Year4_ReferralSource_Other)</f>
        <v>53</v>
      </c>
      <c r="DR129" s="807">
        <f>IF(Year5_West_Berkshire Year5_ReferralSource_Other="","",Year5_West_Berkshire Year5_ReferralSource_Other)</f>
        <v>87</v>
      </c>
      <c r="DS129" s="805">
        <f>IF(Year1_West_Berkshire Year1_ReferralSource_Anonymous="","",Year1_West_Berkshire Year1_ReferralSource_Anonymous)</f>
        <v>13</v>
      </c>
      <c r="DT129" s="806" t="str">
        <f>IF(Year2_West_Berkshire Year2_ReferralSource_Anonymous="","",Year2_West_Berkshire Year2_ReferralSource_Anonymous)</f>
        <v>x</v>
      </c>
      <c r="DU129" s="806">
        <f>IF(Year3_West_Berkshire Year3_ReferralSource_Anonymous="","",Year3_West_Berkshire Year3_ReferralSource_Anonymous)</f>
        <v>17</v>
      </c>
      <c r="DV129" s="806">
        <f>IF(Year4_West_Berkshire Year4_ReferralSource_Anonymous="","",Year4_West_Berkshire Year4_ReferralSource_Anonymous)</f>
        <v>24</v>
      </c>
      <c r="DW129" s="807">
        <f>IF(Year5_West_Berkshire Year5_ReferralSource_Anonymous="","",Year5_West_Berkshire Year5_ReferralSource_Anonymous)</f>
        <v>28</v>
      </c>
      <c r="DX129" s="805">
        <f>IF(Year1_West_Berkshire Year1_ReferralSource_Unknown="","",Year1_West_Berkshire Year1_ReferralSource_Unknown)</f>
        <v>0</v>
      </c>
      <c r="DY129" s="806" t="str">
        <f>IF(Year2_West_Berkshire Year2_ReferralSource_Unknown="","",Year2_West_Berkshire Year2_ReferralSource_Unknown)</f>
        <v>x</v>
      </c>
      <c r="DZ129" s="806">
        <f>IF(Year3_West_Berkshire Year3_ReferralSource_Unknown="","",Year3_West_Berkshire Year3_ReferralSource_Unknown)</f>
        <v>0</v>
      </c>
      <c r="EA129" s="806" t="str">
        <f>IF(Year4_West_Berkshire Year4_ReferralSource_Unknown="","",Year4_West_Berkshire Year4_ReferralSource_Unknown)</f>
        <v>x</v>
      </c>
      <c r="EB129" s="807">
        <f>IF(Year5_West_Berkshire Year5_ReferralSource_Unknown="","",Year5_West_Berkshire Year5_ReferralSource_Unknown)</f>
        <v>32</v>
      </c>
    </row>
    <row r="130" spans="1:132" s="83" customFormat="1" ht="16.5" customHeight="1" x14ac:dyDescent="0.2">
      <c r="A130" s="271"/>
      <c r="B130" s="170" t="str">
        <f>Sheet1!$K$23</f>
        <v>West Sussex</v>
      </c>
      <c r="C130" s="9"/>
      <c r="D130" s="1483"/>
      <c r="E130" s="1484"/>
      <c r="F130" s="1483"/>
      <c r="G130" s="1484"/>
      <c r="H130" s="1483"/>
      <c r="I130" s="1484"/>
      <c r="J130" s="1483"/>
      <c r="K130" s="1484"/>
      <c r="L130" s="1483"/>
      <c r="M130" s="1484"/>
      <c r="N130" s="1483"/>
      <c r="O130" s="1484"/>
      <c r="P130" s="1483"/>
      <c r="Q130" s="1484"/>
      <c r="R130" s="1483"/>
      <c r="S130" s="1484"/>
      <c r="T130" s="1483"/>
      <c r="U130" s="1484"/>
      <c r="V130" s="1483"/>
      <c r="W130" s="1484"/>
      <c r="X130" s="15"/>
      <c r="Y130" s="119"/>
      <c r="Z130" s="138"/>
      <c r="AA130" s="178"/>
      <c r="AB130" s="805">
        <f>IF(Year1_West_Sussex Year1_ReferralSource_Individual_Family="","",Year1_West_Sussex Year1_ReferralSource_Individual_Family)</f>
        <v>1425</v>
      </c>
      <c r="AC130" s="806">
        <f>IF(Year2_West_Sussex Year2_ReferralSource_Individual_Family="","",Year2_West_Sussex Year2_ReferralSource_Individual_Family)</f>
        <v>2017</v>
      </c>
      <c r="AD130" s="806">
        <f>IF(Year3_West_Sussex Year3_ReferralSource_Individual_Family="","",Year3_West_Sussex Year3_ReferralSource_Individual_Family)</f>
        <v>2111</v>
      </c>
      <c r="AE130" s="806">
        <f>IF(Year4_West_Sussex Year4_ReferralSource_Individual_Family="","",Year4_West_Sussex Year4_ReferralSource_Individual_Family)</f>
        <v>919</v>
      </c>
      <c r="AF130" s="807">
        <f>IF(Year5_West_Sussex Year5_ReferralSource_Individual_Family="","",Year5_West_Sussex Year5_ReferralSource_Individual_Family)</f>
        <v>497</v>
      </c>
      <c r="AG130" s="805" t="str">
        <f>IF(Year1_West_Sussex Year1_ReferralSource_Individual_Acquaintance="","",Year1_West_Sussex Year1_ReferralSource_Individual_Acquaintance)</f>
        <v/>
      </c>
      <c r="AH130" s="806" t="str">
        <f>IF(Year2_West_Sussex Year2_ReferralSource_Individual_Acquaintance="","",Year2_West_Sussex Year2_ReferralSource_Individual_Acquaintance)</f>
        <v/>
      </c>
      <c r="AI130" s="806" t="str">
        <f>IF(Year3_West_Sussex Year3_ReferralSource_Individual_Acquaintance="","",Year3_West_Sussex Year3_ReferralSource_Individual_Acquaintance)</f>
        <v/>
      </c>
      <c r="AJ130" s="806" t="str">
        <f>IF(Year4_West_Sussex Year4_ReferralSource_Individual_Acquaintance="","",Year4_West_Sussex Year4_ReferralSource_Individual_Acquaintance)</f>
        <v/>
      </c>
      <c r="AK130" s="807" t="str">
        <f>IF(Year5_West_Sussex Year5_ReferralSource_Individual_Acquaintance="","",Year5_West_Sussex Year5_ReferralSource_Individual_Acquaintance)</f>
        <v/>
      </c>
      <c r="AL130" s="805" t="str">
        <f>IF(Year1_West_Sussex Year1_ReferralSource_Individual_Self="","",Year1_West_Sussex Year1_ReferralSource_Individual_Self)</f>
        <v/>
      </c>
      <c r="AM130" s="806" t="str">
        <f>IF(Year2_West_Sussex Year2_ReferralSource_Individual_Self="","",Year2_West_Sussex Year2_ReferralSource_Individual_Self)</f>
        <v/>
      </c>
      <c r="AN130" s="806" t="str">
        <f>IF(Year3_West_Sussex Year3_ReferralSource_Individual_Self="","",Year3_West_Sussex Year3_ReferralSource_Individual_Self)</f>
        <v/>
      </c>
      <c r="AO130" s="806" t="str">
        <f>IF(Year4_West_Sussex Year4_ReferralSource_Individual_Self="","",Year4_West_Sussex Year4_ReferralSource_Individual_Self)</f>
        <v/>
      </c>
      <c r="AP130" s="807" t="str">
        <f>IF(Year5_West_Sussex Year5_ReferralSource_Individual_Self="","",Year5_West_Sussex Year5_ReferralSource_Individual_Self)</f>
        <v/>
      </c>
      <c r="AQ130" s="805" t="str">
        <f>IF(Year1_West_Sussex Year1_ReferralSource_Individual_Other="","",Year1_West_Sussex Year1_ReferralSource_Individual_Other)</f>
        <v/>
      </c>
      <c r="AR130" s="806" t="str">
        <f>IF(Year2_West_Sussex Year2_ReferralSource_Individual_Other="","",Year2_West_Sussex Year2_ReferralSource_Individual_Other)</f>
        <v/>
      </c>
      <c r="AS130" s="806" t="str">
        <f>IF(Year3_West_Sussex Year3_ReferralSource_Individual_Other="","",Year3_West_Sussex Year3_ReferralSource_Individual_Other)</f>
        <v/>
      </c>
      <c r="AT130" s="806" t="str">
        <f>IF(Year4_West_Sussex Year4_ReferralSource_Individual_Other="","",Year4_West_Sussex Year4_ReferralSource_Individual_Other)</f>
        <v/>
      </c>
      <c r="AU130" s="807" t="str">
        <f>IF(Year5_West_Sussex Year5_ReferralSource_Individual_Other="","",Year5_West_Sussex Year5_ReferralSource_Individual_Other)</f>
        <v/>
      </c>
      <c r="AV130" s="805">
        <f>IF(Year1_West_Sussex Year1_ReferralSource_School="","",Year1_West_Sussex Year1_ReferralSource_School)</f>
        <v>932</v>
      </c>
      <c r="AW130" s="806">
        <f>IF(Year2_West_Sussex Year2_ReferralSource_School="","",Year2_West_Sussex Year2_ReferralSource_School)</f>
        <v>1204</v>
      </c>
      <c r="AX130" s="806">
        <f>IF(Year3_West_Sussex Year3_ReferralSource_School="","",Year3_West_Sussex Year3_ReferralSource_School)</f>
        <v>1554</v>
      </c>
      <c r="AY130" s="806">
        <f>IF(Year4_West_Sussex Year4_ReferralSource_School="","",Year4_West_Sussex Year4_ReferralSource_School)</f>
        <v>1877</v>
      </c>
      <c r="AZ130" s="807">
        <f>IF(Year5_West_Sussex Year5_ReferralSource_School="","",Year5_West_Sussex Year5_ReferralSource_School)</f>
        <v>527</v>
      </c>
      <c r="BA130" s="805">
        <f>IF(Year1_West_Sussex Year1_ReferralSource_EducationServices="","",Year1_West_Sussex Year1_ReferralSource_EducationServices)</f>
        <v>0</v>
      </c>
      <c r="BB130" s="806">
        <f>IF(Year2_West_Sussex Year2_ReferralSource_EducationServices="","",Year2_West_Sussex Year2_ReferralSource_EducationServices)</f>
        <v>0</v>
      </c>
      <c r="BC130" s="806">
        <f>IF(Year3_West_Sussex Year3_ReferralSource_EducationServices="","",Year3_West_Sussex Year3_ReferralSource_EducationServices)</f>
        <v>0</v>
      </c>
      <c r="BD130" s="806">
        <f>IF(Year4_West_Sussex Year4_ReferralSource_EducationServices="","",Year4_West_Sussex Year4_ReferralSource_EducationServices)</f>
        <v>0</v>
      </c>
      <c r="BE130" s="807">
        <f>IF(Year5_West_Sussex Year5_ReferralSource_EducationServices="","",Year5_West_Sussex Year5_ReferralSource_EducationServices)</f>
        <v>51</v>
      </c>
      <c r="BF130" s="823">
        <f>IF(Year1_West_Sussex Year1_ReferralSource_Health_services_GP="","",Year1_West_Sussex Year1_ReferralSource_Health_services_GP)</f>
        <v>791</v>
      </c>
      <c r="BG130" s="824">
        <f>IF(Year2_West_Sussex Year2_ReferralSource_Health_services_GP="","",Year2_West_Sussex Year2_ReferralSource_Health_services_GP)</f>
        <v>765</v>
      </c>
      <c r="BH130" s="824">
        <f>IF(Year3_West_Sussex Year3_ReferralSource_Health_services_GP="","",Year3_West_Sussex Year3_ReferralSource_Health_services_GP)</f>
        <v>998</v>
      </c>
      <c r="BI130" s="824">
        <f>IF(Year4_West_Sussex Year4_ReferralSource_Health_services_GP="","",Year4_West_Sussex Year4_ReferralSource_Health_services_GP)</f>
        <v>1083</v>
      </c>
      <c r="BJ130" s="825">
        <f>IF(Year5_West_Sussex Year5_ReferralSource_Health_services_GP="","",Year5_West_Sussex Year5_ReferralSource_Health_services_GP)</f>
        <v>608</v>
      </c>
      <c r="BK130" s="823" t="str">
        <f>IF(Year1_West_Sussex Year1_ReferralSource_Health_services_HealthVisitor="","",Year1_West_Sussex Year1_ReferralSource_Health_services_HealthVisitor)</f>
        <v/>
      </c>
      <c r="BL130" s="824" t="str">
        <f>IF(Year2_West_Sussex Year2_ReferralSource_Health_services_HealthVisitor="","",Year2_West_Sussex Year2_ReferralSource_Health_services_HealthVisitor)</f>
        <v/>
      </c>
      <c r="BM130" s="824" t="str">
        <f>IF(Year3_West_Sussex Year3_ReferralSource_Health_services_HealthVisitor="","",Year3_West_Sussex Year3_ReferralSource_Health_services_HealthVisitor)</f>
        <v/>
      </c>
      <c r="BN130" s="824" t="str">
        <f>IF(Year4_West_Sussex Year4_ReferralSource_Health_services_HealthVisitor="","",Year4_West_Sussex Year4_ReferralSource_Health_services_HealthVisitor)</f>
        <v/>
      </c>
      <c r="BO130" s="825" t="str">
        <f>IF(Year5_West_Sussex Year5_ReferralSource_Health_services_HealthVisitor="","",Year5_West_Sussex Year5_ReferralSource_Health_services_HealthVisitor)</f>
        <v/>
      </c>
      <c r="BP130" s="823" t="str">
        <f>IF(Year1_West_Sussex Year1_ReferralSource_Health_services_SchoolNurse="","",Year1_West_Sussex Year1_ReferralSource_Health_services_SchoolNurse)</f>
        <v/>
      </c>
      <c r="BQ130" s="824" t="str">
        <f>IF(Year2_West_Sussex Year2_ReferralSource_Health_services_SchoolNurse="","",Year2_West_Sussex Year2_ReferralSource_Health_services_SchoolNurse)</f>
        <v/>
      </c>
      <c r="BR130" s="824" t="str">
        <f>IF(Year3_West_Sussex Year3_ReferralSource_Health_services_SchoolNurse="","",Year3_West_Sussex Year3_ReferralSource_Health_services_SchoolNurse)</f>
        <v/>
      </c>
      <c r="BS130" s="824" t="str">
        <f>IF(Year4_West_Sussex Year4_ReferralSource_Health_services_SchoolNurse="","",Year4_West_Sussex Year4_ReferralSource_Health_services_SchoolNurse)</f>
        <v/>
      </c>
      <c r="BT130" s="825" t="str">
        <f>IF(Year5_West_Sussex Year5_ReferralSource_Health_services_SchoolNurse="","",Year5_West_Sussex Year5_ReferralSource_Health_services_SchoolNurse)</f>
        <v/>
      </c>
      <c r="BU130" s="823" t="str">
        <f>IF(Year1_West_Sussex Year1_ReferralSource_Health_services_OthPrimary="","",Year1_West_Sussex Year1_ReferralSource_Health_services_OthPrimary)</f>
        <v/>
      </c>
      <c r="BV130" s="824" t="str">
        <f>IF(Year2_West_Sussex Year2_ReferralSource_Health_services_OthPrimary="","",Year2_West_Sussex Year2_ReferralSource_Health_services_OthPrimary)</f>
        <v/>
      </c>
      <c r="BW130" s="824" t="str">
        <f>IF(Year3_West_Sussex Year3_ReferralSource_Health_services_OthPrimary="","",Year3_West_Sussex Year3_ReferralSource_Health_services_OthPrimary)</f>
        <v/>
      </c>
      <c r="BX130" s="824" t="str">
        <f>IF(Year4_West_Sussex Year4_ReferralSource_Health_services_OthPrimary="","",Year4_West_Sussex Year4_ReferralSource_Health_services_OthPrimary)</f>
        <v/>
      </c>
      <c r="BY130" s="825" t="str">
        <f>IF(Year5_West_Sussex Year5_ReferralSource_Health_services_OthPrimary="","",Year5_West_Sussex Year5_ReferralSource_Health_services_OthPrimary)</f>
        <v/>
      </c>
      <c r="BZ130" s="823" t="str">
        <f>IF(Year1_West_Sussex Year1_ReferralSource_Health_services_AE="","",Year1_West_Sussex Year1_ReferralSource_Health_services_AE)</f>
        <v/>
      </c>
      <c r="CA130" s="824" t="str">
        <f>IF(Year2_West_Sussex Year2_ReferralSource_Health_services_AE="","",Year2_West_Sussex Year2_ReferralSource_Health_services_AE)</f>
        <v/>
      </c>
      <c r="CB130" s="824" t="str">
        <f>IF(Year3_West_Sussex Year3_ReferralSource_Health_services_AE="","",Year3_West_Sussex Year3_ReferralSource_Health_services_AE)</f>
        <v/>
      </c>
      <c r="CC130" s="824" t="str">
        <f>IF(Year4_West_Sussex Year4_ReferralSource_Health_services_AE="","",Year4_West_Sussex Year4_ReferralSource_Health_services_AE)</f>
        <v/>
      </c>
      <c r="CD130" s="825" t="str">
        <f>IF(Year5_West_Sussex Year5_ReferralSource_Health_services_AE="","",Year5_West_Sussex Year5_ReferralSource_Health_services_AE)</f>
        <v/>
      </c>
      <c r="CE130" s="823" t="str">
        <f>IF(Year1_West_Sussex Year1_ReferralSource_Health_services_Other="","",Year1_West_Sussex Year1_ReferralSource_Health_services_Other)</f>
        <v/>
      </c>
      <c r="CF130" s="824" t="str">
        <f>IF(Year2_West_Sussex Year2_ReferralSource_Health_services_Other="","",Year2_West_Sussex Year2_ReferralSource_Health_services_Other)</f>
        <v/>
      </c>
      <c r="CG130" s="824" t="str">
        <f>IF(Year3_West_Sussex Year3_ReferralSource_Health_services_Other="","",Year3_West_Sussex Year3_ReferralSource_Health_services_Other)</f>
        <v/>
      </c>
      <c r="CH130" s="824" t="str">
        <f>IF(Year4_West_Sussex Year4_ReferralSource_Health_services_Other="","",Year4_West_Sussex Year4_ReferralSource_Health_services_Other)</f>
        <v/>
      </c>
      <c r="CI130" s="825" t="str">
        <f>IF(Year5_West_Sussex Year5_ReferralSource_Health_services_Other="","",Year5_West_Sussex Year5_ReferralSource_Health_services_Other)</f>
        <v/>
      </c>
      <c r="CJ130" s="805">
        <f>IF(Year1_West_Sussex Year1_ReferralSource_Housing="","",Year1_West_Sussex Year1_ReferralSource_Housing)</f>
        <v>112</v>
      </c>
      <c r="CK130" s="806">
        <f>IF(Year2_West_Sussex Year2_ReferralSource_Housing="","",Year2_West_Sussex Year2_ReferralSource_Housing)</f>
        <v>141</v>
      </c>
      <c r="CL130" s="806">
        <f>IF(Year3_West_Sussex Year3_ReferralSource_Housing="","",Year3_West_Sussex Year3_ReferralSource_Housing)</f>
        <v>120</v>
      </c>
      <c r="CM130" s="806">
        <f>IF(Year4_West_Sussex Year4_ReferralSource_Housing="","",Year4_West_Sussex Year4_ReferralSource_Housing)</f>
        <v>182</v>
      </c>
      <c r="CN130" s="807">
        <f>IF(Year5_West_Sussex Year5_ReferralSource_Housing="","",Year5_West_Sussex Year5_ReferralSource_Housing)</f>
        <v>32</v>
      </c>
      <c r="CO130" s="805">
        <f>IF(Year1_West_Sussex Year1_ReferralSource_LA_SC="","",Year1_West_Sussex Year1_ReferralSource_LA_SC)</f>
        <v>848</v>
      </c>
      <c r="CP130" s="806">
        <f>IF(Year2_West_Sussex Year2_ReferralSource_LA_SC="","",Year2_West_Sussex Year2_ReferralSource_LA_SC)</f>
        <v>779</v>
      </c>
      <c r="CQ130" s="806">
        <f>IF(Year3_West_Sussex Year3_ReferralSource_LA_SC="","",Year3_West_Sussex Year3_ReferralSource_LA_SC)</f>
        <v>662</v>
      </c>
      <c r="CR130" s="806">
        <f>IF(Year4_West_Sussex Year4_ReferralSource_LA_SC="","",Year4_West_Sussex Year4_ReferralSource_LA_SC)</f>
        <v>1819</v>
      </c>
      <c r="CS130" s="807">
        <f>IF(Year5_West_Sussex Year5_ReferralSource_LA_SC="","",Year5_West_Sussex Year5_ReferralSource_LA_SC)</f>
        <v>578</v>
      </c>
      <c r="CT130" s="805" t="str">
        <f>IF(Year1_West_Sussex Year1_ReferralSource_LA_Other="","",Year1_West_Sussex Year1_ReferralSource_LA_Other)</f>
        <v/>
      </c>
      <c r="CU130" s="806" t="str">
        <f>IF(Year2_West_Sussex Year2_ReferralSource_LA_Other="","",Year2_West_Sussex Year2_ReferralSource_LA_Other)</f>
        <v/>
      </c>
      <c r="CV130" s="806" t="str">
        <f>IF(Year3_West_Sussex Year3_ReferralSource_LA_Other="","",Year3_West_Sussex Year3_ReferralSource_LA_Other)</f>
        <v/>
      </c>
      <c r="CW130" s="806" t="str">
        <f>IF(Year4_West_Sussex Year4_ReferralSource_LA_Other="","",Year4_West_Sussex Year4_ReferralSource_LA_Other)</f>
        <v/>
      </c>
      <c r="CX130" s="807" t="str">
        <f>IF(Year5_West_Sussex Year5_ReferralSource_LA_Other="","",Year5_West_Sussex Year5_ReferralSource_LA_Other)</f>
        <v/>
      </c>
      <c r="CY130" s="805" t="str">
        <f>IF(Year1_West_Sussex Year1_ReferralSource_LA_External="","",Year1_West_Sussex Year1_ReferralSource_LA_External)</f>
        <v/>
      </c>
      <c r="CZ130" s="806" t="str">
        <f>IF(Year2_West_Sussex Year2_ReferralSource_LA_External="","",Year2_West_Sussex Year2_ReferralSource_LA_External)</f>
        <v/>
      </c>
      <c r="DA130" s="806" t="str">
        <f>IF(Year3_West_Sussex Year3_ReferralSource_LA_External="","",Year3_West_Sussex Year3_ReferralSource_LA_External)</f>
        <v/>
      </c>
      <c r="DB130" s="806" t="str">
        <f>IF(Year4_West_Sussex Year4_ReferralSource_LA_External="","",Year4_West_Sussex Year4_ReferralSource_LA_External)</f>
        <v/>
      </c>
      <c r="DC130" s="807" t="str">
        <f>IF(Year5_West_Sussex Year5_ReferralSource_LA_External="","",Year5_West_Sussex Year5_ReferralSource_LA_External)</f>
        <v/>
      </c>
      <c r="DD130" s="805">
        <f>IF(Year1_West_Sussex Year1_ReferralSource_Police="","",Year1_West_Sussex Year1_ReferralSource_Police)</f>
        <v>2323</v>
      </c>
      <c r="DE130" s="806">
        <f>IF(Year2_West_Sussex Year2_ReferralSource_Police="","",Year2_West_Sussex Year2_ReferralSource_Police)</f>
        <v>2562</v>
      </c>
      <c r="DF130" s="806">
        <f>IF(Year3_West_Sussex Year3_ReferralSource_Police="","",Year3_West_Sussex Year3_ReferralSource_Police)</f>
        <v>2690</v>
      </c>
      <c r="DG130" s="806">
        <f>IF(Year4_West_Sussex Year4_ReferralSource_Police="","",Year4_West_Sussex Year4_ReferralSource_Police)</f>
        <v>2913</v>
      </c>
      <c r="DH130" s="807">
        <f>IF(Year5_West_Sussex Year5_ReferralSource_Police="","",Year5_West_Sussex Year5_ReferralSource_Police)</f>
        <v>1008</v>
      </c>
      <c r="DI130" s="805">
        <f>IF(Year1_West_Sussex Year1_ReferralSource_Other_Legal="","",Year1_West_Sussex Year1_ReferralSource_Other_Legal)</f>
        <v>259</v>
      </c>
      <c r="DJ130" s="806">
        <f>IF(Year2_West_Sussex Year2_ReferralSource_Other_Legal="","",Year2_West_Sussex Year2_ReferralSource_Other_Legal)</f>
        <v>336</v>
      </c>
      <c r="DK130" s="806">
        <f>IF(Year3_West_Sussex Year3_ReferralSource_Other_Legal="","",Year3_West_Sussex Year3_ReferralSource_Other_Legal)</f>
        <v>310</v>
      </c>
      <c r="DL130" s="806">
        <f>IF(Year4_West_Sussex Year4_ReferralSource_Other_Legal="","",Year4_West_Sussex Year4_ReferralSource_Other_Legal)</f>
        <v>363</v>
      </c>
      <c r="DM130" s="807">
        <f>IF(Year5_West_Sussex Year5_ReferralSource_Other_Legal="","",Year5_West_Sussex Year5_ReferralSource_Other_Legal)</f>
        <v>136</v>
      </c>
      <c r="DN130" s="805">
        <f>IF(Year1_West_Sussex Year1_ReferralSource_Other="","",Year1_West_Sussex Year1_ReferralSource_Other)</f>
        <v>25</v>
      </c>
      <c r="DO130" s="806">
        <f>IF(Year2_West_Sussex Year2_ReferralSource_Other="","",Year2_West_Sussex Year2_ReferralSource_Other)</f>
        <v>67</v>
      </c>
      <c r="DP130" s="806">
        <f>IF(Year3_West_Sussex Year3_ReferralSource_Other="","",Year3_West_Sussex Year3_ReferralSource_Other)</f>
        <v>39</v>
      </c>
      <c r="DQ130" s="806">
        <f>IF(Year4_West_Sussex Year4_ReferralSource_Other="","",Year4_West_Sussex Year4_ReferralSource_Other)</f>
        <v>690</v>
      </c>
      <c r="DR130" s="807">
        <f>IF(Year5_West_Sussex Year5_ReferralSource_Other="","",Year5_West_Sussex Year5_ReferralSource_Other)</f>
        <v>234</v>
      </c>
      <c r="DS130" s="805">
        <f>IF(Year1_West_Sussex Year1_ReferralSource_Anonymous="","",Year1_West_Sussex Year1_ReferralSource_Anonymous)</f>
        <v>0</v>
      </c>
      <c r="DT130" s="806">
        <f>IF(Year2_West_Sussex Year2_ReferralSource_Anonymous="","",Year2_West_Sussex Year2_ReferralSource_Anonymous)</f>
        <v>0</v>
      </c>
      <c r="DU130" s="806">
        <f>IF(Year3_West_Sussex Year3_ReferralSource_Anonymous="","",Year3_West_Sussex Year3_ReferralSource_Anonymous)</f>
        <v>0</v>
      </c>
      <c r="DV130" s="806">
        <f>IF(Year4_West_Sussex Year4_ReferralSource_Anonymous="","",Year4_West_Sussex Year4_ReferralSource_Anonymous)</f>
        <v>0</v>
      </c>
      <c r="DW130" s="807">
        <f>IF(Year5_West_Sussex Year5_ReferralSource_Anonymous="","",Year5_West_Sussex Year5_ReferralSource_Anonymous)</f>
        <v>152</v>
      </c>
      <c r="DX130" s="805">
        <f>IF(Year1_West_Sussex Year1_ReferralSource_Unknown="","",Year1_West_Sussex Year1_ReferralSource_Unknown)</f>
        <v>202</v>
      </c>
      <c r="DY130" s="806">
        <f>IF(Year2_West_Sussex Year2_ReferralSource_Unknown="","",Year2_West_Sussex Year2_ReferralSource_Unknown)</f>
        <v>276</v>
      </c>
      <c r="DZ130" s="806">
        <f>IF(Year3_West_Sussex Year3_ReferralSource_Unknown="","",Year3_West_Sussex Year3_ReferralSource_Unknown)</f>
        <v>257</v>
      </c>
      <c r="EA130" s="806">
        <f>IF(Year4_West_Sussex Year4_ReferralSource_Unknown="","",Year4_West_Sussex Year4_ReferralSource_Unknown)</f>
        <v>149</v>
      </c>
      <c r="EB130" s="807">
        <f>IF(Year5_West_Sussex Year5_ReferralSource_Unknown="","",Year5_West_Sussex Year5_ReferralSource_Unknown)</f>
        <v>7</v>
      </c>
    </row>
    <row r="131" spans="1:132" ht="16.5" customHeight="1" x14ac:dyDescent="0.2">
      <c r="A131" s="271"/>
      <c r="B131" s="170" t="str">
        <f>Sheet1!$K$24</f>
        <v>Windsor &amp; Maidenhead</v>
      </c>
      <c r="C131" s="9"/>
      <c r="D131" s="1483"/>
      <c r="E131" s="1484"/>
      <c r="F131" s="1483"/>
      <c r="G131" s="1484"/>
      <c r="H131" s="1483"/>
      <c r="I131" s="1484"/>
      <c r="J131" s="1483"/>
      <c r="K131" s="1484"/>
      <c r="L131" s="1483"/>
      <c r="M131" s="1484"/>
      <c r="N131" s="1483"/>
      <c r="O131" s="1484"/>
      <c r="P131" s="1483"/>
      <c r="Q131" s="1484"/>
      <c r="R131" s="1483"/>
      <c r="S131" s="1484"/>
      <c r="T131" s="1483"/>
      <c r="U131" s="1484"/>
      <c r="V131" s="1483"/>
      <c r="W131" s="1484"/>
      <c r="X131" s="15"/>
      <c r="Y131" s="119"/>
      <c r="Z131" s="138"/>
      <c r="AA131" s="178"/>
      <c r="AB131" s="814">
        <f>IF(Year1_Windsor_Maidenhead Year1_ReferralSource_Individual_Family="","",Year1_Windsor_Maidenhead Year1_ReferralSource_Individual_Family)</f>
        <v>83</v>
      </c>
      <c r="AC131" s="815">
        <f>IF(Year2_Windsor_Maidenhead Year2_ReferralSource_Individual_Family="","",Year2_Windsor_Maidenhead Year2_ReferralSource_Individual_Family)</f>
        <v>105</v>
      </c>
      <c r="AD131" s="815">
        <f>IF(Year3_Windsor_Maidenhead Year3_ReferralSource_Individual_Family="","",Year3_Windsor_Maidenhead Year3_ReferralSource_Individual_Family)</f>
        <v>37</v>
      </c>
      <c r="AE131" s="815">
        <f>IF(Year4_Windsor_Maidenhead Year4_ReferralSource_Individual_Family="","",Year4_Windsor_Maidenhead Year4_ReferralSource_Individual_Family)</f>
        <v>147</v>
      </c>
      <c r="AF131" s="816">
        <f>IF(Year5_Windsor_Maidenhead Year5_ReferralSource_Individual_Family="","",Year5_Windsor_Maidenhead Year5_ReferralSource_Individual_Family)</f>
        <v>179</v>
      </c>
      <c r="AG131" s="814" t="str">
        <f>IF(Year1_Windsor_Maidenhead Year1_ReferralSource_Individual_Acquaintance="","",Year1_Windsor_Maidenhead Year1_ReferralSource_Individual_Acquaintance)</f>
        <v/>
      </c>
      <c r="AH131" s="815" t="str">
        <f>IF(Year2_Windsor_Maidenhead Year2_ReferralSource_Individual_Acquaintance="","",Year2_Windsor_Maidenhead Year2_ReferralSource_Individual_Acquaintance)</f>
        <v/>
      </c>
      <c r="AI131" s="815" t="str">
        <f>IF(Year3_Windsor_Maidenhead Year3_ReferralSource_Individual_Acquaintance="","",Year3_Windsor_Maidenhead Year3_ReferralSource_Individual_Acquaintance)</f>
        <v/>
      </c>
      <c r="AJ131" s="815" t="str">
        <f>IF(Year4_Windsor_Maidenhead Year4_ReferralSource_Individual_Acquaintance="","",Year4_Windsor_Maidenhead Year4_ReferralSource_Individual_Acquaintance)</f>
        <v/>
      </c>
      <c r="AK131" s="816" t="str">
        <f>IF(Year5_Windsor_Maidenhead Year5_ReferralSource_Individual_Acquaintance="","",Year5_Windsor_Maidenhead Year5_ReferralSource_Individual_Acquaintance)</f>
        <v/>
      </c>
      <c r="AL131" s="814" t="str">
        <f>IF(Year1_Windsor_Maidenhead Year1_ReferralSource_Individual_Self="","",Year1_Windsor_Maidenhead Year1_ReferralSource_Individual_Self)</f>
        <v/>
      </c>
      <c r="AM131" s="815" t="str">
        <f>IF(Year2_Windsor_Maidenhead Year2_ReferralSource_Individual_Self="","",Year2_Windsor_Maidenhead Year2_ReferralSource_Individual_Self)</f>
        <v/>
      </c>
      <c r="AN131" s="815" t="str">
        <f>IF(Year3_Windsor_Maidenhead Year3_ReferralSource_Individual_Self="","",Year3_Windsor_Maidenhead Year3_ReferralSource_Individual_Self)</f>
        <v/>
      </c>
      <c r="AO131" s="815" t="str">
        <f>IF(Year4_Windsor_Maidenhead Year4_ReferralSource_Individual_Self="","",Year4_Windsor_Maidenhead Year4_ReferralSource_Individual_Self)</f>
        <v/>
      </c>
      <c r="AP131" s="816" t="str">
        <f>IF(Year5_Windsor_Maidenhead Year5_ReferralSource_Individual_Self="","",Year5_Windsor_Maidenhead Year5_ReferralSource_Individual_Self)</f>
        <v/>
      </c>
      <c r="AQ131" s="814" t="str">
        <f>IF(Year1_Windsor_Maidenhead Year1_ReferralSource_Individual_Other="","",Year1_Windsor_Maidenhead Year1_ReferralSource_Individual_Other)</f>
        <v/>
      </c>
      <c r="AR131" s="815" t="str">
        <f>IF(Year2_Windsor_Maidenhead Year2_ReferralSource_Individual_Other="","",Year2_Windsor_Maidenhead Year2_ReferralSource_Individual_Other)</f>
        <v/>
      </c>
      <c r="AS131" s="815" t="str">
        <f>IF(Year3_Windsor_Maidenhead Year3_ReferralSource_Individual_Other="","",Year3_Windsor_Maidenhead Year3_ReferralSource_Individual_Other)</f>
        <v/>
      </c>
      <c r="AT131" s="815" t="str">
        <f>IF(Year4_Windsor_Maidenhead Year4_ReferralSource_Individual_Other="","",Year4_Windsor_Maidenhead Year4_ReferralSource_Individual_Other)</f>
        <v/>
      </c>
      <c r="AU131" s="816" t="str">
        <f>IF(Year5_Windsor_Maidenhead Year5_ReferralSource_Individual_Other="","",Year5_Windsor_Maidenhead Year5_ReferralSource_Individual_Other)</f>
        <v/>
      </c>
      <c r="AV131" s="814">
        <f>IF(Year1_Windsor_Maidenhead Year1_ReferralSource_School="","",Year1_Windsor_Maidenhead Year1_ReferralSource_School)</f>
        <v>180</v>
      </c>
      <c r="AW131" s="815">
        <f>IF(Year2_Windsor_Maidenhead Year2_ReferralSource_School="","",Year2_Windsor_Maidenhead Year2_ReferralSource_School)</f>
        <v>128</v>
      </c>
      <c r="AX131" s="815">
        <f>IF(Year3_Windsor_Maidenhead Year3_ReferralSource_School="","",Year3_Windsor_Maidenhead Year3_ReferralSource_School)</f>
        <v>142</v>
      </c>
      <c r="AY131" s="815">
        <f>IF(Year4_Windsor_Maidenhead Year4_ReferralSource_School="","",Year4_Windsor_Maidenhead Year4_ReferralSource_School)</f>
        <v>97</v>
      </c>
      <c r="AZ131" s="816">
        <f>IF(Year5_Windsor_Maidenhead Year5_ReferralSource_School="","",Year5_Windsor_Maidenhead Year5_ReferralSource_School)</f>
        <v>632</v>
      </c>
      <c r="BA131" s="814">
        <f>IF(Year1_Windsor_Maidenhead Year1_ReferralSource_EducationServices="","",Year1_Windsor_Maidenhead Year1_ReferralSource_EducationServices)</f>
        <v>7</v>
      </c>
      <c r="BB131" s="815" t="str">
        <f>IF(Year2_Windsor_Maidenhead Year2_ReferralSource_EducationServices="","",Year2_Windsor_Maidenhead Year2_ReferralSource_EducationServices)</f>
        <v>x</v>
      </c>
      <c r="BC131" s="815">
        <f>IF(Year3_Windsor_Maidenhead Year3_ReferralSource_EducationServices="","",Year3_Windsor_Maidenhead Year3_ReferralSource_EducationServices)</f>
        <v>23</v>
      </c>
      <c r="BD131" s="815">
        <f>IF(Year4_Windsor_Maidenhead Year4_ReferralSource_EducationServices="","",Year4_Windsor_Maidenhead Year4_ReferralSource_EducationServices)</f>
        <v>0</v>
      </c>
      <c r="BE131" s="816">
        <f>IF(Year5_Windsor_Maidenhead Year5_ReferralSource_EducationServices="","",Year5_Windsor_Maidenhead Year5_ReferralSource_EducationServices)</f>
        <v>21</v>
      </c>
      <c r="BF131" s="826">
        <f>IF(Year1_Windsor_Maidenhead Year1_ReferralSource_Health_services_GP="","",Year1_Windsor_Maidenhead Year1_ReferralSource_Health_services_GP)</f>
        <v>142</v>
      </c>
      <c r="BG131" s="827">
        <f>IF(Year2_Windsor_Maidenhead Year2_ReferralSource_Health_services_GP="","",Year2_Windsor_Maidenhead Year2_ReferralSource_Health_services_GP)</f>
        <v>111</v>
      </c>
      <c r="BH131" s="827">
        <f>IF(Year3_Windsor_Maidenhead Year3_ReferralSource_Health_services_GP="","",Year3_Windsor_Maidenhead Year3_ReferralSource_Health_services_GP)</f>
        <v>71</v>
      </c>
      <c r="BI131" s="827">
        <f>IF(Year4_Windsor_Maidenhead Year4_ReferralSource_Health_services_GP="","",Year4_Windsor_Maidenhead Year4_ReferralSource_Health_services_GP)</f>
        <v>133</v>
      </c>
      <c r="BJ131" s="828">
        <f>IF(Year5_Windsor_Maidenhead Year5_ReferralSource_Health_services_GP="","",Year5_Windsor_Maidenhead Year5_ReferralSource_Health_services_GP)</f>
        <v>414</v>
      </c>
      <c r="BK131" s="826" t="str">
        <f>IF(Year1_Windsor_Maidenhead Year1_ReferralSource_Health_services_HealthVisitor="","",Year1_Windsor_Maidenhead Year1_ReferralSource_Health_services_HealthVisitor)</f>
        <v/>
      </c>
      <c r="BL131" s="827" t="str">
        <f>IF(Year2_Windsor_Maidenhead Year2_ReferralSource_Health_services_HealthVisitor="","",Year2_Windsor_Maidenhead Year2_ReferralSource_Health_services_HealthVisitor)</f>
        <v/>
      </c>
      <c r="BM131" s="827" t="str">
        <f>IF(Year3_Windsor_Maidenhead Year3_ReferralSource_Health_services_HealthVisitor="","",Year3_Windsor_Maidenhead Year3_ReferralSource_Health_services_HealthVisitor)</f>
        <v/>
      </c>
      <c r="BN131" s="827" t="str">
        <f>IF(Year4_Windsor_Maidenhead Year4_ReferralSource_Health_services_HealthVisitor="","",Year4_Windsor_Maidenhead Year4_ReferralSource_Health_services_HealthVisitor)</f>
        <v/>
      </c>
      <c r="BO131" s="828" t="str">
        <f>IF(Year5_Windsor_Maidenhead Year5_ReferralSource_Health_services_HealthVisitor="","",Year5_Windsor_Maidenhead Year5_ReferralSource_Health_services_HealthVisitor)</f>
        <v/>
      </c>
      <c r="BP131" s="826" t="str">
        <f>IF(Year1_Windsor_Maidenhead Year1_ReferralSource_Health_services_SchoolNurse="","",Year1_Windsor_Maidenhead Year1_ReferralSource_Health_services_SchoolNurse)</f>
        <v/>
      </c>
      <c r="BQ131" s="827" t="str">
        <f>IF(Year2_Windsor_Maidenhead Year2_ReferralSource_Health_services_SchoolNurse="","",Year2_Windsor_Maidenhead Year2_ReferralSource_Health_services_SchoolNurse)</f>
        <v/>
      </c>
      <c r="BR131" s="827" t="str">
        <f>IF(Year3_Windsor_Maidenhead Year3_ReferralSource_Health_services_SchoolNurse="","",Year3_Windsor_Maidenhead Year3_ReferralSource_Health_services_SchoolNurse)</f>
        <v/>
      </c>
      <c r="BS131" s="827" t="str">
        <f>IF(Year4_Windsor_Maidenhead Year4_ReferralSource_Health_services_SchoolNurse="","",Year4_Windsor_Maidenhead Year4_ReferralSource_Health_services_SchoolNurse)</f>
        <v/>
      </c>
      <c r="BT131" s="828" t="str">
        <f>IF(Year5_Windsor_Maidenhead Year5_ReferralSource_Health_services_SchoolNurse="","",Year5_Windsor_Maidenhead Year5_ReferralSource_Health_services_SchoolNurse)</f>
        <v/>
      </c>
      <c r="BU131" s="826" t="str">
        <f>IF(Year1_Windsor_Maidenhead Year1_ReferralSource_Health_services_OthPrimary="","",Year1_Windsor_Maidenhead Year1_ReferralSource_Health_services_OthPrimary)</f>
        <v/>
      </c>
      <c r="BV131" s="827" t="str">
        <f>IF(Year2_Windsor_Maidenhead Year2_ReferralSource_Health_services_OthPrimary="","",Year2_Windsor_Maidenhead Year2_ReferralSource_Health_services_OthPrimary)</f>
        <v/>
      </c>
      <c r="BW131" s="827" t="str">
        <f>IF(Year3_Windsor_Maidenhead Year3_ReferralSource_Health_services_OthPrimary="","",Year3_Windsor_Maidenhead Year3_ReferralSource_Health_services_OthPrimary)</f>
        <v/>
      </c>
      <c r="BX131" s="827" t="str">
        <f>IF(Year4_Windsor_Maidenhead Year4_ReferralSource_Health_services_OthPrimary="","",Year4_Windsor_Maidenhead Year4_ReferralSource_Health_services_OthPrimary)</f>
        <v/>
      </c>
      <c r="BY131" s="828" t="str">
        <f>IF(Year5_Windsor_Maidenhead Year5_ReferralSource_Health_services_OthPrimary="","",Year5_Windsor_Maidenhead Year5_ReferralSource_Health_services_OthPrimary)</f>
        <v/>
      </c>
      <c r="BZ131" s="826" t="str">
        <f>IF(Year1_Windsor_Maidenhead Year1_ReferralSource_Health_services_AE="","",Year1_Windsor_Maidenhead Year1_ReferralSource_Health_services_AE)</f>
        <v/>
      </c>
      <c r="CA131" s="827" t="str">
        <f>IF(Year2_Windsor_Maidenhead Year2_ReferralSource_Health_services_AE="","",Year2_Windsor_Maidenhead Year2_ReferralSource_Health_services_AE)</f>
        <v/>
      </c>
      <c r="CB131" s="827" t="str">
        <f>IF(Year3_Windsor_Maidenhead Year3_ReferralSource_Health_services_AE="","",Year3_Windsor_Maidenhead Year3_ReferralSource_Health_services_AE)</f>
        <v/>
      </c>
      <c r="CC131" s="827" t="str">
        <f>IF(Year4_Windsor_Maidenhead Year4_ReferralSource_Health_services_AE="","",Year4_Windsor_Maidenhead Year4_ReferralSource_Health_services_AE)</f>
        <v/>
      </c>
      <c r="CD131" s="828" t="str">
        <f>IF(Year5_Windsor_Maidenhead Year5_ReferralSource_Health_services_AE="","",Year5_Windsor_Maidenhead Year5_ReferralSource_Health_services_AE)</f>
        <v/>
      </c>
      <c r="CE131" s="826" t="str">
        <f>IF(Year1_Windsor_Maidenhead Year1_ReferralSource_Health_services_Other="","",Year1_Windsor_Maidenhead Year1_ReferralSource_Health_services_Other)</f>
        <v/>
      </c>
      <c r="CF131" s="827" t="str">
        <f>IF(Year2_Windsor_Maidenhead Year2_ReferralSource_Health_services_Other="","",Year2_Windsor_Maidenhead Year2_ReferralSource_Health_services_Other)</f>
        <v/>
      </c>
      <c r="CG131" s="827" t="str">
        <f>IF(Year3_Windsor_Maidenhead Year3_ReferralSource_Health_services_Other="","",Year3_Windsor_Maidenhead Year3_ReferralSource_Health_services_Other)</f>
        <v/>
      </c>
      <c r="CH131" s="827" t="str">
        <f>IF(Year4_Windsor_Maidenhead Year4_ReferralSource_Health_services_Other="","",Year4_Windsor_Maidenhead Year4_ReferralSource_Health_services_Other)</f>
        <v/>
      </c>
      <c r="CI131" s="828" t="str">
        <f>IF(Year5_Windsor_Maidenhead Year5_ReferralSource_Health_services_Other="","",Year5_Windsor_Maidenhead Year5_ReferralSource_Health_services_Other)</f>
        <v/>
      </c>
      <c r="CJ131" s="814" t="str">
        <f>IF(Year1_Windsor_Maidenhead Year1_ReferralSource_Housing="","",Year1_Windsor_Maidenhead Year1_ReferralSource_Housing)</f>
        <v>x</v>
      </c>
      <c r="CK131" s="815">
        <f>IF(Year2_Windsor_Maidenhead Year2_ReferralSource_Housing="","",Year2_Windsor_Maidenhead Year2_ReferralSource_Housing)</f>
        <v>11</v>
      </c>
      <c r="CL131" s="815" t="str">
        <f>IF(Year3_Windsor_Maidenhead Year3_ReferralSource_Housing="","",Year3_Windsor_Maidenhead Year3_ReferralSource_Housing)</f>
        <v>x</v>
      </c>
      <c r="CM131" s="815">
        <f>IF(Year4_Windsor_Maidenhead Year4_ReferralSource_Housing="","",Year4_Windsor_Maidenhead Year4_ReferralSource_Housing)</f>
        <v>7</v>
      </c>
      <c r="CN131" s="816">
        <f>IF(Year5_Windsor_Maidenhead Year5_ReferralSource_Housing="","",Year5_Windsor_Maidenhead Year5_ReferralSource_Housing)</f>
        <v>38</v>
      </c>
      <c r="CO131" s="814">
        <f>IF(Year1_Windsor_Maidenhead Year1_ReferralSource_LA_SC="","",Year1_Windsor_Maidenhead Year1_ReferralSource_LA_SC)</f>
        <v>227</v>
      </c>
      <c r="CP131" s="815">
        <f>IF(Year2_Windsor_Maidenhead Year2_ReferralSource_LA_SC="","",Year2_Windsor_Maidenhead Year2_ReferralSource_LA_SC)</f>
        <v>423</v>
      </c>
      <c r="CQ131" s="815">
        <f>IF(Year3_Windsor_Maidenhead Year3_ReferralSource_LA_SC="","",Year3_Windsor_Maidenhead Year3_ReferralSource_LA_SC)</f>
        <v>410</v>
      </c>
      <c r="CR131" s="815">
        <f>IF(Year4_Windsor_Maidenhead Year4_ReferralSource_LA_SC="","",Year4_Windsor_Maidenhead Year4_ReferralSource_LA_SC)</f>
        <v>105</v>
      </c>
      <c r="CS131" s="816">
        <f>IF(Year5_Windsor_Maidenhead Year5_ReferralSource_LA_SC="","",Year5_Windsor_Maidenhead Year5_ReferralSource_LA_SC)</f>
        <v>271</v>
      </c>
      <c r="CT131" s="814" t="str">
        <f>IF(Year1_Windsor_Maidenhead Year1_ReferralSource_LA_Other="","",Year1_Windsor_Maidenhead Year1_ReferralSource_LA_Other)</f>
        <v/>
      </c>
      <c r="CU131" s="815" t="str">
        <f>IF(Year2_Windsor_Maidenhead Year2_ReferralSource_LA_Other="","",Year2_Windsor_Maidenhead Year2_ReferralSource_LA_Other)</f>
        <v/>
      </c>
      <c r="CV131" s="815" t="str">
        <f>IF(Year3_Windsor_Maidenhead Year3_ReferralSource_LA_Other="","",Year3_Windsor_Maidenhead Year3_ReferralSource_LA_Other)</f>
        <v/>
      </c>
      <c r="CW131" s="815" t="str">
        <f>IF(Year4_Windsor_Maidenhead Year4_ReferralSource_LA_Other="","",Year4_Windsor_Maidenhead Year4_ReferralSource_LA_Other)</f>
        <v/>
      </c>
      <c r="CX131" s="816" t="str">
        <f>IF(Year5_Windsor_Maidenhead Year5_ReferralSource_LA_Other="","",Year5_Windsor_Maidenhead Year5_ReferralSource_LA_Other)</f>
        <v/>
      </c>
      <c r="CY131" s="814" t="str">
        <f>IF(Year1_Windsor_Maidenhead Year1_ReferralSource_LA_External="","",Year1_Windsor_Maidenhead Year1_ReferralSource_LA_External)</f>
        <v/>
      </c>
      <c r="CZ131" s="815" t="str">
        <f>IF(Year2_Windsor_Maidenhead Year2_ReferralSource_LA_External="","",Year2_Windsor_Maidenhead Year2_ReferralSource_LA_External)</f>
        <v/>
      </c>
      <c r="DA131" s="815" t="str">
        <f>IF(Year3_Windsor_Maidenhead Year3_ReferralSource_LA_External="","",Year3_Windsor_Maidenhead Year3_ReferralSource_LA_External)</f>
        <v/>
      </c>
      <c r="DB131" s="815" t="str">
        <f>IF(Year4_Windsor_Maidenhead Year4_ReferralSource_LA_External="","",Year4_Windsor_Maidenhead Year4_ReferralSource_LA_External)</f>
        <v/>
      </c>
      <c r="DC131" s="816" t="str">
        <f>IF(Year5_Windsor_Maidenhead Year5_ReferralSource_LA_External="","",Year5_Windsor_Maidenhead Year5_ReferralSource_LA_External)</f>
        <v/>
      </c>
      <c r="DD131" s="814">
        <f>IF(Year1_Windsor_Maidenhead Year1_ReferralSource_Police="","",Year1_Windsor_Maidenhead Year1_ReferralSource_Police)</f>
        <v>270</v>
      </c>
      <c r="DE131" s="815">
        <f>IF(Year2_Windsor_Maidenhead Year2_ReferralSource_Police="","",Year2_Windsor_Maidenhead Year2_ReferralSource_Police)</f>
        <v>265</v>
      </c>
      <c r="DF131" s="815">
        <f>IF(Year3_Windsor_Maidenhead Year3_ReferralSource_Police="","",Year3_Windsor_Maidenhead Year3_ReferralSource_Police)</f>
        <v>274</v>
      </c>
      <c r="DG131" s="815">
        <f>IF(Year4_Windsor_Maidenhead Year4_ReferralSource_Police="","",Year4_Windsor_Maidenhead Year4_ReferralSource_Police)</f>
        <v>372</v>
      </c>
      <c r="DH131" s="816">
        <f>IF(Year5_Windsor_Maidenhead Year5_ReferralSource_Police="","",Year5_Windsor_Maidenhead Year5_ReferralSource_Police)</f>
        <v>1214</v>
      </c>
      <c r="DI131" s="814">
        <f>IF(Year1_Windsor_Maidenhead Year1_ReferralSource_Other_Legal="","",Year1_Windsor_Maidenhead Year1_ReferralSource_Other_Legal)</f>
        <v>8</v>
      </c>
      <c r="DJ131" s="815">
        <f>IF(Year2_Windsor_Maidenhead Year2_ReferralSource_Other_Legal="","",Year2_Windsor_Maidenhead Year2_ReferralSource_Other_Legal)</f>
        <v>28</v>
      </c>
      <c r="DK131" s="815">
        <f>IF(Year3_Windsor_Maidenhead Year3_ReferralSource_Other_Legal="","",Year3_Windsor_Maidenhead Year3_ReferralSource_Other_Legal)</f>
        <v>8</v>
      </c>
      <c r="DL131" s="815">
        <f>IF(Year4_Windsor_Maidenhead Year4_ReferralSource_Other_Legal="","",Year4_Windsor_Maidenhead Year4_ReferralSource_Other_Legal)</f>
        <v>14</v>
      </c>
      <c r="DM131" s="816">
        <f>IF(Year5_Windsor_Maidenhead Year5_ReferralSource_Other_Legal="","",Year5_Windsor_Maidenhead Year5_ReferralSource_Other_Legal)</f>
        <v>124</v>
      </c>
      <c r="DN131" s="814">
        <f>IF(Year1_Windsor_Maidenhead Year1_ReferralSource_Other="","",Year1_Windsor_Maidenhead Year1_ReferralSource_Other)</f>
        <v>92</v>
      </c>
      <c r="DO131" s="815">
        <f>IF(Year2_Windsor_Maidenhead Year2_ReferralSource_Other="","",Year2_Windsor_Maidenhead Year2_ReferralSource_Other)</f>
        <v>33</v>
      </c>
      <c r="DP131" s="815">
        <f>IF(Year3_Windsor_Maidenhead Year3_ReferralSource_Other="","",Year3_Windsor_Maidenhead Year3_ReferralSource_Other)</f>
        <v>18</v>
      </c>
      <c r="DQ131" s="815">
        <f>IF(Year4_Windsor_Maidenhead Year4_ReferralSource_Other="","",Year4_Windsor_Maidenhead Year4_ReferralSource_Other)</f>
        <v>30</v>
      </c>
      <c r="DR131" s="816">
        <f>IF(Year5_Windsor_Maidenhead Year5_ReferralSource_Other="","",Year5_Windsor_Maidenhead Year5_ReferralSource_Other)</f>
        <v>78</v>
      </c>
      <c r="DS131" s="814">
        <f>IF(Year1_Windsor_Maidenhead Year1_ReferralSource_Anonymous="","",Year1_Windsor_Maidenhead Year1_ReferralSource_Anonymous)</f>
        <v>34</v>
      </c>
      <c r="DT131" s="815">
        <f>IF(Year2_Windsor_Maidenhead Year2_ReferralSource_Anonymous="","",Year2_Windsor_Maidenhead Year2_ReferralSource_Anonymous)</f>
        <v>7</v>
      </c>
      <c r="DU131" s="815" t="str">
        <f>IF(Year3_Windsor_Maidenhead Year3_ReferralSource_Anonymous="","",Year3_Windsor_Maidenhead Year3_ReferralSource_Anonymous)</f>
        <v>x</v>
      </c>
      <c r="DV131" s="815">
        <f>IF(Year4_Windsor_Maidenhead Year4_ReferralSource_Anonymous="","",Year4_Windsor_Maidenhead Year4_ReferralSource_Anonymous)</f>
        <v>23</v>
      </c>
      <c r="DW131" s="816">
        <f>IF(Year5_Windsor_Maidenhead Year5_ReferralSource_Anonymous="","",Year5_Windsor_Maidenhead Year5_ReferralSource_Anonymous)</f>
        <v>96</v>
      </c>
      <c r="DX131" s="814" t="str">
        <f>IF(Year1_Windsor_Maidenhead Year1_ReferralSource_Unknown="","",Year1_Windsor_Maidenhead Year1_ReferralSource_Unknown)</f>
        <v>x</v>
      </c>
      <c r="DY131" s="815" t="str">
        <f>IF(Year2_Windsor_Maidenhead Year2_ReferralSource_Unknown="","",Year2_Windsor_Maidenhead Year2_ReferralSource_Unknown)</f>
        <v>x</v>
      </c>
      <c r="DZ131" s="815">
        <f>IF(Year3_Windsor_Maidenhead Year3_ReferralSource_Unknown="","",Year3_Windsor_Maidenhead Year3_ReferralSource_Unknown)</f>
        <v>7</v>
      </c>
      <c r="EA131" s="815">
        <f>IF(Year4_Windsor_Maidenhead Year4_ReferralSource_Unknown="","",Year4_Windsor_Maidenhead Year4_ReferralSource_Unknown)</f>
        <v>133</v>
      </c>
      <c r="EB131" s="816">
        <f>IF(Year5_Windsor_Maidenhead Year5_ReferralSource_Unknown="","",Year5_Windsor_Maidenhead Year5_ReferralSource_Unknown)</f>
        <v>175</v>
      </c>
    </row>
    <row r="132" spans="1:132" ht="16.5" customHeight="1" x14ac:dyDescent="0.2">
      <c r="A132" s="271"/>
      <c r="B132" s="170" t="str">
        <f>Sheet1!$K$25</f>
        <v>Wokingham</v>
      </c>
      <c r="C132" s="9"/>
      <c r="D132" s="1483"/>
      <c r="E132" s="1484"/>
      <c r="F132" s="1483"/>
      <c r="G132" s="1484"/>
      <c r="H132" s="1483"/>
      <c r="I132" s="1484"/>
      <c r="J132" s="1483"/>
      <c r="K132" s="1484"/>
      <c r="L132" s="1483"/>
      <c r="M132" s="1484"/>
      <c r="N132" s="1483"/>
      <c r="O132" s="1484"/>
      <c r="P132" s="1483"/>
      <c r="Q132" s="1484"/>
      <c r="R132" s="1483"/>
      <c r="S132" s="1484"/>
      <c r="T132" s="1483"/>
      <c r="U132" s="1484"/>
      <c r="V132" s="1483"/>
      <c r="W132" s="1484"/>
      <c r="X132" s="15"/>
      <c r="Y132" s="119"/>
      <c r="Z132" s="138"/>
      <c r="AA132" s="178"/>
      <c r="AB132" s="814">
        <f>IF(Year1_Wokingham Year1_ReferralSource_Individual_Family="","",Year1_Wokingham Year1_ReferralSource_Individual_Family)</f>
        <v>337</v>
      </c>
      <c r="AC132" s="815">
        <f>IF(Year2_Wokingham Year2_ReferralSource_Individual_Family="","",Year2_Wokingham Year2_ReferralSource_Individual_Family)</f>
        <v>368</v>
      </c>
      <c r="AD132" s="815">
        <f>IF(Year3_Wokingham Year3_ReferralSource_Individual_Family="","",Year3_Wokingham Year3_ReferralSource_Individual_Family)</f>
        <v>92</v>
      </c>
      <c r="AE132" s="815">
        <f>IF(Year4_Wokingham Year4_ReferralSource_Individual_Family="","",Year4_Wokingham Year4_ReferralSource_Individual_Family)</f>
        <v>121</v>
      </c>
      <c r="AF132" s="816">
        <f>IF(Year5_Wokingham Year5_ReferralSource_Individual_Family="","",Year5_Wokingham Year5_ReferralSource_Individual_Family)</f>
        <v>143</v>
      </c>
      <c r="AG132" s="814" t="str">
        <f>IF(Year1_Wokingham Year1_ReferralSource_Individual_Acquaintance="","",Year1_Wokingham Year1_ReferralSource_Individual_Acquaintance)</f>
        <v/>
      </c>
      <c r="AH132" s="815" t="str">
        <f>IF(Year2_Wokingham Year2_ReferralSource_Individual_Acquaintance="","",Year2_Wokingham Year2_ReferralSource_Individual_Acquaintance)</f>
        <v/>
      </c>
      <c r="AI132" s="815" t="str">
        <f>IF(Year3_Wokingham Year3_ReferralSource_Individual_Acquaintance="","",Year3_Wokingham Year3_ReferralSource_Individual_Acquaintance)</f>
        <v/>
      </c>
      <c r="AJ132" s="815" t="str">
        <f>IF(Year4_Wokingham Year4_ReferralSource_Individual_Acquaintance="","",Year4_Wokingham Year4_ReferralSource_Individual_Acquaintance)</f>
        <v/>
      </c>
      <c r="AK132" s="816" t="str">
        <f>IF(Year5_Wokingham Year5_ReferralSource_Individual_Acquaintance="","",Year5_Wokingham Year5_ReferralSource_Individual_Acquaintance)</f>
        <v/>
      </c>
      <c r="AL132" s="814" t="str">
        <f>IF(Year1_Wokingham Year1_ReferralSource_Individual_Self="","",Year1_Wokingham Year1_ReferralSource_Individual_Self)</f>
        <v/>
      </c>
      <c r="AM132" s="815" t="str">
        <f>IF(Year2_Wokingham Year2_ReferralSource_Individual_Self="","",Year2_Wokingham Year2_ReferralSource_Individual_Self)</f>
        <v/>
      </c>
      <c r="AN132" s="815" t="str">
        <f>IF(Year3_Wokingham Year3_ReferralSource_Individual_Self="","",Year3_Wokingham Year3_ReferralSource_Individual_Self)</f>
        <v/>
      </c>
      <c r="AO132" s="815" t="str">
        <f>IF(Year4_Wokingham Year4_ReferralSource_Individual_Self="","",Year4_Wokingham Year4_ReferralSource_Individual_Self)</f>
        <v/>
      </c>
      <c r="AP132" s="816" t="str">
        <f>IF(Year5_Wokingham Year5_ReferralSource_Individual_Self="","",Year5_Wokingham Year5_ReferralSource_Individual_Self)</f>
        <v/>
      </c>
      <c r="AQ132" s="814" t="str">
        <f>IF(Year1_Wokingham Year1_ReferralSource_Individual_Other="","",Year1_Wokingham Year1_ReferralSource_Individual_Other)</f>
        <v/>
      </c>
      <c r="AR132" s="815" t="str">
        <f>IF(Year2_Wokingham Year2_ReferralSource_Individual_Other="","",Year2_Wokingham Year2_ReferralSource_Individual_Other)</f>
        <v/>
      </c>
      <c r="AS132" s="815" t="str">
        <f>IF(Year3_Wokingham Year3_ReferralSource_Individual_Other="","",Year3_Wokingham Year3_ReferralSource_Individual_Other)</f>
        <v/>
      </c>
      <c r="AT132" s="815" t="str">
        <f>IF(Year4_Wokingham Year4_ReferralSource_Individual_Other="","",Year4_Wokingham Year4_ReferralSource_Individual_Other)</f>
        <v/>
      </c>
      <c r="AU132" s="816" t="str">
        <f>IF(Year5_Wokingham Year5_ReferralSource_Individual_Other="","",Year5_Wokingham Year5_ReferralSource_Individual_Other)</f>
        <v/>
      </c>
      <c r="AV132" s="814">
        <f>IF(Year1_Wokingham Year1_ReferralSource_School="","",Year1_Wokingham Year1_ReferralSource_School)</f>
        <v>138</v>
      </c>
      <c r="AW132" s="815">
        <f>IF(Year2_Wokingham Year2_ReferralSource_School="","",Year2_Wokingham Year2_ReferralSource_School)</f>
        <v>179</v>
      </c>
      <c r="AX132" s="815">
        <f>IF(Year3_Wokingham Year3_ReferralSource_School="","",Year3_Wokingham Year3_ReferralSource_School)</f>
        <v>142</v>
      </c>
      <c r="AY132" s="815">
        <f>IF(Year4_Wokingham Year4_ReferralSource_School="","",Year4_Wokingham Year4_ReferralSource_School)</f>
        <v>208</v>
      </c>
      <c r="AZ132" s="816">
        <f>IF(Year5_Wokingham Year5_ReferralSource_School="","",Year5_Wokingham Year5_ReferralSource_School)</f>
        <v>295</v>
      </c>
      <c r="BA132" s="814">
        <f>IF(Year1_Wokingham Year1_ReferralSource_EducationServices="","",Year1_Wokingham Year1_ReferralSource_EducationServices)</f>
        <v>45</v>
      </c>
      <c r="BB132" s="815">
        <f>IF(Year2_Wokingham Year2_ReferralSource_EducationServices="","",Year2_Wokingham Year2_ReferralSource_EducationServices)</f>
        <v>18</v>
      </c>
      <c r="BC132" s="815">
        <f>IF(Year3_Wokingham Year3_ReferralSource_EducationServices="","",Year3_Wokingham Year3_ReferralSource_EducationServices)</f>
        <v>16</v>
      </c>
      <c r="BD132" s="815" t="str">
        <f>IF(Year4_Wokingham Year4_ReferralSource_EducationServices="","",Year4_Wokingham Year4_ReferralSource_EducationServices)</f>
        <v>x</v>
      </c>
      <c r="BE132" s="816">
        <f>IF(Year5_Wokingham Year5_ReferralSource_EducationServices="","",Year5_Wokingham Year5_ReferralSource_EducationServices)</f>
        <v>0</v>
      </c>
      <c r="BF132" s="826">
        <f>IF(Year1_Wokingham Year1_ReferralSource_Health_services_GP="","",Year1_Wokingham Year1_ReferralSource_Health_services_GP)</f>
        <v>66</v>
      </c>
      <c r="BG132" s="827">
        <f>IF(Year2_Wokingham Year2_ReferralSource_Health_services_GP="","",Year2_Wokingham Year2_ReferralSource_Health_services_GP)</f>
        <v>53</v>
      </c>
      <c r="BH132" s="827">
        <f>IF(Year3_Wokingham Year3_ReferralSource_Health_services_GP="","",Year3_Wokingham Year3_ReferralSource_Health_services_GP)</f>
        <v>129</v>
      </c>
      <c r="BI132" s="827">
        <f>IF(Year4_Wokingham Year4_ReferralSource_Health_services_GP="","",Year4_Wokingham Year4_ReferralSource_Health_services_GP)</f>
        <v>175</v>
      </c>
      <c r="BJ132" s="828">
        <f>IF(Year5_Wokingham Year5_ReferralSource_Health_services_GP="","",Year5_Wokingham Year5_ReferralSource_Health_services_GP)</f>
        <v>235</v>
      </c>
      <c r="BK132" s="826" t="str">
        <f>IF(Year1_Wokingham Year1_ReferralSource_Health_services_HealthVisitor="","",Year1_Wokingham Year1_ReferralSource_Health_services_HealthVisitor)</f>
        <v/>
      </c>
      <c r="BL132" s="827" t="str">
        <f>IF(Year2_Wokingham Year2_ReferralSource_Health_services_HealthVisitor="","",Year2_Wokingham Year2_ReferralSource_Health_services_HealthVisitor)</f>
        <v/>
      </c>
      <c r="BM132" s="827" t="str">
        <f>IF(Year3_Wokingham Year3_ReferralSource_Health_services_HealthVisitor="","",Year3_Wokingham Year3_ReferralSource_Health_services_HealthVisitor)</f>
        <v/>
      </c>
      <c r="BN132" s="827" t="str">
        <f>IF(Year4_Wokingham Year4_ReferralSource_Health_services_HealthVisitor="","",Year4_Wokingham Year4_ReferralSource_Health_services_HealthVisitor)</f>
        <v/>
      </c>
      <c r="BO132" s="828" t="str">
        <f>IF(Year5_Wokingham Year5_ReferralSource_Health_services_HealthVisitor="","",Year5_Wokingham Year5_ReferralSource_Health_services_HealthVisitor)</f>
        <v/>
      </c>
      <c r="BP132" s="826" t="str">
        <f>IF(Year1_Wokingham Year1_ReferralSource_Health_services_SchoolNurse="","",Year1_Wokingham Year1_ReferralSource_Health_services_SchoolNurse)</f>
        <v/>
      </c>
      <c r="BQ132" s="827" t="str">
        <f>IF(Year2_Wokingham Year2_ReferralSource_Health_services_SchoolNurse="","",Year2_Wokingham Year2_ReferralSource_Health_services_SchoolNurse)</f>
        <v/>
      </c>
      <c r="BR132" s="827" t="str">
        <f>IF(Year3_Wokingham Year3_ReferralSource_Health_services_SchoolNurse="","",Year3_Wokingham Year3_ReferralSource_Health_services_SchoolNurse)</f>
        <v/>
      </c>
      <c r="BS132" s="827" t="str">
        <f>IF(Year4_Wokingham Year4_ReferralSource_Health_services_SchoolNurse="","",Year4_Wokingham Year4_ReferralSource_Health_services_SchoolNurse)</f>
        <v/>
      </c>
      <c r="BT132" s="828" t="str">
        <f>IF(Year5_Wokingham Year5_ReferralSource_Health_services_SchoolNurse="","",Year5_Wokingham Year5_ReferralSource_Health_services_SchoolNurse)</f>
        <v/>
      </c>
      <c r="BU132" s="826" t="str">
        <f>IF(Year1_Wokingham Year1_ReferralSource_Health_services_OthPrimary="","",Year1_Wokingham Year1_ReferralSource_Health_services_OthPrimary)</f>
        <v/>
      </c>
      <c r="BV132" s="827" t="str">
        <f>IF(Year2_Wokingham Year2_ReferralSource_Health_services_OthPrimary="","",Year2_Wokingham Year2_ReferralSource_Health_services_OthPrimary)</f>
        <v/>
      </c>
      <c r="BW132" s="827" t="str">
        <f>IF(Year3_Wokingham Year3_ReferralSource_Health_services_OthPrimary="","",Year3_Wokingham Year3_ReferralSource_Health_services_OthPrimary)</f>
        <v/>
      </c>
      <c r="BX132" s="827" t="str">
        <f>IF(Year4_Wokingham Year4_ReferralSource_Health_services_OthPrimary="","",Year4_Wokingham Year4_ReferralSource_Health_services_OthPrimary)</f>
        <v/>
      </c>
      <c r="BY132" s="828" t="str">
        <f>IF(Year5_Wokingham Year5_ReferralSource_Health_services_OthPrimary="","",Year5_Wokingham Year5_ReferralSource_Health_services_OthPrimary)</f>
        <v/>
      </c>
      <c r="BZ132" s="826" t="str">
        <f>IF(Year1_Wokingham Year1_ReferralSource_Health_services_AE="","",Year1_Wokingham Year1_ReferralSource_Health_services_AE)</f>
        <v/>
      </c>
      <c r="CA132" s="827" t="str">
        <f>IF(Year2_Wokingham Year2_ReferralSource_Health_services_AE="","",Year2_Wokingham Year2_ReferralSource_Health_services_AE)</f>
        <v/>
      </c>
      <c r="CB132" s="827" t="str">
        <f>IF(Year3_Wokingham Year3_ReferralSource_Health_services_AE="","",Year3_Wokingham Year3_ReferralSource_Health_services_AE)</f>
        <v/>
      </c>
      <c r="CC132" s="827" t="str">
        <f>IF(Year4_Wokingham Year4_ReferralSource_Health_services_AE="","",Year4_Wokingham Year4_ReferralSource_Health_services_AE)</f>
        <v/>
      </c>
      <c r="CD132" s="828" t="str">
        <f>IF(Year5_Wokingham Year5_ReferralSource_Health_services_AE="","",Year5_Wokingham Year5_ReferralSource_Health_services_AE)</f>
        <v/>
      </c>
      <c r="CE132" s="826" t="str">
        <f>IF(Year1_Wokingham Year1_ReferralSource_Health_services_Other="","",Year1_Wokingham Year1_ReferralSource_Health_services_Other)</f>
        <v/>
      </c>
      <c r="CF132" s="827" t="str">
        <f>IF(Year2_Wokingham Year2_ReferralSource_Health_services_Other="","",Year2_Wokingham Year2_ReferralSource_Health_services_Other)</f>
        <v/>
      </c>
      <c r="CG132" s="827" t="str">
        <f>IF(Year3_Wokingham Year3_ReferralSource_Health_services_Other="","",Year3_Wokingham Year3_ReferralSource_Health_services_Other)</f>
        <v/>
      </c>
      <c r="CH132" s="827" t="str">
        <f>IF(Year4_Wokingham Year4_ReferralSource_Health_services_Other="","",Year4_Wokingham Year4_ReferralSource_Health_services_Other)</f>
        <v/>
      </c>
      <c r="CI132" s="828" t="str">
        <f>IF(Year5_Wokingham Year5_ReferralSource_Health_services_Other="","",Year5_Wokingham Year5_ReferralSource_Health_services_Other)</f>
        <v/>
      </c>
      <c r="CJ132" s="814">
        <f>IF(Year1_Wokingham Year1_ReferralSource_Housing="","",Year1_Wokingham Year1_ReferralSource_Housing)</f>
        <v>10</v>
      </c>
      <c r="CK132" s="815" t="str">
        <f>IF(Year2_Wokingham Year2_ReferralSource_Housing="","",Year2_Wokingham Year2_ReferralSource_Housing)</f>
        <v>x</v>
      </c>
      <c r="CL132" s="815">
        <f>IF(Year3_Wokingham Year3_ReferralSource_Housing="","",Year3_Wokingham Year3_ReferralSource_Housing)</f>
        <v>10</v>
      </c>
      <c r="CM132" s="815">
        <f>IF(Year4_Wokingham Year4_ReferralSource_Housing="","",Year4_Wokingham Year4_ReferralSource_Housing)</f>
        <v>10</v>
      </c>
      <c r="CN132" s="816">
        <f>IF(Year5_Wokingham Year5_ReferralSource_Housing="","",Year5_Wokingham Year5_ReferralSource_Housing)</f>
        <v>0</v>
      </c>
      <c r="CO132" s="814">
        <f>IF(Year1_Wokingham Year1_ReferralSource_LA_SC="","",Year1_Wokingham Year1_ReferralSource_LA_SC)</f>
        <v>29</v>
      </c>
      <c r="CP132" s="815">
        <f>IF(Year2_Wokingham Year2_ReferralSource_LA_SC="","",Year2_Wokingham Year2_ReferralSource_LA_SC)</f>
        <v>46</v>
      </c>
      <c r="CQ132" s="815">
        <f>IF(Year3_Wokingham Year3_ReferralSource_LA_SC="","",Year3_Wokingham Year3_ReferralSource_LA_SC)</f>
        <v>97</v>
      </c>
      <c r="CR132" s="815">
        <f>IF(Year4_Wokingham Year4_ReferralSource_LA_SC="","",Year4_Wokingham Year4_ReferralSource_LA_SC)</f>
        <v>141</v>
      </c>
      <c r="CS132" s="816">
        <f>IF(Year5_Wokingham Year5_ReferralSource_LA_SC="","",Year5_Wokingham Year5_ReferralSource_LA_SC)</f>
        <v>266</v>
      </c>
      <c r="CT132" s="814" t="str">
        <f>IF(Year1_Wokingham Year1_ReferralSource_LA_Other="","",Year1_Wokingham Year1_ReferralSource_LA_Other)</f>
        <v/>
      </c>
      <c r="CU132" s="815" t="str">
        <f>IF(Year2_Wokingham Year2_ReferralSource_LA_Other="","",Year2_Wokingham Year2_ReferralSource_LA_Other)</f>
        <v/>
      </c>
      <c r="CV132" s="815" t="str">
        <f>IF(Year3_Wokingham Year3_ReferralSource_LA_Other="","",Year3_Wokingham Year3_ReferralSource_LA_Other)</f>
        <v/>
      </c>
      <c r="CW132" s="815" t="str">
        <f>IF(Year4_Wokingham Year4_ReferralSource_LA_Other="","",Year4_Wokingham Year4_ReferralSource_LA_Other)</f>
        <v/>
      </c>
      <c r="CX132" s="816" t="str">
        <f>IF(Year5_Wokingham Year5_ReferralSource_LA_Other="","",Year5_Wokingham Year5_ReferralSource_LA_Other)</f>
        <v/>
      </c>
      <c r="CY132" s="814" t="str">
        <f>IF(Year1_Wokingham Year1_ReferralSource_LA_External="","",Year1_Wokingham Year1_ReferralSource_LA_External)</f>
        <v/>
      </c>
      <c r="CZ132" s="815" t="str">
        <f>IF(Year2_Wokingham Year2_ReferralSource_LA_External="","",Year2_Wokingham Year2_ReferralSource_LA_External)</f>
        <v/>
      </c>
      <c r="DA132" s="815" t="str">
        <f>IF(Year3_Wokingham Year3_ReferralSource_LA_External="","",Year3_Wokingham Year3_ReferralSource_LA_External)</f>
        <v/>
      </c>
      <c r="DB132" s="815" t="str">
        <f>IF(Year4_Wokingham Year4_ReferralSource_LA_External="","",Year4_Wokingham Year4_ReferralSource_LA_External)</f>
        <v/>
      </c>
      <c r="DC132" s="816" t="str">
        <f>IF(Year5_Wokingham Year5_ReferralSource_LA_External="","",Year5_Wokingham Year5_ReferralSource_LA_External)</f>
        <v/>
      </c>
      <c r="DD132" s="814">
        <f>IF(Year1_Wokingham Year1_ReferralSource_Police="","",Year1_Wokingham Year1_ReferralSource_Police)</f>
        <v>329</v>
      </c>
      <c r="DE132" s="815">
        <f>IF(Year2_Wokingham Year2_ReferralSource_Police="","",Year2_Wokingham Year2_ReferralSource_Police)</f>
        <v>420</v>
      </c>
      <c r="DF132" s="815">
        <f>IF(Year3_Wokingham Year3_ReferralSource_Police="","",Year3_Wokingham Year3_ReferralSource_Police)</f>
        <v>332</v>
      </c>
      <c r="DG132" s="815">
        <f>IF(Year4_Wokingham Year4_ReferralSource_Police="","",Year4_Wokingham Year4_ReferralSource_Police)</f>
        <v>581</v>
      </c>
      <c r="DH132" s="816">
        <f>IF(Year5_Wokingham Year5_ReferralSource_Police="","",Year5_Wokingham Year5_ReferralSource_Police)</f>
        <v>514</v>
      </c>
      <c r="DI132" s="814">
        <f>IF(Year1_Wokingham Year1_ReferralSource_Other_Legal="","",Year1_Wokingham Year1_ReferralSource_Other_Legal)</f>
        <v>0</v>
      </c>
      <c r="DJ132" s="815">
        <f>IF(Year2_Wokingham Year2_ReferralSource_Other_Legal="","",Year2_Wokingham Year2_ReferralSource_Other_Legal)</f>
        <v>0</v>
      </c>
      <c r="DK132" s="815">
        <f>IF(Year3_Wokingham Year3_ReferralSource_Other_Legal="","",Year3_Wokingham Year3_ReferralSource_Other_Legal)</f>
        <v>51</v>
      </c>
      <c r="DL132" s="815">
        <f>IF(Year4_Wokingham Year4_ReferralSource_Other_Legal="","",Year4_Wokingham Year4_ReferralSource_Other_Legal)</f>
        <v>41</v>
      </c>
      <c r="DM132" s="816">
        <f>IF(Year5_Wokingham Year5_ReferralSource_Other_Legal="","",Year5_Wokingham Year5_ReferralSource_Other_Legal)</f>
        <v>29</v>
      </c>
      <c r="DN132" s="814" t="str">
        <f>IF(Year1_Wokingham Year1_ReferralSource_Other="","",Year1_Wokingham Year1_ReferralSource_Other)</f>
        <v>x</v>
      </c>
      <c r="DO132" s="815" t="str">
        <f>IF(Year2_Wokingham Year2_ReferralSource_Other="","",Year2_Wokingham Year2_ReferralSource_Other)</f>
        <v>x</v>
      </c>
      <c r="DP132" s="815">
        <f>IF(Year3_Wokingham Year3_ReferralSource_Other="","",Year3_Wokingham Year3_ReferralSource_Other)</f>
        <v>18</v>
      </c>
      <c r="DQ132" s="815">
        <f>IF(Year4_Wokingham Year4_ReferralSource_Other="","",Year4_Wokingham Year4_ReferralSource_Other)</f>
        <v>62</v>
      </c>
      <c r="DR132" s="816">
        <f>IF(Year5_Wokingham Year5_ReferralSource_Other="","",Year5_Wokingham Year5_ReferralSource_Other)</f>
        <v>163</v>
      </c>
      <c r="DS132" s="814">
        <f>IF(Year1_Wokingham Year1_ReferralSource_Anonymous="","",Year1_Wokingham Year1_ReferralSource_Anonymous)</f>
        <v>32</v>
      </c>
      <c r="DT132" s="815">
        <f>IF(Year2_Wokingham Year2_ReferralSource_Anonymous="","",Year2_Wokingham Year2_ReferralSource_Anonymous)</f>
        <v>39</v>
      </c>
      <c r="DU132" s="815">
        <f>IF(Year3_Wokingham Year3_ReferralSource_Anonymous="","",Year3_Wokingham Year3_ReferralSource_Anonymous)</f>
        <v>20</v>
      </c>
      <c r="DV132" s="815">
        <f>IF(Year4_Wokingham Year4_ReferralSource_Anonymous="","",Year4_Wokingham Year4_ReferralSource_Anonymous)</f>
        <v>18</v>
      </c>
      <c r="DW132" s="816">
        <f>IF(Year5_Wokingham Year5_ReferralSource_Anonymous="","",Year5_Wokingham Year5_ReferralSource_Anonymous)</f>
        <v>78</v>
      </c>
      <c r="DX132" s="814" t="str">
        <f>IF(Year1_Wokingham Year1_ReferralSource_Unknown="","",Year1_Wokingham Year1_ReferralSource_Unknown)</f>
        <v>x</v>
      </c>
      <c r="DY132" s="815">
        <f>IF(Year2_Wokingham Year2_ReferralSource_Unknown="","",Year2_Wokingham Year2_ReferralSource_Unknown)</f>
        <v>0</v>
      </c>
      <c r="DZ132" s="815">
        <f>IF(Year3_Wokingham Year3_ReferralSource_Unknown="","",Year3_Wokingham Year3_ReferralSource_Unknown)</f>
        <v>0</v>
      </c>
      <c r="EA132" s="815" t="str">
        <f>IF(Year4_Wokingham Year4_ReferralSource_Unknown="","",Year4_Wokingham Year4_ReferralSource_Unknown)</f>
        <v>x</v>
      </c>
      <c r="EB132" s="816">
        <f>IF(Year5_Wokingham Year5_ReferralSource_Unknown="","",Year5_Wokingham Year5_ReferralSource_Unknown)</f>
        <v>34</v>
      </c>
    </row>
    <row r="133" spans="1:132" ht="16.5" customHeight="1" x14ac:dyDescent="0.2">
      <c r="A133" s="271"/>
      <c r="B133" s="170" t="str">
        <f>Sheet1!$K$26</f>
        <v>South East</v>
      </c>
      <c r="C133" s="9"/>
      <c r="D133" s="1483"/>
      <c r="E133" s="1484"/>
      <c r="F133" s="1483"/>
      <c r="G133" s="1484"/>
      <c r="H133" s="1483"/>
      <c r="I133" s="1484"/>
      <c r="J133" s="1483"/>
      <c r="K133" s="1484"/>
      <c r="L133" s="1483"/>
      <c r="M133" s="1484"/>
      <c r="N133" s="1483"/>
      <c r="O133" s="1484"/>
      <c r="P133" s="1483"/>
      <c r="Q133" s="1484"/>
      <c r="R133" s="1483"/>
      <c r="S133" s="1484"/>
      <c r="T133" s="1483"/>
      <c r="U133" s="1484"/>
      <c r="V133" s="1483"/>
      <c r="W133" s="1484"/>
      <c r="X133" s="15"/>
      <c r="Y133" s="119"/>
      <c r="Z133" s="138"/>
      <c r="AA133" s="178"/>
      <c r="AB133" s="814">
        <f>SUM(AB111:AB123,AB125:AB126,AB125:AB132)</f>
        <v>11130</v>
      </c>
      <c r="AC133" s="815">
        <f>SUM(AC111:AC123,AC125:AC126,AC126:AC132)</f>
        <v>11012</v>
      </c>
      <c r="AD133" s="815">
        <f>SUM(AD111:AD123,AD125:AD126,AD127:AD132)</f>
        <v>10530</v>
      </c>
      <c r="AE133" s="815">
        <f>SUM(AE111:AE123,AE125:AE126,AE128:AE132)</f>
        <v>9246</v>
      </c>
      <c r="AF133" s="816">
        <f>SUM(AF111:AF123,AF125:AF126,AF129:AF132)</f>
        <v>8340</v>
      </c>
      <c r="AG133" s="814">
        <f>SUM(AG111:AG123,AG125:AG126,AG125:AG132)</f>
        <v>0</v>
      </c>
      <c r="AH133" s="815">
        <f>SUM(AH111:AH123,AH125:AH126,AH126:AH132)</f>
        <v>0</v>
      </c>
      <c r="AI133" s="815">
        <f>SUM(AI111:AI123,AI125:AI126,AI127:AI132)</f>
        <v>0</v>
      </c>
      <c r="AJ133" s="815">
        <f>SUM(AJ111:AJ123,AJ125:AJ126,AJ128:AJ132)</f>
        <v>0</v>
      </c>
      <c r="AK133" s="816">
        <f>SUM(AK111:AK123,AK125:AK126,AK129:AK132)</f>
        <v>0</v>
      </c>
      <c r="AL133" s="814">
        <f>SUM(AL111:AL123,AL125:AL126,AL125:AL132)</f>
        <v>0</v>
      </c>
      <c r="AM133" s="815">
        <f>SUM(AM111:AM123,AM125:AM126,AM126:AM132)</f>
        <v>0</v>
      </c>
      <c r="AN133" s="815">
        <f>SUM(AN111:AN123,AN125:AN126,AN127:AN132)</f>
        <v>0</v>
      </c>
      <c r="AO133" s="815">
        <f>SUM(AO111:AO123,AO125:AO126,AO128:AO132)</f>
        <v>0</v>
      </c>
      <c r="AP133" s="816">
        <f>SUM(AP111:AP123,AP125:AP126,AP129:AP132)</f>
        <v>0</v>
      </c>
      <c r="AQ133" s="814">
        <f>SUM(AQ111:AQ123,AQ125:AQ126,AQ125:AQ132)</f>
        <v>0</v>
      </c>
      <c r="AR133" s="815">
        <f>SUM(AR111:AR123,AR125:AR126,AR126:AR132)</f>
        <v>0</v>
      </c>
      <c r="AS133" s="815">
        <f>SUM(AS111:AS123,AS125:AS126,AS127:AS132)</f>
        <v>0</v>
      </c>
      <c r="AT133" s="815">
        <f>SUM(AT111:AT123,AT125:AT126,AT128:AT132)</f>
        <v>0</v>
      </c>
      <c r="AU133" s="816">
        <f>SUM(AU111:AU123,AU125:AU126,AU129:AU132)</f>
        <v>0</v>
      </c>
      <c r="AV133" s="814">
        <f>SUM(AV111:AV123,AV125:AV126,AV125:AV132)</f>
        <v>19912</v>
      </c>
      <c r="AW133" s="815">
        <f>SUM(AW111:AW123,AW125:AW126,AW126:AW132)</f>
        <v>21240</v>
      </c>
      <c r="AX133" s="815">
        <f>SUM(AX111:AX123,AX125:AX126,AX127:AX132)</f>
        <v>22175</v>
      </c>
      <c r="AY133" s="815">
        <f>SUM(AY111:AY123,AY125:AY126,AY128:AY132)</f>
        <v>20604</v>
      </c>
      <c r="AZ133" s="816">
        <f>SUM(AZ111:AZ123,AZ125:AZ126,AZ129:AZ132)</f>
        <v>19716</v>
      </c>
      <c r="BA133" s="814">
        <f>SUM(BA111:BA123,BA125:BA126,BA125:BA132)</f>
        <v>1243</v>
      </c>
      <c r="BB133" s="815">
        <f>SUM(BB111:BB123,BB125:BB126,BB126:BB132)</f>
        <v>1264</v>
      </c>
      <c r="BC133" s="815">
        <f>SUM(BC111:BC123,BC125:BC126,BC127:BC132)</f>
        <v>929</v>
      </c>
      <c r="BD133" s="815">
        <f>SUM(BD111:BD123,BD125:BD126,BD128:BD132)</f>
        <v>660</v>
      </c>
      <c r="BE133" s="816">
        <f>SUM(BE111:BE123,BE125:BE126,BE129:BE132)</f>
        <v>1184</v>
      </c>
      <c r="BF133" s="826">
        <f t="shared" ref="BF133" si="261">SUM(BF111:BF123,BF125:BF126,BF125:BF132)</f>
        <v>15779</v>
      </c>
      <c r="BG133" s="827">
        <f t="shared" ref="BG133" si="262">SUM(BG111:BG123,BG125:BG126,BG126:BG132)</f>
        <v>14710</v>
      </c>
      <c r="BH133" s="827">
        <f t="shared" ref="BH133" si="263">SUM(BH111:BH123,BH125:BH126,BH127:BH132)</f>
        <v>14207</v>
      </c>
      <c r="BI133" s="827">
        <f t="shared" ref="BI133" si="264">SUM(BI111:BI123,BI125:BI126,BI128:BI132)</f>
        <v>13712</v>
      </c>
      <c r="BJ133" s="828">
        <f t="shared" ref="BJ133" si="265">SUM(BJ111:BJ123,BJ125:BJ126,BJ129:BJ132)</f>
        <v>13234</v>
      </c>
      <c r="BK133" s="826">
        <f t="shared" ref="BK133" si="266">SUM(BK111:BK123,BK125:BK126,BK125:BK132)</f>
        <v>0</v>
      </c>
      <c r="BL133" s="827">
        <f t="shared" ref="BL133" si="267">SUM(BL111:BL123,BL125:BL126,BL126:BL132)</f>
        <v>0</v>
      </c>
      <c r="BM133" s="827">
        <f t="shared" ref="BM133" si="268">SUM(BM111:BM123,BM125:BM126,BM127:BM132)</f>
        <v>0</v>
      </c>
      <c r="BN133" s="827">
        <f t="shared" ref="BN133" si="269">SUM(BN111:BN123,BN125:BN126,BN128:BN132)</f>
        <v>0</v>
      </c>
      <c r="BO133" s="828">
        <f t="shared" ref="BO133" si="270">SUM(BO111:BO123,BO125:BO126,BO129:BO132)</f>
        <v>0</v>
      </c>
      <c r="BP133" s="826">
        <f t="shared" ref="BP133" si="271">SUM(BP111:BP123,BP125:BP126,BP125:BP132)</f>
        <v>0</v>
      </c>
      <c r="BQ133" s="827">
        <f t="shared" ref="BQ133" si="272">SUM(BQ111:BQ123,BQ125:BQ126,BQ126:BQ132)</f>
        <v>0</v>
      </c>
      <c r="BR133" s="827">
        <f t="shared" ref="BR133" si="273">SUM(BR111:BR123,BR125:BR126,BR127:BR132)</f>
        <v>0</v>
      </c>
      <c r="BS133" s="827">
        <f t="shared" ref="BS133" si="274">SUM(BS111:BS123,BS125:BS126,BS128:BS132)</f>
        <v>0</v>
      </c>
      <c r="BT133" s="828">
        <f t="shared" ref="BT133" si="275">SUM(BT111:BT123,BT125:BT126,BT129:BT132)</f>
        <v>0</v>
      </c>
      <c r="BU133" s="826">
        <f t="shared" ref="BU133" si="276">SUM(BU111:BU123,BU125:BU126,BU125:BU132)</f>
        <v>0</v>
      </c>
      <c r="BV133" s="827">
        <f t="shared" ref="BV133" si="277">SUM(BV111:BV123,BV125:BV126,BV126:BV132)</f>
        <v>0</v>
      </c>
      <c r="BW133" s="827">
        <f t="shared" ref="BW133" si="278">SUM(BW111:BW123,BW125:BW126,BW127:BW132)</f>
        <v>0</v>
      </c>
      <c r="BX133" s="827">
        <f t="shared" ref="BX133" si="279">SUM(BX111:BX123,BX125:BX126,BX128:BX132)</f>
        <v>0</v>
      </c>
      <c r="BY133" s="828">
        <f t="shared" ref="BY133" si="280">SUM(BY111:BY123,BY125:BY126,BY129:BY132)</f>
        <v>0</v>
      </c>
      <c r="BZ133" s="826">
        <f t="shared" ref="BZ133" si="281">SUM(BZ111:BZ123,BZ125:BZ126,BZ125:BZ132)</f>
        <v>0</v>
      </c>
      <c r="CA133" s="827">
        <f t="shared" ref="CA133" si="282">SUM(CA111:CA123,CA125:CA126,CA126:CA132)</f>
        <v>0</v>
      </c>
      <c r="CB133" s="827">
        <f t="shared" ref="CB133" si="283">SUM(CB111:CB123,CB125:CB126,CB127:CB132)</f>
        <v>0</v>
      </c>
      <c r="CC133" s="827">
        <f t="shared" ref="CC133" si="284">SUM(CC111:CC123,CC125:CC126,CC128:CC132)</f>
        <v>0</v>
      </c>
      <c r="CD133" s="828">
        <f t="shared" ref="CD133" si="285">SUM(CD111:CD123,CD125:CD126,CD129:CD132)</f>
        <v>0</v>
      </c>
      <c r="CE133" s="826">
        <f t="shared" ref="CE133" si="286">SUM(CE111:CE123,CE125:CE126,CE125:CE132)</f>
        <v>0</v>
      </c>
      <c r="CF133" s="827">
        <f t="shared" ref="CF133" si="287">SUM(CF111:CF123,CF125:CF126,CF126:CF132)</f>
        <v>0</v>
      </c>
      <c r="CG133" s="827">
        <f t="shared" ref="CG133" si="288">SUM(CG111:CG123,CG125:CG126,CG127:CG132)</f>
        <v>0</v>
      </c>
      <c r="CH133" s="827">
        <f t="shared" ref="CH133" si="289">SUM(CH111:CH123,CH125:CH126,CH128:CH132)</f>
        <v>0</v>
      </c>
      <c r="CI133" s="828">
        <f t="shared" ref="CI133" si="290">SUM(CI111:CI123,CI125:CI126,CI129:CI132)</f>
        <v>0</v>
      </c>
      <c r="CJ133" s="814">
        <f>SUM(CJ111:CJ123,CJ125:CJ126,CJ125:CJ132)</f>
        <v>1908</v>
      </c>
      <c r="CK133" s="815">
        <f>SUM(CK111:CK123,CK125:CK126,CK126:CK132)</f>
        <v>1645</v>
      </c>
      <c r="CL133" s="815">
        <f>SUM(CL111:CL123,CL125:CL126,CL127:CL132)</f>
        <v>1562</v>
      </c>
      <c r="CM133" s="815">
        <f>SUM(CM111:CM123,CM125:CM126,CM128:CM132)</f>
        <v>1465</v>
      </c>
      <c r="CN133" s="816">
        <f>SUM(CN111:CN123,CN125:CN126,CN129:CN132)</f>
        <v>1201</v>
      </c>
      <c r="CO133" s="814">
        <f>SUM(CO111:CO123,CO125:CO126,CO125:CO132)</f>
        <v>12649</v>
      </c>
      <c r="CP133" s="815">
        <f>SUM(CP111:CP123,CP125:CP126,CP126:CP132)</f>
        <v>13205</v>
      </c>
      <c r="CQ133" s="815">
        <f>SUM(CQ111:CQ123,CQ125:CQ126,CQ127:CQ132)</f>
        <v>13613</v>
      </c>
      <c r="CR133" s="815">
        <f>SUM(CR111:CR123,CR125:CR126,CR128:CR132)</f>
        <v>13812</v>
      </c>
      <c r="CS133" s="816">
        <f>SUM(CS111:CS123,CS125:CS126,CS129:CS132)</f>
        <v>11739</v>
      </c>
      <c r="CT133" s="814">
        <f>SUM(CT111:CT123,CT125:CT126,CT125:CT132)</f>
        <v>0</v>
      </c>
      <c r="CU133" s="815">
        <f>SUM(CU111:CU123,CU125:CU126,CU126:CU132)</f>
        <v>0</v>
      </c>
      <c r="CV133" s="815">
        <f>SUM(CV111:CV123,CV125:CV126,CV127:CV132)</f>
        <v>0</v>
      </c>
      <c r="CW133" s="815">
        <f>SUM(CW111:CW123,CW125:CW126,CW128:CW132)</f>
        <v>0</v>
      </c>
      <c r="CX133" s="816">
        <f>SUM(CX111:CX123,CX125:CX126,CX129:CX132)</f>
        <v>0</v>
      </c>
      <c r="CY133" s="814">
        <f>SUM(CY111:CY123,CY125:CY126,CY125:CY132)</f>
        <v>0</v>
      </c>
      <c r="CZ133" s="815">
        <f>SUM(CZ111:CZ123,CZ125:CZ126,CZ126:CZ132)</f>
        <v>0</v>
      </c>
      <c r="DA133" s="815">
        <f>SUM(DA111:DA123,DA125:DA126,DA127:DA132)</f>
        <v>0</v>
      </c>
      <c r="DB133" s="815">
        <f>SUM(DB111:DB123,DB125:DB126,DB128:DB132)</f>
        <v>0</v>
      </c>
      <c r="DC133" s="816">
        <f>SUM(DC111:DC123,DC125:DC126,DC129:DC132)</f>
        <v>0</v>
      </c>
      <c r="DD133" s="814">
        <f>SUM(DD111:DD123,DD125:DD126,DD125:DD132)</f>
        <v>32216</v>
      </c>
      <c r="DE133" s="815">
        <f>SUM(DE111:DE123,DE125:DE126,DE126:DE132)</f>
        <v>34598</v>
      </c>
      <c r="DF133" s="815">
        <f>SUM(DF111:DF123,DF125:DF126,DF127:DF132)</f>
        <v>34215</v>
      </c>
      <c r="DG133" s="815">
        <f>SUM(DG111:DG123,DG125:DG126,DG128:DG132)</f>
        <v>34024</v>
      </c>
      <c r="DH133" s="816">
        <f>SUM(DH111:DH123,DH125:DH126,DH129:DH132)</f>
        <v>30808</v>
      </c>
      <c r="DI133" s="814">
        <f>SUM(DI111:DI123,DI125:DI126,DI125:DI132)</f>
        <v>3742</v>
      </c>
      <c r="DJ133" s="815">
        <f>SUM(DJ111:DJ123,DJ125:DJ126,DJ126:DJ132)</f>
        <v>3950</v>
      </c>
      <c r="DK133" s="815">
        <f>SUM(DK111:DK123,DK125:DK126,DK127:DK132)</f>
        <v>3712</v>
      </c>
      <c r="DL133" s="815">
        <f>SUM(DL111:DL123,DL125:DL126,DL128:DL132)</f>
        <v>3079</v>
      </c>
      <c r="DM133" s="816">
        <f>SUM(DM111:DM123,DM125:DM126,DM129:DM132)</f>
        <v>3453</v>
      </c>
      <c r="DN133" s="814">
        <f>SUM(DN111:DN123,DN125:DN126,DN125:DN132)</f>
        <v>8186</v>
      </c>
      <c r="DO133" s="815">
        <f>SUM(DO111:DO123,DO125:DO126,DO126:DO132)</f>
        <v>7026</v>
      </c>
      <c r="DP133" s="815">
        <f>SUM(DP111:DP123,DP125:DP126,DP127:DP132)</f>
        <v>7339</v>
      </c>
      <c r="DQ133" s="815">
        <f>SUM(DQ111:DQ123,DQ125:DQ126,DQ128:DQ132)</f>
        <v>7629</v>
      </c>
      <c r="DR133" s="816">
        <f>SUM(DR111:DR123,DR125:DR126,DR129:DR132)</f>
        <v>6003</v>
      </c>
      <c r="DS133" s="814">
        <f>SUM(DS111:DS123,DS125:DS126,DS125:DS132)</f>
        <v>2734</v>
      </c>
      <c r="DT133" s="815">
        <f>SUM(DT111:DT123,DT125:DT126,DT126:DT132)</f>
        <v>2262</v>
      </c>
      <c r="DU133" s="815">
        <f>SUM(DU111:DU123,DU125:DU126,DU127:DU132)</f>
        <v>2073</v>
      </c>
      <c r="DV133" s="815">
        <f>SUM(DV111:DV123,DV125:DV126,DV128:DV132)</f>
        <v>2001</v>
      </c>
      <c r="DW133" s="816">
        <f>SUM(DW111:DW123,DW125:DW126,DW129:DW132)</f>
        <v>2124</v>
      </c>
      <c r="DX133" s="814">
        <f>SUM(DX111:DX123,DX125:DX126,DX125:DX132)</f>
        <v>8266</v>
      </c>
      <c r="DY133" s="815">
        <f>SUM(DY111:DY123,DY125:DY126,DY126:DY132)</f>
        <v>3882</v>
      </c>
      <c r="DZ133" s="815">
        <f>SUM(DZ111:DZ123,DZ125:DZ126,DZ127:DZ132)</f>
        <v>1362</v>
      </c>
      <c r="EA133" s="815">
        <f>SUM(EA111:EA123,EA125:EA126,EA128:EA132)</f>
        <v>2077</v>
      </c>
      <c r="EB133" s="816">
        <f>SUM(EB111:EB123,EB125:EB126,EB129:EB132)</f>
        <v>2367</v>
      </c>
    </row>
    <row r="134" spans="1:132" s="89" customFormat="1" ht="16.5" customHeight="1" x14ac:dyDescent="0.2">
      <c r="A134" s="286"/>
      <c r="B134" s="170" t="str">
        <f>Sheet1!$K$27</f>
        <v>England</v>
      </c>
      <c r="C134" s="9"/>
      <c r="D134" s="1485"/>
      <c r="E134" s="1486"/>
      <c r="F134" s="1485"/>
      <c r="G134" s="1486"/>
      <c r="H134" s="1485"/>
      <c r="I134" s="1486"/>
      <c r="J134" s="1485"/>
      <c r="K134" s="1486"/>
      <c r="L134" s="1485"/>
      <c r="M134" s="1486"/>
      <c r="N134" s="1485"/>
      <c r="O134" s="1486"/>
      <c r="P134" s="1485"/>
      <c r="Q134" s="1486"/>
      <c r="R134" s="1485"/>
      <c r="S134" s="1486"/>
      <c r="T134" s="1485"/>
      <c r="U134" s="1486"/>
      <c r="V134" s="1485"/>
      <c r="W134" s="1486"/>
      <c r="X134" s="87"/>
      <c r="Y134" s="124"/>
      <c r="Z134" s="138"/>
      <c r="AA134" s="178"/>
      <c r="AB134" s="805" t="str">
        <f>IF(Year1_England Year1_ReferralSource_Individual_Family="","",Year1_England Year1_ReferralSource_Individual_Family)</f>
        <v/>
      </c>
      <c r="AC134" s="806">
        <f>IF(Year2_England Year2_ReferralSource_Individual_Family="","",Year2_England Year2_ReferralSource_Individual_Family)</f>
        <v>57050</v>
      </c>
      <c r="AD134" s="806">
        <f>IF(Year3_England Year3_ReferralSource_Individual_Family="","",Year3_England Year3_ReferralSource_Individual_Family)</f>
        <v>53120</v>
      </c>
      <c r="AE134" s="806">
        <f>IF(Year4_England Year4_ReferralSource_Individual_Family="","",Year4_England Year4_ReferralSource_Individual_Family)</f>
        <v>52870</v>
      </c>
      <c r="AF134" s="807">
        <f>IF(Year5_England Year5_ReferralSource_Individual_Family="","",Year5_England Year5_ReferralSource_Individual_Family)</f>
        <v>51950</v>
      </c>
      <c r="AG134" s="805" t="str">
        <f>IF(Year1_England Year1_ReferralSource_Individual_Acquaintance="","",Year1_England Year1_ReferralSource_Individual_Acquaintance)</f>
        <v/>
      </c>
      <c r="AH134" s="806" t="str">
        <f>IF(Year2_England Year2_ReferralSource_Individual_Acquaintance="","",Year2_England Year2_ReferralSource_Individual_Acquaintance)</f>
        <v/>
      </c>
      <c r="AI134" s="806" t="str">
        <f>IF(Year3_England Year3_ReferralSource_Individual_Acquaintance="","",Year3_England Year3_ReferralSource_Individual_Acquaintance)</f>
        <v/>
      </c>
      <c r="AJ134" s="806" t="str">
        <f>IF(Year4_England Year4_ReferralSource_Individual_Acquaintance="","",Year4_England Year4_ReferralSource_Individual_Acquaintance)</f>
        <v/>
      </c>
      <c r="AK134" s="807" t="str">
        <f>IF(Year5_England Year5_ReferralSource_Individual_Acquaintance="","",Year5_England Year5_ReferralSource_Individual_Acquaintance)</f>
        <v/>
      </c>
      <c r="AL134" s="805" t="str">
        <f>IF(Year1_England Year1_ReferralSource_Individual_Self="","",Year1_England Year1_ReferralSource_Individual_Self)</f>
        <v/>
      </c>
      <c r="AM134" s="806" t="str">
        <f>IF(Year2_England Year2_ReferralSource_Individual_Self="","",Year2_England Year2_ReferralSource_Individual_Self)</f>
        <v/>
      </c>
      <c r="AN134" s="806" t="str">
        <f>IF(Year3_England Year3_ReferralSource_Individual_Self="","",Year3_England Year3_ReferralSource_Individual_Self)</f>
        <v/>
      </c>
      <c r="AO134" s="806" t="str">
        <f>IF(Year4_England Year4_ReferralSource_Individual_Self="","",Year4_England Year4_ReferralSource_Individual_Self)</f>
        <v/>
      </c>
      <c r="AP134" s="807" t="str">
        <f>IF(Year5_England Year5_ReferralSource_Individual_Self="","",Year5_England Year5_ReferralSource_Individual_Self)</f>
        <v/>
      </c>
      <c r="AQ134" s="805" t="str">
        <f>IF(Year1_England Year1_ReferralSource_Individual_Other="","",Year1_England Year1_ReferralSource_Individual_Other)</f>
        <v/>
      </c>
      <c r="AR134" s="806" t="str">
        <f>IF(Year2_England Year2_ReferralSource_Individual_Other="","",Year2_England Year2_ReferralSource_Individual_Other)</f>
        <v/>
      </c>
      <c r="AS134" s="806" t="str">
        <f>IF(Year3_England Year3_ReferralSource_Individual_Other="","",Year3_England Year3_ReferralSource_Individual_Other)</f>
        <v/>
      </c>
      <c r="AT134" s="806" t="str">
        <f>IF(Year4_England Year4_ReferralSource_Individual_Other="","",Year4_England Year4_ReferralSource_Individual_Other)</f>
        <v/>
      </c>
      <c r="AU134" s="807" t="str">
        <f>IF(Year5_England Year5_ReferralSource_Individual_Other="","",Year5_England Year5_ReferralSource_Individual_Other)</f>
        <v/>
      </c>
      <c r="AV134" s="805" t="str">
        <f>IF(Year1_England Year1_ReferralSource_School="","",Year1_England Year1_ReferralSource_School)</f>
        <v/>
      </c>
      <c r="AW134" s="806">
        <f>IF(Year2_England Year2_ReferralSource_School="","",Year2_England Year2_ReferralSource_School)</f>
        <v>103670</v>
      </c>
      <c r="AX134" s="806">
        <f>IF(Year3_England Year3_ReferralSource_School="","",Year3_England Year3_ReferralSource_School)</f>
        <v>114530</v>
      </c>
      <c r="AY134" s="806">
        <f>IF(Year4_England Year4_ReferralSource_School="","",Year4_England Year4_ReferralSource_School)</f>
        <v>119030</v>
      </c>
      <c r="AZ134" s="807">
        <f>IF(Year5_England Year5_ReferralSource_School="","",Year5_England Year5_ReferralSource_School)</f>
        <v>117190</v>
      </c>
      <c r="BA134" s="805" t="str">
        <f>IF(Year1_England Year1_ReferralSource_EducationServices="","",Year1_England Year1_ReferralSource_EducationServices)</f>
        <v/>
      </c>
      <c r="BB134" s="806">
        <f>IF(Year2_England Year2_ReferralSource_EducationServices="","",Year2_England Year2_ReferralSource_EducationServices)</f>
        <v>16900</v>
      </c>
      <c r="BC134" s="806">
        <f>IF(Year3_England Year3_ReferralSource_EducationServices="","",Year3_England Year3_ReferralSource_EducationServices)</f>
        <v>17030</v>
      </c>
      <c r="BD134" s="806">
        <f>IF(Year4_England Year4_ReferralSource_EducationServices="","",Year4_England Year4_ReferralSource_EducationServices)</f>
        <v>13150</v>
      </c>
      <c r="BE134" s="807">
        <f>IF(Year5_England Year5_ReferralSource_EducationServices="","",Year5_England Year5_ReferralSource_EducationServices)</f>
        <v>15580</v>
      </c>
      <c r="BF134" s="823" t="str">
        <f>IF(Year1_England Year1_ReferralSource_Health_services_GP="","",Year1_England Year1_ReferralSource_Health_services_GP)</f>
        <v/>
      </c>
      <c r="BG134" s="824">
        <f>IF(Year2_England Year2_ReferralSource_Health_services_GP="","",Year2_England Year2_ReferralSource_Health_services_GP)</f>
        <v>89080</v>
      </c>
      <c r="BH134" s="824">
        <f>IF(Year3_England Year3_ReferralSource_Health_services_GP="","",Year3_England Year3_ReferralSource_Health_services_GP)</f>
        <v>93330</v>
      </c>
      <c r="BI134" s="824">
        <f>IF(Year4_England Year4_ReferralSource_Health_services_GP="","",Year4_England Year4_ReferralSource_Health_services_GP)</f>
        <v>96780</v>
      </c>
      <c r="BJ134" s="825">
        <f>IF(Year5_England Year5_ReferralSource_Health_services_GP="","",Year5_England Year5_ReferralSource_Health_services_GP)</f>
        <v>95070</v>
      </c>
      <c r="BK134" s="823" t="str">
        <f>IF(Year1_England Year1_ReferralSource_Health_services_HealthVisitor="","",Year1_England Year1_ReferralSource_Health_services_HealthVisitor)</f>
        <v/>
      </c>
      <c r="BL134" s="824" t="str">
        <f>IF(Year2_England Year2_ReferralSource_Health_services_HealthVisitor="","",Year2_England Year2_ReferralSource_Health_services_HealthVisitor)</f>
        <v/>
      </c>
      <c r="BM134" s="824" t="str">
        <f>IF(Year3_England Year3_ReferralSource_Health_services_HealthVisitor="","",Year3_England Year3_ReferralSource_Health_services_HealthVisitor)</f>
        <v/>
      </c>
      <c r="BN134" s="824" t="str">
        <f>IF(Year4_England Year4_ReferralSource_Health_services_HealthVisitor="","",Year4_England Year4_ReferralSource_Health_services_HealthVisitor)</f>
        <v/>
      </c>
      <c r="BO134" s="825" t="str">
        <f>IF(Year5_England Year5_ReferralSource_Health_services_HealthVisitor="","",Year5_England Year5_ReferralSource_Health_services_HealthVisitor)</f>
        <v/>
      </c>
      <c r="BP134" s="823" t="str">
        <f>IF(Year1_England Year1_ReferralSource_Health_services_SchoolNurse="","",Year1_England Year1_ReferralSource_Health_services_SchoolNurse)</f>
        <v/>
      </c>
      <c r="BQ134" s="824" t="str">
        <f>IF(Year2_England Year2_ReferralSource_Health_services_SchoolNurse="","",Year2_England Year2_ReferralSource_Health_services_SchoolNurse)</f>
        <v/>
      </c>
      <c r="BR134" s="824" t="str">
        <f>IF(Year3_England Year3_ReferralSource_Health_services_SchoolNurse="","",Year3_England Year3_ReferralSource_Health_services_SchoolNurse)</f>
        <v/>
      </c>
      <c r="BS134" s="824" t="str">
        <f>IF(Year4_England Year4_ReferralSource_Health_services_SchoolNurse="","",Year4_England Year4_ReferralSource_Health_services_SchoolNurse)</f>
        <v/>
      </c>
      <c r="BT134" s="825" t="str">
        <f>IF(Year5_England Year5_ReferralSource_Health_services_SchoolNurse="","",Year5_England Year5_ReferralSource_Health_services_SchoolNurse)</f>
        <v/>
      </c>
      <c r="BU134" s="823" t="str">
        <f>IF(Year1_England Year1_ReferralSource_Health_services_OthPrimary="","",Year1_England Year1_ReferralSource_Health_services_OthPrimary)</f>
        <v/>
      </c>
      <c r="BV134" s="824" t="str">
        <f>IF(Year2_England Year2_ReferralSource_Health_services_OthPrimary="","",Year2_England Year2_ReferralSource_Health_services_OthPrimary)</f>
        <v/>
      </c>
      <c r="BW134" s="824" t="str">
        <f>IF(Year3_England Year3_ReferralSource_Health_services_OthPrimary="","",Year3_England Year3_ReferralSource_Health_services_OthPrimary)</f>
        <v/>
      </c>
      <c r="BX134" s="824" t="str">
        <f>IF(Year4_England Year4_ReferralSource_Health_services_OthPrimary="","",Year4_England Year4_ReferralSource_Health_services_OthPrimary)</f>
        <v/>
      </c>
      <c r="BY134" s="825" t="str">
        <f>IF(Year5_England Year5_ReferralSource_Health_services_OthPrimary="","",Year5_England Year5_ReferralSource_Health_services_OthPrimary)</f>
        <v/>
      </c>
      <c r="BZ134" s="823" t="str">
        <f>IF(Year1_England Year1_ReferralSource_Health_services_AE="","",Year1_England Year1_ReferralSource_Health_services_AE)</f>
        <v/>
      </c>
      <c r="CA134" s="824" t="str">
        <f>IF(Year2_England Year2_ReferralSource_Health_services_AE="","",Year2_England Year2_ReferralSource_Health_services_AE)</f>
        <v/>
      </c>
      <c r="CB134" s="824" t="str">
        <f>IF(Year3_England Year3_ReferralSource_Health_services_AE="","",Year3_England Year3_ReferralSource_Health_services_AE)</f>
        <v/>
      </c>
      <c r="CC134" s="824" t="str">
        <f>IF(Year4_England Year4_ReferralSource_Health_services_AE="","",Year4_England Year4_ReferralSource_Health_services_AE)</f>
        <v/>
      </c>
      <c r="CD134" s="825" t="str">
        <f>IF(Year5_England Year5_ReferralSource_Health_services_AE="","",Year5_England Year5_ReferralSource_Health_services_AE)</f>
        <v/>
      </c>
      <c r="CE134" s="823" t="str">
        <f>IF(Year1_England Year1_ReferralSource_Health_services_Other="","",Year1_England Year1_ReferralSource_Health_services_Other)</f>
        <v/>
      </c>
      <c r="CF134" s="824" t="str">
        <f>IF(Year2_England Year2_ReferralSource_Health_services_Other="","",Year2_England Year2_ReferralSource_Health_services_Other)</f>
        <v/>
      </c>
      <c r="CG134" s="824" t="str">
        <f>IF(Year3_England Year3_ReferralSource_Health_services_Other="","",Year3_England Year3_ReferralSource_Health_services_Other)</f>
        <v/>
      </c>
      <c r="CH134" s="824" t="str">
        <f>IF(Year4_England Year4_ReferralSource_Health_services_Other="","",Year4_England Year4_ReferralSource_Health_services_Other)</f>
        <v/>
      </c>
      <c r="CI134" s="825" t="str">
        <f>IF(Year5_England Year5_ReferralSource_Health_services_Other="","",Year5_England Year5_ReferralSource_Health_services_Other)</f>
        <v/>
      </c>
      <c r="CJ134" s="805" t="str">
        <f>IF(Year1_England Year1_ReferralSource_Housing="","",Year1_England Year1_ReferralSource_Housing)</f>
        <v/>
      </c>
      <c r="CK134" s="806">
        <f>IF(Year2_England Year2_ReferralSource_Housing="","",Year2_England Year2_ReferralSource_Housing)</f>
        <v>9710</v>
      </c>
      <c r="CL134" s="806">
        <f>IF(Year3_England Year3_ReferralSource_Housing="","",Year3_England Year3_ReferralSource_Housing)</f>
        <v>9970</v>
      </c>
      <c r="CM134" s="806">
        <f>IF(Year4_England Year4_ReferralSource_Housing="","",Year4_England Year4_ReferralSource_Housing)</f>
        <v>9440</v>
      </c>
      <c r="CN134" s="807">
        <f>IF(Year5_England Year5_ReferralSource_Housing="","",Year5_England Year5_ReferralSource_Housing)</f>
        <v>8540</v>
      </c>
      <c r="CO134" s="805" t="str">
        <f>IF(Year1_England Year1_ReferralSource_LA_SC="","",Year1_England Year1_ReferralSource_LA_SC)</f>
        <v/>
      </c>
      <c r="CP134" s="806">
        <f>IF(Year2_England Year2_ReferralSource_LA_SC="","",Year2_England Year2_ReferralSource_LA_SC)</f>
        <v>83250</v>
      </c>
      <c r="CQ134" s="806">
        <f>IF(Year3_England Year3_ReferralSource_LA_SC="","",Year3_England Year3_ReferralSource_LA_SC)</f>
        <v>88150</v>
      </c>
      <c r="CR134" s="806">
        <f>IF(Year4_England Year4_ReferralSource_LA_SC="","",Year4_England Year4_ReferralSource_LA_SC)</f>
        <v>89360</v>
      </c>
      <c r="CS134" s="807">
        <f>IF(Year5_England Year5_ReferralSource_LA_SC="","",Year5_England Year5_ReferralSource_LA_SC)</f>
        <v>86810</v>
      </c>
      <c r="CT134" s="805" t="str">
        <f>IF(Year1_England Year1_ReferralSource_LA_Other="","",Year1_England Year1_ReferralSource_LA_Other)</f>
        <v/>
      </c>
      <c r="CU134" s="806" t="str">
        <f>IF(Year2_England Year2_ReferralSource_LA_Other="","",Year2_England Year2_ReferralSource_LA_Other)</f>
        <v/>
      </c>
      <c r="CV134" s="806" t="str">
        <f>IF(Year3_England Year3_ReferralSource_LA_Other="","",Year3_England Year3_ReferralSource_LA_Other)</f>
        <v/>
      </c>
      <c r="CW134" s="806" t="str">
        <f>IF(Year4_England Year4_ReferralSource_LA_Other="","",Year4_England Year4_ReferralSource_LA_Other)</f>
        <v/>
      </c>
      <c r="CX134" s="807" t="str">
        <f>IF(Year5_England Year5_ReferralSource_LA_Other="","",Year5_England Year5_ReferralSource_LA_Other)</f>
        <v/>
      </c>
      <c r="CY134" s="805" t="str">
        <f>IF(Year1_England Year1_ReferralSource_LA_External="","",Year1_England Year1_ReferralSource_LA_External)</f>
        <v/>
      </c>
      <c r="CZ134" s="806" t="str">
        <f>IF(Year2_England Year2_ReferralSource_LA_External="","",Year2_England Year2_ReferralSource_LA_External)</f>
        <v/>
      </c>
      <c r="DA134" s="806" t="str">
        <f>IF(Year3_England Year3_ReferralSource_LA_External="","",Year3_England Year3_ReferralSource_LA_External)</f>
        <v/>
      </c>
      <c r="DB134" s="806" t="str">
        <f>IF(Year4_England Year4_ReferralSource_LA_External="","",Year4_England Year4_ReferralSource_LA_External)</f>
        <v/>
      </c>
      <c r="DC134" s="807" t="str">
        <f>IF(Year5_England Year5_ReferralSource_LA_External="","",Year5_England Year5_ReferralSource_LA_External)</f>
        <v/>
      </c>
      <c r="DD134" s="805" t="str">
        <f>IF(Year1_England Year1_ReferralSource_Police="","",Year1_England Year1_ReferralSource_Police)</f>
        <v/>
      </c>
      <c r="DE134" s="806">
        <f>IF(Year2_England Year2_ReferralSource_Police="","",Year2_England Year2_ReferralSource_Police)</f>
        <v>171380</v>
      </c>
      <c r="DF134" s="806">
        <f>IF(Year3_England Year3_ReferralSource_Police="","",Year3_England Year3_ReferralSource_Police)</f>
        <v>177470</v>
      </c>
      <c r="DG134" s="806">
        <f>IF(Year4_England Year4_ReferralSource_Police="","",Year4_England Year4_ReferralSource_Police)</f>
        <v>186920</v>
      </c>
      <c r="DH134" s="807">
        <f>IF(Year5_England Year5_ReferralSource_Police="","",Year5_England Year5_ReferralSource_Police)</f>
        <v>189910</v>
      </c>
      <c r="DI134" s="805" t="str">
        <f>IF(Year1_England Year1_ReferralSource_Other_Legal="","",Year1_England Year1_ReferralSource_Other_Legal)</f>
        <v/>
      </c>
      <c r="DJ134" s="806">
        <f>IF(Year2_England Year2_ReferralSource_Other_Legal="","",Year2_England Year2_ReferralSource_Other_Legal)</f>
        <v>20840</v>
      </c>
      <c r="DK134" s="806">
        <f>IF(Year3_England Year3_ReferralSource_Other_Legal="","",Year3_England Year3_ReferralSource_Other_Legal)</f>
        <v>22230</v>
      </c>
      <c r="DL134" s="806">
        <f>IF(Year4_England Year4_ReferralSource_Other_Legal="","",Year4_England Year4_ReferralSource_Other_Legal)</f>
        <v>22890</v>
      </c>
      <c r="DM134" s="807">
        <f>IF(Year5_England Year5_ReferralSource_Other_Legal="","",Year5_England Year5_ReferralSource_Other_Legal)</f>
        <v>23780</v>
      </c>
      <c r="DN134" s="805" t="str">
        <f>IF(Year1_England Year1_ReferralSource_Other="","",Year1_England Year1_ReferralSource_Other)</f>
        <v/>
      </c>
      <c r="DO134" s="806">
        <f>IF(Year2_England Year2_ReferralSource_Other="","",Year2_England Year2_ReferralSource_Other)</f>
        <v>38740</v>
      </c>
      <c r="DP134" s="806">
        <f>IF(Year3_England Year3_ReferralSource_Other="","",Year3_England Year3_ReferralSource_Other)</f>
        <v>40770</v>
      </c>
      <c r="DQ134" s="806">
        <f>IF(Year4_England Year4_ReferralSource_Other="","",Year4_England Year4_ReferralSource_Other)</f>
        <v>38440</v>
      </c>
      <c r="DR134" s="807">
        <f>IF(Year5_England Year5_ReferralSource_Other="","",Year5_England Year5_ReferralSource_Other)</f>
        <v>35780</v>
      </c>
      <c r="DS134" s="805" t="str">
        <f>IF(Year1_England Year1_ReferralSource_Anonymous="","",Year1_England Year1_ReferralSource_Anonymous)</f>
        <v/>
      </c>
      <c r="DT134" s="806">
        <f>IF(Year2_England Year2_ReferralSource_Anonymous="","",Year2_England Year2_ReferralSource_Anonymous)</f>
        <v>13770</v>
      </c>
      <c r="DU134" s="806">
        <f>IF(Year3_England Year3_ReferralSource_Anonymous="","",Year3_England Year3_ReferralSource_Anonymous)</f>
        <v>14510</v>
      </c>
      <c r="DV134" s="806">
        <f>IF(Year4_England Year4_ReferralSource_Anonymous="","",Year4_England Year4_ReferralSource_Anonymous)</f>
        <v>15890</v>
      </c>
      <c r="DW134" s="807">
        <f>IF(Year5_England Year5_ReferralSource_Anonymous="","",Year5_England Year5_ReferralSource_Anonymous)</f>
        <v>15580</v>
      </c>
      <c r="DX134" s="805" t="str">
        <f>IF(Year1_England Year1_ReferralSource_Unknown="","",Year1_England Year1_ReferralSource_Unknown)</f>
        <v/>
      </c>
      <c r="DY134" s="806">
        <f>IF(Year2_England Year2_ReferralSource_Unknown="","",Year2_England Year2_ReferralSource_Unknown)</f>
        <v>17080</v>
      </c>
      <c r="DZ134" s="806">
        <f>IF(Year3_England Year3_ReferralSource_Unknown="","",Year3_England Year3_ReferralSource_Unknown)</f>
        <v>15010</v>
      </c>
      <c r="EA134" s="806">
        <f>IF(Year4_England Year4_ReferralSource_Unknown="","",Year4_England Year4_ReferralSource_Unknown)</f>
        <v>10680</v>
      </c>
      <c r="EB134" s="807">
        <f>IF(Year5_England Year5_ReferralSource_Unknown="","",Year5_England Year5_ReferralSource_Unknown)</f>
        <v>10730</v>
      </c>
    </row>
    <row r="135" spans="1:132" s="89" customFormat="1" ht="8.25" customHeight="1" x14ac:dyDescent="0.2">
      <c r="A135" s="286"/>
      <c r="B135" s="87"/>
      <c r="C135" s="9"/>
      <c r="D135" s="835"/>
      <c r="E135" s="835"/>
      <c r="F135" s="835"/>
      <c r="G135" s="835"/>
      <c r="H135" s="835"/>
      <c r="I135" s="835"/>
      <c r="J135" s="835"/>
      <c r="K135" s="835"/>
      <c r="L135" s="835"/>
      <c r="M135" s="835"/>
      <c r="N135" s="835"/>
      <c r="O135" s="835"/>
      <c r="P135" s="835"/>
      <c r="Q135" s="835"/>
      <c r="R135" s="835"/>
      <c r="S135" s="835"/>
      <c r="T135" s="835"/>
      <c r="U135" s="835"/>
      <c r="V135" s="835"/>
      <c r="W135" s="835"/>
      <c r="X135" s="87"/>
      <c r="Y135" s="124"/>
      <c r="Z135" s="138"/>
      <c r="AA135" s="178"/>
      <c r="AB135" s="1477">
        <f>AB162</f>
        <v>0</v>
      </c>
      <c r="AC135" s="1476"/>
      <c r="AD135" s="1476"/>
      <c r="AE135" s="1476"/>
      <c r="AF135" s="1480"/>
      <c r="AG135" s="1477" t="str">
        <f t="shared" ref="AG135" si="291">AG162</f>
        <v>Schools</v>
      </c>
      <c r="AH135" s="1476"/>
      <c r="AI135" s="1476"/>
      <c r="AJ135" s="1476"/>
      <c r="AK135" s="1480"/>
      <c r="AL135" s="1477" t="str">
        <f t="shared" ref="AL135" si="292">AL162</f>
        <v>Health services</v>
      </c>
      <c r="AM135" s="1476"/>
      <c r="AN135" s="1476"/>
      <c r="AO135" s="1476"/>
      <c r="AP135" s="1480"/>
      <c r="AQ135" s="1477" t="str">
        <f t="shared" ref="AQ135" si="293">AQ162</f>
        <v>Housing</v>
      </c>
      <c r="AR135" s="1476"/>
      <c r="AS135" s="1476"/>
      <c r="AT135" s="1476"/>
      <c r="AU135" s="1480"/>
      <c r="AV135" s="1477" t="str">
        <f t="shared" ref="AV135" si="294">AV162</f>
        <v>LA services</v>
      </c>
      <c r="AW135" s="1476"/>
      <c r="AX135" s="1476"/>
      <c r="AY135" s="1476"/>
      <c r="AZ135" s="1480"/>
      <c r="BA135" s="1477" t="str">
        <f t="shared" ref="BA135" si="295">BA162</f>
        <v>Police</v>
      </c>
      <c r="BB135" s="1476"/>
      <c r="BC135" s="1476"/>
      <c r="BD135" s="1476"/>
      <c r="BE135" s="1480"/>
      <c r="BF135" s="1477" t="str">
        <f t="shared" ref="BF135" si="296">BF162</f>
        <v>Other legal agency</v>
      </c>
      <c r="BG135" s="1476"/>
      <c r="BH135" s="1476"/>
      <c r="BI135" s="1476"/>
      <c r="BJ135" s="1480"/>
      <c r="BK135" s="1477" t="str">
        <f t="shared" ref="BK135" si="297">BK162</f>
        <v>Other</v>
      </c>
      <c r="BL135" s="1476"/>
      <c r="BM135" s="1476"/>
      <c r="BN135" s="1476"/>
      <c r="BO135" s="1480"/>
      <c r="BP135" s="1477" t="str">
        <f t="shared" ref="BP135" si="298">BP162</f>
        <v>Anonymous</v>
      </c>
      <c r="BQ135" s="1476"/>
      <c r="BR135" s="1476"/>
      <c r="BS135" s="1476"/>
      <c r="BT135" s="1480"/>
      <c r="BU135" s="1477" t="str">
        <f t="shared" ref="BU135" si="299">BU162</f>
        <v>Unknown</v>
      </c>
      <c r="BV135" s="1476"/>
      <c r="BW135" s="1476"/>
      <c r="BX135" s="1476"/>
      <c r="BY135" s="1480"/>
      <c r="BZ135" s="837"/>
      <c r="CA135" s="837"/>
      <c r="CB135" s="837"/>
      <c r="CC135" s="837"/>
      <c r="CD135" s="837"/>
      <c r="CE135" s="837"/>
      <c r="CF135" s="837"/>
      <c r="CG135" s="837"/>
      <c r="CH135" s="837"/>
      <c r="CI135" s="837"/>
      <c r="CJ135" s="836"/>
      <c r="CK135" s="836"/>
      <c r="CL135" s="836"/>
      <c r="CM135" s="836"/>
      <c r="CN135" s="836"/>
      <c r="CO135" s="836"/>
      <c r="CP135" s="836"/>
      <c r="CQ135" s="836"/>
      <c r="CR135" s="836"/>
      <c r="CS135" s="836"/>
      <c r="CT135" s="836"/>
      <c r="CU135" s="836"/>
      <c r="CV135" s="836"/>
      <c r="CW135" s="836"/>
      <c r="CX135" s="836"/>
      <c r="CY135" s="836"/>
      <c r="CZ135" s="836"/>
      <c r="DA135" s="836"/>
      <c r="DB135" s="836"/>
      <c r="DC135" s="836"/>
      <c r="DD135" s="836"/>
      <c r="DE135" s="836"/>
      <c r="DF135" s="836"/>
      <c r="DG135" s="836"/>
      <c r="DH135" s="836"/>
      <c r="DI135" s="836"/>
      <c r="DJ135" s="836"/>
      <c r="DK135" s="836"/>
      <c r="DL135" s="836"/>
      <c r="DM135" s="836"/>
      <c r="DN135" s="836"/>
      <c r="DO135" s="836"/>
      <c r="DP135" s="836"/>
      <c r="DQ135" s="836"/>
      <c r="DR135" s="836"/>
      <c r="DS135" s="836"/>
      <c r="DT135" s="836"/>
      <c r="DU135" s="836"/>
      <c r="DV135" s="836"/>
      <c r="DW135" s="836"/>
      <c r="DX135" s="836"/>
      <c r="DY135" s="836"/>
      <c r="DZ135" s="836"/>
      <c r="EA135" s="836"/>
      <c r="EB135" s="836"/>
    </row>
    <row r="136" spans="1:132" s="89" customFormat="1" ht="9.75" customHeight="1" x14ac:dyDescent="0.2">
      <c r="A136" s="286"/>
      <c r="B136" s="87"/>
      <c r="C136" s="9"/>
      <c r="D136" s="835"/>
      <c r="E136" s="835"/>
      <c r="F136" s="835"/>
      <c r="G136" s="835"/>
      <c r="H136" s="835"/>
      <c r="I136" s="835"/>
      <c r="J136" s="835"/>
      <c r="K136" s="835"/>
      <c r="L136" s="835"/>
      <c r="M136" s="835"/>
      <c r="N136" s="835"/>
      <c r="O136" s="835"/>
      <c r="P136" s="835"/>
      <c r="Q136" s="835"/>
      <c r="R136" s="835"/>
      <c r="S136" s="835"/>
      <c r="T136" s="835"/>
      <c r="U136" s="835"/>
      <c r="V136" s="835"/>
      <c r="W136" s="835"/>
      <c r="X136" s="87"/>
      <c r="Y136" s="124"/>
      <c r="Z136" s="140"/>
      <c r="AA136" s="178"/>
      <c r="AB136" s="818" t="str">
        <f>$AC$2</f>
        <v/>
      </c>
      <c r="AC136" s="554" t="str">
        <f>$AD$2</f>
        <v/>
      </c>
      <c r="AD136" s="554" t="str">
        <f>$AE$2</f>
        <v/>
      </c>
      <c r="AE136" s="554" t="str">
        <f>$AF$2</f>
        <v/>
      </c>
      <c r="AF136" s="422" t="str">
        <f>$AG$2</f>
        <v/>
      </c>
      <c r="AG136" s="818" t="str">
        <f>$AC$2</f>
        <v/>
      </c>
      <c r="AH136" s="554" t="str">
        <f>$AD$2</f>
        <v/>
      </c>
      <c r="AI136" s="554" t="str">
        <f>$AE$2</f>
        <v/>
      </c>
      <c r="AJ136" s="554" t="str">
        <f>$AF$2</f>
        <v/>
      </c>
      <c r="AK136" s="422" t="str">
        <f>$AG$2</f>
        <v/>
      </c>
      <c r="AL136" s="818" t="str">
        <f>$AC$2</f>
        <v/>
      </c>
      <c r="AM136" s="554" t="str">
        <f>$AD$2</f>
        <v/>
      </c>
      <c r="AN136" s="554" t="str">
        <f>$AE$2</f>
        <v/>
      </c>
      <c r="AO136" s="554" t="str">
        <f>$AF$2</f>
        <v/>
      </c>
      <c r="AP136" s="422" t="str">
        <f>$AG$2</f>
        <v/>
      </c>
      <c r="AQ136" s="818" t="str">
        <f>$AC$2</f>
        <v/>
      </c>
      <c r="AR136" s="554" t="str">
        <f>$AD$2</f>
        <v/>
      </c>
      <c r="AS136" s="554" t="str">
        <f>$AE$2</f>
        <v/>
      </c>
      <c r="AT136" s="554" t="str">
        <f>$AF$2</f>
        <v/>
      </c>
      <c r="AU136" s="422" t="str">
        <f>$AG$2</f>
        <v/>
      </c>
      <c r="AV136" s="818" t="str">
        <f>$AC$2</f>
        <v/>
      </c>
      <c r="AW136" s="554" t="str">
        <f>$AD$2</f>
        <v/>
      </c>
      <c r="AX136" s="554" t="str">
        <f>$AE$2</f>
        <v/>
      </c>
      <c r="AY136" s="554" t="str">
        <f>$AF$2</f>
        <v/>
      </c>
      <c r="AZ136" s="422" t="str">
        <f>$AG$2</f>
        <v/>
      </c>
      <c r="BA136" s="818" t="str">
        <f>$AC$2</f>
        <v/>
      </c>
      <c r="BB136" s="554" t="str">
        <f>$AD$2</f>
        <v/>
      </c>
      <c r="BC136" s="554" t="str">
        <f>$AE$2</f>
        <v/>
      </c>
      <c r="BD136" s="554" t="str">
        <f>$AF$2</f>
        <v/>
      </c>
      <c r="BE136" s="422" t="str">
        <f>$AG$2</f>
        <v/>
      </c>
      <c r="BF136" s="818" t="str">
        <f t="shared" ref="BF136" si="300">$AC$2</f>
        <v/>
      </c>
      <c r="BG136" s="554" t="str">
        <f t="shared" ref="BG136" si="301">$AD$2</f>
        <v/>
      </c>
      <c r="BH136" s="554" t="str">
        <f t="shared" ref="BH136" si="302">$AE$2</f>
        <v/>
      </c>
      <c r="BI136" s="554" t="str">
        <f t="shared" ref="BI136" si="303">$AF$2</f>
        <v/>
      </c>
      <c r="BJ136" s="422" t="str">
        <f t="shared" ref="BJ136" si="304">$AG$2</f>
        <v/>
      </c>
      <c r="BK136" s="818" t="str">
        <f t="shared" ref="BK136" si="305">$AC$2</f>
        <v/>
      </c>
      <c r="BL136" s="554" t="str">
        <f t="shared" ref="BL136" si="306">$AD$2</f>
        <v/>
      </c>
      <c r="BM136" s="554" t="str">
        <f t="shared" ref="BM136" si="307">$AE$2</f>
        <v/>
      </c>
      <c r="BN136" s="554" t="str">
        <f t="shared" ref="BN136" si="308">$AF$2</f>
        <v/>
      </c>
      <c r="BO136" s="422" t="str">
        <f t="shared" ref="BO136" si="309">$AG$2</f>
        <v/>
      </c>
      <c r="BP136" s="818" t="str">
        <f t="shared" ref="BP136" si="310">$AC$2</f>
        <v/>
      </c>
      <c r="BQ136" s="554" t="str">
        <f t="shared" ref="BQ136" si="311">$AD$2</f>
        <v/>
      </c>
      <c r="BR136" s="554" t="str">
        <f t="shared" ref="BR136" si="312">$AE$2</f>
        <v/>
      </c>
      <c r="BS136" s="554" t="str">
        <f t="shared" ref="BS136" si="313">$AF$2</f>
        <v/>
      </c>
      <c r="BT136" s="422" t="str">
        <f t="shared" ref="BT136" si="314">$AG$2</f>
        <v/>
      </c>
      <c r="BU136" s="818" t="str">
        <f t="shared" ref="BU136" si="315">$AC$2</f>
        <v/>
      </c>
      <c r="BV136" s="554" t="str">
        <f t="shared" ref="BV136" si="316">$AD$2</f>
        <v/>
      </c>
      <c r="BW136" s="554" t="str">
        <f t="shared" ref="BW136" si="317">$AE$2</f>
        <v/>
      </c>
      <c r="BX136" s="554" t="str">
        <f t="shared" ref="BX136" si="318">$AF$2</f>
        <v/>
      </c>
      <c r="BY136" s="422" t="str">
        <f t="shared" ref="BY136" si="319">$AG$2</f>
        <v/>
      </c>
    </row>
    <row r="137" spans="1:132" s="89" customFormat="1" ht="9" customHeight="1" x14ac:dyDescent="0.2">
      <c r="A137" s="286"/>
      <c r="B137" s="87"/>
      <c r="C137" s="9"/>
      <c r="D137" s="835"/>
      <c r="E137" s="835"/>
      <c r="F137" s="835"/>
      <c r="G137" s="835"/>
      <c r="H137" s="835"/>
      <c r="I137" s="835"/>
      <c r="J137" s="835"/>
      <c r="K137" s="835"/>
      <c r="L137" s="835"/>
      <c r="M137" s="835"/>
      <c r="N137" s="835"/>
      <c r="O137" s="835"/>
      <c r="P137" s="835"/>
      <c r="Q137" s="835"/>
      <c r="R137" s="835"/>
      <c r="S137" s="835"/>
      <c r="T137" s="835"/>
      <c r="U137" s="835"/>
      <c r="V137" s="835"/>
      <c r="W137" s="835"/>
      <c r="X137" s="87"/>
      <c r="Y137" s="124"/>
      <c r="Z137" s="140"/>
      <c r="AA137" s="188"/>
      <c r="AB137" s="819" t="str">
        <f>$AC$3</f>
        <v>2014-15</v>
      </c>
      <c r="AC137" s="804" t="str">
        <f>$AD$3</f>
        <v>2015-16</v>
      </c>
      <c r="AD137" s="804" t="str">
        <f>$AE$3</f>
        <v>2016-17</v>
      </c>
      <c r="AE137" s="804" t="str">
        <f>$AF$3</f>
        <v>2017-18</v>
      </c>
      <c r="AF137" s="838" t="str">
        <f>$AG$3</f>
        <v>2018-19</v>
      </c>
      <c r="AG137" s="819" t="str">
        <f>$AC$3</f>
        <v>2014-15</v>
      </c>
      <c r="AH137" s="804" t="str">
        <f>$AD$3</f>
        <v>2015-16</v>
      </c>
      <c r="AI137" s="804" t="str">
        <f>$AE$3</f>
        <v>2016-17</v>
      </c>
      <c r="AJ137" s="804" t="str">
        <f>$AF$3</f>
        <v>2017-18</v>
      </c>
      <c r="AK137" s="838" t="str">
        <f>$AG$3</f>
        <v>2018-19</v>
      </c>
      <c r="AL137" s="819" t="str">
        <f>$AC$3</f>
        <v>2014-15</v>
      </c>
      <c r="AM137" s="804" t="str">
        <f>$AD$3</f>
        <v>2015-16</v>
      </c>
      <c r="AN137" s="804" t="str">
        <f>$AE$3</f>
        <v>2016-17</v>
      </c>
      <c r="AO137" s="804" t="str">
        <f>$AF$3</f>
        <v>2017-18</v>
      </c>
      <c r="AP137" s="838" t="str">
        <f>$AG$3</f>
        <v>2018-19</v>
      </c>
      <c r="AQ137" s="819" t="str">
        <f>$AC$3</f>
        <v>2014-15</v>
      </c>
      <c r="AR137" s="804" t="str">
        <f>$AD$3</f>
        <v>2015-16</v>
      </c>
      <c r="AS137" s="804" t="str">
        <f>$AE$3</f>
        <v>2016-17</v>
      </c>
      <c r="AT137" s="804" t="str">
        <f>$AF$3</f>
        <v>2017-18</v>
      </c>
      <c r="AU137" s="838" t="str">
        <f>$AG$3</f>
        <v>2018-19</v>
      </c>
      <c r="AV137" s="819" t="str">
        <f>$AC$3</f>
        <v>2014-15</v>
      </c>
      <c r="AW137" s="804" t="str">
        <f>$AD$3</f>
        <v>2015-16</v>
      </c>
      <c r="AX137" s="804" t="str">
        <f>$AE$3</f>
        <v>2016-17</v>
      </c>
      <c r="AY137" s="804" t="str">
        <f>$AF$3</f>
        <v>2017-18</v>
      </c>
      <c r="AZ137" s="838" t="str">
        <f>$AG$3</f>
        <v>2018-19</v>
      </c>
      <c r="BA137" s="819" t="str">
        <f>$AC$3</f>
        <v>2014-15</v>
      </c>
      <c r="BB137" s="804" t="str">
        <f>$AD$3</f>
        <v>2015-16</v>
      </c>
      <c r="BC137" s="804" t="str">
        <f>$AE$3</f>
        <v>2016-17</v>
      </c>
      <c r="BD137" s="804" t="str">
        <f>$AF$3</f>
        <v>2017-18</v>
      </c>
      <c r="BE137" s="838" t="str">
        <f>$AG$3</f>
        <v>2018-19</v>
      </c>
      <c r="BF137" s="819" t="str">
        <f t="shared" ref="BF137" si="320">$AC$3</f>
        <v>2014-15</v>
      </c>
      <c r="BG137" s="804" t="str">
        <f t="shared" ref="BG137" si="321">$AD$3</f>
        <v>2015-16</v>
      </c>
      <c r="BH137" s="804" t="str">
        <f t="shared" ref="BH137" si="322">$AE$3</f>
        <v>2016-17</v>
      </c>
      <c r="BI137" s="804" t="str">
        <f t="shared" ref="BI137" si="323">$AF$3</f>
        <v>2017-18</v>
      </c>
      <c r="BJ137" s="838" t="str">
        <f t="shared" ref="BJ137" si="324">$AG$3</f>
        <v>2018-19</v>
      </c>
      <c r="BK137" s="819" t="str">
        <f t="shared" ref="BK137" si="325">$AC$3</f>
        <v>2014-15</v>
      </c>
      <c r="BL137" s="804" t="str">
        <f t="shared" ref="BL137" si="326">$AD$3</f>
        <v>2015-16</v>
      </c>
      <c r="BM137" s="804" t="str">
        <f t="shared" ref="BM137" si="327">$AE$3</f>
        <v>2016-17</v>
      </c>
      <c r="BN137" s="804" t="str">
        <f t="shared" ref="BN137" si="328">$AF$3</f>
        <v>2017-18</v>
      </c>
      <c r="BO137" s="838" t="str">
        <f t="shared" ref="BO137" si="329">$AG$3</f>
        <v>2018-19</v>
      </c>
      <c r="BP137" s="819" t="str">
        <f t="shared" ref="BP137" si="330">$AC$3</f>
        <v>2014-15</v>
      </c>
      <c r="BQ137" s="804" t="str">
        <f t="shared" ref="BQ137" si="331">$AD$3</f>
        <v>2015-16</v>
      </c>
      <c r="BR137" s="804" t="str">
        <f t="shared" ref="BR137" si="332">$AE$3</f>
        <v>2016-17</v>
      </c>
      <c r="BS137" s="804" t="str">
        <f t="shared" ref="BS137" si="333">$AF$3</f>
        <v>2017-18</v>
      </c>
      <c r="BT137" s="838" t="str">
        <f t="shared" ref="BT137" si="334">$AG$3</f>
        <v>2018-19</v>
      </c>
      <c r="BU137" s="819" t="str">
        <f t="shared" ref="BU137" si="335">$AC$3</f>
        <v>2014-15</v>
      </c>
      <c r="BV137" s="804" t="str">
        <f t="shared" ref="BV137" si="336">$AD$3</f>
        <v>2015-16</v>
      </c>
      <c r="BW137" s="804" t="str">
        <f t="shared" ref="BW137" si="337">$AE$3</f>
        <v>2016-17</v>
      </c>
      <c r="BX137" s="804" t="str">
        <f t="shared" ref="BX137" si="338">$AF$3</f>
        <v>2017-18</v>
      </c>
      <c r="BY137" s="838" t="str">
        <f t="shared" ref="BY137" si="339">$AG$3</f>
        <v>2018-19</v>
      </c>
    </row>
    <row r="138" spans="1:132" ht="7.5" customHeight="1" x14ac:dyDescent="0.2">
      <c r="A138" s="286"/>
      <c r="B138" s="87"/>
      <c r="C138" s="9"/>
      <c r="D138" s="835"/>
      <c r="E138" s="835"/>
      <c r="F138" s="835"/>
      <c r="G138" s="835"/>
      <c r="H138" s="835"/>
      <c r="I138" s="835"/>
      <c r="J138" s="835"/>
      <c r="K138" s="835"/>
      <c r="L138" s="835"/>
      <c r="M138" s="835"/>
      <c r="N138" s="835"/>
      <c r="O138" s="835"/>
      <c r="P138" s="835"/>
      <c r="Q138" s="835"/>
      <c r="R138" s="835"/>
      <c r="S138" s="835"/>
      <c r="T138" s="835"/>
      <c r="U138" s="835"/>
      <c r="V138" s="835"/>
      <c r="W138" s="835"/>
      <c r="X138" s="87"/>
      <c r="Y138" s="124"/>
      <c r="Z138" s="140"/>
      <c r="AA138" s="188"/>
      <c r="AB138" s="842">
        <f>IF(ISERROR(AB165/$BZ165),NA(),AB165/$BZ165)</f>
        <v>0</v>
      </c>
      <c r="AC138" s="843">
        <f>IF(ISERROR(AC165/$CA165),NA(),AC165/$CA165)</f>
        <v>0</v>
      </c>
      <c r="AD138" s="843">
        <f>IF(ISERROR(AD165/$CB165),NA(),AD165/$CB165)</f>
        <v>0.10340632603406326</v>
      </c>
      <c r="AE138" s="843">
        <f>IF(ISERROR(AE165/$CC165),NA(),AE165/$CC165)</f>
        <v>6.4321055525013743E-2</v>
      </c>
      <c r="AF138" s="844">
        <f>IF(ISERROR(AF165/$CD165),NA(),AF165/$CD165)</f>
        <v>9.7153185720741081E-2</v>
      </c>
      <c r="AG138" s="842">
        <f t="shared" ref="AG138:BU153" si="340">IF(ISERROR(AG165/$BZ165),NA(),AG165/$BZ165)</f>
        <v>0.23003802281368821</v>
      </c>
      <c r="AH138" s="843">
        <f t="shared" ref="AH138:BV153" si="341">IF(ISERROR(AH165/$CA165),NA(),AH165/$CA165)</f>
        <v>0.27975270479134468</v>
      </c>
      <c r="AI138" s="843">
        <f t="shared" ref="AI138:BW153" si="342">IF(ISERROR(AI165/$CB165),NA(),AI165/$CB165)</f>
        <v>0.23418491484184914</v>
      </c>
      <c r="AJ138" s="843">
        <f t="shared" ref="AJ138:BX153" si="343">IF(ISERROR(AJ165/$CC165),NA(),AJ165/$CC165)</f>
        <v>0.29466739967014843</v>
      </c>
      <c r="AK138" s="844">
        <f t="shared" ref="AK138:BY153" si="344">IF(ISERROR(AK165/$CD165),NA(),AK165/$CD165)</f>
        <v>0.26751016719385451</v>
      </c>
      <c r="AL138" s="842">
        <f t="shared" ref="AL138" si="345">IF(ISERROR(AL165/$BZ165),NA(),AL165/$BZ165)</f>
        <v>0.10266159695817491</v>
      </c>
      <c r="AM138" s="843">
        <f>IF(ISERROR(AM165/$CA165),NA(),AM165/$CA165)</f>
        <v>9.1190108191653782E-2</v>
      </c>
      <c r="AN138" s="843">
        <f t="shared" ref="AN138" si="346">IF(ISERROR(AN165/$CB165),NA(),AN165/$CB165)</f>
        <v>8.0291970802919707E-2</v>
      </c>
      <c r="AO138" s="843">
        <f t="shared" ref="AO138" si="347">IF(ISERROR(AO165/$CC165),NA(),AO165/$CC165)</f>
        <v>7.476635514018691E-2</v>
      </c>
      <c r="AP138" s="844">
        <f t="shared" ref="AP138" si="348">IF(ISERROR(AP165/$CD165),NA(),AP165/$CD165)</f>
        <v>0.11477632173520108</v>
      </c>
      <c r="AQ138" s="842">
        <f t="shared" ref="AQ138" si="349">IF(ISERROR(AQ165/$BZ165),NA(),AQ165/$BZ165)</f>
        <v>2.0912547528517109E-2</v>
      </c>
      <c r="AR138" s="843">
        <f t="shared" ref="AR138" si="350">IF(ISERROR(AR165/$CA165),NA(),AR165/$CA165)</f>
        <v>7.7279752704791345E-3</v>
      </c>
      <c r="AS138" s="843">
        <f t="shared" ref="AS138" si="351">IF(ISERROR(AS165/$CB165),NA(),AS165/$CB165)</f>
        <v>1.1557177615571776E-2</v>
      </c>
      <c r="AT138" s="843">
        <f t="shared" ref="AT138" si="352">IF(ISERROR(AT165/$CC165),NA(),AT165/$CC165)</f>
        <v>1.3194062671797692E-2</v>
      </c>
      <c r="AU138" s="844">
        <f t="shared" ref="AU138" si="353">IF(ISERROR(AU165/$CD165),NA(),AU165/$CD165)</f>
        <v>1.3556258472661545E-2</v>
      </c>
      <c r="AV138" s="842">
        <f t="shared" ref="AV138" si="354">IF(ISERROR(AV165/$BZ165),NA(),AV165/$BZ165)</f>
        <v>0.17395437262357413</v>
      </c>
      <c r="AW138" s="843">
        <f t="shared" ref="AW138" si="355">IF(ISERROR(AW165/$CA165),NA(),AW165/$CA165)</f>
        <v>0.17697063369397217</v>
      </c>
      <c r="AX138" s="843">
        <f t="shared" ref="AX138" si="356">IF(ISERROR(AX165/$CB165),NA(),AX165/$CB165)</f>
        <v>0.17639902676399027</v>
      </c>
      <c r="AY138" s="843">
        <f t="shared" ref="AY138" si="357">IF(ISERROR(AY165/$CC165),NA(),AY165/$CC165)</f>
        <v>0.2045079714128642</v>
      </c>
      <c r="AZ138" s="844">
        <f t="shared" ref="AZ138" si="358">IF(ISERROR(AZ165/$CD165),NA(),AZ165/$CD165)</f>
        <v>0.21057388160867602</v>
      </c>
      <c r="BA138" s="842">
        <f t="shared" ref="BA138" si="359">IF(ISERROR(BA165/$BZ165),NA(),BA165/$BZ165)</f>
        <v>0.22623574144486691</v>
      </c>
      <c r="BB138" s="843">
        <f t="shared" ref="BB138" si="360">IF(ISERROR(BB165/$CA165),NA(),BB165/$CA165)</f>
        <v>0.24497681607418856</v>
      </c>
      <c r="BC138" s="843">
        <f t="shared" ref="BC138" si="361">IF(ISERROR(BC165/$CB165),NA(),BC165/$CB165)</f>
        <v>0.1964720194647202</v>
      </c>
      <c r="BD138" s="843">
        <f t="shared" ref="BD138" si="362">IF(ISERROR(BD165/$CC165),NA(),BD165/$CC165)</f>
        <v>0.22649807586586038</v>
      </c>
      <c r="BE138" s="844">
        <f t="shared" ref="BE138" si="363">IF(ISERROR(BE165/$CD165),NA(),BE165/$CD165)</f>
        <v>0.20018075011296882</v>
      </c>
      <c r="BF138" s="842">
        <f t="shared" ref="BF138" si="364">IF(ISERROR(BF165/$BZ165),NA(),BF165/$BZ165)</f>
        <v>2.2813688212927757E-2</v>
      </c>
      <c r="BG138" s="843">
        <f t="shared" ref="BG138" si="365">IF(ISERROR(BG165/$CA165),NA(),BG165/$CA165)</f>
        <v>1.6228748068006182E-2</v>
      </c>
      <c r="BH138" s="843">
        <f t="shared" ref="BH138" si="366">IF(ISERROR(BH165/$CB165),NA(),BH165/$CB165)</f>
        <v>2.5547445255474453E-2</v>
      </c>
      <c r="BI138" s="843">
        <f t="shared" ref="BI138" si="367">IF(ISERROR(BI165/$CC165),NA(),BI165/$CC165)</f>
        <v>1.4293567894447499E-2</v>
      </c>
      <c r="BJ138" s="844">
        <f t="shared" ref="BJ138" si="368">IF(ISERROR(BJ165/$CD165),NA(),BJ165/$CD165)</f>
        <v>2.394938996836873E-2</v>
      </c>
      <c r="BK138" s="842">
        <f t="shared" ref="BK138" si="369">IF(ISERROR(BK165/$BZ165),NA(),BK165/$BZ165)</f>
        <v>9.7908745247148293E-2</v>
      </c>
      <c r="BL138" s="843">
        <f t="shared" ref="BL138" si="370">IF(ISERROR(BL165/$CA165),NA(),BL165/$CA165)</f>
        <v>6.4914992272024727E-2</v>
      </c>
      <c r="BM138" s="843">
        <f t="shared" ref="BM138" si="371">IF(ISERROR(BM165/$CB165),NA(),BM165/$CB165)</f>
        <v>6.9343065693430656E-2</v>
      </c>
      <c r="BN138" s="843">
        <f t="shared" ref="BN138" si="372">IF(ISERROR(BN165/$CC165),NA(),BN165/$CC165)</f>
        <v>7.4216602528862016E-2</v>
      </c>
      <c r="BO138" s="844">
        <f t="shared" ref="BO138" si="373">IF(ISERROR(BO165/$CD165),NA(),BO165/$CD165)</f>
        <v>4.2928151830094893E-2</v>
      </c>
      <c r="BP138" s="842" t="e">
        <f t="shared" ref="BP138" si="374">IF(ISERROR(BP165/$BZ165),NA(),BP165/$BZ165)</f>
        <v>#N/A</v>
      </c>
      <c r="BQ138" s="843" t="e">
        <f t="shared" ref="BQ138" si="375">IF(ISERROR(BQ165/$CA165),NA(),BQ165/$CA165)</f>
        <v>#N/A</v>
      </c>
      <c r="BR138" s="843">
        <f t="shared" ref="BR138" si="376">IF(ISERROR(BR165/$CB165),NA(),BR165/$CB165)</f>
        <v>1.3381995133819951E-2</v>
      </c>
      <c r="BS138" s="843">
        <f t="shared" ref="BS138" si="377">IF(ISERROR(BS165/$CC165),NA(),BS165/$CC165)</f>
        <v>3.0236393622869707E-2</v>
      </c>
      <c r="BT138" s="844">
        <f t="shared" ref="BT138" si="378">IF(ISERROR(BT165/$CD165),NA(),BT165/$CD165)</f>
        <v>2.937189335743335E-2</v>
      </c>
      <c r="BU138" s="842" t="e">
        <f t="shared" ref="BU138" si="379">IF(ISERROR(BU165/$BZ165),NA(),BU165/$BZ165)</f>
        <v>#N/A</v>
      </c>
      <c r="BV138" s="843" t="e">
        <f t="shared" ref="BV138" si="380">IF(ISERROR(BV165/$CA165),NA(),BV165/$CA165)</f>
        <v>#N/A</v>
      </c>
      <c r="BW138" s="843">
        <f t="shared" ref="BW138" si="381">IF(ISERROR(BW165/$CB165),NA(),BW165/$CB165)</f>
        <v>8.9416058394160586E-2</v>
      </c>
      <c r="BX138" s="843">
        <f t="shared" ref="BX138" si="382">IF(ISERROR(BX165/$CC165),NA(),BX165/$CC165)</f>
        <v>3.2985156679494229E-3</v>
      </c>
      <c r="BY138" s="844">
        <f t="shared" ref="BY138" si="383">IF(ISERROR(BY165/$CD165),NA(),BY165/$CD165)</f>
        <v>0</v>
      </c>
    </row>
    <row r="139" spans="1:132" ht="15" customHeight="1" x14ac:dyDescent="0.2">
      <c r="A139" s="271"/>
      <c r="B139" s="18"/>
      <c r="C139" s="18"/>
      <c r="D139" s="17"/>
      <c r="E139" s="17"/>
      <c r="F139" s="17"/>
      <c r="G139" s="17"/>
      <c r="H139" s="17"/>
      <c r="I139" s="17"/>
      <c r="J139" s="17"/>
      <c r="K139" s="17"/>
      <c r="L139" s="17"/>
      <c r="M139" s="17"/>
      <c r="N139" s="17"/>
      <c r="O139" s="13"/>
      <c r="P139" s="19"/>
      <c r="Q139" s="19"/>
      <c r="R139" s="19"/>
      <c r="S139" s="19"/>
      <c r="T139" s="19"/>
      <c r="U139" s="19"/>
      <c r="V139" s="19"/>
      <c r="W139" s="19"/>
      <c r="X139" s="20"/>
      <c r="Y139" s="119"/>
      <c r="Z139" s="138"/>
      <c r="AA139" s="188"/>
      <c r="AB139" s="842">
        <f t="shared" ref="AB139:AB140" si="384">IF(ISERROR(AB166/$BZ166),NA(),AB166/$BZ166)</f>
        <v>0</v>
      </c>
      <c r="AC139" s="843">
        <f t="shared" ref="AC139:AC140" si="385">IF(ISERROR(AC166/$CA166),NA(),AC166/$CA166)</f>
        <v>0</v>
      </c>
      <c r="AD139" s="843">
        <f t="shared" ref="AD139:AD161" si="386">IF(ISERROR(AD166/$CB166),NA(),AD166/$CB166)</f>
        <v>5.1688693098384732E-2</v>
      </c>
      <c r="AE139" s="843">
        <f t="shared" ref="AE139:AE161" si="387">IF(ISERROR(AE166/$CC166),NA(),AE166/$CC166)</f>
        <v>4.6351674641148324E-2</v>
      </c>
      <c r="AF139" s="844">
        <f t="shared" ref="AF139:AF161" si="388">IF(ISERROR(AF166/$CD166),NA(),AF166/$CD166)</f>
        <v>3.2417412781722756E-2</v>
      </c>
      <c r="AG139" s="842">
        <f t="shared" si="340"/>
        <v>0.1276857807581771</v>
      </c>
      <c r="AH139" s="843">
        <f t="shared" si="341"/>
        <v>0.17483946293053124</v>
      </c>
      <c r="AI139" s="843">
        <f t="shared" si="342"/>
        <v>0.19706314243759177</v>
      </c>
      <c r="AJ139" s="843">
        <f t="shared" si="343"/>
        <v>0.18600478468899523</v>
      </c>
      <c r="AK139" s="844">
        <f t="shared" si="344"/>
        <v>0.18802099413399198</v>
      </c>
      <c r="AL139" s="842">
        <f t="shared" si="340"/>
        <v>9.1556042151361705E-2</v>
      </c>
      <c r="AM139" s="843">
        <f t="shared" si="341"/>
        <v>0.14244016345592528</v>
      </c>
      <c r="AN139" s="843">
        <f t="shared" si="342"/>
        <v>9.86784140969163E-2</v>
      </c>
      <c r="AO139" s="843">
        <f t="shared" si="343"/>
        <v>0.11064593301435406</v>
      </c>
      <c r="AP139" s="844">
        <f t="shared" si="344"/>
        <v>9.4164865699289904E-2</v>
      </c>
      <c r="AQ139" s="842">
        <f t="shared" si="340"/>
        <v>2.7918434377993705E-2</v>
      </c>
      <c r="AR139" s="843">
        <f t="shared" si="341"/>
        <v>0</v>
      </c>
      <c r="AS139" s="843">
        <f t="shared" si="342"/>
        <v>1.145374449339207E-2</v>
      </c>
      <c r="AT139" s="843">
        <f t="shared" si="343"/>
        <v>1.6447368421052631E-2</v>
      </c>
      <c r="AU139" s="844">
        <f t="shared" si="344"/>
        <v>1.2658227848101266E-2</v>
      </c>
      <c r="AV139" s="842">
        <f t="shared" si="340"/>
        <v>8.786095524839195E-2</v>
      </c>
      <c r="AW139" s="843">
        <f t="shared" si="341"/>
        <v>0.20694687682428489</v>
      </c>
      <c r="AX139" s="843">
        <f t="shared" si="342"/>
        <v>0.1856093979441997</v>
      </c>
      <c r="AY139" s="843">
        <f t="shared" si="343"/>
        <v>0.15879186602870812</v>
      </c>
      <c r="AZ139" s="844">
        <f t="shared" si="344"/>
        <v>0.12936091386230317</v>
      </c>
      <c r="BA139" s="842">
        <f t="shared" si="340"/>
        <v>0.24127548925687697</v>
      </c>
      <c r="BB139" s="843">
        <f t="shared" si="341"/>
        <v>0.24635143023934616</v>
      </c>
      <c r="BC139" s="843">
        <f t="shared" si="342"/>
        <v>0.25580029368575624</v>
      </c>
      <c r="BD139" s="843">
        <f t="shared" si="343"/>
        <v>0.25807416267942584</v>
      </c>
      <c r="BE139" s="844">
        <f t="shared" si="344"/>
        <v>0.24081506637851188</v>
      </c>
      <c r="BF139" s="842">
        <f t="shared" si="340"/>
        <v>2.8739564800875871E-2</v>
      </c>
      <c r="BG139" s="843">
        <f t="shared" si="341"/>
        <v>2.0140105078809107E-2</v>
      </c>
      <c r="BH139" s="843">
        <f t="shared" si="342"/>
        <v>2.4082232011747431E-2</v>
      </c>
      <c r="BI139" s="843">
        <f t="shared" si="343"/>
        <v>2.4820574162679427E-2</v>
      </c>
      <c r="BJ139" s="844">
        <f t="shared" si="344"/>
        <v>2.4698981167026859E-2</v>
      </c>
      <c r="BK139" s="842">
        <f t="shared" si="340"/>
        <v>7.9649651019570278E-2</v>
      </c>
      <c r="BL139" s="843">
        <f t="shared" si="341"/>
        <v>2.8896672504378284E-2</v>
      </c>
      <c r="BM139" s="843">
        <f t="shared" si="342"/>
        <v>5.668135095447871E-2</v>
      </c>
      <c r="BN139" s="843">
        <f t="shared" si="343"/>
        <v>4.5753588516746414E-2</v>
      </c>
      <c r="BO139" s="844">
        <f t="shared" si="344"/>
        <v>4.8163013275702375E-2</v>
      </c>
      <c r="BP139" s="842">
        <f t="shared" si="340"/>
        <v>1.6696318598604078E-2</v>
      </c>
      <c r="BQ139" s="843">
        <f t="shared" si="341"/>
        <v>2.5394045534150613E-2</v>
      </c>
      <c r="BR139" s="843">
        <f t="shared" si="342"/>
        <v>1.9383259911894272E-2</v>
      </c>
      <c r="BS139" s="843">
        <f t="shared" si="343"/>
        <v>1.2559808612440191E-2</v>
      </c>
      <c r="BT139" s="844">
        <f t="shared" si="344"/>
        <v>1.3584439641864773E-2</v>
      </c>
      <c r="BU139" s="842">
        <f t="shared" si="340"/>
        <v>0.23648556179006433</v>
      </c>
      <c r="BV139" s="843">
        <f t="shared" si="341"/>
        <v>0.10274372446001168</v>
      </c>
      <c r="BW139" s="843">
        <f t="shared" si="342"/>
        <v>9.9559471365638766E-2</v>
      </c>
      <c r="BX139" s="843">
        <f t="shared" si="343"/>
        <v>0.14055023923444976</v>
      </c>
      <c r="BY139" s="844">
        <f t="shared" si="344"/>
        <v>0.21611608521148504</v>
      </c>
    </row>
    <row r="140" spans="1:132" ht="11.25" customHeight="1" x14ac:dyDescent="0.2">
      <c r="A140" s="1481" t="str">
        <f>Home!$A$40</f>
        <v>LA's provide quarterly data on the condition that it is used by the benchmarking group for internal reporting only. Please DO NOT share other LA's data with any external partners or the public</v>
      </c>
      <c r="B140" s="1431"/>
      <c r="C140" s="1431"/>
      <c r="D140" s="1431"/>
      <c r="E140" s="1431"/>
      <c r="F140" s="1431"/>
      <c r="G140" s="1431"/>
      <c r="H140" s="1431"/>
      <c r="I140" s="1431"/>
      <c r="J140" s="1431"/>
      <c r="K140" s="1431"/>
      <c r="L140" s="1431"/>
      <c r="M140" s="1431"/>
      <c r="N140" s="1431"/>
      <c r="O140" s="1431"/>
      <c r="P140" s="1431"/>
      <c r="Q140" s="1431"/>
      <c r="R140" s="1431"/>
      <c r="S140" s="1431"/>
      <c r="T140" s="1431"/>
      <c r="U140" s="1431"/>
      <c r="V140" s="1431"/>
      <c r="W140" s="1431"/>
      <c r="X140" s="1431"/>
      <c r="Y140" s="1482"/>
      <c r="Z140" s="138"/>
      <c r="AA140" s="178"/>
      <c r="AB140" s="842">
        <f t="shared" si="384"/>
        <v>0</v>
      </c>
      <c r="AC140" s="843">
        <f t="shared" si="385"/>
        <v>0</v>
      </c>
      <c r="AD140" s="843">
        <f t="shared" si="386"/>
        <v>7.4098218166014779E-2</v>
      </c>
      <c r="AE140" s="843">
        <f t="shared" si="387"/>
        <v>7.2651639740737156E-2</v>
      </c>
      <c r="AF140" s="844">
        <f t="shared" si="388"/>
        <v>7.4738219895287963E-2</v>
      </c>
      <c r="AG140" s="842">
        <f t="shared" si="340"/>
        <v>0.19204523298888673</v>
      </c>
      <c r="AH140" s="843">
        <f t="shared" si="341"/>
        <v>0.23864622505062191</v>
      </c>
      <c r="AI140" s="843">
        <f t="shared" si="342"/>
        <v>0.25988700564971751</v>
      </c>
      <c r="AJ140" s="843">
        <f t="shared" si="343"/>
        <v>0.19841346618941666</v>
      </c>
      <c r="AK140" s="844">
        <f t="shared" si="344"/>
        <v>0.2036649214659686</v>
      </c>
      <c r="AL140" s="842">
        <f t="shared" si="340"/>
        <v>0.14018327159290311</v>
      </c>
      <c r="AM140" s="843">
        <f t="shared" si="341"/>
        <v>0.16632918715649406</v>
      </c>
      <c r="AN140" s="843">
        <f t="shared" si="342"/>
        <v>0.17242503259452413</v>
      </c>
      <c r="AO140" s="843">
        <f t="shared" si="343"/>
        <v>0.16523169198026508</v>
      </c>
      <c r="AP140" s="844">
        <f t="shared" si="344"/>
        <v>0.15471204188481674</v>
      </c>
      <c r="AQ140" s="842">
        <f t="shared" si="340"/>
        <v>4.4843049327354259E-3</v>
      </c>
      <c r="AR140" s="843">
        <f t="shared" si="341"/>
        <v>7.8102400925658087E-3</v>
      </c>
      <c r="AS140" s="843">
        <f t="shared" si="342"/>
        <v>1.0104302477183833E-2</v>
      </c>
      <c r="AT140" s="843">
        <f t="shared" si="343"/>
        <v>8.5131082519106123E-3</v>
      </c>
      <c r="AU140" s="844">
        <f t="shared" si="344"/>
        <v>8.6387434554973819E-3</v>
      </c>
      <c r="AV140" s="842">
        <f t="shared" si="340"/>
        <v>0.196334568141938</v>
      </c>
      <c r="AW140" s="843">
        <f t="shared" si="341"/>
        <v>0.13552212901359562</v>
      </c>
      <c r="AX140" s="843">
        <f t="shared" si="342"/>
        <v>0.11114732724902217</v>
      </c>
      <c r="AY140" s="843">
        <f t="shared" si="343"/>
        <v>9.6256167166489312E-2</v>
      </c>
      <c r="AZ140" s="844">
        <f t="shared" si="344"/>
        <v>0.10026178010471204</v>
      </c>
      <c r="BA140" s="842">
        <f t="shared" si="340"/>
        <v>0.26691362838759991</v>
      </c>
      <c r="BB140" s="843">
        <f t="shared" si="341"/>
        <v>0.27249059878507376</v>
      </c>
      <c r="BC140" s="843">
        <f t="shared" si="342"/>
        <v>0.27466318991742722</v>
      </c>
      <c r="BD140" s="843">
        <f t="shared" si="343"/>
        <v>0.34168520847441231</v>
      </c>
      <c r="BE140" s="844">
        <f t="shared" si="344"/>
        <v>0.35497382198952881</v>
      </c>
      <c r="BF140" s="842">
        <f t="shared" si="340"/>
        <v>2.2226554883992982E-2</v>
      </c>
      <c r="BG140" s="843">
        <f t="shared" si="341"/>
        <v>2.2852183974544402E-2</v>
      </c>
      <c r="BH140" s="843">
        <f t="shared" si="342"/>
        <v>2.4445893089960886E-2</v>
      </c>
      <c r="BI140" s="843">
        <f t="shared" si="343"/>
        <v>2.3701267292251138E-2</v>
      </c>
      <c r="BJ140" s="844">
        <f t="shared" si="344"/>
        <v>3.1937172774869113E-2</v>
      </c>
      <c r="BK140" s="842">
        <f t="shared" si="340"/>
        <v>4.9717293819457983E-2</v>
      </c>
      <c r="BL140" s="843">
        <f t="shared" si="341"/>
        <v>6.0890945906855655E-2</v>
      </c>
      <c r="BM140" s="843">
        <f t="shared" si="342"/>
        <v>5.4867448935245547E-2</v>
      </c>
      <c r="BN140" s="843">
        <f t="shared" si="343"/>
        <v>4.4113379123536807E-2</v>
      </c>
      <c r="BO140" s="844">
        <f t="shared" si="344"/>
        <v>4.5157068062827224E-2</v>
      </c>
      <c r="BP140" s="842">
        <f t="shared" si="340"/>
        <v>2.6905829596412557E-2</v>
      </c>
      <c r="BQ140" s="843">
        <f t="shared" si="341"/>
        <v>1.4463407578825572E-2</v>
      </c>
      <c r="BR140" s="843">
        <f t="shared" si="342"/>
        <v>1.5536723163841809E-2</v>
      </c>
      <c r="BS140" s="843">
        <f t="shared" si="343"/>
        <v>2.9505659282190191E-2</v>
      </c>
      <c r="BT140" s="844">
        <f t="shared" si="344"/>
        <v>2.4345549738219896E-2</v>
      </c>
      <c r="BU140" s="842">
        <f t="shared" si="340"/>
        <v>7.0189120686293622E-3</v>
      </c>
      <c r="BV140" s="843" t="e">
        <f t="shared" si="341"/>
        <v>#N/A</v>
      </c>
      <c r="BW140" s="843">
        <f t="shared" si="342"/>
        <v>2.8248587570621469E-3</v>
      </c>
      <c r="BX140" s="843">
        <f t="shared" si="343"/>
        <v>1.9928412498790751E-2</v>
      </c>
      <c r="BY140" s="844">
        <f t="shared" si="344"/>
        <v>1.5706806282722514E-3</v>
      </c>
    </row>
    <row r="141" spans="1:132" ht="11.25" customHeight="1" x14ac:dyDescent="0.2">
      <c r="A141" s="141"/>
      <c r="B141" s="1109"/>
      <c r="C141" s="9"/>
      <c r="D141" s="9"/>
      <c r="E141" s="9"/>
      <c r="F141" s="9"/>
      <c r="G141" s="9"/>
      <c r="H141" s="9"/>
      <c r="I141" s="9"/>
      <c r="J141" s="13"/>
      <c r="K141" s="9"/>
      <c r="L141" s="9"/>
      <c r="M141" s="9"/>
      <c r="N141" s="9"/>
      <c r="O141" s="9"/>
      <c r="P141" s="9"/>
      <c r="Q141" s="9"/>
      <c r="R141" s="9"/>
      <c r="S141" s="9"/>
      <c r="T141" s="9"/>
      <c r="U141" s="11"/>
      <c r="V141" s="11"/>
      <c r="W141" s="11"/>
      <c r="X141" s="12"/>
      <c r="Y141" s="12"/>
      <c r="Z141" s="1308"/>
      <c r="AA141" s="12"/>
      <c r="AB141" s="12"/>
      <c r="AC141" s="241"/>
      <c r="AD141" s="843">
        <f t="shared" si="386"/>
        <v>7.5897714907508157E-2</v>
      </c>
      <c r="AE141" s="843">
        <f t="shared" si="387"/>
        <v>9.5030913670712161E-2</v>
      </c>
      <c r="AF141" s="844">
        <f t="shared" si="388"/>
        <v>0.10614136732329085</v>
      </c>
      <c r="AG141" s="842">
        <f t="shared" si="340"/>
        <v>0.11027568922305764</v>
      </c>
      <c r="AH141" s="843">
        <f t="shared" si="341"/>
        <v>8.1613508442776733E-2</v>
      </c>
      <c r="AI141" s="843">
        <f t="shared" si="342"/>
        <v>0.18525571273122959</v>
      </c>
      <c r="AJ141" s="843">
        <f t="shared" si="343"/>
        <v>0.20403022670025189</v>
      </c>
      <c r="AK141" s="844">
        <f t="shared" si="344"/>
        <v>0.1988412514484357</v>
      </c>
      <c r="AL141" s="842">
        <f t="shared" si="340"/>
        <v>0.10150375939849623</v>
      </c>
      <c r="AM141" s="843">
        <f t="shared" si="341"/>
        <v>5.9724828017510945E-2</v>
      </c>
      <c r="AN141" s="843">
        <f t="shared" si="342"/>
        <v>0.10446137105549511</v>
      </c>
      <c r="AO141" s="843">
        <f t="shared" si="343"/>
        <v>0.10190061827341425</v>
      </c>
      <c r="AP141" s="844">
        <f t="shared" si="344"/>
        <v>9.4553881807647747E-2</v>
      </c>
      <c r="AQ141" s="842">
        <f t="shared" si="340"/>
        <v>6.5162907268170424E-3</v>
      </c>
      <c r="AR141" s="843">
        <f t="shared" si="341"/>
        <v>5.6285178236397749E-3</v>
      </c>
      <c r="AS141" s="843">
        <f t="shared" si="342"/>
        <v>9.5212187159956479E-3</v>
      </c>
      <c r="AT141" s="843">
        <f t="shared" si="343"/>
        <v>9.1596061369361124E-3</v>
      </c>
      <c r="AU141" s="844">
        <f t="shared" si="344"/>
        <v>2.2711471610660488E-2</v>
      </c>
      <c r="AV141" s="842">
        <f t="shared" si="340"/>
        <v>0.11829573934837093</v>
      </c>
      <c r="AW141" s="843">
        <f t="shared" si="341"/>
        <v>9.3808630393996242E-2</v>
      </c>
      <c r="AX141" s="843">
        <f t="shared" si="342"/>
        <v>0.22170837867247006</v>
      </c>
      <c r="AY141" s="843">
        <f t="shared" si="343"/>
        <v>0.17655140828944355</v>
      </c>
      <c r="AZ141" s="844">
        <f t="shared" si="344"/>
        <v>0.16361529548088066</v>
      </c>
      <c r="BA141" s="842">
        <f t="shared" si="340"/>
        <v>0.26040100250626569</v>
      </c>
      <c r="BB141" s="843">
        <f t="shared" si="341"/>
        <v>0.17260787992495311</v>
      </c>
      <c r="BC141" s="843">
        <f t="shared" si="342"/>
        <v>0.28264417845484224</v>
      </c>
      <c r="BD141" s="843">
        <f t="shared" si="343"/>
        <v>0.27272727272727271</v>
      </c>
      <c r="BE141" s="844">
        <f t="shared" si="344"/>
        <v>0.26604866743916572</v>
      </c>
      <c r="BF141" s="842">
        <f t="shared" si="340"/>
        <v>3.0827067669172932E-2</v>
      </c>
      <c r="BG141" s="843">
        <f t="shared" si="341"/>
        <v>1.7823639774859287E-2</v>
      </c>
      <c r="BH141" s="843">
        <f t="shared" si="342"/>
        <v>4.6789989118607184E-2</v>
      </c>
      <c r="BI141" s="843">
        <f t="shared" si="343"/>
        <v>3.9615296542248685E-2</v>
      </c>
      <c r="BJ141" s="844">
        <f t="shared" si="344"/>
        <v>5.028968713789108E-2</v>
      </c>
      <c r="BK141" s="842">
        <f t="shared" si="340"/>
        <v>7.9699248120300756E-2</v>
      </c>
      <c r="BL141" s="843">
        <f t="shared" si="341"/>
        <v>4.7842401500938089E-2</v>
      </c>
      <c r="BM141" s="843">
        <f t="shared" si="342"/>
        <v>5.1686615886833515E-2</v>
      </c>
      <c r="BN141" s="843">
        <f t="shared" si="343"/>
        <v>7.8543622624227163E-2</v>
      </c>
      <c r="BO141" s="844">
        <f t="shared" si="344"/>
        <v>7.3696407879490153E-2</v>
      </c>
      <c r="BP141" s="842">
        <f t="shared" si="340"/>
        <v>2.180451127819549E-2</v>
      </c>
      <c r="BQ141" s="843">
        <f t="shared" si="341"/>
        <v>8.7554721701063164E-3</v>
      </c>
      <c r="BR141" s="843">
        <f t="shared" si="342"/>
        <v>2.0402611534276388E-2</v>
      </c>
      <c r="BS141" s="843">
        <f t="shared" si="343"/>
        <v>1.7403251660178611E-2</v>
      </c>
      <c r="BT141" s="844">
        <f t="shared" si="344"/>
        <v>1.9003476245654693E-2</v>
      </c>
      <c r="BU141" s="842">
        <f t="shared" si="340"/>
        <v>0.19373433583959901</v>
      </c>
      <c r="BV141" s="843">
        <f t="shared" si="341"/>
        <v>0.4631019387116948</v>
      </c>
      <c r="BW141" s="843">
        <f t="shared" si="342"/>
        <v>1.632208922742111E-3</v>
      </c>
      <c r="BX141" s="843">
        <f t="shared" si="343"/>
        <v>5.0377833753148613E-3</v>
      </c>
      <c r="BY141" s="844">
        <f t="shared" si="344"/>
        <v>5.0984936268829665E-3</v>
      </c>
    </row>
    <row r="142" spans="1:132" s="78" customFormat="1" ht="11.25" customHeight="1" x14ac:dyDescent="0.2">
      <c r="A142" s="141"/>
      <c r="B142" s="1109"/>
      <c r="C142" s="9"/>
      <c r="D142" s="9"/>
      <c r="E142" s="9"/>
      <c r="F142" s="9"/>
      <c r="G142" s="9"/>
      <c r="H142" s="9"/>
      <c r="I142" s="9"/>
      <c r="J142" s="13"/>
      <c r="K142" s="9"/>
      <c r="L142" s="9"/>
      <c r="M142" s="9"/>
      <c r="N142" s="9"/>
      <c r="O142" s="9"/>
      <c r="P142" s="9"/>
      <c r="Q142" s="9"/>
      <c r="R142" s="9"/>
      <c r="S142" s="9"/>
      <c r="T142" s="9"/>
      <c r="U142" s="11"/>
      <c r="V142" s="11"/>
      <c r="W142" s="11"/>
      <c r="X142" s="12"/>
      <c r="Y142" s="12"/>
      <c r="Z142" s="1308"/>
      <c r="AA142" s="12"/>
      <c r="AB142" s="12"/>
      <c r="AC142" s="241"/>
      <c r="AD142" s="843">
        <f t="shared" si="386"/>
        <v>0.1113969642397736</v>
      </c>
      <c r="AE142" s="843">
        <f t="shared" si="387"/>
        <v>0.11399317406143344</v>
      </c>
      <c r="AF142" s="844">
        <f t="shared" si="388"/>
        <v>0.10461606015697898</v>
      </c>
      <c r="AG142" s="842">
        <f t="shared" si="340"/>
        <v>0.21972768532526474</v>
      </c>
      <c r="AH142" s="843">
        <f t="shared" si="341"/>
        <v>0.24894995799831993</v>
      </c>
      <c r="AI142" s="843">
        <f t="shared" si="342"/>
        <v>0.23457679444301519</v>
      </c>
      <c r="AJ142" s="843">
        <f t="shared" si="343"/>
        <v>0.23406763884579584</v>
      </c>
      <c r="AK142" s="844">
        <f t="shared" si="344"/>
        <v>0.24320764037543224</v>
      </c>
      <c r="AL142" s="842">
        <f t="shared" si="340"/>
        <v>0.13990922844175491</v>
      </c>
      <c r="AM142" s="843">
        <f t="shared" si="341"/>
        <v>0.12888515540621626</v>
      </c>
      <c r="AN142" s="843">
        <f t="shared" si="342"/>
        <v>0.13393362490352456</v>
      </c>
      <c r="AO142" s="843">
        <f t="shared" si="343"/>
        <v>0.13447098976109215</v>
      </c>
      <c r="AP142" s="844">
        <f t="shared" si="344"/>
        <v>0.16812119216202864</v>
      </c>
      <c r="AQ142" s="842">
        <f t="shared" si="340"/>
        <v>1.67624810892587E-2</v>
      </c>
      <c r="AR142" s="843">
        <f t="shared" si="341"/>
        <v>1.6620664826593065E-2</v>
      </c>
      <c r="AS142" s="843">
        <f t="shared" si="342"/>
        <v>1.1988680216104965E-2</v>
      </c>
      <c r="AT142" s="843">
        <f t="shared" si="343"/>
        <v>1.0549177784672665E-2</v>
      </c>
      <c r="AU142" s="844">
        <f t="shared" si="344"/>
        <v>0</v>
      </c>
      <c r="AV142" s="842">
        <f t="shared" si="340"/>
        <v>8.7564296520423607E-2</v>
      </c>
      <c r="AW142" s="843">
        <f t="shared" si="341"/>
        <v>9.5763830553222129E-2</v>
      </c>
      <c r="AX142" s="843">
        <f t="shared" si="342"/>
        <v>8.2634422433753532E-2</v>
      </c>
      <c r="AY142" s="843">
        <f t="shared" si="343"/>
        <v>9.9782811045609682E-2</v>
      </c>
      <c r="AZ142" s="844">
        <f t="shared" si="344"/>
        <v>9.116856029419837E-2</v>
      </c>
      <c r="BA142" s="842">
        <f t="shared" si="340"/>
        <v>0.28714069591527985</v>
      </c>
      <c r="BB142" s="843">
        <f t="shared" si="341"/>
        <v>0.26077043081723267</v>
      </c>
      <c r="BC142" s="843">
        <f t="shared" si="342"/>
        <v>0.27579109853357348</v>
      </c>
      <c r="BD142" s="843">
        <f t="shared" si="343"/>
        <v>0.26050263729444617</v>
      </c>
      <c r="BE142" s="844">
        <f t="shared" si="344"/>
        <v>0.25023327295680331</v>
      </c>
      <c r="BF142" s="842">
        <f t="shared" si="340"/>
        <v>3.0015128593040848E-2</v>
      </c>
      <c r="BG142" s="843">
        <f t="shared" si="341"/>
        <v>2.2200888035521421E-2</v>
      </c>
      <c r="BH142" s="843">
        <f t="shared" si="342"/>
        <v>2.2999742732184202E-2</v>
      </c>
      <c r="BI142" s="843">
        <f t="shared" si="343"/>
        <v>2.3642569035060502E-2</v>
      </c>
      <c r="BJ142" s="844">
        <f t="shared" si="344"/>
        <v>3.254843844338328E-2</v>
      </c>
      <c r="BK142" s="842">
        <f t="shared" si="340"/>
        <v>8.2541603630862326E-2</v>
      </c>
      <c r="BL142" s="843">
        <f t="shared" si="341"/>
        <v>7.5303012120484819E-2</v>
      </c>
      <c r="BM142" s="843">
        <f t="shared" si="342"/>
        <v>9.0815538976074098E-2</v>
      </c>
      <c r="BN142" s="843">
        <f t="shared" si="343"/>
        <v>7.1920570896680108E-2</v>
      </c>
      <c r="BO142" s="844">
        <f t="shared" si="344"/>
        <v>6.8499917668368188E-2</v>
      </c>
      <c r="BP142" s="842">
        <f t="shared" si="340"/>
        <v>2.5355521936459909E-2</v>
      </c>
      <c r="BQ142" s="843">
        <f t="shared" si="341"/>
        <v>2.4000960038401537E-2</v>
      </c>
      <c r="BR142" s="843">
        <f t="shared" si="342"/>
        <v>2.4594803190120917E-2</v>
      </c>
      <c r="BS142" s="843">
        <f t="shared" si="343"/>
        <v>2.2959975178405211E-2</v>
      </c>
      <c r="BT142" s="844">
        <f t="shared" si="344"/>
        <v>2.7169438498271036E-2</v>
      </c>
      <c r="BU142" s="842" t="e">
        <f t="shared" si="340"/>
        <v>#N/A</v>
      </c>
      <c r="BV142" s="843">
        <f t="shared" si="341"/>
        <v>1.7400696027841115E-2</v>
      </c>
      <c r="BW142" s="843">
        <f t="shared" si="342"/>
        <v>1.1268330331875482E-2</v>
      </c>
      <c r="BX142" s="843">
        <f t="shared" si="343"/>
        <v>2.811045609680422E-2</v>
      </c>
      <c r="BY142" s="844">
        <f t="shared" si="344"/>
        <v>1.4435479444535925E-2</v>
      </c>
      <c r="CX142" s="76"/>
    </row>
    <row r="143" spans="1:132" ht="11.25" customHeight="1" x14ac:dyDescent="0.2">
      <c r="A143" s="141"/>
      <c r="B143" s="1367" t="s">
        <v>82</v>
      </c>
      <c r="C143" s="15"/>
      <c r="D143" s="1306"/>
      <c r="E143" s="1306"/>
      <c r="F143" s="9"/>
      <c r="G143" s="9"/>
      <c r="H143" s="9"/>
      <c r="I143" s="9"/>
      <c r="J143" s="13"/>
      <c r="K143" s="9"/>
      <c r="L143" s="9"/>
      <c r="M143" s="9"/>
      <c r="N143" s="9"/>
      <c r="O143" s="9"/>
      <c r="P143" s="9"/>
      <c r="Q143" s="9"/>
      <c r="R143" s="9"/>
      <c r="S143" s="9"/>
      <c r="T143" s="9"/>
      <c r="U143" s="11"/>
      <c r="V143" s="11"/>
      <c r="W143" s="11"/>
      <c r="X143" s="12"/>
      <c r="Y143" s="12"/>
      <c r="Z143" s="1308"/>
      <c r="AA143" s="12"/>
      <c r="AB143" s="12"/>
      <c r="AC143" s="241"/>
      <c r="AD143" s="843">
        <f t="shared" si="386"/>
        <v>9.337925755836203E-2</v>
      </c>
      <c r="AE143" s="843">
        <f t="shared" si="387"/>
        <v>9.7197106690777579E-2</v>
      </c>
      <c r="AF143" s="844">
        <f t="shared" si="388"/>
        <v>7.4387151310228231E-2</v>
      </c>
      <c r="AG143" s="842">
        <f t="shared" si="340"/>
        <v>0.282793867120954</v>
      </c>
      <c r="AH143" s="843">
        <f t="shared" si="341"/>
        <v>0.28128924236082042</v>
      </c>
      <c r="AI143" s="843">
        <f t="shared" si="342"/>
        <v>0.26061997703788747</v>
      </c>
      <c r="AJ143" s="843">
        <f t="shared" si="343"/>
        <v>0.30153707052441231</v>
      </c>
      <c r="AK143" s="844">
        <f t="shared" si="344"/>
        <v>0.28698224852071008</v>
      </c>
      <c r="AL143" s="842">
        <f t="shared" si="340"/>
        <v>0.12265758091993186</v>
      </c>
      <c r="AM143" s="843">
        <f t="shared" si="341"/>
        <v>0.11636668061950607</v>
      </c>
      <c r="AN143" s="843">
        <f t="shared" si="342"/>
        <v>0.11748947569843092</v>
      </c>
      <c r="AO143" s="843">
        <f t="shared" si="343"/>
        <v>0.12793851717902352</v>
      </c>
      <c r="AP143" s="844">
        <f t="shared" si="344"/>
        <v>0.13017751479289941</v>
      </c>
      <c r="AQ143" s="842" t="e">
        <f t="shared" si="340"/>
        <v>#N/A</v>
      </c>
      <c r="AR143" s="843">
        <f t="shared" si="341"/>
        <v>5.4416073670992045E-3</v>
      </c>
      <c r="AS143" s="843">
        <f t="shared" si="342"/>
        <v>1.5690776884806735E-2</v>
      </c>
      <c r="AT143" s="843">
        <f t="shared" si="343"/>
        <v>1.4918625678119348E-2</v>
      </c>
      <c r="AU143" s="844">
        <f t="shared" si="344"/>
        <v>0</v>
      </c>
      <c r="AV143" s="842">
        <f t="shared" si="340"/>
        <v>8.3475298126064731E-2</v>
      </c>
      <c r="AW143" s="843">
        <f t="shared" si="341"/>
        <v>8.9577228966094602E-2</v>
      </c>
      <c r="AX143" s="843">
        <f t="shared" si="342"/>
        <v>8.8404133180252586E-2</v>
      </c>
      <c r="AY143" s="843">
        <f t="shared" si="343"/>
        <v>0.11980108499095841</v>
      </c>
      <c r="AZ143" s="844">
        <f t="shared" si="344"/>
        <v>9.5942519019442091E-2</v>
      </c>
      <c r="BA143" s="842">
        <f t="shared" si="340"/>
        <v>0.28534923339011925</v>
      </c>
      <c r="BB143" s="843">
        <f t="shared" si="341"/>
        <v>0.25366262034323983</v>
      </c>
      <c r="BC143" s="843">
        <f t="shared" si="342"/>
        <v>0.29314963643321851</v>
      </c>
      <c r="BD143" s="843">
        <f t="shared" si="343"/>
        <v>0.21609403254972875</v>
      </c>
      <c r="BE143" s="844">
        <f t="shared" si="344"/>
        <v>0.23457311918850379</v>
      </c>
      <c r="BF143" s="842">
        <f t="shared" si="340"/>
        <v>1.9165247018739354E-2</v>
      </c>
      <c r="BG143" s="843">
        <f t="shared" si="341"/>
        <v>2.2185014650481373E-2</v>
      </c>
      <c r="BH143" s="843">
        <f t="shared" si="342"/>
        <v>1.2629161882893225E-2</v>
      </c>
      <c r="BI143" s="843">
        <f t="shared" si="343"/>
        <v>1.763110307414105E-2</v>
      </c>
      <c r="BJ143" s="844">
        <f t="shared" si="344"/>
        <v>2.4936601859678782E-2</v>
      </c>
      <c r="BK143" s="842">
        <f t="shared" si="340"/>
        <v>9.7529812606473601E-2</v>
      </c>
      <c r="BL143" s="843">
        <f t="shared" si="341"/>
        <v>0.10087902888237757</v>
      </c>
      <c r="BM143" s="843">
        <f t="shared" si="342"/>
        <v>0.10026789131266743</v>
      </c>
      <c r="BN143" s="843">
        <f t="shared" si="343"/>
        <v>7.640144665461121E-2</v>
      </c>
      <c r="BO143" s="844">
        <f t="shared" si="344"/>
        <v>0.12721893491124261</v>
      </c>
      <c r="BP143" s="842">
        <f t="shared" si="340"/>
        <v>2.5979557069846677E-2</v>
      </c>
      <c r="BQ143" s="843">
        <f t="shared" si="341"/>
        <v>2.678945165341147E-2</v>
      </c>
      <c r="BR143" s="843">
        <f t="shared" si="342"/>
        <v>1.8369690011481057E-2</v>
      </c>
      <c r="BS143" s="843">
        <f t="shared" si="343"/>
        <v>0</v>
      </c>
      <c r="BT143" s="844">
        <f t="shared" si="344"/>
        <v>0</v>
      </c>
      <c r="BU143" s="842" t="e">
        <f t="shared" si="340"/>
        <v>#N/A</v>
      </c>
      <c r="BV143" s="843">
        <f t="shared" si="341"/>
        <v>0</v>
      </c>
      <c r="BW143" s="843">
        <f t="shared" si="342"/>
        <v>0</v>
      </c>
      <c r="BX143" s="843">
        <f t="shared" si="343"/>
        <v>2.8481012658227847E-2</v>
      </c>
      <c r="BY143" s="844">
        <f t="shared" si="344"/>
        <v>2.5781910397295011E-2</v>
      </c>
    </row>
    <row r="144" spans="1:132" s="89" customFormat="1" ht="11.25" customHeight="1" x14ac:dyDescent="0.2">
      <c r="A144" s="141"/>
      <c r="B144" s="1368"/>
      <c r="C144" s="9"/>
      <c r="D144" s="1306"/>
      <c r="E144" s="1306"/>
      <c r="F144" s="9"/>
      <c r="G144" s="9"/>
      <c r="H144" s="9"/>
      <c r="I144" s="9"/>
      <c r="J144" s="13"/>
      <c r="K144" s="9"/>
      <c r="L144" s="9"/>
      <c r="M144" s="9"/>
      <c r="N144" s="9"/>
      <c r="O144" s="9"/>
      <c r="P144" s="9"/>
      <c r="Q144" s="9"/>
      <c r="R144" s="9"/>
      <c r="S144" s="9"/>
      <c r="T144" s="9"/>
      <c r="U144" s="11"/>
      <c r="V144" s="11"/>
      <c r="W144" s="11"/>
      <c r="X144" s="12"/>
      <c r="Y144" s="12"/>
      <c r="Z144" s="1308"/>
      <c r="AA144" s="12"/>
      <c r="AB144" s="12"/>
      <c r="AC144" s="241"/>
      <c r="AD144" s="843">
        <f t="shared" si="386"/>
        <v>0.10098070230939576</v>
      </c>
      <c r="AE144" s="843">
        <f t="shared" si="387"/>
        <v>0.11190832602075053</v>
      </c>
      <c r="AF144" s="844">
        <f t="shared" si="388"/>
        <v>8.5379861073128047E-2</v>
      </c>
      <c r="AG144" s="842">
        <f t="shared" si="340"/>
        <v>0.16903623933692299</v>
      </c>
      <c r="AH144" s="843">
        <f t="shared" si="341"/>
        <v>0.18465649850084734</v>
      </c>
      <c r="AI144" s="843">
        <f t="shared" si="342"/>
        <v>0.17494463777285668</v>
      </c>
      <c r="AJ144" s="843">
        <f t="shared" si="343"/>
        <v>0.17059825530377329</v>
      </c>
      <c r="AK144" s="844">
        <f t="shared" si="344"/>
        <v>0.18082371602034678</v>
      </c>
      <c r="AL144" s="842">
        <f t="shared" si="340"/>
        <v>0.16068727690725393</v>
      </c>
      <c r="AM144" s="843">
        <f t="shared" si="341"/>
        <v>0.138704210663538</v>
      </c>
      <c r="AN144" s="843">
        <f t="shared" si="342"/>
        <v>0.12261942423283771</v>
      </c>
      <c r="AO144" s="843">
        <f t="shared" si="343"/>
        <v>0.12259329995354359</v>
      </c>
      <c r="AP144" s="844">
        <f t="shared" si="344"/>
        <v>0.12722200951703769</v>
      </c>
      <c r="AQ144" s="842">
        <f t="shared" si="340"/>
        <v>2.7708875310061106E-2</v>
      </c>
      <c r="AR144" s="843">
        <f t="shared" si="341"/>
        <v>2.5746317298918003E-2</v>
      </c>
      <c r="AS144" s="843">
        <f t="shared" si="342"/>
        <v>2.3157228725086999E-2</v>
      </c>
      <c r="AT144" s="843">
        <f t="shared" si="343"/>
        <v>2.0957002013111032E-2</v>
      </c>
      <c r="AU144" s="844">
        <f t="shared" si="344"/>
        <v>1.9854509653776733E-2</v>
      </c>
      <c r="AV144" s="842">
        <f t="shared" si="340"/>
        <v>9.7162562768467547E-2</v>
      </c>
      <c r="AW144" s="843">
        <f t="shared" si="341"/>
        <v>0.10885151870681789</v>
      </c>
      <c r="AX144" s="843">
        <f t="shared" si="342"/>
        <v>0.1250237266687757</v>
      </c>
      <c r="AY144" s="843">
        <f t="shared" si="343"/>
        <v>0.11345687296753214</v>
      </c>
      <c r="AZ144" s="844">
        <f t="shared" si="344"/>
        <v>0.12476070666739594</v>
      </c>
      <c r="BA144" s="842">
        <f t="shared" si="340"/>
        <v>0.2442374009316958</v>
      </c>
      <c r="BB144" s="843">
        <f t="shared" si="341"/>
        <v>0.25329161778125409</v>
      </c>
      <c r="BC144" s="843">
        <f t="shared" si="342"/>
        <v>0.28522619424232837</v>
      </c>
      <c r="BD144" s="843">
        <f t="shared" si="343"/>
        <v>0.3445516956589067</v>
      </c>
      <c r="BE144" s="844">
        <f t="shared" si="344"/>
        <v>0.34403544276103482</v>
      </c>
      <c r="BF144" s="842">
        <f t="shared" si="340"/>
        <v>6.279871740577167E-2</v>
      </c>
      <c r="BG144" s="843">
        <f t="shared" si="341"/>
        <v>8.6103506713596664E-2</v>
      </c>
      <c r="BH144" s="843">
        <f t="shared" si="342"/>
        <v>4.6504270800379624E-2</v>
      </c>
      <c r="BI144" s="843">
        <f t="shared" si="343"/>
        <v>3.7113508491199092E-2</v>
      </c>
      <c r="BJ144" s="844">
        <f t="shared" si="344"/>
        <v>4.8350927090740028E-2</v>
      </c>
      <c r="BK144" s="842">
        <f t="shared" si="340"/>
        <v>9.3532579103394034E-2</v>
      </c>
      <c r="BL144" s="843">
        <f t="shared" si="341"/>
        <v>8.1084604354060744E-2</v>
      </c>
      <c r="BM144" s="843">
        <f t="shared" si="342"/>
        <v>9.8892755457133816E-2</v>
      </c>
      <c r="BN144" s="843">
        <f t="shared" si="343"/>
        <v>5.4199143137356111E-2</v>
      </c>
      <c r="BO144" s="844">
        <f t="shared" si="344"/>
        <v>3.8177541978887494E-2</v>
      </c>
      <c r="BP144" s="842">
        <f t="shared" si="340"/>
        <v>2.7103878032548854E-2</v>
      </c>
      <c r="BQ144" s="843">
        <f t="shared" si="341"/>
        <v>1.4991526528483901E-2</v>
      </c>
      <c r="BR144" s="843">
        <f t="shared" si="342"/>
        <v>1.8601708320151851E-2</v>
      </c>
      <c r="BS144" s="843">
        <f t="shared" si="343"/>
        <v>2.1318329634026738E-2</v>
      </c>
      <c r="BT144" s="844">
        <f t="shared" si="344"/>
        <v>2.0510857080347864E-2</v>
      </c>
      <c r="BU144" s="842">
        <f t="shared" si="340"/>
        <v>3.4484844818198318E-3</v>
      </c>
      <c r="BV144" s="843">
        <f t="shared" si="341"/>
        <v>3.7804719071828966E-3</v>
      </c>
      <c r="BW144" s="843">
        <f t="shared" si="342"/>
        <v>4.0493514710534641E-3</v>
      </c>
      <c r="BX144" s="843">
        <f t="shared" si="343"/>
        <v>3.3035668198007537E-3</v>
      </c>
      <c r="BY144" s="844">
        <f t="shared" si="344"/>
        <v>1.08844281573046E-2</v>
      </c>
      <c r="CX144" s="76"/>
    </row>
    <row r="145" spans="1:77" ht="11.25" customHeight="1" x14ac:dyDescent="0.2">
      <c r="A145" s="141"/>
      <c r="B145" s="1366" t="s">
        <v>806</v>
      </c>
      <c r="C145" s="1366"/>
      <c r="D145" s="1366"/>
      <c r="E145" s="1366"/>
      <c r="F145" s="9"/>
      <c r="G145" s="9"/>
      <c r="H145" s="9"/>
      <c r="I145" s="9"/>
      <c r="J145" s="13"/>
      <c r="K145" s="9"/>
      <c r="L145" s="9"/>
      <c r="M145" s="9"/>
      <c r="N145" s="9"/>
      <c r="O145" s="9"/>
      <c r="P145" s="9"/>
      <c r="Q145" s="9"/>
      <c r="R145" s="9"/>
      <c r="S145" s="9"/>
      <c r="T145" s="9"/>
      <c r="U145" s="11"/>
      <c r="V145" s="11"/>
      <c r="W145" s="11"/>
      <c r="X145" s="12"/>
      <c r="Y145" s="12"/>
      <c r="Z145" s="1308"/>
      <c r="AA145" s="12"/>
      <c r="AB145" s="12"/>
      <c r="AC145" s="241"/>
      <c r="AD145" s="843">
        <f t="shared" si="386"/>
        <v>0.12554904831625183</v>
      </c>
      <c r="AE145" s="843">
        <f t="shared" si="387"/>
        <v>9.4563552833078102E-2</v>
      </c>
      <c r="AF145" s="844">
        <f t="shared" si="388"/>
        <v>0.1031055900621118</v>
      </c>
      <c r="AG145" s="842">
        <f t="shared" si="340"/>
        <v>0.26103896103896101</v>
      </c>
      <c r="AH145" s="843">
        <f t="shared" si="341"/>
        <v>0.26870546318289784</v>
      </c>
      <c r="AI145" s="843">
        <f t="shared" si="342"/>
        <v>0.21888726207906295</v>
      </c>
      <c r="AJ145" s="843">
        <f t="shared" si="343"/>
        <v>0.21209800918836141</v>
      </c>
      <c r="AK145" s="844">
        <f t="shared" si="344"/>
        <v>0.21639751552795031</v>
      </c>
      <c r="AL145" s="842">
        <f t="shared" si="340"/>
        <v>0.11233766233766233</v>
      </c>
      <c r="AM145" s="843">
        <f t="shared" si="341"/>
        <v>0.10391923990498812</v>
      </c>
      <c r="AN145" s="843">
        <f t="shared" si="342"/>
        <v>9.1508052708638363E-2</v>
      </c>
      <c r="AO145" s="843">
        <f t="shared" si="343"/>
        <v>0.12098009188361408</v>
      </c>
      <c r="AP145" s="844">
        <f t="shared" si="344"/>
        <v>8.9192546583850937E-2</v>
      </c>
      <c r="AQ145" s="842">
        <f t="shared" si="340"/>
        <v>3.7987012987012986E-2</v>
      </c>
      <c r="AR145" s="843">
        <f t="shared" si="341"/>
        <v>3.0285035629453682E-2</v>
      </c>
      <c r="AS145" s="843">
        <f t="shared" si="342"/>
        <v>2.964860907759883E-2</v>
      </c>
      <c r="AT145" s="843">
        <f t="shared" si="343"/>
        <v>2.4502297090352222E-2</v>
      </c>
      <c r="AU145" s="844">
        <f t="shared" si="344"/>
        <v>1.6645962732919253E-2</v>
      </c>
      <c r="AV145" s="842">
        <f t="shared" si="340"/>
        <v>7.11038961038961E-2</v>
      </c>
      <c r="AW145" s="843">
        <f t="shared" si="341"/>
        <v>0.15290973871733968</v>
      </c>
      <c r="AX145" s="843">
        <f t="shared" si="342"/>
        <v>0.14421669106881405</v>
      </c>
      <c r="AY145" s="843">
        <f t="shared" si="343"/>
        <v>0.13361408882082695</v>
      </c>
      <c r="AZ145" s="844">
        <f t="shared" si="344"/>
        <v>0.12571428571428572</v>
      </c>
      <c r="BA145" s="842">
        <f t="shared" si="340"/>
        <v>0.25779220779220779</v>
      </c>
      <c r="BB145" s="843">
        <f t="shared" si="341"/>
        <v>0.21318289786223277</v>
      </c>
      <c r="BC145" s="843">
        <f t="shared" si="342"/>
        <v>0.28184480234260617</v>
      </c>
      <c r="BD145" s="843">
        <f t="shared" si="343"/>
        <v>0.31278713629402755</v>
      </c>
      <c r="BE145" s="844">
        <f t="shared" si="344"/>
        <v>0.33316770186335404</v>
      </c>
      <c r="BF145" s="842">
        <f t="shared" si="340"/>
        <v>1.948051948051948E-2</v>
      </c>
      <c r="BG145" s="843">
        <f t="shared" si="341"/>
        <v>4.2161520190023755E-2</v>
      </c>
      <c r="BH145" s="843">
        <f t="shared" si="342"/>
        <v>3.2576866764275257E-2</v>
      </c>
      <c r="BI145" s="843">
        <f t="shared" si="343"/>
        <v>2.9096477794793262E-2</v>
      </c>
      <c r="BJ145" s="844">
        <f t="shared" si="344"/>
        <v>3.354037267080745E-2</v>
      </c>
      <c r="BK145" s="842">
        <f t="shared" si="340"/>
        <v>6.8506493506493502E-2</v>
      </c>
      <c r="BL145" s="843">
        <f t="shared" si="341"/>
        <v>4.453681710213777E-2</v>
      </c>
      <c r="BM145" s="843">
        <f t="shared" si="342"/>
        <v>3.9165446559297219E-2</v>
      </c>
      <c r="BN145" s="843">
        <f t="shared" si="343"/>
        <v>3.1010719754977028E-2</v>
      </c>
      <c r="BO145" s="844">
        <f t="shared" si="344"/>
        <v>4.0496894409937888E-2</v>
      </c>
      <c r="BP145" s="842">
        <f t="shared" si="340"/>
        <v>4.1558441558441558E-2</v>
      </c>
      <c r="BQ145" s="843">
        <f t="shared" si="341"/>
        <v>2.8503562945368172E-2</v>
      </c>
      <c r="BR145" s="843">
        <f t="shared" si="342"/>
        <v>3.6603221083455345E-2</v>
      </c>
      <c r="BS145" s="843">
        <f t="shared" si="343"/>
        <v>3.1776416539050535E-2</v>
      </c>
      <c r="BT145" s="844">
        <f t="shared" si="344"/>
        <v>2.2111801242236023E-2</v>
      </c>
      <c r="BU145" s="842">
        <f t="shared" si="340"/>
        <v>1.5584415584415584E-2</v>
      </c>
      <c r="BV145" s="843">
        <f t="shared" si="341"/>
        <v>4.4536817102137768E-3</v>
      </c>
      <c r="BW145" s="843">
        <f t="shared" si="342"/>
        <v>0</v>
      </c>
      <c r="BX145" s="843">
        <f t="shared" si="343"/>
        <v>9.5712098009188354E-3</v>
      </c>
      <c r="BY145" s="844">
        <f t="shared" si="344"/>
        <v>1.9627329192546585E-2</v>
      </c>
    </row>
    <row r="146" spans="1:77" ht="11.25" customHeight="1" x14ac:dyDescent="0.2">
      <c r="A146" s="141"/>
      <c r="B146" s="1366"/>
      <c r="C146" s="1366"/>
      <c r="D146" s="1366"/>
      <c r="E146" s="1366"/>
      <c r="F146" s="9"/>
      <c r="G146" s="9"/>
      <c r="H146" s="9"/>
      <c r="I146" s="9"/>
      <c r="J146" s="13"/>
      <c r="K146" s="9"/>
      <c r="L146" s="9"/>
      <c r="M146" s="9"/>
      <c r="N146" s="9"/>
      <c r="O146" s="9"/>
      <c r="P146" s="9"/>
      <c r="Q146" s="9"/>
      <c r="R146" s="9"/>
      <c r="S146" s="9"/>
      <c r="T146" s="9"/>
      <c r="U146" s="11"/>
      <c r="V146" s="11"/>
      <c r="W146" s="11"/>
      <c r="X146" s="12"/>
      <c r="Y146" s="12"/>
      <c r="Z146" s="1308"/>
      <c r="AA146" s="12"/>
      <c r="AB146" s="12"/>
      <c r="AC146" s="241"/>
      <c r="AD146" s="843">
        <f t="shared" si="386"/>
        <v>8.3633978353558541E-2</v>
      </c>
      <c r="AE146" s="843">
        <f t="shared" si="387"/>
        <v>9.1609589041095896E-2</v>
      </c>
      <c r="AF146" s="844">
        <f t="shared" si="388"/>
        <v>0.10720956294359357</v>
      </c>
      <c r="AG146" s="842">
        <f t="shared" si="340"/>
        <v>0.23705722070844687</v>
      </c>
      <c r="AH146" s="843">
        <f t="shared" si="341"/>
        <v>0.25386882829771557</v>
      </c>
      <c r="AI146" s="843">
        <f t="shared" si="342"/>
        <v>0.27025254181698916</v>
      </c>
      <c r="AJ146" s="843">
        <f t="shared" si="343"/>
        <v>0.20034246575342465</v>
      </c>
      <c r="AK146" s="844">
        <f t="shared" si="344"/>
        <v>0.21180425849831902</v>
      </c>
      <c r="AL146" s="842">
        <f t="shared" si="340"/>
        <v>0.11015959517321915</v>
      </c>
      <c r="AM146" s="843">
        <f t="shared" si="341"/>
        <v>9.9484156226971265E-2</v>
      </c>
      <c r="AN146" s="843">
        <f t="shared" si="342"/>
        <v>0.10856018366677599</v>
      </c>
      <c r="AO146" s="843">
        <f t="shared" si="343"/>
        <v>0.12756849315068494</v>
      </c>
      <c r="AP146" s="844">
        <f t="shared" si="344"/>
        <v>0.12401942472917445</v>
      </c>
      <c r="AQ146" s="842">
        <f t="shared" si="340"/>
        <v>1.479174776177501E-2</v>
      </c>
      <c r="AR146" s="843" t="e">
        <f t="shared" si="341"/>
        <v>#N/A</v>
      </c>
      <c r="AS146" s="843" t="e">
        <f t="shared" si="342"/>
        <v>#N/A</v>
      </c>
      <c r="AT146" s="843" t="e">
        <f t="shared" si="343"/>
        <v>#N/A</v>
      </c>
      <c r="AU146" s="844">
        <f t="shared" si="344"/>
        <v>1.6062756817332834E-2</v>
      </c>
      <c r="AV146" s="842">
        <f t="shared" si="340"/>
        <v>0.14246788633709614</v>
      </c>
      <c r="AW146" s="843">
        <f t="shared" si="341"/>
        <v>0.17022844509948415</v>
      </c>
      <c r="AX146" s="843">
        <f t="shared" si="342"/>
        <v>0.17349950803542144</v>
      </c>
      <c r="AY146" s="843">
        <f t="shared" si="343"/>
        <v>0.1738013698630137</v>
      </c>
      <c r="AZ146" s="844">
        <f t="shared" si="344"/>
        <v>0.15614493836384011</v>
      </c>
      <c r="BA146" s="842">
        <f t="shared" si="340"/>
        <v>0.27753989879330476</v>
      </c>
      <c r="BB146" s="843">
        <f t="shared" si="341"/>
        <v>0.26455416359616801</v>
      </c>
      <c r="BC146" s="843">
        <f t="shared" si="342"/>
        <v>0.25746146277468024</v>
      </c>
      <c r="BD146" s="843">
        <f t="shared" si="343"/>
        <v>0.2851027397260274</v>
      </c>
      <c r="BE146" s="844">
        <f t="shared" si="344"/>
        <v>0.28165857302951064</v>
      </c>
      <c r="BF146" s="842">
        <f t="shared" si="340"/>
        <v>4.9824834565978977E-2</v>
      </c>
      <c r="BG146" s="843">
        <f t="shared" si="341"/>
        <v>5.8953574060427415E-2</v>
      </c>
      <c r="BH146" s="843">
        <f t="shared" si="342"/>
        <v>2.2958346999016072E-2</v>
      </c>
      <c r="BI146" s="843">
        <f t="shared" si="343"/>
        <v>6.0359589041095889E-2</v>
      </c>
      <c r="BJ146" s="844">
        <f t="shared" si="344"/>
        <v>3.9970115801270079E-2</v>
      </c>
      <c r="BK146" s="842">
        <f t="shared" si="340"/>
        <v>4.0871934604904632E-2</v>
      </c>
      <c r="BL146" s="843">
        <f t="shared" si="341"/>
        <v>4.5320560058953574E-2</v>
      </c>
      <c r="BM146" s="843">
        <f t="shared" si="342"/>
        <v>5.4116103640537878E-2</v>
      </c>
      <c r="BN146" s="843">
        <f t="shared" si="343"/>
        <v>4.0667808219178085E-2</v>
      </c>
      <c r="BO146" s="844">
        <f t="shared" si="344"/>
        <v>3.9596563317146061E-2</v>
      </c>
      <c r="BP146" s="842">
        <f t="shared" si="340"/>
        <v>2.5690930323082912E-2</v>
      </c>
      <c r="BQ146" s="843">
        <f t="shared" si="341"/>
        <v>2.6897568165070006E-2</v>
      </c>
      <c r="BR146" s="843">
        <f t="shared" si="342"/>
        <v>2.9517874713020663E-2</v>
      </c>
      <c r="BS146" s="843">
        <f t="shared" si="343"/>
        <v>2.0547945205479451E-2</v>
      </c>
      <c r="BT146" s="844">
        <f t="shared" si="344"/>
        <v>2.3533806499813223E-2</v>
      </c>
      <c r="BU146" s="842">
        <f t="shared" si="340"/>
        <v>3.5033086804203972E-3</v>
      </c>
      <c r="BV146" s="843" t="e">
        <f t="shared" si="341"/>
        <v>#N/A</v>
      </c>
      <c r="BW146" s="843" t="e">
        <f t="shared" si="342"/>
        <v>#N/A</v>
      </c>
      <c r="BX146" s="843" t="e">
        <f t="shared" si="343"/>
        <v>#N/A</v>
      </c>
      <c r="BY146" s="844">
        <f t="shared" si="344"/>
        <v>0</v>
      </c>
    </row>
    <row r="147" spans="1:77" ht="11.25" customHeight="1" x14ac:dyDescent="0.2">
      <c r="A147" s="141"/>
      <c r="B147" s="1366" t="s">
        <v>81</v>
      </c>
      <c r="C147" s="1366"/>
      <c r="D147" s="1366"/>
      <c r="E147" s="1366"/>
      <c r="F147" s="9"/>
      <c r="G147" s="9"/>
      <c r="H147" s="9"/>
      <c r="I147" s="9"/>
      <c r="J147" s="13"/>
      <c r="K147" s="9"/>
      <c r="L147" s="9"/>
      <c r="M147" s="9"/>
      <c r="N147" s="9"/>
      <c r="O147" s="9"/>
      <c r="P147" s="9"/>
      <c r="Q147" s="9"/>
      <c r="R147" s="9"/>
      <c r="S147" s="9"/>
      <c r="T147" s="9"/>
      <c r="U147" s="11"/>
      <c r="V147" s="11"/>
      <c r="W147" s="11"/>
      <c r="X147" s="12"/>
      <c r="Y147" s="12"/>
      <c r="Z147" s="1308"/>
      <c r="AA147" s="12"/>
      <c r="AB147" s="12"/>
      <c r="AC147" s="241"/>
      <c r="AD147" s="843">
        <f t="shared" si="386"/>
        <v>7.5856212850268889E-2</v>
      </c>
      <c r="AE147" s="843">
        <f t="shared" si="387"/>
        <v>5.6207807455239213E-2</v>
      </c>
      <c r="AF147" s="844">
        <f t="shared" si="388"/>
        <v>5.7825637999704971E-2</v>
      </c>
      <c r="AG147" s="842">
        <f t="shared" si="340"/>
        <v>0.15203955500618047</v>
      </c>
      <c r="AH147" s="843">
        <f t="shared" si="341"/>
        <v>0.19051851851851853</v>
      </c>
      <c r="AI147" s="843">
        <f t="shared" si="342"/>
        <v>0.21539767902632323</v>
      </c>
      <c r="AJ147" s="843">
        <f t="shared" si="343"/>
        <v>0.13149398297622542</v>
      </c>
      <c r="AK147" s="844">
        <f t="shared" si="344"/>
        <v>0.2093229089836259</v>
      </c>
      <c r="AL147" s="842">
        <f t="shared" si="340"/>
        <v>0.17941020660427334</v>
      </c>
      <c r="AM147" s="843">
        <f t="shared" si="341"/>
        <v>0.15333333333333332</v>
      </c>
      <c r="AN147" s="843">
        <f t="shared" si="342"/>
        <v>0.15454288140390604</v>
      </c>
      <c r="AO147" s="843">
        <f t="shared" si="343"/>
        <v>9.1135896683299092E-2</v>
      </c>
      <c r="AP147" s="844">
        <f t="shared" si="344"/>
        <v>9.1901460392388251E-2</v>
      </c>
      <c r="AQ147" s="842">
        <f t="shared" si="340"/>
        <v>1.4833127317676144E-2</v>
      </c>
      <c r="AR147" s="843">
        <f t="shared" si="341"/>
        <v>1.3185185185185185E-2</v>
      </c>
      <c r="AS147" s="843">
        <f t="shared" si="342"/>
        <v>1.0331163317294084E-2</v>
      </c>
      <c r="AT147" s="843">
        <f t="shared" si="343"/>
        <v>5.1364837100088051E-3</v>
      </c>
      <c r="AU147" s="844">
        <f t="shared" si="344"/>
        <v>7.8182622805723564E-3</v>
      </c>
      <c r="AV147" s="842">
        <f t="shared" si="340"/>
        <v>0.11354405791983048</v>
      </c>
      <c r="AW147" s="843">
        <f t="shared" si="341"/>
        <v>9.7037037037037033E-2</v>
      </c>
      <c r="AX147" s="843">
        <f t="shared" si="342"/>
        <v>0.10217945089159354</v>
      </c>
      <c r="AY147" s="843">
        <f t="shared" si="343"/>
        <v>7.2204285294980922E-2</v>
      </c>
      <c r="AZ147" s="844">
        <f t="shared" si="344"/>
        <v>4.8827260657914144E-2</v>
      </c>
      <c r="BA147" s="842">
        <f t="shared" si="340"/>
        <v>0.30849373123785978</v>
      </c>
      <c r="BB147" s="843">
        <f t="shared" si="341"/>
        <v>0.34414814814814815</v>
      </c>
      <c r="BC147" s="843">
        <f t="shared" si="342"/>
        <v>0.33753184262666291</v>
      </c>
      <c r="BD147" s="843">
        <f t="shared" si="343"/>
        <v>0.2932198415027884</v>
      </c>
      <c r="BE147" s="844">
        <f t="shared" si="344"/>
        <v>0.30682991591680187</v>
      </c>
      <c r="BF147" s="842">
        <f t="shared" si="340"/>
        <v>9.0058273000176593E-3</v>
      </c>
      <c r="BG147" s="843">
        <f t="shared" si="341"/>
        <v>1.8962962962962963E-2</v>
      </c>
      <c r="BH147" s="843">
        <f t="shared" si="342"/>
        <v>2.1228417775261816E-2</v>
      </c>
      <c r="BI147" s="843">
        <f t="shared" si="343"/>
        <v>1.1740534194305841E-2</v>
      </c>
      <c r="BJ147" s="844">
        <f t="shared" si="344"/>
        <v>1.0768549933618528E-2</v>
      </c>
      <c r="BK147" s="842">
        <f t="shared" si="340"/>
        <v>6.7455412325622466E-2</v>
      </c>
      <c r="BL147" s="843">
        <f t="shared" si="341"/>
        <v>5.4962962962962963E-2</v>
      </c>
      <c r="BM147" s="843">
        <f t="shared" si="342"/>
        <v>5.2504953297480894E-2</v>
      </c>
      <c r="BN147" s="843">
        <f t="shared" si="343"/>
        <v>0.25741121221015556</v>
      </c>
      <c r="BO147" s="844">
        <f t="shared" si="344"/>
        <v>0.14382652308600088</v>
      </c>
      <c r="BP147" s="842">
        <f t="shared" si="340"/>
        <v>5.0326681970686918E-2</v>
      </c>
      <c r="BQ147" s="843">
        <f t="shared" si="341"/>
        <v>2.9333333333333333E-2</v>
      </c>
      <c r="BR147" s="843">
        <f t="shared" si="342"/>
        <v>2.7172374752335127E-2</v>
      </c>
      <c r="BS147" s="843">
        <f t="shared" si="343"/>
        <v>1.8784854710889344E-2</v>
      </c>
      <c r="BT147" s="844">
        <f t="shared" si="344"/>
        <v>1.0326006785661602E-2</v>
      </c>
      <c r="BU147" s="842">
        <f t="shared" si="340"/>
        <v>8.4760727529577962E-3</v>
      </c>
      <c r="BV147" s="843">
        <f t="shared" si="341"/>
        <v>2.5925925925925925E-2</v>
      </c>
      <c r="BW147" s="843">
        <f t="shared" si="342"/>
        <v>3.2550240588734786E-3</v>
      </c>
      <c r="BX147" s="843">
        <f t="shared" si="343"/>
        <v>6.266510126210742E-2</v>
      </c>
      <c r="BY147" s="844">
        <f t="shared" si="344"/>
        <v>0.11255347396371146</v>
      </c>
    </row>
    <row r="148" spans="1:77" ht="11.25" customHeight="1" x14ac:dyDescent="0.2">
      <c r="A148" s="141"/>
      <c r="B148" s="1366"/>
      <c r="C148" s="1366"/>
      <c r="D148" s="1366"/>
      <c r="E148" s="1366"/>
      <c r="F148" s="9"/>
      <c r="G148" s="9"/>
      <c r="H148" s="9"/>
      <c r="I148" s="9"/>
      <c r="J148" s="13"/>
      <c r="K148" s="9"/>
      <c r="L148" s="9"/>
      <c r="M148" s="9"/>
      <c r="N148" s="9"/>
      <c r="O148" s="9"/>
      <c r="P148" s="9"/>
      <c r="Q148" s="9"/>
      <c r="R148" s="9"/>
      <c r="S148" s="9"/>
      <c r="T148" s="9"/>
      <c r="U148" s="11"/>
      <c r="V148" s="11"/>
      <c r="W148" s="11"/>
      <c r="X148" s="12"/>
      <c r="Y148" s="12"/>
      <c r="Z148" s="1308"/>
      <c r="AA148" s="12"/>
      <c r="AB148" s="12"/>
      <c r="AC148" s="241"/>
      <c r="AD148" s="843">
        <f t="shared" si="386"/>
        <v>7.8809811017289913E-2</v>
      </c>
      <c r="AE148" s="843">
        <f t="shared" si="387"/>
        <v>8.6467486818980671E-2</v>
      </c>
      <c r="AF148" s="844">
        <f t="shared" si="388"/>
        <v>7.7355836849507739E-2</v>
      </c>
      <c r="AG148" s="842">
        <f t="shared" si="340"/>
        <v>0.25589931830099633</v>
      </c>
      <c r="AH148" s="843">
        <f t="shared" si="341"/>
        <v>0.18442427138079312</v>
      </c>
      <c r="AI148" s="843">
        <f t="shared" si="342"/>
        <v>0.19300361881785283</v>
      </c>
      <c r="AJ148" s="843">
        <f t="shared" si="343"/>
        <v>0.18699472759226712</v>
      </c>
      <c r="AK148" s="844">
        <f t="shared" si="344"/>
        <v>0.1990154711673699</v>
      </c>
      <c r="AL148" s="842">
        <f t="shared" si="340"/>
        <v>0.13529103303618248</v>
      </c>
      <c r="AM148" s="843">
        <f t="shared" si="341"/>
        <v>0.1433349259436216</v>
      </c>
      <c r="AN148" s="843">
        <f t="shared" si="342"/>
        <v>0.13067953357458786</v>
      </c>
      <c r="AO148" s="843">
        <f t="shared" si="343"/>
        <v>0.15360281195079087</v>
      </c>
      <c r="AP148" s="844">
        <f t="shared" si="344"/>
        <v>0.13045007032348804</v>
      </c>
      <c r="AQ148" s="842">
        <f t="shared" si="340"/>
        <v>4.0377556371263765E-2</v>
      </c>
      <c r="AR148" s="843">
        <f t="shared" si="341"/>
        <v>2.150023889154324E-2</v>
      </c>
      <c r="AS148" s="843">
        <f t="shared" si="342"/>
        <v>2.7744270205066344E-2</v>
      </c>
      <c r="AT148" s="843">
        <f t="shared" si="343"/>
        <v>2.9876977152899824E-2</v>
      </c>
      <c r="AU148" s="844">
        <f t="shared" si="344"/>
        <v>3.7974683544303799E-2</v>
      </c>
      <c r="AV148" s="842">
        <f t="shared" si="340"/>
        <v>0.11379129522810698</v>
      </c>
      <c r="AW148" s="843">
        <f t="shared" si="341"/>
        <v>0.11753463927376971</v>
      </c>
      <c r="AX148" s="843">
        <f t="shared" si="342"/>
        <v>0.10172899075190993</v>
      </c>
      <c r="AY148" s="843">
        <f t="shared" si="343"/>
        <v>0.12407732864674868</v>
      </c>
      <c r="AZ148" s="844">
        <f t="shared" si="344"/>
        <v>0.18037974683544303</v>
      </c>
      <c r="BA148" s="842">
        <f t="shared" si="340"/>
        <v>0.27110644992134242</v>
      </c>
      <c r="BB148" s="843">
        <f t="shared" si="341"/>
        <v>0.31294792164357382</v>
      </c>
      <c r="BC148" s="843">
        <f t="shared" si="342"/>
        <v>0.33172496984318456</v>
      </c>
      <c r="BD148" s="843">
        <f t="shared" si="343"/>
        <v>0.31177504393673111</v>
      </c>
      <c r="BE148" s="844">
        <f t="shared" si="344"/>
        <v>0.24613220815752462</v>
      </c>
      <c r="BF148" s="842">
        <f t="shared" si="340"/>
        <v>2.7792343995804929E-2</v>
      </c>
      <c r="BG148" s="843">
        <f t="shared" si="341"/>
        <v>3.3444816053511704E-2</v>
      </c>
      <c r="BH148" s="843">
        <f t="shared" si="342"/>
        <v>4.2219541616405308E-2</v>
      </c>
      <c r="BI148" s="843">
        <f t="shared" si="343"/>
        <v>4.4288224956063271E-2</v>
      </c>
      <c r="BJ148" s="844">
        <f t="shared" si="344"/>
        <v>5.3094233473980311E-2</v>
      </c>
      <c r="BK148" s="842">
        <f t="shared" si="340"/>
        <v>8.2328264289459885E-2</v>
      </c>
      <c r="BL148" s="843">
        <f t="shared" si="341"/>
        <v>5.5900621118012424E-2</v>
      </c>
      <c r="BM148" s="843">
        <f t="shared" si="342"/>
        <v>7.9613992762364291E-2</v>
      </c>
      <c r="BN148" s="843">
        <f t="shared" si="343"/>
        <v>4.5694200351493852E-2</v>
      </c>
      <c r="BO148" s="844">
        <f t="shared" si="344"/>
        <v>5.239099859353024E-2</v>
      </c>
      <c r="BP148" s="842" t="e">
        <f t="shared" si="340"/>
        <v>#N/A</v>
      </c>
      <c r="BQ148" s="843">
        <f t="shared" si="341"/>
        <v>2.197802197802198E-2</v>
      </c>
      <c r="BR148" s="843">
        <f t="shared" si="342"/>
        <v>1.4475271411338963E-2</v>
      </c>
      <c r="BS148" s="843">
        <f t="shared" si="343"/>
        <v>1.7223198594024606E-2</v>
      </c>
      <c r="BT148" s="844">
        <f t="shared" si="344"/>
        <v>2.3206751054852322E-2</v>
      </c>
      <c r="BU148" s="842" t="e">
        <f t="shared" si="340"/>
        <v>#N/A</v>
      </c>
      <c r="BV148" s="843">
        <f t="shared" si="341"/>
        <v>0</v>
      </c>
      <c r="BW148" s="843">
        <f t="shared" si="342"/>
        <v>0</v>
      </c>
      <c r="BX148" s="843">
        <f t="shared" si="343"/>
        <v>0</v>
      </c>
      <c r="BY148" s="844">
        <f t="shared" si="344"/>
        <v>0</v>
      </c>
    </row>
    <row r="149" spans="1:77" ht="11.25" customHeight="1" x14ac:dyDescent="0.2">
      <c r="A149" s="141"/>
      <c r="B149" s="1366" t="s">
        <v>78</v>
      </c>
      <c r="C149" s="1366"/>
      <c r="D149" s="1366"/>
      <c r="E149" s="1366"/>
      <c r="F149" s="9"/>
      <c r="G149" s="9"/>
      <c r="H149" s="9"/>
      <c r="I149" s="9"/>
      <c r="J149" s="13"/>
      <c r="K149" s="9"/>
      <c r="L149" s="9"/>
      <c r="M149" s="9"/>
      <c r="N149" s="9"/>
      <c r="O149" s="9"/>
      <c r="P149" s="9"/>
      <c r="Q149" s="9"/>
      <c r="R149" s="9"/>
      <c r="S149" s="9"/>
      <c r="T149" s="9"/>
      <c r="U149" s="11"/>
      <c r="V149" s="11"/>
      <c r="W149" s="11"/>
      <c r="X149" s="12"/>
      <c r="Y149" s="12"/>
      <c r="Z149" s="1308"/>
      <c r="AA149" s="12"/>
      <c r="AB149" s="12"/>
      <c r="AC149" s="241"/>
      <c r="AD149" s="843">
        <f t="shared" si="386"/>
        <v>5.0811141720232628E-2</v>
      </c>
      <c r="AE149" s="843">
        <f t="shared" si="387"/>
        <v>6.4665127020785224E-2</v>
      </c>
      <c r="AF149" s="844">
        <f t="shared" si="388"/>
        <v>6.4257028112449793E-2</v>
      </c>
      <c r="AG149" s="842">
        <f t="shared" si="340"/>
        <v>1.7480409885473176E-2</v>
      </c>
      <c r="AH149" s="843">
        <f t="shared" si="341"/>
        <v>0.20987654320987653</v>
      </c>
      <c r="AI149" s="843">
        <f t="shared" si="342"/>
        <v>0.1677379859198041</v>
      </c>
      <c r="AJ149" s="843">
        <f t="shared" si="343"/>
        <v>0.1855273287143957</v>
      </c>
      <c r="AK149" s="844">
        <f t="shared" si="344"/>
        <v>0.19532676159182183</v>
      </c>
      <c r="AL149" s="842">
        <f t="shared" si="340"/>
        <v>2.7124773960216998E-2</v>
      </c>
      <c r="AM149" s="843">
        <f t="shared" si="341"/>
        <v>0.13060428849902533</v>
      </c>
      <c r="AN149" s="843">
        <f t="shared" si="342"/>
        <v>0.14722987450260178</v>
      </c>
      <c r="AO149" s="843">
        <f t="shared" si="343"/>
        <v>0.15280985373364125</v>
      </c>
      <c r="AP149" s="844">
        <f t="shared" si="344"/>
        <v>0.14494341000365096</v>
      </c>
      <c r="AQ149" s="842">
        <f t="shared" si="340"/>
        <v>6.6305003013863778E-3</v>
      </c>
      <c r="AR149" s="843">
        <f t="shared" si="341"/>
        <v>3.9961013645224169E-2</v>
      </c>
      <c r="AS149" s="843">
        <f t="shared" si="342"/>
        <v>3.458830731558004E-2</v>
      </c>
      <c r="AT149" s="843">
        <f t="shared" si="343"/>
        <v>2.5404157043879907E-2</v>
      </c>
      <c r="AU149" s="844">
        <f t="shared" si="344"/>
        <v>2.7747353048557868E-2</v>
      </c>
      <c r="AV149" s="842">
        <f t="shared" si="340"/>
        <v>1.9891500904159132E-2</v>
      </c>
      <c r="AW149" s="843">
        <f t="shared" si="341"/>
        <v>8.2521117608836903E-2</v>
      </c>
      <c r="AX149" s="843">
        <f t="shared" si="342"/>
        <v>9.4276094276094277E-2</v>
      </c>
      <c r="AY149" s="843">
        <f t="shared" si="343"/>
        <v>0.10739030023094688</v>
      </c>
      <c r="AZ149" s="844">
        <f t="shared" si="344"/>
        <v>9.0909090909090912E-2</v>
      </c>
      <c r="BA149" s="842">
        <f t="shared" si="340"/>
        <v>6.8113321277878239E-2</v>
      </c>
      <c r="BB149" s="843">
        <f t="shared" si="341"/>
        <v>0.32943469785575047</v>
      </c>
      <c r="BC149" s="843">
        <f t="shared" si="342"/>
        <v>0.3666972757881849</v>
      </c>
      <c r="BD149" s="843">
        <f t="shared" si="343"/>
        <v>0.39030023094688221</v>
      </c>
      <c r="BE149" s="844">
        <f t="shared" si="344"/>
        <v>0.38773274917853229</v>
      </c>
      <c r="BF149" s="842">
        <f t="shared" si="340"/>
        <v>1.9891500904159132E-2</v>
      </c>
      <c r="BG149" s="843">
        <f t="shared" si="341"/>
        <v>4.3859649122807015E-2</v>
      </c>
      <c r="BH149" s="843">
        <f t="shared" si="342"/>
        <v>2.4181205999387816E-2</v>
      </c>
      <c r="BI149" s="843">
        <f t="shared" si="343"/>
        <v>2.6943802925327175E-2</v>
      </c>
      <c r="BJ149" s="844">
        <f t="shared" si="344"/>
        <v>2.5921869295363272E-2</v>
      </c>
      <c r="BK149" s="842">
        <f t="shared" si="340"/>
        <v>6.6305003013863778E-3</v>
      </c>
      <c r="BL149" s="843">
        <f t="shared" si="341"/>
        <v>6.6276803118908378E-2</v>
      </c>
      <c r="BM149" s="843">
        <f t="shared" si="342"/>
        <v>8.9378634833180287E-2</v>
      </c>
      <c r="BN149" s="843">
        <f t="shared" si="343"/>
        <v>4.6959199384141649E-2</v>
      </c>
      <c r="BO149" s="844">
        <f t="shared" si="344"/>
        <v>5.0383351588170866E-2</v>
      </c>
      <c r="BP149" s="842" t="e">
        <f t="shared" si="340"/>
        <v>#N/A</v>
      </c>
      <c r="BQ149" s="843">
        <f t="shared" si="341"/>
        <v>7.1474983755685506E-3</v>
      </c>
      <c r="BR149" s="843">
        <f t="shared" si="342"/>
        <v>1.0713192531374349E-2</v>
      </c>
      <c r="BS149" s="843" t="e">
        <f t="shared" si="343"/>
        <v>#N/A</v>
      </c>
      <c r="BT149" s="844">
        <f t="shared" si="344"/>
        <v>1.2778386272362175E-2</v>
      </c>
      <c r="BU149" s="842">
        <f t="shared" si="340"/>
        <v>0.8233875828812538</v>
      </c>
      <c r="BV149" s="843">
        <f t="shared" si="341"/>
        <v>1.5269655620532813E-2</v>
      </c>
      <c r="BW149" s="843">
        <f t="shared" si="342"/>
        <v>1.4386287113559841E-2</v>
      </c>
      <c r="BX149" s="843" t="e">
        <f t="shared" si="343"/>
        <v>#N/A</v>
      </c>
      <c r="BY149" s="844">
        <f t="shared" si="344"/>
        <v>0</v>
      </c>
    </row>
    <row r="150" spans="1:77" ht="11.25" customHeight="1" x14ac:dyDescent="0.2">
      <c r="A150" s="141"/>
      <c r="B150" s="1366"/>
      <c r="C150" s="1366"/>
      <c r="D150" s="1366"/>
      <c r="E150" s="1366"/>
      <c r="F150" s="9"/>
      <c r="G150" s="9"/>
      <c r="H150" s="9"/>
      <c r="I150" s="9"/>
      <c r="J150" s="13"/>
      <c r="K150" s="9"/>
      <c r="L150" s="9"/>
      <c r="M150" s="9"/>
      <c r="N150" s="9"/>
      <c r="O150" s="9"/>
      <c r="P150" s="9"/>
      <c r="Q150" s="9"/>
      <c r="R150" s="9"/>
      <c r="S150" s="9"/>
      <c r="T150" s="9"/>
      <c r="U150" s="11"/>
      <c r="V150" s="11"/>
      <c r="W150" s="11"/>
      <c r="X150" s="12"/>
      <c r="Y150" s="12"/>
      <c r="Z150" s="1308"/>
      <c r="AA150" s="12"/>
      <c r="AB150" s="12"/>
      <c r="AC150" s="241"/>
      <c r="AD150" s="843">
        <f t="shared" si="386"/>
        <v>4.5918367346938778E-2</v>
      </c>
      <c r="AE150" s="843">
        <f t="shared" si="387"/>
        <v>6.9269521410579349E-2</v>
      </c>
      <c r="AF150" s="844">
        <f t="shared" si="388"/>
        <v>6.9873417721518991E-2</v>
      </c>
      <c r="AG150" s="842">
        <f t="shared" si="340"/>
        <v>0.21384750219106047</v>
      </c>
      <c r="AH150" s="843">
        <f t="shared" si="341"/>
        <v>0.2062004325883201</v>
      </c>
      <c r="AI150" s="843">
        <f t="shared" si="342"/>
        <v>0.13617171006333567</v>
      </c>
      <c r="AJ150" s="843">
        <f t="shared" si="343"/>
        <v>0.17506297229219145</v>
      </c>
      <c r="AK150" s="844">
        <f t="shared" si="344"/>
        <v>0.23240506329113925</v>
      </c>
      <c r="AL150" s="842">
        <f t="shared" si="340"/>
        <v>0.1165644171779141</v>
      </c>
      <c r="AM150" s="843">
        <f t="shared" si="341"/>
        <v>0.1247296322999279</v>
      </c>
      <c r="AN150" s="843">
        <f t="shared" si="342"/>
        <v>0.12139338494018297</v>
      </c>
      <c r="AO150" s="843">
        <f t="shared" si="343"/>
        <v>0.12594458438287154</v>
      </c>
      <c r="AP150" s="844">
        <f t="shared" si="344"/>
        <v>0.10582278481012658</v>
      </c>
      <c r="AQ150" s="842">
        <f t="shared" si="340"/>
        <v>8.7642418930762491E-3</v>
      </c>
      <c r="AR150" s="843">
        <f t="shared" si="341"/>
        <v>7.5702956020187451E-3</v>
      </c>
      <c r="AS150" s="843" t="e">
        <f t="shared" si="342"/>
        <v>#N/A</v>
      </c>
      <c r="AT150" s="843" t="e">
        <f t="shared" si="343"/>
        <v>#N/A</v>
      </c>
      <c r="AU150" s="844">
        <f t="shared" si="344"/>
        <v>0</v>
      </c>
      <c r="AV150" s="842">
        <f t="shared" si="340"/>
        <v>0.21822962313759861</v>
      </c>
      <c r="AW150" s="843">
        <f t="shared" si="341"/>
        <v>0.19935111751982695</v>
      </c>
      <c r="AX150" s="843">
        <f t="shared" si="342"/>
        <v>0.17540464461646726</v>
      </c>
      <c r="AY150" s="843">
        <f t="shared" si="343"/>
        <v>0.23173803526448364</v>
      </c>
      <c r="AZ150" s="844">
        <f t="shared" si="344"/>
        <v>0.16759493670886075</v>
      </c>
      <c r="BA150" s="842">
        <f t="shared" si="340"/>
        <v>0.28133216476774758</v>
      </c>
      <c r="BB150" s="843">
        <f t="shared" si="341"/>
        <v>0.33056957462148523</v>
      </c>
      <c r="BC150" s="843">
        <f t="shared" si="342"/>
        <v>0.38564391273750881</v>
      </c>
      <c r="BD150" s="843">
        <f t="shared" si="343"/>
        <v>0.3243073047858942</v>
      </c>
      <c r="BE150" s="844">
        <f t="shared" si="344"/>
        <v>0.3159493670886076</v>
      </c>
      <c r="BF150" s="842">
        <f t="shared" si="340"/>
        <v>2.4539877300613498E-2</v>
      </c>
      <c r="BG150" s="843">
        <f t="shared" si="341"/>
        <v>2.4513338139870222E-2</v>
      </c>
      <c r="BH150" s="843">
        <f t="shared" si="342"/>
        <v>0.10098522167487685</v>
      </c>
      <c r="BI150" s="843">
        <f t="shared" si="343"/>
        <v>2.8337531486146095E-2</v>
      </c>
      <c r="BJ150" s="844">
        <f t="shared" si="344"/>
        <v>3.4936708860759495E-2</v>
      </c>
      <c r="BK150" s="842">
        <f t="shared" si="340"/>
        <v>6.0911481156879929E-2</v>
      </c>
      <c r="BL150" s="843">
        <f t="shared" si="341"/>
        <v>3.2083633741888967E-2</v>
      </c>
      <c r="BM150" s="843">
        <f t="shared" si="342"/>
        <v>2.8852920478536243E-2</v>
      </c>
      <c r="BN150" s="843">
        <f t="shared" si="343"/>
        <v>1.8261964735516372E-2</v>
      </c>
      <c r="BO150" s="844">
        <f t="shared" si="344"/>
        <v>6.2784810126582283E-2</v>
      </c>
      <c r="BP150" s="842">
        <f t="shared" si="340"/>
        <v>8.7642418930762491E-3</v>
      </c>
      <c r="BQ150" s="843">
        <f t="shared" si="341"/>
        <v>1.1175198269646719E-2</v>
      </c>
      <c r="BR150" s="843">
        <f t="shared" si="342"/>
        <v>5.629838142153413E-3</v>
      </c>
      <c r="BS150" s="843">
        <f t="shared" si="343"/>
        <v>2.7078085642317382E-2</v>
      </c>
      <c r="BT150" s="844">
        <f t="shared" si="344"/>
        <v>1.0632911392405063E-2</v>
      </c>
      <c r="BU150" s="842">
        <f t="shared" si="340"/>
        <v>0</v>
      </c>
      <c r="BV150" s="843">
        <f t="shared" si="341"/>
        <v>0</v>
      </c>
      <c r="BW150" s="843" t="e">
        <f t="shared" si="342"/>
        <v>#N/A</v>
      </c>
      <c r="BX150" s="843" t="e">
        <f t="shared" si="343"/>
        <v>#N/A</v>
      </c>
      <c r="BY150" s="844">
        <f t="shared" si="344"/>
        <v>0</v>
      </c>
    </row>
    <row r="151" spans="1:77" s="89" customFormat="1" ht="11.25" customHeight="1" x14ac:dyDescent="0.2">
      <c r="A151" s="141"/>
      <c r="B151" s="1366" t="s">
        <v>17</v>
      </c>
      <c r="C151" s="1366"/>
      <c r="D151" s="1366"/>
      <c r="E151" s="1366"/>
      <c r="F151" s="9"/>
      <c r="G151" s="9"/>
      <c r="H151" s="9"/>
      <c r="I151" s="9"/>
      <c r="J151" s="13"/>
      <c r="K151" s="9"/>
      <c r="L151" s="9"/>
      <c r="M151" s="9"/>
      <c r="N151" s="9"/>
      <c r="O151" s="9"/>
      <c r="P151" s="9"/>
      <c r="Q151" s="9"/>
      <c r="R151" s="9"/>
      <c r="S151" s="9"/>
      <c r="T151" s="9"/>
      <c r="U151" s="11"/>
      <c r="V151" s="11"/>
      <c r="W151" s="11"/>
      <c r="X151" s="12"/>
      <c r="Y151" s="12"/>
      <c r="Z151" s="1308"/>
      <c r="AA151" s="12"/>
      <c r="AB151" s="12"/>
      <c r="AC151" s="241"/>
      <c r="AD151" s="843">
        <f t="shared" si="386"/>
        <v>0.129997906635964</v>
      </c>
      <c r="AE151" s="843">
        <f t="shared" si="387"/>
        <v>0.12410454985479187</v>
      </c>
      <c r="AF151" s="844">
        <f t="shared" si="388"/>
        <v>3.5576179427687551E-2</v>
      </c>
      <c r="AG151" s="842">
        <f t="shared" si="340"/>
        <v>0.22786621355750314</v>
      </c>
      <c r="AH151" s="843">
        <f t="shared" si="341"/>
        <v>0.20093343158929011</v>
      </c>
      <c r="AI151" s="843">
        <f t="shared" si="342"/>
        <v>0.19112413648733514</v>
      </c>
      <c r="AJ151" s="843">
        <f t="shared" si="343"/>
        <v>0.14249757986447242</v>
      </c>
      <c r="AK151" s="844">
        <f t="shared" si="344"/>
        <v>0.21693735498839908</v>
      </c>
      <c r="AL151" s="842">
        <f t="shared" si="340"/>
        <v>0.18046861026649974</v>
      </c>
      <c r="AM151" s="843">
        <f t="shared" si="341"/>
        <v>0.16850896585605502</v>
      </c>
      <c r="AN151" s="843">
        <f t="shared" si="342"/>
        <v>0.14025539041239271</v>
      </c>
      <c r="AO151" s="843">
        <f t="shared" si="343"/>
        <v>0.15605033881897387</v>
      </c>
      <c r="AP151" s="844">
        <f t="shared" si="344"/>
        <v>0.14037122969837587</v>
      </c>
      <c r="AQ151" s="842">
        <f t="shared" si="340"/>
        <v>1.4308710427472724E-2</v>
      </c>
      <c r="AR151" s="843" t="e">
        <f t="shared" si="341"/>
        <v>#N/A</v>
      </c>
      <c r="AS151" s="843">
        <f t="shared" si="342"/>
        <v>1.2769520619635755E-2</v>
      </c>
      <c r="AT151" s="843">
        <f t="shared" si="343"/>
        <v>5.4211035818005808E-3</v>
      </c>
      <c r="AU151" s="844">
        <f t="shared" si="344"/>
        <v>0</v>
      </c>
      <c r="AV151" s="842">
        <f t="shared" si="340"/>
        <v>0.14201395099266678</v>
      </c>
      <c r="AW151" s="843">
        <f t="shared" si="341"/>
        <v>0.15327929255711129</v>
      </c>
      <c r="AX151" s="843">
        <f t="shared" si="342"/>
        <v>0.13355662549717395</v>
      </c>
      <c r="AY151" s="843">
        <f t="shared" si="343"/>
        <v>0.10939012584704744</v>
      </c>
      <c r="AZ151" s="844">
        <f t="shared" si="344"/>
        <v>0.16744006187161639</v>
      </c>
      <c r="BA151" s="842">
        <f t="shared" si="340"/>
        <v>0.21480951529243428</v>
      </c>
      <c r="BB151" s="843">
        <f t="shared" si="341"/>
        <v>0.23458609678211742</v>
      </c>
      <c r="BC151" s="843">
        <f t="shared" si="342"/>
        <v>0.27967343521038307</v>
      </c>
      <c r="BD151" s="843">
        <f t="shared" si="343"/>
        <v>0.31965150048402713</v>
      </c>
      <c r="BE151" s="844">
        <f t="shared" si="344"/>
        <v>0.31438515081206497</v>
      </c>
      <c r="BF151" s="842">
        <f t="shared" si="340"/>
        <v>2.3072795564299767E-2</v>
      </c>
      <c r="BG151" s="843">
        <f t="shared" si="341"/>
        <v>2.6283468435273887E-2</v>
      </c>
      <c r="BH151" s="843">
        <f t="shared" si="342"/>
        <v>2.8469750889679714E-2</v>
      </c>
      <c r="BI151" s="843">
        <f t="shared" si="343"/>
        <v>3.4075508228460796E-2</v>
      </c>
      <c r="BJ151" s="844">
        <f t="shared" si="344"/>
        <v>2.5135344160866203E-2</v>
      </c>
      <c r="BK151" s="842">
        <f t="shared" si="340"/>
        <v>5.5267394026113394E-2</v>
      </c>
      <c r="BL151" s="843">
        <f t="shared" si="341"/>
        <v>4.5443380004912798E-2</v>
      </c>
      <c r="BM151" s="843">
        <f t="shared" si="342"/>
        <v>4.4169981159723676E-2</v>
      </c>
      <c r="BN151" s="843">
        <f t="shared" si="343"/>
        <v>6.6408518877057121E-2</v>
      </c>
      <c r="BO151" s="844">
        <f t="shared" si="344"/>
        <v>6.9218870843000768E-2</v>
      </c>
      <c r="BP151" s="842">
        <f t="shared" si="340"/>
        <v>3.8096941513146125E-2</v>
      </c>
      <c r="BQ151" s="843">
        <f t="shared" si="341"/>
        <v>4.519774011299435E-2</v>
      </c>
      <c r="BR151" s="843">
        <f t="shared" si="342"/>
        <v>3.9983253087711952E-2</v>
      </c>
      <c r="BS151" s="843">
        <f t="shared" si="343"/>
        <v>4.0077444336882866E-2</v>
      </c>
      <c r="BT151" s="844">
        <f t="shared" si="344"/>
        <v>2.1655065738592421E-2</v>
      </c>
      <c r="BU151" s="842">
        <f t="shared" si="340"/>
        <v>0</v>
      </c>
      <c r="BV151" s="843" t="e">
        <f t="shared" si="341"/>
        <v>#N/A</v>
      </c>
      <c r="BW151" s="843">
        <f t="shared" si="342"/>
        <v>0</v>
      </c>
      <c r="BX151" s="843">
        <f t="shared" si="343"/>
        <v>2.323330106485963E-3</v>
      </c>
      <c r="BY151" s="844">
        <f t="shared" si="344"/>
        <v>9.2807424593967514E-3</v>
      </c>
    </row>
    <row r="152" spans="1:77" s="89" customFormat="1" ht="11.25" customHeight="1" x14ac:dyDescent="0.2">
      <c r="A152" s="141"/>
      <c r="B152" s="1366"/>
      <c r="C152" s="1366"/>
      <c r="D152" s="1366"/>
      <c r="E152" s="1366"/>
      <c r="F152" s="9"/>
      <c r="G152" s="9"/>
      <c r="H152" s="9"/>
      <c r="I152" s="9"/>
      <c r="J152" s="13"/>
      <c r="K152" s="9"/>
      <c r="L152" s="9"/>
      <c r="M152" s="9"/>
      <c r="N152" s="9"/>
      <c r="O152" s="9"/>
      <c r="P152" s="9"/>
      <c r="Q152" s="9"/>
      <c r="R152" s="9"/>
      <c r="S152" s="9"/>
      <c r="T152" s="9"/>
      <c r="U152" s="11"/>
      <c r="V152" s="11"/>
      <c r="W152" s="11"/>
      <c r="X152" s="12"/>
      <c r="Y152" s="12"/>
      <c r="Z152" s="1308"/>
      <c r="AA152" s="12"/>
      <c r="AB152" s="12"/>
      <c r="AC152" s="241"/>
      <c r="AD152" s="843">
        <f t="shared" si="386"/>
        <v>3.2194480946123524E-2</v>
      </c>
      <c r="AE152" s="843">
        <f t="shared" si="387"/>
        <v>3.7887485648679678E-2</v>
      </c>
      <c r="AF152" s="844">
        <f t="shared" si="388"/>
        <v>5.3126469205453691E-2</v>
      </c>
      <c r="AG152" s="842">
        <f t="shared" si="340"/>
        <v>0.1679413141876073</v>
      </c>
      <c r="AH152" s="843">
        <f t="shared" si="341"/>
        <v>0.20165208940719145</v>
      </c>
      <c r="AI152" s="843">
        <f t="shared" si="342"/>
        <v>0.26379763469119577</v>
      </c>
      <c r="AJ152" s="843">
        <f t="shared" si="343"/>
        <v>0.21393034825870647</v>
      </c>
      <c r="AK152" s="844">
        <f t="shared" si="344"/>
        <v>0.21231781852374235</v>
      </c>
      <c r="AL152" s="842">
        <f t="shared" si="340"/>
        <v>0.11425003901982207</v>
      </c>
      <c r="AM152" s="843">
        <f t="shared" si="341"/>
        <v>0.14212827988338192</v>
      </c>
      <c r="AN152" s="843">
        <f t="shared" si="342"/>
        <v>0.12253613666228647</v>
      </c>
      <c r="AO152" s="843">
        <f t="shared" si="343"/>
        <v>0.13088404133180254</v>
      </c>
      <c r="AP152" s="844">
        <f t="shared" si="344"/>
        <v>0.13511988716502116</v>
      </c>
      <c r="AQ152" s="842">
        <f t="shared" si="340"/>
        <v>9.8329951615420633E-3</v>
      </c>
      <c r="AR152" s="843">
        <f t="shared" si="341"/>
        <v>1.141885325558795E-2</v>
      </c>
      <c r="AS152" s="843">
        <f t="shared" si="342"/>
        <v>2.1024967148488831E-2</v>
      </c>
      <c r="AT152" s="843">
        <f t="shared" si="343"/>
        <v>1.4159969383849981E-2</v>
      </c>
      <c r="AU152" s="844">
        <f t="shared" si="344"/>
        <v>1.3634226610249177E-2</v>
      </c>
      <c r="AV152" s="842">
        <f t="shared" si="340"/>
        <v>8.4438894958638988E-2</v>
      </c>
      <c r="AW152" s="843">
        <f t="shared" si="341"/>
        <v>0.10131195335276968</v>
      </c>
      <c r="AX152" s="843">
        <f t="shared" si="342"/>
        <v>0.17608409986859397</v>
      </c>
      <c r="AY152" s="843">
        <f t="shared" si="343"/>
        <v>0.18446230386528895</v>
      </c>
      <c r="AZ152" s="844">
        <f t="shared" si="344"/>
        <v>0.12214386459802538</v>
      </c>
      <c r="BA152" s="842">
        <f t="shared" si="340"/>
        <v>0.18869985952864055</v>
      </c>
      <c r="BB152" s="843">
        <f t="shared" si="341"/>
        <v>0.23104956268221574</v>
      </c>
      <c r="BC152" s="843">
        <f t="shared" si="342"/>
        <v>0.26248357424441526</v>
      </c>
      <c r="BD152" s="843">
        <f t="shared" si="343"/>
        <v>0.30616150019135091</v>
      </c>
      <c r="BE152" s="844">
        <f t="shared" si="344"/>
        <v>0.3631405735778091</v>
      </c>
      <c r="BF152" s="842">
        <f t="shared" si="340"/>
        <v>1.2642422350554081E-2</v>
      </c>
      <c r="BG152" s="843">
        <f t="shared" si="341"/>
        <v>1.6277939747327504E-2</v>
      </c>
      <c r="BH152" s="843">
        <f t="shared" si="342"/>
        <v>1.5440210249671484E-2</v>
      </c>
      <c r="BI152" s="843">
        <f t="shared" si="343"/>
        <v>2.564102564102564E-2</v>
      </c>
      <c r="BJ152" s="844">
        <f t="shared" si="344"/>
        <v>3.1969910672308414E-2</v>
      </c>
      <c r="BK152" s="842">
        <f t="shared" si="340"/>
        <v>5.4627750897455911E-2</v>
      </c>
      <c r="BL152" s="843">
        <f t="shared" si="341"/>
        <v>4.5675413022351799E-2</v>
      </c>
      <c r="BM152" s="843">
        <f t="shared" si="342"/>
        <v>6.8988173455978977E-2</v>
      </c>
      <c r="BN152" s="843">
        <f t="shared" si="343"/>
        <v>6.0849598163030996E-2</v>
      </c>
      <c r="BO152" s="844">
        <f t="shared" si="344"/>
        <v>5.5195110484250118E-2</v>
      </c>
      <c r="BP152" s="842">
        <f t="shared" si="340"/>
        <v>3.1215857655689089E-2</v>
      </c>
      <c r="BQ152" s="843">
        <f t="shared" si="341"/>
        <v>2.6239067055393587E-2</v>
      </c>
      <c r="BR152" s="843">
        <f t="shared" si="342"/>
        <v>2.9894875164257557E-2</v>
      </c>
      <c r="BS152" s="843">
        <f t="shared" si="343"/>
        <v>2.6023727516264829E-2</v>
      </c>
      <c r="BT152" s="844">
        <f t="shared" si="344"/>
        <v>1.3352139163140573E-2</v>
      </c>
      <c r="BU152" s="842">
        <f t="shared" si="340"/>
        <v>0.29249258623380675</v>
      </c>
      <c r="BV152" s="843">
        <f t="shared" si="341"/>
        <v>0.18950437317784258</v>
      </c>
      <c r="BW152" s="843">
        <f t="shared" si="342"/>
        <v>7.5558475689881735E-3</v>
      </c>
      <c r="BX152" s="843">
        <f t="shared" si="343"/>
        <v>0</v>
      </c>
      <c r="BY152" s="844">
        <f t="shared" si="344"/>
        <v>0</v>
      </c>
    </row>
    <row r="153" spans="1:77" s="89" customFormat="1" ht="11.25" customHeight="1" x14ac:dyDescent="0.2">
      <c r="A153" s="141"/>
      <c r="B153" s="1366" t="s">
        <v>80</v>
      </c>
      <c r="C153" s="1366"/>
      <c r="D153" s="1366"/>
      <c r="E153" s="1366"/>
      <c r="F153" s="9"/>
      <c r="G153" s="9"/>
      <c r="H153" s="9"/>
      <c r="I153" s="9"/>
      <c r="J153" s="13"/>
      <c r="K153" s="9"/>
      <c r="L153" s="9"/>
      <c r="M153" s="9"/>
      <c r="N153" s="9"/>
      <c r="O153" s="9"/>
      <c r="P153" s="9"/>
      <c r="Q153" s="9"/>
      <c r="R153" s="9"/>
      <c r="S153" s="9"/>
      <c r="T153" s="9"/>
      <c r="U153" s="11"/>
      <c r="V153" s="11"/>
      <c r="W153" s="11"/>
      <c r="X153" s="12"/>
      <c r="Y153" s="12"/>
      <c r="Z153" s="1308"/>
      <c r="AA153" s="12"/>
      <c r="AB153" s="12"/>
      <c r="AC153" s="241"/>
      <c r="AD153" s="843">
        <f t="shared" si="386"/>
        <v>5.4970459799640381E-2</v>
      </c>
      <c r="AE153" s="843">
        <f t="shared" si="387"/>
        <v>4.7996477322765303E-2</v>
      </c>
      <c r="AF153" s="844">
        <f t="shared" si="388"/>
        <v>0.11506524317912219</v>
      </c>
      <c r="AG153" s="842">
        <f t="shared" si="340"/>
        <v>0.1833851087283295</v>
      </c>
      <c r="AH153" s="843">
        <f t="shared" si="341"/>
        <v>0.16791298436437799</v>
      </c>
      <c r="AI153" s="843">
        <f t="shared" si="342"/>
        <v>0.18674544053429232</v>
      </c>
      <c r="AJ153" s="843">
        <f t="shared" si="343"/>
        <v>0.20240716277704388</v>
      </c>
      <c r="AK153" s="844">
        <f t="shared" si="344"/>
        <v>0.19157769869513641</v>
      </c>
      <c r="AL153" s="842">
        <f t="shared" si="340"/>
        <v>0.15622807896582824</v>
      </c>
      <c r="AM153" s="843">
        <f t="shared" si="341"/>
        <v>0.13570700203942895</v>
      </c>
      <c r="AN153" s="843">
        <f t="shared" si="342"/>
        <v>0.13888175357479235</v>
      </c>
      <c r="AO153" s="843">
        <f t="shared" si="343"/>
        <v>0.13048583590195215</v>
      </c>
      <c r="AP153" s="844">
        <f t="shared" si="344"/>
        <v>8.8967971530249115E-2</v>
      </c>
      <c r="AQ153" s="842">
        <f t="shared" si="340"/>
        <v>1.2626515682934162E-2</v>
      </c>
      <c r="AR153" s="843">
        <f t="shared" si="341"/>
        <v>7.1380013596193063E-3</v>
      </c>
      <c r="AS153" s="843">
        <f t="shared" si="342"/>
        <v>1.0103604760681565E-2</v>
      </c>
      <c r="AT153" s="843">
        <f t="shared" si="343"/>
        <v>9.247027741083224E-3</v>
      </c>
      <c r="AU153" s="844">
        <f t="shared" si="344"/>
        <v>1.8979833926453145E-2</v>
      </c>
      <c r="AV153" s="842">
        <f t="shared" si="340"/>
        <v>0.10642348932758794</v>
      </c>
      <c r="AW153" s="843">
        <f t="shared" si="341"/>
        <v>9.1689326988443232E-2</v>
      </c>
      <c r="AX153" s="843">
        <f t="shared" si="342"/>
        <v>9.2987413305933728E-2</v>
      </c>
      <c r="AY153" s="843">
        <f t="shared" si="343"/>
        <v>0.12813738441215325</v>
      </c>
      <c r="AZ153" s="844">
        <f t="shared" si="344"/>
        <v>0.17793594306049823</v>
      </c>
      <c r="BA153" s="842">
        <f t="shared" si="340"/>
        <v>0.34271971139392726</v>
      </c>
      <c r="BB153" s="843">
        <f t="shared" si="341"/>
        <v>0.41281441196464991</v>
      </c>
      <c r="BC153" s="843">
        <f t="shared" si="342"/>
        <v>0.39635242743385563</v>
      </c>
      <c r="BD153" s="843">
        <f t="shared" si="343"/>
        <v>0.38154997798326729</v>
      </c>
      <c r="BE153" s="844">
        <f t="shared" si="344"/>
        <v>0.32325029655990511</v>
      </c>
      <c r="BF153" s="842">
        <f t="shared" si="340"/>
        <v>3.8180178374586635E-2</v>
      </c>
      <c r="BG153" s="843">
        <f t="shared" si="341"/>
        <v>2.7107409925220937E-2</v>
      </c>
      <c r="BH153" s="843">
        <f t="shared" si="342"/>
        <v>3.0910180666152923E-2</v>
      </c>
      <c r="BI153" s="843">
        <f t="shared" si="343"/>
        <v>2.6933803023631294E-2</v>
      </c>
      <c r="BJ153" s="844">
        <f t="shared" si="344"/>
        <v>2.7876631079478055E-2</v>
      </c>
      <c r="BK153" s="842">
        <f t="shared" si="340"/>
        <v>7.3754885259043987E-2</v>
      </c>
      <c r="BL153" s="843">
        <f t="shared" si="341"/>
        <v>7.4609109449354186E-2</v>
      </c>
      <c r="BM153" s="843">
        <f t="shared" si="342"/>
        <v>7.0810857093929272E-2</v>
      </c>
      <c r="BN153" s="843">
        <f t="shared" si="343"/>
        <v>5.8931454572141495E-2</v>
      </c>
      <c r="BO153" s="844">
        <f t="shared" si="344"/>
        <v>2.2538552787663108E-2</v>
      </c>
      <c r="BP153" s="842">
        <f t="shared" si="340"/>
        <v>1.7436616895480508E-2</v>
      </c>
      <c r="BQ153" s="843">
        <f t="shared" si="341"/>
        <v>2.2943575798776341E-2</v>
      </c>
      <c r="BR153" s="843">
        <f t="shared" si="342"/>
        <v>1.8237862830721808E-2</v>
      </c>
      <c r="BS153" s="843">
        <f t="shared" si="343"/>
        <v>1.4310876265962131E-2</v>
      </c>
      <c r="BT153" s="844">
        <f t="shared" si="344"/>
        <v>2.1945432977461446E-2</v>
      </c>
      <c r="BU153" s="842">
        <f t="shared" si="340"/>
        <v>0</v>
      </c>
      <c r="BV153" s="843">
        <f t="shared" si="341"/>
        <v>0</v>
      </c>
      <c r="BW153" s="843">
        <f t="shared" si="342"/>
        <v>0</v>
      </c>
      <c r="BX153" s="843">
        <f t="shared" si="343"/>
        <v>0</v>
      </c>
      <c r="BY153" s="844">
        <f t="shared" si="344"/>
        <v>1.1862396204033215E-2</v>
      </c>
    </row>
    <row r="154" spans="1:77" s="89" customFormat="1" ht="11.25" customHeight="1" x14ac:dyDescent="0.2">
      <c r="A154" s="141"/>
      <c r="B154" s="1366"/>
      <c r="C154" s="1366"/>
      <c r="D154" s="1366"/>
      <c r="E154" s="1366"/>
      <c r="F154" s="9"/>
      <c r="G154" s="9"/>
      <c r="H154" s="9"/>
      <c r="I154" s="9"/>
      <c r="J154" s="13"/>
      <c r="K154" s="9"/>
      <c r="L154" s="9"/>
      <c r="M154" s="9"/>
      <c r="N154" s="9"/>
      <c r="O154" s="9"/>
      <c r="P154" s="9"/>
      <c r="Q154" s="9"/>
      <c r="R154" s="9"/>
      <c r="S154" s="9"/>
      <c r="T154" s="9"/>
      <c r="U154" s="11"/>
      <c r="V154" s="11"/>
      <c r="W154" s="11"/>
      <c r="X154" s="12"/>
      <c r="Y154" s="12"/>
      <c r="Z154" s="1308"/>
      <c r="AA154" s="12"/>
      <c r="AB154" s="12"/>
      <c r="AC154" s="241"/>
      <c r="AD154" s="843">
        <f t="shared" si="386"/>
        <v>7.2823568354849391E-2</v>
      </c>
      <c r="AE154" s="843">
        <f t="shared" si="387"/>
        <v>8.7951475048249239E-2</v>
      </c>
      <c r="AF154" s="844">
        <f t="shared" si="388"/>
        <v>8.6406743940990516E-2</v>
      </c>
      <c r="AG154" s="842">
        <f t="shared" ref="AG154:BU161" si="389">IF(ISERROR(AG181/$BZ181),NA(),AG181/$BZ181)</f>
        <v>0.19013006885998471</v>
      </c>
      <c r="AH154" s="843">
        <f t="shared" ref="AH154:BV161" si="390">IF(ISERROR(AH181/$CA181),NA(),AH181/$CA181)</f>
        <v>0.181791483113069</v>
      </c>
      <c r="AI154" s="843">
        <f t="shared" ref="AI154:BW161" si="391">IF(ISERROR(AI181/$CB181),NA(),AI181/$CB181)</f>
        <v>0.2082092022509103</v>
      </c>
      <c r="AJ154" s="843">
        <f t="shared" ref="AJ154:BX161" si="392">IF(ISERROR(AJ181/$CC181),NA(),AJ181/$CC181)</f>
        <v>0.20126826578439483</v>
      </c>
      <c r="AK154" s="844">
        <f t="shared" ref="AK154:BY161" si="393">IF(ISERROR(AK181/$CD181),NA(),AK181/$CD181)</f>
        <v>0.21559536354056902</v>
      </c>
      <c r="AL154" s="842">
        <f t="shared" si="389"/>
        <v>0.1342769701606733</v>
      </c>
      <c r="AM154" s="843">
        <f t="shared" si="390"/>
        <v>0.11512481644640235</v>
      </c>
      <c r="AN154" s="843">
        <f t="shared" si="391"/>
        <v>8.771929824561403E-2</v>
      </c>
      <c r="AO154" s="843">
        <f t="shared" si="392"/>
        <v>0.12682657843948167</v>
      </c>
      <c r="AP154" s="844">
        <f t="shared" si="393"/>
        <v>0.12002107481559536</v>
      </c>
      <c r="AQ154" s="842" t="e">
        <f t="shared" si="389"/>
        <v>#N/A</v>
      </c>
      <c r="AR154" s="843">
        <f t="shared" si="390"/>
        <v>1.9676945668135097E-2</v>
      </c>
      <c r="AS154" s="843">
        <f t="shared" si="391"/>
        <v>1.0923535253227408E-2</v>
      </c>
      <c r="AT154" s="843">
        <f t="shared" si="392"/>
        <v>1.2682657843948167E-2</v>
      </c>
      <c r="AU154" s="844">
        <f t="shared" si="393"/>
        <v>1.5068493150684932E-2</v>
      </c>
      <c r="AV154" s="842">
        <f t="shared" si="389"/>
        <v>8.4162203519510329E-2</v>
      </c>
      <c r="AW154" s="843">
        <f t="shared" si="390"/>
        <v>7.8120411160058731E-2</v>
      </c>
      <c r="AX154" s="843">
        <f t="shared" si="391"/>
        <v>8.8050314465408799E-2</v>
      </c>
      <c r="AY154" s="843">
        <f t="shared" si="392"/>
        <v>6.892748828232699E-2</v>
      </c>
      <c r="AZ154" s="844">
        <f t="shared" si="393"/>
        <v>0.15732349841938884</v>
      </c>
      <c r="BA154" s="842">
        <f t="shared" si="389"/>
        <v>0.31866870696250954</v>
      </c>
      <c r="BB154" s="843">
        <f t="shared" si="390"/>
        <v>0.32276064610866373</v>
      </c>
      <c r="BC154" s="843">
        <f t="shared" si="391"/>
        <v>0.37140019860973189</v>
      </c>
      <c r="BD154" s="843">
        <f t="shared" si="392"/>
        <v>0.35318444995864351</v>
      </c>
      <c r="BE154" s="844">
        <f t="shared" si="393"/>
        <v>0.26933614330874606</v>
      </c>
      <c r="BF154" s="842">
        <f t="shared" si="389"/>
        <v>1.6067329762815608E-2</v>
      </c>
      <c r="BG154" s="843">
        <f t="shared" si="390"/>
        <v>2.1145374449339206E-2</v>
      </c>
      <c r="BH154" s="843">
        <f t="shared" si="391"/>
        <v>2.1847070506454815E-2</v>
      </c>
      <c r="BI154" s="843">
        <f t="shared" si="392"/>
        <v>2.3159636062861869E-2</v>
      </c>
      <c r="BJ154" s="844">
        <f t="shared" si="393"/>
        <v>3.0769230769230771E-2</v>
      </c>
      <c r="BK154" s="842">
        <f t="shared" si="389"/>
        <v>6.6182096403978583E-2</v>
      </c>
      <c r="BL154" s="843">
        <f t="shared" si="390"/>
        <v>1.7327459618208516E-2</v>
      </c>
      <c r="BM154" s="843">
        <f t="shared" si="391"/>
        <v>5.9582919563058591E-2</v>
      </c>
      <c r="BN154" s="843">
        <f t="shared" si="392"/>
        <v>5.7899090157154671E-2</v>
      </c>
      <c r="BO154" s="844">
        <f t="shared" si="393"/>
        <v>6.417281348788198E-2</v>
      </c>
      <c r="BP154" s="842">
        <f t="shared" si="389"/>
        <v>1.3771996939556235E-2</v>
      </c>
      <c r="BQ154" s="843">
        <f t="shared" si="390"/>
        <v>3.5829662261380325E-2</v>
      </c>
      <c r="BR154" s="843">
        <f t="shared" si="391"/>
        <v>2.5488248924197286E-2</v>
      </c>
      <c r="BS154" s="843">
        <f t="shared" si="392"/>
        <v>3.9702233250620347E-2</v>
      </c>
      <c r="BT154" s="844">
        <f t="shared" si="393"/>
        <v>0</v>
      </c>
      <c r="BU154" s="842">
        <f t="shared" si="389"/>
        <v>9.6021423106350423E-2</v>
      </c>
      <c r="BV154" s="843">
        <f t="shared" si="390"/>
        <v>0.11336270190895742</v>
      </c>
      <c r="BW154" s="843">
        <f t="shared" si="391"/>
        <v>5.3955643826547502E-2</v>
      </c>
      <c r="BX154" s="843">
        <f t="shared" si="392"/>
        <v>2.8398125172318722E-2</v>
      </c>
      <c r="BY154" s="844">
        <f t="shared" si="393"/>
        <v>4.1306638566912537E-2</v>
      </c>
    </row>
    <row r="155" spans="1:77" s="89" customFormat="1" ht="11.25" customHeight="1" x14ac:dyDescent="0.2">
      <c r="A155" s="141"/>
      <c r="B155" s="1366" t="s">
        <v>69</v>
      </c>
      <c r="C155" s="1366"/>
      <c r="D155" s="1366"/>
      <c r="E155" s="1366"/>
      <c r="F155" s="9"/>
      <c r="G155" s="9"/>
      <c r="H155" s="9"/>
      <c r="I155" s="9"/>
      <c r="J155" s="13"/>
      <c r="K155" s="9"/>
      <c r="L155" s="9"/>
      <c r="M155" s="9"/>
      <c r="N155" s="9"/>
      <c r="O155" s="9"/>
      <c r="P155" s="9"/>
      <c r="Q155" s="9"/>
      <c r="R155" s="9"/>
      <c r="S155" s="9"/>
      <c r="T155" s="9"/>
      <c r="U155" s="11"/>
      <c r="V155" s="11"/>
      <c r="W155" s="11"/>
      <c r="X155" s="12"/>
      <c r="Y155" s="12"/>
      <c r="Z155" s="1308"/>
      <c r="AA155" s="12"/>
      <c r="AB155" s="12"/>
      <c r="AC155" s="241"/>
      <c r="AD155" s="843">
        <f t="shared" si="386"/>
        <v>7.858910891089109E-2</v>
      </c>
      <c r="AE155" s="843">
        <f t="shared" si="387"/>
        <v>7.8116343490304704E-2</v>
      </c>
      <c r="AF155" s="844">
        <f t="shared" si="388"/>
        <v>7.8414096916299553E-2</v>
      </c>
      <c r="AG155" s="842">
        <f t="shared" si="389"/>
        <v>0.14807872539831302</v>
      </c>
      <c r="AH155" s="843">
        <f t="shared" si="390"/>
        <v>0.15442655935613683</v>
      </c>
      <c r="AI155" s="843">
        <f t="shared" si="391"/>
        <v>0.24195544554455445</v>
      </c>
      <c r="AJ155" s="843">
        <f t="shared" si="392"/>
        <v>0.2116343490304709</v>
      </c>
      <c r="AK155" s="844">
        <f t="shared" si="393"/>
        <v>0.16211453744493393</v>
      </c>
      <c r="AL155" s="842">
        <f t="shared" si="389"/>
        <v>0.16729147141518275</v>
      </c>
      <c r="AM155" s="843">
        <f t="shared" si="390"/>
        <v>0.13078470824949698</v>
      </c>
      <c r="AN155" s="843">
        <f t="shared" si="391"/>
        <v>0.10024752475247525</v>
      </c>
      <c r="AO155" s="843">
        <f t="shared" si="392"/>
        <v>0.14459833795013852</v>
      </c>
      <c r="AP155" s="844">
        <f t="shared" si="393"/>
        <v>0.11453744493392071</v>
      </c>
      <c r="AQ155" s="842">
        <f t="shared" si="389"/>
        <v>7.0290534208059981E-3</v>
      </c>
      <c r="AR155" s="843">
        <f t="shared" si="390"/>
        <v>5.0301810865191147E-3</v>
      </c>
      <c r="AS155" s="843">
        <f t="shared" si="391"/>
        <v>1.2376237623762377E-2</v>
      </c>
      <c r="AT155" s="843">
        <f t="shared" si="392"/>
        <v>4.9861495844875344E-3</v>
      </c>
      <c r="AU155" s="844">
        <f t="shared" si="393"/>
        <v>8.8105726872246704E-3</v>
      </c>
      <c r="AV155" s="842">
        <f t="shared" si="389"/>
        <v>0.1471415182755389</v>
      </c>
      <c r="AW155" s="843">
        <f t="shared" si="390"/>
        <v>0.23440643863179075</v>
      </c>
      <c r="AX155" s="843">
        <f t="shared" si="391"/>
        <v>0.22896039603960397</v>
      </c>
      <c r="AY155" s="843">
        <f t="shared" si="392"/>
        <v>0.15401662049861495</v>
      </c>
      <c r="AZ155" s="844">
        <f t="shared" si="393"/>
        <v>6.7841409691629953E-2</v>
      </c>
      <c r="BA155" s="842">
        <f t="shared" si="389"/>
        <v>0.25773195876288657</v>
      </c>
      <c r="BB155" s="843">
        <f t="shared" si="390"/>
        <v>0.26156941649899396</v>
      </c>
      <c r="BC155" s="843">
        <f t="shared" si="391"/>
        <v>0.2172029702970297</v>
      </c>
      <c r="BD155" s="843">
        <f t="shared" si="392"/>
        <v>0.24099722991689751</v>
      </c>
      <c r="BE155" s="844">
        <f t="shared" si="393"/>
        <v>0.35330396475770925</v>
      </c>
      <c r="BF155" s="842">
        <f t="shared" si="389"/>
        <v>2.0149953139643861E-2</v>
      </c>
      <c r="BG155" s="843">
        <f t="shared" si="390"/>
        <v>1.659959758551308E-2</v>
      </c>
      <c r="BH155" s="843">
        <f t="shared" si="391"/>
        <v>1.1757425742574257E-2</v>
      </c>
      <c r="BI155" s="843">
        <f t="shared" si="392"/>
        <v>1.2742382271468145E-2</v>
      </c>
      <c r="BJ155" s="844">
        <f t="shared" si="393"/>
        <v>2.378854625550661E-2</v>
      </c>
      <c r="BK155" s="842">
        <f t="shared" si="389"/>
        <v>9.2314901593252105E-2</v>
      </c>
      <c r="BL155" s="843">
        <f t="shared" si="390"/>
        <v>8.2997987927565395E-2</v>
      </c>
      <c r="BM155" s="843">
        <f t="shared" si="391"/>
        <v>5.6311881188118813E-2</v>
      </c>
      <c r="BN155" s="843">
        <f t="shared" si="392"/>
        <v>8.6426592797783933E-2</v>
      </c>
      <c r="BO155" s="844">
        <f t="shared" si="393"/>
        <v>0.13039647577092511</v>
      </c>
      <c r="BP155" s="842">
        <f t="shared" si="389"/>
        <v>4.5454545454545456E-2</v>
      </c>
      <c r="BQ155" s="843">
        <f t="shared" si="390"/>
        <v>3.5714285714285712E-2</v>
      </c>
      <c r="BR155" s="843">
        <f t="shared" si="391"/>
        <v>2.7227722772277228E-2</v>
      </c>
      <c r="BS155" s="843">
        <f t="shared" si="392"/>
        <v>3.3795013850415515E-2</v>
      </c>
      <c r="BT155" s="844">
        <f t="shared" si="393"/>
        <v>1.6740088105726872E-2</v>
      </c>
      <c r="BU155" s="842">
        <f t="shared" si="389"/>
        <v>0</v>
      </c>
      <c r="BV155" s="843">
        <f t="shared" si="390"/>
        <v>1.1066398390342052E-2</v>
      </c>
      <c r="BW155" s="843">
        <f t="shared" si="391"/>
        <v>2.5371287128712873E-2</v>
      </c>
      <c r="BX155" s="843">
        <f t="shared" si="392"/>
        <v>3.2686980609418284E-2</v>
      </c>
      <c r="BY155" s="844">
        <f t="shared" si="393"/>
        <v>4.405286343612335E-2</v>
      </c>
    </row>
    <row r="156" spans="1:77" s="89" customFormat="1" ht="11.25" customHeight="1" x14ac:dyDescent="0.2">
      <c r="A156" s="141"/>
      <c r="B156" s="1366"/>
      <c r="C156" s="1366"/>
      <c r="D156" s="1366"/>
      <c r="E156" s="1366"/>
      <c r="F156" s="9"/>
      <c r="G156" s="9"/>
      <c r="H156" s="9"/>
      <c r="I156" s="9"/>
      <c r="J156" s="13"/>
      <c r="K156" s="9"/>
      <c r="L156" s="9"/>
      <c r="M156" s="9"/>
      <c r="N156" s="9"/>
      <c r="O156" s="9"/>
      <c r="P156" s="9"/>
      <c r="Q156" s="9"/>
      <c r="R156" s="9"/>
      <c r="S156" s="9"/>
      <c r="T156" s="9"/>
      <c r="U156" s="11"/>
      <c r="V156" s="11"/>
      <c r="W156" s="11"/>
      <c r="X156" s="12"/>
      <c r="Y156" s="12"/>
      <c r="Z156" s="1308"/>
      <c r="AA156" s="12"/>
      <c r="AB156" s="12"/>
      <c r="AC156" s="241"/>
      <c r="AD156" s="843">
        <f t="shared" si="386"/>
        <v>8.1113801452784504E-2</v>
      </c>
      <c r="AE156" s="843">
        <f t="shared" si="387"/>
        <v>9.3163538873994645E-2</v>
      </c>
      <c r="AF156" s="844">
        <f t="shared" si="388"/>
        <v>8.3284457478005863E-2</v>
      </c>
      <c r="AG156" s="842">
        <f t="shared" si="389"/>
        <v>0.20651310563939634</v>
      </c>
      <c r="AH156" s="843">
        <f t="shared" si="390"/>
        <v>0.18869309838472834</v>
      </c>
      <c r="AI156" s="843">
        <f t="shared" si="391"/>
        <v>0.2076271186440678</v>
      </c>
      <c r="AJ156" s="843">
        <f t="shared" si="392"/>
        <v>0.22050938337801609</v>
      </c>
      <c r="AK156" s="844">
        <f t="shared" si="393"/>
        <v>0.20234604105571846</v>
      </c>
      <c r="AL156" s="842">
        <f t="shared" si="389"/>
        <v>9.451945988880063E-2</v>
      </c>
      <c r="AM156" s="843">
        <f t="shared" si="390"/>
        <v>0.10719530102790015</v>
      </c>
      <c r="AN156" s="843">
        <f t="shared" si="391"/>
        <v>7.9297820823244547E-2</v>
      </c>
      <c r="AO156" s="843">
        <f t="shared" si="392"/>
        <v>0.12533512064343164</v>
      </c>
      <c r="AP156" s="844">
        <f t="shared" si="393"/>
        <v>0.14838709677419354</v>
      </c>
      <c r="AQ156" s="842">
        <f t="shared" si="389"/>
        <v>2.8594122319301033E-2</v>
      </c>
      <c r="AR156" s="843">
        <f t="shared" si="390"/>
        <v>3.9647577092511016E-2</v>
      </c>
      <c r="AS156" s="843">
        <f t="shared" si="391"/>
        <v>2.1186440677966101E-2</v>
      </c>
      <c r="AT156" s="843">
        <f t="shared" si="392"/>
        <v>1.876675603217158E-2</v>
      </c>
      <c r="AU156" s="844">
        <f t="shared" si="393"/>
        <v>5.2785923753665689E-3</v>
      </c>
      <c r="AV156" s="842">
        <f t="shared" si="389"/>
        <v>0.21922160444797459</v>
      </c>
      <c r="AW156" s="843">
        <f t="shared" si="390"/>
        <v>0.22760646108663729</v>
      </c>
      <c r="AX156" s="843">
        <f t="shared" si="391"/>
        <v>0.24818401937046006</v>
      </c>
      <c r="AY156" s="843">
        <f t="shared" si="392"/>
        <v>0.17024128686327078</v>
      </c>
      <c r="AZ156" s="844">
        <f t="shared" si="393"/>
        <v>8.8563049853372433E-2</v>
      </c>
      <c r="BA156" s="842">
        <f t="shared" si="389"/>
        <v>0.21127879269261318</v>
      </c>
      <c r="BB156" s="843">
        <f t="shared" si="390"/>
        <v>0.20925110132158589</v>
      </c>
      <c r="BC156" s="843">
        <f t="shared" si="391"/>
        <v>0.28329297820823246</v>
      </c>
      <c r="BD156" s="843">
        <f t="shared" si="392"/>
        <v>0.32037533512064342</v>
      </c>
      <c r="BE156" s="844">
        <f t="shared" si="393"/>
        <v>0.36187683284457478</v>
      </c>
      <c r="BF156" s="842">
        <f t="shared" si="389"/>
        <v>2.7799841143764891E-2</v>
      </c>
      <c r="BG156" s="843">
        <f t="shared" si="390"/>
        <v>1.7621145374449341E-2</v>
      </c>
      <c r="BH156" s="843">
        <f t="shared" si="391"/>
        <v>2.8450363196125907E-2</v>
      </c>
      <c r="BI156" s="843" t="e">
        <f t="shared" si="392"/>
        <v>#N/A</v>
      </c>
      <c r="BJ156" s="844">
        <f t="shared" si="393"/>
        <v>2.404692082111437E-2</v>
      </c>
      <c r="BK156" s="842">
        <f t="shared" si="389"/>
        <v>9.9285146942017469E-2</v>
      </c>
      <c r="BL156" s="843">
        <f t="shared" si="390"/>
        <v>0.15198237885462554</v>
      </c>
      <c r="BM156" s="843">
        <f t="shared" si="391"/>
        <v>4.0556900726392252E-2</v>
      </c>
      <c r="BN156" s="843">
        <f t="shared" si="392"/>
        <v>3.5522788203753354E-2</v>
      </c>
      <c r="BO156" s="844">
        <f t="shared" si="393"/>
        <v>5.1026392961876832E-2</v>
      </c>
      <c r="BP156" s="842">
        <f t="shared" si="389"/>
        <v>1.0325655281969817E-2</v>
      </c>
      <c r="BQ156" s="843" t="e">
        <f t="shared" si="390"/>
        <v>#N/A</v>
      </c>
      <c r="BR156" s="843">
        <f t="shared" si="391"/>
        <v>1.0290556900726392E-2</v>
      </c>
      <c r="BS156" s="843">
        <f t="shared" si="392"/>
        <v>1.6085790884718499E-2</v>
      </c>
      <c r="BT156" s="844">
        <f t="shared" si="393"/>
        <v>1.6422287390029325E-2</v>
      </c>
      <c r="BU156" s="842">
        <f t="shared" si="389"/>
        <v>0</v>
      </c>
      <c r="BV156" s="843" t="e">
        <f t="shared" si="390"/>
        <v>#N/A</v>
      </c>
      <c r="BW156" s="843">
        <f t="shared" si="391"/>
        <v>0</v>
      </c>
      <c r="BX156" s="843" t="e">
        <f t="shared" si="392"/>
        <v>#N/A</v>
      </c>
      <c r="BY156" s="844">
        <f t="shared" si="393"/>
        <v>1.8768328445747801E-2</v>
      </c>
    </row>
    <row r="157" spans="1:77" s="89" customFormat="1" ht="11.25" customHeight="1" x14ac:dyDescent="0.2">
      <c r="A157" s="141"/>
      <c r="B157" s="1366" t="s">
        <v>24</v>
      </c>
      <c r="C157" s="1366"/>
      <c r="D157" s="1366"/>
      <c r="E157" s="1366"/>
      <c r="F157" s="9"/>
      <c r="G157" s="9"/>
      <c r="H157" s="9"/>
      <c r="I157" s="9"/>
      <c r="J157" s="13"/>
      <c r="K157" s="9"/>
      <c r="L157" s="9"/>
      <c r="M157" s="9"/>
      <c r="N157" s="9"/>
      <c r="O157" s="9"/>
      <c r="P157" s="9"/>
      <c r="Q157" s="9"/>
      <c r="R157" s="9"/>
      <c r="S157" s="9"/>
      <c r="T157" s="9"/>
      <c r="U157" s="11"/>
      <c r="V157" s="11"/>
      <c r="W157" s="11"/>
      <c r="X157" s="12"/>
      <c r="Y157" s="12"/>
      <c r="Z157" s="1308"/>
      <c r="AA157" s="12"/>
      <c r="AB157" s="12"/>
      <c r="AC157" s="241"/>
      <c r="AD157" s="843">
        <f t="shared" si="386"/>
        <v>0.2415055485642375</v>
      </c>
      <c r="AE157" s="843">
        <f t="shared" si="387"/>
        <v>9.1945972986493249E-2</v>
      </c>
      <c r="AF157" s="844">
        <f t="shared" si="388"/>
        <v>0.12976501305483029</v>
      </c>
      <c r="AG157" s="842">
        <f t="shared" si="389"/>
        <v>0.13474049443400318</v>
      </c>
      <c r="AH157" s="843">
        <f t="shared" si="390"/>
        <v>0.1477844605376212</v>
      </c>
      <c r="AI157" s="843">
        <f t="shared" si="391"/>
        <v>0.17778286237272622</v>
      </c>
      <c r="AJ157" s="843">
        <f t="shared" si="392"/>
        <v>0.18779389694847423</v>
      </c>
      <c r="AK157" s="844">
        <f t="shared" si="393"/>
        <v>0.15091383812010445</v>
      </c>
      <c r="AL157" s="842">
        <f t="shared" si="389"/>
        <v>0.11435593465375163</v>
      </c>
      <c r="AM157" s="843">
        <f t="shared" si="390"/>
        <v>9.389959494292377E-2</v>
      </c>
      <c r="AN157" s="843">
        <f t="shared" si="391"/>
        <v>0.1141745795675552</v>
      </c>
      <c r="AO157" s="843">
        <f t="shared" si="392"/>
        <v>0.10835417708854428</v>
      </c>
      <c r="AP157" s="844">
        <f t="shared" si="393"/>
        <v>0.15874673629242819</v>
      </c>
      <c r="AQ157" s="842">
        <f t="shared" si="389"/>
        <v>1.6191990747433858E-2</v>
      </c>
      <c r="AR157" s="843">
        <f t="shared" si="390"/>
        <v>1.7306984165950657E-2</v>
      </c>
      <c r="AS157" s="843">
        <f t="shared" si="391"/>
        <v>1.3728406360828281E-2</v>
      </c>
      <c r="AT157" s="843">
        <f t="shared" si="392"/>
        <v>1.8209104552276138E-2</v>
      </c>
      <c r="AU157" s="844">
        <f t="shared" si="393"/>
        <v>8.3550913838120102E-3</v>
      </c>
      <c r="AV157" s="842">
        <f t="shared" si="389"/>
        <v>0.12259650137342779</v>
      </c>
      <c r="AW157" s="843">
        <f t="shared" si="390"/>
        <v>9.5618018902663554E-2</v>
      </c>
      <c r="AX157" s="843">
        <f t="shared" si="391"/>
        <v>7.5735041757236013E-2</v>
      </c>
      <c r="AY157" s="843">
        <f t="shared" si="392"/>
        <v>0.18199099549774889</v>
      </c>
      <c r="AZ157" s="844">
        <f t="shared" si="393"/>
        <v>0.15091383812010445</v>
      </c>
      <c r="BA157" s="842">
        <f t="shared" si="389"/>
        <v>0.33583923666329335</v>
      </c>
      <c r="BB157" s="843">
        <f t="shared" si="390"/>
        <v>0.31447158463238001</v>
      </c>
      <c r="BC157" s="843">
        <f t="shared" si="391"/>
        <v>0.30774510925523396</v>
      </c>
      <c r="BD157" s="843">
        <f t="shared" si="392"/>
        <v>0.29144572286143072</v>
      </c>
      <c r="BE157" s="844">
        <f t="shared" si="393"/>
        <v>0.26318537859007834</v>
      </c>
      <c r="BF157" s="842">
        <f t="shared" si="389"/>
        <v>3.74439786034408E-2</v>
      </c>
      <c r="BG157" s="843">
        <f t="shared" si="390"/>
        <v>4.1242175033754755E-2</v>
      </c>
      <c r="BH157" s="843">
        <f t="shared" si="391"/>
        <v>3.5465049765473058E-2</v>
      </c>
      <c r="BI157" s="843">
        <f t="shared" si="392"/>
        <v>3.6318159079539773E-2</v>
      </c>
      <c r="BJ157" s="844">
        <f t="shared" si="393"/>
        <v>3.5509138381201046E-2</v>
      </c>
      <c r="BK157" s="842">
        <f t="shared" si="389"/>
        <v>3.6142836489807722E-3</v>
      </c>
      <c r="BL157" s="843">
        <f t="shared" si="390"/>
        <v>8.2238860930403824E-3</v>
      </c>
      <c r="BM157" s="843">
        <f t="shared" si="391"/>
        <v>4.4617320672691915E-3</v>
      </c>
      <c r="BN157" s="843">
        <f t="shared" si="392"/>
        <v>6.9034517258629316E-2</v>
      </c>
      <c r="BO157" s="844">
        <f t="shared" si="393"/>
        <v>6.1096605744125329E-2</v>
      </c>
      <c r="BP157" s="842">
        <f t="shared" si="389"/>
        <v>0</v>
      </c>
      <c r="BQ157" s="843">
        <f t="shared" si="390"/>
        <v>0</v>
      </c>
      <c r="BR157" s="843">
        <f t="shared" si="391"/>
        <v>0</v>
      </c>
      <c r="BS157" s="843">
        <f t="shared" si="392"/>
        <v>0</v>
      </c>
      <c r="BT157" s="844">
        <f t="shared" si="393"/>
        <v>3.9686684073107048E-2</v>
      </c>
      <c r="BU157" s="842">
        <f t="shared" si="389"/>
        <v>2.9203411883764636E-2</v>
      </c>
      <c r="BV157" s="843">
        <f t="shared" si="390"/>
        <v>3.3877500920584266E-2</v>
      </c>
      <c r="BW157" s="843">
        <f t="shared" si="391"/>
        <v>2.9401670289440567E-2</v>
      </c>
      <c r="BX157" s="843">
        <f t="shared" si="392"/>
        <v>1.4907453726863432E-2</v>
      </c>
      <c r="BY157" s="844">
        <f t="shared" si="393"/>
        <v>1.8276762402088772E-3</v>
      </c>
    </row>
    <row r="158" spans="1:77" s="89" customFormat="1" ht="11.25" customHeight="1" x14ac:dyDescent="0.2">
      <c r="A158" s="141"/>
      <c r="B158" s="1366"/>
      <c r="C158" s="1366"/>
      <c r="D158" s="1366"/>
      <c r="E158" s="1366"/>
      <c r="F158" s="9"/>
      <c r="G158" s="9"/>
      <c r="H158" s="9"/>
      <c r="I158" s="9"/>
      <c r="J158" s="13"/>
      <c r="K158" s="9"/>
      <c r="L158" s="9"/>
      <c r="M158" s="9"/>
      <c r="N158" s="9"/>
      <c r="O158" s="9"/>
      <c r="P158" s="9"/>
      <c r="Q158" s="9"/>
      <c r="R158" s="9"/>
      <c r="S158" s="9"/>
      <c r="T158" s="9"/>
      <c r="U158" s="11"/>
      <c r="V158" s="11"/>
      <c r="W158" s="11"/>
      <c r="X158" s="12"/>
      <c r="Y158" s="12"/>
      <c r="Z158" s="1308"/>
      <c r="AA158" s="12"/>
      <c r="AB158" s="12"/>
      <c r="AC158" s="241"/>
      <c r="AD158" s="843">
        <f t="shared" si="386"/>
        <v>3.7373737373737372E-2</v>
      </c>
      <c r="AE158" s="843">
        <f t="shared" si="387"/>
        <v>0.13854853911404336</v>
      </c>
      <c r="AF158" s="844">
        <f t="shared" si="388"/>
        <v>5.5212831585441088E-2</v>
      </c>
      <c r="AG158" s="842">
        <f t="shared" si="389"/>
        <v>0.17929050814956854</v>
      </c>
      <c r="AH158" s="843">
        <f t="shared" si="390"/>
        <v>0.11521152115211521</v>
      </c>
      <c r="AI158" s="843">
        <f t="shared" si="391"/>
        <v>0.16666666666666666</v>
      </c>
      <c r="AJ158" s="843">
        <f t="shared" si="392"/>
        <v>9.1423185673892557E-2</v>
      </c>
      <c r="AK158" s="844">
        <f t="shared" si="393"/>
        <v>0.20141887723627391</v>
      </c>
      <c r="AL158" s="842">
        <f t="shared" si="389"/>
        <v>0.1361457334611697</v>
      </c>
      <c r="AM158" s="843">
        <f t="shared" si="390"/>
        <v>9.9909990999099904E-2</v>
      </c>
      <c r="AN158" s="843">
        <f t="shared" si="391"/>
        <v>7.1717171717171721E-2</v>
      </c>
      <c r="AO158" s="843">
        <f t="shared" si="392"/>
        <v>0.12535344015080113</v>
      </c>
      <c r="AP158" s="844">
        <f t="shared" si="393"/>
        <v>0.12769895126465144</v>
      </c>
      <c r="AQ158" s="842" t="e">
        <f t="shared" si="389"/>
        <v>#N/A</v>
      </c>
      <c r="AR158" s="843">
        <f t="shared" si="390"/>
        <v>9.9009900990099011E-3</v>
      </c>
      <c r="AS158" s="843" t="e">
        <f t="shared" si="391"/>
        <v>#N/A</v>
      </c>
      <c r="AT158" s="843">
        <f t="shared" si="392"/>
        <v>6.5975494816211122E-3</v>
      </c>
      <c r="AU158" s="844">
        <f t="shared" si="393"/>
        <v>1.1721159777914868E-2</v>
      </c>
      <c r="AV158" s="842">
        <f t="shared" si="389"/>
        <v>0.21764141898370087</v>
      </c>
      <c r="AW158" s="843">
        <f t="shared" si="390"/>
        <v>0.38073807380738073</v>
      </c>
      <c r="AX158" s="843">
        <f t="shared" si="391"/>
        <v>0.41414141414141414</v>
      </c>
      <c r="AY158" s="843">
        <f t="shared" si="392"/>
        <v>9.8963242224316683E-2</v>
      </c>
      <c r="AZ158" s="844">
        <f t="shared" si="393"/>
        <v>8.3590376310919187E-2</v>
      </c>
      <c r="BA158" s="842">
        <f t="shared" si="389"/>
        <v>0.25886864813039312</v>
      </c>
      <c r="BB158" s="843">
        <f t="shared" si="390"/>
        <v>0.23852385238523852</v>
      </c>
      <c r="BC158" s="843">
        <f t="shared" si="391"/>
        <v>0.27676767676767677</v>
      </c>
      <c r="BD158" s="843">
        <f t="shared" si="392"/>
        <v>0.35061262959472195</v>
      </c>
      <c r="BE158" s="844">
        <f t="shared" si="393"/>
        <v>0.37446020974706973</v>
      </c>
      <c r="BF158" s="842">
        <f t="shared" si="389"/>
        <v>7.6701821668264617E-3</v>
      </c>
      <c r="BG158" s="843">
        <f t="shared" si="390"/>
        <v>2.5202520252025202E-2</v>
      </c>
      <c r="BH158" s="843">
        <f t="shared" si="391"/>
        <v>8.0808080808080808E-3</v>
      </c>
      <c r="BI158" s="843">
        <f t="shared" si="392"/>
        <v>1.3195098963242224E-2</v>
      </c>
      <c r="BJ158" s="844">
        <f t="shared" si="393"/>
        <v>3.8247995064774831E-2</v>
      </c>
      <c r="BK158" s="842">
        <f t="shared" si="389"/>
        <v>8.8207094918504314E-2</v>
      </c>
      <c r="BL158" s="843">
        <f t="shared" si="390"/>
        <v>2.9702970297029702E-2</v>
      </c>
      <c r="BM158" s="843">
        <f t="shared" si="391"/>
        <v>1.8181818181818181E-2</v>
      </c>
      <c r="BN158" s="843">
        <f t="shared" si="392"/>
        <v>2.827521206409048E-2</v>
      </c>
      <c r="BO158" s="844">
        <f t="shared" si="393"/>
        <v>2.4059222702035782E-2</v>
      </c>
      <c r="BP158" s="842">
        <f t="shared" si="389"/>
        <v>3.2598274209012464E-2</v>
      </c>
      <c r="BQ158" s="843">
        <f t="shared" si="390"/>
        <v>6.3006300630063005E-3</v>
      </c>
      <c r="BR158" s="843" t="e">
        <f t="shared" si="391"/>
        <v>#N/A</v>
      </c>
      <c r="BS158" s="843">
        <f t="shared" si="392"/>
        <v>2.1677662582469368E-2</v>
      </c>
      <c r="BT158" s="844">
        <f t="shared" si="393"/>
        <v>2.961135101789019E-2</v>
      </c>
      <c r="BU158" s="842" t="e">
        <f t="shared" si="389"/>
        <v>#N/A</v>
      </c>
      <c r="BV158" s="843" t="e">
        <f t="shared" si="390"/>
        <v>#N/A</v>
      </c>
      <c r="BW158" s="843">
        <f t="shared" si="391"/>
        <v>7.0707070707070711E-3</v>
      </c>
      <c r="BX158" s="843">
        <f t="shared" si="392"/>
        <v>0.12535344015080113</v>
      </c>
      <c r="BY158" s="844">
        <f t="shared" si="393"/>
        <v>5.3979025293028997E-2</v>
      </c>
    </row>
    <row r="159" spans="1:77" s="89" customFormat="1" ht="11.25" customHeight="1" x14ac:dyDescent="0.2">
      <c r="A159" s="141"/>
      <c r="B159" s="1366" t="s">
        <v>22</v>
      </c>
      <c r="C159" s="1366"/>
      <c r="D159" s="1366"/>
      <c r="E159" s="1366"/>
      <c r="F159" s="9"/>
      <c r="G159" s="9"/>
      <c r="H159" s="9"/>
      <c r="I159" s="9"/>
      <c r="J159" s="13"/>
      <c r="K159" s="9"/>
      <c r="L159" s="9"/>
      <c r="M159" s="9"/>
      <c r="N159" s="9"/>
      <c r="O159" s="9"/>
      <c r="P159" s="9"/>
      <c r="Q159" s="9"/>
      <c r="R159" s="9"/>
      <c r="S159" s="9"/>
      <c r="T159" s="9"/>
      <c r="U159" s="11"/>
      <c r="V159" s="11"/>
      <c r="W159" s="11"/>
      <c r="X159" s="12"/>
      <c r="Y159" s="12"/>
      <c r="Z159" s="1308"/>
      <c r="AA159" s="12"/>
      <c r="AB159" s="12"/>
      <c r="AC159" s="241"/>
      <c r="AD159" s="843">
        <f t="shared" si="386"/>
        <v>0.10143329658213891</v>
      </c>
      <c r="AE159" s="843">
        <f t="shared" si="387"/>
        <v>8.9167280766396462E-2</v>
      </c>
      <c r="AF159" s="844">
        <f t="shared" si="388"/>
        <v>8.138873079112123E-2</v>
      </c>
      <c r="AG159" s="842">
        <f t="shared" si="389"/>
        <v>0.18559837728194725</v>
      </c>
      <c r="AH159" s="843">
        <f t="shared" si="390"/>
        <v>0.17542297417631345</v>
      </c>
      <c r="AI159" s="843">
        <f t="shared" si="391"/>
        <v>0.17420066152149946</v>
      </c>
      <c r="AJ159" s="843">
        <f t="shared" si="392"/>
        <v>0.15327929255711129</v>
      </c>
      <c r="AK159" s="844">
        <f t="shared" si="393"/>
        <v>0.16789982925441094</v>
      </c>
      <c r="AL159" s="842">
        <f t="shared" si="389"/>
        <v>6.6937119675456389E-2</v>
      </c>
      <c r="AM159" s="843">
        <f t="shared" si="390"/>
        <v>4.7195013357079249E-2</v>
      </c>
      <c r="AN159" s="843">
        <f t="shared" si="391"/>
        <v>0.14222712238147739</v>
      </c>
      <c r="AO159" s="843">
        <f t="shared" si="392"/>
        <v>0.12896094325718496</v>
      </c>
      <c r="AP159" s="844">
        <f t="shared" si="393"/>
        <v>0.13375071143995446</v>
      </c>
      <c r="AQ159" s="842">
        <f t="shared" si="389"/>
        <v>1.0141987829614604E-2</v>
      </c>
      <c r="AR159" s="843" t="e">
        <f t="shared" si="390"/>
        <v>#N/A</v>
      </c>
      <c r="AS159" s="843">
        <f t="shared" si="391"/>
        <v>1.1025358324145534E-2</v>
      </c>
      <c r="AT159" s="843">
        <f t="shared" si="392"/>
        <v>7.3691967575534268E-3</v>
      </c>
      <c r="AU159" s="844">
        <f t="shared" si="393"/>
        <v>0</v>
      </c>
      <c r="AV159" s="842">
        <f t="shared" si="389"/>
        <v>2.9411764705882353E-2</v>
      </c>
      <c r="AW159" s="843">
        <f t="shared" si="390"/>
        <v>4.0961709706144253E-2</v>
      </c>
      <c r="AX159" s="843">
        <f t="shared" si="391"/>
        <v>0.10694597574421169</v>
      </c>
      <c r="AY159" s="843">
        <f t="shared" si="392"/>
        <v>0.10390567428150331</v>
      </c>
      <c r="AZ159" s="844">
        <f t="shared" si="393"/>
        <v>0.15139442231075698</v>
      </c>
      <c r="BA159" s="842">
        <f t="shared" si="389"/>
        <v>0.33367139959432046</v>
      </c>
      <c r="BB159" s="843">
        <f t="shared" si="390"/>
        <v>0.37399821905609976</v>
      </c>
      <c r="BC159" s="843">
        <f t="shared" si="391"/>
        <v>0.36604189636163176</v>
      </c>
      <c r="BD159" s="843">
        <f t="shared" si="392"/>
        <v>0.42815033161385407</v>
      </c>
      <c r="BE159" s="844">
        <f t="shared" si="393"/>
        <v>0.292544109277177</v>
      </c>
      <c r="BF159" s="842">
        <f t="shared" si="389"/>
        <v>0</v>
      </c>
      <c r="BG159" s="843">
        <f t="shared" si="390"/>
        <v>0</v>
      </c>
      <c r="BH159" s="843">
        <f t="shared" si="391"/>
        <v>5.6229327453142228E-2</v>
      </c>
      <c r="BI159" s="843">
        <f t="shared" si="392"/>
        <v>3.021370670596905E-2</v>
      </c>
      <c r="BJ159" s="844">
        <f t="shared" si="393"/>
        <v>1.6505406943653957E-2</v>
      </c>
      <c r="BK159" s="842" t="e">
        <f t="shared" si="389"/>
        <v>#N/A</v>
      </c>
      <c r="BL159" s="843" t="e">
        <f t="shared" si="390"/>
        <v>#N/A</v>
      </c>
      <c r="BM159" s="843">
        <f t="shared" si="391"/>
        <v>1.9845644983461964E-2</v>
      </c>
      <c r="BN159" s="843">
        <f t="shared" si="392"/>
        <v>4.5689019896831246E-2</v>
      </c>
      <c r="BO159" s="844">
        <f t="shared" si="393"/>
        <v>9.2771770062606715E-2</v>
      </c>
      <c r="BP159" s="842">
        <f t="shared" si="389"/>
        <v>3.2454361054766734E-2</v>
      </c>
      <c r="BQ159" s="843">
        <f t="shared" si="390"/>
        <v>3.4728406055209264E-2</v>
      </c>
      <c r="BR159" s="843">
        <f t="shared" si="391"/>
        <v>2.2050716648291068E-2</v>
      </c>
      <c r="BS159" s="843">
        <f t="shared" si="392"/>
        <v>1.3264554163596167E-2</v>
      </c>
      <c r="BT159" s="844">
        <f t="shared" si="393"/>
        <v>4.4393853158793399E-2</v>
      </c>
      <c r="BU159" s="842" t="e">
        <f t="shared" si="389"/>
        <v>#N/A</v>
      </c>
      <c r="BV159" s="843">
        <f t="shared" si="390"/>
        <v>0</v>
      </c>
      <c r="BW159" s="843">
        <f t="shared" si="391"/>
        <v>0</v>
      </c>
      <c r="BX159" s="843" t="e">
        <f t="shared" si="392"/>
        <v>#N/A</v>
      </c>
      <c r="BY159" s="844">
        <f t="shared" si="393"/>
        <v>1.9351166761525328E-2</v>
      </c>
    </row>
    <row r="160" spans="1:77" s="89" customFormat="1" ht="11.25" customHeight="1" x14ac:dyDescent="0.2">
      <c r="A160" s="141"/>
      <c r="B160" s="1366"/>
      <c r="C160" s="1366"/>
      <c r="D160" s="1366"/>
      <c r="E160" s="1366"/>
      <c r="F160" s="9"/>
      <c r="G160" s="9"/>
      <c r="H160" s="9"/>
      <c r="I160" s="9"/>
      <c r="J160" s="13"/>
      <c r="K160" s="9"/>
      <c r="L160" s="9"/>
      <c r="M160" s="9"/>
      <c r="N160" s="9"/>
      <c r="O160" s="9"/>
      <c r="P160" s="9"/>
      <c r="Q160" s="9"/>
      <c r="R160" s="9"/>
      <c r="S160" s="9"/>
      <c r="T160" s="9"/>
      <c r="U160" s="11"/>
      <c r="V160" s="11"/>
      <c r="W160" s="11"/>
      <c r="X160" s="12"/>
      <c r="Y160" s="12"/>
      <c r="Z160" s="1308"/>
      <c r="AA160" s="12"/>
      <c r="AB160" s="12"/>
      <c r="AC160" s="241"/>
      <c r="AD160" s="843">
        <f t="shared" si="386"/>
        <v>9.4256021912511076E-2</v>
      </c>
      <c r="AE160" s="843">
        <f t="shared" si="387"/>
        <v>8.5366867019361276E-2</v>
      </c>
      <c r="AF160" s="844">
        <f t="shared" si="388"/>
        <v>8.3259291796863297E-2</v>
      </c>
      <c r="AG160" s="842">
        <f t="shared" si="389"/>
        <v>0.1796374134929733</v>
      </c>
      <c r="AH160" s="843">
        <f t="shared" si="390"/>
        <v>0.19603812045925745</v>
      </c>
      <c r="AI160" s="843">
        <f t="shared" si="391"/>
        <v>0.20680827447926456</v>
      </c>
      <c r="AJ160" s="843">
        <f t="shared" si="392"/>
        <v>0.19632717502700606</v>
      </c>
      <c r="AK160" s="844">
        <f t="shared" si="393"/>
        <v>0.20864738591779891</v>
      </c>
      <c r="AL160" s="842">
        <f t="shared" si="389"/>
        <v>0.13398717785420117</v>
      </c>
      <c r="AM160" s="843">
        <f t="shared" si="390"/>
        <v>0.12814258584943464</v>
      </c>
      <c r="AN160" s="843">
        <f t="shared" si="391"/>
        <v>0.12716954447398338</v>
      </c>
      <c r="AO160" s="843">
        <f t="shared" si="392"/>
        <v>0.12660074416715139</v>
      </c>
      <c r="AP160" s="844">
        <f t="shared" si="393"/>
        <v>0.13211672273857181</v>
      </c>
      <c r="AQ160" s="842">
        <f t="shared" si="389"/>
        <v>1.6201757737867788E-2</v>
      </c>
      <c r="AR160" s="843">
        <f t="shared" si="390"/>
        <v>1.4330017248288238E-2</v>
      </c>
      <c r="AS160" s="843">
        <f t="shared" si="391"/>
        <v>1.398175747648075E-2</v>
      </c>
      <c r="AT160" s="843">
        <f t="shared" si="392"/>
        <v>1.3526115096621702E-2</v>
      </c>
      <c r="AU160" s="844">
        <f t="shared" si="393"/>
        <v>1.1989737343888827E-2</v>
      </c>
      <c r="AV160" s="842">
        <f t="shared" si="389"/>
        <v>0.10740882265528807</v>
      </c>
      <c r="AW160" s="843">
        <f t="shared" si="390"/>
        <v>0.11503214453717094</v>
      </c>
      <c r="AX160" s="843">
        <f t="shared" si="391"/>
        <v>0.12185253810968787</v>
      </c>
      <c r="AY160" s="843">
        <f t="shared" si="392"/>
        <v>0.12752402847408803</v>
      </c>
      <c r="AZ160" s="844">
        <f t="shared" si="393"/>
        <v>0.11719194561191586</v>
      </c>
      <c r="BA160" s="842">
        <f t="shared" si="389"/>
        <v>0.27356175434127289</v>
      </c>
      <c r="BB160" s="843">
        <f t="shared" si="390"/>
        <v>0.30139205881840514</v>
      </c>
      <c r="BC160" s="843">
        <f t="shared" si="391"/>
        <v>0.30626493729691989</v>
      </c>
      <c r="BD160" s="843">
        <f t="shared" si="392"/>
        <v>0.31413825259212069</v>
      </c>
      <c r="BE160" s="844">
        <f t="shared" si="393"/>
        <v>0.30756022322275356</v>
      </c>
      <c r="BF160" s="842">
        <f t="shared" si="389"/>
        <v>3.177514541671974E-2</v>
      </c>
      <c r="BG160" s="843">
        <f t="shared" si="390"/>
        <v>3.4409463909263548E-2</v>
      </c>
      <c r="BH160" s="843">
        <f t="shared" si="391"/>
        <v>3.3226814182264114E-2</v>
      </c>
      <c r="BI160" s="843">
        <f t="shared" si="392"/>
        <v>2.842792381057899E-2</v>
      </c>
      <c r="BJ160" s="844">
        <f t="shared" si="393"/>
        <v>3.4471742754744482E-2</v>
      </c>
      <c r="BK160" s="842">
        <f t="shared" si="389"/>
        <v>6.9511314906805927E-2</v>
      </c>
      <c r="BL160" s="843">
        <f t="shared" si="390"/>
        <v>6.1205289475059675E-2</v>
      </c>
      <c r="BM160" s="843">
        <f t="shared" si="391"/>
        <v>6.569277728546237E-2</v>
      </c>
      <c r="BN160" s="843">
        <f t="shared" si="392"/>
        <v>7.043735977619589E-2</v>
      </c>
      <c r="BO160" s="844">
        <f t="shared" si="393"/>
        <v>5.9928720462418511E-2</v>
      </c>
      <c r="BP160" s="842">
        <f t="shared" si="389"/>
        <v>2.3215726234449965E-2</v>
      </c>
      <c r="BQ160" s="843">
        <f t="shared" si="390"/>
        <v>1.9704862623482065E-2</v>
      </c>
      <c r="BR160" s="843">
        <f t="shared" si="391"/>
        <v>1.8555815140041353E-2</v>
      </c>
      <c r="BS160" s="843">
        <f t="shared" si="392"/>
        <v>1.8474918981802067E-2</v>
      </c>
      <c r="BT160" s="844">
        <f t="shared" si="393"/>
        <v>2.1204164961215546E-2</v>
      </c>
      <c r="BU160" s="842">
        <f t="shared" si="389"/>
        <v>7.0190633889525747E-2</v>
      </c>
      <c r="BV160" s="843">
        <f t="shared" si="390"/>
        <v>3.3817098454623065E-2</v>
      </c>
      <c r="BW160" s="843">
        <f t="shared" si="391"/>
        <v>1.2191519643384623E-2</v>
      </c>
      <c r="BX160" s="843">
        <f t="shared" si="392"/>
        <v>1.9176615055073908E-2</v>
      </c>
      <c r="BY160" s="844">
        <f t="shared" si="393"/>
        <v>2.3630065189829189E-2</v>
      </c>
    </row>
    <row r="161" spans="1:134" s="89" customFormat="1" ht="11.25" customHeight="1" x14ac:dyDescent="0.2">
      <c r="A161" s="141"/>
      <c r="B161" s="1366" t="s">
        <v>25</v>
      </c>
      <c r="C161" s="1366"/>
      <c r="D161" s="1366"/>
      <c r="E161" s="1366"/>
      <c r="F161" s="9"/>
      <c r="G161" s="9"/>
      <c r="H161" s="9"/>
      <c r="I161" s="9"/>
      <c r="J161" s="13"/>
      <c r="K161" s="9"/>
      <c r="L161" s="9"/>
      <c r="M161" s="9"/>
      <c r="N161" s="9"/>
      <c r="O161" s="9"/>
      <c r="P161" s="9"/>
      <c r="Q161" s="9"/>
      <c r="R161" s="9"/>
      <c r="S161" s="9"/>
      <c r="T161" s="9"/>
      <c r="U161" s="11"/>
      <c r="V161" s="11"/>
      <c r="W161" s="11"/>
      <c r="X161" s="12"/>
      <c r="Y161" s="12"/>
      <c r="Z161" s="1308"/>
      <c r="AA161" s="12"/>
      <c r="AB161" s="12"/>
      <c r="AC161" s="241"/>
      <c r="AD161" s="843">
        <f t="shared" si="386"/>
        <v>8.2213830248251102E-2</v>
      </c>
      <c r="AE161" s="843">
        <f t="shared" si="387"/>
        <v>8.066214051415059E-2</v>
      </c>
      <c r="AF161" s="844">
        <f t="shared" si="388"/>
        <v>7.9810114914275185E-2</v>
      </c>
      <c r="AG161" s="842" t="e">
        <f t="shared" si="389"/>
        <v>#N/A</v>
      </c>
      <c r="AH161" s="843">
        <f t="shared" si="390"/>
        <v>0.19400775580478544</v>
      </c>
      <c r="AI161" s="843">
        <f t="shared" si="391"/>
        <v>0.20361542747477249</v>
      </c>
      <c r="AJ161" s="843">
        <f t="shared" si="392"/>
        <v>0.20166297963231367</v>
      </c>
      <c r="AK161" s="844">
        <f t="shared" si="393"/>
        <v>0.20397283844404843</v>
      </c>
      <c r="AL161" s="842" t="e">
        <f t="shared" si="389"/>
        <v>#N/A</v>
      </c>
      <c r="AM161" s="843">
        <f t="shared" si="390"/>
        <v>0.14333757059874169</v>
      </c>
      <c r="AN161" s="843">
        <f t="shared" si="391"/>
        <v>0.14444685197796076</v>
      </c>
      <c r="AO161" s="843">
        <f t="shared" si="392"/>
        <v>0.14765428331680525</v>
      </c>
      <c r="AP161" s="844">
        <f t="shared" si="393"/>
        <v>0.14605481472377557</v>
      </c>
      <c r="AQ161" s="842" t="e">
        <f t="shared" si="389"/>
        <v>#N/A</v>
      </c>
      <c r="AR161" s="843">
        <f t="shared" si="390"/>
        <v>1.5624245739939176E-2</v>
      </c>
      <c r="AS161" s="843">
        <f t="shared" si="391"/>
        <v>1.5430570172723333E-2</v>
      </c>
      <c r="AT161" s="843">
        <f t="shared" si="392"/>
        <v>1.4402319017468914E-2</v>
      </c>
      <c r="AU161" s="844">
        <f t="shared" si="393"/>
        <v>1.3119891845388067E-2</v>
      </c>
      <c r="AV161" s="842" t="e">
        <f t="shared" si="389"/>
        <v>#N/A</v>
      </c>
      <c r="AW161" s="843">
        <f t="shared" si="390"/>
        <v>0.13395658680225916</v>
      </c>
      <c r="AX161" s="843">
        <f t="shared" si="391"/>
        <v>0.13642976536866216</v>
      </c>
      <c r="AY161" s="843">
        <f t="shared" si="392"/>
        <v>0.13633381646197268</v>
      </c>
      <c r="AZ161" s="844">
        <f t="shared" si="393"/>
        <v>0.13336508326676089</v>
      </c>
      <c r="BA161" s="842" t="e">
        <f t="shared" si="389"/>
        <v>#N/A</v>
      </c>
      <c r="BB161" s="843">
        <f t="shared" si="390"/>
        <v>0.27576552367773183</v>
      </c>
      <c r="BC161" s="843">
        <f t="shared" si="391"/>
        <v>0.27467033987494582</v>
      </c>
      <c r="BD161" s="843">
        <f t="shared" si="392"/>
        <v>0.28517812190098407</v>
      </c>
      <c r="BE161" s="844">
        <f t="shared" si="393"/>
        <v>0.29175628341424448</v>
      </c>
      <c r="BF161" s="842" t="e">
        <f t="shared" si="389"/>
        <v>#N/A</v>
      </c>
      <c r="BG161" s="843">
        <f t="shared" si="390"/>
        <v>3.3533396624133106E-2</v>
      </c>
      <c r="BH161" s="843">
        <f t="shared" si="391"/>
        <v>3.4405373614808395E-2</v>
      </c>
      <c r="BI161" s="843">
        <f t="shared" si="392"/>
        <v>3.4922572278587229E-2</v>
      </c>
      <c r="BJ161" s="844">
        <f t="shared" si="393"/>
        <v>3.6532907269710563E-2</v>
      </c>
      <c r="BK161" s="842" t="e">
        <f t="shared" si="389"/>
        <v>#N/A</v>
      </c>
      <c r="BL161" s="843">
        <f t="shared" si="390"/>
        <v>6.2336074146781016E-2</v>
      </c>
      <c r="BM161" s="843">
        <f t="shared" si="391"/>
        <v>6.3099733795579774E-2</v>
      </c>
      <c r="BN161" s="843">
        <f t="shared" si="392"/>
        <v>5.86467312533374E-2</v>
      </c>
      <c r="BO161" s="844">
        <f t="shared" si="393"/>
        <v>5.4968352485712531E-2</v>
      </c>
      <c r="BP161" s="842" t="e">
        <f t="shared" si="389"/>
        <v>#N/A</v>
      </c>
      <c r="BQ161" s="843">
        <f t="shared" si="390"/>
        <v>2.2157143546752054E-2</v>
      </c>
      <c r="BR161" s="843">
        <f t="shared" si="391"/>
        <v>2.2457128706741783E-2</v>
      </c>
      <c r="BS161" s="843">
        <f t="shared" si="392"/>
        <v>2.4242886566481044E-2</v>
      </c>
      <c r="BT161" s="844">
        <f t="shared" si="393"/>
        <v>2.3935353038775885E-2</v>
      </c>
      <c r="BU161" s="842" t="e">
        <f t="shared" si="389"/>
        <v>#N/A</v>
      </c>
      <c r="BV161" s="843">
        <f t="shared" si="390"/>
        <v>2.7483225256247284E-2</v>
      </c>
      <c r="BW161" s="843">
        <f t="shared" si="391"/>
        <v>2.3230978765554387E-2</v>
      </c>
      <c r="BX161" s="843">
        <f t="shared" si="392"/>
        <v>1.6294149057899152E-2</v>
      </c>
      <c r="BY161" s="844">
        <f t="shared" si="393"/>
        <v>1.6484360597308425E-2</v>
      </c>
    </row>
    <row r="162" spans="1:134" s="89" customFormat="1" ht="11.25" customHeight="1" x14ac:dyDescent="0.2">
      <c r="A162" s="141"/>
      <c r="B162" s="1366"/>
      <c r="C162" s="1366"/>
      <c r="D162" s="1366"/>
      <c r="E162" s="1366"/>
      <c r="F162" s="9"/>
      <c r="G162" s="9"/>
      <c r="H162" s="9"/>
      <c r="I162" s="9"/>
      <c r="J162" s="13"/>
      <c r="K162" s="9"/>
      <c r="L162" s="9"/>
      <c r="M162" s="9"/>
      <c r="N162" s="9"/>
      <c r="O162" s="9"/>
      <c r="P162" s="9"/>
      <c r="Q162" s="9"/>
      <c r="R162" s="9"/>
      <c r="S162" s="9"/>
      <c r="T162" s="9"/>
      <c r="U162" s="11"/>
      <c r="V162" s="11"/>
      <c r="W162" s="11"/>
      <c r="X162" s="12"/>
      <c r="Y162" s="12"/>
      <c r="Z162" s="1308"/>
      <c r="AA162" s="12"/>
      <c r="AB162" s="12"/>
      <c r="AC162" s="241"/>
      <c r="AD162" s="1309"/>
      <c r="AE162" s="1309"/>
      <c r="AF162" s="1310"/>
      <c r="AG162" s="1477" t="str">
        <f>F110</f>
        <v>Schools</v>
      </c>
      <c r="AH162" s="1476"/>
      <c r="AI162" s="1476"/>
      <c r="AJ162" s="1476"/>
      <c r="AK162" s="1480"/>
      <c r="AL162" s="1477" t="str">
        <f>H110</f>
        <v>Health services</v>
      </c>
      <c r="AM162" s="1476"/>
      <c r="AN162" s="1476"/>
      <c r="AO162" s="1476"/>
      <c r="AP162" s="1480"/>
      <c r="AQ162" s="1477" t="str">
        <f>J110</f>
        <v>Housing</v>
      </c>
      <c r="AR162" s="1476"/>
      <c r="AS162" s="1476"/>
      <c r="AT162" s="1476"/>
      <c r="AU162" s="1480"/>
      <c r="AV162" s="1477" t="str">
        <f>L110</f>
        <v>LA services</v>
      </c>
      <c r="AW162" s="1476"/>
      <c r="AX162" s="1476"/>
      <c r="AY162" s="1476"/>
      <c r="AZ162" s="1480"/>
      <c r="BA162" s="1477" t="str">
        <f>N110</f>
        <v>Police</v>
      </c>
      <c r="BB162" s="1476"/>
      <c r="BC162" s="1476"/>
      <c r="BD162" s="1476"/>
      <c r="BE162" s="1480"/>
      <c r="BF162" s="1477" t="str">
        <f>P110</f>
        <v>Other legal agency</v>
      </c>
      <c r="BG162" s="1476"/>
      <c r="BH162" s="1476"/>
      <c r="BI162" s="1476"/>
      <c r="BJ162" s="1480"/>
      <c r="BK162" s="1477" t="str">
        <f>R110</f>
        <v>Other</v>
      </c>
      <c r="BL162" s="1476"/>
      <c r="BM162" s="1476"/>
      <c r="BN162" s="1476"/>
      <c r="BO162" s="1480"/>
      <c r="BP162" s="1477" t="str">
        <f>T110</f>
        <v>Anonymous</v>
      </c>
      <c r="BQ162" s="1476"/>
      <c r="BR162" s="1476"/>
      <c r="BS162" s="1476"/>
      <c r="BT162" s="1480"/>
      <c r="BU162" s="1477" t="str">
        <f>V110</f>
        <v>Unknown</v>
      </c>
      <c r="BV162" s="1476"/>
      <c r="BW162" s="1476"/>
      <c r="BX162" s="1476"/>
      <c r="BY162" s="1480"/>
      <c r="BZ162" s="1477" t="s">
        <v>185</v>
      </c>
      <c r="CA162" s="1476"/>
      <c r="CB162" s="1476"/>
      <c r="CC162" s="1476"/>
      <c r="CD162" s="1480"/>
    </row>
    <row r="163" spans="1:134" s="89" customFormat="1" ht="11.25" customHeight="1" x14ac:dyDescent="0.2">
      <c r="A163" s="141"/>
      <c r="B163" s="1366" t="s">
        <v>18</v>
      </c>
      <c r="C163" s="1366"/>
      <c r="D163" s="1366"/>
      <c r="E163" s="1366"/>
      <c r="F163" s="9"/>
      <c r="G163" s="9"/>
      <c r="H163" s="9"/>
      <c r="I163" s="9"/>
      <c r="J163" s="13"/>
      <c r="K163" s="9"/>
      <c r="L163" s="9"/>
      <c r="M163" s="9"/>
      <c r="N163" s="9"/>
      <c r="O163" s="9"/>
      <c r="P163" s="9"/>
      <c r="Q163" s="9"/>
      <c r="R163" s="9"/>
      <c r="S163" s="9"/>
      <c r="T163" s="9"/>
      <c r="U163" s="11"/>
      <c r="V163" s="11"/>
      <c r="W163" s="11"/>
      <c r="X163" s="12"/>
      <c r="Y163" s="12"/>
      <c r="Z163" s="1308"/>
      <c r="AA163" s="12"/>
      <c r="AB163" s="12"/>
      <c r="AC163" s="241"/>
      <c r="AD163" s="1300" t="str">
        <f>$AE$2</f>
        <v/>
      </c>
      <c r="AE163" s="1300" t="str">
        <f>$AF$2</f>
        <v/>
      </c>
      <c r="AF163" s="1301" t="str">
        <f>$AG$2</f>
        <v/>
      </c>
      <c r="AG163" s="818" t="str">
        <f>$AC$2</f>
        <v/>
      </c>
      <c r="AH163" s="554" t="str">
        <f>$AD$2</f>
        <v/>
      </c>
      <c r="AI163" s="554" t="str">
        <f>$AE$2</f>
        <v/>
      </c>
      <c r="AJ163" s="554" t="str">
        <f>$AF$2</f>
        <v/>
      </c>
      <c r="AK163" s="422" t="str">
        <f>$AG$2</f>
        <v/>
      </c>
      <c r="AL163" s="818" t="str">
        <f>$AC$2</f>
        <v/>
      </c>
      <c r="AM163" s="554" t="str">
        <f>$AD$2</f>
        <v/>
      </c>
      <c r="AN163" s="554" t="str">
        <f>$AE$2</f>
        <v/>
      </c>
      <c r="AO163" s="554" t="str">
        <f>$AF$2</f>
        <v/>
      </c>
      <c r="AP163" s="422" t="str">
        <f>$AG$2</f>
        <v/>
      </c>
      <c r="AQ163" s="818" t="str">
        <f>$AC$2</f>
        <v/>
      </c>
      <c r="AR163" s="554" t="str">
        <f>$AD$2</f>
        <v/>
      </c>
      <c r="AS163" s="554" t="str">
        <f>$AE$2</f>
        <v/>
      </c>
      <c r="AT163" s="554" t="str">
        <f>$AF$2</f>
        <v/>
      </c>
      <c r="AU163" s="422" t="str">
        <f>$AG$2</f>
        <v/>
      </c>
      <c r="AV163" s="818" t="str">
        <f>$AC$2</f>
        <v/>
      </c>
      <c r="AW163" s="554" t="str">
        <f>$AD$2</f>
        <v/>
      </c>
      <c r="AX163" s="554" t="str">
        <f>$AE$2</f>
        <v/>
      </c>
      <c r="AY163" s="554" t="str">
        <f>$AF$2</f>
        <v/>
      </c>
      <c r="AZ163" s="422" t="str">
        <f>$AG$2</f>
        <v/>
      </c>
      <c r="BA163" s="818" t="str">
        <f>$AC$2</f>
        <v/>
      </c>
      <c r="BB163" s="554" t="str">
        <f>$AD$2</f>
        <v/>
      </c>
      <c r="BC163" s="554" t="str">
        <f>$AE$2</f>
        <v/>
      </c>
      <c r="BD163" s="554" t="str">
        <f>$AF$2</f>
        <v/>
      </c>
      <c r="BE163" s="422" t="str">
        <f>$AG$2</f>
        <v/>
      </c>
      <c r="BF163" s="818" t="str">
        <f t="shared" ref="BF163" si="394">$AC$2</f>
        <v/>
      </c>
      <c r="BG163" s="554" t="str">
        <f t="shared" ref="BG163" si="395">$AD$2</f>
        <v/>
      </c>
      <c r="BH163" s="554" t="str">
        <f t="shared" ref="BH163" si="396">$AE$2</f>
        <v/>
      </c>
      <c r="BI163" s="554" t="str">
        <f t="shared" ref="BI163" si="397">$AF$2</f>
        <v/>
      </c>
      <c r="BJ163" s="422" t="str">
        <f t="shared" ref="BJ163" si="398">$AG$2</f>
        <v/>
      </c>
      <c r="BK163" s="818" t="str">
        <f t="shared" ref="BK163" si="399">$AC$2</f>
        <v/>
      </c>
      <c r="BL163" s="554" t="str">
        <f t="shared" ref="BL163" si="400">$AD$2</f>
        <v/>
      </c>
      <c r="BM163" s="554" t="str">
        <f t="shared" ref="BM163" si="401">$AE$2</f>
        <v/>
      </c>
      <c r="BN163" s="554" t="str">
        <f t="shared" ref="BN163" si="402">$AF$2</f>
        <v/>
      </c>
      <c r="BO163" s="422" t="str">
        <f t="shared" ref="BO163" si="403">$AG$2</f>
        <v/>
      </c>
      <c r="BP163" s="818" t="str">
        <f t="shared" ref="BP163" si="404">$AC$2</f>
        <v/>
      </c>
      <c r="BQ163" s="554" t="str">
        <f t="shared" ref="BQ163" si="405">$AD$2</f>
        <v/>
      </c>
      <c r="BR163" s="554" t="str">
        <f t="shared" ref="BR163" si="406">$AE$2</f>
        <v/>
      </c>
      <c r="BS163" s="554" t="str">
        <f t="shared" ref="BS163" si="407">$AF$2</f>
        <v/>
      </c>
      <c r="BT163" s="422" t="str">
        <f t="shared" ref="BT163" si="408">$AG$2</f>
        <v/>
      </c>
      <c r="BU163" s="818" t="str">
        <f t="shared" ref="BU163:BZ163" si="409">$AC$2</f>
        <v/>
      </c>
      <c r="BV163" s="554" t="str">
        <f t="shared" ref="BV163:CA163" si="410">$AD$2</f>
        <v/>
      </c>
      <c r="BW163" s="554" t="str">
        <f t="shared" ref="BW163" si="411">$AE$2</f>
        <v/>
      </c>
      <c r="BX163" s="554" t="str">
        <f t="shared" ref="BX163" si="412">$AF$2</f>
        <v/>
      </c>
      <c r="BY163" s="422" t="str">
        <f t="shared" ref="BY163" si="413">$AG$2</f>
        <v/>
      </c>
      <c r="BZ163" s="818" t="str">
        <f t="shared" si="409"/>
        <v/>
      </c>
      <c r="CA163" s="554" t="str">
        <f t="shared" si="410"/>
        <v/>
      </c>
      <c r="CB163" s="554" t="str">
        <f t="shared" ref="CB163" si="414">$AE$2</f>
        <v/>
      </c>
      <c r="CC163" s="554" t="str">
        <f t="shared" ref="CC163" si="415">$AF$2</f>
        <v/>
      </c>
      <c r="CD163" s="422" t="str">
        <f t="shared" ref="CD163" si="416">$AG$2</f>
        <v/>
      </c>
    </row>
    <row r="164" spans="1:134" s="89" customFormat="1" ht="11.25" customHeight="1" x14ac:dyDescent="0.2">
      <c r="A164" s="141"/>
      <c r="B164" s="1366"/>
      <c r="C164" s="1366"/>
      <c r="D164" s="1366"/>
      <c r="E164" s="1366"/>
      <c r="F164" s="9"/>
      <c r="G164" s="9"/>
      <c r="H164" s="9"/>
      <c r="I164" s="9"/>
      <c r="J164" s="13"/>
      <c r="K164" s="9"/>
      <c r="L164" s="9"/>
      <c r="M164" s="9"/>
      <c r="N164" s="9"/>
      <c r="O164" s="9"/>
      <c r="P164" s="9"/>
      <c r="Q164" s="9"/>
      <c r="R164" s="9"/>
      <c r="S164" s="9"/>
      <c r="T164" s="9"/>
      <c r="U164" s="11"/>
      <c r="V164" s="11"/>
      <c r="W164" s="11"/>
      <c r="X164" s="12"/>
      <c r="Y164" s="12"/>
      <c r="Z164" s="1308"/>
      <c r="AA164" s="12"/>
      <c r="AB164" s="12"/>
      <c r="AC164" s="241"/>
      <c r="AD164" s="804" t="str">
        <f>$AE$3</f>
        <v>2016-17</v>
      </c>
      <c r="AE164" s="804" t="str">
        <f>$AF$3</f>
        <v>2017-18</v>
      </c>
      <c r="AF164" s="838" t="str">
        <f>$AG$3</f>
        <v>2018-19</v>
      </c>
      <c r="AG164" s="819" t="str">
        <f>$AC$3</f>
        <v>2014-15</v>
      </c>
      <c r="AH164" s="804" t="str">
        <f>$AD$3</f>
        <v>2015-16</v>
      </c>
      <c r="AI164" s="804" t="str">
        <f>$AE$3</f>
        <v>2016-17</v>
      </c>
      <c r="AJ164" s="804" t="str">
        <f>$AF$3</f>
        <v>2017-18</v>
      </c>
      <c r="AK164" s="838" t="str">
        <f>$AG$3</f>
        <v>2018-19</v>
      </c>
      <c r="AL164" s="819" t="str">
        <f>$AC$3</f>
        <v>2014-15</v>
      </c>
      <c r="AM164" s="804" t="str">
        <f>$AD$3</f>
        <v>2015-16</v>
      </c>
      <c r="AN164" s="804" t="str">
        <f>$AE$3</f>
        <v>2016-17</v>
      </c>
      <c r="AO164" s="804" t="str">
        <f>$AF$3</f>
        <v>2017-18</v>
      </c>
      <c r="AP164" s="838" t="str">
        <f>$AG$3</f>
        <v>2018-19</v>
      </c>
      <c r="AQ164" s="819" t="str">
        <f>$AC$3</f>
        <v>2014-15</v>
      </c>
      <c r="AR164" s="804" t="str">
        <f>$AD$3</f>
        <v>2015-16</v>
      </c>
      <c r="AS164" s="804" t="str">
        <f>$AE$3</f>
        <v>2016-17</v>
      </c>
      <c r="AT164" s="804" t="str">
        <f>$AF$3</f>
        <v>2017-18</v>
      </c>
      <c r="AU164" s="838" t="str">
        <f>$AG$3</f>
        <v>2018-19</v>
      </c>
      <c r="AV164" s="819" t="str">
        <f>$AC$3</f>
        <v>2014-15</v>
      </c>
      <c r="AW164" s="804" t="str">
        <f>$AD$3</f>
        <v>2015-16</v>
      </c>
      <c r="AX164" s="804" t="str">
        <f>$AE$3</f>
        <v>2016-17</v>
      </c>
      <c r="AY164" s="804" t="str">
        <f>$AF$3</f>
        <v>2017-18</v>
      </c>
      <c r="AZ164" s="838" t="str">
        <f>$AG$3</f>
        <v>2018-19</v>
      </c>
      <c r="BA164" s="819" t="str">
        <f>$AC$3</f>
        <v>2014-15</v>
      </c>
      <c r="BB164" s="804" t="str">
        <f>$AD$3</f>
        <v>2015-16</v>
      </c>
      <c r="BC164" s="804" t="str">
        <f>$AE$3</f>
        <v>2016-17</v>
      </c>
      <c r="BD164" s="804" t="str">
        <f>$AF$3</f>
        <v>2017-18</v>
      </c>
      <c r="BE164" s="838" t="str">
        <f>$AG$3</f>
        <v>2018-19</v>
      </c>
      <c r="BF164" s="819" t="str">
        <f t="shared" ref="BF164" si="417">$AC$3</f>
        <v>2014-15</v>
      </c>
      <c r="BG164" s="804" t="str">
        <f t="shared" ref="BG164" si="418">$AD$3</f>
        <v>2015-16</v>
      </c>
      <c r="BH164" s="804" t="str">
        <f t="shared" ref="BH164" si="419">$AE$3</f>
        <v>2016-17</v>
      </c>
      <c r="BI164" s="804" t="str">
        <f t="shared" ref="BI164" si="420">$AF$3</f>
        <v>2017-18</v>
      </c>
      <c r="BJ164" s="838" t="str">
        <f t="shared" ref="BJ164" si="421">$AG$3</f>
        <v>2018-19</v>
      </c>
      <c r="BK164" s="819" t="str">
        <f t="shared" ref="BK164" si="422">$AC$3</f>
        <v>2014-15</v>
      </c>
      <c r="BL164" s="804" t="str">
        <f t="shared" ref="BL164" si="423">$AD$3</f>
        <v>2015-16</v>
      </c>
      <c r="BM164" s="804" t="str">
        <f t="shared" ref="BM164" si="424">$AE$3</f>
        <v>2016-17</v>
      </c>
      <c r="BN164" s="804" t="str">
        <f t="shared" ref="BN164" si="425">$AF$3</f>
        <v>2017-18</v>
      </c>
      <c r="BO164" s="838" t="str">
        <f t="shared" ref="BO164" si="426">$AG$3</f>
        <v>2018-19</v>
      </c>
      <c r="BP164" s="819" t="str">
        <f t="shared" ref="BP164" si="427">$AC$3</f>
        <v>2014-15</v>
      </c>
      <c r="BQ164" s="804" t="str">
        <f t="shared" ref="BQ164" si="428">$AD$3</f>
        <v>2015-16</v>
      </c>
      <c r="BR164" s="804" t="str">
        <f t="shared" ref="BR164" si="429">$AE$3</f>
        <v>2016-17</v>
      </c>
      <c r="BS164" s="804" t="str">
        <f t="shared" ref="BS164" si="430">$AF$3</f>
        <v>2017-18</v>
      </c>
      <c r="BT164" s="838" t="str">
        <f t="shared" ref="BT164" si="431">$AG$3</f>
        <v>2018-19</v>
      </c>
      <c r="BU164" s="819" t="str">
        <f t="shared" ref="BU164:BZ164" si="432">$AC$3</f>
        <v>2014-15</v>
      </c>
      <c r="BV164" s="804" t="str">
        <f t="shared" ref="BV164:CA164" si="433">$AD$3</f>
        <v>2015-16</v>
      </c>
      <c r="BW164" s="804" t="str">
        <f t="shared" ref="BW164" si="434">$AE$3</f>
        <v>2016-17</v>
      </c>
      <c r="BX164" s="804" t="str">
        <f t="shared" ref="BX164" si="435">$AF$3</f>
        <v>2017-18</v>
      </c>
      <c r="BY164" s="838" t="str">
        <f t="shared" ref="BY164" si="436">$AG$3</f>
        <v>2018-19</v>
      </c>
      <c r="BZ164" s="819" t="str">
        <f t="shared" si="432"/>
        <v>2014-15</v>
      </c>
      <c r="CA164" s="804" t="str">
        <f t="shared" si="433"/>
        <v>2015-16</v>
      </c>
      <c r="CB164" s="804" t="str">
        <f t="shared" ref="CB164" si="437">$AE$3</f>
        <v>2016-17</v>
      </c>
      <c r="CC164" s="804" t="str">
        <f t="shared" ref="CC164" si="438">$AF$3</f>
        <v>2017-18</v>
      </c>
      <c r="CD164" s="838" t="str">
        <f t="shared" ref="CD164" si="439">$AG$3</f>
        <v>2018-19</v>
      </c>
    </row>
    <row r="165" spans="1:134" s="89" customFormat="1" ht="11.25" customHeight="1" x14ac:dyDescent="0.2">
      <c r="A165" s="141"/>
      <c r="B165" s="1366" t="s">
        <v>19</v>
      </c>
      <c r="C165" s="1366"/>
      <c r="D165" s="1366"/>
      <c r="E165" s="1366"/>
      <c r="F165" s="1366"/>
      <c r="G165" s="9"/>
      <c r="H165" s="9"/>
      <c r="I165" s="9"/>
      <c r="J165" s="13"/>
      <c r="K165" s="9"/>
      <c r="L165" s="9"/>
      <c r="M165" s="9"/>
      <c r="N165" s="9"/>
      <c r="O165" s="9"/>
      <c r="P165" s="9"/>
      <c r="Q165" s="9"/>
      <c r="R165" s="9"/>
      <c r="S165" s="9"/>
      <c r="T165" s="9"/>
      <c r="U165" s="11"/>
      <c r="V165" s="11"/>
      <c r="W165" s="11"/>
      <c r="X165" s="12"/>
      <c r="Y165" s="12"/>
      <c r="Z165" s="1308"/>
      <c r="AA165" s="12"/>
      <c r="AB165" s="12"/>
      <c r="AC165" s="241"/>
      <c r="AD165" s="806">
        <f t="shared" ref="AD165:AD167" si="440">IF(SUM(AD111,AI111,AN111,AS111)&gt;0,SUM(AD111,AI111,AN111,AS111),"X")</f>
        <v>170</v>
      </c>
      <c r="AE165" s="806">
        <f t="shared" ref="AE165:AE167" si="441">IF(SUM(AE111,AJ111,AO111,AT111)&gt;0,SUM(AE111,AJ111,AO111,AT111),"X")</f>
        <v>117</v>
      </c>
      <c r="AF165" s="807">
        <f t="shared" ref="AF165:AF167" si="442">IF(SUM(AF111,AK111,AP111,AU111)&gt;0,SUM(AF111,AK111,AP111,AU111),"X")</f>
        <v>215</v>
      </c>
      <c r="AG165" s="805">
        <f t="shared" ref="AG165:AG167" si="443">IF(SUM(BA111,AV111)&gt;0,SUM(BA111,AV111),"X")</f>
        <v>242</v>
      </c>
      <c r="AH165" s="806">
        <f t="shared" ref="AH165:AH167" si="444">IF(SUM(BB111,AW111)&gt;0,SUM(BB111,AW111),"X")</f>
        <v>362</v>
      </c>
      <c r="AI165" s="806">
        <f t="shared" ref="AI165:AI167" si="445">IF(SUM(BC111,AX111)&gt;0,SUM(BC111,AX111),"X")</f>
        <v>385</v>
      </c>
      <c r="AJ165" s="806">
        <f t="shared" ref="AJ165:AJ167" si="446">IF(SUM(BD111,AY111)&gt;0,SUM(BD111,AY111),"X")</f>
        <v>536</v>
      </c>
      <c r="AK165" s="807">
        <f t="shared" ref="AK165:AK167" si="447">IF(SUM(BE111,AZ111)&gt;0,SUM(BE111,AZ111),"X")</f>
        <v>592</v>
      </c>
      <c r="AL165" s="805">
        <f t="shared" ref="AL165:AL167" si="448">IF(SUM(BF111,BK111,BP111,BU111,BZ111,CE111)&gt;0,SUM(BF111,BK111,BP111,BU111,BZ111,CE111),"X")</f>
        <v>108</v>
      </c>
      <c r="AM165" s="806">
        <f t="shared" ref="AM165:AM167" si="449">IF(SUM(BG111,BL111,BQ111,BV111,CA111,CF111)&gt;0,SUM(BG111,BL111,BQ111,BV111,CA111,CF111),"X")</f>
        <v>118</v>
      </c>
      <c r="AN165" s="806">
        <f t="shared" ref="AN165:AN167" si="450">IF(SUM(BH111,BM111,BR111,BW111,CB111,CG111)&gt;0,SUM(BH111,BM111,BR111,BW111,CB111,CG111),"X")</f>
        <v>132</v>
      </c>
      <c r="AO165" s="806">
        <f t="shared" ref="AO165:AO167" si="451">IF(SUM(BI111,BN111,BS111,BX111,CC111,CH111)&gt;0,SUM(BI111,BN111,BS111,BX111,CC111,CH111),"X")</f>
        <v>136</v>
      </c>
      <c r="AP165" s="807">
        <f t="shared" ref="AP165:AP167" si="452">IF(SUM(BJ111,BO111,BT111,BY111,CD111,CI111)&gt;0,SUM(BJ111,BO111,BT111,BY111,CD111,CI111),"X")</f>
        <v>254</v>
      </c>
      <c r="AQ165" s="805">
        <f t="shared" ref="AQ165:AQ167" si="453">IF(ISBLANK(CJ111),"X",CJ111)</f>
        <v>22</v>
      </c>
      <c r="AR165" s="806">
        <f t="shared" ref="AR165:AR167" si="454">IF(ISBLANK(CK111),"X",CK111)</f>
        <v>10</v>
      </c>
      <c r="AS165" s="806">
        <f t="shared" ref="AS165:AS167" si="455">IF(ISBLANK(CL111),"X",CL111)</f>
        <v>19</v>
      </c>
      <c r="AT165" s="806">
        <f t="shared" ref="AT165:AT167" si="456">IF(ISBLANK(CM111),"X",CM111)</f>
        <v>24</v>
      </c>
      <c r="AU165" s="807">
        <f t="shared" ref="AU165:AU167" si="457">IF(ISBLANK(CN111),"X",CN111)</f>
        <v>30</v>
      </c>
      <c r="AV165" s="805">
        <f t="shared" ref="AV165:AV167" si="458">IF(SUM(CO111,CT111,CY111)&gt;0,SUM(CO111,CT111,CY111),"X")</f>
        <v>183</v>
      </c>
      <c r="AW165" s="806">
        <f t="shared" ref="AW165:AW167" si="459">IF(SUM(CP111,CU111,CZ111)&gt;0,SUM(CP111,CU111,CZ111),"X")</f>
        <v>229</v>
      </c>
      <c r="AX165" s="806">
        <f t="shared" ref="AX165:AX167" si="460">IF(SUM(CQ111,CV111,DA111)&gt;0,SUM(CQ111,CV111,DA111),"X")</f>
        <v>290</v>
      </c>
      <c r="AY165" s="806">
        <f t="shared" ref="AY165:AY167" si="461">IF(SUM(CR111,CW111,DB111)&gt;0,SUM(CR111,CW111,DB111),"X")</f>
        <v>372</v>
      </c>
      <c r="AZ165" s="807">
        <f t="shared" ref="AZ165:AZ167" si="462">IF(SUM(CS111,CX111,DC111)&gt;0,SUM(CS111,CX111,DC111),"X")</f>
        <v>466</v>
      </c>
      <c r="BA165" s="805">
        <f t="shared" ref="BA165:BA167" si="463">IF(ISBLANK(DD111),"X",DD111)</f>
        <v>238</v>
      </c>
      <c r="BB165" s="806">
        <f t="shared" ref="BB165:BB167" si="464">IF(ISBLANK(DE111),"X",DE111)</f>
        <v>317</v>
      </c>
      <c r="BC165" s="806">
        <f t="shared" ref="BC165:BC167" si="465">IF(ISBLANK(DF111),"X",DF111)</f>
        <v>323</v>
      </c>
      <c r="BD165" s="806">
        <f t="shared" ref="BD165:BD167" si="466">IF(ISBLANK(DG111),"X",DG111)</f>
        <v>412</v>
      </c>
      <c r="BE165" s="807">
        <f t="shared" ref="BE165:BE167" si="467">IF(ISBLANK(DH111),"X",DH111)</f>
        <v>443</v>
      </c>
      <c r="BF165" s="805">
        <f t="shared" ref="BF165:BF167" si="468">IF(ISBLANK(DI111),"X",DI111)</f>
        <v>24</v>
      </c>
      <c r="BG165" s="806">
        <f t="shared" ref="BG165:BG167" si="469">IF(ISBLANK(DJ111),"X",DJ111)</f>
        <v>21</v>
      </c>
      <c r="BH165" s="806">
        <f t="shared" ref="BH165:BH167" si="470">IF(ISBLANK(DK111),"X",DK111)</f>
        <v>42</v>
      </c>
      <c r="BI165" s="806">
        <f t="shared" ref="BI165:BI167" si="471">IF(ISBLANK(DL111),"X",DL111)</f>
        <v>26</v>
      </c>
      <c r="BJ165" s="807">
        <f t="shared" ref="BJ165:BJ167" si="472">IF(ISBLANK(DM111),"X",DM111)</f>
        <v>53</v>
      </c>
      <c r="BK165" s="805">
        <f t="shared" ref="BK165:BK167" si="473">IF(ISBLANK(DN111),"X",DN111)</f>
        <v>103</v>
      </c>
      <c r="BL165" s="806">
        <f t="shared" ref="BL165:BL167" si="474">IF(ISBLANK(DO111),"X",DO111)</f>
        <v>84</v>
      </c>
      <c r="BM165" s="806">
        <f t="shared" ref="BM165:BM167" si="475">IF(ISBLANK(DP111),"X",DP111)</f>
        <v>114</v>
      </c>
      <c r="BN165" s="806">
        <f t="shared" ref="BN165:BN167" si="476">IF(ISBLANK(DQ111),"X",DQ111)</f>
        <v>135</v>
      </c>
      <c r="BO165" s="807">
        <f t="shared" ref="BO165:BO167" si="477">IF(ISBLANK(DR111),"X",DR111)</f>
        <v>95</v>
      </c>
      <c r="BP165" s="805" t="str">
        <f t="shared" ref="BP165:BP167" si="478">IF(ISBLANK(DS111),"X",DS111)</f>
        <v>x</v>
      </c>
      <c r="BQ165" s="806" t="str">
        <f t="shared" ref="BQ165:BQ167" si="479">IF(ISBLANK(DT111),"X",DT111)</f>
        <v>x</v>
      </c>
      <c r="BR165" s="806">
        <f t="shared" ref="BR165:BR167" si="480">IF(ISBLANK(DU111),"X",DU111)</f>
        <v>22</v>
      </c>
      <c r="BS165" s="806">
        <f t="shared" ref="BS165:BS167" si="481">IF(ISBLANK(DV111),"X",DV111)</f>
        <v>55</v>
      </c>
      <c r="BT165" s="807">
        <f t="shared" ref="BT165:BT167" si="482">IF(ISBLANK(DW111),"X",DW111)</f>
        <v>65</v>
      </c>
      <c r="BU165" s="805" t="str">
        <f t="shared" ref="BU165:BU167" si="483">IF(ISBLANK(DX111),"X",DX111)</f>
        <v>x</v>
      </c>
      <c r="BV165" s="806" t="str">
        <f t="shared" ref="BV165:BV167" si="484">IF(ISBLANK(DY111),"X",DY111)</f>
        <v>x</v>
      </c>
      <c r="BW165" s="806">
        <f t="shared" ref="BW165:BW167" si="485">IF(ISBLANK(DZ111),"X",DZ111)</f>
        <v>147</v>
      </c>
      <c r="BX165" s="806">
        <f t="shared" ref="BX165:BX167" si="486">IF(ISBLANK(EA111),"X",EA111)</f>
        <v>6</v>
      </c>
      <c r="BY165" s="807">
        <f t="shared" ref="BY165:BY167" si="487">IF(ISBLANK(EB111),"X",EB111)</f>
        <v>0</v>
      </c>
      <c r="BZ165" s="839">
        <f>SUM(AB111,AG111,AL111,AQ111,AV111,BA111,BF111,BK111,BP111,BU111,BZ111,CE111,CJ111,CO111,CT111,CY111,DD111,DI111,DN111,DS111,DX111)</f>
        <v>1052</v>
      </c>
      <c r="CA165" s="840">
        <f t="shared" ref="CA165:CD165" si="488">SUM(AC111,AH111,AM111,AR111,AW111,BB111,BG111,BL111,BQ111,BV111,CA111,CF111,CK111,CP111,CU111,CZ111,DE111,DJ111,DO111,DT111,DY111)</f>
        <v>1294</v>
      </c>
      <c r="CB165" s="840">
        <f t="shared" si="488"/>
        <v>1644</v>
      </c>
      <c r="CC165" s="840">
        <f t="shared" si="488"/>
        <v>1819</v>
      </c>
      <c r="CD165" s="841">
        <f t="shared" si="488"/>
        <v>2213</v>
      </c>
    </row>
    <row r="166" spans="1:134" s="89" customFormat="1" ht="11.25" customHeight="1" x14ac:dyDescent="0.2">
      <c r="A166" s="141"/>
      <c r="B166" s="1366"/>
      <c r="C166" s="1366"/>
      <c r="D166" s="1366"/>
      <c r="E166" s="1366"/>
      <c r="F166" s="1366"/>
      <c r="G166" s="9"/>
      <c r="H166" s="9"/>
      <c r="I166" s="9"/>
      <c r="J166" s="13"/>
      <c r="K166" s="9"/>
      <c r="L166" s="9"/>
      <c r="M166" s="9"/>
      <c r="N166" s="9"/>
      <c r="O166" s="9"/>
      <c r="P166" s="9"/>
      <c r="Q166" s="9"/>
      <c r="R166" s="9"/>
      <c r="S166" s="9"/>
      <c r="T166" s="9"/>
      <c r="U166" s="11"/>
      <c r="V166" s="11"/>
      <c r="W166" s="11"/>
      <c r="X166" s="12"/>
      <c r="Y166" s="12"/>
      <c r="Z166" s="1308"/>
      <c r="AA166" s="12"/>
      <c r="AB166" s="12"/>
      <c r="AC166" s="241"/>
      <c r="AD166" s="806">
        <f t="shared" si="440"/>
        <v>176</v>
      </c>
      <c r="AE166" s="806">
        <f t="shared" si="441"/>
        <v>155</v>
      </c>
      <c r="AF166" s="807">
        <f t="shared" si="442"/>
        <v>105</v>
      </c>
      <c r="AG166" s="805">
        <f t="shared" si="443"/>
        <v>933</v>
      </c>
      <c r="AH166" s="806">
        <f t="shared" si="444"/>
        <v>599</v>
      </c>
      <c r="AI166" s="806">
        <f t="shared" si="445"/>
        <v>671</v>
      </c>
      <c r="AJ166" s="806">
        <f t="shared" si="446"/>
        <v>622</v>
      </c>
      <c r="AK166" s="807">
        <f t="shared" si="447"/>
        <v>609</v>
      </c>
      <c r="AL166" s="805">
        <f t="shared" si="448"/>
        <v>669</v>
      </c>
      <c r="AM166" s="806">
        <f t="shared" si="449"/>
        <v>488</v>
      </c>
      <c r="AN166" s="806">
        <f t="shared" si="450"/>
        <v>336</v>
      </c>
      <c r="AO166" s="806">
        <f t="shared" si="451"/>
        <v>370</v>
      </c>
      <c r="AP166" s="807">
        <f t="shared" si="452"/>
        <v>305</v>
      </c>
      <c r="AQ166" s="805">
        <f t="shared" si="453"/>
        <v>204</v>
      </c>
      <c r="AR166" s="806">
        <f t="shared" si="454"/>
        <v>0</v>
      </c>
      <c r="AS166" s="806">
        <f t="shared" si="455"/>
        <v>39</v>
      </c>
      <c r="AT166" s="806">
        <f t="shared" si="456"/>
        <v>55</v>
      </c>
      <c r="AU166" s="807">
        <f t="shared" si="457"/>
        <v>41</v>
      </c>
      <c r="AV166" s="805">
        <f t="shared" si="458"/>
        <v>642</v>
      </c>
      <c r="AW166" s="806">
        <f t="shared" si="459"/>
        <v>709</v>
      </c>
      <c r="AX166" s="806">
        <f t="shared" si="460"/>
        <v>632</v>
      </c>
      <c r="AY166" s="806">
        <f t="shared" si="461"/>
        <v>531</v>
      </c>
      <c r="AZ166" s="807">
        <f t="shared" si="462"/>
        <v>419</v>
      </c>
      <c r="BA166" s="805">
        <f t="shared" si="463"/>
        <v>1763</v>
      </c>
      <c r="BB166" s="806">
        <f t="shared" si="464"/>
        <v>844</v>
      </c>
      <c r="BC166" s="806">
        <f t="shared" si="465"/>
        <v>871</v>
      </c>
      <c r="BD166" s="806">
        <f t="shared" si="466"/>
        <v>863</v>
      </c>
      <c r="BE166" s="807">
        <f t="shared" si="467"/>
        <v>780</v>
      </c>
      <c r="BF166" s="805">
        <f t="shared" si="468"/>
        <v>210</v>
      </c>
      <c r="BG166" s="806">
        <f t="shared" si="469"/>
        <v>69</v>
      </c>
      <c r="BH166" s="806">
        <f t="shared" si="470"/>
        <v>82</v>
      </c>
      <c r="BI166" s="806">
        <f t="shared" si="471"/>
        <v>83</v>
      </c>
      <c r="BJ166" s="807">
        <f t="shared" si="472"/>
        <v>80</v>
      </c>
      <c r="BK166" s="805">
        <f t="shared" si="473"/>
        <v>582</v>
      </c>
      <c r="BL166" s="806">
        <f t="shared" si="474"/>
        <v>99</v>
      </c>
      <c r="BM166" s="806">
        <f t="shared" si="475"/>
        <v>193</v>
      </c>
      <c r="BN166" s="806">
        <f t="shared" si="476"/>
        <v>153</v>
      </c>
      <c r="BO166" s="807">
        <f t="shared" si="477"/>
        <v>156</v>
      </c>
      <c r="BP166" s="805">
        <f t="shared" si="478"/>
        <v>122</v>
      </c>
      <c r="BQ166" s="806">
        <f t="shared" si="479"/>
        <v>87</v>
      </c>
      <c r="BR166" s="806">
        <f t="shared" si="480"/>
        <v>66</v>
      </c>
      <c r="BS166" s="806">
        <f t="shared" si="481"/>
        <v>42</v>
      </c>
      <c r="BT166" s="807">
        <f t="shared" si="482"/>
        <v>44</v>
      </c>
      <c r="BU166" s="805">
        <f t="shared" si="483"/>
        <v>1728</v>
      </c>
      <c r="BV166" s="806">
        <f t="shared" si="484"/>
        <v>352</v>
      </c>
      <c r="BW166" s="806">
        <f t="shared" si="485"/>
        <v>339</v>
      </c>
      <c r="BX166" s="806">
        <f t="shared" si="486"/>
        <v>470</v>
      </c>
      <c r="BY166" s="807">
        <f t="shared" si="487"/>
        <v>700</v>
      </c>
      <c r="BZ166" s="839">
        <f t="shared" ref="BZ166:BZ167" si="489">SUM(AB112,AG112,AL112,AQ112,AV112,BA112,BF112,BK112,BP112,BU112,BZ112,CE112,CJ112,CO112,CT112,CY112,DD112,DI112,DN112,DS112,DX112)</f>
        <v>7307</v>
      </c>
      <c r="CA166" s="840">
        <f t="shared" ref="CA166:CA167" si="490">SUM(AC112,AH112,AM112,AR112,AW112,BB112,BG112,BL112,BQ112,BV112,CA112,CF112,CK112,CP112,CU112,CZ112,DE112,DJ112,DO112,DT112,DY112)</f>
        <v>3426</v>
      </c>
      <c r="CB166" s="840">
        <f t="shared" ref="CB166:CB167" si="491">SUM(AD112,AI112,AN112,AS112,AX112,BC112,BH112,BM112,BR112,BW112,CB112,CG112,CL112,CQ112,CV112,DA112,DF112,DK112,DP112,DU112,DZ112)</f>
        <v>3405</v>
      </c>
      <c r="CC166" s="840">
        <f t="shared" ref="CC166:CC167" si="492">SUM(AE112,AJ112,AO112,AT112,AY112,BD112,BI112,BN112,BS112,BX112,CC112,CH112,CM112,CR112,CW112,DB112,DG112,DL112,DQ112,DV112,EA112)</f>
        <v>3344</v>
      </c>
      <c r="CD166" s="841">
        <f t="shared" ref="CD166:CD167" si="493">SUM(AF112,AK112,AP112,AU112,AZ112,BE112,BJ112,BO112,BT112,BY112,CD112,CI112,CN112,CS112,CX112,DC112,DH112,DM112,DR112,DW112,EB112)</f>
        <v>3239</v>
      </c>
    </row>
    <row r="167" spans="1:134" s="89" customFormat="1" ht="11.25" customHeight="1" x14ac:dyDescent="0.2">
      <c r="A167" s="141"/>
      <c r="B167" s="1366" t="s">
        <v>20</v>
      </c>
      <c r="C167" s="1366"/>
      <c r="D167" s="1366"/>
      <c r="E167" s="1366"/>
      <c r="F167" s="9"/>
      <c r="G167" s="9"/>
      <c r="H167" s="9"/>
      <c r="I167" s="9"/>
      <c r="J167" s="13"/>
      <c r="K167" s="9"/>
      <c r="L167" s="9"/>
      <c r="M167" s="9"/>
      <c r="N167" s="9"/>
      <c r="O167" s="9"/>
      <c r="P167" s="9"/>
      <c r="Q167" s="9"/>
      <c r="R167" s="9"/>
      <c r="S167" s="9"/>
      <c r="T167" s="9"/>
      <c r="U167" s="11"/>
      <c r="V167" s="11"/>
      <c r="W167" s="11"/>
      <c r="X167" s="12"/>
      <c r="Y167" s="12"/>
      <c r="Z167" s="1308"/>
      <c r="AA167" s="12"/>
      <c r="AB167" s="12"/>
      <c r="AC167" s="241"/>
      <c r="AD167" s="806">
        <f t="shared" si="440"/>
        <v>682</v>
      </c>
      <c r="AE167" s="806">
        <f t="shared" si="441"/>
        <v>751</v>
      </c>
      <c r="AF167" s="807">
        <f t="shared" si="442"/>
        <v>571</v>
      </c>
      <c r="AG167" s="805">
        <f t="shared" si="443"/>
        <v>985</v>
      </c>
      <c r="AH167" s="806">
        <f t="shared" si="444"/>
        <v>1650</v>
      </c>
      <c r="AI167" s="806">
        <f t="shared" si="445"/>
        <v>2392</v>
      </c>
      <c r="AJ167" s="806">
        <f t="shared" si="446"/>
        <v>2051</v>
      </c>
      <c r="AK167" s="807">
        <f t="shared" si="447"/>
        <v>1556</v>
      </c>
      <c r="AL167" s="805">
        <f t="shared" si="448"/>
        <v>719</v>
      </c>
      <c r="AM167" s="806">
        <f t="shared" si="449"/>
        <v>1150</v>
      </c>
      <c r="AN167" s="806">
        <f t="shared" si="450"/>
        <v>1587</v>
      </c>
      <c r="AO167" s="806">
        <f t="shared" si="451"/>
        <v>1708</v>
      </c>
      <c r="AP167" s="807">
        <f t="shared" si="452"/>
        <v>1182</v>
      </c>
      <c r="AQ167" s="805">
        <f t="shared" si="453"/>
        <v>23</v>
      </c>
      <c r="AR167" s="806">
        <f t="shared" si="454"/>
        <v>54</v>
      </c>
      <c r="AS167" s="806">
        <f t="shared" si="455"/>
        <v>93</v>
      </c>
      <c r="AT167" s="806">
        <f t="shared" si="456"/>
        <v>88</v>
      </c>
      <c r="AU167" s="807">
        <f t="shared" si="457"/>
        <v>66</v>
      </c>
      <c r="AV167" s="805">
        <f t="shared" si="458"/>
        <v>1007</v>
      </c>
      <c r="AW167" s="806">
        <f t="shared" si="459"/>
        <v>937</v>
      </c>
      <c r="AX167" s="806">
        <f t="shared" si="460"/>
        <v>1023</v>
      </c>
      <c r="AY167" s="806">
        <f t="shared" si="461"/>
        <v>995</v>
      </c>
      <c r="AZ167" s="807">
        <f t="shared" si="462"/>
        <v>766</v>
      </c>
      <c r="BA167" s="805">
        <f t="shared" si="463"/>
        <v>1369</v>
      </c>
      <c r="BB167" s="806">
        <f t="shared" si="464"/>
        <v>1884</v>
      </c>
      <c r="BC167" s="806">
        <f t="shared" si="465"/>
        <v>2528</v>
      </c>
      <c r="BD167" s="806">
        <f t="shared" si="466"/>
        <v>3532</v>
      </c>
      <c r="BE167" s="807">
        <f t="shared" si="467"/>
        <v>2712</v>
      </c>
      <c r="BF167" s="805">
        <f t="shared" si="468"/>
        <v>114</v>
      </c>
      <c r="BG167" s="806">
        <f t="shared" si="469"/>
        <v>158</v>
      </c>
      <c r="BH167" s="806">
        <f t="shared" si="470"/>
        <v>225</v>
      </c>
      <c r="BI167" s="806">
        <f t="shared" si="471"/>
        <v>245</v>
      </c>
      <c r="BJ167" s="807">
        <f t="shared" si="472"/>
        <v>244</v>
      </c>
      <c r="BK167" s="805">
        <f t="shared" si="473"/>
        <v>255</v>
      </c>
      <c r="BL167" s="806">
        <f t="shared" si="474"/>
        <v>421</v>
      </c>
      <c r="BM167" s="806">
        <f t="shared" si="475"/>
        <v>505</v>
      </c>
      <c r="BN167" s="806">
        <f t="shared" si="476"/>
        <v>456</v>
      </c>
      <c r="BO167" s="807">
        <f t="shared" si="477"/>
        <v>345</v>
      </c>
      <c r="BP167" s="805">
        <f t="shared" si="478"/>
        <v>138</v>
      </c>
      <c r="BQ167" s="806">
        <f t="shared" si="479"/>
        <v>100</v>
      </c>
      <c r="BR167" s="806">
        <f t="shared" si="480"/>
        <v>143</v>
      </c>
      <c r="BS167" s="806">
        <f t="shared" si="481"/>
        <v>305</v>
      </c>
      <c r="BT167" s="807">
        <f t="shared" si="482"/>
        <v>186</v>
      </c>
      <c r="BU167" s="805">
        <f t="shared" si="483"/>
        <v>36</v>
      </c>
      <c r="BV167" s="806" t="str">
        <f t="shared" si="484"/>
        <v>x</v>
      </c>
      <c r="BW167" s="806">
        <f t="shared" si="485"/>
        <v>26</v>
      </c>
      <c r="BX167" s="806">
        <f t="shared" si="486"/>
        <v>206</v>
      </c>
      <c r="BY167" s="807">
        <f t="shared" si="487"/>
        <v>12</v>
      </c>
      <c r="BZ167" s="839">
        <f t="shared" si="489"/>
        <v>5129</v>
      </c>
      <c r="CA167" s="840">
        <f t="shared" si="490"/>
        <v>6914</v>
      </c>
      <c r="CB167" s="840">
        <f t="shared" si="491"/>
        <v>9204</v>
      </c>
      <c r="CC167" s="840">
        <f t="shared" si="492"/>
        <v>10337</v>
      </c>
      <c r="CD167" s="841">
        <f t="shared" si="493"/>
        <v>7640</v>
      </c>
    </row>
    <row r="168" spans="1:134" s="89" customFormat="1" ht="11.25" customHeight="1" x14ac:dyDescent="0.2">
      <c r="A168" s="141"/>
      <c r="B168" s="1366"/>
      <c r="C168" s="1366"/>
      <c r="D168" s="1366"/>
      <c r="E168" s="1366"/>
      <c r="F168" s="9"/>
      <c r="G168" s="9"/>
      <c r="H168" s="9"/>
      <c r="I168" s="9"/>
      <c r="J168" s="13"/>
      <c r="K168" s="9"/>
      <c r="L168" s="9"/>
      <c r="M168" s="9"/>
      <c r="N168" s="9"/>
      <c r="O168" s="9"/>
      <c r="P168" s="9"/>
      <c r="Q168" s="9"/>
      <c r="R168" s="9"/>
      <c r="S168" s="9"/>
      <c r="T168" s="9"/>
      <c r="U168" s="11"/>
      <c r="V168" s="11"/>
      <c r="W168" s="11"/>
      <c r="X168" s="12"/>
      <c r="Y168" s="12"/>
      <c r="Z168" s="1308"/>
      <c r="AA168" s="12"/>
      <c r="AB168" s="12"/>
      <c r="AC168" s="241"/>
      <c r="AD168" s="806">
        <f t="shared" ref="AD168:AD197" si="494">IF(SUM(AD114,AI114,AN114,AS114)&gt;0,SUM(AD114,AI114,AN114,AS114),"X")</f>
        <v>279</v>
      </c>
      <c r="AE168" s="806">
        <f t="shared" ref="AE168:AE197" si="495">IF(SUM(AE114,AJ114,AO114,AT114)&gt;0,SUM(AE114,AJ114,AO114,AT114),"X")</f>
        <v>415</v>
      </c>
      <c r="AF168" s="807">
        <f t="shared" ref="AF168:AF197" si="496">IF(SUM(AF114,AK114,AP114,AU114)&gt;0,SUM(AF114,AK114,AP114,AU114),"X")</f>
        <v>458</v>
      </c>
      <c r="AG168" s="805">
        <f t="shared" ref="AG168:AG197" si="497">IF(SUM(BA114,AV114)&gt;0,SUM(BA114,AV114),"X")</f>
        <v>440</v>
      </c>
      <c r="AH168" s="806">
        <f t="shared" ref="AH168:AH197" si="498">IF(SUM(BB114,AW114)&gt;0,SUM(BB114,AW114),"X")</f>
        <v>261</v>
      </c>
      <c r="AI168" s="806">
        <f t="shared" ref="AI168:AI197" si="499">IF(SUM(BC114,AX114)&gt;0,SUM(BC114,AX114),"X")</f>
        <v>681</v>
      </c>
      <c r="AJ168" s="806">
        <f t="shared" ref="AJ168:AJ197" si="500">IF(SUM(BD114,AY114)&gt;0,SUM(BD114,AY114),"X")</f>
        <v>891</v>
      </c>
      <c r="AK168" s="807">
        <f t="shared" ref="AK168:AK197" si="501">IF(SUM(BE114,AZ114)&gt;0,SUM(BE114,AZ114),"X")</f>
        <v>858</v>
      </c>
      <c r="AL168" s="805">
        <f t="shared" ref="AL168:AL197" si="502">IF(SUM(BF114,BK114,BP114,BU114,BZ114,CE114)&gt;0,SUM(BF114,BK114,BP114,BU114,BZ114,CE114),"X")</f>
        <v>405</v>
      </c>
      <c r="AM168" s="806">
        <f t="shared" ref="AM168:AM197" si="503">IF(SUM(BG114,BL114,BQ114,BV114,CA114,CF114)&gt;0,SUM(BG114,BL114,BQ114,BV114,CA114,CF114),"X")</f>
        <v>191</v>
      </c>
      <c r="AN168" s="806">
        <f t="shared" ref="AN168:AN197" si="504">IF(SUM(BH114,BM114,BR114,BW114,CB114,CG114)&gt;0,SUM(BH114,BM114,BR114,BW114,CB114,CG114),"X")</f>
        <v>384</v>
      </c>
      <c r="AO168" s="806">
        <f t="shared" ref="AO168:AO197" si="505">IF(SUM(BI114,BN114,BS114,BX114,CC114,CH114)&gt;0,SUM(BI114,BN114,BS114,BX114,CC114,CH114),"X")</f>
        <v>445</v>
      </c>
      <c r="AP168" s="807">
        <f t="shared" ref="AP168:AP197" si="506">IF(SUM(BJ114,BO114,BT114,BY114,CD114,CI114)&gt;0,SUM(BJ114,BO114,BT114,BY114,CD114,CI114),"X")</f>
        <v>408</v>
      </c>
      <c r="AQ168" s="805">
        <f t="shared" ref="AQ168:AQ197" si="507">IF(ISBLANK(CJ114),"X",CJ114)</f>
        <v>26</v>
      </c>
      <c r="AR168" s="806">
        <f t="shared" ref="AR168:AR197" si="508">IF(ISBLANK(CK114),"X",CK114)</f>
        <v>18</v>
      </c>
      <c r="AS168" s="806">
        <f t="shared" ref="AS168:AS197" si="509">IF(ISBLANK(CL114),"X",CL114)</f>
        <v>35</v>
      </c>
      <c r="AT168" s="806">
        <f t="shared" ref="AT168:AT197" si="510">IF(ISBLANK(CM114),"X",CM114)</f>
        <v>40</v>
      </c>
      <c r="AU168" s="807">
        <f t="shared" ref="AU168:AU197" si="511">IF(ISBLANK(CN114),"X",CN114)</f>
        <v>98</v>
      </c>
      <c r="AV168" s="805">
        <f t="shared" ref="AV168:AV197" si="512">IF(SUM(CO114,CT114,CY114)&gt;0,SUM(CO114,CT114,CY114),"X")</f>
        <v>472</v>
      </c>
      <c r="AW168" s="806">
        <f t="shared" ref="AW168:AW197" si="513">IF(SUM(CP114,CU114,CZ114)&gt;0,SUM(CP114,CU114,CZ114),"X")</f>
        <v>300</v>
      </c>
      <c r="AX168" s="806">
        <f t="shared" ref="AX168:AX197" si="514">IF(SUM(CQ114,CV114,DA114)&gt;0,SUM(CQ114,CV114,DA114),"X")</f>
        <v>815</v>
      </c>
      <c r="AY168" s="806">
        <f t="shared" ref="AY168:AY197" si="515">IF(SUM(CR114,CW114,DB114)&gt;0,SUM(CR114,CW114,DB114),"X")</f>
        <v>771</v>
      </c>
      <c r="AZ168" s="807">
        <f t="shared" ref="AZ168:AZ197" si="516">IF(SUM(CS114,CX114,DC114)&gt;0,SUM(CS114,CX114,DC114),"X")</f>
        <v>706</v>
      </c>
      <c r="BA168" s="805">
        <f t="shared" ref="BA168:BA197" si="517">IF(ISBLANK(DD114),"X",DD114)</f>
        <v>1039</v>
      </c>
      <c r="BB168" s="806">
        <f t="shared" ref="BB168:BB197" si="518">IF(ISBLANK(DE114),"X",DE114)</f>
        <v>552</v>
      </c>
      <c r="BC168" s="806">
        <f t="shared" ref="BC168:BC197" si="519">IF(ISBLANK(DF114),"X",DF114)</f>
        <v>1039</v>
      </c>
      <c r="BD168" s="806">
        <f t="shared" ref="BD168:BD197" si="520">IF(ISBLANK(DG114),"X",DG114)</f>
        <v>1191</v>
      </c>
      <c r="BE168" s="807">
        <f t="shared" ref="BE168:BE197" si="521">IF(ISBLANK(DH114),"X",DH114)</f>
        <v>1148</v>
      </c>
      <c r="BF168" s="805">
        <f t="shared" ref="BF168:BF197" si="522">IF(ISBLANK(DI114),"X",DI114)</f>
        <v>123</v>
      </c>
      <c r="BG168" s="806">
        <f t="shared" ref="BG168:BG197" si="523">IF(ISBLANK(DJ114),"X",DJ114)</f>
        <v>57</v>
      </c>
      <c r="BH168" s="806">
        <f t="shared" ref="BH168:BH197" si="524">IF(ISBLANK(DK114),"X",DK114)</f>
        <v>172</v>
      </c>
      <c r="BI168" s="806">
        <f t="shared" ref="BI168:BI197" si="525">IF(ISBLANK(DL114),"X",DL114)</f>
        <v>173</v>
      </c>
      <c r="BJ168" s="807">
        <f t="shared" ref="BJ168:BJ197" si="526">IF(ISBLANK(DM114),"X",DM114)</f>
        <v>217</v>
      </c>
      <c r="BK168" s="805">
        <f t="shared" ref="BK168:BK197" si="527">IF(ISBLANK(DN114),"X",DN114)</f>
        <v>318</v>
      </c>
      <c r="BL168" s="806">
        <f t="shared" ref="BL168:BL197" si="528">IF(ISBLANK(DO114),"X",DO114)</f>
        <v>153</v>
      </c>
      <c r="BM168" s="806">
        <f t="shared" ref="BM168:BM197" si="529">IF(ISBLANK(DP114),"X",DP114)</f>
        <v>190</v>
      </c>
      <c r="BN168" s="806">
        <f t="shared" ref="BN168:BN197" si="530">IF(ISBLANK(DQ114),"X",DQ114)</f>
        <v>343</v>
      </c>
      <c r="BO168" s="807">
        <f t="shared" ref="BO168:BO197" si="531">IF(ISBLANK(DR114),"X",DR114)</f>
        <v>318</v>
      </c>
      <c r="BP168" s="805">
        <f t="shared" ref="BP168:BP197" si="532">IF(ISBLANK(DS114),"X",DS114)</f>
        <v>87</v>
      </c>
      <c r="BQ168" s="806">
        <f t="shared" ref="BQ168:BQ197" si="533">IF(ISBLANK(DT114),"X",DT114)</f>
        <v>28</v>
      </c>
      <c r="BR168" s="806">
        <f t="shared" ref="BR168:BR197" si="534">IF(ISBLANK(DU114),"X",DU114)</f>
        <v>75</v>
      </c>
      <c r="BS168" s="806">
        <f t="shared" ref="BS168:BS197" si="535">IF(ISBLANK(DV114),"X",DV114)</f>
        <v>76</v>
      </c>
      <c r="BT168" s="807">
        <f t="shared" ref="BT168:BT197" si="536">IF(ISBLANK(DW114),"X",DW114)</f>
        <v>82</v>
      </c>
      <c r="BU168" s="805">
        <f t="shared" ref="BU168:BU197" si="537">IF(ISBLANK(DX114),"X",DX114)</f>
        <v>773</v>
      </c>
      <c r="BV168" s="806">
        <f t="shared" ref="BV168:BV197" si="538">IF(ISBLANK(DY114),"X",DY114)</f>
        <v>1481</v>
      </c>
      <c r="BW168" s="806">
        <f t="shared" ref="BW168:BW197" si="539">IF(ISBLANK(DZ114),"X",DZ114)</f>
        <v>6</v>
      </c>
      <c r="BX168" s="806">
        <f t="shared" ref="BX168:BX197" si="540">IF(ISBLANK(EA114),"X",EA114)</f>
        <v>22</v>
      </c>
      <c r="BY168" s="807">
        <f t="shared" ref="BY168:BY197" si="541">IF(ISBLANK(EB114),"X",EB114)</f>
        <v>22</v>
      </c>
      <c r="BZ168" s="839">
        <f t="shared" ref="BZ168:BZ197" si="542">SUM(AB114,AG114,AL114,AQ114,AV114,BA114,BF114,BK114,BP114,BU114,BZ114,CE114,CJ114,CO114,CT114,CY114,DD114,DI114,DN114,DS114,DX114)</f>
        <v>3990</v>
      </c>
      <c r="CA168" s="840">
        <f t="shared" ref="CA168:CA197" si="543">SUM(AC114,AH114,AM114,AR114,AW114,BB114,BG114,BL114,BQ114,BV114,CA114,CF114,CK114,CP114,CU114,CZ114,DE114,DJ114,DO114,DT114,DY114)</f>
        <v>3198</v>
      </c>
      <c r="CB168" s="840">
        <f t="shared" ref="CB168:CB197" si="544">SUM(AD114,AI114,AN114,AS114,AX114,BC114,BH114,BM114,BR114,BW114,CB114,CG114,CL114,CQ114,CV114,DA114,DF114,DK114,DP114,DU114,DZ114)</f>
        <v>3676</v>
      </c>
      <c r="CC168" s="840">
        <f t="shared" ref="CC168:CC197" si="545">SUM(AE114,AJ114,AO114,AT114,AY114,BD114,BI114,BN114,BS114,BX114,CC114,CH114,CM114,CR114,CW114,DB114,DG114,DL114,DQ114,DV114,EA114)</f>
        <v>4367</v>
      </c>
      <c r="CD168" s="841">
        <f t="shared" ref="CD168:CD197" si="546">SUM(AF114,AK114,AP114,AU114,AZ114,BE114,BJ114,BO114,BT114,BY114,CD114,CI114,CN114,CS114,CX114,DC114,DH114,DM114,DR114,DW114,EB114)</f>
        <v>4315</v>
      </c>
    </row>
    <row r="169" spans="1:134" s="89" customFormat="1" ht="11.25" customHeight="1" x14ac:dyDescent="0.2">
      <c r="A169" s="141"/>
      <c r="B169" s="1366" t="s">
        <v>26</v>
      </c>
      <c r="C169" s="1366"/>
      <c r="D169" s="1366"/>
      <c r="E169" s="1366"/>
      <c r="F169" s="9"/>
      <c r="G169" s="9"/>
      <c r="H169" s="9"/>
      <c r="I169" s="9"/>
      <c r="J169" s="13"/>
      <c r="K169" s="9"/>
      <c r="L169" s="9"/>
      <c r="M169" s="9"/>
      <c r="N169" s="9"/>
      <c r="O169" s="9"/>
      <c r="P169" s="9"/>
      <c r="Q169" s="9"/>
      <c r="R169" s="9"/>
      <c r="S169" s="9"/>
      <c r="T169" s="9"/>
      <c r="U169" s="11"/>
      <c r="V169" s="11"/>
      <c r="W169" s="11"/>
      <c r="X169" s="12"/>
      <c r="Y169" s="12"/>
      <c r="Z169" s="1308"/>
      <c r="AA169" s="12"/>
      <c r="AB169" s="12"/>
      <c r="AC169" s="241"/>
      <c r="AD169" s="806">
        <f t="shared" si="494"/>
        <v>2165</v>
      </c>
      <c r="AE169" s="806">
        <f t="shared" si="495"/>
        <v>1837</v>
      </c>
      <c r="AF169" s="807">
        <f t="shared" si="496"/>
        <v>1906</v>
      </c>
      <c r="AG169" s="805">
        <f t="shared" si="497"/>
        <v>3631</v>
      </c>
      <c r="AH169" s="806">
        <f t="shared" si="498"/>
        <v>4149</v>
      </c>
      <c r="AI169" s="806">
        <f t="shared" si="499"/>
        <v>4559</v>
      </c>
      <c r="AJ169" s="806">
        <f t="shared" si="500"/>
        <v>3772</v>
      </c>
      <c r="AK169" s="807">
        <f t="shared" si="501"/>
        <v>4431</v>
      </c>
      <c r="AL169" s="805">
        <f t="shared" si="502"/>
        <v>2312</v>
      </c>
      <c r="AM169" s="806">
        <f t="shared" si="503"/>
        <v>2148</v>
      </c>
      <c r="AN169" s="806">
        <f t="shared" si="504"/>
        <v>2603</v>
      </c>
      <c r="AO169" s="806">
        <f t="shared" si="505"/>
        <v>2167</v>
      </c>
      <c r="AP169" s="807">
        <f t="shared" si="506"/>
        <v>3063</v>
      </c>
      <c r="AQ169" s="805">
        <f t="shared" si="507"/>
        <v>277</v>
      </c>
      <c r="AR169" s="806">
        <f t="shared" si="508"/>
        <v>277</v>
      </c>
      <c r="AS169" s="806">
        <f t="shared" si="509"/>
        <v>233</v>
      </c>
      <c r="AT169" s="806">
        <f t="shared" si="510"/>
        <v>170</v>
      </c>
      <c r="AU169" s="807">
        <f t="shared" si="511"/>
        <v>0</v>
      </c>
      <c r="AV169" s="805">
        <f t="shared" si="512"/>
        <v>1447</v>
      </c>
      <c r="AW169" s="806">
        <f t="shared" si="513"/>
        <v>1596</v>
      </c>
      <c r="AX169" s="806">
        <f t="shared" si="514"/>
        <v>1606</v>
      </c>
      <c r="AY169" s="806">
        <f t="shared" si="515"/>
        <v>1608</v>
      </c>
      <c r="AZ169" s="807">
        <f t="shared" si="516"/>
        <v>1661</v>
      </c>
      <c r="BA169" s="805">
        <f t="shared" si="517"/>
        <v>4745</v>
      </c>
      <c r="BB169" s="806">
        <f t="shared" si="518"/>
        <v>4346</v>
      </c>
      <c r="BC169" s="806">
        <f t="shared" si="519"/>
        <v>5360</v>
      </c>
      <c r="BD169" s="806">
        <f t="shared" si="520"/>
        <v>4198</v>
      </c>
      <c r="BE169" s="807">
        <f t="shared" si="521"/>
        <v>4559</v>
      </c>
      <c r="BF169" s="805">
        <f t="shared" si="522"/>
        <v>496</v>
      </c>
      <c r="BG169" s="806">
        <f t="shared" si="523"/>
        <v>370</v>
      </c>
      <c r="BH169" s="806">
        <f t="shared" si="524"/>
        <v>447</v>
      </c>
      <c r="BI169" s="806">
        <f t="shared" si="525"/>
        <v>381</v>
      </c>
      <c r="BJ169" s="807">
        <f t="shared" si="526"/>
        <v>593</v>
      </c>
      <c r="BK169" s="805">
        <f t="shared" si="527"/>
        <v>1364</v>
      </c>
      <c r="BL169" s="806">
        <f t="shared" si="528"/>
        <v>1255</v>
      </c>
      <c r="BM169" s="806">
        <f t="shared" si="529"/>
        <v>1765</v>
      </c>
      <c r="BN169" s="806">
        <f t="shared" si="530"/>
        <v>1159</v>
      </c>
      <c r="BO169" s="807">
        <f t="shared" si="531"/>
        <v>1248</v>
      </c>
      <c r="BP169" s="805">
        <f t="shared" si="532"/>
        <v>419</v>
      </c>
      <c r="BQ169" s="806">
        <f t="shared" si="533"/>
        <v>400</v>
      </c>
      <c r="BR169" s="806">
        <f t="shared" si="534"/>
        <v>478</v>
      </c>
      <c r="BS169" s="806">
        <f t="shared" si="535"/>
        <v>370</v>
      </c>
      <c r="BT169" s="807">
        <f t="shared" si="536"/>
        <v>495</v>
      </c>
      <c r="BU169" s="805" t="str">
        <f t="shared" si="537"/>
        <v>x</v>
      </c>
      <c r="BV169" s="806">
        <f t="shared" si="538"/>
        <v>290</v>
      </c>
      <c r="BW169" s="806">
        <f t="shared" si="539"/>
        <v>219</v>
      </c>
      <c r="BX169" s="806">
        <f t="shared" si="540"/>
        <v>453</v>
      </c>
      <c r="BY169" s="807">
        <f t="shared" si="541"/>
        <v>263</v>
      </c>
      <c r="BZ169" s="839">
        <f t="shared" si="542"/>
        <v>16525</v>
      </c>
      <c r="CA169" s="840">
        <f t="shared" si="543"/>
        <v>16666</v>
      </c>
      <c r="CB169" s="840">
        <f t="shared" si="544"/>
        <v>19435</v>
      </c>
      <c r="CC169" s="840">
        <f t="shared" si="545"/>
        <v>16115</v>
      </c>
      <c r="CD169" s="841">
        <f t="shared" si="546"/>
        <v>18219</v>
      </c>
    </row>
    <row r="170" spans="1:134" s="89" customFormat="1" ht="11.25" customHeight="1" x14ac:dyDescent="0.2">
      <c r="A170" s="141"/>
      <c r="B170" s="1366"/>
      <c r="C170" s="1366"/>
      <c r="D170" s="1366"/>
      <c r="E170" s="1366"/>
      <c r="F170" s="9"/>
      <c r="G170" s="9"/>
      <c r="H170" s="9"/>
      <c r="I170" s="9"/>
      <c r="J170" s="13"/>
      <c r="K170" s="9"/>
      <c r="L170" s="9"/>
      <c r="M170" s="9"/>
      <c r="N170" s="9"/>
      <c r="O170" s="9"/>
      <c r="P170" s="9"/>
      <c r="Q170" s="9"/>
      <c r="R170" s="9"/>
      <c r="S170" s="9"/>
      <c r="T170" s="9"/>
      <c r="U170" s="11"/>
      <c r="V170" s="11"/>
      <c r="W170" s="11"/>
      <c r="X170" s="12"/>
      <c r="Y170" s="12"/>
      <c r="Z170" s="1308"/>
      <c r="AA170" s="12"/>
      <c r="AB170" s="12"/>
      <c r="AC170" s="241"/>
      <c r="AD170" s="806">
        <f t="shared" si="494"/>
        <v>244</v>
      </c>
      <c r="AE170" s="806">
        <f t="shared" si="495"/>
        <v>215</v>
      </c>
      <c r="AF170" s="807">
        <f t="shared" si="496"/>
        <v>176</v>
      </c>
      <c r="AG170" s="805">
        <f t="shared" si="497"/>
        <v>664</v>
      </c>
      <c r="AH170" s="806">
        <f t="shared" si="498"/>
        <v>672</v>
      </c>
      <c r="AI170" s="806">
        <f t="shared" si="499"/>
        <v>681</v>
      </c>
      <c r="AJ170" s="806">
        <f t="shared" si="500"/>
        <v>667</v>
      </c>
      <c r="AK170" s="807">
        <f t="shared" si="501"/>
        <v>679</v>
      </c>
      <c r="AL170" s="805">
        <f t="shared" si="502"/>
        <v>288</v>
      </c>
      <c r="AM170" s="806">
        <f t="shared" si="503"/>
        <v>278</v>
      </c>
      <c r="AN170" s="806">
        <f t="shared" si="504"/>
        <v>307</v>
      </c>
      <c r="AO170" s="806">
        <f t="shared" si="505"/>
        <v>283</v>
      </c>
      <c r="AP170" s="807">
        <f t="shared" si="506"/>
        <v>308</v>
      </c>
      <c r="AQ170" s="805" t="str">
        <f t="shared" si="507"/>
        <v>x</v>
      </c>
      <c r="AR170" s="806">
        <f t="shared" si="508"/>
        <v>13</v>
      </c>
      <c r="AS170" s="806">
        <f t="shared" si="509"/>
        <v>41</v>
      </c>
      <c r="AT170" s="806">
        <f t="shared" si="510"/>
        <v>33</v>
      </c>
      <c r="AU170" s="807">
        <f t="shared" si="511"/>
        <v>0</v>
      </c>
      <c r="AV170" s="805">
        <f t="shared" si="512"/>
        <v>196</v>
      </c>
      <c r="AW170" s="806">
        <f t="shared" si="513"/>
        <v>214</v>
      </c>
      <c r="AX170" s="806">
        <f t="shared" si="514"/>
        <v>231</v>
      </c>
      <c r="AY170" s="806">
        <f t="shared" si="515"/>
        <v>265</v>
      </c>
      <c r="AZ170" s="807">
        <f t="shared" si="516"/>
        <v>227</v>
      </c>
      <c r="BA170" s="805">
        <f t="shared" si="517"/>
        <v>670</v>
      </c>
      <c r="BB170" s="806">
        <f t="shared" si="518"/>
        <v>606</v>
      </c>
      <c r="BC170" s="806">
        <f t="shared" si="519"/>
        <v>766</v>
      </c>
      <c r="BD170" s="806">
        <f t="shared" si="520"/>
        <v>478</v>
      </c>
      <c r="BE170" s="807">
        <f t="shared" si="521"/>
        <v>555</v>
      </c>
      <c r="BF170" s="805">
        <f t="shared" si="522"/>
        <v>45</v>
      </c>
      <c r="BG170" s="806">
        <f t="shared" si="523"/>
        <v>53</v>
      </c>
      <c r="BH170" s="806">
        <f t="shared" si="524"/>
        <v>33</v>
      </c>
      <c r="BI170" s="806">
        <f t="shared" si="525"/>
        <v>39</v>
      </c>
      <c r="BJ170" s="807">
        <f t="shared" si="526"/>
        <v>59</v>
      </c>
      <c r="BK170" s="805">
        <f t="shared" si="527"/>
        <v>229</v>
      </c>
      <c r="BL170" s="806">
        <f t="shared" si="528"/>
        <v>241</v>
      </c>
      <c r="BM170" s="806">
        <f t="shared" si="529"/>
        <v>262</v>
      </c>
      <c r="BN170" s="806">
        <f t="shared" si="530"/>
        <v>169</v>
      </c>
      <c r="BO170" s="807">
        <f t="shared" si="531"/>
        <v>301</v>
      </c>
      <c r="BP170" s="805">
        <f t="shared" si="532"/>
        <v>61</v>
      </c>
      <c r="BQ170" s="806">
        <f t="shared" si="533"/>
        <v>64</v>
      </c>
      <c r="BR170" s="806">
        <f t="shared" si="534"/>
        <v>48</v>
      </c>
      <c r="BS170" s="806">
        <f t="shared" si="535"/>
        <v>0</v>
      </c>
      <c r="BT170" s="807">
        <f t="shared" si="536"/>
        <v>0</v>
      </c>
      <c r="BU170" s="805" t="str">
        <f t="shared" si="537"/>
        <v>x</v>
      </c>
      <c r="BV170" s="806">
        <f t="shared" si="538"/>
        <v>0</v>
      </c>
      <c r="BW170" s="806">
        <f t="shared" si="539"/>
        <v>0</v>
      </c>
      <c r="BX170" s="806">
        <f t="shared" si="540"/>
        <v>63</v>
      </c>
      <c r="BY170" s="807">
        <f t="shared" si="541"/>
        <v>61</v>
      </c>
      <c r="BZ170" s="839">
        <f t="shared" si="542"/>
        <v>2348</v>
      </c>
      <c r="CA170" s="840">
        <f t="shared" si="543"/>
        <v>2389</v>
      </c>
      <c r="CB170" s="840">
        <f t="shared" si="544"/>
        <v>2613</v>
      </c>
      <c r="CC170" s="840">
        <f t="shared" si="545"/>
        <v>2212</v>
      </c>
      <c r="CD170" s="841">
        <f t="shared" si="546"/>
        <v>2366</v>
      </c>
    </row>
    <row r="171" spans="1:134" s="89" customFormat="1" ht="11.25" customHeight="1" x14ac:dyDescent="0.2">
      <c r="A171" s="141"/>
      <c r="B171" s="1366" t="s">
        <v>21</v>
      </c>
      <c r="C171" s="1366"/>
      <c r="D171" s="1366"/>
      <c r="E171" s="1366"/>
      <c r="F171" s="9"/>
      <c r="G171" s="9"/>
      <c r="H171" s="9"/>
      <c r="I171" s="9"/>
      <c r="J171" s="13"/>
      <c r="K171" s="9"/>
      <c r="L171" s="9"/>
      <c r="M171" s="9"/>
      <c r="N171" s="9"/>
      <c r="O171" s="9"/>
      <c r="P171" s="9"/>
      <c r="Q171" s="9"/>
      <c r="R171" s="9"/>
      <c r="S171" s="9"/>
      <c r="T171" s="9"/>
      <c r="U171" s="11"/>
      <c r="V171" s="11"/>
      <c r="W171" s="11"/>
      <c r="X171" s="12"/>
      <c r="Y171" s="12"/>
      <c r="Z171" s="1308"/>
      <c r="AA171" s="12"/>
      <c r="AB171" s="12"/>
      <c r="AC171" s="241"/>
      <c r="AD171" s="806">
        <f t="shared" si="494"/>
        <v>1596</v>
      </c>
      <c r="AE171" s="806">
        <f t="shared" si="495"/>
        <v>2168</v>
      </c>
      <c r="AF171" s="807">
        <f t="shared" si="496"/>
        <v>1561</v>
      </c>
      <c r="AG171" s="805">
        <f t="shared" si="497"/>
        <v>2794</v>
      </c>
      <c r="AH171" s="806">
        <f t="shared" si="498"/>
        <v>2833</v>
      </c>
      <c r="AI171" s="806">
        <f t="shared" si="499"/>
        <v>2765</v>
      </c>
      <c r="AJ171" s="806">
        <f t="shared" si="500"/>
        <v>3305</v>
      </c>
      <c r="AK171" s="807">
        <f t="shared" si="501"/>
        <v>3306</v>
      </c>
      <c r="AL171" s="805">
        <f t="shared" si="502"/>
        <v>2656</v>
      </c>
      <c r="AM171" s="806">
        <f t="shared" si="503"/>
        <v>2128</v>
      </c>
      <c r="AN171" s="806">
        <f t="shared" si="504"/>
        <v>1938</v>
      </c>
      <c r="AO171" s="806">
        <f t="shared" si="505"/>
        <v>2375</v>
      </c>
      <c r="AP171" s="807">
        <f t="shared" si="506"/>
        <v>2326</v>
      </c>
      <c r="AQ171" s="805">
        <f t="shared" si="507"/>
        <v>458</v>
      </c>
      <c r="AR171" s="806">
        <f t="shared" si="508"/>
        <v>395</v>
      </c>
      <c r="AS171" s="806">
        <f t="shared" si="509"/>
        <v>366</v>
      </c>
      <c r="AT171" s="806">
        <f t="shared" si="510"/>
        <v>406</v>
      </c>
      <c r="AU171" s="807">
        <f t="shared" si="511"/>
        <v>363</v>
      </c>
      <c r="AV171" s="805">
        <f t="shared" si="512"/>
        <v>1606</v>
      </c>
      <c r="AW171" s="806">
        <f t="shared" si="513"/>
        <v>1670</v>
      </c>
      <c r="AX171" s="806">
        <f t="shared" si="514"/>
        <v>1976</v>
      </c>
      <c r="AY171" s="806">
        <f t="shared" si="515"/>
        <v>2198</v>
      </c>
      <c r="AZ171" s="807">
        <f t="shared" si="516"/>
        <v>2281</v>
      </c>
      <c r="BA171" s="805">
        <f t="shared" si="517"/>
        <v>4037</v>
      </c>
      <c r="BB171" s="806">
        <f t="shared" si="518"/>
        <v>3886</v>
      </c>
      <c r="BC171" s="806">
        <f t="shared" si="519"/>
        <v>4508</v>
      </c>
      <c r="BD171" s="806">
        <f t="shared" si="520"/>
        <v>6675</v>
      </c>
      <c r="BE171" s="807">
        <f t="shared" si="521"/>
        <v>6290</v>
      </c>
      <c r="BF171" s="805">
        <f t="shared" si="522"/>
        <v>1038</v>
      </c>
      <c r="BG171" s="806">
        <f t="shared" si="523"/>
        <v>1321</v>
      </c>
      <c r="BH171" s="806">
        <f t="shared" si="524"/>
        <v>735</v>
      </c>
      <c r="BI171" s="806">
        <f t="shared" si="525"/>
        <v>719</v>
      </c>
      <c r="BJ171" s="807">
        <f t="shared" si="526"/>
        <v>884</v>
      </c>
      <c r="BK171" s="805">
        <f t="shared" si="527"/>
        <v>1546</v>
      </c>
      <c r="BL171" s="806">
        <f t="shared" si="528"/>
        <v>1244</v>
      </c>
      <c r="BM171" s="806">
        <f t="shared" si="529"/>
        <v>1563</v>
      </c>
      <c r="BN171" s="806">
        <f t="shared" si="530"/>
        <v>1050</v>
      </c>
      <c r="BO171" s="807">
        <f t="shared" si="531"/>
        <v>698</v>
      </c>
      <c r="BP171" s="805">
        <f t="shared" si="532"/>
        <v>448</v>
      </c>
      <c r="BQ171" s="806">
        <f t="shared" si="533"/>
        <v>230</v>
      </c>
      <c r="BR171" s="806">
        <f t="shared" si="534"/>
        <v>294</v>
      </c>
      <c r="BS171" s="806">
        <f t="shared" si="535"/>
        <v>413</v>
      </c>
      <c r="BT171" s="807">
        <f t="shared" si="536"/>
        <v>375</v>
      </c>
      <c r="BU171" s="805">
        <f t="shared" si="537"/>
        <v>57</v>
      </c>
      <c r="BV171" s="806">
        <f t="shared" si="538"/>
        <v>58</v>
      </c>
      <c r="BW171" s="806">
        <f t="shared" si="539"/>
        <v>64</v>
      </c>
      <c r="BX171" s="806">
        <f t="shared" si="540"/>
        <v>64</v>
      </c>
      <c r="BY171" s="807">
        <f t="shared" si="541"/>
        <v>199</v>
      </c>
      <c r="BZ171" s="839">
        <f t="shared" si="542"/>
        <v>16529</v>
      </c>
      <c r="CA171" s="840">
        <f t="shared" si="543"/>
        <v>15342</v>
      </c>
      <c r="CB171" s="840">
        <f t="shared" si="544"/>
        <v>15805</v>
      </c>
      <c r="CC171" s="840">
        <f t="shared" si="545"/>
        <v>19373</v>
      </c>
      <c r="CD171" s="841">
        <f t="shared" si="546"/>
        <v>18283</v>
      </c>
    </row>
    <row r="172" spans="1:134" s="83" customFormat="1" ht="11.25" customHeight="1" x14ac:dyDescent="0.2">
      <c r="A172" s="141"/>
      <c r="B172" s="1366"/>
      <c r="C172" s="1366"/>
      <c r="D172" s="1366"/>
      <c r="E172" s="1366"/>
      <c r="F172" s="9"/>
      <c r="G172" s="9"/>
      <c r="H172" s="9"/>
      <c r="I172" s="9"/>
      <c r="J172" s="13"/>
      <c r="K172" s="9"/>
      <c r="L172" s="9"/>
      <c r="M172" s="9"/>
      <c r="N172" s="9"/>
      <c r="O172" s="9"/>
      <c r="P172" s="9"/>
      <c r="Q172" s="9"/>
      <c r="R172" s="9"/>
      <c r="S172" s="9"/>
      <c r="T172" s="9"/>
      <c r="U172" s="11"/>
      <c r="V172" s="11"/>
      <c r="W172" s="11"/>
      <c r="X172" s="12"/>
      <c r="Y172" s="12"/>
      <c r="Z172" s="1308"/>
      <c r="AA172" s="12"/>
      <c r="AB172" s="12"/>
      <c r="AC172" s="241"/>
      <c r="AD172" s="806">
        <f t="shared" si="494"/>
        <v>343</v>
      </c>
      <c r="AE172" s="806">
        <f t="shared" si="495"/>
        <v>247</v>
      </c>
      <c r="AF172" s="807">
        <f t="shared" si="496"/>
        <v>415</v>
      </c>
      <c r="AG172" s="805">
        <f t="shared" si="497"/>
        <v>804</v>
      </c>
      <c r="AH172" s="806">
        <f t="shared" si="498"/>
        <v>905</v>
      </c>
      <c r="AI172" s="806">
        <f t="shared" si="499"/>
        <v>598</v>
      </c>
      <c r="AJ172" s="806">
        <f t="shared" si="500"/>
        <v>554</v>
      </c>
      <c r="AK172" s="807">
        <f t="shared" si="501"/>
        <v>871</v>
      </c>
      <c r="AL172" s="805">
        <f t="shared" si="502"/>
        <v>346</v>
      </c>
      <c r="AM172" s="806">
        <f t="shared" si="503"/>
        <v>350</v>
      </c>
      <c r="AN172" s="806">
        <f t="shared" si="504"/>
        <v>250</v>
      </c>
      <c r="AO172" s="806">
        <f t="shared" si="505"/>
        <v>316</v>
      </c>
      <c r="AP172" s="807">
        <f t="shared" si="506"/>
        <v>359</v>
      </c>
      <c r="AQ172" s="805">
        <f t="shared" si="507"/>
        <v>117</v>
      </c>
      <c r="AR172" s="806">
        <f t="shared" si="508"/>
        <v>102</v>
      </c>
      <c r="AS172" s="806">
        <f t="shared" si="509"/>
        <v>81</v>
      </c>
      <c r="AT172" s="806">
        <f t="shared" si="510"/>
        <v>64</v>
      </c>
      <c r="AU172" s="807">
        <f t="shared" si="511"/>
        <v>67</v>
      </c>
      <c r="AV172" s="805">
        <f t="shared" si="512"/>
        <v>219</v>
      </c>
      <c r="AW172" s="806">
        <f t="shared" si="513"/>
        <v>515</v>
      </c>
      <c r="AX172" s="806">
        <f t="shared" si="514"/>
        <v>394</v>
      </c>
      <c r="AY172" s="806">
        <f t="shared" si="515"/>
        <v>349</v>
      </c>
      <c r="AZ172" s="807">
        <f t="shared" si="516"/>
        <v>506</v>
      </c>
      <c r="BA172" s="805">
        <f t="shared" si="517"/>
        <v>794</v>
      </c>
      <c r="BB172" s="806">
        <f t="shared" si="518"/>
        <v>718</v>
      </c>
      <c r="BC172" s="806">
        <f t="shared" si="519"/>
        <v>770</v>
      </c>
      <c r="BD172" s="806">
        <f t="shared" si="520"/>
        <v>817</v>
      </c>
      <c r="BE172" s="807">
        <f t="shared" si="521"/>
        <v>1341</v>
      </c>
      <c r="BF172" s="805">
        <f t="shared" si="522"/>
        <v>60</v>
      </c>
      <c r="BG172" s="806">
        <f t="shared" si="523"/>
        <v>142</v>
      </c>
      <c r="BH172" s="806">
        <f t="shared" si="524"/>
        <v>89</v>
      </c>
      <c r="BI172" s="806">
        <f t="shared" si="525"/>
        <v>76</v>
      </c>
      <c r="BJ172" s="807">
        <f t="shared" si="526"/>
        <v>135</v>
      </c>
      <c r="BK172" s="805">
        <f t="shared" si="527"/>
        <v>211</v>
      </c>
      <c r="BL172" s="806">
        <f t="shared" si="528"/>
        <v>150</v>
      </c>
      <c r="BM172" s="806">
        <f t="shared" si="529"/>
        <v>107</v>
      </c>
      <c r="BN172" s="806">
        <f t="shared" si="530"/>
        <v>81</v>
      </c>
      <c r="BO172" s="807">
        <f t="shared" si="531"/>
        <v>163</v>
      </c>
      <c r="BP172" s="805">
        <f t="shared" si="532"/>
        <v>128</v>
      </c>
      <c r="BQ172" s="806">
        <f t="shared" si="533"/>
        <v>96</v>
      </c>
      <c r="BR172" s="806">
        <f t="shared" si="534"/>
        <v>100</v>
      </c>
      <c r="BS172" s="806">
        <f t="shared" si="535"/>
        <v>83</v>
      </c>
      <c r="BT172" s="807">
        <f t="shared" si="536"/>
        <v>89</v>
      </c>
      <c r="BU172" s="805">
        <f t="shared" si="537"/>
        <v>48</v>
      </c>
      <c r="BV172" s="806">
        <f t="shared" si="538"/>
        <v>15</v>
      </c>
      <c r="BW172" s="806">
        <f t="shared" si="539"/>
        <v>0</v>
      </c>
      <c r="BX172" s="806">
        <f t="shared" si="540"/>
        <v>25</v>
      </c>
      <c r="BY172" s="807">
        <f t="shared" si="541"/>
        <v>79</v>
      </c>
      <c r="BZ172" s="839">
        <f t="shared" si="542"/>
        <v>3080</v>
      </c>
      <c r="CA172" s="840">
        <f t="shared" si="543"/>
        <v>3368</v>
      </c>
      <c r="CB172" s="840">
        <f t="shared" si="544"/>
        <v>2732</v>
      </c>
      <c r="CC172" s="840">
        <f t="shared" si="545"/>
        <v>2612</v>
      </c>
      <c r="CD172" s="841">
        <f t="shared" si="546"/>
        <v>4025</v>
      </c>
      <c r="CE172" s="89"/>
      <c r="CF172" s="89"/>
      <c r="CG172" s="89"/>
      <c r="CH172" s="89"/>
      <c r="CI172" s="89"/>
      <c r="CJ172" s="89"/>
      <c r="CK172" s="89"/>
      <c r="CL172" s="89"/>
      <c r="CM172" s="89"/>
      <c r="CN172" s="89"/>
      <c r="CO172" s="89"/>
      <c r="CP172" s="89"/>
      <c r="CQ172" s="89"/>
      <c r="CR172" s="89"/>
      <c r="CS172" s="89"/>
      <c r="CT172" s="89"/>
      <c r="CU172" s="89"/>
      <c r="CV172" s="89"/>
      <c r="CW172" s="89"/>
      <c r="CX172" s="89"/>
      <c r="CY172" s="89"/>
      <c r="CZ172" s="89"/>
      <c r="DA172" s="89"/>
      <c r="DB172" s="89"/>
      <c r="DC172" s="89"/>
      <c r="DD172" s="89"/>
      <c r="DE172" s="89"/>
      <c r="DF172" s="89"/>
      <c r="DG172" s="89"/>
      <c r="DH172" s="89"/>
      <c r="DI172" s="89"/>
      <c r="DJ172" s="89"/>
      <c r="DK172" s="89"/>
      <c r="DL172" s="89"/>
      <c r="DM172" s="89"/>
      <c r="DN172" s="89"/>
      <c r="DO172" s="89"/>
      <c r="DP172" s="89"/>
      <c r="DQ172" s="89"/>
      <c r="DR172" s="89"/>
      <c r="DS172" s="89"/>
      <c r="DT172" s="89"/>
      <c r="DU172" s="89"/>
      <c r="DV172" s="89"/>
      <c r="DW172" s="89"/>
      <c r="DX172" s="89"/>
      <c r="DY172" s="89"/>
      <c r="DZ172" s="89"/>
      <c r="EA172" s="89"/>
      <c r="EB172" s="89"/>
      <c r="EC172" s="89"/>
      <c r="ED172" s="89"/>
    </row>
    <row r="173" spans="1:134" s="83" customFormat="1" ht="11.25" customHeight="1" x14ac:dyDescent="0.2">
      <c r="A173" s="141"/>
      <c r="B173" s="1366" t="s">
        <v>930</v>
      </c>
      <c r="C173" s="1366"/>
      <c r="D173" s="1366"/>
      <c r="E173" s="1366"/>
      <c r="F173" s="1366"/>
      <c r="G173" s="9"/>
      <c r="H173" s="9"/>
      <c r="I173" s="9"/>
      <c r="J173" s="13"/>
      <c r="K173" s="9"/>
      <c r="L173" s="9"/>
      <c r="M173" s="9"/>
      <c r="N173" s="9"/>
      <c r="O173" s="9"/>
      <c r="P173" s="9"/>
      <c r="Q173" s="9"/>
      <c r="R173" s="9"/>
      <c r="S173" s="9"/>
      <c r="T173" s="9"/>
      <c r="U173" s="11"/>
      <c r="V173" s="11"/>
      <c r="W173" s="11"/>
      <c r="X173" s="12"/>
      <c r="Y173" s="12"/>
      <c r="Z173" s="1308"/>
      <c r="AA173" s="12"/>
      <c r="AB173" s="12"/>
      <c r="AC173" s="241"/>
      <c r="AD173" s="806">
        <f t="shared" si="494"/>
        <v>255</v>
      </c>
      <c r="AE173" s="806">
        <f t="shared" si="495"/>
        <v>214</v>
      </c>
      <c r="AF173" s="807">
        <f t="shared" si="496"/>
        <v>287</v>
      </c>
      <c r="AG173" s="805">
        <f t="shared" si="497"/>
        <v>609</v>
      </c>
      <c r="AH173" s="806">
        <f t="shared" si="498"/>
        <v>689</v>
      </c>
      <c r="AI173" s="806">
        <f t="shared" si="499"/>
        <v>824</v>
      </c>
      <c r="AJ173" s="806">
        <f t="shared" si="500"/>
        <v>468</v>
      </c>
      <c r="AK173" s="807">
        <f t="shared" si="501"/>
        <v>567</v>
      </c>
      <c r="AL173" s="805">
        <f t="shared" si="502"/>
        <v>283</v>
      </c>
      <c r="AM173" s="806">
        <f t="shared" si="503"/>
        <v>270</v>
      </c>
      <c r="AN173" s="806">
        <f t="shared" si="504"/>
        <v>331</v>
      </c>
      <c r="AO173" s="806">
        <f t="shared" si="505"/>
        <v>298</v>
      </c>
      <c r="AP173" s="807">
        <f t="shared" si="506"/>
        <v>332</v>
      </c>
      <c r="AQ173" s="805">
        <f t="shared" si="507"/>
        <v>38</v>
      </c>
      <c r="AR173" s="806" t="str">
        <f t="shared" si="508"/>
        <v>x</v>
      </c>
      <c r="AS173" s="806" t="str">
        <f t="shared" si="509"/>
        <v>x</v>
      </c>
      <c r="AT173" s="806" t="str">
        <f t="shared" si="510"/>
        <v>x</v>
      </c>
      <c r="AU173" s="807">
        <f t="shared" si="511"/>
        <v>43</v>
      </c>
      <c r="AV173" s="805">
        <f t="shared" si="512"/>
        <v>366</v>
      </c>
      <c r="AW173" s="806">
        <f t="shared" si="513"/>
        <v>462</v>
      </c>
      <c r="AX173" s="806">
        <f t="shared" si="514"/>
        <v>529</v>
      </c>
      <c r="AY173" s="806">
        <f t="shared" si="515"/>
        <v>406</v>
      </c>
      <c r="AZ173" s="807">
        <f t="shared" si="516"/>
        <v>418</v>
      </c>
      <c r="BA173" s="805">
        <f t="shared" si="517"/>
        <v>713</v>
      </c>
      <c r="BB173" s="806">
        <f t="shared" si="518"/>
        <v>718</v>
      </c>
      <c r="BC173" s="806">
        <f t="shared" si="519"/>
        <v>785</v>
      </c>
      <c r="BD173" s="806">
        <f t="shared" si="520"/>
        <v>666</v>
      </c>
      <c r="BE173" s="807">
        <f t="shared" si="521"/>
        <v>754</v>
      </c>
      <c r="BF173" s="805">
        <f t="shared" si="522"/>
        <v>128</v>
      </c>
      <c r="BG173" s="806">
        <f t="shared" si="523"/>
        <v>160</v>
      </c>
      <c r="BH173" s="806">
        <f t="shared" si="524"/>
        <v>70</v>
      </c>
      <c r="BI173" s="806">
        <f t="shared" si="525"/>
        <v>141</v>
      </c>
      <c r="BJ173" s="807">
        <f t="shared" si="526"/>
        <v>107</v>
      </c>
      <c r="BK173" s="805">
        <f t="shared" si="527"/>
        <v>105</v>
      </c>
      <c r="BL173" s="806">
        <f t="shared" si="528"/>
        <v>123</v>
      </c>
      <c r="BM173" s="806">
        <f t="shared" si="529"/>
        <v>165</v>
      </c>
      <c r="BN173" s="806">
        <f t="shared" si="530"/>
        <v>95</v>
      </c>
      <c r="BO173" s="807">
        <f t="shared" si="531"/>
        <v>106</v>
      </c>
      <c r="BP173" s="805">
        <f t="shared" si="532"/>
        <v>66</v>
      </c>
      <c r="BQ173" s="806">
        <f t="shared" si="533"/>
        <v>73</v>
      </c>
      <c r="BR173" s="806">
        <f t="shared" si="534"/>
        <v>90</v>
      </c>
      <c r="BS173" s="806">
        <f t="shared" si="535"/>
        <v>48</v>
      </c>
      <c r="BT173" s="807">
        <f t="shared" si="536"/>
        <v>63</v>
      </c>
      <c r="BU173" s="805">
        <f t="shared" si="537"/>
        <v>9</v>
      </c>
      <c r="BV173" s="806" t="str">
        <f t="shared" si="538"/>
        <v>x</v>
      </c>
      <c r="BW173" s="806" t="str">
        <f t="shared" si="539"/>
        <v>x</v>
      </c>
      <c r="BX173" s="806" t="str">
        <f t="shared" si="540"/>
        <v>x</v>
      </c>
      <c r="BY173" s="807">
        <f t="shared" si="541"/>
        <v>0</v>
      </c>
      <c r="BZ173" s="839">
        <f t="shared" si="542"/>
        <v>2569</v>
      </c>
      <c r="CA173" s="840">
        <f t="shared" si="543"/>
        <v>2714</v>
      </c>
      <c r="CB173" s="840">
        <f t="shared" si="544"/>
        <v>3049</v>
      </c>
      <c r="CC173" s="840">
        <f t="shared" si="545"/>
        <v>2336</v>
      </c>
      <c r="CD173" s="841">
        <f t="shared" si="546"/>
        <v>2677</v>
      </c>
      <c r="CE173" s="89"/>
      <c r="CF173" s="89"/>
      <c r="CG173" s="89"/>
      <c r="CH173" s="89"/>
      <c r="CI173" s="89"/>
      <c r="CJ173" s="89"/>
      <c r="CK173" s="89"/>
      <c r="CL173" s="89"/>
      <c r="CM173" s="89"/>
      <c r="CN173" s="89"/>
      <c r="CO173" s="89"/>
      <c r="CP173" s="89"/>
      <c r="CQ173" s="89"/>
      <c r="CR173" s="89"/>
      <c r="CS173" s="89"/>
      <c r="CT173" s="89"/>
      <c r="CU173" s="89"/>
      <c r="CV173" s="89"/>
      <c r="CW173" s="89"/>
      <c r="CX173" s="89"/>
      <c r="CY173" s="89"/>
      <c r="CZ173" s="89"/>
      <c r="DA173" s="89"/>
      <c r="DB173" s="89"/>
      <c r="DC173" s="89"/>
      <c r="DD173" s="89"/>
      <c r="DE173" s="89"/>
      <c r="DF173" s="89"/>
      <c r="DG173" s="89"/>
      <c r="DH173" s="89"/>
      <c r="DI173" s="89"/>
      <c r="DJ173" s="89"/>
      <c r="DK173" s="89"/>
      <c r="DL173" s="89"/>
      <c r="DM173" s="89"/>
      <c r="DN173" s="89"/>
      <c r="DO173" s="89"/>
      <c r="DP173" s="89"/>
      <c r="DQ173" s="89"/>
      <c r="DR173" s="89"/>
      <c r="DS173" s="89"/>
      <c r="DT173" s="89"/>
      <c r="DU173" s="89"/>
      <c r="DV173" s="89"/>
      <c r="DW173" s="89"/>
      <c r="DX173" s="89"/>
      <c r="DY173" s="89"/>
      <c r="DZ173" s="89"/>
      <c r="EA173" s="89"/>
      <c r="EB173" s="89"/>
      <c r="EC173" s="89"/>
      <c r="ED173" s="89"/>
    </row>
    <row r="174" spans="1:134" s="83" customFormat="1" ht="11.25" customHeight="1" x14ac:dyDescent="0.2">
      <c r="A174" s="141"/>
      <c r="B174" s="1366"/>
      <c r="C174" s="1366"/>
      <c r="D174" s="1366"/>
      <c r="E174" s="1366"/>
      <c r="F174" s="1366"/>
      <c r="G174" s="9"/>
      <c r="H174" s="9"/>
      <c r="I174" s="9"/>
      <c r="J174" s="13"/>
      <c r="K174" s="9"/>
      <c r="L174" s="9"/>
      <c r="M174" s="9"/>
      <c r="N174" s="9"/>
      <c r="O174" s="9"/>
      <c r="P174" s="9"/>
      <c r="Q174" s="9"/>
      <c r="R174" s="9"/>
      <c r="S174" s="9"/>
      <c r="T174" s="9"/>
      <c r="U174" s="11"/>
      <c r="V174" s="11"/>
      <c r="W174" s="11"/>
      <c r="X174" s="12"/>
      <c r="Y174" s="12"/>
      <c r="Z174" s="1308"/>
      <c r="AA174" s="12"/>
      <c r="AB174" s="12"/>
      <c r="AC174" s="241"/>
      <c r="AD174" s="806">
        <f t="shared" si="494"/>
        <v>536</v>
      </c>
      <c r="AE174" s="806">
        <f t="shared" si="495"/>
        <v>383</v>
      </c>
      <c r="AF174" s="807">
        <f t="shared" si="496"/>
        <v>392</v>
      </c>
      <c r="AG174" s="805">
        <f t="shared" si="497"/>
        <v>861</v>
      </c>
      <c r="AH174" s="806">
        <f t="shared" si="498"/>
        <v>1286</v>
      </c>
      <c r="AI174" s="806">
        <f t="shared" si="499"/>
        <v>1522</v>
      </c>
      <c r="AJ174" s="806">
        <f t="shared" si="500"/>
        <v>896</v>
      </c>
      <c r="AK174" s="807">
        <f t="shared" si="501"/>
        <v>1419</v>
      </c>
      <c r="AL174" s="805">
        <f t="shared" si="502"/>
        <v>1016</v>
      </c>
      <c r="AM174" s="806">
        <f t="shared" si="503"/>
        <v>1035</v>
      </c>
      <c r="AN174" s="806">
        <f t="shared" si="504"/>
        <v>1092</v>
      </c>
      <c r="AO174" s="806">
        <f t="shared" si="505"/>
        <v>621</v>
      </c>
      <c r="AP174" s="807">
        <f t="shared" si="506"/>
        <v>623</v>
      </c>
      <c r="AQ174" s="805">
        <f t="shared" si="507"/>
        <v>84</v>
      </c>
      <c r="AR174" s="806">
        <f t="shared" si="508"/>
        <v>89</v>
      </c>
      <c r="AS174" s="806">
        <f t="shared" si="509"/>
        <v>73</v>
      </c>
      <c r="AT174" s="806">
        <f t="shared" si="510"/>
        <v>35</v>
      </c>
      <c r="AU174" s="807">
        <f t="shared" si="511"/>
        <v>53</v>
      </c>
      <c r="AV174" s="805">
        <f t="shared" si="512"/>
        <v>643</v>
      </c>
      <c r="AW174" s="806">
        <f t="shared" si="513"/>
        <v>655</v>
      </c>
      <c r="AX174" s="806">
        <f t="shared" si="514"/>
        <v>722</v>
      </c>
      <c r="AY174" s="806">
        <f t="shared" si="515"/>
        <v>492</v>
      </c>
      <c r="AZ174" s="807">
        <f t="shared" si="516"/>
        <v>331</v>
      </c>
      <c r="BA174" s="805">
        <f t="shared" si="517"/>
        <v>1747</v>
      </c>
      <c r="BB174" s="806">
        <f t="shared" si="518"/>
        <v>2323</v>
      </c>
      <c r="BC174" s="806">
        <f t="shared" si="519"/>
        <v>2385</v>
      </c>
      <c r="BD174" s="806">
        <f t="shared" si="520"/>
        <v>1998</v>
      </c>
      <c r="BE174" s="807">
        <f t="shared" si="521"/>
        <v>2080</v>
      </c>
      <c r="BF174" s="805">
        <f t="shared" si="522"/>
        <v>51</v>
      </c>
      <c r="BG174" s="806">
        <f t="shared" si="523"/>
        <v>128</v>
      </c>
      <c r="BH174" s="806">
        <f t="shared" si="524"/>
        <v>150</v>
      </c>
      <c r="BI174" s="806">
        <f t="shared" si="525"/>
        <v>80</v>
      </c>
      <c r="BJ174" s="807">
        <f t="shared" si="526"/>
        <v>73</v>
      </c>
      <c r="BK174" s="805">
        <f t="shared" si="527"/>
        <v>382</v>
      </c>
      <c r="BL174" s="806">
        <f t="shared" si="528"/>
        <v>371</v>
      </c>
      <c r="BM174" s="806">
        <f t="shared" si="529"/>
        <v>371</v>
      </c>
      <c r="BN174" s="806">
        <f t="shared" si="530"/>
        <v>1754</v>
      </c>
      <c r="BO174" s="807">
        <f t="shared" si="531"/>
        <v>975</v>
      </c>
      <c r="BP174" s="805">
        <f t="shared" si="532"/>
        <v>285</v>
      </c>
      <c r="BQ174" s="806">
        <f t="shared" si="533"/>
        <v>198</v>
      </c>
      <c r="BR174" s="806">
        <f t="shared" si="534"/>
        <v>192</v>
      </c>
      <c r="BS174" s="806">
        <f t="shared" si="535"/>
        <v>128</v>
      </c>
      <c r="BT174" s="807">
        <f t="shared" si="536"/>
        <v>70</v>
      </c>
      <c r="BU174" s="805">
        <f t="shared" si="537"/>
        <v>48</v>
      </c>
      <c r="BV174" s="806">
        <f t="shared" si="538"/>
        <v>175</v>
      </c>
      <c r="BW174" s="806">
        <f t="shared" si="539"/>
        <v>23</v>
      </c>
      <c r="BX174" s="806">
        <f t="shared" si="540"/>
        <v>427</v>
      </c>
      <c r="BY174" s="807">
        <f t="shared" si="541"/>
        <v>763</v>
      </c>
      <c r="BZ174" s="839">
        <f t="shared" si="542"/>
        <v>5663</v>
      </c>
      <c r="CA174" s="840">
        <f t="shared" si="543"/>
        <v>6750</v>
      </c>
      <c r="CB174" s="840">
        <f t="shared" si="544"/>
        <v>7066</v>
      </c>
      <c r="CC174" s="840">
        <f t="shared" si="545"/>
        <v>6814</v>
      </c>
      <c r="CD174" s="841">
        <f t="shared" si="546"/>
        <v>6779</v>
      </c>
      <c r="CE174" s="89"/>
      <c r="CF174" s="89"/>
      <c r="CG174" s="89"/>
      <c r="CH174" s="89"/>
      <c r="CI174" s="89"/>
      <c r="CJ174" s="89"/>
      <c r="CK174" s="89"/>
      <c r="CL174" s="89"/>
      <c r="CM174" s="89"/>
      <c r="CN174" s="89"/>
      <c r="CO174" s="89"/>
      <c r="CP174" s="89"/>
      <c r="CQ174" s="89"/>
      <c r="CR174" s="89"/>
      <c r="CS174" s="89"/>
      <c r="CT174" s="89"/>
      <c r="CU174" s="89"/>
      <c r="CV174" s="89"/>
      <c r="CW174" s="89"/>
      <c r="CX174" s="89"/>
      <c r="CY174" s="89"/>
      <c r="CZ174" s="89"/>
      <c r="DA174" s="89"/>
      <c r="DB174" s="89"/>
      <c r="DC174" s="89"/>
      <c r="DD174" s="89"/>
      <c r="DE174" s="89"/>
      <c r="DF174" s="89"/>
      <c r="DG174" s="89"/>
      <c r="DH174" s="89"/>
      <c r="DI174" s="89"/>
      <c r="DJ174" s="89"/>
      <c r="DK174" s="89"/>
      <c r="DL174" s="89"/>
      <c r="DM174" s="89"/>
      <c r="DN174" s="89"/>
      <c r="DO174" s="89"/>
      <c r="DP174" s="89"/>
      <c r="DQ174" s="89"/>
      <c r="DR174" s="89"/>
      <c r="DS174" s="89"/>
      <c r="DT174" s="89"/>
      <c r="DU174" s="89"/>
      <c r="DV174" s="89"/>
      <c r="DW174" s="89"/>
      <c r="DX174" s="89"/>
      <c r="DY174" s="89"/>
      <c r="DZ174" s="89"/>
      <c r="EA174" s="89"/>
      <c r="EB174" s="89"/>
      <c r="EC174" s="89"/>
      <c r="ED174" s="89"/>
    </row>
    <row r="175" spans="1:134" s="83" customFormat="1" ht="11.25" customHeight="1" x14ac:dyDescent="0.2">
      <c r="A175" s="141"/>
      <c r="B175" s="1366" t="s">
        <v>680</v>
      </c>
      <c r="C175" s="1366"/>
      <c r="D175" s="1366"/>
      <c r="E175" s="1366"/>
      <c r="F175" s="9"/>
      <c r="G175" s="9"/>
      <c r="H175" s="9"/>
      <c r="I175" s="9"/>
      <c r="J175" s="13"/>
      <c r="K175" s="9"/>
      <c r="L175" s="9"/>
      <c r="M175" s="9"/>
      <c r="N175" s="9"/>
      <c r="O175" s="9"/>
      <c r="P175" s="9"/>
      <c r="Q175" s="9"/>
      <c r="R175" s="9"/>
      <c r="S175" s="9"/>
      <c r="T175" s="9"/>
      <c r="U175" s="11"/>
      <c r="V175" s="11"/>
      <c r="W175" s="11"/>
      <c r="X175" s="12"/>
      <c r="Y175" s="12"/>
      <c r="Z175" s="1308"/>
      <c r="AA175" s="12"/>
      <c r="AB175" s="12"/>
      <c r="AC175" s="241"/>
      <c r="AD175" s="806">
        <f t="shared" si="494"/>
        <v>196</v>
      </c>
      <c r="AE175" s="806">
        <f t="shared" si="495"/>
        <v>246</v>
      </c>
      <c r="AF175" s="807">
        <f t="shared" si="496"/>
        <v>220</v>
      </c>
      <c r="AG175" s="805">
        <f t="shared" si="497"/>
        <v>488</v>
      </c>
      <c r="AH175" s="806">
        <f t="shared" si="498"/>
        <v>386</v>
      </c>
      <c r="AI175" s="806">
        <f t="shared" si="499"/>
        <v>480</v>
      </c>
      <c r="AJ175" s="806">
        <f t="shared" si="500"/>
        <v>532</v>
      </c>
      <c r="AK175" s="807">
        <f t="shared" si="501"/>
        <v>566</v>
      </c>
      <c r="AL175" s="805">
        <f t="shared" si="502"/>
        <v>258</v>
      </c>
      <c r="AM175" s="806">
        <f t="shared" si="503"/>
        <v>300</v>
      </c>
      <c r="AN175" s="806">
        <f t="shared" si="504"/>
        <v>325</v>
      </c>
      <c r="AO175" s="806">
        <f t="shared" si="505"/>
        <v>437</v>
      </c>
      <c r="AP175" s="807">
        <f t="shared" si="506"/>
        <v>371</v>
      </c>
      <c r="AQ175" s="805">
        <f t="shared" si="507"/>
        <v>77</v>
      </c>
      <c r="AR175" s="806">
        <f t="shared" si="508"/>
        <v>45</v>
      </c>
      <c r="AS175" s="806">
        <f t="shared" si="509"/>
        <v>69</v>
      </c>
      <c r="AT175" s="806">
        <f t="shared" si="510"/>
        <v>85</v>
      </c>
      <c r="AU175" s="807">
        <f t="shared" si="511"/>
        <v>108</v>
      </c>
      <c r="AV175" s="805">
        <f t="shared" si="512"/>
        <v>217</v>
      </c>
      <c r="AW175" s="806">
        <f t="shared" si="513"/>
        <v>246</v>
      </c>
      <c r="AX175" s="806">
        <f t="shared" si="514"/>
        <v>253</v>
      </c>
      <c r="AY175" s="806">
        <f t="shared" si="515"/>
        <v>353</v>
      </c>
      <c r="AZ175" s="807">
        <f t="shared" si="516"/>
        <v>513</v>
      </c>
      <c r="BA175" s="805">
        <f t="shared" si="517"/>
        <v>517</v>
      </c>
      <c r="BB175" s="806">
        <f t="shared" si="518"/>
        <v>655</v>
      </c>
      <c r="BC175" s="806">
        <f t="shared" si="519"/>
        <v>825</v>
      </c>
      <c r="BD175" s="806">
        <f t="shared" si="520"/>
        <v>887</v>
      </c>
      <c r="BE175" s="807">
        <f t="shared" si="521"/>
        <v>700</v>
      </c>
      <c r="BF175" s="805">
        <f t="shared" si="522"/>
        <v>53</v>
      </c>
      <c r="BG175" s="806">
        <f t="shared" si="523"/>
        <v>70</v>
      </c>
      <c r="BH175" s="806">
        <f t="shared" si="524"/>
        <v>105</v>
      </c>
      <c r="BI175" s="806">
        <f t="shared" si="525"/>
        <v>126</v>
      </c>
      <c r="BJ175" s="807">
        <f t="shared" si="526"/>
        <v>151</v>
      </c>
      <c r="BK175" s="805">
        <f t="shared" si="527"/>
        <v>157</v>
      </c>
      <c r="BL175" s="806">
        <f t="shared" si="528"/>
        <v>117</v>
      </c>
      <c r="BM175" s="806">
        <f t="shared" si="529"/>
        <v>198</v>
      </c>
      <c r="BN175" s="806">
        <f t="shared" si="530"/>
        <v>130</v>
      </c>
      <c r="BO175" s="807">
        <f t="shared" si="531"/>
        <v>149</v>
      </c>
      <c r="BP175" s="805" t="str">
        <f t="shared" si="532"/>
        <v>x</v>
      </c>
      <c r="BQ175" s="806">
        <f t="shared" si="533"/>
        <v>46</v>
      </c>
      <c r="BR175" s="806">
        <f t="shared" si="534"/>
        <v>36</v>
      </c>
      <c r="BS175" s="806">
        <f t="shared" si="535"/>
        <v>49</v>
      </c>
      <c r="BT175" s="807">
        <f t="shared" si="536"/>
        <v>66</v>
      </c>
      <c r="BU175" s="805" t="str">
        <f t="shared" si="537"/>
        <v>x</v>
      </c>
      <c r="BV175" s="806">
        <f t="shared" si="538"/>
        <v>0</v>
      </c>
      <c r="BW175" s="806">
        <f t="shared" si="539"/>
        <v>0</v>
      </c>
      <c r="BX175" s="806">
        <f t="shared" si="540"/>
        <v>0</v>
      </c>
      <c r="BY175" s="807">
        <f t="shared" si="541"/>
        <v>0</v>
      </c>
      <c r="BZ175" s="839">
        <f t="shared" si="542"/>
        <v>1907</v>
      </c>
      <c r="CA175" s="840">
        <f t="shared" si="543"/>
        <v>2093</v>
      </c>
      <c r="CB175" s="840">
        <f t="shared" si="544"/>
        <v>2487</v>
      </c>
      <c r="CC175" s="840">
        <f t="shared" si="545"/>
        <v>2845</v>
      </c>
      <c r="CD175" s="841">
        <f t="shared" si="546"/>
        <v>2844</v>
      </c>
      <c r="CE175" s="89"/>
      <c r="CF175" s="89"/>
      <c r="CG175" s="89"/>
      <c r="CH175" s="89"/>
      <c r="CI175" s="89"/>
      <c r="CJ175" s="89"/>
      <c r="CK175" s="89"/>
      <c r="CL175" s="89"/>
      <c r="CM175" s="89"/>
      <c r="CN175" s="89"/>
      <c r="CO175" s="89"/>
      <c r="CP175" s="89"/>
      <c r="CQ175" s="89"/>
      <c r="CR175" s="89"/>
      <c r="CS175" s="89"/>
      <c r="CT175" s="89"/>
      <c r="CU175" s="89"/>
      <c r="CV175" s="89"/>
      <c r="CW175" s="89"/>
      <c r="CX175" s="89"/>
      <c r="CY175" s="89"/>
      <c r="CZ175" s="89"/>
      <c r="DA175" s="89"/>
      <c r="DB175" s="89"/>
      <c r="DC175" s="89"/>
      <c r="DD175" s="89"/>
      <c r="DE175" s="89"/>
      <c r="DF175" s="89"/>
      <c r="DG175" s="89"/>
      <c r="DH175" s="89"/>
      <c r="DI175" s="89"/>
      <c r="DJ175" s="89"/>
      <c r="DK175" s="89"/>
      <c r="DL175" s="89"/>
      <c r="DM175" s="89"/>
      <c r="DN175" s="89"/>
      <c r="DO175" s="89"/>
      <c r="DP175" s="89"/>
      <c r="DQ175" s="89"/>
      <c r="DR175" s="89"/>
      <c r="DS175" s="89"/>
      <c r="DT175" s="89"/>
      <c r="DU175" s="89"/>
      <c r="DV175" s="89"/>
      <c r="DW175" s="89"/>
      <c r="DX175" s="89"/>
      <c r="DY175" s="89"/>
      <c r="DZ175" s="89"/>
      <c r="EA175" s="89"/>
      <c r="EB175" s="89"/>
      <c r="EC175" s="89"/>
      <c r="ED175" s="89"/>
    </row>
    <row r="176" spans="1:134" s="83" customFormat="1" ht="11.25" customHeight="1" x14ac:dyDescent="0.2">
      <c r="A176" s="141"/>
      <c r="B176" s="1366"/>
      <c r="C176" s="1366"/>
      <c r="D176" s="1366"/>
      <c r="E176" s="1366"/>
      <c r="F176" s="9"/>
      <c r="G176" s="9"/>
      <c r="H176" s="9"/>
      <c r="I176" s="9"/>
      <c r="J176" s="13"/>
      <c r="K176" s="9"/>
      <c r="L176" s="9"/>
      <c r="M176" s="9"/>
      <c r="N176" s="9"/>
      <c r="O176" s="9"/>
      <c r="P176" s="9"/>
      <c r="Q176" s="9"/>
      <c r="R176" s="9"/>
      <c r="S176" s="9"/>
      <c r="T176" s="9"/>
      <c r="U176" s="11"/>
      <c r="V176" s="11"/>
      <c r="W176" s="11"/>
      <c r="X176" s="12"/>
      <c r="Y176" s="12"/>
      <c r="Z176" s="1308"/>
      <c r="AA176" s="12"/>
      <c r="AB176" s="12"/>
      <c r="AC176" s="241"/>
      <c r="AD176" s="806">
        <f t="shared" si="494"/>
        <v>166</v>
      </c>
      <c r="AE176" s="806">
        <f t="shared" si="495"/>
        <v>168</v>
      </c>
      <c r="AF176" s="807">
        <f t="shared" si="496"/>
        <v>176</v>
      </c>
      <c r="AG176" s="805">
        <f t="shared" si="497"/>
        <v>29</v>
      </c>
      <c r="AH176" s="806">
        <f t="shared" si="498"/>
        <v>646</v>
      </c>
      <c r="AI176" s="806">
        <f t="shared" si="499"/>
        <v>548</v>
      </c>
      <c r="AJ176" s="806">
        <f t="shared" si="500"/>
        <v>482</v>
      </c>
      <c r="AK176" s="807">
        <f t="shared" si="501"/>
        <v>535</v>
      </c>
      <c r="AL176" s="805">
        <f t="shared" si="502"/>
        <v>45</v>
      </c>
      <c r="AM176" s="806">
        <f t="shared" si="503"/>
        <v>402</v>
      </c>
      <c r="AN176" s="806">
        <f t="shared" si="504"/>
        <v>481</v>
      </c>
      <c r="AO176" s="806">
        <f t="shared" si="505"/>
        <v>397</v>
      </c>
      <c r="AP176" s="807">
        <f t="shared" si="506"/>
        <v>397</v>
      </c>
      <c r="AQ176" s="805">
        <f t="shared" si="507"/>
        <v>11</v>
      </c>
      <c r="AR176" s="806">
        <f t="shared" si="508"/>
        <v>123</v>
      </c>
      <c r="AS176" s="806">
        <f t="shared" si="509"/>
        <v>113</v>
      </c>
      <c r="AT176" s="806">
        <f t="shared" si="510"/>
        <v>66</v>
      </c>
      <c r="AU176" s="807">
        <f t="shared" si="511"/>
        <v>76</v>
      </c>
      <c r="AV176" s="805">
        <f t="shared" si="512"/>
        <v>33</v>
      </c>
      <c r="AW176" s="806">
        <f t="shared" si="513"/>
        <v>254</v>
      </c>
      <c r="AX176" s="806">
        <f t="shared" si="514"/>
        <v>308</v>
      </c>
      <c r="AY176" s="806">
        <f t="shared" si="515"/>
        <v>279</v>
      </c>
      <c r="AZ176" s="807">
        <f t="shared" si="516"/>
        <v>249</v>
      </c>
      <c r="BA176" s="805">
        <f t="shared" si="517"/>
        <v>113</v>
      </c>
      <c r="BB176" s="806">
        <f t="shared" si="518"/>
        <v>1014</v>
      </c>
      <c r="BC176" s="806">
        <f t="shared" si="519"/>
        <v>1198</v>
      </c>
      <c r="BD176" s="806">
        <f t="shared" si="520"/>
        <v>1014</v>
      </c>
      <c r="BE176" s="807">
        <f t="shared" si="521"/>
        <v>1062</v>
      </c>
      <c r="BF176" s="805">
        <f t="shared" si="522"/>
        <v>33</v>
      </c>
      <c r="BG176" s="806">
        <f t="shared" si="523"/>
        <v>135</v>
      </c>
      <c r="BH176" s="806">
        <f t="shared" si="524"/>
        <v>79</v>
      </c>
      <c r="BI176" s="806">
        <f t="shared" si="525"/>
        <v>70</v>
      </c>
      <c r="BJ176" s="807">
        <f t="shared" si="526"/>
        <v>71</v>
      </c>
      <c r="BK176" s="805">
        <f t="shared" si="527"/>
        <v>11</v>
      </c>
      <c r="BL176" s="806">
        <f t="shared" si="528"/>
        <v>204</v>
      </c>
      <c r="BM176" s="806">
        <f t="shared" si="529"/>
        <v>292</v>
      </c>
      <c r="BN176" s="806">
        <f t="shared" si="530"/>
        <v>122</v>
      </c>
      <c r="BO176" s="807">
        <f t="shared" si="531"/>
        <v>138</v>
      </c>
      <c r="BP176" s="805" t="str">
        <f t="shared" si="532"/>
        <v>x</v>
      </c>
      <c r="BQ176" s="806">
        <f t="shared" si="533"/>
        <v>22</v>
      </c>
      <c r="BR176" s="806">
        <f t="shared" si="534"/>
        <v>35</v>
      </c>
      <c r="BS176" s="806" t="str">
        <f t="shared" si="535"/>
        <v>x</v>
      </c>
      <c r="BT176" s="807">
        <f t="shared" si="536"/>
        <v>35</v>
      </c>
      <c r="BU176" s="805">
        <f t="shared" si="537"/>
        <v>1366</v>
      </c>
      <c r="BV176" s="806">
        <f t="shared" si="538"/>
        <v>47</v>
      </c>
      <c r="BW176" s="806">
        <f t="shared" si="539"/>
        <v>47</v>
      </c>
      <c r="BX176" s="806" t="str">
        <f t="shared" si="540"/>
        <v>x</v>
      </c>
      <c r="BY176" s="807">
        <f t="shared" si="541"/>
        <v>0</v>
      </c>
      <c r="BZ176" s="839">
        <f t="shared" si="542"/>
        <v>1659</v>
      </c>
      <c r="CA176" s="840">
        <f t="shared" si="543"/>
        <v>3078</v>
      </c>
      <c r="CB176" s="840">
        <f t="shared" si="544"/>
        <v>3267</v>
      </c>
      <c r="CC176" s="840">
        <f t="shared" si="545"/>
        <v>2598</v>
      </c>
      <c r="CD176" s="841">
        <f t="shared" si="546"/>
        <v>2739</v>
      </c>
      <c r="CE176" s="89"/>
      <c r="CF176" s="89"/>
      <c r="CG176" s="89"/>
      <c r="CH176" s="89"/>
      <c r="CI176" s="89"/>
      <c r="CJ176" s="89"/>
      <c r="CK176" s="89"/>
      <c r="CL176" s="89"/>
      <c r="CM176" s="89"/>
      <c r="CN176" s="89"/>
      <c r="CO176" s="89"/>
      <c r="CP176" s="89"/>
      <c r="CQ176" s="89"/>
      <c r="CR176" s="89"/>
      <c r="CS176" s="89"/>
      <c r="CT176" s="89"/>
      <c r="CU176" s="89"/>
      <c r="CV176" s="89"/>
      <c r="CW176" s="89"/>
      <c r="CX176" s="89"/>
      <c r="CY176" s="89"/>
      <c r="CZ176" s="89"/>
      <c r="DA176" s="89"/>
      <c r="DB176" s="89"/>
      <c r="DC176" s="89"/>
      <c r="DD176" s="89"/>
      <c r="DE176" s="89"/>
      <c r="DF176" s="89"/>
      <c r="DG176" s="89"/>
      <c r="DH176" s="89"/>
      <c r="DI176" s="89"/>
      <c r="DJ176" s="89"/>
      <c r="DK176" s="89"/>
      <c r="DL176" s="89"/>
      <c r="DM176" s="89"/>
      <c r="DN176" s="89"/>
      <c r="DO176" s="89"/>
      <c r="DP176" s="89"/>
      <c r="DQ176" s="89"/>
      <c r="DR176" s="89"/>
      <c r="DS176" s="89"/>
      <c r="DT176" s="89"/>
      <c r="DU176" s="89"/>
      <c r="DV176" s="89"/>
      <c r="DW176" s="89"/>
      <c r="DX176" s="89"/>
      <c r="DY176" s="89"/>
      <c r="DZ176" s="89"/>
      <c r="EA176" s="89"/>
      <c r="EB176" s="89"/>
      <c r="EC176" s="89"/>
      <c r="ED176" s="89"/>
    </row>
    <row r="177" spans="1:134" ht="11.25" customHeight="1" x14ac:dyDescent="0.2">
      <c r="A177" s="141"/>
      <c r="B177" s="1366" t="s">
        <v>32</v>
      </c>
      <c r="C177" s="1366"/>
      <c r="D177" s="1366"/>
      <c r="E177" s="1366"/>
      <c r="F177" s="9"/>
      <c r="G177" s="9"/>
      <c r="H177" s="9"/>
      <c r="I177" s="9"/>
      <c r="J177" s="13"/>
      <c r="K177" s="9"/>
      <c r="L177" s="9"/>
      <c r="M177" s="9"/>
      <c r="N177" s="9"/>
      <c r="O177" s="9"/>
      <c r="P177" s="9"/>
      <c r="Q177" s="9"/>
      <c r="R177" s="9"/>
      <c r="S177" s="9"/>
      <c r="T177" s="9"/>
      <c r="U177" s="11"/>
      <c r="V177" s="11"/>
      <c r="W177" s="11"/>
      <c r="X177" s="12"/>
      <c r="Y177" s="12"/>
      <c r="Z177" s="1308"/>
      <c r="AA177" s="12"/>
      <c r="AB177" s="12"/>
      <c r="AC177" s="241"/>
      <c r="AD177" s="806">
        <f t="shared" si="494"/>
        <v>261</v>
      </c>
      <c r="AE177" s="806">
        <f t="shared" si="495"/>
        <v>110</v>
      </c>
      <c r="AF177" s="807">
        <f t="shared" si="496"/>
        <v>138</v>
      </c>
      <c r="AG177" s="805">
        <f t="shared" si="497"/>
        <v>488</v>
      </c>
      <c r="AH177" s="806">
        <f t="shared" si="498"/>
        <v>572</v>
      </c>
      <c r="AI177" s="806">
        <f t="shared" si="499"/>
        <v>774</v>
      </c>
      <c r="AJ177" s="806">
        <f t="shared" si="500"/>
        <v>278</v>
      </c>
      <c r="AK177" s="807">
        <f t="shared" si="501"/>
        <v>459</v>
      </c>
      <c r="AL177" s="805">
        <f t="shared" si="502"/>
        <v>266</v>
      </c>
      <c r="AM177" s="806">
        <f t="shared" si="503"/>
        <v>346</v>
      </c>
      <c r="AN177" s="806">
        <f t="shared" si="504"/>
        <v>690</v>
      </c>
      <c r="AO177" s="806">
        <f t="shared" si="505"/>
        <v>200</v>
      </c>
      <c r="AP177" s="807">
        <f t="shared" si="506"/>
        <v>209</v>
      </c>
      <c r="AQ177" s="805">
        <f t="shared" si="507"/>
        <v>20</v>
      </c>
      <c r="AR177" s="806">
        <f t="shared" si="508"/>
        <v>21</v>
      </c>
      <c r="AS177" s="806" t="str">
        <f t="shared" si="509"/>
        <v>x</v>
      </c>
      <c r="AT177" s="806" t="str">
        <f t="shared" si="510"/>
        <v>x</v>
      </c>
      <c r="AU177" s="807">
        <f t="shared" si="511"/>
        <v>0</v>
      </c>
      <c r="AV177" s="805">
        <f t="shared" si="512"/>
        <v>498</v>
      </c>
      <c r="AW177" s="806">
        <f t="shared" si="513"/>
        <v>553</v>
      </c>
      <c r="AX177" s="806">
        <f t="shared" si="514"/>
        <v>997</v>
      </c>
      <c r="AY177" s="806">
        <f t="shared" si="515"/>
        <v>368</v>
      </c>
      <c r="AZ177" s="807">
        <f t="shared" si="516"/>
        <v>331</v>
      </c>
      <c r="BA177" s="805">
        <f t="shared" si="517"/>
        <v>642</v>
      </c>
      <c r="BB177" s="806">
        <f t="shared" si="518"/>
        <v>917</v>
      </c>
      <c r="BC177" s="806">
        <f t="shared" si="519"/>
        <v>2192</v>
      </c>
      <c r="BD177" s="806">
        <f t="shared" si="520"/>
        <v>515</v>
      </c>
      <c r="BE177" s="807">
        <f t="shared" si="521"/>
        <v>624</v>
      </c>
      <c r="BF177" s="805">
        <f t="shared" si="522"/>
        <v>56</v>
      </c>
      <c r="BG177" s="806">
        <f t="shared" si="523"/>
        <v>68</v>
      </c>
      <c r="BH177" s="806">
        <f t="shared" si="524"/>
        <v>574</v>
      </c>
      <c r="BI177" s="806">
        <f t="shared" si="525"/>
        <v>45</v>
      </c>
      <c r="BJ177" s="807">
        <f t="shared" si="526"/>
        <v>69</v>
      </c>
      <c r="BK177" s="805">
        <f t="shared" si="527"/>
        <v>139</v>
      </c>
      <c r="BL177" s="806">
        <f t="shared" si="528"/>
        <v>89</v>
      </c>
      <c r="BM177" s="806">
        <f t="shared" si="529"/>
        <v>164</v>
      </c>
      <c r="BN177" s="806">
        <f t="shared" si="530"/>
        <v>29</v>
      </c>
      <c r="BO177" s="807">
        <f t="shared" si="531"/>
        <v>124</v>
      </c>
      <c r="BP177" s="805">
        <f t="shared" si="532"/>
        <v>20</v>
      </c>
      <c r="BQ177" s="806">
        <f t="shared" si="533"/>
        <v>31</v>
      </c>
      <c r="BR177" s="806">
        <f t="shared" si="534"/>
        <v>32</v>
      </c>
      <c r="BS177" s="806">
        <f t="shared" si="535"/>
        <v>43</v>
      </c>
      <c r="BT177" s="807">
        <f t="shared" si="536"/>
        <v>21</v>
      </c>
      <c r="BU177" s="805">
        <f t="shared" si="537"/>
        <v>0</v>
      </c>
      <c r="BV177" s="806">
        <f t="shared" si="538"/>
        <v>0</v>
      </c>
      <c r="BW177" s="806" t="str">
        <f t="shared" si="539"/>
        <v>x</v>
      </c>
      <c r="BX177" s="806" t="str">
        <f t="shared" si="540"/>
        <v>x</v>
      </c>
      <c r="BY177" s="807">
        <f t="shared" si="541"/>
        <v>0</v>
      </c>
      <c r="BZ177" s="839">
        <f t="shared" si="542"/>
        <v>2282</v>
      </c>
      <c r="CA177" s="840">
        <f t="shared" si="543"/>
        <v>2774</v>
      </c>
      <c r="CB177" s="840">
        <f t="shared" si="544"/>
        <v>5684</v>
      </c>
      <c r="CC177" s="840">
        <f t="shared" si="545"/>
        <v>1588</v>
      </c>
      <c r="CD177" s="841">
        <f t="shared" si="546"/>
        <v>1975</v>
      </c>
      <c r="CE177" s="89"/>
      <c r="CF177" s="89"/>
      <c r="CG177" s="89"/>
      <c r="CH177" s="89"/>
      <c r="CI177" s="89"/>
      <c r="CJ177" s="89"/>
      <c r="CK177" s="89"/>
      <c r="CL177" s="89"/>
      <c r="CM177" s="89"/>
      <c r="CN177" s="89"/>
      <c r="CO177" s="89"/>
      <c r="CP177" s="89"/>
      <c r="CQ177" s="89"/>
      <c r="CR177" s="89"/>
      <c r="CS177" s="89"/>
      <c r="CT177" s="89"/>
      <c r="CU177" s="89"/>
      <c r="CV177" s="89"/>
      <c r="CW177" s="89"/>
      <c r="CX177" s="89"/>
      <c r="CY177" s="89"/>
      <c r="CZ177" s="89"/>
      <c r="DA177" s="89"/>
      <c r="DB177" s="89"/>
      <c r="DC177" s="89"/>
      <c r="DD177" s="89"/>
      <c r="DE177" s="89"/>
      <c r="DF177" s="89"/>
      <c r="DG177" s="89"/>
      <c r="DH177" s="89"/>
      <c r="DI177" s="89"/>
      <c r="DJ177" s="89"/>
      <c r="DK177" s="89"/>
      <c r="DL177" s="89"/>
      <c r="DM177" s="89"/>
      <c r="DN177" s="89"/>
      <c r="DO177" s="89"/>
      <c r="DP177" s="89"/>
      <c r="DQ177" s="89"/>
      <c r="DR177" s="89"/>
      <c r="DS177" s="89"/>
      <c r="DT177" s="89"/>
      <c r="DU177" s="89"/>
      <c r="DV177" s="89"/>
      <c r="DW177" s="89"/>
      <c r="DX177" s="89"/>
      <c r="DY177" s="89"/>
      <c r="DZ177" s="89"/>
      <c r="EA177" s="89"/>
      <c r="EB177" s="89"/>
      <c r="EC177" s="89"/>
      <c r="ED177" s="89"/>
    </row>
    <row r="178" spans="1:134" ht="11.25" customHeight="1" x14ac:dyDescent="0.2">
      <c r="A178" s="141"/>
      <c r="B178" s="1366"/>
      <c r="C178" s="1366"/>
      <c r="D178" s="1366"/>
      <c r="E178" s="1366"/>
      <c r="F178" s="9"/>
      <c r="G178" s="9"/>
      <c r="H178" s="9"/>
      <c r="I178" s="9"/>
      <c r="J178" s="13"/>
      <c r="K178" s="9"/>
      <c r="L178" s="9"/>
      <c r="M178" s="9"/>
      <c r="N178" s="9"/>
      <c r="O178" s="9"/>
      <c r="P178" s="9"/>
      <c r="Q178" s="9"/>
      <c r="R178" s="9"/>
      <c r="S178" s="9"/>
      <c r="T178" s="9"/>
      <c r="U178" s="11"/>
      <c r="V178" s="11"/>
      <c r="W178" s="11"/>
      <c r="X178" s="12"/>
      <c r="Y178" s="12"/>
      <c r="Z178" s="1308"/>
      <c r="AA178" s="12"/>
      <c r="AB178" s="12"/>
      <c r="AC178" s="241"/>
      <c r="AD178" s="806">
        <f t="shared" si="494"/>
        <v>621</v>
      </c>
      <c r="AE178" s="806">
        <f t="shared" si="495"/>
        <v>641</v>
      </c>
      <c r="AF178" s="807">
        <f t="shared" si="496"/>
        <v>92</v>
      </c>
      <c r="AG178" s="805">
        <f t="shared" si="497"/>
        <v>1274</v>
      </c>
      <c r="AH178" s="806">
        <f t="shared" si="498"/>
        <v>818</v>
      </c>
      <c r="AI178" s="806">
        <f t="shared" si="499"/>
        <v>913</v>
      </c>
      <c r="AJ178" s="806">
        <f t="shared" si="500"/>
        <v>736</v>
      </c>
      <c r="AK178" s="807">
        <f t="shared" si="501"/>
        <v>561</v>
      </c>
      <c r="AL178" s="805">
        <f t="shared" si="502"/>
        <v>1009</v>
      </c>
      <c r="AM178" s="806">
        <f t="shared" si="503"/>
        <v>686</v>
      </c>
      <c r="AN178" s="806">
        <f t="shared" si="504"/>
        <v>670</v>
      </c>
      <c r="AO178" s="806">
        <f t="shared" si="505"/>
        <v>806</v>
      </c>
      <c r="AP178" s="807">
        <f t="shared" si="506"/>
        <v>363</v>
      </c>
      <c r="AQ178" s="805">
        <f t="shared" si="507"/>
        <v>80</v>
      </c>
      <c r="AR178" s="806" t="str">
        <f t="shared" si="508"/>
        <v>x</v>
      </c>
      <c r="AS178" s="806">
        <f t="shared" si="509"/>
        <v>61</v>
      </c>
      <c r="AT178" s="806">
        <f t="shared" si="510"/>
        <v>28</v>
      </c>
      <c r="AU178" s="807">
        <f t="shared" si="511"/>
        <v>0</v>
      </c>
      <c r="AV178" s="805">
        <f t="shared" si="512"/>
        <v>794</v>
      </c>
      <c r="AW178" s="806">
        <f t="shared" si="513"/>
        <v>624</v>
      </c>
      <c r="AX178" s="806">
        <f t="shared" si="514"/>
        <v>638</v>
      </c>
      <c r="AY178" s="806">
        <f t="shared" si="515"/>
        <v>565</v>
      </c>
      <c r="AZ178" s="807">
        <f t="shared" si="516"/>
        <v>433</v>
      </c>
      <c r="BA178" s="805">
        <f t="shared" si="517"/>
        <v>1201</v>
      </c>
      <c r="BB178" s="806">
        <f t="shared" si="518"/>
        <v>955</v>
      </c>
      <c r="BC178" s="806">
        <f t="shared" si="519"/>
        <v>1336</v>
      </c>
      <c r="BD178" s="806">
        <f t="shared" si="520"/>
        <v>1651</v>
      </c>
      <c r="BE178" s="807">
        <f t="shared" si="521"/>
        <v>813</v>
      </c>
      <c r="BF178" s="805">
        <f t="shared" si="522"/>
        <v>129</v>
      </c>
      <c r="BG178" s="806">
        <f t="shared" si="523"/>
        <v>107</v>
      </c>
      <c r="BH178" s="806">
        <f t="shared" si="524"/>
        <v>136</v>
      </c>
      <c r="BI178" s="806">
        <f t="shared" si="525"/>
        <v>176</v>
      </c>
      <c r="BJ178" s="807">
        <f t="shared" si="526"/>
        <v>65</v>
      </c>
      <c r="BK178" s="805">
        <f t="shared" si="527"/>
        <v>309</v>
      </c>
      <c r="BL178" s="806">
        <f t="shared" si="528"/>
        <v>185</v>
      </c>
      <c r="BM178" s="806">
        <f t="shared" si="529"/>
        <v>211</v>
      </c>
      <c r="BN178" s="806">
        <f t="shared" si="530"/>
        <v>343</v>
      </c>
      <c r="BO178" s="807">
        <f t="shared" si="531"/>
        <v>179</v>
      </c>
      <c r="BP178" s="805">
        <f t="shared" si="532"/>
        <v>213</v>
      </c>
      <c r="BQ178" s="806">
        <f t="shared" si="533"/>
        <v>184</v>
      </c>
      <c r="BR178" s="806">
        <f t="shared" si="534"/>
        <v>191</v>
      </c>
      <c r="BS178" s="806">
        <f t="shared" si="535"/>
        <v>207</v>
      </c>
      <c r="BT178" s="807">
        <f t="shared" si="536"/>
        <v>56</v>
      </c>
      <c r="BU178" s="805">
        <f t="shared" si="537"/>
        <v>0</v>
      </c>
      <c r="BV178" s="806" t="str">
        <f t="shared" si="538"/>
        <v>x</v>
      </c>
      <c r="BW178" s="806">
        <f t="shared" si="539"/>
        <v>0</v>
      </c>
      <c r="BX178" s="806">
        <f t="shared" si="540"/>
        <v>12</v>
      </c>
      <c r="BY178" s="807">
        <f t="shared" si="541"/>
        <v>24</v>
      </c>
      <c r="BZ178" s="839">
        <f t="shared" si="542"/>
        <v>5591</v>
      </c>
      <c r="CA178" s="840">
        <f t="shared" si="543"/>
        <v>4071</v>
      </c>
      <c r="CB178" s="840">
        <f t="shared" si="544"/>
        <v>4777</v>
      </c>
      <c r="CC178" s="840">
        <f t="shared" si="545"/>
        <v>5165</v>
      </c>
      <c r="CD178" s="841">
        <f t="shared" si="546"/>
        <v>2586</v>
      </c>
      <c r="CE178" s="89"/>
      <c r="CF178" s="89"/>
      <c r="CG178" s="89"/>
      <c r="CH178" s="89"/>
      <c r="CI178" s="89"/>
      <c r="CJ178" s="89"/>
      <c r="CK178" s="89"/>
      <c r="CL178" s="89"/>
      <c r="CM178" s="89"/>
      <c r="CN178" s="89"/>
      <c r="CO178" s="89"/>
      <c r="CP178" s="89"/>
      <c r="CQ178" s="89"/>
      <c r="CR178" s="89"/>
      <c r="CS178" s="89"/>
      <c r="CT178" s="89"/>
      <c r="CU178" s="89"/>
      <c r="CV178" s="89"/>
      <c r="CW178" s="89"/>
      <c r="CX178" s="89"/>
      <c r="CY178" s="89"/>
      <c r="CZ178" s="89"/>
      <c r="DA178" s="89"/>
      <c r="DB178" s="89"/>
      <c r="DC178" s="89"/>
      <c r="DD178" s="89"/>
      <c r="DE178" s="89"/>
      <c r="DF178" s="89"/>
      <c r="DG178" s="89"/>
      <c r="DH178" s="89"/>
      <c r="DI178" s="89"/>
      <c r="DJ178" s="89"/>
      <c r="DK178" s="89"/>
      <c r="DL178" s="89"/>
      <c r="DM178" s="89"/>
      <c r="DN178" s="89"/>
      <c r="DO178" s="89"/>
      <c r="DP178" s="89"/>
      <c r="DQ178" s="89"/>
      <c r="DR178" s="89"/>
      <c r="DS178" s="89"/>
      <c r="DT178" s="89"/>
      <c r="DU178" s="89"/>
      <c r="DV178" s="89"/>
      <c r="DW178" s="89"/>
      <c r="DX178" s="89"/>
      <c r="DY178" s="89"/>
      <c r="DZ178" s="89"/>
      <c r="EA178" s="89"/>
      <c r="EB178" s="89"/>
      <c r="EC178" s="89"/>
      <c r="ED178" s="89"/>
    </row>
    <row r="179" spans="1:134" ht="11.25" customHeight="1" x14ac:dyDescent="0.2">
      <c r="A179" s="248"/>
      <c r="B179" s="1110"/>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1307"/>
      <c r="AA179" s="246"/>
      <c r="AB179" s="246"/>
      <c r="AC179" s="1307"/>
      <c r="AD179" s="806">
        <f t="shared" si="494"/>
        <v>98</v>
      </c>
      <c r="AE179" s="806">
        <f t="shared" si="495"/>
        <v>99</v>
      </c>
      <c r="AF179" s="807">
        <f t="shared" si="496"/>
        <v>565</v>
      </c>
      <c r="AG179" s="805">
        <f t="shared" si="497"/>
        <v>1076</v>
      </c>
      <c r="AH179" s="806">
        <f t="shared" si="498"/>
        <v>830</v>
      </c>
      <c r="AI179" s="806">
        <f t="shared" si="499"/>
        <v>803</v>
      </c>
      <c r="AJ179" s="806">
        <f t="shared" si="500"/>
        <v>559</v>
      </c>
      <c r="AK179" s="807">
        <f t="shared" si="501"/>
        <v>2258</v>
      </c>
      <c r="AL179" s="805">
        <f t="shared" si="502"/>
        <v>732</v>
      </c>
      <c r="AM179" s="806">
        <f t="shared" si="503"/>
        <v>585</v>
      </c>
      <c r="AN179" s="806">
        <f t="shared" si="504"/>
        <v>373</v>
      </c>
      <c r="AO179" s="806">
        <f t="shared" si="505"/>
        <v>342</v>
      </c>
      <c r="AP179" s="807">
        <f t="shared" si="506"/>
        <v>1437</v>
      </c>
      <c r="AQ179" s="805">
        <f t="shared" si="507"/>
        <v>63</v>
      </c>
      <c r="AR179" s="806">
        <f t="shared" si="508"/>
        <v>47</v>
      </c>
      <c r="AS179" s="806">
        <f t="shared" si="509"/>
        <v>64</v>
      </c>
      <c r="AT179" s="806">
        <f t="shared" si="510"/>
        <v>37</v>
      </c>
      <c r="AU179" s="807">
        <f t="shared" si="511"/>
        <v>145</v>
      </c>
      <c r="AV179" s="805">
        <f t="shared" si="512"/>
        <v>541</v>
      </c>
      <c r="AW179" s="806">
        <f t="shared" si="513"/>
        <v>417</v>
      </c>
      <c r="AX179" s="806">
        <f t="shared" si="514"/>
        <v>536</v>
      </c>
      <c r="AY179" s="806">
        <f t="shared" si="515"/>
        <v>482</v>
      </c>
      <c r="AZ179" s="807">
        <f t="shared" si="516"/>
        <v>1299</v>
      </c>
      <c r="BA179" s="805">
        <f t="shared" si="517"/>
        <v>1209</v>
      </c>
      <c r="BB179" s="806">
        <f t="shared" si="518"/>
        <v>951</v>
      </c>
      <c r="BC179" s="806">
        <f t="shared" si="519"/>
        <v>799</v>
      </c>
      <c r="BD179" s="806">
        <f t="shared" si="520"/>
        <v>800</v>
      </c>
      <c r="BE179" s="807">
        <f t="shared" si="521"/>
        <v>3862</v>
      </c>
      <c r="BF179" s="805">
        <f t="shared" si="522"/>
        <v>81</v>
      </c>
      <c r="BG179" s="806">
        <f t="shared" si="523"/>
        <v>67</v>
      </c>
      <c r="BH179" s="806">
        <f t="shared" si="524"/>
        <v>47</v>
      </c>
      <c r="BI179" s="806">
        <f t="shared" si="525"/>
        <v>67</v>
      </c>
      <c r="BJ179" s="807">
        <f t="shared" si="526"/>
        <v>340</v>
      </c>
      <c r="BK179" s="805">
        <f t="shared" si="527"/>
        <v>350</v>
      </c>
      <c r="BL179" s="806">
        <f t="shared" si="528"/>
        <v>188</v>
      </c>
      <c r="BM179" s="806">
        <f t="shared" si="529"/>
        <v>210</v>
      </c>
      <c r="BN179" s="806">
        <f t="shared" si="530"/>
        <v>159</v>
      </c>
      <c r="BO179" s="807">
        <f t="shared" si="531"/>
        <v>587</v>
      </c>
      <c r="BP179" s="805">
        <f t="shared" si="532"/>
        <v>200</v>
      </c>
      <c r="BQ179" s="806">
        <f t="shared" si="533"/>
        <v>108</v>
      </c>
      <c r="BR179" s="806">
        <f t="shared" si="534"/>
        <v>91</v>
      </c>
      <c r="BS179" s="806">
        <f t="shared" si="535"/>
        <v>68</v>
      </c>
      <c r="BT179" s="807">
        <f t="shared" si="536"/>
        <v>142</v>
      </c>
      <c r="BU179" s="805">
        <f t="shared" si="537"/>
        <v>1874</v>
      </c>
      <c r="BV179" s="806">
        <f t="shared" si="538"/>
        <v>780</v>
      </c>
      <c r="BW179" s="806">
        <f t="shared" si="539"/>
        <v>23</v>
      </c>
      <c r="BX179" s="806">
        <f t="shared" si="540"/>
        <v>0</v>
      </c>
      <c r="BY179" s="807">
        <f t="shared" si="541"/>
        <v>0</v>
      </c>
      <c r="BZ179" s="839">
        <f t="shared" si="542"/>
        <v>6407</v>
      </c>
      <c r="CA179" s="840">
        <f t="shared" si="543"/>
        <v>4116</v>
      </c>
      <c r="CB179" s="840">
        <f t="shared" si="544"/>
        <v>3044</v>
      </c>
      <c r="CC179" s="840">
        <f t="shared" si="545"/>
        <v>2613</v>
      </c>
      <c r="CD179" s="841">
        <f t="shared" si="546"/>
        <v>10635</v>
      </c>
      <c r="CE179" s="89"/>
      <c r="CF179" s="89"/>
      <c r="CG179" s="89"/>
      <c r="CH179" s="89"/>
      <c r="CI179" s="89"/>
      <c r="CJ179" s="89"/>
      <c r="CK179" s="89"/>
      <c r="CL179" s="89"/>
      <c r="CM179" s="89"/>
      <c r="CN179" s="89"/>
      <c r="CO179" s="89"/>
      <c r="CP179" s="89"/>
      <c r="CQ179" s="89"/>
      <c r="CR179" s="89"/>
      <c r="CS179" s="89"/>
      <c r="CT179" s="89"/>
      <c r="CU179" s="89"/>
      <c r="CV179" s="89"/>
      <c r="CW179" s="89"/>
      <c r="CX179" s="89"/>
      <c r="CY179" s="89"/>
      <c r="CZ179" s="89"/>
      <c r="DA179" s="89"/>
      <c r="DB179" s="89"/>
      <c r="DC179" s="89"/>
      <c r="DD179" s="89"/>
      <c r="DE179" s="89"/>
      <c r="DF179" s="89"/>
      <c r="DG179" s="89"/>
      <c r="DH179" s="89"/>
      <c r="DI179" s="89"/>
      <c r="DJ179" s="89"/>
      <c r="DK179" s="89"/>
      <c r="DL179" s="89"/>
      <c r="DM179" s="89"/>
      <c r="DN179" s="89"/>
      <c r="DO179" s="89"/>
      <c r="DP179" s="89"/>
      <c r="DQ179" s="89"/>
      <c r="DR179" s="89"/>
      <c r="DS179" s="89"/>
      <c r="DT179" s="89"/>
      <c r="DU179" s="89"/>
      <c r="DV179" s="89"/>
      <c r="DW179" s="89"/>
      <c r="DX179" s="89"/>
      <c r="DY179" s="89"/>
      <c r="DZ179" s="89"/>
      <c r="EA179" s="89"/>
      <c r="EB179" s="89"/>
      <c r="EC179" s="89"/>
      <c r="ED179" s="89"/>
    </row>
    <row r="180" spans="1:134" ht="11.25" customHeight="1" x14ac:dyDescent="0.2">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806">
        <f t="shared" si="494"/>
        <v>642</v>
      </c>
      <c r="AE180" s="806">
        <f t="shared" si="495"/>
        <v>654</v>
      </c>
      <c r="AF180" s="807">
        <f t="shared" si="496"/>
        <v>194</v>
      </c>
      <c r="AG180" s="805">
        <f t="shared" si="497"/>
        <v>1830</v>
      </c>
      <c r="AH180" s="806">
        <f t="shared" si="498"/>
        <v>1976</v>
      </c>
      <c r="AI180" s="806">
        <f t="shared" si="499"/>
        <v>2181</v>
      </c>
      <c r="AJ180" s="806">
        <f t="shared" si="500"/>
        <v>2758</v>
      </c>
      <c r="AK180" s="807">
        <f t="shared" si="501"/>
        <v>323</v>
      </c>
      <c r="AL180" s="805">
        <f t="shared" si="502"/>
        <v>1559</v>
      </c>
      <c r="AM180" s="806">
        <f t="shared" si="503"/>
        <v>1597</v>
      </c>
      <c r="AN180" s="806">
        <f t="shared" si="504"/>
        <v>1622</v>
      </c>
      <c r="AO180" s="806">
        <f t="shared" si="505"/>
        <v>1778</v>
      </c>
      <c r="AP180" s="807">
        <f t="shared" si="506"/>
        <v>150</v>
      </c>
      <c r="AQ180" s="805">
        <f t="shared" si="507"/>
        <v>126</v>
      </c>
      <c r="AR180" s="806">
        <f t="shared" si="508"/>
        <v>84</v>
      </c>
      <c r="AS180" s="806">
        <f t="shared" si="509"/>
        <v>118</v>
      </c>
      <c r="AT180" s="806">
        <f t="shared" si="510"/>
        <v>126</v>
      </c>
      <c r="AU180" s="807">
        <f t="shared" si="511"/>
        <v>32</v>
      </c>
      <c r="AV180" s="805">
        <f t="shared" si="512"/>
        <v>1062</v>
      </c>
      <c r="AW180" s="806">
        <f t="shared" si="513"/>
        <v>1079</v>
      </c>
      <c r="AX180" s="806">
        <f t="shared" si="514"/>
        <v>1086</v>
      </c>
      <c r="AY180" s="806">
        <f t="shared" si="515"/>
        <v>1746</v>
      </c>
      <c r="AZ180" s="807">
        <f t="shared" si="516"/>
        <v>300</v>
      </c>
      <c r="BA180" s="805">
        <f t="shared" si="517"/>
        <v>3420</v>
      </c>
      <c r="BB180" s="806">
        <f t="shared" si="518"/>
        <v>4858</v>
      </c>
      <c r="BC180" s="806">
        <f t="shared" si="519"/>
        <v>4629</v>
      </c>
      <c r="BD180" s="806">
        <f t="shared" si="520"/>
        <v>5199</v>
      </c>
      <c r="BE180" s="807">
        <f t="shared" si="521"/>
        <v>545</v>
      </c>
      <c r="BF180" s="805">
        <f t="shared" si="522"/>
        <v>381</v>
      </c>
      <c r="BG180" s="806">
        <f t="shared" si="523"/>
        <v>319</v>
      </c>
      <c r="BH180" s="806">
        <f t="shared" si="524"/>
        <v>361</v>
      </c>
      <c r="BI180" s="806">
        <f t="shared" si="525"/>
        <v>367</v>
      </c>
      <c r="BJ180" s="807">
        <f t="shared" si="526"/>
        <v>47</v>
      </c>
      <c r="BK180" s="805">
        <f t="shared" si="527"/>
        <v>736</v>
      </c>
      <c r="BL180" s="806">
        <f t="shared" si="528"/>
        <v>878</v>
      </c>
      <c r="BM180" s="806">
        <f t="shared" si="529"/>
        <v>827</v>
      </c>
      <c r="BN180" s="806">
        <f t="shared" si="530"/>
        <v>803</v>
      </c>
      <c r="BO180" s="807">
        <f t="shared" si="531"/>
        <v>38</v>
      </c>
      <c r="BP180" s="805">
        <f t="shared" si="532"/>
        <v>174</v>
      </c>
      <c r="BQ180" s="806">
        <f t="shared" si="533"/>
        <v>270</v>
      </c>
      <c r="BR180" s="806">
        <f t="shared" si="534"/>
        <v>213</v>
      </c>
      <c r="BS180" s="806">
        <f t="shared" si="535"/>
        <v>195</v>
      </c>
      <c r="BT180" s="807">
        <f t="shared" si="536"/>
        <v>37</v>
      </c>
      <c r="BU180" s="805">
        <f t="shared" si="537"/>
        <v>0</v>
      </c>
      <c r="BV180" s="806">
        <f t="shared" si="538"/>
        <v>0</v>
      </c>
      <c r="BW180" s="806">
        <f t="shared" si="539"/>
        <v>0</v>
      </c>
      <c r="BX180" s="806">
        <f t="shared" si="540"/>
        <v>0</v>
      </c>
      <c r="BY180" s="807">
        <f t="shared" si="541"/>
        <v>20</v>
      </c>
      <c r="BZ180" s="839">
        <f t="shared" si="542"/>
        <v>9979</v>
      </c>
      <c r="CA180" s="840">
        <f t="shared" si="543"/>
        <v>11768</v>
      </c>
      <c r="CB180" s="840">
        <f t="shared" si="544"/>
        <v>11679</v>
      </c>
      <c r="CC180" s="840">
        <f t="shared" si="545"/>
        <v>13626</v>
      </c>
      <c r="CD180" s="841">
        <f t="shared" si="546"/>
        <v>1686</v>
      </c>
      <c r="CE180" s="89"/>
      <c r="CF180" s="89"/>
      <c r="CG180" s="89"/>
      <c r="CH180" s="89"/>
      <c r="CI180" s="89"/>
      <c r="CJ180" s="89"/>
      <c r="CK180" s="89"/>
      <c r="CL180" s="89"/>
      <c r="CM180" s="89"/>
      <c r="CN180" s="89"/>
      <c r="CO180" s="89"/>
      <c r="CP180" s="89"/>
      <c r="CQ180" s="89"/>
      <c r="CR180" s="89"/>
      <c r="CS180" s="89"/>
      <c r="CT180" s="89"/>
      <c r="CU180" s="89"/>
      <c r="CV180" s="89"/>
      <c r="CW180" s="89"/>
      <c r="CX180" s="89"/>
      <c r="CY180" s="89"/>
      <c r="CZ180" s="89"/>
      <c r="DA180" s="89"/>
      <c r="DB180" s="89"/>
      <c r="DC180" s="89"/>
      <c r="DD180" s="89"/>
      <c r="DE180" s="89"/>
      <c r="DF180" s="89"/>
      <c r="DG180" s="89"/>
      <c r="DH180" s="89"/>
      <c r="DI180" s="89"/>
      <c r="DJ180" s="89"/>
      <c r="DK180" s="89"/>
      <c r="DL180" s="89"/>
      <c r="DM180" s="89"/>
      <c r="DN180" s="89"/>
      <c r="DO180" s="89"/>
      <c r="DP180" s="89"/>
      <c r="DQ180" s="89"/>
      <c r="DR180" s="89"/>
      <c r="DS180" s="89"/>
      <c r="DT180" s="89"/>
      <c r="DU180" s="89"/>
      <c r="DV180" s="89"/>
      <c r="DW180" s="89"/>
      <c r="DX180" s="89"/>
      <c r="DY180" s="89"/>
      <c r="DZ180" s="89"/>
      <c r="EA180" s="89"/>
      <c r="EB180" s="89"/>
      <c r="EC180" s="89"/>
      <c r="ED180" s="89"/>
    </row>
    <row r="181" spans="1:134" ht="11.25" customHeight="1" x14ac:dyDescent="0.2">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806">
        <f t="shared" si="494"/>
        <v>220</v>
      </c>
      <c r="AE181" s="806">
        <f t="shared" si="495"/>
        <v>319</v>
      </c>
      <c r="AF181" s="807">
        <f t="shared" si="496"/>
        <v>820</v>
      </c>
      <c r="AG181" s="805">
        <f t="shared" si="497"/>
        <v>497</v>
      </c>
      <c r="AH181" s="806">
        <f t="shared" si="498"/>
        <v>619</v>
      </c>
      <c r="AI181" s="806">
        <f t="shared" si="499"/>
        <v>629</v>
      </c>
      <c r="AJ181" s="806">
        <f t="shared" si="500"/>
        <v>730</v>
      </c>
      <c r="AK181" s="807">
        <f t="shared" si="501"/>
        <v>2046</v>
      </c>
      <c r="AL181" s="805">
        <f t="shared" si="502"/>
        <v>351</v>
      </c>
      <c r="AM181" s="806">
        <f t="shared" si="503"/>
        <v>392</v>
      </c>
      <c r="AN181" s="806">
        <f t="shared" si="504"/>
        <v>265</v>
      </c>
      <c r="AO181" s="806">
        <f t="shared" si="505"/>
        <v>460</v>
      </c>
      <c r="AP181" s="807">
        <f t="shared" si="506"/>
        <v>1139</v>
      </c>
      <c r="AQ181" s="805" t="str">
        <f t="shared" si="507"/>
        <v>x</v>
      </c>
      <c r="AR181" s="806">
        <f t="shared" si="508"/>
        <v>67</v>
      </c>
      <c r="AS181" s="806">
        <f t="shared" si="509"/>
        <v>33</v>
      </c>
      <c r="AT181" s="806">
        <f t="shared" si="510"/>
        <v>46</v>
      </c>
      <c r="AU181" s="807">
        <f t="shared" si="511"/>
        <v>143</v>
      </c>
      <c r="AV181" s="805">
        <f t="shared" si="512"/>
        <v>220</v>
      </c>
      <c r="AW181" s="806">
        <f t="shared" si="513"/>
        <v>266</v>
      </c>
      <c r="AX181" s="806">
        <f t="shared" si="514"/>
        <v>266</v>
      </c>
      <c r="AY181" s="806">
        <f t="shared" si="515"/>
        <v>250</v>
      </c>
      <c r="AZ181" s="807">
        <f t="shared" si="516"/>
        <v>1493</v>
      </c>
      <c r="BA181" s="805">
        <f t="shared" si="517"/>
        <v>833</v>
      </c>
      <c r="BB181" s="806">
        <f t="shared" si="518"/>
        <v>1099</v>
      </c>
      <c r="BC181" s="806">
        <f t="shared" si="519"/>
        <v>1122</v>
      </c>
      <c r="BD181" s="806">
        <f t="shared" si="520"/>
        <v>1281</v>
      </c>
      <c r="BE181" s="807">
        <f t="shared" si="521"/>
        <v>2556</v>
      </c>
      <c r="BF181" s="805">
        <f t="shared" si="522"/>
        <v>42</v>
      </c>
      <c r="BG181" s="806">
        <f t="shared" si="523"/>
        <v>72</v>
      </c>
      <c r="BH181" s="806">
        <f t="shared" si="524"/>
        <v>66</v>
      </c>
      <c r="BI181" s="806">
        <f t="shared" si="525"/>
        <v>84</v>
      </c>
      <c r="BJ181" s="807">
        <f t="shared" si="526"/>
        <v>292</v>
      </c>
      <c r="BK181" s="805">
        <f t="shared" si="527"/>
        <v>173</v>
      </c>
      <c r="BL181" s="806">
        <f t="shared" si="528"/>
        <v>59</v>
      </c>
      <c r="BM181" s="806">
        <f t="shared" si="529"/>
        <v>180</v>
      </c>
      <c r="BN181" s="806">
        <f t="shared" si="530"/>
        <v>210</v>
      </c>
      <c r="BO181" s="807">
        <f t="shared" si="531"/>
        <v>609</v>
      </c>
      <c r="BP181" s="805">
        <f t="shared" si="532"/>
        <v>36</v>
      </c>
      <c r="BQ181" s="806">
        <f t="shared" si="533"/>
        <v>122</v>
      </c>
      <c r="BR181" s="806">
        <f t="shared" si="534"/>
        <v>77</v>
      </c>
      <c r="BS181" s="806">
        <f t="shared" si="535"/>
        <v>144</v>
      </c>
      <c r="BT181" s="807">
        <f t="shared" si="536"/>
        <v>0</v>
      </c>
      <c r="BU181" s="805">
        <f t="shared" si="537"/>
        <v>251</v>
      </c>
      <c r="BV181" s="806">
        <f t="shared" si="538"/>
        <v>386</v>
      </c>
      <c r="BW181" s="806">
        <f t="shared" si="539"/>
        <v>163</v>
      </c>
      <c r="BX181" s="806">
        <f t="shared" si="540"/>
        <v>103</v>
      </c>
      <c r="BY181" s="807">
        <f t="shared" si="541"/>
        <v>392</v>
      </c>
      <c r="BZ181" s="839">
        <f t="shared" si="542"/>
        <v>2614</v>
      </c>
      <c r="CA181" s="840">
        <f t="shared" si="543"/>
        <v>3405</v>
      </c>
      <c r="CB181" s="840">
        <f t="shared" si="544"/>
        <v>3021</v>
      </c>
      <c r="CC181" s="840">
        <f t="shared" si="545"/>
        <v>3627</v>
      </c>
      <c r="CD181" s="841">
        <f t="shared" si="546"/>
        <v>9490</v>
      </c>
      <c r="CE181" s="89"/>
      <c r="CF181" s="89"/>
      <c r="CG181" s="89"/>
      <c r="CH181" s="89"/>
      <c r="CI181" s="89"/>
      <c r="CJ181" s="89"/>
      <c r="CK181" s="89"/>
      <c r="CL181" s="89"/>
      <c r="CM181" s="89"/>
      <c r="CN181" s="89"/>
      <c r="CO181" s="89"/>
      <c r="CP181" s="89"/>
      <c r="CQ181" s="89"/>
      <c r="CR181" s="89"/>
      <c r="CS181" s="89"/>
      <c r="CT181" s="89"/>
      <c r="CU181" s="89"/>
      <c r="CV181" s="89"/>
      <c r="CW181" s="89"/>
      <c r="CX181" s="89"/>
      <c r="CY181" s="89"/>
      <c r="CZ181" s="89"/>
      <c r="DA181" s="89"/>
      <c r="DB181" s="89"/>
      <c r="DC181" s="89"/>
      <c r="DD181" s="89"/>
      <c r="DE181" s="89"/>
      <c r="DF181" s="89"/>
      <c r="DG181" s="89"/>
      <c r="DH181" s="89"/>
      <c r="DI181" s="89"/>
      <c r="DJ181" s="89"/>
      <c r="DK181" s="89"/>
      <c r="DL181" s="89"/>
      <c r="DM181" s="89"/>
      <c r="DN181" s="89"/>
      <c r="DO181" s="89"/>
      <c r="DP181" s="89"/>
      <c r="DQ181" s="89"/>
      <c r="DR181" s="89"/>
      <c r="DS181" s="89"/>
      <c r="DT181" s="89"/>
      <c r="DU181" s="89"/>
      <c r="DV181" s="89"/>
      <c r="DW181" s="89"/>
      <c r="DX181" s="89"/>
      <c r="DY181" s="89"/>
      <c r="DZ181" s="89"/>
      <c r="EA181" s="89"/>
      <c r="EB181" s="89"/>
      <c r="EC181" s="89"/>
      <c r="ED181" s="89"/>
    </row>
    <row r="182" spans="1:134" ht="11.25" customHeight="1" x14ac:dyDescent="0.2">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806">
        <f t="shared" si="494"/>
        <v>127</v>
      </c>
      <c r="AE182" s="806">
        <f t="shared" si="495"/>
        <v>141</v>
      </c>
      <c r="AF182" s="807">
        <f t="shared" si="496"/>
        <v>89</v>
      </c>
      <c r="AG182" s="805">
        <f t="shared" si="497"/>
        <v>316</v>
      </c>
      <c r="AH182" s="806">
        <f t="shared" si="498"/>
        <v>307</v>
      </c>
      <c r="AI182" s="806">
        <f t="shared" si="499"/>
        <v>391</v>
      </c>
      <c r="AJ182" s="806">
        <f t="shared" si="500"/>
        <v>382</v>
      </c>
      <c r="AK182" s="807">
        <f t="shared" si="501"/>
        <v>184</v>
      </c>
      <c r="AL182" s="805">
        <f t="shared" si="502"/>
        <v>357</v>
      </c>
      <c r="AM182" s="806">
        <f t="shared" si="503"/>
        <v>260</v>
      </c>
      <c r="AN182" s="806">
        <f t="shared" si="504"/>
        <v>162</v>
      </c>
      <c r="AO182" s="806">
        <f t="shared" si="505"/>
        <v>261</v>
      </c>
      <c r="AP182" s="807">
        <f t="shared" si="506"/>
        <v>130</v>
      </c>
      <c r="AQ182" s="805">
        <f t="shared" si="507"/>
        <v>15</v>
      </c>
      <c r="AR182" s="806">
        <f t="shared" si="508"/>
        <v>10</v>
      </c>
      <c r="AS182" s="806">
        <f t="shared" si="509"/>
        <v>20</v>
      </c>
      <c r="AT182" s="806">
        <f t="shared" si="510"/>
        <v>9</v>
      </c>
      <c r="AU182" s="807">
        <f t="shared" si="511"/>
        <v>10</v>
      </c>
      <c r="AV182" s="805">
        <f t="shared" si="512"/>
        <v>314</v>
      </c>
      <c r="AW182" s="806">
        <f t="shared" si="513"/>
        <v>466</v>
      </c>
      <c r="AX182" s="806">
        <f t="shared" si="514"/>
        <v>370</v>
      </c>
      <c r="AY182" s="806">
        <f t="shared" si="515"/>
        <v>278</v>
      </c>
      <c r="AZ182" s="807">
        <f t="shared" si="516"/>
        <v>77</v>
      </c>
      <c r="BA182" s="805">
        <f t="shared" si="517"/>
        <v>550</v>
      </c>
      <c r="BB182" s="806">
        <f t="shared" si="518"/>
        <v>520</v>
      </c>
      <c r="BC182" s="806">
        <f t="shared" si="519"/>
        <v>351</v>
      </c>
      <c r="BD182" s="806">
        <f t="shared" si="520"/>
        <v>435</v>
      </c>
      <c r="BE182" s="807">
        <f t="shared" si="521"/>
        <v>401</v>
      </c>
      <c r="BF182" s="805">
        <f t="shared" si="522"/>
        <v>43</v>
      </c>
      <c r="BG182" s="806">
        <f t="shared" si="523"/>
        <v>33</v>
      </c>
      <c r="BH182" s="806">
        <f t="shared" si="524"/>
        <v>19</v>
      </c>
      <c r="BI182" s="806">
        <f t="shared" si="525"/>
        <v>23</v>
      </c>
      <c r="BJ182" s="807">
        <f t="shared" si="526"/>
        <v>27</v>
      </c>
      <c r="BK182" s="805">
        <f t="shared" si="527"/>
        <v>197</v>
      </c>
      <c r="BL182" s="806">
        <f t="shared" si="528"/>
        <v>165</v>
      </c>
      <c r="BM182" s="806">
        <f t="shared" si="529"/>
        <v>91</v>
      </c>
      <c r="BN182" s="806">
        <f t="shared" si="530"/>
        <v>156</v>
      </c>
      <c r="BO182" s="807">
        <f t="shared" si="531"/>
        <v>148</v>
      </c>
      <c r="BP182" s="805">
        <f t="shared" si="532"/>
        <v>97</v>
      </c>
      <c r="BQ182" s="806">
        <f t="shared" si="533"/>
        <v>71</v>
      </c>
      <c r="BR182" s="806">
        <f t="shared" si="534"/>
        <v>44</v>
      </c>
      <c r="BS182" s="806">
        <f t="shared" si="535"/>
        <v>61</v>
      </c>
      <c r="BT182" s="807">
        <f t="shared" si="536"/>
        <v>19</v>
      </c>
      <c r="BU182" s="805">
        <f t="shared" si="537"/>
        <v>0</v>
      </c>
      <c r="BV182" s="806">
        <f t="shared" si="538"/>
        <v>22</v>
      </c>
      <c r="BW182" s="806">
        <f t="shared" si="539"/>
        <v>41</v>
      </c>
      <c r="BX182" s="806">
        <f t="shared" si="540"/>
        <v>59</v>
      </c>
      <c r="BY182" s="807">
        <f t="shared" si="541"/>
        <v>50</v>
      </c>
      <c r="BZ182" s="839">
        <f t="shared" si="542"/>
        <v>2134</v>
      </c>
      <c r="CA182" s="840">
        <f t="shared" si="543"/>
        <v>1988</v>
      </c>
      <c r="CB182" s="840">
        <f t="shared" si="544"/>
        <v>1616</v>
      </c>
      <c r="CC182" s="840">
        <f t="shared" si="545"/>
        <v>1805</v>
      </c>
      <c r="CD182" s="841">
        <f t="shared" si="546"/>
        <v>1135</v>
      </c>
      <c r="CE182" s="89"/>
      <c r="CF182" s="89"/>
      <c r="CG182" s="89"/>
      <c r="CH182" s="89"/>
      <c r="CI182" s="89"/>
      <c r="CJ182" s="89"/>
      <c r="CK182" s="89"/>
      <c r="CL182" s="89"/>
      <c r="CM182" s="89"/>
      <c r="CN182" s="89"/>
      <c r="CO182" s="89"/>
      <c r="CP182" s="89"/>
      <c r="CQ182" s="89"/>
      <c r="CR182" s="89"/>
      <c r="CS182" s="89"/>
      <c r="CT182" s="89"/>
      <c r="CU182" s="89"/>
      <c r="CV182" s="89"/>
      <c r="CW182" s="89"/>
      <c r="CX182" s="89"/>
      <c r="CY182" s="89"/>
      <c r="CZ182" s="89"/>
      <c r="DA182" s="89"/>
      <c r="DB182" s="89"/>
      <c r="DC182" s="89"/>
      <c r="DD182" s="89"/>
      <c r="DE182" s="89"/>
      <c r="DF182" s="89"/>
      <c r="DG182" s="89"/>
      <c r="DH182" s="89"/>
      <c r="DI182" s="89"/>
      <c r="DJ182" s="89"/>
      <c r="DK182" s="89"/>
      <c r="DL182" s="89"/>
      <c r="DM182" s="89"/>
      <c r="DN182" s="89"/>
      <c r="DO182" s="89"/>
      <c r="DP182" s="89"/>
      <c r="DQ182" s="89"/>
      <c r="DR182" s="89"/>
      <c r="DS182" s="89"/>
      <c r="DT182" s="89"/>
      <c r="DU182" s="89"/>
      <c r="DV182" s="89"/>
      <c r="DW182" s="89"/>
      <c r="DX182" s="89"/>
      <c r="DY182" s="89"/>
      <c r="DZ182" s="89"/>
      <c r="EA182" s="89"/>
      <c r="EB182" s="89"/>
      <c r="EC182" s="89"/>
      <c r="ED182" s="89"/>
    </row>
    <row r="183" spans="1:134" s="78" customFormat="1" ht="11.25" customHeight="1" x14ac:dyDescent="0.2">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806">
        <f t="shared" si="494"/>
        <v>134</v>
      </c>
      <c r="AE183" s="806">
        <f t="shared" si="495"/>
        <v>139</v>
      </c>
      <c r="AF183" s="807">
        <f t="shared" si="496"/>
        <v>142</v>
      </c>
      <c r="AG183" s="805">
        <f t="shared" si="497"/>
        <v>260</v>
      </c>
      <c r="AH183" s="806">
        <f t="shared" si="498"/>
        <v>257</v>
      </c>
      <c r="AI183" s="806">
        <f t="shared" si="499"/>
        <v>343</v>
      </c>
      <c r="AJ183" s="806">
        <f t="shared" si="500"/>
        <v>329</v>
      </c>
      <c r="AK183" s="807">
        <f t="shared" si="501"/>
        <v>345</v>
      </c>
      <c r="AL183" s="805">
        <f t="shared" si="502"/>
        <v>119</v>
      </c>
      <c r="AM183" s="806">
        <f t="shared" si="503"/>
        <v>146</v>
      </c>
      <c r="AN183" s="806">
        <f t="shared" si="504"/>
        <v>131</v>
      </c>
      <c r="AO183" s="806">
        <f t="shared" si="505"/>
        <v>187</v>
      </c>
      <c r="AP183" s="807">
        <f t="shared" si="506"/>
        <v>253</v>
      </c>
      <c r="AQ183" s="805">
        <f t="shared" si="507"/>
        <v>36</v>
      </c>
      <c r="AR183" s="806">
        <f t="shared" si="508"/>
        <v>54</v>
      </c>
      <c r="AS183" s="806">
        <f t="shared" si="509"/>
        <v>35</v>
      </c>
      <c r="AT183" s="806">
        <f t="shared" si="510"/>
        <v>28</v>
      </c>
      <c r="AU183" s="807">
        <f t="shared" si="511"/>
        <v>9</v>
      </c>
      <c r="AV183" s="805">
        <f t="shared" si="512"/>
        <v>276</v>
      </c>
      <c r="AW183" s="806">
        <f t="shared" si="513"/>
        <v>310</v>
      </c>
      <c r="AX183" s="806">
        <f t="shared" si="514"/>
        <v>410</v>
      </c>
      <c r="AY183" s="806">
        <f t="shared" si="515"/>
        <v>254</v>
      </c>
      <c r="AZ183" s="807">
        <f t="shared" si="516"/>
        <v>151</v>
      </c>
      <c r="BA183" s="805">
        <f t="shared" si="517"/>
        <v>266</v>
      </c>
      <c r="BB183" s="806">
        <f t="shared" si="518"/>
        <v>285</v>
      </c>
      <c r="BC183" s="806">
        <f t="shared" si="519"/>
        <v>468</v>
      </c>
      <c r="BD183" s="806">
        <f t="shared" si="520"/>
        <v>478</v>
      </c>
      <c r="BE183" s="807">
        <f t="shared" si="521"/>
        <v>617</v>
      </c>
      <c r="BF183" s="805">
        <f t="shared" si="522"/>
        <v>35</v>
      </c>
      <c r="BG183" s="806">
        <f t="shared" si="523"/>
        <v>24</v>
      </c>
      <c r="BH183" s="806">
        <f t="shared" si="524"/>
        <v>47</v>
      </c>
      <c r="BI183" s="806" t="str">
        <f t="shared" si="525"/>
        <v>x</v>
      </c>
      <c r="BJ183" s="807">
        <f t="shared" si="526"/>
        <v>41</v>
      </c>
      <c r="BK183" s="805">
        <f t="shared" si="527"/>
        <v>125</v>
      </c>
      <c r="BL183" s="806">
        <f t="shared" si="528"/>
        <v>207</v>
      </c>
      <c r="BM183" s="806">
        <f t="shared" si="529"/>
        <v>67</v>
      </c>
      <c r="BN183" s="806">
        <f t="shared" si="530"/>
        <v>53</v>
      </c>
      <c r="BO183" s="807">
        <f t="shared" si="531"/>
        <v>87</v>
      </c>
      <c r="BP183" s="805">
        <f t="shared" si="532"/>
        <v>13</v>
      </c>
      <c r="BQ183" s="806" t="str">
        <f t="shared" si="533"/>
        <v>x</v>
      </c>
      <c r="BR183" s="806">
        <f t="shared" si="534"/>
        <v>17</v>
      </c>
      <c r="BS183" s="806">
        <f t="shared" si="535"/>
        <v>24</v>
      </c>
      <c r="BT183" s="807">
        <f t="shared" si="536"/>
        <v>28</v>
      </c>
      <c r="BU183" s="805">
        <f t="shared" si="537"/>
        <v>0</v>
      </c>
      <c r="BV183" s="806" t="str">
        <f t="shared" si="538"/>
        <v>x</v>
      </c>
      <c r="BW183" s="806">
        <f t="shared" si="539"/>
        <v>0</v>
      </c>
      <c r="BX183" s="806" t="str">
        <f t="shared" si="540"/>
        <v>x</v>
      </c>
      <c r="BY183" s="807">
        <f t="shared" si="541"/>
        <v>32</v>
      </c>
      <c r="BZ183" s="839">
        <f t="shared" si="542"/>
        <v>1259</v>
      </c>
      <c r="CA183" s="840">
        <f t="shared" si="543"/>
        <v>1362</v>
      </c>
      <c r="CB183" s="840">
        <f t="shared" si="544"/>
        <v>1652</v>
      </c>
      <c r="CC183" s="840">
        <f t="shared" si="545"/>
        <v>1492</v>
      </c>
      <c r="CD183" s="841">
        <f t="shared" si="546"/>
        <v>1705</v>
      </c>
      <c r="CE183" s="89"/>
      <c r="CF183" s="89"/>
      <c r="CG183" s="89"/>
      <c r="CH183" s="89"/>
      <c r="CI183" s="89"/>
      <c r="CJ183" s="89"/>
      <c r="CK183" s="89"/>
      <c r="CL183" s="89"/>
      <c r="CM183" s="89"/>
      <c r="CN183" s="89"/>
      <c r="CO183" s="89"/>
      <c r="CP183" s="89"/>
      <c r="CQ183" s="89"/>
      <c r="CR183" s="89"/>
      <c r="CS183" s="89"/>
      <c r="CT183" s="89"/>
      <c r="CU183" s="89"/>
      <c r="CV183" s="89"/>
      <c r="CW183" s="89"/>
      <c r="CX183" s="89"/>
      <c r="CY183" s="89"/>
      <c r="CZ183" s="89"/>
      <c r="DA183" s="89"/>
      <c r="DB183" s="89"/>
      <c r="DC183" s="89"/>
      <c r="DD183" s="89"/>
      <c r="DE183" s="89"/>
      <c r="DF183" s="89"/>
      <c r="DG183" s="89"/>
      <c r="DH183" s="89"/>
      <c r="DI183" s="89"/>
      <c r="DJ183" s="89"/>
      <c r="DK183" s="89"/>
      <c r="DL183" s="89"/>
      <c r="DM183" s="89"/>
      <c r="DN183" s="89"/>
      <c r="DO183" s="89"/>
      <c r="DP183" s="89"/>
      <c r="DQ183" s="89"/>
      <c r="DR183" s="89"/>
      <c r="DS183" s="89"/>
      <c r="DT183" s="89"/>
      <c r="DU183" s="89"/>
      <c r="DV183" s="89"/>
      <c r="DW183" s="89"/>
      <c r="DX183" s="89"/>
      <c r="DY183" s="89"/>
      <c r="DZ183" s="89"/>
      <c r="EA183" s="89"/>
      <c r="EB183" s="89"/>
      <c r="EC183" s="89"/>
      <c r="ED183" s="89"/>
    </row>
    <row r="184" spans="1:134" ht="11.25" customHeight="1" x14ac:dyDescent="0.2">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806">
        <f t="shared" si="494"/>
        <v>2111</v>
      </c>
      <c r="AE184" s="806">
        <f t="shared" si="495"/>
        <v>919</v>
      </c>
      <c r="AF184" s="807">
        <f t="shared" si="496"/>
        <v>497</v>
      </c>
      <c r="AG184" s="805">
        <f t="shared" si="497"/>
        <v>932</v>
      </c>
      <c r="AH184" s="806">
        <f t="shared" si="498"/>
        <v>1204</v>
      </c>
      <c r="AI184" s="806">
        <f t="shared" si="499"/>
        <v>1554</v>
      </c>
      <c r="AJ184" s="806">
        <f t="shared" si="500"/>
        <v>1877</v>
      </c>
      <c r="AK184" s="807">
        <f t="shared" si="501"/>
        <v>578</v>
      </c>
      <c r="AL184" s="805">
        <f t="shared" si="502"/>
        <v>791</v>
      </c>
      <c r="AM184" s="806">
        <f t="shared" si="503"/>
        <v>765</v>
      </c>
      <c r="AN184" s="806">
        <f t="shared" si="504"/>
        <v>998</v>
      </c>
      <c r="AO184" s="806">
        <f t="shared" si="505"/>
        <v>1083</v>
      </c>
      <c r="AP184" s="807">
        <f t="shared" si="506"/>
        <v>608</v>
      </c>
      <c r="AQ184" s="805">
        <f t="shared" si="507"/>
        <v>112</v>
      </c>
      <c r="AR184" s="806">
        <f t="shared" si="508"/>
        <v>141</v>
      </c>
      <c r="AS184" s="806">
        <f t="shared" si="509"/>
        <v>120</v>
      </c>
      <c r="AT184" s="806">
        <f t="shared" si="510"/>
        <v>182</v>
      </c>
      <c r="AU184" s="807">
        <f t="shared" si="511"/>
        <v>32</v>
      </c>
      <c r="AV184" s="805">
        <f t="shared" si="512"/>
        <v>848</v>
      </c>
      <c r="AW184" s="806">
        <f t="shared" si="513"/>
        <v>779</v>
      </c>
      <c r="AX184" s="806">
        <f t="shared" si="514"/>
        <v>662</v>
      </c>
      <c r="AY184" s="806">
        <f t="shared" si="515"/>
        <v>1819</v>
      </c>
      <c r="AZ184" s="807">
        <f t="shared" si="516"/>
        <v>578</v>
      </c>
      <c r="BA184" s="805">
        <f t="shared" si="517"/>
        <v>2323</v>
      </c>
      <c r="BB184" s="806">
        <f t="shared" si="518"/>
        <v>2562</v>
      </c>
      <c r="BC184" s="806">
        <f t="shared" si="519"/>
        <v>2690</v>
      </c>
      <c r="BD184" s="806">
        <f t="shared" si="520"/>
        <v>2913</v>
      </c>
      <c r="BE184" s="807">
        <f t="shared" si="521"/>
        <v>1008</v>
      </c>
      <c r="BF184" s="805">
        <f t="shared" si="522"/>
        <v>259</v>
      </c>
      <c r="BG184" s="806">
        <f t="shared" si="523"/>
        <v>336</v>
      </c>
      <c r="BH184" s="806">
        <f t="shared" si="524"/>
        <v>310</v>
      </c>
      <c r="BI184" s="806">
        <f t="shared" si="525"/>
        <v>363</v>
      </c>
      <c r="BJ184" s="807">
        <f t="shared" si="526"/>
        <v>136</v>
      </c>
      <c r="BK184" s="805">
        <f t="shared" si="527"/>
        <v>25</v>
      </c>
      <c r="BL184" s="806">
        <f t="shared" si="528"/>
        <v>67</v>
      </c>
      <c r="BM184" s="806">
        <f t="shared" si="529"/>
        <v>39</v>
      </c>
      <c r="BN184" s="806">
        <f t="shared" si="530"/>
        <v>690</v>
      </c>
      <c r="BO184" s="807">
        <f t="shared" si="531"/>
        <v>234</v>
      </c>
      <c r="BP184" s="805">
        <f t="shared" si="532"/>
        <v>0</v>
      </c>
      <c r="BQ184" s="806">
        <f t="shared" si="533"/>
        <v>0</v>
      </c>
      <c r="BR184" s="806">
        <f t="shared" si="534"/>
        <v>0</v>
      </c>
      <c r="BS184" s="806">
        <f t="shared" si="535"/>
        <v>0</v>
      </c>
      <c r="BT184" s="807">
        <f t="shared" si="536"/>
        <v>152</v>
      </c>
      <c r="BU184" s="805">
        <f t="shared" si="537"/>
        <v>202</v>
      </c>
      <c r="BV184" s="806">
        <f t="shared" si="538"/>
        <v>276</v>
      </c>
      <c r="BW184" s="806">
        <f t="shared" si="539"/>
        <v>257</v>
      </c>
      <c r="BX184" s="806">
        <f t="shared" si="540"/>
        <v>149</v>
      </c>
      <c r="BY184" s="807">
        <f t="shared" si="541"/>
        <v>7</v>
      </c>
      <c r="BZ184" s="839">
        <f t="shared" si="542"/>
        <v>6917</v>
      </c>
      <c r="CA184" s="840">
        <f t="shared" si="543"/>
        <v>8147</v>
      </c>
      <c r="CB184" s="840">
        <f t="shared" si="544"/>
        <v>8741</v>
      </c>
      <c r="CC184" s="840">
        <f t="shared" si="545"/>
        <v>9995</v>
      </c>
      <c r="CD184" s="841">
        <f t="shared" si="546"/>
        <v>3830</v>
      </c>
      <c r="CE184" s="89"/>
      <c r="CF184" s="89"/>
      <c r="CG184" s="89"/>
      <c r="CH184" s="89"/>
      <c r="CI184" s="89"/>
      <c r="CJ184" s="89"/>
      <c r="CK184" s="89"/>
      <c r="CL184" s="89"/>
      <c r="CM184" s="89"/>
      <c r="CN184" s="89"/>
      <c r="CO184" s="89"/>
      <c r="CP184" s="89"/>
      <c r="CQ184" s="89"/>
      <c r="CR184" s="89"/>
      <c r="CS184" s="89"/>
      <c r="CT184" s="89"/>
      <c r="CU184" s="89"/>
      <c r="CV184" s="89"/>
      <c r="CW184" s="89"/>
      <c r="CX184" s="89"/>
      <c r="CY184" s="89"/>
      <c r="CZ184" s="89"/>
      <c r="DA184" s="89"/>
      <c r="DB184" s="89"/>
      <c r="DC184" s="89"/>
      <c r="DD184" s="89"/>
      <c r="DE184" s="89"/>
      <c r="DF184" s="89"/>
      <c r="DG184" s="89"/>
      <c r="DH184" s="89"/>
      <c r="DI184" s="89"/>
      <c r="DJ184" s="89"/>
      <c r="DK184" s="89"/>
      <c r="DL184" s="89"/>
      <c r="DM184" s="89"/>
      <c r="DN184" s="89"/>
      <c r="DO184" s="89"/>
      <c r="DP184" s="89"/>
      <c r="DQ184" s="89"/>
      <c r="DR184" s="89"/>
      <c r="DS184" s="89"/>
      <c r="DT184" s="89"/>
      <c r="DU184" s="89"/>
      <c r="DV184" s="89"/>
      <c r="DW184" s="89"/>
      <c r="DX184" s="89"/>
      <c r="DY184" s="89"/>
      <c r="DZ184" s="89"/>
      <c r="EA184" s="89"/>
      <c r="EB184" s="89"/>
      <c r="EC184" s="89"/>
      <c r="ED184" s="89"/>
    </row>
    <row r="185" spans="1:134" ht="11.25" customHeight="1" x14ac:dyDescent="0.2">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806">
        <f t="shared" si="494"/>
        <v>37</v>
      </c>
      <c r="AE185" s="806">
        <f t="shared" si="495"/>
        <v>147</v>
      </c>
      <c r="AF185" s="807">
        <f t="shared" si="496"/>
        <v>179</v>
      </c>
      <c r="AG185" s="805">
        <f t="shared" si="497"/>
        <v>187</v>
      </c>
      <c r="AH185" s="806">
        <f t="shared" si="498"/>
        <v>128</v>
      </c>
      <c r="AI185" s="806">
        <f t="shared" si="499"/>
        <v>165</v>
      </c>
      <c r="AJ185" s="806">
        <f t="shared" si="500"/>
        <v>97</v>
      </c>
      <c r="AK185" s="807">
        <f t="shared" si="501"/>
        <v>653</v>
      </c>
      <c r="AL185" s="805">
        <f t="shared" si="502"/>
        <v>142</v>
      </c>
      <c r="AM185" s="806">
        <f t="shared" si="503"/>
        <v>111</v>
      </c>
      <c r="AN185" s="806">
        <f t="shared" si="504"/>
        <v>71</v>
      </c>
      <c r="AO185" s="806">
        <f t="shared" si="505"/>
        <v>133</v>
      </c>
      <c r="AP185" s="807">
        <f t="shared" si="506"/>
        <v>414</v>
      </c>
      <c r="AQ185" s="805" t="str">
        <f t="shared" si="507"/>
        <v>x</v>
      </c>
      <c r="AR185" s="806">
        <f t="shared" si="508"/>
        <v>11</v>
      </c>
      <c r="AS185" s="806" t="str">
        <f t="shared" si="509"/>
        <v>x</v>
      </c>
      <c r="AT185" s="806">
        <f t="shared" si="510"/>
        <v>7</v>
      </c>
      <c r="AU185" s="807">
        <f t="shared" si="511"/>
        <v>38</v>
      </c>
      <c r="AV185" s="805">
        <f t="shared" si="512"/>
        <v>227</v>
      </c>
      <c r="AW185" s="806">
        <f t="shared" si="513"/>
        <v>423</v>
      </c>
      <c r="AX185" s="806">
        <f t="shared" si="514"/>
        <v>410</v>
      </c>
      <c r="AY185" s="806">
        <f t="shared" si="515"/>
        <v>105</v>
      </c>
      <c r="AZ185" s="807">
        <f t="shared" si="516"/>
        <v>271</v>
      </c>
      <c r="BA185" s="805">
        <f t="shared" si="517"/>
        <v>270</v>
      </c>
      <c r="BB185" s="806">
        <f t="shared" si="518"/>
        <v>265</v>
      </c>
      <c r="BC185" s="806">
        <f t="shared" si="519"/>
        <v>274</v>
      </c>
      <c r="BD185" s="806">
        <f t="shared" si="520"/>
        <v>372</v>
      </c>
      <c r="BE185" s="807">
        <f t="shared" si="521"/>
        <v>1214</v>
      </c>
      <c r="BF185" s="805">
        <f t="shared" si="522"/>
        <v>8</v>
      </c>
      <c r="BG185" s="806">
        <f t="shared" si="523"/>
        <v>28</v>
      </c>
      <c r="BH185" s="806">
        <f t="shared" si="524"/>
        <v>8</v>
      </c>
      <c r="BI185" s="806">
        <f t="shared" si="525"/>
        <v>14</v>
      </c>
      <c r="BJ185" s="807">
        <f t="shared" si="526"/>
        <v>124</v>
      </c>
      <c r="BK185" s="805">
        <f t="shared" si="527"/>
        <v>92</v>
      </c>
      <c r="BL185" s="806">
        <f t="shared" si="528"/>
        <v>33</v>
      </c>
      <c r="BM185" s="806">
        <f t="shared" si="529"/>
        <v>18</v>
      </c>
      <c r="BN185" s="806">
        <f t="shared" si="530"/>
        <v>30</v>
      </c>
      <c r="BO185" s="807">
        <f t="shared" si="531"/>
        <v>78</v>
      </c>
      <c r="BP185" s="805">
        <f t="shared" si="532"/>
        <v>34</v>
      </c>
      <c r="BQ185" s="806">
        <f t="shared" si="533"/>
        <v>7</v>
      </c>
      <c r="BR185" s="806" t="str">
        <f t="shared" si="534"/>
        <v>x</v>
      </c>
      <c r="BS185" s="806">
        <f t="shared" si="535"/>
        <v>23</v>
      </c>
      <c r="BT185" s="807">
        <f t="shared" si="536"/>
        <v>96</v>
      </c>
      <c r="BU185" s="805" t="str">
        <f t="shared" si="537"/>
        <v>x</v>
      </c>
      <c r="BV185" s="806" t="str">
        <f t="shared" si="538"/>
        <v>x</v>
      </c>
      <c r="BW185" s="806">
        <f t="shared" si="539"/>
        <v>7</v>
      </c>
      <c r="BX185" s="806">
        <f t="shared" si="540"/>
        <v>133</v>
      </c>
      <c r="BY185" s="807">
        <f t="shared" si="541"/>
        <v>175</v>
      </c>
      <c r="BZ185" s="839">
        <f t="shared" si="542"/>
        <v>1043</v>
      </c>
      <c r="CA185" s="840">
        <f t="shared" si="543"/>
        <v>1111</v>
      </c>
      <c r="CB185" s="840">
        <f t="shared" si="544"/>
        <v>990</v>
      </c>
      <c r="CC185" s="840">
        <f t="shared" si="545"/>
        <v>1061</v>
      </c>
      <c r="CD185" s="841">
        <f t="shared" si="546"/>
        <v>3242</v>
      </c>
      <c r="CE185" s="89"/>
      <c r="CF185" s="89"/>
      <c r="CG185" s="89"/>
      <c r="CH185" s="89"/>
      <c r="CI185" s="89"/>
      <c r="CJ185" s="89"/>
      <c r="CK185" s="89"/>
      <c r="CL185" s="89"/>
      <c r="CM185" s="89"/>
      <c r="CN185" s="89"/>
      <c r="CO185" s="89"/>
      <c r="CP185" s="89"/>
      <c r="CQ185" s="89"/>
      <c r="CR185" s="89"/>
      <c r="CS185" s="89"/>
      <c r="CT185" s="89"/>
      <c r="CU185" s="89"/>
      <c r="CV185" s="89"/>
      <c r="CW185" s="89"/>
      <c r="CX185" s="89"/>
      <c r="CY185" s="89"/>
      <c r="CZ185" s="89"/>
      <c r="DA185" s="89"/>
      <c r="DB185" s="89"/>
      <c r="DC185" s="89"/>
      <c r="DD185" s="89"/>
      <c r="DE185" s="89"/>
      <c r="DF185" s="89"/>
      <c r="DG185" s="89"/>
      <c r="DH185" s="89"/>
      <c r="DI185" s="89"/>
      <c r="DJ185" s="89"/>
      <c r="DK185" s="89"/>
      <c r="DL185" s="89"/>
      <c r="DM185" s="89"/>
      <c r="DN185" s="89"/>
      <c r="DO185" s="89"/>
      <c r="DP185" s="89"/>
      <c r="DQ185" s="89"/>
      <c r="DR185" s="89"/>
      <c r="DS185" s="89"/>
      <c r="DT185" s="89"/>
      <c r="DU185" s="89"/>
      <c r="DV185" s="89"/>
      <c r="DW185" s="89"/>
      <c r="DX185" s="89"/>
      <c r="DY185" s="89"/>
      <c r="DZ185" s="89"/>
      <c r="EA185" s="89"/>
      <c r="EB185" s="89"/>
      <c r="EC185" s="89"/>
      <c r="ED185" s="89"/>
    </row>
    <row r="186" spans="1:134" ht="11.25" customHeight="1" x14ac:dyDescent="0.2">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806">
        <f t="shared" si="494"/>
        <v>92</v>
      </c>
      <c r="AE186" s="806">
        <f t="shared" si="495"/>
        <v>121</v>
      </c>
      <c r="AF186" s="807">
        <f t="shared" si="496"/>
        <v>143</v>
      </c>
      <c r="AG186" s="805">
        <f t="shared" si="497"/>
        <v>183</v>
      </c>
      <c r="AH186" s="806">
        <f t="shared" si="498"/>
        <v>197</v>
      </c>
      <c r="AI186" s="806">
        <f t="shared" si="499"/>
        <v>158</v>
      </c>
      <c r="AJ186" s="806">
        <f t="shared" si="500"/>
        <v>208</v>
      </c>
      <c r="AK186" s="807">
        <f t="shared" si="501"/>
        <v>295</v>
      </c>
      <c r="AL186" s="805">
        <f t="shared" si="502"/>
        <v>66</v>
      </c>
      <c r="AM186" s="806">
        <f t="shared" si="503"/>
        <v>53</v>
      </c>
      <c r="AN186" s="806">
        <f t="shared" si="504"/>
        <v>129</v>
      </c>
      <c r="AO186" s="806">
        <f t="shared" si="505"/>
        <v>175</v>
      </c>
      <c r="AP186" s="807">
        <f t="shared" si="506"/>
        <v>235</v>
      </c>
      <c r="AQ186" s="805">
        <f t="shared" si="507"/>
        <v>10</v>
      </c>
      <c r="AR186" s="806" t="str">
        <f t="shared" si="508"/>
        <v>x</v>
      </c>
      <c r="AS186" s="806">
        <f t="shared" si="509"/>
        <v>10</v>
      </c>
      <c r="AT186" s="806">
        <f t="shared" si="510"/>
        <v>10</v>
      </c>
      <c r="AU186" s="807">
        <f t="shared" si="511"/>
        <v>0</v>
      </c>
      <c r="AV186" s="805">
        <f t="shared" si="512"/>
        <v>29</v>
      </c>
      <c r="AW186" s="806">
        <f t="shared" si="513"/>
        <v>46</v>
      </c>
      <c r="AX186" s="806">
        <f t="shared" si="514"/>
        <v>97</v>
      </c>
      <c r="AY186" s="806">
        <f t="shared" si="515"/>
        <v>141</v>
      </c>
      <c r="AZ186" s="807">
        <f t="shared" si="516"/>
        <v>266</v>
      </c>
      <c r="BA186" s="805">
        <f t="shared" si="517"/>
        <v>329</v>
      </c>
      <c r="BB186" s="806">
        <f t="shared" si="518"/>
        <v>420</v>
      </c>
      <c r="BC186" s="806">
        <f t="shared" si="519"/>
        <v>332</v>
      </c>
      <c r="BD186" s="806">
        <f t="shared" si="520"/>
        <v>581</v>
      </c>
      <c r="BE186" s="807">
        <f t="shared" si="521"/>
        <v>514</v>
      </c>
      <c r="BF186" s="805">
        <f t="shared" si="522"/>
        <v>0</v>
      </c>
      <c r="BG186" s="806">
        <f t="shared" si="523"/>
        <v>0</v>
      </c>
      <c r="BH186" s="806">
        <f t="shared" si="524"/>
        <v>51</v>
      </c>
      <c r="BI186" s="806">
        <f t="shared" si="525"/>
        <v>41</v>
      </c>
      <c r="BJ186" s="807">
        <f t="shared" si="526"/>
        <v>29</v>
      </c>
      <c r="BK186" s="805" t="str">
        <f t="shared" si="527"/>
        <v>x</v>
      </c>
      <c r="BL186" s="806" t="str">
        <f t="shared" si="528"/>
        <v>x</v>
      </c>
      <c r="BM186" s="806">
        <f t="shared" si="529"/>
        <v>18</v>
      </c>
      <c r="BN186" s="806">
        <f t="shared" si="530"/>
        <v>62</v>
      </c>
      <c r="BO186" s="807">
        <f t="shared" si="531"/>
        <v>163</v>
      </c>
      <c r="BP186" s="805">
        <f t="shared" si="532"/>
        <v>32</v>
      </c>
      <c r="BQ186" s="806">
        <f t="shared" si="533"/>
        <v>39</v>
      </c>
      <c r="BR186" s="806">
        <f t="shared" si="534"/>
        <v>20</v>
      </c>
      <c r="BS186" s="806">
        <f t="shared" si="535"/>
        <v>18</v>
      </c>
      <c r="BT186" s="807">
        <f t="shared" si="536"/>
        <v>78</v>
      </c>
      <c r="BU186" s="805" t="str">
        <f t="shared" si="537"/>
        <v>x</v>
      </c>
      <c r="BV186" s="806">
        <f t="shared" si="538"/>
        <v>0</v>
      </c>
      <c r="BW186" s="806">
        <f t="shared" si="539"/>
        <v>0</v>
      </c>
      <c r="BX186" s="806" t="str">
        <f t="shared" si="540"/>
        <v>x</v>
      </c>
      <c r="BY186" s="807">
        <f t="shared" si="541"/>
        <v>34</v>
      </c>
      <c r="BZ186" s="839">
        <f t="shared" si="542"/>
        <v>986</v>
      </c>
      <c r="CA186" s="840">
        <f t="shared" si="543"/>
        <v>1123</v>
      </c>
      <c r="CB186" s="840">
        <f t="shared" si="544"/>
        <v>907</v>
      </c>
      <c r="CC186" s="840">
        <f t="shared" si="545"/>
        <v>1357</v>
      </c>
      <c r="CD186" s="841">
        <f t="shared" si="546"/>
        <v>1757</v>
      </c>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89"/>
      <c r="DS186" s="89"/>
      <c r="DT186" s="89"/>
      <c r="DU186" s="89"/>
      <c r="DV186" s="89"/>
      <c r="DW186" s="89"/>
      <c r="DX186" s="89"/>
      <c r="DY186" s="89"/>
      <c r="DZ186" s="89"/>
      <c r="EA186" s="89"/>
      <c r="EB186" s="89"/>
      <c r="EC186" s="89"/>
      <c r="ED186" s="89"/>
    </row>
    <row r="187" spans="1:134" ht="11.25" customHeight="1" x14ac:dyDescent="0.2">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806">
        <f t="shared" si="494"/>
        <v>10530</v>
      </c>
      <c r="AE187" s="806">
        <f t="shared" si="495"/>
        <v>9246</v>
      </c>
      <c r="AF187" s="807">
        <f t="shared" si="496"/>
        <v>8340</v>
      </c>
      <c r="AG187" s="805">
        <f t="shared" si="497"/>
        <v>21155</v>
      </c>
      <c r="AH187" s="806">
        <f t="shared" si="498"/>
        <v>22504</v>
      </c>
      <c r="AI187" s="806">
        <f t="shared" si="499"/>
        <v>23104</v>
      </c>
      <c r="AJ187" s="806">
        <f t="shared" si="500"/>
        <v>21264</v>
      </c>
      <c r="AK187" s="807">
        <f t="shared" si="501"/>
        <v>20900</v>
      </c>
      <c r="AL187" s="805">
        <f t="shared" si="502"/>
        <v>15779</v>
      </c>
      <c r="AM187" s="806">
        <f t="shared" si="503"/>
        <v>14710</v>
      </c>
      <c r="AN187" s="806">
        <f t="shared" si="504"/>
        <v>14207</v>
      </c>
      <c r="AO187" s="806">
        <f t="shared" si="505"/>
        <v>13712</v>
      </c>
      <c r="AP187" s="807">
        <f t="shared" si="506"/>
        <v>13234</v>
      </c>
      <c r="AQ187" s="805">
        <f t="shared" si="507"/>
        <v>1908</v>
      </c>
      <c r="AR187" s="806">
        <f t="shared" si="508"/>
        <v>1645</v>
      </c>
      <c r="AS187" s="806">
        <f t="shared" si="509"/>
        <v>1562</v>
      </c>
      <c r="AT187" s="806">
        <f t="shared" si="510"/>
        <v>1465</v>
      </c>
      <c r="AU187" s="807">
        <f t="shared" si="511"/>
        <v>1201</v>
      </c>
      <c r="AV187" s="805">
        <f t="shared" si="512"/>
        <v>12649</v>
      </c>
      <c r="AW187" s="806">
        <f t="shared" si="513"/>
        <v>13205</v>
      </c>
      <c r="AX187" s="806">
        <f t="shared" si="514"/>
        <v>13613</v>
      </c>
      <c r="AY187" s="806">
        <f t="shared" si="515"/>
        <v>13812</v>
      </c>
      <c r="AZ187" s="807">
        <f t="shared" si="516"/>
        <v>11739</v>
      </c>
      <c r="BA187" s="805">
        <f t="shared" si="517"/>
        <v>32216</v>
      </c>
      <c r="BB187" s="806">
        <f t="shared" si="518"/>
        <v>34598</v>
      </c>
      <c r="BC187" s="806">
        <f t="shared" si="519"/>
        <v>34215</v>
      </c>
      <c r="BD187" s="806">
        <f t="shared" si="520"/>
        <v>34024</v>
      </c>
      <c r="BE187" s="807">
        <f t="shared" si="521"/>
        <v>30808</v>
      </c>
      <c r="BF187" s="805">
        <f t="shared" si="522"/>
        <v>3742</v>
      </c>
      <c r="BG187" s="806">
        <f t="shared" si="523"/>
        <v>3950</v>
      </c>
      <c r="BH187" s="806">
        <f t="shared" si="524"/>
        <v>3712</v>
      </c>
      <c r="BI187" s="806">
        <f t="shared" si="525"/>
        <v>3079</v>
      </c>
      <c r="BJ187" s="807">
        <f t="shared" si="526"/>
        <v>3453</v>
      </c>
      <c r="BK187" s="805">
        <f t="shared" si="527"/>
        <v>8186</v>
      </c>
      <c r="BL187" s="806">
        <f t="shared" si="528"/>
        <v>7026</v>
      </c>
      <c r="BM187" s="806">
        <f t="shared" si="529"/>
        <v>7339</v>
      </c>
      <c r="BN187" s="806">
        <f t="shared" si="530"/>
        <v>7629</v>
      </c>
      <c r="BO187" s="807">
        <f t="shared" si="531"/>
        <v>6003</v>
      </c>
      <c r="BP187" s="805">
        <f t="shared" si="532"/>
        <v>2734</v>
      </c>
      <c r="BQ187" s="806">
        <f t="shared" si="533"/>
        <v>2262</v>
      </c>
      <c r="BR187" s="806">
        <f t="shared" si="534"/>
        <v>2073</v>
      </c>
      <c r="BS187" s="806">
        <f t="shared" si="535"/>
        <v>2001</v>
      </c>
      <c r="BT187" s="807">
        <f t="shared" si="536"/>
        <v>2124</v>
      </c>
      <c r="BU187" s="805">
        <f t="shared" si="537"/>
        <v>8266</v>
      </c>
      <c r="BV187" s="806">
        <f t="shared" si="538"/>
        <v>3882</v>
      </c>
      <c r="BW187" s="806">
        <f t="shared" si="539"/>
        <v>1362</v>
      </c>
      <c r="BX187" s="806">
        <f t="shared" si="540"/>
        <v>2077</v>
      </c>
      <c r="BY187" s="807">
        <f t="shared" si="541"/>
        <v>2367</v>
      </c>
      <c r="BZ187" s="839">
        <f t="shared" si="542"/>
        <v>117765</v>
      </c>
      <c r="CA187" s="840">
        <f t="shared" si="543"/>
        <v>114794</v>
      </c>
      <c r="CB187" s="840">
        <f t="shared" si="544"/>
        <v>111717</v>
      </c>
      <c r="CC187" s="840">
        <f t="shared" si="545"/>
        <v>108309</v>
      </c>
      <c r="CD187" s="841">
        <f t="shared" si="546"/>
        <v>100169</v>
      </c>
      <c r="CE187" s="89"/>
      <c r="CF187" s="89"/>
      <c r="CG187" s="89"/>
      <c r="CH187" s="89"/>
      <c r="CI187" s="89"/>
      <c r="CJ187" s="89"/>
      <c r="CK187" s="89"/>
      <c r="CL187" s="89"/>
      <c r="CM187" s="89"/>
      <c r="CN187" s="89"/>
      <c r="CO187" s="89"/>
      <c r="CP187" s="89"/>
      <c r="CQ187" s="89"/>
      <c r="CR187" s="89"/>
      <c r="CS187" s="89"/>
      <c r="CT187" s="89"/>
      <c r="CU187" s="89"/>
      <c r="CV187" s="89"/>
      <c r="CW187" s="89"/>
      <c r="CX187" s="89"/>
      <c r="CY187" s="89"/>
      <c r="CZ187" s="89"/>
      <c r="DA187" s="89"/>
      <c r="DB187" s="89"/>
      <c r="DC187" s="89"/>
      <c r="DD187" s="89"/>
      <c r="DE187" s="89"/>
      <c r="DF187" s="89"/>
      <c r="DG187" s="89"/>
      <c r="DH187" s="89"/>
      <c r="DI187" s="89"/>
      <c r="DJ187" s="89"/>
      <c r="DK187" s="89"/>
      <c r="DL187" s="89"/>
      <c r="DM187" s="89"/>
      <c r="DN187" s="89"/>
      <c r="DO187" s="89"/>
      <c r="DP187" s="89"/>
      <c r="DQ187" s="89"/>
      <c r="DR187" s="89"/>
      <c r="DS187" s="89"/>
      <c r="DT187" s="89"/>
      <c r="DU187" s="89"/>
      <c r="DV187" s="89"/>
      <c r="DW187" s="89"/>
      <c r="DX187" s="89"/>
      <c r="DY187" s="89"/>
      <c r="DZ187" s="89"/>
      <c r="EA187" s="89"/>
      <c r="EB187" s="89"/>
      <c r="EC187" s="89"/>
      <c r="ED187" s="89"/>
    </row>
    <row r="188" spans="1:134" ht="11.25" customHeight="1" x14ac:dyDescent="0.2">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806">
        <f t="shared" si="494"/>
        <v>53120</v>
      </c>
      <c r="AE188" s="806">
        <f t="shared" si="495"/>
        <v>52870</v>
      </c>
      <c r="AF188" s="807">
        <f t="shared" si="496"/>
        <v>51950</v>
      </c>
      <c r="AG188" s="805" t="str">
        <f t="shared" si="497"/>
        <v>X</v>
      </c>
      <c r="AH188" s="806">
        <f t="shared" si="498"/>
        <v>120570</v>
      </c>
      <c r="AI188" s="806">
        <f t="shared" si="499"/>
        <v>131560</v>
      </c>
      <c r="AJ188" s="806">
        <f t="shared" si="500"/>
        <v>132180</v>
      </c>
      <c r="AK188" s="807">
        <f t="shared" si="501"/>
        <v>132770</v>
      </c>
      <c r="AL188" s="805" t="str">
        <f t="shared" si="502"/>
        <v>X</v>
      </c>
      <c r="AM188" s="806">
        <f t="shared" si="503"/>
        <v>89080</v>
      </c>
      <c r="AN188" s="806">
        <f t="shared" si="504"/>
        <v>93330</v>
      </c>
      <c r="AO188" s="806">
        <f t="shared" si="505"/>
        <v>96780</v>
      </c>
      <c r="AP188" s="807">
        <f t="shared" si="506"/>
        <v>95070</v>
      </c>
      <c r="AQ188" s="805" t="str">
        <f t="shared" si="507"/>
        <v/>
      </c>
      <c r="AR188" s="806">
        <f t="shared" si="508"/>
        <v>9710</v>
      </c>
      <c r="AS188" s="806">
        <f t="shared" si="509"/>
        <v>9970</v>
      </c>
      <c r="AT188" s="806">
        <f t="shared" si="510"/>
        <v>9440</v>
      </c>
      <c r="AU188" s="807">
        <f t="shared" si="511"/>
        <v>8540</v>
      </c>
      <c r="AV188" s="805" t="str">
        <f t="shared" si="512"/>
        <v>X</v>
      </c>
      <c r="AW188" s="806">
        <f t="shared" si="513"/>
        <v>83250</v>
      </c>
      <c r="AX188" s="806">
        <f t="shared" si="514"/>
        <v>88150</v>
      </c>
      <c r="AY188" s="806">
        <f t="shared" si="515"/>
        <v>89360</v>
      </c>
      <c r="AZ188" s="807">
        <f t="shared" si="516"/>
        <v>86810</v>
      </c>
      <c r="BA188" s="805" t="str">
        <f t="shared" si="517"/>
        <v/>
      </c>
      <c r="BB188" s="806">
        <f t="shared" si="518"/>
        <v>171380</v>
      </c>
      <c r="BC188" s="806">
        <f t="shared" si="519"/>
        <v>177470</v>
      </c>
      <c r="BD188" s="806">
        <f t="shared" si="520"/>
        <v>186920</v>
      </c>
      <c r="BE188" s="807">
        <f t="shared" si="521"/>
        <v>189910</v>
      </c>
      <c r="BF188" s="805" t="str">
        <f t="shared" si="522"/>
        <v/>
      </c>
      <c r="BG188" s="806">
        <f t="shared" si="523"/>
        <v>20840</v>
      </c>
      <c r="BH188" s="806">
        <f t="shared" si="524"/>
        <v>22230</v>
      </c>
      <c r="BI188" s="806">
        <f t="shared" si="525"/>
        <v>22890</v>
      </c>
      <c r="BJ188" s="807">
        <f t="shared" si="526"/>
        <v>23780</v>
      </c>
      <c r="BK188" s="805" t="str">
        <f t="shared" si="527"/>
        <v/>
      </c>
      <c r="BL188" s="806">
        <f t="shared" si="528"/>
        <v>38740</v>
      </c>
      <c r="BM188" s="806">
        <f t="shared" si="529"/>
        <v>40770</v>
      </c>
      <c r="BN188" s="806">
        <f t="shared" si="530"/>
        <v>38440</v>
      </c>
      <c r="BO188" s="807">
        <f t="shared" si="531"/>
        <v>35780</v>
      </c>
      <c r="BP188" s="805" t="str">
        <f t="shared" si="532"/>
        <v/>
      </c>
      <c r="BQ188" s="806">
        <f t="shared" si="533"/>
        <v>13770</v>
      </c>
      <c r="BR188" s="806">
        <f t="shared" si="534"/>
        <v>14510</v>
      </c>
      <c r="BS188" s="806">
        <f t="shared" si="535"/>
        <v>15890</v>
      </c>
      <c r="BT188" s="807">
        <f t="shared" si="536"/>
        <v>15580</v>
      </c>
      <c r="BU188" s="805" t="str">
        <f t="shared" si="537"/>
        <v/>
      </c>
      <c r="BV188" s="806">
        <f t="shared" si="538"/>
        <v>17080</v>
      </c>
      <c r="BW188" s="806">
        <f t="shared" si="539"/>
        <v>15010</v>
      </c>
      <c r="BX188" s="806">
        <f t="shared" si="540"/>
        <v>10680</v>
      </c>
      <c r="BY188" s="807">
        <f t="shared" si="541"/>
        <v>10730</v>
      </c>
      <c r="BZ188" s="839">
        <f t="shared" si="542"/>
        <v>0</v>
      </c>
      <c r="CA188" s="840">
        <f t="shared" si="543"/>
        <v>621470</v>
      </c>
      <c r="CB188" s="840">
        <f t="shared" si="544"/>
        <v>646120</v>
      </c>
      <c r="CC188" s="840">
        <f t="shared" si="545"/>
        <v>655450</v>
      </c>
      <c r="CD188" s="841">
        <f t="shared" si="546"/>
        <v>650920</v>
      </c>
      <c r="CE188" s="89"/>
      <c r="CF188" s="89"/>
      <c r="CG188" s="89"/>
      <c r="CH188" s="89"/>
      <c r="CI188" s="89"/>
      <c r="CJ188" s="89"/>
      <c r="CK188" s="89"/>
      <c r="CL188" s="89"/>
      <c r="CM188" s="89"/>
      <c r="CN188" s="89"/>
      <c r="CO188" s="89"/>
      <c r="CP188" s="89"/>
      <c r="CQ188" s="89"/>
      <c r="CR188" s="89"/>
      <c r="CS188" s="89"/>
      <c r="CT188" s="89"/>
      <c r="CU188" s="89"/>
      <c r="CV188" s="89"/>
      <c r="CW188" s="89"/>
      <c r="CX188" s="89"/>
      <c r="CY188" s="89"/>
      <c r="CZ188" s="89"/>
      <c r="DA188" s="89"/>
      <c r="DB188" s="89"/>
      <c r="DC188" s="89"/>
      <c r="DD188" s="89"/>
      <c r="DE188" s="89"/>
      <c r="DF188" s="89"/>
      <c r="DG188" s="89"/>
      <c r="DH188" s="89"/>
      <c r="DI188" s="89"/>
      <c r="DJ188" s="89"/>
      <c r="DK188" s="89"/>
      <c r="DL188" s="89"/>
      <c r="DM188" s="89"/>
      <c r="DN188" s="89"/>
      <c r="DO188" s="89"/>
      <c r="DP188" s="89"/>
      <c r="DQ188" s="89"/>
      <c r="DR188" s="89"/>
      <c r="DS188" s="89"/>
      <c r="DT188" s="89"/>
      <c r="DU188" s="89"/>
      <c r="DV188" s="89"/>
      <c r="DW188" s="89"/>
      <c r="DX188" s="89"/>
      <c r="DY188" s="89"/>
      <c r="DZ188" s="89"/>
      <c r="EA188" s="89"/>
      <c r="EB188" s="89"/>
      <c r="EC188" s="89"/>
      <c r="ED188" s="89"/>
    </row>
    <row r="189" spans="1:134" ht="11.25" customHeight="1" x14ac:dyDescent="0.2">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806" t="str">
        <f t="shared" si="494"/>
        <v>X</v>
      </c>
      <c r="AE189" s="806" t="str">
        <f t="shared" si="495"/>
        <v>X</v>
      </c>
      <c r="AF189" s="807" t="str">
        <f t="shared" si="496"/>
        <v>X</v>
      </c>
      <c r="AG189" s="805" t="str">
        <f t="shared" si="497"/>
        <v>X</v>
      </c>
      <c r="AH189" s="806" t="str">
        <f t="shared" si="498"/>
        <v>X</v>
      </c>
      <c r="AI189" s="806" t="str">
        <f t="shared" si="499"/>
        <v>X</v>
      </c>
      <c r="AJ189" s="806" t="str">
        <f t="shared" si="500"/>
        <v>X</v>
      </c>
      <c r="AK189" s="807" t="str">
        <f t="shared" si="501"/>
        <v>X</v>
      </c>
      <c r="AL189" s="805" t="str">
        <f t="shared" si="502"/>
        <v>X</v>
      </c>
      <c r="AM189" s="806" t="str">
        <f t="shared" si="503"/>
        <v>X</v>
      </c>
      <c r="AN189" s="806" t="str">
        <f t="shared" si="504"/>
        <v>X</v>
      </c>
      <c r="AO189" s="806" t="str">
        <f t="shared" si="505"/>
        <v>X</v>
      </c>
      <c r="AP189" s="807" t="str">
        <f t="shared" si="506"/>
        <v>X</v>
      </c>
      <c r="AQ189" s="805" t="str">
        <f t="shared" si="507"/>
        <v>X</v>
      </c>
      <c r="AR189" s="806" t="str">
        <f t="shared" si="508"/>
        <v>X</v>
      </c>
      <c r="AS189" s="806" t="str">
        <f t="shared" si="509"/>
        <v>X</v>
      </c>
      <c r="AT189" s="806" t="str">
        <f t="shared" si="510"/>
        <v>X</v>
      </c>
      <c r="AU189" s="807" t="str">
        <f t="shared" si="511"/>
        <v>X</v>
      </c>
      <c r="AV189" s="805" t="str">
        <f t="shared" si="512"/>
        <v>X</v>
      </c>
      <c r="AW189" s="806" t="str">
        <f t="shared" si="513"/>
        <v>X</v>
      </c>
      <c r="AX189" s="806" t="str">
        <f t="shared" si="514"/>
        <v>X</v>
      </c>
      <c r="AY189" s="806" t="str">
        <f t="shared" si="515"/>
        <v>X</v>
      </c>
      <c r="AZ189" s="807" t="str">
        <f t="shared" si="516"/>
        <v>X</v>
      </c>
      <c r="BA189" s="805" t="str">
        <f t="shared" si="517"/>
        <v>X</v>
      </c>
      <c r="BB189" s="806" t="str">
        <f t="shared" si="518"/>
        <v>X</v>
      </c>
      <c r="BC189" s="806" t="str">
        <f t="shared" si="519"/>
        <v>X</v>
      </c>
      <c r="BD189" s="806" t="str">
        <f t="shared" si="520"/>
        <v>X</v>
      </c>
      <c r="BE189" s="807" t="str">
        <f t="shared" si="521"/>
        <v>X</v>
      </c>
      <c r="BF189" s="805" t="str">
        <f t="shared" si="522"/>
        <v>X</v>
      </c>
      <c r="BG189" s="806" t="str">
        <f t="shared" si="523"/>
        <v>X</v>
      </c>
      <c r="BH189" s="806" t="str">
        <f t="shared" si="524"/>
        <v>X</v>
      </c>
      <c r="BI189" s="806" t="str">
        <f t="shared" si="525"/>
        <v>X</v>
      </c>
      <c r="BJ189" s="807" t="str">
        <f t="shared" si="526"/>
        <v>X</v>
      </c>
      <c r="BK189" s="805" t="str">
        <f t="shared" si="527"/>
        <v>X</v>
      </c>
      <c r="BL189" s="806" t="str">
        <f t="shared" si="528"/>
        <v>X</v>
      </c>
      <c r="BM189" s="806" t="str">
        <f t="shared" si="529"/>
        <v>X</v>
      </c>
      <c r="BN189" s="806" t="str">
        <f t="shared" si="530"/>
        <v>X</v>
      </c>
      <c r="BO189" s="807" t="str">
        <f t="shared" si="531"/>
        <v>X</v>
      </c>
      <c r="BP189" s="805" t="str">
        <f t="shared" si="532"/>
        <v>X</v>
      </c>
      <c r="BQ189" s="806" t="str">
        <f t="shared" si="533"/>
        <v>X</v>
      </c>
      <c r="BR189" s="806" t="str">
        <f t="shared" si="534"/>
        <v>X</v>
      </c>
      <c r="BS189" s="806" t="str">
        <f t="shared" si="535"/>
        <v>X</v>
      </c>
      <c r="BT189" s="807" t="str">
        <f t="shared" si="536"/>
        <v>X</v>
      </c>
      <c r="BU189" s="805" t="str">
        <f t="shared" si="537"/>
        <v>X</v>
      </c>
      <c r="BV189" s="806" t="str">
        <f t="shared" si="538"/>
        <v>X</v>
      </c>
      <c r="BW189" s="806" t="str">
        <f t="shared" si="539"/>
        <v>X</v>
      </c>
      <c r="BX189" s="806" t="str">
        <f t="shared" si="540"/>
        <v>X</v>
      </c>
      <c r="BY189" s="807" t="str">
        <f t="shared" si="541"/>
        <v>X</v>
      </c>
      <c r="BZ189" s="839">
        <f t="shared" si="542"/>
        <v>0</v>
      </c>
      <c r="CA189" s="840">
        <f t="shared" si="543"/>
        <v>0</v>
      </c>
      <c r="CB189" s="840">
        <f t="shared" si="544"/>
        <v>0</v>
      </c>
      <c r="CC189" s="840">
        <f t="shared" si="545"/>
        <v>0</v>
      </c>
      <c r="CD189" s="841">
        <f t="shared" si="546"/>
        <v>0</v>
      </c>
      <c r="CE189" s="89"/>
      <c r="CF189" s="89"/>
      <c r="CG189" s="89"/>
      <c r="CH189" s="89"/>
      <c r="CI189" s="89"/>
      <c r="CJ189" s="89"/>
      <c r="CK189" s="89"/>
      <c r="CL189" s="89"/>
      <c r="CM189" s="89"/>
      <c r="CN189" s="89"/>
      <c r="CO189" s="89"/>
      <c r="CP189" s="89"/>
      <c r="CQ189" s="89"/>
      <c r="CR189" s="89"/>
      <c r="CS189" s="89"/>
      <c r="CT189" s="89"/>
      <c r="CU189" s="89"/>
      <c r="CV189" s="89"/>
      <c r="CW189" s="89"/>
      <c r="CX189" s="89"/>
      <c r="CY189" s="89"/>
      <c r="CZ189" s="89"/>
      <c r="DA189" s="89"/>
      <c r="DB189" s="89"/>
      <c r="DC189" s="89"/>
      <c r="DD189" s="89"/>
      <c r="DE189" s="89"/>
      <c r="DF189" s="89"/>
      <c r="DG189" s="89"/>
      <c r="DH189" s="89"/>
      <c r="DI189" s="89"/>
      <c r="DJ189" s="89"/>
      <c r="DK189" s="89"/>
      <c r="DL189" s="89"/>
      <c r="DM189" s="89"/>
      <c r="DN189" s="89"/>
      <c r="DO189" s="89"/>
      <c r="DP189" s="89"/>
      <c r="DQ189" s="89"/>
      <c r="DR189" s="89"/>
      <c r="DS189" s="89"/>
      <c r="DT189" s="89"/>
      <c r="DU189" s="89"/>
      <c r="DV189" s="89"/>
      <c r="DW189" s="89"/>
      <c r="DX189" s="89"/>
      <c r="DY189" s="89"/>
      <c r="DZ189" s="89"/>
      <c r="EA189" s="89"/>
      <c r="EB189" s="89"/>
      <c r="EC189" s="89"/>
      <c r="ED189" s="89"/>
    </row>
    <row r="190" spans="1:134" ht="11.25" customHeight="1" x14ac:dyDescent="0.2">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806" t="str">
        <f t="shared" si="494"/>
        <v>X</v>
      </c>
      <c r="AE190" s="806" t="str">
        <f t="shared" si="495"/>
        <v>X</v>
      </c>
      <c r="AF190" s="807" t="str">
        <f t="shared" si="496"/>
        <v>X</v>
      </c>
      <c r="AG190" s="805" t="str">
        <f t="shared" si="497"/>
        <v>X</v>
      </c>
      <c r="AH190" s="806" t="str">
        <f t="shared" si="498"/>
        <v>X</v>
      </c>
      <c r="AI190" s="806" t="str">
        <f t="shared" si="499"/>
        <v>X</v>
      </c>
      <c r="AJ190" s="806" t="str">
        <f t="shared" si="500"/>
        <v>X</v>
      </c>
      <c r="AK190" s="807" t="str">
        <f t="shared" si="501"/>
        <v>X</v>
      </c>
      <c r="AL190" s="805" t="str">
        <f t="shared" si="502"/>
        <v>X</v>
      </c>
      <c r="AM190" s="806" t="str">
        <f t="shared" si="503"/>
        <v>X</v>
      </c>
      <c r="AN190" s="806" t="str">
        <f t="shared" si="504"/>
        <v>X</v>
      </c>
      <c r="AO190" s="806" t="str">
        <f t="shared" si="505"/>
        <v>X</v>
      </c>
      <c r="AP190" s="807" t="str">
        <f t="shared" si="506"/>
        <v>X</v>
      </c>
      <c r="AQ190" s="805" t="str">
        <f t="shared" si="507"/>
        <v>X</v>
      </c>
      <c r="AR190" s="806" t="str">
        <f t="shared" si="508"/>
        <v>X</v>
      </c>
      <c r="AS190" s="806" t="str">
        <f t="shared" si="509"/>
        <v>X</v>
      </c>
      <c r="AT190" s="806" t="str">
        <f t="shared" si="510"/>
        <v>X</v>
      </c>
      <c r="AU190" s="807" t="str">
        <f t="shared" si="511"/>
        <v>X</v>
      </c>
      <c r="AV190" s="805" t="str">
        <f t="shared" si="512"/>
        <v>X</v>
      </c>
      <c r="AW190" s="806" t="str">
        <f t="shared" si="513"/>
        <v>X</v>
      </c>
      <c r="AX190" s="806" t="str">
        <f t="shared" si="514"/>
        <v>X</v>
      </c>
      <c r="AY190" s="806" t="str">
        <f t="shared" si="515"/>
        <v>X</v>
      </c>
      <c r="AZ190" s="807" t="str">
        <f t="shared" si="516"/>
        <v>X</v>
      </c>
      <c r="BA190" s="805" t="str">
        <f t="shared" si="517"/>
        <v>X</v>
      </c>
      <c r="BB190" s="806" t="str">
        <f t="shared" si="518"/>
        <v>X</v>
      </c>
      <c r="BC190" s="806" t="str">
        <f t="shared" si="519"/>
        <v>X</v>
      </c>
      <c r="BD190" s="806" t="str">
        <f t="shared" si="520"/>
        <v>X</v>
      </c>
      <c r="BE190" s="807" t="str">
        <f t="shared" si="521"/>
        <v>X</v>
      </c>
      <c r="BF190" s="805" t="str">
        <f t="shared" si="522"/>
        <v>X</v>
      </c>
      <c r="BG190" s="806" t="str">
        <f t="shared" si="523"/>
        <v>X</v>
      </c>
      <c r="BH190" s="806" t="str">
        <f t="shared" si="524"/>
        <v>X</v>
      </c>
      <c r="BI190" s="806" t="str">
        <f t="shared" si="525"/>
        <v>X</v>
      </c>
      <c r="BJ190" s="807" t="str">
        <f t="shared" si="526"/>
        <v>X</v>
      </c>
      <c r="BK190" s="805" t="str">
        <f t="shared" si="527"/>
        <v>X</v>
      </c>
      <c r="BL190" s="806" t="str">
        <f t="shared" si="528"/>
        <v>X</v>
      </c>
      <c r="BM190" s="806" t="str">
        <f t="shared" si="529"/>
        <v>X</v>
      </c>
      <c r="BN190" s="806" t="str">
        <f t="shared" si="530"/>
        <v>X</v>
      </c>
      <c r="BO190" s="807" t="str">
        <f t="shared" si="531"/>
        <v>X</v>
      </c>
      <c r="BP190" s="805" t="str">
        <f t="shared" si="532"/>
        <v>X</v>
      </c>
      <c r="BQ190" s="806" t="str">
        <f t="shared" si="533"/>
        <v>X</v>
      </c>
      <c r="BR190" s="806" t="str">
        <f t="shared" si="534"/>
        <v>X</v>
      </c>
      <c r="BS190" s="806" t="str">
        <f t="shared" si="535"/>
        <v>X</v>
      </c>
      <c r="BT190" s="807" t="str">
        <f t="shared" si="536"/>
        <v>X</v>
      </c>
      <c r="BU190" s="805" t="str">
        <f t="shared" si="537"/>
        <v>X</v>
      </c>
      <c r="BV190" s="806" t="str">
        <f t="shared" si="538"/>
        <v>X</v>
      </c>
      <c r="BW190" s="806" t="str">
        <f t="shared" si="539"/>
        <v>X</v>
      </c>
      <c r="BX190" s="806" t="str">
        <f t="shared" si="540"/>
        <v>X</v>
      </c>
      <c r="BY190" s="807" t="str">
        <f t="shared" si="541"/>
        <v>X</v>
      </c>
      <c r="BZ190" s="839">
        <f t="shared" si="542"/>
        <v>0</v>
      </c>
      <c r="CA190" s="840">
        <f t="shared" si="543"/>
        <v>0</v>
      </c>
      <c r="CB190" s="840">
        <f t="shared" si="544"/>
        <v>0</v>
      </c>
      <c r="CC190" s="840">
        <f t="shared" si="545"/>
        <v>0</v>
      </c>
      <c r="CD190" s="841">
        <f t="shared" si="546"/>
        <v>0</v>
      </c>
      <c r="CE190" s="89"/>
      <c r="CF190" s="89"/>
      <c r="CG190" s="89"/>
      <c r="CH190" s="89"/>
      <c r="CI190" s="89"/>
      <c r="CJ190" s="89"/>
      <c r="CK190" s="89"/>
      <c r="CL190" s="89"/>
      <c r="CM190" s="89"/>
      <c r="CN190" s="89"/>
      <c r="CO190" s="89"/>
      <c r="CP190" s="89"/>
      <c r="CQ190" s="89"/>
      <c r="CR190" s="89"/>
      <c r="CS190" s="89"/>
      <c r="CT190" s="89"/>
      <c r="CU190" s="89"/>
      <c r="CV190" s="89"/>
      <c r="CW190" s="89"/>
      <c r="CX190" s="89"/>
      <c r="CY190" s="89"/>
      <c r="CZ190" s="89"/>
      <c r="DA190" s="89"/>
      <c r="DB190" s="89"/>
      <c r="DC190" s="89"/>
      <c r="DD190" s="89"/>
      <c r="DE190" s="89"/>
      <c r="DF190" s="89"/>
      <c r="DG190" s="89"/>
      <c r="DH190" s="89"/>
      <c r="DI190" s="89"/>
      <c r="DJ190" s="89"/>
      <c r="DK190" s="89"/>
      <c r="DL190" s="89"/>
      <c r="DM190" s="89"/>
      <c r="DN190" s="89"/>
      <c r="DO190" s="89"/>
      <c r="DP190" s="89"/>
      <c r="DQ190" s="89"/>
      <c r="DR190" s="89"/>
      <c r="DS190" s="89"/>
      <c r="DT190" s="89"/>
      <c r="DU190" s="89"/>
      <c r="DV190" s="89"/>
      <c r="DW190" s="89"/>
      <c r="DX190" s="89"/>
      <c r="DY190" s="89"/>
      <c r="DZ190" s="89"/>
      <c r="EA190" s="89"/>
      <c r="EB190" s="89"/>
      <c r="EC190" s="89"/>
      <c r="ED190" s="89"/>
    </row>
    <row r="191" spans="1:134" ht="11.25" customHeight="1" x14ac:dyDescent="0.2">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806" t="str">
        <f t="shared" si="494"/>
        <v>X</v>
      </c>
      <c r="AE191" s="806" t="str">
        <f t="shared" si="495"/>
        <v>X</v>
      </c>
      <c r="AF191" s="807" t="str">
        <f t="shared" si="496"/>
        <v>X</v>
      </c>
      <c r="AG191" s="805" t="str">
        <f t="shared" si="497"/>
        <v>X</v>
      </c>
      <c r="AH191" s="806" t="str">
        <f t="shared" si="498"/>
        <v>X</v>
      </c>
      <c r="AI191" s="806" t="str">
        <f t="shared" si="499"/>
        <v>X</v>
      </c>
      <c r="AJ191" s="806" t="str">
        <f t="shared" si="500"/>
        <v>X</v>
      </c>
      <c r="AK191" s="807" t="str">
        <f t="shared" si="501"/>
        <v>X</v>
      </c>
      <c r="AL191" s="805" t="str">
        <f t="shared" si="502"/>
        <v>X</v>
      </c>
      <c r="AM191" s="806" t="str">
        <f t="shared" si="503"/>
        <v>X</v>
      </c>
      <c r="AN191" s="806" t="str">
        <f t="shared" si="504"/>
        <v>X</v>
      </c>
      <c r="AO191" s="806" t="str">
        <f t="shared" si="505"/>
        <v>X</v>
      </c>
      <c r="AP191" s="807" t="str">
        <f t="shared" si="506"/>
        <v>X</v>
      </c>
      <c r="AQ191" s="805" t="str">
        <f t="shared" si="507"/>
        <v>X</v>
      </c>
      <c r="AR191" s="806" t="str">
        <f t="shared" si="508"/>
        <v>X</v>
      </c>
      <c r="AS191" s="806" t="str">
        <f t="shared" si="509"/>
        <v>X</v>
      </c>
      <c r="AT191" s="806" t="str">
        <f t="shared" si="510"/>
        <v>X</v>
      </c>
      <c r="AU191" s="807" t="str">
        <f t="shared" si="511"/>
        <v>X</v>
      </c>
      <c r="AV191" s="805" t="str">
        <f t="shared" si="512"/>
        <v>X</v>
      </c>
      <c r="AW191" s="806" t="str">
        <f t="shared" si="513"/>
        <v>X</v>
      </c>
      <c r="AX191" s="806" t="str">
        <f t="shared" si="514"/>
        <v>X</v>
      </c>
      <c r="AY191" s="806" t="str">
        <f t="shared" si="515"/>
        <v>X</v>
      </c>
      <c r="AZ191" s="807" t="str">
        <f t="shared" si="516"/>
        <v>X</v>
      </c>
      <c r="BA191" s="805" t="str">
        <f t="shared" si="517"/>
        <v>X</v>
      </c>
      <c r="BB191" s="806" t="str">
        <f t="shared" si="518"/>
        <v>X</v>
      </c>
      <c r="BC191" s="806" t="str">
        <f t="shared" si="519"/>
        <v>X</v>
      </c>
      <c r="BD191" s="806" t="str">
        <f t="shared" si="520"/>
        <v>X</v>
      </c>
      <c r="BE191" s="807" t="str">
        <f t="shared" si="521"/>
        <v>X</v>
      </c>
      <c r="BF191" s="805" t="str">
        <f t="shared" si="522"/>
        <v>X</v>
      </c>
      <c r="BG191" s="806" t="str">
        <f t="shared" si="523"/>
        <v>X</v>
      </c>
      <c r="BH191" s="806" t="str">
        <f t="shared" si="524"/>
        <v>X</v>
      </c>
      <c r="BI191" s="806" t="str">
        <f t="shared" si="525"/>
        <v>X</v>
      </c>
      <c r="BJ191" s="807" t="str">
        <f t="shared" si="526"/>
        <v>X</v>
      </c>
      <c r="BK191" s="805" t="str">
        <f t="shared" si="527"/>
        <v>X</v>
      </c>
      <c r="BL191" s="806" t="str">
        <f t="shared" si="528"/>
        <v>X</v>
      </c>
      <c r="BM191" s="806" t="str">
        <f t="shared" si="529"/>
        <v>X</v>
      </c>
      <c r="BN191" s="806" t="str">
        <f t="shared" si="530"/>
        <v>X</v>
      </c>
      <c r="BO191" s="807" t="str">
        <f t="shared" si="531"/>
        <v>X</v>
      </c>
      <c r="BP191" s="805" t="str">
        <f t="shared" si="532"/>
        <v>X</v>
      </c>
      <c r="BQ191" s="806" t="str">
        <f t="shared" si="533"/>
        <v>X</v>
      </c>
      <c r="BR191" s="806" t="str">
        <f t="shared" si="534"/>
        <v>X</v>
      </c>
      <c r="BS191" s="806" t="str">
        <f t="shared" si="535"/>
        <v>X</v>
      </c>
      <c r="BT191" s="807" t="str">
        <f t="shared" si="536"/>
        <v>X</v>
      </c>
      <c r="BU191" s="805" t="str">
        <f t="shared" si="537"/>
        <v>X</v>
      </c>
      <c r="BV191" s="806" t="str">
        <f t="shared" si="538"/>
        <v>X</v>
      </c>
      <c r="BW191" s="806" t="str">
        <f t="shared" si="539"/>
        <v>X</v>
      </c>
      <c r="BX191" s="806" t="str">
        <f t="shared" si="540"/>
        <v>X</v>
      </c>
      <c r="BY191" s="807" t="str">
        <f t="shared" si="541"/>
        <v>X</v>
      </c>
      <c r="BZ191" s="839">
        <f t="shared" si="542"/>
        <v>0</v>
      </c>
      <c r="CA191" s="840">
        <f t="shared" si="543"/>
        <v>0</v>
      </c>
      <c r="CB191" s="840">
        <f t="shared" si="544"/>
        <v>0</v>
      </c>
      <c r="CC191" s="840">
        <f t="shared" si="545"/>
        <v>0</v>
      </c>
      <c r="CD191" s="841">
        <f t="shared" si="546"/>
        <v>0</v>
      </c>
      <c r="CE191" s="89"/>
      <c r="CF191" s="89"/>
      <c r="CG191" s="89"/>
      <c r="CH191" s="89"/>
      <c r="CI191" s="89"/>
      <c r="CJ191" s="89"/>
      <c r="CK191" s="89"/>
      <c r="CL191" s="89"/>
      <c r="CM191" s="89"/>
      <c r="CN191" s="89"/>
      <c r="CO191" s="89"/>
      <c r="CP191" s="89"/>
      <c r="CQ191" s="89"/>
      <c r="CR191" s="89"/>
      <c r="CS191" s="89"/>
      <c r="CT191" s="89"/>
      <c r="CU191" s="89"/>
      <c r="CV191" s="89"/>
      <c r="CW191" s="89"/>
      <c r="CX191" s="89"/>
      <c r="CY191" s="89"/>
      <c r="CZ191" s="89"/>
      <c r="DA191" s="89"/>
      <c r="DB191" s="89"/>
      <c r="DC191" s="89"/>
      <c r="DD191" s="89"/>
      <c r="DE191" s="89"/>
      <c r="DF191" s="89"/>
      <c r="DG191" s="89"/>
      <c r="DH191" s="89"/>
      <c r="DI191" s="89"/>
      <c r="DJ191" s="89"/>
      <c r="DK191" s="89"/>
      <c r="DL191" s="89"/>
      <c r="DM191" s="89"/>
      <c r="DN191" s="89"/>
      <c r="DO191" s="89"/>
      <c r="DP191" s="89"/>
      <c r="DQ191" s="89"/>
      <c r="DR191" s="89"/>
      <c r="DS191" s="89"/>
      <c r="DT191" s="89"/>
      <c r="DU191" s="89"/>
      <c r="DV191" s="89"/>
      <c r="DW191" s="89"/>
      <c r="DX191" s="89"/>
      <c r="DY191" s="89"/>
      <c r="DZ191" s="89"/>
      <c r="EA191" s="89"/>
      <c r="EB191" s="89"/>
      <c r="EC191" s="89"/>
      <c r="ED191" s="89"/>
    </row>
    <row r="192" spans="1:134" ht="11.25" customHeight="1" x14ac:dyDescent="0.2">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806">
        <f t="shared" si="494"/>
        <v>0.42944038929440392</v>
      </c>
      <c r="AE192" s="806">
        <f t="shared" si="495"/>
        <v>0.44694887300714681</v>
      </c>
      <c r="AF192" s="807">
        <f t="shared" si="496"/>
        <v>0.49299593312245826</v>
      </c>
      <c r="AG192" s="805">
        <f t="shared" si="497"/>
        <v>0.40019011406844107</v>
      </c>
      <c r="AH192" s="806">
        <f t="shared" si="498"/>
        <v>0.42194744976816073</v>
      </c>
      <c r="AI192" s="806">
        <f t="shared" si="499"/>
        <v>0.37287104622871048</v>
      </c>
      <c r="AJ192" s="806">
        <f t="shared" si="500"/>
        <v>0.4310060472787246</v>
      </c>
      <c r="AK192" s="807">
        <f t="shared" si="501"/>
        <v>0.41075463172164484</v>
      </c>
      <c r="AL192" s="805" t="e">
        <f t="shared" si="502"/>
        <v>#N/A</v>
      </c>
      <c r="AM192" s="806" t="e">
        <f t="shared" si="503"/>
        <v>#N/A</v>
      </c>
      <c r="AN192" s="806">
        <f t="shared" si="504"/>
        <v>0.19768856447688565</v>
      </c>
      <c r="AO192" s="806">
        <f t="shared" si="505"/>
        <v>0.12204507971412865</v>
      </c>
      <c r="AP192" s="807">
        <f t="shared" si="506"/>
        <v>9.6249435155896984E-2</v>
      </c>
      <c r="AQ192" s="805" t="str">
        <f t="shared" si="507"/>
        <v>X</v>
      </c>
      <c r="AR192" s="806" t="str">
        <f t="shared" si="508"/>
        <v>X</v>
      </c>
      <c r="AS192" s="806" t="str">
        <f t="shared" si="509"/>
        <v>X</v>
      </c>
      <c r="AT192" s="806" t="str">
        <f t="shared" si="510"/>
        <v>X</v>
      </c>
      <c r="AU192" s="807" t="str">
        <f t="shared" si="511"/>
        <v>X</v>
      </c>
      <c r="AV192" s="805" t="str">
        <f t="shared" si="512"/>
        <v>X</v>
      </c>
      <c r="AW192" s="806" t="str">
        <f t="shared" si="513"/>
        <v>X</v>
      </c>
      <c r="AX192" s="806" t="str">
        <f t="shared" si="514"/>
        <v>X</v>
      </c>
      <c r="AY192" s="806" t="str">
        <f t="shared" si="515"/>
        <v>X</v>
      </c>
      <c r="AZ192" s="807" t="str">
        <f t="shared" si="516"/>
        <v>X</v>
      </c>
      <c r="BA192" s="805" t="str">
        <f t="shared" si="517"/>
        <v>X</v>
      </c>
      <c r="BB192" s="806" t="str">
        <f t="shared" si="518"/>
        <v>X</v>
      </c>
      <c r="BC192" s="806" t="str">
        <f t="shared" si="519"/>
        <v>X</v>
      </c>
      <c r="BD192" s="806" t="str">
        <f t="shared" si="520"/>
        <v>X</v>
      </c>
      <c r="BE192" s="807" t="str">
        <f t="shared" si="521"/>
        <v>X</v>
      </c>
      <c r="BF192" s="805" t="str">
        <f t="shared" si="522"/>
        <v>X</v>
      </c>
      <c r="BG192" s="806" t="str">
        <f t="shared" si="523"/>
        <v>X</v>
      </c>
      <c r="BH192" s="806" t="str">
        <f t="shared" si="524"/>
        <v>X</v>
      </c>
      <c r="BI192" s="806" t="str">
        <f t="shared" si="525"/>
        <v>X</v>
      </c>
      <c r="BJ192" s="807" t="str">
        <f t="shared" si="526"/>
        <v>X</v>
      </c>
      <c r="BK192" s="805" t="str">
        <f t="shared" si="527"/>
        <v>X</v>
      </c>
      <c r="BL192" s="806" t="str">
        <f t="shared" si="528"/>
        <v>X</v>
      </c>
      <c r="BM192" s="806" t="str">
        <f t="shared" si="529"/>
        <v>X</v>
      </c>
      <c r="BN192" s="806" t="str">
        <f t="shared" si="530"/>
        <v>X</v>
      </c>
      <c r="BO192" s="807" t="str">
        <f t="shared" si="531"/>
        <v>X</v>
      </c>
      <c r="BP192" s="805" t="str">
        <f t="shared" si="532"/>
        <v>X</v>
      </c>
      <c r="BQ192" s="806" t="str">
        <f t="shared" si="533"/>
        <v>X</v>
      </c>
      <c r="BR192" s="806" t="str">
        <f t="shared" si="534"/>
        <v>X</v>
      </c>
      <c r="BS192" s="806" t="str">
        <f t="shared" si="535"/>
        <v>X</v>
      </c>
      <c r="BT192" s="807" t="str">
        <f t="shared" si="536"/>
        <v>X</v>
      </c>
      <c r="BU192" s="805" t="str">
        <f t="shared" si="537"/>
        <v>X</v>
      </c>
      <c r="BV192" s="806" t="str">
        <f t="shared" si="538"/>
        <v>X</v>
      </c>
      <c r="BW192" s="806" t="str">
        <f t="shared" si="539"/>
        <v>X</v>
      </c>
      <c r="BX192" s="806" t="str">
        <f t="shared" si="540"/>
        <v>X</v>
      </c>
      <c r="BY192" s="807" t="str">
        <f t="shared" si="541"/>
        <v>X</v>
      </c>
      <c r="BZ192" s="839" t="e">
        <f t="shared" si="542"/>
        <v>#N/A</v>
      </c>
      <c r="CA192" s="840" t="e">
        <f t="shared" si="543"/>
        <v>#N/A</v>
      </c>
      <c r="CB192" s="840">
        <f t="shared" si="544"/>
        <v>1.0000000000000002</v>
      </c>
      <c r="CC192" s="840">
        <f t="shared" si="545"/>
        <v>1</v>
      </c>
      <c r="CD192" s="841">
        <f t="shared" si="546"/>
        <v>1</v>
      </c>
      <c r="CE192" s="89"/>
      <c r="CF192" s="89"/>
      <c r="CG192" s="89"/>
      <c r="CH192" s="89"/>
      <c r="CI192" s="89"/>
      <c r="CJ192" s="89"/>
      <c r="CK192" s="89"/>
      <c r="CL192" s="89"/>
      <c r="CM192" s="89"/>
      <c r="CN192" s="89"/>
      <c r="CO192" s="89"/>
      <c r="CP192" s="89"/>
      <c r="CQ192" s="89"/>
      <c r="CR192" s="89"/>
      <c r="CS192" s="89"/>
      <c r="CT192" s="89"/>
      <c r="CU192" s="89"/>
      <c r="CV192" s="89"/>
      <c r="CW192" s="89"/>
      <c r="CX192" s="89"/>
      <c r="CY192" s="89"/>
      <c r="CZ192" s="89"/>
      <c r="DA192" s="89"/>
      <c r="DB192" s="89"/>
      <c r="DC192" s="89"/>
      <c r="DD192" s="89"/>
      <c r="DE192" s="89"/>
      <c r="DF192" s="89"/>
      <c r="DG192" s="89"/>
      <c r="DH192" s="89"/>
      <c r="DI192" s="89"/>
      <c r="DJ192" s="89"/>
      <c r="DK192" s="89"/>
      <c r="DL192" s="89"/>
      <c r="DM192" s="89"/>
      <c r="DN192" s="89"/>
      <c r="DO192" s="89"/>
      <c r="DP192" s="89"/>
      <c r="DQ192" s="89"/>
      <c r="DR192" s="89"/>
      <c r="DS192" s="89"/>
      <c r="DT192" s="89"/>
      <c r="DU192" s="89"/>
      <c r="DV192" s="89"/>
      <c r="DW192" s="89"/>
      <c r="DX192" s="89"/>
      <c r="DY192" s="89"/>
      <c r="DZ192" s="89"/>
      <c r="EA192" s="89"/>
      <c r="EB192" s="89"/>
      <c r="EC192" s="89"/>
      <c r="ED192" s="89"/>
    </row>
    <row r="193" spans="1:134" ht="11.25" customHeight="1" x14ac:dyDescent="0.2">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806">
        <f t="shared" si="494"/>
        <v>0.35888399412628491</v>
      </c>
      <c r="AE193" s="806">
        <f t="shared" si="495"/>
        <v>0.35944976076555024</v>
      </c>
      <c r="AF193" s="807">
        <f t="shared" si="496"/>
        <v>0.32726150046310593</v>
      </c>
      <c r="AG193" s="805">
        <f t="shared" si="497"/>
        <v>0.32913644450526891</v>
      </c>
      <c r="AH193" s="806">
        <f t="shared" si="498"/>
        <v>0.45329830706363106</v>
      </c>
      <c r="AI193" s="806">
        <f t="shared" si="499"/>
        <v>0.44140969162995591</v>
      </c>
      <c r="AJ193" s="806">
        <f t="shared" si="500"/>
        <v>0.41686602870813394</v>
      </c>
      <c r="AK193" s="807">
        <f t="shared" si="501"/>
        <v>0.37017598024081505</v>
      </c>
      <c r="AL193" s="805">
        <f t="shared" si="502"/>
        <v>0.36157109620911454</v>
      </c>
      <c r="AM193" s="806">
        <f t="shared" si="503"/>
        <v>0.17717454757734968</v>
      </c>
      <c r="AN193" s="806">
        <f t="shared" si="504"/>
        <v>0.19970631424375918</v>
      </c>
      <c r="AO193" s="806">
        <f t="shared" si="505"/>
        <v>0.22368421052631579</v>
      </c>
      <c r="AP193" s="807">
        <f t="shared" si="506"/>
        <v>0.30256251929607902</v>
      </c>
      <c r="AQ193" s="805" t="str">
        <f t="shared" si="507"/>
        <v>X</v>
      </c>
      <c r="AR193" s="806" t="str">
        <f t="shared" si="508"/>
        <v>X</v>
      </c>
      <c r="AS193" s="806" t="str">
        <f t="shared" si="509"/>
        <v>X</v>
      </c>
      <c r="AT193" s="806" t="str">
        <f t="shared" si="510"/>
        <v>X</v>
      </c>
      <c r="AU193" s="807" t="str">
        <f t="shared" si="511"/>
        <v>X</v>
      </c>
      <c r="AV193" s="805" t="str">
        <f t="shared" si="512"/>
        <v>X</v>
      </c>
      <c r="AW193" s="806" t="str">
        <f t="shared" si="513"/>
        <v>X</v>
      </c>
      <c r="AX193" s="806" t="str">
        <f t="shared" si="514"/>
        <v>X</v>
      </c>
      <c r="AY193" s="806" t="str">
        <f t="shared" si="515"/>
        <v>X</v>
      </c>
      <c r="AZ193" s="807" t="str">
        <f t="shared" si="516"/>
        <v>X</v>
      </c>
      <c r="BA193" s="805" t="str">
        <f t="shared" si="517"/>
        <v>X</v>
      </c>
      <c r="BB193" s="806" t="str">
        <f t="shared" si="518"/>
        <v>X</v>
      </c>
      <c r="BC193" s="806" t="str">
        <f t="shared" si="519"/>
        <v>X</v>
      </c>
      <c r="BD193" s="806" t="str">
        <f t="shared" si="520"/>
        <v>X</v>
      </c>
      <c r="BE193" s="807" t="str">
        <f t="shared" si="521"/>
        <v>X</v>
      </c>
      <c r="BF193" s="805" t="str">
        <f t="shared" si="522"/>
        <v>X</v>
      </c>
      <c r="BG193" s="806" t="str">
        <f t="shared" si="523"/>
        <v>X</v>
      </c>
      <c r="BH193" s="806" t="str">
        <f t="shared" si="524"/>
        <v>X</v>
      </c>
      <c r="BI193" s="806" t="str">
        <f t="shared" si="525"/>
        <v>X</v>
      </c>
      <c r="BJ193" s="807" t="str">
        <f t="shared" si="526"/>
        <v>X</v>
      </c>
      <c r="BK193" s="805" t="str">
        <f t="shared" si="527"/>
        <v>X</v>
      </c>
      <c r="BL193" s="806" t="str">
        <f t="shared" si="528"/>
        <v>X</v>
      </c>
      <c r="BM193" s="806" t="str">
        <f t="shared" si="529"/>
        <v>X</v>
      </c>
      <c r="BN193" s="806" t="str">
        <f t="shared" si="530"/>
        <v>X</v>
      </c>
      <c r="BO193" s="807" t="str">
        <f t="shared" si="531"/>
        <v>X</v>
      </c>
      <c r="BP193" s="805" t="str">
        <f t="shared" si="532"/>
        <v>X</v>
      </c>
      <c r="BQ193" s="806" t="str">
        <f t="shared" si="533"/>
        <v>X</v>
      </c>
      <c r="BR193" s="806" t="str">
        <f t="shared" si="534"/>
        <v>X</v>
      </c>
      <c r="BS193" s="806" t="str">
        <f t="shared" si="535"/>
        <v>X</v>
      </c>
      <c r="BT193" s="807" t="str">
        <f t="shared" si="536"/>
        <v>X</v>
      </c>
      <c r="BU193" s="805" t="str">
        <f t="shared" si="537"/>
        <v>X</v>
      </c>
      <c r="BV193" s="806" t="str">
        <f t="shared" si="538"/>
        <v>X</v>
      </c>
      <c r="BW193" s="806" t="str">
        <f t="shared" si="539"/>
        <v>X</v>
      </c>
      <c r="BX193" s="806" t="str">
        <f t="shared" si="540"/>
        <v>X</v>
      </c>
      <c r="BY193" s="807" t="str">
        <f t="shared" si="541"/>
        <v>X</v>
      </c>
      <c r="BZ193" s="839">
        <f t="shared" si="542"/>
        <v>0.937867798001916</v>
      </c>
      <c r="CA193" s="840">
        <f t="shared" si="543"/>
        <v>0.94775248102743725</v>
      </c>
      <c r="CB193" s="840">
        <f t="shared" si="544"/>
        <v>1</v>
      </c>
      <c r="CC193" s="840">
        <f t="shared" si="545"/>
        <v>1</v>
      </c>
      <c r="CD193" s="841">
        <f t="shared" si="546"/>
        <v>1</v>
      </c>
      <c r="CE193" s="89"/>
      <c r="CF193" s="89"/>
      <c r="CG193" s="89"/>
      <c r="CH193" s="89"/>
      <c r="CI193" s="89"/>
      <c r="CJ193" s="89"/>
      <c r="CK193" s="89"/>
      <c r="CL193" s="89"/>
      <c r="CM193" s="89"/>
      <c r="CN193" s="89"/>
      <c r="CO193" s="89"/>
      <c r="CP193" s="89"/>
      <c r="CQ193" s="89"/>
      <c r="CR193" s="89"/>
      <c r="CS193" s="89"/>
      <c r="CT193" s="89"/>
      <c r="CU193" s="89"/>
      <c r="CV193" s="89"/>
      <c r="CW193" s="89"/>
      <c r="CX193" s="89"/>
      <c r="CY193" s="89"/>
      <c r="CZ193" s="89"/>
      <c r="DA193" s="89"/>
      <c r="DB193" s="89"/>
      <c r="DC193" s="89"/>
      <c r="DD193" s="89"/>
      <c r="DE193" s="89"/>
      <c r="DF193" s="89"/>
      <c r="DG193" s="89"/>
      <c r="DH193" s="89"/>
      <c r="DI193" s="89"/>
      <c r="DJ193" s="89"/>
      <c r="DK193" s="89"/>
      <c r="DL193" s="89"/>
      <c r="DM193" s="89"/>
      <c r="DN193" s="89"/>
      <c r="DO193" s="89"/>
      <c r="DP193" s="89"/>
      <c r="DQ193" s="89"/>
      <c r="DR193" s="89"/>
      <c r="DS193" s="89"/>
      <c r="DT193" s="89"/>
      <c r="DU193" s="89"/>
      <c r="DV193" s="89"/>
      <c r="DW193" s="89"/>
      <c r="DX193" s="89"/>
      <c r="DY193" s="89"/>
      <c r="DZ193" s="89"/>
      <c r="EA193" s="89"/>
      <c r="EB193" s="89"/>
      <c r="EC193" s="89"/>
      <c r="ED193" s="89"/>
    </row>
    <row r="194" spans="1:134" ht="11.25" customHeight="1" x14ac:dyDescent="0.2">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806">
        <f t="shared" si="494"/>
        <v>0.51651455888744024</v>
      </c>
      <c r="AE194" s="806">
        <f t="shared" si="495"/>
        <v>0.44480990616232946</v>
      </c>
      <c r="AF194" s="807">
        <f t="shared" si="496"/>
        <v>0.44175392670157065</v>
      </c>
      <c r="AG194" s="805">
        <f t="shared" si="497"/>
        <v>0.46324819652953791</v>
      </c>
      <c r="AH194" s="806">
        <f t="shared" si="498"/>
        <v>0.40801272779866937</v>
      </c>
      <c r="AI194" s="806">
        <f t="shared" si="499"/>
        <v>0.38581051716644937</v>
      </c>
      <c r="AJ194" s="806">
        <f t="shared" si="500"/>
        <v>0.43794137564090163</v>
      </c>
      <c r="AK194" s="807">
        <f t="shared" si="501"/>
        <v>0.45523560209424085</v>
      </c>
      <c r="AL194" s="805">
        <f t="shared" si="502"/>
        <v>0.10586859036849289</v>
      </c>
      <c r="AM194" s="806" t="e">
        <f t="shared" si="503"/>
        <v>#N/A</v>
      </c>
      <c r="AN194" s="806">
        <f t="shared" si="504"/>
        <v>9.7674923946110381E-2</v>
      </c>
      <c r="AO194" s="806">
        <f t="shared" si="505"/>
        <v>0.11724871819676888</v>
      </c>
      <c r="AP194" s="807">
        <f t="shared" si="506"/>
        <v>0.10301047120418848</v>
      </c>
      <c r="AQ194" s="805" t="str">
        <f t="shared" si="507"/>
        <v>X</v>
      </c>
      <c r="AR194" s="806" t="str">
        <f t="shared" si="508"/>
        <v>X</v>
      </c>
      <c r="AS194" s="806" t="str">
        <f t="shared" si="509"/>
        <v>X</v>
      </c>
      <c r="AT194" s="806" t="str">
        <f t="shared" si="510"/>
        <v>X</v>
      </c>
      <c r="AU194" s="807" t="str">
        <f t="shared" si="511"/>
        <v>X</v>
      </c>
      <c r="AV194" s="805" t="str">
        <f t="shared" si="512"/>
        <v>X</v>
      </c>
      <c r="AW194" s="806" t="str">
        <f t="shared" si="513"/>
        <v>X</v>
      </c>
      <c r="AX194" s="806" t="str">
        <f t="shared" si="514"/>
        <v>X</v>
      </c>
      <c r="AY194" s="806" t="str">
        <f t="shared" si="515"/>
        <v>X</v>
      </c>
      <c r="AZ194" s="807" t="str">
        <f t="shared" si="516"/>
        <v>X</v>
      </c>
      <c r="BA194" s="805" t="str">
        <f t="shared" si="517"/>
        <v>X</v>
      </c>
      <c r="BB194" s="806" t="str">
        <f t="shared" si="518"/>
        <v>X</v>
      </c>
      <c r="BC194" s="806" t="str">
        <f t="shared" si="519"/>
        <v>X</v>
      </c>
      <c r="BD194" s="806" t="str">
        <f t="shared" si="520"/>
        <v>X</v>
      </c>
      <c r="BE194" s="807" t="str">
        <f t="shared" si="521"/>
        <v>X</v>
      </c>
      <c r="BF194" s="805" t="str">
        <f t="shared" si="522"/>
        <v>X</v>
      </c>
      <c r="BG194" s="806" t="str">
        <f t="shared" si="523"/>
        <v>X</v>
      </c>
      <c r="BH194" s="806" t="str">
        <f t="shared" si="524"/>
        <v>X</v>
      </c>
      <c r="BI194" s="806" t="str">
        <f t="shared" si="525"/>
        <v>X</v>
      </c>
      <c r="BJ194" s="807" t="str">
        <f t="shared" si="526"/>
        <v>X</v>
      </c>
      <c r="BK194" s="805" t="str">
        <f t="shared" si="527"/>
        <v>X</v>
      </c>
      <c r="BL194" s="806" t="str">
        <f t="shared" si="528"/>
        <v>X</v>
      </c>
      <c r="BM194" s="806" t="str">
        <f t="shared" si="529"/>
        <v>X</v>
      </c>
      <c r="BN194" s="806" t="str">
        <f t="shared" si="530"/>
        <v>X</v>
      </c>
      <c r="BO194" s="807" t="str">
        <f t="shared" si="531"/>
        <v>X</v>
      </c>
      <c r="BP194" s="805" t="str">
        <f t="shared" si="532"/>
        <v>X</v>
      </c>
      <c r="BQ194" s="806" t="str">
        <f t="shared" si="533"/>
        <v>X</v>
      </c>
      <c r="BR194" s="806" t="str">
        <f t="shared" si="534"/>
        <v>X</v>
      </c>
      <c r="BS194" s="806" t="str">
        <f t="shared" si="535"/>
        <v>X</v>
      </c>
      <c r="BT194" s="807" t="str">
        <f t="shared" si="536"/>
        <v>X</v>
      </c>
      <c r="BU194" s="805" t="str">
        <f t="shared" si="537"/>
        <v>X</v>
      </c>
      <c r="BV194" s="806" t="str">
        <f t="shared" si="538"/>
        <v>X</v>
      </c>
      <c r="BW194" s="806" t="str">
        <f t="shared" si="539"/>
        <v>X</v>
      </c>
      <c r="BX194" s="806" t="str">
        <f t="shared" si="540"/>
        <v>X</v>
      </c>
      <c r="BY194" s="807" t="str">
        <f t="shared" si="541"/>
        <v>X</v>
      </c>
      <c r="BZ194" s="839">
        <f t="shared" si="542"/>
        <v>0.905829596412556</v>
      </c>
      <c r="CA194" s="840" t="e">
        <f t="shared" si="543"/>
        <v>#N/A</v>
      </c>
      <c r="CB194" s="840">
        <f t="shared" si="544"/>
        <v>1</v>
      </c>
      <c r="CC194" s="840">
        <f t="shared" si="545"/>
        <v>1</v>
      </c>
      <c r="CD194" s="841">
        <f t="shared" si="546"/>
        <v>1</v>
      </c>
      <c r="CE194" s="89"/>
      <c r="CF194" s="89"/>
      <c r="CG194" s="89"/>
      <c r="CH194" s="89"/>
      <c r="CI194" s="89"/>
      <c r="CJ194" s="89"/>
      <c r="CK194" s="89"/>
      <c r="CL194" s="89"/>
      <c r="CM194" s="89"/>
      <c r="CN194" s="89"/>
      <c r="CO194" s="89"/>
      <c r="CP194" s="89"/>
      <c r="CQ194" s="89"/>
      <c r="CR194" s="89"/>
      <c r="CS194" s="89"/>
      <c r="CT194" s="89"/>
      <c r="CU194" s="89"/>
      <c r="CV194" s="89"/>
      <c r="CW194" s="89"/>
      <c r="CX194" s="89"/>
      <c r="CY194" s="89"/>
      <c r="CZ194" s="89"/>
      <c r="DA194" s="89"/>
      <c r="DB194" s="89"/>
      <c r="DC194" s="89"/>
      <c r="DD194" s="89"/>
      <c r="DE194" s="89"/>
      <c r="DF194" s="89"/>
      <c r="DG194" s="89"/>
      <c r="DH194" s="89"/>
      <c r="DI194" s="89"/>
      <c r="DJ194" s="89"/>
      <c r="DK194" s="89"/>
      <c r="DL194" s="89"/>
      <c r="DM194" s="89"/>
      <c r="DN194" s="89"/>
      <c r="DO194" s="89"/>
      <c r="DP194" s="89"/>
      <c r="DQ194" s="89"/>
      <c r="DR194" s="89"/>
      <c r="DS194" s="89"/>
      <c r="DT194" s="89"/>
      <c r="DU194" s="89"/>
      <c r="DV194" s="89"/>
      <c r="DW194" s="89"/>
      <c r="DX194" s="89"/>
      <c r="DY194" s="89"/>
      <c r="DZ194" s="89"/>
      <c r="EA194" s="89"/>
      <c r="EB194" s="89"/>
      <c r="EC194" s="89"/>
      <c r="ED194" s="89"/>
    </row>
    <row r="195" spans="1:134" ht="11.25" customHeight="1" x14ac:dyDescent="0.2">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806">
        <f t="shared" si="494"/>
        <v>0.37513601741022851</v>
      </c>
      <c r="AE195" s="806">
        <f t="shared" si="495"/>
        <v>0.41012136478131439</v>
      </c>
      <c r="AF195" s="807">
        <f t="shared" si="496"/>
        <v>0.42224797219003479</v>
      </c>
      <c r="AG195" s="805">
        <f t="shared" si="497"/>
        <v>0.37869674185463664</v>
      </c>
      <c r="AH195" s="806">
        <f t="shared" si="498"/>
        <v>0.26641651031894936</v>
      </c>
      <c r="AI195" s="806">
        <f t="shared" si="499"/>
        <v>0.50435255712731231</v>
      </c>
      <c r="AJ195" s="806">
        <f t="shared" si="500"/>
        <v>0.44927868101671625</v>
      </c>
      <c r="AK195" s="807">
        <f t="shared" si="501"/>
        <v>0.42966396292004638</v>
      </c>
      <c r="AL195" s="805">
        <f t="shared" si="502"/>
        <v>0.32606516290726817</v>
      </c>
      <c r="AM195" s="806">
        <f t="shared" si="503"/>
        <v>0.53752345215759845</v>
      </c>
      <c r="AN195" s="806">
        <f t="shared" si="504"/>
        <v>0.1205114254624592</v>
      </c>
      <c r="AO195" s="806">
        <f t="shared" si="505"/>
        <v>0.1405999542019693</v>
      </c>
      <c r="AP195" s="807">
        <f t="shared" si="506"/>
        <v>0.14808806488991888</v>
      </c>
      <c r="AQ195" s="805" t="str">
        <f t="shared" si="507"/>
        <v>X</v>
      </c>
      <c r="AR195" s="806" t="str">
        <f t="shared" si="508"/>
        <v>X</v>
      </c>
      <c r="AS195" s="806" t="str">
        <f t="shared" si="509"/>
        <v>X</v>
      </c>
      <c r="AT195" s="806" t="str">
        <f t="shared" si="510"/>
        <v>X</v>
      </c>
      <c r="AU195" s="807" t="str">
        <f t="shared" si="511"/>
        <v>X</v>
      </c>
      <c r="AV195" s="805" t="str">
        <f t="shared" si="512"/>
        <v>X</v>
      </c>
      <c r="AW195" s="806" t="str">
        <f t="shared" si="513"/>
        <v>X</v>
      </c>
      <c r="AX195" s="806" t="str">
        <f t="shared" si="514"/>
        <v>X</v>
      </c>
      <c r="AY195" s="806" t="str">
        <f t="shared" si="515"/>
        <v>X</v>
      </c>
      <c r="AZ195" s="807" t="str">
        <f t="shared" si="516"/>
        <v>X</v>
      </c>
      <c r="BA195" s="805" t="str">
        <f t="shared" si="517"/>
        <v>X</v>
      </c>
      <c r="BB195" s="806" t="str">
        <f t="shared" si="518"/>
        <v>X</v>
      </c>
      <c r="BC195" s="806" t="str">
        <f t="shared" si="519"/>
        <v>X</v>
      </c>
      <c r="BD195" s="806" t="str">
        <f t="shared" si="520"/>
        <v>X</v>
      </c>
      <c r="BE195" s="807" t="str">
        <f t="shared" si="521"/>
        <v>X</v>
      </c>
      <c r="BF195" s="805" t="str">
        <f t="shared" si="522"/>
        <v>X</v>
      </c>
      <c r="BG195" s="806" t="str">
        <f t="shared" si="523"/>
        <v>X</v>
      </c>
      <c r="BH195" s="806" t="str">
        <f t="shared" si="524"/>
        <v>X</v>
      </c>
      <c r="BI195" s="806" t="str">
        <f t="shared" si="525"/>
        <v>X</v>
      </c>
      <c r="BJ195" s="807" t="str">
        <f t="shared" si="526"/>
        <v>X</v>
      </c>
      <c r="BK195" s="805" t="str">
        <f t="shared" si="527"/>
        <v>X</v>
      </c>
      <c r="BL195" s="806" t="str">
        <f t="shared" si="528"/>
        <v>X</v>
      </c>
      <c r="BM195" s="806" t="str">
        <f t="shared" si="529"/>
        <v>X</v>
      </c>
      <c r="BN195" s="806" t="str">
        <f t="shared" si="530"/>
        <v>X</v>
      </c>
      <c r="BO195" s="807" t="str">
        <f t="shared" si="531"/>
        <v>X</v>
      </c>
      <c r="BP195" s="805" t="str">
        <f t="shared" si="532"/>
        <v>X</v>
      </c>
      <c r="BQ195" s="806" t="str">
        <f t="shared" si="533"/>
        <v>X</v>
      </c>
      <c r="BR195" s="806" t="str">
        <f t="shared" si="534"/>
        <v>X</v>
      </c>
      <c r="BS195" s="806" t="str">
        <f t="shared" si="535"/>
        <v>X</v>
      </c>
      <c r="BT195" s="807" t="str">
        <f t="shared" si="536"/>
        <v>X</v>
      </c>
      <c r="BU195" s="805" t="str">
        <f t="shared" si="537"/>
        <v>X</v>
      </c>
      <c r="BV195" s="806" t="str">
        <f t="shared" si="538"/>
        <v>X</v>
      </c>
      <c r="BW195" s="806" t="str">
        <f t="shared" si="539"/>
        <v>X</v>
      </c>
      <c r="BX195" s="806" t="str">
        <f t="shared" si="540"/>
        <v>X</v>
      </c>
      <c r="BY195" s="807" t="str">
        <f t="shared" si="541"/>
        <v>X</v>
      </c>
      <c r="BZ195" s="839">
        <f t="shared" si="542"/>
        <v>0.92305764411027569</v>
      </c>
      <c r="CA195" s="840">
        <f t="shared" si="543"/>
        <v>0.95090681676047528</v>
      </c>
      <c r="CB195" s="840">
        <f t="shared" si="544"/>
        <v>1</v>
      </c>
      <c r="CC195" s="840">
        <f t="shared" si="545"/>
        <v>1</v>
      </c>
      <c r="CD195" s="841">
        <f t="shared" si="546"/>
        <v>1</v>
      </c>
      <c r="CE195" s="89"/>
      <c r="CF195" s="89"/>
      <c r="CG195" s="89"/>
      <c r="CH195" s="89"/>
      <c r="CI195" s="89"/>
      <c r="CJ195" s="89"/>
      <c r="CK195" s="89"/>
      <c r="CL195" s="89"/>
      <c r="CM195" s="89"/>
      <c r="CN195" s="89"/>
      <c r="CO195" s="89"/>
      <c r="CP195" s="89"/>
      <c r="CQ195" s="89"/>
      <c r="CR195" s="89"/>
      <c r="CS195" s="89"/>
      <c r="CT195" s="89"/>
      <c r="CU195" s="89"/>
      <c r="CV195" s="89"/>
      <c r="CW195" s="89"/>
      <c r="CX195" s="89"/>
      <c r="CY195" s="89"/>
      <c r="CZ195" s="89"/>
      <c r="DA195" s="89"/>
      <c r="DB195" s="89"/>
      <c r="DC195" s="89"/>
      <c r="DD195" s="89"/>
      <c r="DE195" s="89"/>
      <c r="DF195" s="89"/>
      <c r="DG195" s="89"/>
      <c r="DH195" s="89"/>
      <c r="DI195" s="89"/>
      <c r="DJ195" s="89"/>
      <c r="DK195" s="89"/>
      <c r="DL195" s="89"/>
      <c r="DM195" s="89"/>
      <c r="DN195" s="89"/>
      <c r="DO195" s="89"/>
      <c r="DP195" s="89"/>
      <c r="DQ195" s="89"/>
      <c r="DR195" s="89"/>
      <c r="DS195" s="89"/>
      <c r="DT195" s="89"/>
      <c r="DU195" s="89"/>
      <c r="DV195" s="89"/>
      <c r="DW195" s="89"/>
      <c r="DX195" s="89"/>
      <c r="DY195" s="89"/>
      <c r="DZ195" s="89"/>
      <c r="EA195" s="89"/>
      <c r="EB195" s="89"/>
      <c r="EC195" s="89"/>
      <c r="ED195" s="89"/>
    </row>
    <row r="196" spans="1:134" ht="11.25" customHeight="1" x14ac:dyDescent="0.2">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806">
        <f t="shared" si="494"/>
        <v>0.49189606380241829</v>
      </c>
      <c r="AE196" s="806">
        <f t="shared" si="495"/>
        <v>0.49308098045299409</v>
      </c>
      <c r="AF196" s="807">
        <f t="shared" si="496"/>
        <v>0.51594489269443988</v>
      </c>
      <c r="AG196" s="805">
        <f t="shared" si="497"/>
        <v>0.37470499243570343</v>
      </c>
      <c r="AH196" s="806">
        <f t="shared" si="498"/>
        <v>0.3565342613704548</v>
      </c>
      <c r="AI196" s="806">
        <f t="shared" si="499"/>
        <v>0.35842552096732699</v>
      </c>
      <c r="AJ196" s="806">
        <f t="shared" si="500"/>
        <v>0.36028544834005582</v>
      </c>
      <c r="AK196" s="807">
        <f t="shared" si="501"/>
        <v>0.34140183325100171</v>
      </c>
      <c r="AL196" s="805" t="e">
        <f t="shared" si="502"/>
        <v>#N/A</v>
      </c>
      <c r="AM196" s="806">
        <f t="shared" si="503"/>
        <v>0.1389055562222489</v>
      </c>
      <c r="AN196" s="806">
        <f t="shared" si="504"/>
        <v>0.14967841523025471</v>
      </c>
      <c r="AO196" s="806">
        <f t="shared" si="505"/>
        <v>0.14663357120695003</v>
      </c>
      <c r="AP196" s="807">
        <f t="shared" si="506"/>
        <v>0.14265327405455844</v>
      </c>
      <c r="AQ196" s="805" t="str">
        <f t="shared" si="507"/>
        <v>X</v>
      </c>
      <c r="AR196" s="806" t="str">
        <f t="shared" si="508"/>
        <v>X</v>
      </c>
      <c r="AS196" s="806" t="str">
        <f t="shared" si="509"/>
        <v>X</v>
      </c>
      <c r="AT196" s="806" t="str">
        <f t="shared" si="510"/>
        <v>X</v>
      </c>
      <c r="AU196" s="807" t="str">
        <f t="shared" si="511"/>
        <v>X</v>
      </c>
      <c r="AV196" s="805" t="str">
        <f t="shared" si="512"/>
        <v>X</v>
      </c>
      <c r="AW196" s="806" t="str">
        <f t="shared" si="513"/>
        <v>X</v>
      </c>
      <c r="AX196" s="806" t="str">
        <f t="shared" si="514"/>
        <v>X</v>
      </c>
      <c r="AY196" s="806" t="str">
        <f t="shared" si="515"/>
        <v>X</v>
      </c>
      <c r="AZ196" s="807" t="str">
        <f t="shared" si="516"/>
        <v>X</v>
      </c>
      <c r="BA196" s="805" t="str">
        <f t="shared" si="517"/>
        <v>X</v>
      </c>
      <c r="BB196" s="806" t="str">
        <f t="shared" si="518"/>
        <v>X</v>
      </c>
      <c r="BC196" s="806" t="str">
        <f t="shared" si="519"/>
        <v>X</v>
      </c>
      <c r="BD196" s="806" t="str">
        <f t="shared" si="520"/>
        <v>X</v>
      </c>
      <c r="BE196" s="807" t="str">
        <f t="shared" si="521"/>
        <v>X</v>
      </c>
      <c r="BF196" s="805" t="str">
        <f t="shared" si="522"/>
        <v>X</v>
      </c>
      <c r="BG196" s="806" t="str">
        <f t="shared" si="523"/>
        <v>X</v>
      </c>
      <c r="BH196" s="806" t="str">
        <f t="shared" si="524"/>
        <v>X</v>
      </c>
      <c r="BI196" s="806" t="str">
        <f t="shared" si="525"/>
        <v>X</v>
      </c>
      <c r="BJ196" s="807" t="str">
        <f t="shared" si="526"/>
        <v>X</v>
      </c>
      <c r="BK196" s="805" t="str">
        <f t="shared" si="527"/>
        <v>X</v>
      </c>
      <c r="BL196" s="806" t="str">
        <f t="shared" si="528"/>
        <v>X</v>
      </c>
      <c r="BM196" s="806" t="str">
        <f t="shared" si="529"/>
        <v>X</v>
      </c>
      <c r="BN196" s="806" t="str">
        <f t="shared" si="530"/>
        <v>X</v>
      </c>
      <c r="BO196" s="807" t="str">
        <f t="shared" si="531"/>
        <v>X</v>
      </c>
      <c r="BP196" s="805" t="str">
        <f t="shared" si="532"/>
        <v>X</v>
      </c>
      <c r="BQ196" s="806" t="str">
        <f t="shared" si="533"/>
        <v>X</v>
      </c>
      <c r="BR196" s="806" t="str">
        <f t="shared" si="534"/>
        <v>X</v>
      </c>
      <c r="BS196" s="806" t="str">
        <f t="shared" si="535"/>
        <v>X</v>
      </c>
      <c r="BT196" s="807" t="str">
        <f t="shared" si="536"/>
        <v>X</v>
      </c>
      <c r="BU196" s="805" t="str">
        <f t="shared" si="537"/>
        <v>X</v>
      </c>
      <c r="BV196" s="806" t="str">
        <f t="shared" si="538"/>
        <v>X</v>
      </c>
      <c r="BW196" s="806" t="str">
        <f t="shared" si="539"/>
        <v>X</v>
      </c>
      <c r="BX196" s="806" t="str">
        <f t="shared" si="540"/>
        <v>X</v>
      </c>
      <c r="BY196" s="807" t="str">
        <f t="shared" si="541"/>
        <v>X</v>
      </c>
      <c r="BZ196" s="839" t="e">
        <f t="shared" si="542"/>
        <v>#N/A</v>
      </c>
      <c r="CA196" s="840">
        <f t="shared" si="543"/>
        <v>0.88989559582383304</v>
      </c>
      <c r="CB196" s="840">
        <f t="shared" si="544"/>
        <v>1</v>
      </c>
      <c r="CC196" s="840">
        <f t="shared" si="545"/>
        <v>1</v>
      </c>
      <c r="CD196" s="841">
        <f t="shared" si="546"/>
        <v>1</v>
      </c>
      <c r="CE196" s="89"/>
      <c r="CF196" s="89"/>
      <c r="CG196" s="89"/>
      <c r="CH196" s="89"/>
      <c r="CI196" s="89"/>
      <c r="CJ196" s="89"/>
      <c r="CK196" s="89"/>
      <c r="CL196" s="89"/>
      <c r="CM196" s="89"/>
      <c r="CN196" s="89"/>
      <c r="CO196" s="89"/>
      <c r="CP196" s="89"/>
      <c r="CQ196" s="89"/>
      <c r="CR196" s="89"/>
      <c r="CS196" s="89"/>
      <c r="CT196" s="89"/>
      <c r="CU196" s="89"/>
      <c r="CV196" s="89"/>
      <c r="CW196" s="89"/>
      <c r="CX196" s="89"/>
      <c r="CY196" s="89"/>
      <c r="CZ196" s="89"/>
      <c r="DA196" s="89"/>
      <c r="DB196" s="89"/>
      <c r="DC196" s="89"/>
      <c r="DD196" s="89"/>
      <c r="DE196" s="89"/>
      <c r="DF196" s="89"/>
      <c r="DG196" s="89"/>
      <c r="DH196" s="89"/>
      <c r="DI196" s="89"/>
      <c r="DJ196" s="89"/>
      <c r="DK196" s="89"/>
      <c r="DL196" s="89"/>
      <c r="DM196" s="89"/>
      <c r="DN196" s="89"/>
      <c r="DO196" s="89"/>
      <c r="DP196" s="89"/>
      <c r="DQ196" s="89"/>
      <c r="DR196" s="89"/>
      <c r="DS196" s="89"/>
      <c r="DT196" s="89"/>
      <c r="DU196" s="89"/>
      <c r="DV196" s="89"/>
      <c r="DW196" s="89"/>
      <c r="DX196" s="89"/>
      <c r="DY196" s="89"/>
      <c r="DZ196" s="89"/>
      <c r="EA196" s="89"/>
      <c r="EB196" s="89"/>
      <c r="EC196" s="89"/>
      <c r="ED196" s="89"/>
    </row>
    <row r="197" spans="1:134" ht="11.25" customHeight="1" x14ac:dyDescent="0.2">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806">
        <f t="shared" si="494"/>
        <v>0.48717948717948717</v>
      </c>
      <c r="AE197" s="806">
        <f t="shared" si="495"/>
        <v>0.54159132007233268</v>
      </c>
      <c r="AF197" s="807">
        <f t="shared" si="496"/>
        <v>0.49154691462383771</v>
      </c>
      <c r="AG197" s="805">
        <f t="shared" si="497"/>
        <v>0.368824531516184</v>
      </c>
      <c r="AH197" s="806">
        <f t="shared" si="498"/>
        <v>0.34323984930933443</v>
      </c>
      <c r="AI197" s="806">
        <f t="shared" si="499"/>
        <v>0.38155376961347109</v>
      </c>
      <c r="AJ197" s="806">
        <f t="shared" si="500"/>
        <v>0.33589511754068718</v>
      </c>
      <c r="AK197" s="807">
        <f t="shared" si="501"/>
        <v>0.33051563820794588</v>
      </c>
      <c r="AL197" s="805" t="e">
        <f t="shared" si="502"/>
        <v>#N/A</v>
      </c>
      <c r="AM197" s="806">
        <f t="shared" si="503"/>
        <v>0.14985349518627039</v>
      </c>
      <c r="AN197" s="806">
        <f t="shared" si="504"/>
        <v>0.13126674320704171</v>
      </c>
      <c r="AO197" s="806">
        <f t="shared" si="505"/>
        <v>0.12251356238698011</v>
      </c>
      <c r="AP197" s="807">
        <f t="shared" si="506"/>
        <v>0.17793744716821641</v>
      </c>
      <c r="AQ197" s="805" t="str">
        <f t="shared" si="507"/>
        <v>X</v>
      </c>
      <c r="AR197" s="806" t="str">
        <f t="shared" si="508"/>
        <v>X</v>
      </c>
      <c r="AS197" s="806" t="str">
        <f t="shared" si="509"/>
        <v>X</v>
      </c>
      <c r="AT197" s="806" t="str">
        <f t="shared" si="510"/>
        <v>X</v>
      </c>
      <c r="AU197" s="807" t="str">
        <f t="shared" si="511"/>
        <v>X</v>
      </c>
      <c r="AV197" s="805" t="str">
        <f t="shared" si="512"/>
        <v>X</v>
      </c>
      <c r="AW197" s="806" t="str">
        <f t="shared" si="513"/>
        <v>X</v>
      </c>
      <c r="AX197" s="806" t="str">
        <f t="shared" si="514"/>
        <v>X</v>
      </c>
      <c r="AY197" s="806" t="str">
        <f t="shared" si="515"/>
        <v>X</v>
      </c>
      <c r="AZ197" s="807" t="str">
        <f t="shared" si="516"/>
        <v>X</v>
      </c>
      <c r="BA197" s="805" t="str">
        <f t="shared" si="517"/>
        <v>X</v>
      </c>
      <c r="BB197" s="806" t="str">
        <f t="shared" si="518"/>
        <v>X</v>
      </c>
      <c r="BC197" s="806" t="str">
        <f t="shared" si="519"/>
        <v>X</v>
      </c>
      <c r="BD197" s="806" t="str">
        <f t="shared" si="520"/>
        <v>X</v>
      </c>
      <c r="BE197" s="807" t="str">
        <f t="shared" si="521"/>
        <v>X</v>
      </c>
      <c r="BF197" s="805" t="str">
        <f t="shared" si="522"/>
        <v>X</v>
      </c>
      <c r="BG197" s="806" t="str">
        <f t="shared" si="523"/>
        <v>X</v>
      </c>
      <c r="BH197" s="806" t="str">
        <f t="shared" si="524"/>
        <v>X</v>
      </c>
      <c r="BI197" s="806" t="str">
        <f t="shared" si="525"/>
        <v>X</v>
      </c>
      <c r="BJ197" s="807" t="str">
        <f t="shared" si="526"/>
        <v>X</v>
      </c>
      <c r="BK197" s="805" t="str">
        <f t="shared" si="527"/>
        <v>X</v>
      </c>
      <c r="BL197" s="806" t="str">
        <f t="shared" si="528"/>
        <v>X</v>
      </c>
      <c r="BM197" s="806" t="str">
        <f t="shared" si="529"/>
        <v>X</v>
      </c>
      <c r="BN197" s="806" t="str">
        <f t="shared" si="530"/>
        <v>X</v>
      </c>
      <c r="BO197" s="807" t="str">
        <f t="shared" si="531"/>
        <v>X</v>
      </c>
      <c r="BP197" s="805" t="str">
        <f t="shared" si="532"/>
        <v>X</v>
      </c>
      <c r="BQ197" s="806" t="str">
        <f t="shared" si="533"/>
        <v>X</v>
      </c>
      <c r="BR197" s="806" t="str">
        <f t="shared" si="534"/>
        <v>X</v>
      </c>
      <c r="BS197" s="806" t="str">
        <f t="shared" si="535"/>
        <v>X</v>
      </c>
      <c r="BT197" s="807" t="str">
        <f t="shared" si="536"/>
        <v>X</v>
      </c>
      <c r="BU197" s="805" t="str">
        <f t="shared" si="537"/>
        <v>X</v>
      </c>
      <c r="BV197" s="806" t="str">
        <f t="shared" si="538"/>
        <v>X</v>
      </c>
      <c r="BW197" s="806" t="str">
        <f t="shared" si="539"/>
        <v>X</v>
      </c>
      <c r="BX197" s="806" t="str">
        <f t="shared" si="540"/>
        <v>X</v>
      </c>
      <c r="BY197" s="807" t="str">
        <f t="shared" si="541"/>
        <v>X</v>
      </c>
      <c r="BZ197" s="839" t="e">
        <f t="shared" si="542"/>
        <v>#N/A</v>
      </c>
      <c r="CA197" s="840">
        <f t="shared" si="543"/>
        <v>0.8961908748430305</v>
      </c>
      <c r="CB197" s="840">
        <f t="shared" si="544"/>
        <v>0.99999999999999989</v>
      </c>
      <c r="CC197" s="840">
        <f t="shared" si="545"/>
        <v>1</v>
      </c>
      <c r="CD197" s="841">
        <f t="shared" si="546"/>
        <v>1</v>
      </c>
      <c r="CE197" s="89"/>
      <c r="CF197" s="89"/>
      <c r="CG197" s="89"/>
      <c r="CH197" s="89"/>
      <c r="CI197" s="89"/>
      <c r="CJ197" s="89"/>
      <c r="CK197" s="89"/>
      <c r="CL197" s="89"/>
      <c r="CM197" s="89"/>
      <c r="CN197" s="89"/>
      <c r="CO197" s="89"/>
      <c r="CP197" s="89"/>
      <c r="CQ197" s="89"/>
      <c r="CR197" s="89"/>
      <c r="CS197" s="89"/>
      <c r="CT197" s="89"/>
      <c r="CU197" s="89"/>
      <c r="CV197" s="89"/>
      <c r="CW197" s="89"/>
      <c r="CX197" s="89"/>
      <c r="CY197" s="89"/>
      <c r="CZ197" s="89"/>
      <c r="DA197" s="89"/>
      <c r="DB197" s="89"/>
      <c r="DC197" s="89"/>
      <c r="DD197" s="89"/>
      <c r="DE197" s="89"/>
      <c r="DF197" s="89"/>
      <c r="DG197" s="89"/>
      <c r="DH197" s="89"/>
      <c r="DI197" s="89"/>
      <c r="DJ197" s="89"/>
      <c r="DK197" s="89"/>
      <c r="DL197" s="89"/>
      <c r="DM197" s="89"/>
      <c r="DN197" s="89"/>
      <c r="DO197" s="89"/>
      <c r="DP197" s="89"/>
      <c r="DQ197" s="89"/>
      <c r="DR197" s="89"/>
      <c r="DS197" s="89"/>
      <c r="DT197" s="89"/>
      <c r="DU197" s="89"/>
      <c r="DV197" s="89"/>
      <c r="DW197" s="89"/>
      <c r="DX197" s="89"/>
      <c r="DY197" s="89"/>
      <c r="DZ197" s="89"/>
      <c r="EA197" s="89"/>
      <c r="EB197" s="89"/>
      <c r="EC197" s="89"/>
      <c r="ED197" s="89"/>
    </row>
    <row r="198" spans="1:134" ht="11.25" customHeight="1" x14ac:dyDescent="0.2">
      <c r="A198" s="195"/>
      <c r="W198" s="179"/>
      <c r="X198" s="179"/>
      <c r="Y198" s="179"/>
    </row>
    <row r="199" spans="1:134" ht="11.25" customHeight="1" x14ac:dyDescent="0.2">
      <c r="A199" s="195"/>
      <c r="W199" s="179"/>
      <c r="X199" s="179"/>
      <c r="Y199" s="179"/>
    </row>
    <row r="200" spans="1:134" ht="11.25" customHeight="1" x14ac:dyDescent="0.2">
      <c r="A200" s="195"/>
      <c r="W200" s="179"/>
      <c r="X200" s="179"/>
      <c r="Y200" s="179"/>
    </row>
    <row r="201" spans="1:134" ht="11.25" customHeight="1" x14ac:dyDescent="0.2">
      <c r="A201" s="195"/>
      <c r="W201" s="179"/>
      <c r="X201" s="179"/>
      <c r="Y201" s="179"/>
    </row>
    <row r="202" spans="1:134" ht="11.25" customHeight="1" x14ac:dyDescent="0.2">
      <c r="A202" s="195"/>
      <c r="W202" s="179"/>
      <c r="X202" s="179"/>
      <c r="Y202" s="179"/>
    </row>
    <row r="203" spans="1:134" ht="11.25" customHeight="1" x14ac:dyDescent="0.2">
      <c r="A203" s="195"/>
      <c r="W203" s="179"/>
      <c r="X203" s="179"/>
      <c r="Y203" s="179"/>
    </row>
    <row r="204" spans="1:134" ht="11.25" customHeight="1" x14ac:dyDescent="0.2">
      <c r="A204" s="195"/>
      <c r="W204" s="179"/>
      <c r="X204" s="179"/>
      <c r="Y204" s="179"/>
    </row>
    <row r="205" spans="1:134" ht="11.25" customHeight="1" x14ac:dyDescent="0.2">
      <c r="A205" s="195"/>
      <c r="W205" s="179"/>
      <c r="X205" s="179"/>
      <c r="Y205" s="179"/>
    </row>
    <row r="206" spans="1:134" ht="11.25" customHeight="1" x14ac:dyDescent="0.2">
      <c r="A206" s="195"/>
      <c r="W206" s="179"/>
      <c r="X206" s="179"/>
      <c r="Y206" s="179"/>
    </row>
    <row r="207" spans="1:134" ht="11.25" customHeight="1" x14ac:dyDescent="0.2">
      <c r="A207" s="195"/>
      <c r="W207" s="179"/>
      <c r="X207" s="179"/>
      <c r="Y207" s="179"/>
    </row>
    <row r="208" spans="1:134" ht="11.25" customHeight="1" x14ac:dyDescent="0.2">
      <c r="A208" s="195"/>
      <c r="W208" s="179"/>
      <c r="X208" s="179"/>
      <c r="Y208" s="179"/>
    </row>
    <row r="209" spans="1:55" ht="11.25" customHeight="1" x14ac:dyDescent="0.2">
      <c r="A209" s="196"/>
    </row>
    <row r="213" spans="1:55" ht="18.75" customHeight="1" x14ac:dyDescent="0.2"/>
    <row r="214" spans="1:55" s="82" customFormat="1" ht="11.25" customHeight="1" x14ac:dyDescent="0.2">
      <c r="A214" s="76"/>
      <c r="B214" s="76"/>
      <c r="C214" s="76"/>
      <c r="D214" s="76"/>
      <c r="E214" s="76"/>
      <c r="F214" s="76"/>
      <c r="G214" s="76"/>
      <c r="H214" s="76"/>
      <c r="I214" s="76"/>
      <c r="J214" s="76"/>
      <c r="K214" s="76"/>
      <c r="L214" s="76"/>
      <c r="M214" s="76"/>
      <c r="N214" s="76"/>
      <c r="O214" s="90"/>
      <c r="P214" s="76"/>
      <c r="Q214" s="76"/>
      <c r="R214" s="76"/>
      <c r="S214" s="76"/>
      <c r="T214" s="76"/>
      <c r="U214" s="76"/>
      <c r="V214" s="76"/>
      <c r="W214" s="76"/>
      <c r="X214" s="76"/>
      <c r="Y214" s="76"/>
      <c r="AB214" s="83"/>
      <c r="AC214" s="83"/>
      <c r="AD214" s="83"/>
      <c r="AE214" s="83"/>
      <c r="AF214" s="83"/>
      <c r="AG214" s="83"/>
      <c r="AH214" s="83"/>
      <c r="AI214" s="83"/>
      <c r="AJ214" s="83"/>
      <c r="AK214" s="83"/>
      <c r="AL214" s="83"/>
      <c r="AM214" s="76"/>
      <c r="AN214" s="76"/>
      <c r="AO214" s="76"/>
      <c r="AP214" s="76"/>
      <c r="AQ214" s="76"/>
      <c r="AR214" s="76"/>
      <c r="AS214" s="76"/>
      <c r="AT214" s="76"/>
      <c r="AU214" s="76"/>
      <c r="AV214" s="76"/>
      <c r="AW214" s="76"/>
      <c r="AX214" s="76"/>
      <c r="AY214" s="76"/>
      <c r="AZ214" s="76"/>
      <c r="BA214" s="76"/>
      <c r="BB214" s="76"/>
      <c r="BC214" s="76"/>
    </row>
    <row r="215" spans="1:55" ht="11.25" customHeight="1" x14ac:dyDescent="0.2">
      <c r="BC215" s="82"/>
    </row>
  </sheetData>
  <sheetProtection sheet="1" objects="1" scenarios="1"/>
  <mergeCells count="864">
    <mergeCell ref="BU135:BY135"/>
    <mergeCell ref="F44:G44"/>
    <mergeCell ref="J44:K44"/>
    <mergeCell ref="A70:Y70"/>
    <mergeCell ref="A105:Y105"/>
    <mergeCell ref="L44:M44"/>
    <mergeCell ref="N44:O44"/>
    <mergeCell ref="H44:I44"/>
    <mergeCell ref="T44:U44"/>
    <mergeCell ref="AB92:AB93"/>
    <mergeCell ref="AB100:AB101"/>
    <mergeCell ref="B72:L73"/>
    <mergeCell ref="AB82:AB83"/>
    <mergeCell ref="AB84:AB85"/>
    <mergeCell ref="AB86:AB87"/>
    <mergeCell ref="AB88:AB89"/>
    <mergeCell ref="AB90:AB91"/>
    <mergeCell ref="AB94:AB95"/>
    <mergeCell ref="AB96:AB97"/>
    <mergeCell ref="AB98:AB99"/>
    <mergeCell ref="R75:S75"/>
    <mergeCell ref="T75:U75"/>
    <mergeCell ref="V75:W75"/>
    <mergeCell ref="D76:E76"/>
    <mergeCell ref="BZ162:CD162"/>
    <mergeCell ref="D32:G32"/>
    <mergeCell ref="J32:O32"/>
    <mergeCell ref="Q32:S32"/>
    <mergeCell ref="AL162:AP162"/>
    <mergeCell ref="AQ162:AU162"/>
    <mergeCell ref="AV162:AZ162"/>
    <mergeCell ref="BA162:BE162"/>
    <mergeCell ref="BF162:BJ162"/>
    <mergeCell ref="BK162:BO162"/>
    <mergeCell ref="BP162:BT162"/>
    <mergeCell ref="BU162:BY162"/>
    <mergeCell ref="AB135:AF135"/>
    <mergeCell ref="AG135:AK135"/>
    <mergeCell ref="AL135:AP135"/>
    <mergeCell ref="AQ135:AU135"/>
    <mergeCell ref="AV135:AZ135"/>
    <mergeCell ref="BA135:BE135"/>
    <mergeCell ref="T42:U42"/>
    <mergeCell ref="T39:U39"/>
    <mergeCell ref="R39:S39"/>
    <mergeCell ref="BF135:BJ135"/>
    <mergeCell ref="BK135:BO135"/>
    <mergeCell ref="BP135:BT135"/>
    <mergeCell ref="N41:O41"/>
    <mergeCell ref="P41:Q41"/>
    <mergeCell ref="R41:S41"/>
    <mergeCell ref="T41:U41"/>
    <mergeCell ref="D40:E40"/>
    <mergeCell ref="F40:G40"/>
    <mergeCell ref="H40:I40"/>
    <mergeCell ref="J40:K40"/>
    <mergeCell ref="V39:W39"/>
    <mergeCell ref="L40:M40"/>
    <mergeCell ref="N40:O40"/>
    <mergeCell ref="H41:I41"/>
    <mergeCell ref="J41:K41"/>
    <mergeCell ref="L41:M41"/>
    <mergeCell ref="P39:Q39"/>
    <mergeCell ref="N39:O39"/>
    <mergeCell ref="L39:M39"/>
    <mergeCell ref="J39:K39"/>
    <mergeCell ref="H39:I39"/>
    <mergeCell ref="F39:G39"/>
    <mergeCell ref="D39:E39"/>
    <mergeCell ref="F76:G76"/>
    <mergeCell ref="H76:I76"/>
    <mergeCell ref="J76:K76"/>
    <mergeCell ref="L76:M76"/>
    <mergeCell ref="N76:O76"/>
    <mergeCell ref="P76:Q76"/>
    <mergeCell ref="R76:S76"/>
    <mergeCell ref="T76:U76"/>
    <mergeCell ref="V76:W76"/>
    <mergeCell ref="V77:W77"/>
    <mergeCell ref="D78:E78"/>
    <mergeCell ref="F78:G78"/>
    <mergeCell ref="H78:I78"/>
    <mergeCell ref="J78:K78"/>
    <mergeCell ref="L78:M78"/>
    <mergeCell ref="N78:O78"/>
    <mergeCell ref="P78:Q78"/>
    <mergeCell ref="R78:S78"/>
    <mergeCell ref="T78:U78"/>
    <mergeCell ref="V78:W78"/>
    <mergeCell ref="D77:E77"/>
    <mergeCell ref="F77:G77"/>
    <mergeCell ref="H77:I77"/>
    <mergeCell ref="J77:K77"/>
    <mergeCell ref="L77:M77"/>
    <mergeCell ref="N77:O77"/>
    <mergeCell ref="P77:Q77"/>
    <mergeCell ref="R77:S77"/>
    <mergeCell ref="T77:U77"/>
    <mergeCell ref="R47:S47"/>
    <mergeCell ref="T47:U47"/>
    <mergeCell ref="V47:W47"/>
    <mergeCell ref="V48:W48"/>
    <mergeCell ref="D49:E49"/>
    <mergeCell ref="F49:G49"/>
    <mergeCell ref="H49:I49"/>
    <mergeCell ref="J49:K49"/>
    <mergeCell ref="L49:M49"/>
    <mergeCell ref="N49:O49"/>
    <mergeCell ref="P49:Q49"/>
    <mergeCell ref="R49:S49"/>
    <mergeCell ref="T49:U49"/>
    <mergeCell ref="V49:W49"/>
    <mergeCell ref="D48:E48"/>
    <mergeCell ref="F48:G48"/>
    <mergeCell ref="H48:I48"/>
    <mergeCell ref="J48:K48"/>
    <mergeCell ref="L48:M48"/>
    <mergeCell ref="N48:O48"/>
    <mergeCell ref="P48:Q48"/>
    <mergeCell ref="R48:S48"/>
    <mergeCell ref="T48:U48"/>
    <mergeCell ref="V46:W46"/>
    <mergeCell ref="D47:E47"/>
    <mergeCell ref="F47:G47"/>
    <mergeCell ref="H47:I47"/>
    <mergeCell ref="J47:K47"/>
    <mergeCell ref="L47:M47"/>
    <mergeCell ref="N47:O47"/>
    <mergeCell ref="P40:Q40"/>
    <mergeCell ref="R40:S40"/>
    <mergeCell ref="T40:U40"/>
    <mergeCell ref="V41:W41"/>
    <mergeCell ref="D46:E46"/>
    <mergeCell ref="F46:G46"/>
    <mergeCell ref="H46:I46"/>
    <mergeCell ref="J46:K46"/>
    <mergeCell ref="L46:M46"/>
    <mergeCell ref="N46:O46"/>
    <mergeCell ref="P46:Q46"/>
    <mergeCell ref="R46:S46"/>
    <mergeCell ref="T46:U46"/>
    <mergeCell ref="N43:O43"/>
    <mergeCell ref="P43:Q43"/>
    <mergeCell ref="R43:S43"/>
    <mergeCell ref="T43:U43"/>
    <mergeCell ref="BA7:BA8"/>
    <mergeCell ref="V44:W44"/>
    <mergeCell ref="V42:W42"/>
    <mergeCell ref="D43:E43"/>
    <mergeCell ref="F43:G43"/>
    <mergeCell ref="H43:I43"/>
    <mergeCell ref="J43:K43"/>
    <mergeCell ref="B39:B40"/>
    <mergeCell ref="D42:E42"/>
    <mergeCell ref="F42:G42"/>
    <mergeCell ref="H42:I42"/>
    <mergeCell ref="J42:K42"/>
    <mergeCell ref="L42:M42"/>
    <mergeCell ref="N42:O42"/>
    <mergeCell ref="P42:Q42"/>
    <mergeCell ref="R42:S42"/>
    <mergeCell ref="A34:Y34"/>
    <mergeCell ref="A35:Y35"/>
    <mergeCell ref="B7:B8"/>
    <mergeCell ref="V43:W43"/>
    <mergeCell ref="D44:E44"/>
    <mergeCell ref="V40:W40"/>
    <mergeCell ref="D41:E41"/>
    <mergeCell ref="F41:G41"/>
    <mergeCell ref="V50:W50"/>
    <mergeCell ref="D51:E51"/>
    <mergeCell ref="F51:G51"/>
    <mergeCell ref="H51:I51"/>
    <mergeCell ref="J51:K51"/>
    <mergeCell ref="L51:M51"/>
    <mergeCell ref="N51:O51"/>
    <mergeCell ref="P51:Q51"/>
    <mergeCell ref="R51:S51"/>
    <mergeCell ref="T51:U51"/>
    <mergeCell ref="V51:W51"/>
    <mergeCell ref="D50:E50"/>
    <mergeCell ref="F50:G50"/>
    <mergeCell ref="H50:I50"/>
    <mergeCell ref="J50:K50"/>
    <mergeCell ref="L50:M50"/>
    <mergeCell ref="N50:O50"/>
    <mergeCell ref="P50:Q50"/>
    <mergeCell ref="R50:S50"/>
    <mergeCell ref="T50:U50"/>
    <mergeCell ref="V52:W52"/>
    <mergeCell ref="D53:E53"/>
    <mergeCell ref="F53:G53"/>
    <mergeCell ref="H53:I53"/>
    <mergeCell ref="J53:K53"/>
    <mergeCell ref="L53:M53"/>
    <mergeCell ref="N53:O53"/>
    <mergeCell ref="P53:Q53"/>
    <mergeCell ref="R53:S53"/>
    <mergeCell ref="T53:U53"/>
    <mergeCell ref="V53:W53"/>
    <mergeCell ref="D52:E52"/>
    <mergeCell ref="F52:G52"/>
    <mergeCell ref="H52:I52"/>
    <mergeCell ref="J52:K52"/>
    <mergeCell ref="L52:M52"/>
    <mergeCell ref="N52:O52"/>
    <mergeCell ref="P52:Q52"/>
    <mergeCell ref="R52:S52"/>
    <mergeCell ref="T52:U52"/>
    <mergeCell ref="V54:W54"/>
    <mergeCell ref="D55:E55"/>
    <mergeCell ref="F55:G55"/>
    <mergeCell ref="H55:I55"/>
    <mergeCell ref="J55:K55"/>
    <mergeCell ref="L55:M55"/>
    <mergeCell ref="N55:O55"/>
    <mergeCell ref="P55:Q55"/>
    <mergeCell ref="R55:S55"/>
    <mergeCell ref="T55:U55"/>
    <mergeCell ref="V55:W55"/>
    <mergeCell ref="D54:E54"/>
    <mergeCell ref="F54:G54"/>
    <mergeCell ref="H54:I54"/>
    <mergeCell ref="J54:K54"/>
    <mergeCell ref="L54:M54"/>
    <mergeCell ref="N54:O54"/>
    <mergeCell ref="P54:Q54"/>
    <mergeCell ref="R54:S54"/>
    <mergeCell ref="T54:U54"/>
    <mergeCell ref="R56:S56"/>
    <mergeCell ref="T56:U56"/>
    <mergeCell ref="V56:W56"/>
    <mergeCell ref="D59:E59"/>
    <mergeCell ref="F59:G59"/>
    <mergeCell ref="H59:I59"/>
    <mergeCell ref="J59:K59"/>
    <mergeCell ref="D57:E57"/>
    <mergeCell ref="R57:S57"/>
    <mergeCell ref="T57:U57"/>
    <mergeCell ref="V58:W58"/>
    <mergeCell ref="D58:E58"/>
    <mergeCell ref="F58:G58"/>
    <mergeCell ref="H58:I58"/>
    <mergeCell ref="J58:K58"/>
    <mergeCell ref="L58:M58"/>
    <mergeCell ref="N58:O58"/>
    <mergeCell ref="P58:Q58"/>
    <mergeCell ref="R58:S58"/>
    <mergeCell ref="T58:U58"/>
    <mergeCell ref="V57:W57"/>
    <mergeCell ref="F57:G57"/>
    <mergeCell ref="B66:W67"/>
    <mergeCell ref="H57:I57"/>
    <mergeCell ref="J57:K57"/>
    <mergeCell ref="V60:W60"/>
    <mergeCell ref="L59:M59"/>
    <mergeCell ref="N62:O62"/>
    <mergeCell ref="P62:Q62"/>
    <mergeCell ref="R62:S62"/>
    <mergeCell ref="T62:U62"/>
    <mergeCell ref="N60:O60"/>
    <mergeCell ref="P60:Q60"/>
    <mergeCell ref="R60:S60"/>
    <mergeCell ref="T60:U60"/>
    <mergeCell ref="N59:O59"/>
    <mergeCell ref="P59:Q59"/>
    <mergeCell ref="R59:S59"/>
    <mergeCell ref="T59:U59"/>
    <mergeCell ref="V59:W59"/>
    <mergeCell ref="D60:E60"/>
    <mergeCell ref="F60:G60"/>
    <mergeCell ref="H60:I60"/>
    <mergeCell ref="J60:K60"/>
    <mergeCell ref="L60:M60"/>
    <mergeCell ref="V64:W64"/>
    <mergeCell ref="D64:E64"/>
    <mergeCell ref="F64:G64"/>
    <mergeCell ref="H64:I64"/>
    <mergeCell ref="J64:K64"/>
    <mergeCell ref="L64:M64"/>
    <mergeCell ref="N64:O64"/>
    <mergeCell ref="P64:Q64"/>
    <mergeCell ref="R64:S64"/>
    <mergeCell ref="T64:U64"/>
    <mergeCell ref="P61:Q61"/>
    <mergeCell ref="N61:O61"/>
    <mergeCell ref="N45:O45"/>
    <mergeCell ref="L45:M45"/>
    <mergeCell ref="J45:K45"/>
    <mergeCell ref="H45:I45"/>
    <mergeCell ref="F45:G45"/>
    <mergeCell ref="D45:E45"/>
    <mergeCell ref="L43:M43"/>
    <mergeCell ref="L57:M57"/>
    <mergeCell ref="N57:O57"/>
    <mergeCell ref="P57:Q57"/>
    <mergeCell ref="D56:E56"/>
    <mergeCell ref="F56:G56"/>
    <mergeCell ref="H56:I56"/>
    <mergeCell ref="J56:K56"/>
    <mergeCell ref="L56:M56"/>
    <mergeCell ref="N56:O56"/>
    <mergeCell ref="P56:Q56"/>
    <mergeCell ref="P47:Q47"/>
    <mergeCell ref="D62:E62"/>
    <mergeCell ref="V61:W61"/>
    <mergeCell ref="P63:Q63"/>
    <mergeCell ref="N63:O63"/>
    <mergeCell ref="L63:M63"/>
    <mergeCell ref="J63:K63"/>
    <mergeCell ref="H63:I63"/>
    <mergeCell ref="F63:G63"/>
    <mergeCell ref="D63:E63"/>
    <mergeCell ref="V62:W62"/>
    <mergeCell ref="V63:W63"/>
    <mergeCell ref="L61:M61"/>
    <mergeCell ref="J61:K61"/>
    <mergeCell ref="H61:I61"/>
    <mergeCell ref="F61:G61"/>
    <mergeCell ref="D61:E61"/>
    <mergeCell ref="L62:M62"/>
    <mergeCell ref="J62:K62"/>
    <mergeCell ref="H62:I62"/>
    <mergeCell ref="R63:S63"/>
    <mergeCell ref="T63:U63"/>
    <mergeCell ref="R61:S61"/>
    <mergeCell ref="T61:U61"/>
    <mergeCell ref="F62:G62"/>
    <mergeCell ref="R44:S44"/>
    <mergeCell ref="P44:Q44"/>
    <mergeCell ref="V45:W45"/>
    <mergeCell ref="T45:U45"/>
    <mergeCell ref="R45:S45"/>
    <mergeCell ref="P45:Q45"/>
    <mergeCell ref="B74:B75"/>
    <mergeCell ref="D74:E74"/>
    <mergeCell ref="F74:G74"/>
    <mergeCell ref="H74:I74"/>
    <mergeCell ref="J74:K74"/>
    <mergeCell ref="L74:M74"/>
    <mergeCell ref="N74:O74"/>
    <mergeCell ref="P74:Q74"/>
    <mergeCell ref="R74:S74"/>
    <mergeCell ref="T74:U74"/>
    <mergeCell ref="V74:W74"/>
    <mergeCell ref="D75:E75"/>
    <mergeCell ref="F75:G75"/>
    <mergeCell ref="H75:I75"/>
    <mergeCell ref="J75:K75"/>
    <mergeCell ref="L75:M75"/>
    <mergeCell ref="N75:O75"/>
    <mergeCell ref="P75:Q75"/>
    <mergeCell ref="V79:W79"/>
    <mergeCell ref="D80:E80"/>
    <mergeCell ref="F80:G80"/>
    <mergeCell ref="H80:I80"/>
    <mergeCell ref="J80:K80"/>
    <mergeCell ref="L80:M80"/>
    <mergeCell ref="N80:O80"/>
    <mergeCell ref="P80:Q80"/>
    <mergeCell ref="R80:S80"/>
    <mergeCell ref="T80:U80"/>
    <mergeCell ref="V80:W80"/>
    <mergeCell ref="D79:E79"/>
    <mergeCell ref="F79:G79"/>
    <mergeCell ref="H79:I79"/>
    <mergeCell ref="J79:K79"/>
    <mergeCell ref="L79:M79"/>
    <mergeCell ref="N79:O79"/>
    <mergeCell ref="P79:Q79"/>
    <mergeCell ref="R79:S79"/>
    <mergeCell ref="T79:U79"/>
    <mergeCell ref="V81:W81"/>
    <mergeCell ref="D82:E82"/>
    <mergeCell ref="F82:G82"/>
    <mergeCell ref="H82:I82"/>
    <mergeCell ref="J82:K82"/>
    <mergeCell ref="L82:M82"/>
    <mergeCell ref="N82:O82"/>
    <mergeCell ref="P82:Q82"/>
    <mergeCell ref="R82:S82"/>
    <mergeCell ref="T82:U82"/>
    <mergeCell ref="V82:W82"/>
    <mergeCell ref="D81:E81"/>
    <mergeCell ref="F81:G81"/>
    <mergeCell ref="H81:I81"/>
    <mergeCell ref="J81:K81"/>
    <mergeCell ref="L81:M81"/>
    <mergeCell ref="N81:O81"/>
    <mergeCell ref="P81:Q81"/>
    <mergeCell ref="R81:S81"/>
    <mergeCell ref="T81:U81"/>
    <mergeCell ref="V83:W83"/>
    <mergeCell ref="D84:E84"/>
    <mergeCell ref="F84:G84"/>
    <mergeCell ref="H84:I84"/>
    <mergeCell ref="J84:K84"/>
    <mergeCell ref="L84:M84"/>
    <mergeCell ref="N84:O84"/>
    <mergeCell ref="P84:Q84"/>
    <mergeCell ref="R84:S84"/>
    <mergeCell ref="T84:U84"/>
    <mergeCell ref="V84:W84"/>
    <mergeCell ref="D83:E83"/>
    <mergeCell ref="F83:G83"/>
    <mergeCell ref="H83:I83"/>
    <mergeCell ref="J83:K83"/>
    <mergeCell ref="L83:M83"/>
    <mergeCell ref="N83:O83"/>
    <mergeCell ref="P83:Q83"/>
    <mergeCell ref="R83:S83"/>
    <mergeCell ref="T83:U83"/>
    <mergeCell ref="V85:W85"/>
    <mergeCell ref="D86:E86"/>
    <mergeCell ref="F86:G86"/>
    <mergeCell ref="H86:I86"/>
    <mergeCell ref="J86:K86"/>
    <mergeCell ref="L86:M86"/>
    <mergeCell ref="N86:O86"/>
    <mergeCell ref="P86:Q86"/>
    <mergeCell ref="R86:S86"/>
    <mergeCell ref="T86:U86"/>
    <mergeCell ref="V86:W86"/>
    <mergeCell ref="D85:E85"/>
    <mergeCell ref="F85:G85"/>
    <mergeCell ref="H85:I85"/>
    <mergeCell ref="J85:K85"/>
    <mergeCell ref="L85:M85"/>
    <mergeCell ref="N85:O85"/>
    <mergeCell ref="P85:Q85"/>
    <mergeCell ref="R85:S85"/>
    <mergeCell ref="T85:U85"/>
    <mergeCell ref="V87:W87"/>
    <mergeCell ref="D88:E88"/>
    <mergeCell ref="F88:G88"/>
    <mergeCell ref="H88:I88"/>
    <mergeCell ref="J88:K88"/>
    <mergeCell ref="L88:M88"/>
    <mergeCell ref="N88:O88"/>
    <mergeCell ref="P88:Q88"/>
    <mergeCell ref="R88:S88"/>
    <mergeCell ref="T88:U88"/>
    <mergeCell ref="V88:W88"/>
    <mergeCell ref="D87:E87"/>
    <mergeCell ref="F87:G87"/>
    <mergeCell ref="H87:I87"/>
    <mergeCell ref="J87:K87"/>
    <mergeCell ref="L87:M87"/>
    <mergeCell ref="N87:O87"/>
    <mergeCell ref="P87:Q87"/>
    <mergeCell ref="R87:S87"/>
    <mergeCell ref="T87:U87"/>
    <mergeCell ref="V89:W89"/>
    <mergeCell ref="D90:E90"/>
    <mergeCell ref="F90:G90"/>
    <mergeCell ref="H90:I90"/>
    <mergeCell ref="J90:K90"/>
    <mergeCell ref="L90:M90"/>
    <mergeCell ref="N90:O90"/>
    <mergeCell ref="P90:Q90"/>
    <mergeCell ref="R90:S90"/>
    <mergeCell ref="T90:U90"/>
    <mergeCell ref="V90:W90"/>
    <mergeCell ref="D89:E89"/>
    <mergeCell ref="F89:G89"/>
    <mergeCell ref="H89:I89"/>
    <mergeCell ref="J89:K89"/>
    <mergeCell ref="L89:M89"/>
    <mergeCell ref="N89:O89"/>
    <mergeCell ref="P89:Q89"/>
    <mergeCell ref="R89:S89"/>
    <mergeCell ref="T89:U89"/>
    <mergeCell ref="V91:W91"/>
    <mergeCell ref="D92:E92"/>
    <mergeCell ref="F92:G92"/>
    <mergeCell ref="H92:I92"/>
    <mergeCell ref="J92:K92"/>
    <mergeCell ref="L92:M92"/>
    <mergeCell ref="N92:O92"/>
    <mergeCell ref="P92:Q92"/>
    <mergeCell ref="R92:S92"/>
    <mergeCell ref="T92:U92"/>
    <mergeCell ref="V92:W92"/>
    <mergeCell ref="D91:E91"/>
    <mergeCell ref="F91:G91"/>
    <mergeCell ref="H91:I91"/>
    <mergeCell ref="J91:K91"/>
    <mergeCell ref="L91:M91"/>
    <mergeCell ref="N91:O91"/>
    <mergeCell ref="P91:Q91"/>
    <mergeCell ref="R91:S91"/>
    <mergeCell ref="T91:U91"/>
    <mergeCell ref="V93:W93"/>
    <mergeCell ref="D94:E94"/>
    <mergeCell ref="F94:G94"/>
    <mergeCell ref="H94:I94"/>
    <mergeCell ref="J94:K94"/>
    <mergeCell ref="L94:M94"/>
    <mergeCell ref="N94:O94"/>
    <mergeCell ref="P94:Q94"/>
    <mergeCell ref="R94:S94"/>
    <mergeCell ref="T94:U94"/>
    <mergeCell ref="V94:W94"/>
    <mergeCell ref="D93:E93"/>
    <mergeCell ref="F93:G93"/>
    <mergeCell ref="H93:I93"/>
    <mergeCell ref="J93:K93"/>
    <mergeCell ref="L93:M93"/>
    <mergeCell ref="N93:O93"/>
    <mergeCell ref="P93:Q93"/>
    <mergeCell ref="R93:S93"/>
    <mergeCell ref="T93:U93"/>
    <mergeCell ref="V95:W95"/>
    <mergeCell ref="D96:E96"/>
    <mergeCell ref="F96:G96"/>
    <mergeCell ref="H96:I96"/>
    <mergeCell ref="J96:K96"/>
    <mergeCell ref="L96:M96"/>
    <mergeCell ref="N96:O96"/>
    <mergeCell ref="P96:Q96"/>
    <mergeCell ref="R96:S96"/>
    <mergeCell ref="T96:U96"/>
    <mergeCell ref="V96:W96"/>
    <mergeCell ref="D95:E95"/>
    <mergeCell ref="F95:G95"/>
    <mergeCell ref="H95:I95"/>
    <mergeCell ref="J95:K95"/>
    <mergeCell ref="L95:M95"/>
    <mergeCell ref="N95:O95"/>
    <mergeCell ref="P95:Q95"/>
    <mergeCell ref="R95:S95"/>
    <mergeCell ref="T95:U95"/>
    <mergeCell ref="D97:E97"/>
    <mergeCell ref="F97:G97"/>
    <mergeCell ref="H97:I97"/>
    <mergeCell ref="J97:K97"/>
    <mergeCell ref="L97:M97"/>
    <mergeCell ref="N97:O97"/>
    <mergeCell ref="P97:Q97"/>
    <mergeCell ref="R97:S97"/>
    <mergeCell ref="T97:U97"/>
    <mergeCell ref="D98:E98"/>
    <mergeCell ref="F98:G98"/>
    <mergeCell ref="H98:I98"/>
    <mergeCell ref="J98:K98"/>
    <mergeCell ref="L98:M98"/>
    <mergeCell ref="N98:O98"/>
    <mergeCell ref="P98:Q98"/>
    <mergeCell ref="R98:S98"/>
    <mergeCell ref="T98:U98"/>
    <mergeCell ref="F99:G99"/>
    <mergeCell ref="H99:I99"/>
    <mergeCell ref="J99:K99"/>
    <mergeCell ref="L99:M99"/>
    <mergeCell ref="N99:O99"/>
    <mergeCell ref="P99:Q99"/>
    <mergeCell ref="R99:S99"/>
    <mergeCell ref="T99:U99"/>
    <mergeCell ref="V97:W97"/>
    <mergeCell ref="V98:W98"/>
    <mergeCell ref="V99:W99"/>
    <mergeCell ref="V110:W110"/>
    <mergeCell ref="B109:B110"/>
    <mergeCell ref="D109:E109"/>
    <mergeCell ref="F109:G109"/>
    <mergeCell ref="H109:I109"/>
    <mergeCell ref="J109:K109"/>
    <mergeCell ref="L109:M109"/>
    <mergeCell ref="N109:O109"/>
    <mergeCell ref="P109:Q109"/>
    <mergeCell ref="D110:E110"/>
    <mergeCell ref="F110:G110"/>
    <mergeCell ref="H110:I110"/>
    <mergeCell ref="J110:K110"/>
    <mergeCell ref="L110:M110"/>
    <mergeCell ref="N110:O110"/>
    <mergeCell ref="P110:Q110"/>
    <mergeCell ref="R110:S110"/>
    <mergeCell ref="T110:U110"/>
    <mergeCell ref="D99:E99"/>
    <mergeCell ref="V111:W111"/>
    <mergeCell ref="D112:E112"/>
    <mergeCell ref="F112:G112"/>
    <mergeCell ref="H112:I112"/>
    <mergeCell ref="J112:K112"/>
    <mergeCell ref="L112:M112"/>
    <mergeCell ref="N112:O112"/>
    <mergeCell ref="P112:Q112"/>
    <mergeCell ref="R112:S112"/>
    <mergeCell ref="T112:U112"/>
    <mergeCell ref="V112:W112"/>
    <mergeCell ref="D111:E111"/>
    <mergeCell ref="F111:G111"/>
    <mergeCell ref="H111:I111"/>
    <mergeCell ref="J111:K111"/>
    <mergeCell ref="L111:M111"/>
    <mergeCell ref="N111:O111"/>
    <mergeCell ref="P111:Q111"/>
    <mergeCell ref="R111:S111"/>
    <mergeCell ref="T111:U111"/>
    <mergeCell ref="R109:S109"/>
    <mergeCell ref="T109:U109"/>
    <mergeCell ref="V109:W109"/>
    <mergeCell ref="V113:W113"/>
    <mergeCell ref="D114:E114"/>
    <mergeCell ref="F114:G114"/>
    <mergeCell ref="H114:I114"/>
    <mergeCell ref="J114:K114"/>
    <mergeCell ref="L114:M114"/>
    <mergeCell ref="N114:O114"/>
    <mergeCell ref="P114:Q114"/>
    <mergeCell ref="R114:S114"/>
    <mergeCell ref="T114:U114"/>
    <mergeCell ref="V114:W114"/>
    <mergeCell ref="D113:E113"/>
    <mergeCell ref="F113:G113"/>
    <mergeCell ref="H113:I113"/>
    <mergeCell ref="J113:K113"/>
    <mergeCell ref="L113:M113"/>
    <mergeCell ref="N113:O113"/>
    <mergeCell ref="P113:Q113"/>
    <mergeCell ref="R113:S113"/>
    <mergeCell ref="T113:U113"/>
    <mergeCell ref="V115:W115"/>
    <mergeCell ref="D116:E116"/>
    <mergeCell ref="F116:G116"/>
    <mergeCell ref="H116:I116"/>
    <mergeCell ref="J116:K116"/>
    <mergeCell ref="L116:M116"/>
    <mergeCell ref="N116:O116"/>
    <mergeCell ref="P116:Q116"/>
    <mergeCell ref="R116:S116"/>
    <mergeCell ref="T116:U116"/>
    <mergeCell ref="V116:W116"/>
    <mergeCell ref="D115:E115"/>
    <mergeCell ref="F115:G115"/>
    <mergeCell ref="H115:I115"/>
    <mergeCell ref="J115:K115"/>
    <mergeCell ref="L115:M115"/>
    <mergeCell ref="N115:O115"/>
    <mergeCell ref="P115:Q115"/>
    <mergeCell ref="R115:S115"/>
    <mergeCell ref="T115:U115"/>
    <mergeCell ref="V117:W117"/>
    <mergeCell ref="D118:E118"/>
    <mergeCell ref="F118:G118"/>
    <mergeCell ref="H118:I118"/>
    <mergeCell ref="J118:K118"/>
    <mergeCell ref="L118:M118"/>
    <mergeCell ref="N118:O118"/>
    <mergeCell ref="P118:Q118"/>
    <mergeCell ref="R118:S118"/>
    <mergeCell ref="T118:U118"/>
    <mergeCell ref="V118:W118"/>
    <mergeCell ref="D117:E117"/>
    <mergeCell ref="F117:G117"/>
    <mergeCell ref="H117:I117"/>
    <mergeCell ref="J117:K117"/>
    <mergeCell ref="L117:M117"/>
    <mergeCell ref="N117:O117"/>
    <mergeCell ref="P117:Q117"/>
    <mergeCell ref="R117:S117"/>
    <mergeCell ref="T117:U117"/>
    <mergeCell ref="V119:W119"/>
    <mergeCell ref="D120:E120"/>
    <mergeCell ref="F120:G120"/>
    <mergeCell ref="H120:I120"/>
    <mergeCell ref="J120:K120"/>
    <mergeCell ref="L120:M120"/>
    <mergeCell ref="N120:O120"/>
    <mergeCell ref="P120:Q120"/>
    <mergeCell ref="R120:S120"/>
    <mergeCell ref="T120:U120"/>
    <mergeCell ref="V120:W120"/>
    <mergeCell ref="D119:E119"/>
    <mergeCell ref="F119:G119"/>
    <mergeCell ref="H119:I119"/>
    <mergeCell ref="J119:K119"/>
    <mergeCell ref="L119:M119"/>
    <mergeCell ref="N119:O119"/>
    <mergeCell ref="P119:Q119"/>
    <mergeCell ref="R119:S119"/>
    <mergeCell ref="T119:U119"/>
    <mergeCell ref="V121:W121"/>
    <mergeCell ref="D122:E122"/>
    <mergeCell ref="F122:G122"/>
    <mergeCell ref="H122:I122"/>
    <mergeCell ref="J122:K122"/>
    <mergeCell ref="L122:M122"/>
    <mergeCell ref="N122:O122"/>
    <mergeCell ref="P122:Q122"/>
    <mergeCell ref="R122:S122"/>
    <mergeCell ref="T122:U122"/>
    <mergeCell ref="V122:W122"/>
    <mergeCell ref="D121:E121"/>
    <mergeCell ref="F121:G121"/>
    <mergeCell ref="H121:I121"/>
    <mergeCell ref="J121:K121"/>
    <mergeCell ref="L121:M121"/>
    <mergeCell ref="N121:O121"/>
    <mergeCell ref="P121:Q121"/>
    <mergeCell ref="R121:S121"/>
    <mergeCell ref="T121:U121"/>
    <mergeCell ref="V123:W123"/>
    <mergeCell ref="D124:E124"/>
    <mergeCell ref="F124:G124"/>
    <mergeCell ref="H124:I124"/>
    <mergeCell ref="J124:K124"/>
    <mergeCell ref="L124:M124"/>
    <mergeCell ref="N124:O124"/>
    <mergeCell ref="P124:Q124"/>
    <mergeCell ref="R124:S124"/>
    <mergeCell ref="T124:U124"/>
    <mergeCell ref="V124:W124"/>
    <mergeCell ref="D123:E123"/>
    <mergeCell ref="F123:G123"/>
    <mergeCell ref="H123:I123"/>
    <mergeCell ref="J123:K123"/>
    <mergeCell ref="L123:M123"/>
    <mergeCell ref="N123:O123"/>
    <mergeCell ref="P123:Q123"/>
    <mergeCell ref="R123:S123"/>
    <mergeCell ref="T123:U123"/>
    <mergeCell ref="V125:W125"/>
    <mergeCell ref="D126:E126"/>
    <mergeCell ref="F126:G126"/>
    <mergeCell ref="H126:I126"/>
    <mergeCell ref="J126:K126"/>
    <mergeCell ref="L126:M126"/>
    <mergeCell ref="N126:O126"/>
    <mergeCell ref="P126:Q126"/>
    <mergeCell ref="R126:S126"/>
    <mergeCell ref="T126:U126"/>
    <mergeCell ref="V126:W126"/>
    <mergeCell ref="D125:E125"/>
    <mergeCell ref="F125:G125"/>
    <mergeCell ref="H125:I125"/>
    <mergeCell ref="J125:K125"/>
    <mergeCell ref="L125:M125"/>
    <mergeCell ref="N125:O125"/>
    <mergeCell ref="P125:Q125"/>
    <mergeCell ref="R125:S125"/>
    <mergeCell ref="T125:U125"/>
    <mergeCell ref="V127:W127"/>
    <mergeCell ref="D128:E128"/>
    <mergeCell ref="F128:G128"/>
    <mergeCell ref="H128:I128"/>
    <mergeCell ref="J128:K128"/>
    <mergeCell ref="L128:M128"/>
    <mergeCell ref="N128:O128"/>
    <mergeCell ref="P128:Q128"/>
    <mergeCell ref="R128:S128"/>
    <mergeCell ref="T128:U128"/>
    <mergeCell ref="V128:W128"/>
    <mergeCell ref="D127:E127"/>
    <mergeCell ref="F127:G127"/>
    <mergeCell ref="H127:I127"/>
    <mergeCell ref="J127:K127"/>
    <mergeCell ref="L127:M127"/>
    <mergeCell ref="N127:O127"/>
    <mergeCell ref="P127:Q127"/>
    <mergeCell ref="R127:S127"/>
    <mergeCell ref="T127:U127"/>
    <mergeCell ref="V129:W129"/>
    <mergeCell ref="D130:E130"/>
    <mergeCell ref="F130:G130"/>
    <mergeCell ref="H130:I130"/>
    <mergeCell ref="J130:K130"/>
    <mergeCell ref="L130:M130"/>
    <mergeCell ref="N130:O130"/>
    <mergeCell ref="P130:Q130"/>
    <mergeCell ref="R130:S130"/>
    <mergeCell ref="T130:U130"/>
    <mergeCell ref="V130:W130"/>
    <mergeCell ref="D129:E129"/>
    <mergeCell ref="F129:G129"/>
    <mergeCell ref="H129:I129"/>
    <mergeCell ref="J129:K129"/>
    <mergeCell ref="L129:M129"/>
    <mergeCell ref="N129:O129"/>
    <mergeCell ref="P129:Q129"/>
    <mergeCell ref="R129:S129"/>
    <mergeCell ref="T129:U129"/>
    <mergeCell ref="V131:W131"/>
    <mergeCell ref="D132:E132"/>
    <mergeCell ref="F132:G132"/>
    <mergeCell ref="H132:I132"/>
    <mergeCell ref="J132:K132"/>
    <mergeCell ref="L132:M132"/>
    <mergeCell ref="N132:O132"/>
    <mergeCell ref="P132:Q132"/>
    <mergeCell ref="R132:S132"/>
    <mergeCell ref="T132:U132"/>
    <mergeCell ref="V132:W132"/>
    <mergeCell ref="D131:E131"/>
    <mergeCell ref="F131:G131"/>
    <mergeCell ref="H131:I131"/>
    <mergeCell ref="J131:K131"/>
    <mergeCell ref="L131:M131"/>
    <mergeCell ref="N131:O131"/>
    <mergeCell ref="P131:Q131"/>
    <mergeCell ref="R131:S131"/>
    <mergeCell ref="T131:U131"/>
    <mergeCell ref="A140:Y140"/>
    <mergeCell ref="AG162:AK162"/>
    <mergeCell ref="V133:W133"/>
    <mergeCell ref="D134:E134"/>
    <mergeCell ref="F134:G134"/>
    <mergeCell ref="H134:I134"/>
    <mergeCell ref="J134:K134"/>
    <mergeCell ref="L134:M134"/>
    <mergeCell ref="N134:O134"/>
    <mergeCell ref="P134:Q134"/>
    <mergeCell ref="R134:S134"/>
    <mergeCell ref="T134:U134"/>
    <mergeCell ref="V134:W134"/>
    <mergeCell ref="D133:E133"/>
    <mergeCell ref="F133:G133"/>
    <mergeCell ref="H133:I133"/>
    <mergeCell ref="J133:K133"/>
    <mergeCell ref="L133:M133"/>
    <mergeCell ref="N133:O133"/>
    <mergeCell ref="P133:Q133"/>
    <mergeCell ref="R133:S133"/>
    <mergeCell ref="T133:U133"/>
    <mergeCell ref="B143:B144"/>
    <mergeCell ref="B145:E146"/>
    <mergeCell ref="CO108:CS108"/>
    <mergeCell ref="CT108:CX108"/>
    <mergeCell ref="CY108:DC108"/>
    <mergeCell ref="DD108:DH108"/>
    <mergeCell ref="DI108:DM108"/>
    <mergeCell ref="DN108:DR108"/>
    <mergeCell ref="DS108:DW108"/>
    <mergeCell ref="DX108:EB108"/>
    <mergeCell ref="AB108:AF108"/>
    <mergeCell ref="BA108:BE108"/>
    <mergeCell ref="BF108:BJ108"/>
    <mergeCell ref="BK108:BO108"/>
    <mergeCell ref="BU108:BY108"/>
    <mergeCell ref="BZ108:CD108"/>
    <mergeCell ref="CE108:CI108"/>
    <mergeCell ref="CJ108:CN108"/>
    <mergeCell ref="BP108:BT108"/>
    <mergeCell ref="AV108:AZ108"/>
    <mergeCell ref="AG108:AK108"/>
    <mergeCell ref="AL108:AP108"/>
    <mergeCell ref="AQ108:AU108"/>
    <mergeCell ref="B147:E148"/>
    <mergeCell ref="B149:E150"/>
    <mergeCell ref="B151:E152"/>
    <mergeCell ref="B153:E154"/>
    <mergeCell ref="B155:E156"/>
    <mergeCell ref="B157:E158"/>
    <mergeCell ref="B159:E160"/>
    <mergeCell ref="B175:E176"/>
    <mergeCell ref="B177:E178"/>
    <mergeCell ref="B161:E162"/>
    <mergeCell ref="B163:E164"/>
    <mergeCell ref="B167:E168"/>
    <mergeCell ref="B169:E170"/>
    <mergeCell ref="B171:E172"/>
    <mergeCell ref="B173:F174"/>
    <mergeCell ref="B165:F166"/>
  </mergeCells>
  <conditionalFormatting sqref="B9:B30 D9:X9 D41:W63 A1:A34 A65:A69 A36:A63 A71:A140 A198:A1048576">
    <cfRule type="containsErrors" dxfId="629" priority="197">
      <formula>ISERROR(A1)</formula>
    </cfRule>
  </conditionalFormatting>
  <conditionalFormatting sqref="D9:X9">
    <cfRule type="colorScale" priority="193">
      <colorScale>
        <cfvo type="min"/>
        <cfvo type="max"/>
        <color rgb="FFFCFCFF"/>
        <color rgb="FFF8696B"/>
      </colorScale>
    </cfRule>
  </conditionalFormatting>
  <conditionalFormatting sqref="D41:W64 D9:X31 D32 P32:Q32 T32:X32 H32:J32">
    <cfRule type="expression" dxfId="628" priority="172">
      <formula>$B9=$AC$4</formula>
    </cfRule>
  </conditionalFormatting>
  <conditionalFormatting sqref="D41:W41">
    <cfRule type="colorScale" priority="171">
      <colorScale>
        <cfvo type="min"/>
        <cfvo type="max"/>
        <color rgb="FFFCFCFF"/>
        <color rgb="FFF8696B"/>
      </colorScale>
    </cfRule>
  </conditionalFormatting>
  <conditionalFormatting sqref="D42:W42">
    <cfRule type="colorScale" priority="170">
      <colorScale>
        <cfvo type="min"/>
        <cfvo type="max"/>
        <color rgb="FFFCFCFF"/>
        <color rgb="FFF8696B"/>
      </colorScale>
    </cfRule>
  </conditionalFormatting>
  <conditionalFormatting sqref="D42:W43">
    <cfRule type="colorScale" priority="169">
      <colorScale>
        <cfvo type="min"/>
        <cfvo type="max"/>
        <color rgb="FFFCFCFF"/>
        <color rgb="FFF8696B"/>
      </colorScale>
    </cfRule>
  </conditionalFormatting>
  <conditionalFormatting sqref="D44:W44">
    <cfRule type="colorScale" priority="168">
      <colorScale>
        <cfvo type="min"/>
        <cfvo type="max"/>
        <color rgb="FFFCFCFF"/>
        <color rgb="FFF8696B"/>
      </colorScale>
    </cfRule>
  </conditionalFormatting>
  <conditionalFormatting sqref="D45:W45">
    <cfRule type="colorScale" priority="167">
      <colorScale>
        <cfvo type="min"/>
        <cfvo type="max"/>
        <color rgb="FFFCFCFF"/>
        <color rgb="FFF8696B"/>
      </colorScale>
    </cfRule>
  </conditionalFormatting>
  <conditionalFormatting sqref="D46:W46">
    <cfRule type="colorScale" priority="166">
      <colorScale>
        <cfvo type="min"/>
        <cfvo type="max"/>
        <color rgb="FFFCFCFF"/>
        <color rgb="FFF8696B"/>
      </colorScale>
    </cfRule>
  </conditionalFormatting>
  <conditionalFormatting sqref="D47:W47">
    <cfRule type="colorScale" priority="165">
      <colorScale>
        <cfvo type="min"/>
        <cfvo type="max"/>
        <color rgb="FFFCFCFF"/>
        <color rgb="FFF8696B"/>
      </colorScale>
    </cfRule>
  </conditionalFormatting>
  <conditionalFormatting sqref="D48:W48">
    <cfRule type="colorScale" priority="164">
      <colorScale>
        <cfvo type="min"/>
        <cfvo type="max"/>
        <color rgb="FFFCFCFF"/>
        <color rgb="FFF8696B"/>
      </colorScale>
    </cfRule>
  </conditionalFormatting>
  <conditionalFormatting sqref="D49:W49">
    <cfRule type="colorScale" priority="163">
      <colorScale>
        <cfvo type="min"/>
        <cfvo type="max"/>
        <color rgb="FFFCFCFF"/>
        <color rgb="FFF8696B"/>
      </colorScale>
    </cfRule>
  </conditionalFormatting>
  <conditionalFormatting sqref="D50:W50">
    <cfRule type="colorScale" priority="162">
      <colorScale>
        <cfvo type="min"/>
        <cfvo type="max"/>
        <color rgb="FFFCFCFF"/>
        <color rgb="FFF8696B"/>
      </colorScale>
    </cfRule>
  </conditionalFormatting>
  <conditionalFormatting sqref="D51:W51">
    <cfRule type="colorScale" priority="161">
      <colorScale>
        <cfvo type="min"/>
        <cfvo type="max"/>
        <color rgb="FFFCFCFF"/>
        <color rgb="FFF8696B"/>
      </colorScale>
    </cfRule>
  </conditionalFormatting>
  <conditionalFormatting sqref="D52:W52">
    <cfRule type="colorScale" priority="160">
      <colorScale>
        <cfvo type="min"/>
        <cfvo type="max"/>
        <color rgb="FFFCFCFF"/>
        <color rgb="FFF8696B"/>
      </colorScale>
    </cfRule>
  </conditionalFormatting>
  <conditionalFormatting sqref="D53:W53">
    <cfRule type="colorScale" priority="159">
      <colorScale>
        <cfvo type="min"/>
        <cfvo type="max"/>
        <color rgb="FFFCFCFF"/>
        <color rgb="FFF8696B"/>
      </colorScale>
    </cfRule>
  </conditionalFormatting>
  <conditionalFormatting sqref="D53:W54">
    <cfRule type="colorScale" priority="158">
      <colorScale>
        <cfvo type="min"/>
        <cfvo type="max"/>
        <color rgb="FFFCFCFF"/>
        <color rgb="FFF8696B"/>
      </colorScale>
    </cfRule>
  </conditionalFormatting>
  <conditionalFormatting sqref="D55:W56">
    <cfRule type="colorScale" priority="157">
      <colorScale>
        <cfvo type="min"/>
        <cfvo type="max"/>
        <color rgb="FFFCFCFF"/>
        <color rgb="FFF8696B"/>
      </colorScale>
    </cfRule>
  </conditionalFormatting>
  <conditionalFormatting sqref="D59:W59">
    <cfRule type="colorScale" priority="155">
      <colorScale>
        <cfvo type="min"/>
        <cfvo type="max"/>
        <color rgb="FFFCFCFF"/>
        <color rgb="FFF8696B"/>
      </colorScale>
    </cfRule>
  </conditionalFormatting>
  <conditionalFormatting sqref="D60:W61">
    <cfRule type="colorScale" priority="154">
      <colorScale>
        <cfvo type="min"/>
        <cfvo type="max"/>
        <color rgb="FFFCFCFF"/>
        <color rgb="FFF8696B"/>
      </colorScale>
    </cfRule>
  </conditionalFormatting>
  <conditionalFormatting sqref="D61:W61">
    <cfRule type="colorScale" priority="153">
      <colorScale>
        <cfvo type="min"/>
        <cfvo type="max"/>
        <color rgb="FFFCFCFF"/>
        <color rgb="FFF8696B"/>
      </colorScale>
    </cfRule>
  </conditionalFormatting>
  <conditionalFormatting sqref="D62:W62">
    <cfRule type="colorScale" priority="152">
      <colorScale>
        <cfvo type="min"/>
        <cfvo type="max"/>
        <color rgb="FFFCFCFF"/>
        <color rgb="FFF8696B"/>
      </colorScale>
    </cfRule>
  </conditionalFormatting>
  <conditionalFormatting sqref="D63:W63">
    <cfRule type="colorScale" priority="151">
      <colorScale>
        <cfvo type="min"/>
        <cfvo type="max"/>
        <color rgb="FFFCFCFF"/>
        <color rgb="FFF8696B"/>
      </colorScale>
    </cfRule>
  </conditionalFormatting>
  <conditionalFormatting sqref="B102:B103 B111:B138 B9:B32 B41:B64 B76:B99">
    <cfRule type="expression" dxfId="627" priority="196">
      <formula>$B9=$AC$4</formula>
    </cfRule>
  </conditionalFormatting>
  <conditionalFormatting sqref="D56:W58">
    <cfRule type="colorScale" priority="1051">
      <colorScale>
        <cfvo type="min"/>
        <cfvo type="max"/>
        <color rgb="FFFCFCFF"/>
        <color rgb="FFF8696B"/>
      </colorScale>
    </cfRule>
  </conditionalFormatting>
  <conditionalFormatting sqref="D50:W50">
    <cfRule type="colorScale" priority="149">
      <colorScale>
        <cfvo type="min"/>
        <cfvo type="max"/>
        <color rgb="FFFCFCFF"/>
        <color rgb="FFF8696B"/>
      </colorScale>
    </cfRule>
  </conditionalFormatting>
  <conditionalFormatting sqref="D53:W53">
    <cfRule type="colorScale" priority="148">
      <colorScale>
        <cfvo type="min"/>
        <cfvo type="max"/>
        <color rgb="FFFCFCFF"/>
        <color rgb="FFF8696B"/>
      </colorScale>
    </cfRule>
  </conditionalFormatting>
  <conditionalFormatting sqref="D56:W56">
    <cfRule type="colorScale" priority="147">
      <colorScale>
        <cfvo type="min"/>
        <cfvo type="max"/>
        <color rgb="FFFCFCFF"/>
        <color rgb="FFF8696B"/>
      </colorScale>
    </cfRule>
  </conditionalFormatting>
  <conditionalFormatting sqref="D57:W57">
    <cfRule type="colorScale" priority="146">
      <colorScale>
        <cfvo type="min"/>
        <cfvo type="max"/>
        <color rgb="FFFCFCFF"/>
        <color rgb="FFF8696B"/>
      </colorScale>
    </cfRule>
  </conditionalFormatting>
  <conditionalFormatting sqref="D58:W58">
    <cfRule type="colorScale" priority="145">
      <colorScale>
        <cfvo type="min"/>
        <cfvo type="max"/>
        <color rgb="FFFCFCFF"/>
        <color rgb="FFF8696B"/>
      </colorScale>
    </cfRule>
  </conditionalFormatting>
  <conditionalFormatting sqref="D59:W59">
    <cfRule type="colorScale" priority="144">
      <colorScale>
        <cfvo type="min"/>
        <cfvo type="max"/>
        <color rgb="FFFCFCFF"/>
        <color rgb="FFF8696B"/>
      </colorScale>
    </cfRule>
  </conditionalFormatting>
  <conditionalFormatting sqref="D59:W59">
    <cfRule type="colorScale" priority="143">
      <colorScale>
        <cfvo type="min"/>
        <cfvo type="max"/>
        <color rgb="FFFCFCFF"/>
        <color rgb="FFF8696B"/>
      </colorScale>
    </cfRule>
  </conditionalFormatting>
  <conditionalFormatting sqref="D61:W61">
    <cfRule type="colorScale" priority="142">
      <colorScale>
        <cfvo type="min"/>
        <cfvo type="max"/>
        <color rgb="FFFCFCFF"/>
        <color rgb="FFF8696B"/>
      </colorScale>
    </cfRule>
  </conditionalFormatting>
  <conditionalFormatting sqref="D61:W61">
    <cfRule type="colorScale" priority="141">
      <colorScale>
        <cfvo type="min"/>
        <cfvo type="max"/>
        <color rgb="FFFCFCFF"/>
        <color rgb="FFF8696B"/>
      </colorScale>
    </cfRule>
  </conditionalFormatting>
  <conditionalFormatting sqref="D62:W62">
    <cfRule type="colorScale" priority="140">
      <colorScale>
        <cfvo type="min"/>
        <cfvo type="max"/>
        <color rgb="FFFCFCFF"/>
        <color rgb="FFF8696B"/>
      </colorScale>
    </cfRule>
  </conditionalFormatting>
  <conditionalFormatting sqref="D62:W62">
    <cfRule type="colorScale" priority="139">
      <colorScale>
        <cfvo type="min"/>
        <cfvo type="max"/>
        <color rgb="FFFCFCFF"/>
        <color rgb="FFF8696B"/>
      </colorScale>
    </cfRule>
  </conditionalFormatting>
  <conditionalFormatting sqref="A9:A30">
    <cfRule type="cellIs" dxfId="626" priority="137" operator="equal">
      <formula>0</formula>
    </cfRule>
  </conditionalFormatting>
  <conditionalFormatting sqref="A41:A62">
    <cfRule type="cellIs" dxfId="625" priority="136" operator="equal">
      <formula>0</formula>
    </cfRule>
  </conditionalFormatting>
  <conditionalFormatting sqref="A64">
    <cfRule type="containsErrors" dxfId="624" priority="128">
      <formula>ISERROR(A64)</formula>
    </cfRule>
  </conditionalFormatting>
  <conditionalFormatting sqref="D64:W64">
    <cfRule type="containsErrors" dxfId="623" priority="127">
      <formula>ISERROR(D64)</formula>
    </cfRule>
  </conditionalFormatting>
  <conditionalFormatting sqref="D64:W64">
    <cfRule type="colorScale" priority="124">
      <colorScale>
        <cfvo type="min"/>
        <cfvo type="max"/>
        <color rgb="FFFCFCFF"/>
        <color rgb="FFF8696B"/>
      </colorScale>
    </cfRule>
  </conditionalFormatting>
  <conditionalFormatting sqref="A70">
    <cfRule type="containsErrors" dxfId="622" priority="123">
      <formula>ISERROR(A70)</formula>
    </cfRule>
  </conditionalFormatting>
  <conditionalFormatting sqref="A35">
    <cfRule type="containsErrors" dxfId="621" priority="122">
      <formula>ISERROR(A35)</formula>
    </cfRule>
  </conditionalFormatting>
  <conditionalFormatting sqref="D76:W103 D111:W138">
    <cfRule type="expression" dxfId="620" priority="82">
      <formula>$B76=$AC$4</formula>
    </cfRule>
  </conditionalFormatting>
  <conditionalFormatting sqref="AB2">
    <cfRule type="containsErrors" dxfId="619" priority="74">
      <formula>ISERROR(AB2)</formula>
    </cfRule>
  </conditionalFormatting>
  <conditionalFormatting sqref="AB3">
    <cfRule type="containsErrors" dxfId="618" priority="75">
      <formula>ISERROR(AB3)</formula>
    </cfRule>
  </conditionalFormatting>
  <conditionalFormatting sqref="D10:X10">
    <cfRule type="containsErrors" dxfId="617" priority="73">
      <formula>ISERROR(D10)</formula>
    </cfRule>
  </conditionalFormatting>
  <conditionalFormatting sqref="D10:X10">
    <cfRule type="colorScale" priority="72">
      <colorScale>
        <cfvo type="min"/>
        <cfvo type="max"/>
        <color rgb="FFFCFCFF"/>
        <color rgb="FFF8696B"/>
      </colorScale>
    </cfRule>
  </conditionalFormatting>
  <conditionalFormatting sqref="D11:X11">
    <cfRule type="containsErrors" dxfId="616" priority="70">
      <formula>ISERROR(D11)</formula>
    </cfRule>
  </conditionalFormatting>
  <conditionalFormatting sqref="D11:X11">
    <cfRule type="colorScale" priority="69">
      <colorScale>
        <cfvo type="min"/>
        <cfvo type="max"/>
        <color rgb="FFFCFCFF"/>
        <color rgb="FFF8696B"/>
      </colorScale>
    </cfRule>
  </conditionalFormatting>
  <conditionalFormatting sqref="D12:X12">
    <cfRule type="containsErrors" dxfId="615" priority="67">
      <formula>ISERROR(D12)</formula>
    </cfRule>
  </conditionalFormatting>
  <conditionalFormatting sqref="D12:X12">
    <cfRule type="colorScale" priority="66">
      <colorScale>
        <cfvo type="min"/>
        <cfvo type="max"/>
        <color rgb="FFFCFCFF"/>
        <color rgb="FFF8696B"/>
      </colorScale>
    </cfRule>
  </conditionalFormatting>
  <conditionalFormatting sqref="D13:X13">
    <cfRule type="containsErrors" dxfId="614" priority="64">
      <formula>ISERROR(D13)</formula>
    </cfRule>
  </conditionalFormatting>
  <conditionalFormatting sqref="D13:X13">
    <cfRule type="colorScale" priority="63">
      <colorScale>
        <cfvo type="min"/>
        <cfvo type="max"/>
        <color rgb="FFFCFCFF"/>
        <color rgb="FFF8696B"/>
      </colorScale>
    </cfRule>
  </conditionalFormatting>
  <conditionalFormatting sqref="D14:X14">
    <cfRule type="containsErrors" dxfId="613" priority="61">
      <formula>ISERROR(D14)</formula>
    </cfRule>
  </conditionalFormatting>
  <conditionalFormatting sqref="D14:X14">
    <cfRule type="colorScale" priority="60">
      <colorScale>
        <cfvo type="min"/>
        <cfvo type="max"/>
        <color rgb="FFFCFCFF"/>
        <color rgb="FFF8696B"/>
      </colorScale>
    </cfRule>
  </conditionalFormatting>
  <conditionalFormatting sqref="D15:X15">
    <cfRule type="containsErrors" dxfId="612" priority="58">
      <formula>ISERROR(D15)</formula>
    </cfRule>
  </conditionalFormatting>
  <conditionalFormatting sqref="D15:X15">
    <cfRule type="colorScale" priority="57">
      <colorScale>
        <cfvo type="min"/>
        <cfvo type="max"/>
        <color rgb="FFFCFCFF"/>
        <color rgb="FFF8696B"/>
      </colorScale>
    </cfRule>
  </conditionalFormatting>
  <conditionalFormatting sqref="D16:X16">
    <cfRule type="containsErrors" dxfId="611" priority="55">
      <formula>ISERROR(D16)</formula>
    </cfRule>
  </conditionalFormatting>
  <conditionalFormatting sqref="D16:X16">
    <cfRule type="colorScale" priority="54">
      <colorScale>
        <cfvo type="min"/>
        <cfvo type="max"/>
        <color rgb="FFFCFCFF"/>
        <color rgb="FFF8696B"/>
      </colorScale>
    </cfRule>
  </conditionalFormatting>
  <conditionalFormatting sqref="D17:X17">
    <cfRule type="containsErrors" dxfId="610" priority="52">
      <formula>ISERROR(D17)</formula>
    </cfRule>
  </conditionalFormatting>
  <conditionalFormatting sqref="D17:X17">
    <cfRule type="colorScale" priority="51">
      <colorScale>
        <cfvo type="min"/>
        <cfvo type="max"/>
        <color rgb="FFFCFCFF"/>
        <color rgb="FFF8696B"/>
      </colorScale>
    </cfRule>
  </conditionalFormatting>
  <conditionalFormatting sqref="D18:X18">
    <cfRule type="containsErrors" dxfId="609" priority="49">
      <formula>ISERROR(D18)</formula>
    </cfRule>
  </conditionalFormatting>
  <conditionalFormatting sqref="D18:X18">
    <cfRule type="colorScale" priority="48">
      <colorScale>
        <cfvo type="min"/>
        <cfvo type="max"/>
        <color rgb="FFFCFCFF"/>
        <color rgb="FFF8696B"/>
      </colorScale>
    </cfRule>
  </conditionalFormatting>
  <conditionalFormatting sqref="D19:X19">
    <cfRule type="containsErrors" dxfId="608" priority="46">
      <formula>ISERROR(D19)</formula>
    </cfRule>
  </conditionalFormatting>
  <conditionalFormatting sqref="D19:X19">
    <cfRule type="colorScale" priority="45">
      <colorScale>
        <cfvo type="min"/>
        <cfvo type="max"/>
        <color rgb="FFFCFCFF"/>
        <color rgb="FFF8696B"/>
      </colorScale>
    </cfRule>
  </conditionalFormatting>
  <conditionalFormatting sqref="D20:X20">
    <cfRule type="containsErrors" dxfId="607" priority="43">
      <formula>ISERROR(D20)</formula>
    </cfRule>
  </conditionalFormatting>
  <conditionalFormatting sqref="D20:X20">
    <cfRule type="colorScale" priority="42">
      <colorScale>
        <cfvo type="min"/>
        <cfvo type="max"/>
        <color rgb="FFFCFCFF"/>
        <color rgb="FFF8696B"/>
      </colorScale>
    </cfRule>
  </conditionalFormatting>
  <conditionalFormatting sqref="D21:X21">
    <cfRule type="containsErrors" dxfId="606" priority="40">
      <formula>ISERROR(D21)</formula>
    </cfRule>
  </conditionalFormatting>
  <conditionalFormatting sqref="D21:X21">
    <cfRule type="colorScale" priority="39">
      <colorScale>
        <cfvo type="min"/>
        <cfvo type="max"/>
        <color rgb="FFFCFCFF"/>
        <color rgb="FFF8696B"/>
      </colorScale>
    </cfRule>
  </conditionalFormatting>
  <conditionalFormatting sqref="D22:X22">
    <cfRule type="containsErrors" dxfId="605" priority="37">
      <formula>ISERROR(D22)</formula>
    </cfRule>
  </conditionalFormatting>
  <conditionalFormatting sqref="D22:X22">
    <cfRule type="colorScale" priority="36">
      <colorScale>
        <cfvo type="min"/>
        <cfvo type="max"/>
        <color rgb="FFFCFCFF"/>
        <color rgb="FFF8696B"/>
      </colorScale>
    </cfRule>
  </conditionalFormatting>
  <conditionalFormatting sqref="D23:X23">
    <cfRule type="containsErrors" dxfId="604" priority="34">
      <formula>ISERROR(D23)</formula>
    </cfRule>
  </conditionalFormatting>
  <conditionalFormatting sqref="D23:X23">
    <cfRule type="colorScale" priority="33">
      <colorScale>
        <cfvo type="min"/>
        <cfvo type="max"/>
        <color rgb="FFFCFCFF"/>
        <color rgb="FFF8696B"/>
      </colorScale>
    </cfRule>
  </conditionalFormatting>
  <conditionalFormatting sqref="D24:X24">
    <cfRule type="containsErrors" dxfId="603" priority="31">
      <formula>ISERROR(D24)</formula>
    </cfRule>
  </conditionalFormatting>
  <conditionalFormatting sqref="D24:X24">
    <cfRule type="colorScale" priority="30">
      <colorScale>
        <cfvo type="min"/>
        <cfvo type="max"/>
        <color rgb="FFFCFCFF"/>
        <color rgb="FFF8696B"/>
      </colorScale>
    </cfRule>
  </conditionalFormatting>
  <conditionalFormatting sqref="D25:X25">
    <cfRule type="containsErrors" dxfId="602" priority="28">
      <formula>ISERROR(D25)</formula>
    </cfRule>
  </conditionalFormatting>
  <conditionalFormatting sqref="D25:X25">
    <cfRule type="colorScale" priority="27">
      <colorScale>
        <cfvo type="min"/>
        <cfvo type="max"/>
        <color rgb="FFFCFCFF"/>
        <color rgb="FFF8696B"/>
      </colorScale>
    </cfRule>
  </conditionalFormatting>
  <conditionalFormatting sqref="D26:X26">
    <cfRule type="containsErrors" dxfId="601" priority="25">
      <formula>ISERROR(D26)</formula>
    </cfRule>
  </conditionalFormatting>
  <conditionalFormatting sqref="D26:X26">
    <cfRule type="colorScale" priority="24">
      <colorScale>
        <cfvo type="min"/>
        <cfvo type="max"/>
        <color rgb="FFFCFCFF"/>
        <color rgb="FFF8696B"/>
      </colorScale>
    </cfRule>
  </conditionalFormatting>
  <conditionalFormatting sqref="D27:X27">
    <cfRule type="containsErrors" dxfId="600" priority="22">
      <formula>ISERROR(D27)</formula>
    </cfRule>
  </conditionalFormatting>
  <conditionalFormatting sqref="D27:X27">
    <cfRule type="colorScale" priority="21">
      <colorScale>
        <cfvo type="min"/>
        <cfvo type="max"/>
        <color rgb="FFFCFCFF"/>
        <color rgb="FFF8696B"/>
      </colorScale>
    </cfRule>
  </conditionalFormatting>
  <conditionalFormatting sqref="D28:X28">
    <cfRule type="containsErrors" dxfId="599" priority="19">
      <formula>ISERROR(D28)</formula>
    </cfRule>
  </conditionalFormatting>
  <conditionalFormatting sqref="D28:X28">
    <cfRule type="colorScale" priority="18">
      <colorScale>
        <cfvo type="min"/>
        <cfvo type="max"/>
        <color rgb="FFFCFCFF"/>
        <color rgb="FFF8696B"/>
      </colorScale>
    </cfRule>
  </conditionalFormatting>
  <conditionalFormatting sqref="D29:X29">
    <cfRule type="containsErrors" dxfId="598" priority="16">
      <formula>ISERROR(D29)</formula>
    </cfRule>
  </conditionalFormatting>
  <conditionalFormatting sqref="D29:X29">
    <cfRule type="colorScale" priority="15">
      <colorScale>
        <cfvo type="min"/>
        <cfvo type="max"/>
        <color rgb="FFFCFCFF"/>
        <color rgb="FFF8696B"/>
      </colorScale>
    </cfRule>
  </conditionalFormatting>
  <conditionalFormatting sqref="D30:X30">
    <cfRule type="containsErrors" dxfId="597" priority="13">
      <formula>ISERROR(D30)</formula>
    </cfRule>
  </conditionalFormatting>
  <conditionalFormatting sqref="D30:X30">
    <cfRule type="colorScale" priority="12">
      <colorScale>
        <cfvo type="min"/>
        <cfvo type="max"/>
        <color rgb="FFFCFCFF"/>
        <color rgb="FFF8696B"/>
      </colorScale>
    </cfRule>
  </conditionalFormatting>
  <conditionalFormatting sqref="D31:X31">
    <cfRule type="containsErrors" dxfId="596" priority="10">
      <formula>ISERROR(D31)</formula>
    </cfRule>
  </conditionalFormatting>
  <conditionalFormatting sqref="D31:X31">
    <cfRule type="colorScale" priority="9">
      <colorScale>
        <cfvo type="min"/>
        <cfvo type="max"/>
        <color rgb="FFFCFCFF"/>
        <color rgb="FFF8696B"/>
      </colorScale>
    </cfRule>
  </conditionalFormatting>
  <conditionalFormatting sqref="D32 P32:Q32 T32:X32 H32:J32">
    <cfRule type="containsErrors" dxfId="595" priority="7">
      <formula>ISERROR(D32)</formula>
    </cfRule>
  </conditionalFormatting>
  <conditionalFormatting sqref="P32:Q32 D32 T32:X32 H32:J32">
    <cfRule type="colorScale" priority="6">
      <colorScale>
        <cfvo type="min"/>
        <cfvo type="max"/>
        <color rgb="FFFCFCFF"/>
        <color rgb="FFF8696B"/>
      </colorScale>
    </cfRule>
  </conditionalFormatting>
  <conditionalFormatting sqref="AC3:AG3">
    <cfRule type="containsErrors" dxfId="594" priority="2">
      <formula>ISERROR(AC3)</formula>
    </cfRule>
  </conditionalFormatting>
  <conditionalFormatting sqref="AC2:AG2">
    <cfRule type="containsErrors" dxfId="593" priority="1">
      <formula>ISERROR(AC2)</formula>
    </cfRule>
  </conditionalFormatting>
  <hyperlinks>
    <hyperlink ref="B147:B148" location="Coverage!A1" display="Participating LA's" xr:uid="{637F7054-0FA0-4660-9005-F1DE0D8D25A7}"/>
    <hyperlink ref="B149:B150" location="IDACI!A1" display="IDACI" xr:uid="{104E679E-D9E8-46EE-91CE-07D2C2BBB4A6}"/>
    <hyperlink ref="B177:B178" location="Adoption!A1" display="Adoption" xr:uid="{A7BC8E57-34FE-46E0-8336-B835550AB53A}"/>
    <hyperlink ref="B171:B172" location="'Looked After Children'!A1" display="Looked After Children" xr:uid="{1ABCBF6C-F6AB-40F9-A76C-8FAD61E2FB69}"/>
    <hyperlink ref="B169:B170" location="'Court Applications'!A1" display="Court Applications" xr:uid="{BC470534-C43E-4062-96D3-97EDCF14973E}"/>
    <hyperlink ref="B167:B168" location="'Child Protection Plans'!A1" display="Child Protection Plans" xr:uid="{99B03668-0610-418D-A2FF-F794E42517C7}"/>
    <hyperlink ref="B165:B166" location="'Initial CP Conferences'!A1" display="Initial Child Protection Conferences" xr:uid="{22B46E02-7248-49E3-B81E-C0E76360E4C0}"/>
    <hyperlink ref="B163:B164" location="'Section 47 Enquiries'!A1" display="Section 47 Enquiries" xr:uid="{3E2BDF5F-9682-48A1-A4F5-54A44FCFEE8B}"/>
    <hyperlink ref="B161:B162" location="'Children in Need'!A1" display="Children in Need" xr:uid="{5C9682B3-694D-487C-A75E-BE9AB4A5A464}"/>
    <hyperlink ref="B159:B160" location="Assessments!A1" display="Assessments" xr:uid="{B4F91713-C048-498A-BDDF-7891B2501A38}"/>
    <hyperlink ref="B157:B158" location="'Re-referrals'!A1" display="Re-referrals" xr:uid="{C7A3C8B5-EB6E-4764-884E-C0FD9AAAD722}"/>
    <hyperlink ref="B155:B156" location="Referral_Source!A1" display="Referral Source" xr:uid="{21BD2728-FCE9-4349-8BC3-5D1208C829E5}"/>
    <hyperlink ref="B153:B154" location="Referrals!A1" display="Referrals" xr:uid="{090C1FDD-E7BF-4BAE-93F6-1D59E15746FA}"/>
    <hyperlink ref="B151:B152" location="Population!A1" display="Population" xr:uid="{941E9CBE-1AA5-4DC5-ADCC-3E6504CA69DD}"/>
    <hyperlink ref="B149:C150" location="IDACI!A1" display="IDACI" xr:uid="{E2FB9EB6-A148-4BBB-97C2-46D5426E6873}"/>
    <hyperlink ref="B145:B146" location="Coverage!A1" display="Participating LA's" xr:uid="{A73A6CE3-6DEC-4369-81A0-F71DAB10CCE3}"/>
    <hyperlink ref="B145:C146" location="Indicators!A1" display="Indicators" xr:uid="{EA3D1C15-6923-4434-BA20-BEE828B15B3D}"/>
    <hyperlink ref="B175:B176" location="'Looked After Children'!A1" display="Looked After Children" xr:uid="{1ABC8B63-B648-4978-96B7-64924C52ADD0}"/>
    <hyperlink ref="B173:B174" location="'Court Applications'!A1" display="Court Applications" xr:uid="{32DCB2E5-4606-41B8-B873-2C7F8C20B9B3}"/>
    <hyperlink ref="B173:C174" location="New_Ceased_LAC!A1" display="New/ Ceased Looked After Children" xr:uid="{8FC0D131-0851-4ED6-98E4-E1A984019B1D}"/>
    <hyperlink ref="B175:C176" location="Care_Leavers!A1" display="Care Leavers" xr:uid="{16C57D14-D200-4E98-924F-7C9ABE8E17D9}"/>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70" max="24" man="1"/>
    <brk id="105" max="24" man="1"/>
  </rowBreaks>
  <ignoredErrors>
    <ignoredError sqref="A41:A62 A9:A30" evalError="1"/>
  </ignoredErrors>
  <drawing r:id="rId2"/>
  <extLst>
    <ext xmlns:x14="http://schemas.microsoft.com/office/spreadsheetml/2009/9/main" uri="{05C60535-1F16-4fd2-B633-F4F36F0B64E0}">
      <x14:sparklineGroups xmlns:xm="http://schemas.microsoft.com/office/excel/2006/main">
        <x14:sparklineGroup displayEmptyCellsAs="gap" displayHidden="1" xr2:uid="{00000000-0003-0000-1200-000000000000}">
          <x14:colorSeries rgb="FF000000"/>
          <x14:colorNegative rgb="FF0070C0"/>
          <x14:colorAxis rgb="FF000000"/>
          <x14:colorMarkers rgb="FF0070C0"/>
          <x14:colorFirst rgb="FF0070C0"/>
          <x14:colorLast rgb="FF0070C0"/>
          <x14:colorHigh rgb="FF0070C0"/>
          <x14:colorLow rgb="FF0070C0"/>
          <x14:sparklines>
            <x14:sparkline>
              <xm:f>Referral_Source!BU138:BY138</xm:f>
              <xm:sqref>V111</xm:sqref>
            </x14:sparkline>
            <x14:sparkline>
              <xm:f>Referral_Source!BU139:BY139</xm:f>
              <xm:sqref>V112</xm:sqref>
            </x14:sparkline>
            <x14:sparkline>
              <xm:f>Referral_Source!BU140:BY140</xm:f>
              <xm:sqref>V113</xm:sqref>
            </x14:sparkline>
            <x14:sparkline>
              <xm:f>Referral_Source!BU141:BY141</xm:f>
              <xm:sqref>V114</xm:sqref>
            </x14:sparkline>
            <x14:sparkline>
              <xm:f>Referral_Source!BU142:BY142</xm:f>
              <xm:sqref>V115</xm:sqref>
            </x14:sparkline>
            <x14:sparkline>
              <xm:f>Referral_Source!BU143:BY143</xm:f>
              <xm:sqref>V116</xm:sqref>
            </x14:sparkline>
            <x14:sparkline>
              <xm:f>Referral_Source!BU144:BY144</xm:f>
              <xm:sqref>V117</xm:sqref>
            </x14:sparkline>
            <x14:sparkline>
              <xm:f>Referral_Source!BU145:BY145</xm:f>
              <xm:sqref>V118</xm:sqref>
            </x14:sparkline>
            <x14:sparkline>
              <xm:f>Referral_Source!BU146:BY146</xm:f>
              <xm:sqref>V119</xm:sqref>
            </x14:sparkline>
            <x14:sparkline>
              <xm:f>Referral_Source!BU147:BY147</xm:f>
              <xm:sqref>V120</xm:sqref>
            </x14:sparkline>
            <x14:sparkline>
              <xm:f>Referral_Source!BU148:BY148</xm:f>
              <xm:sqref>V121</xm:sqref>
            </x14:sparkline>
            <x14:sparkline>
              <xm:f>Referral_Source!BU149:BY149</xm:f>
              <xm:sqref>V122</xm:sqref>
            </x14:sparkline>
            <x14:sparkline>
              <xm:f>Referral_Source!BU150:BY150</xm:f>
              <xm:sqref>V123</xm:sqref>
            </x14:sparkline>
            <x14:sparkline>
              <xm:f>Referral_Source!BU151:BY151</xm:f>
              <xm:sqref>V124</xm:sqref>
            </x14:sparkline>
            <x14:sparkline>
              <xm:f>Referral_Source!BU152:BY152</xm:f>
              <xm:sqref>V125</xm:sqref>
            </x14:sparkline>
            <x14:sparkline>
              <xm:f>Referral_Source!BU153:BY153</xm:f>
              <xm:sqref>V126</xm:sqref>
            </x14:sparkline>
            <x14:sparkline>
              <xm:f>Referral_Source!BU154:BY154</xm:f>
              <xm:sqref>V127</xm:sqref>
            </x14:sparkline>
            <x14:sparkline>
              <xm:f>Referral_Source!BU155:BY155</xm:f>
              <xm:sqref>V128</xm:sqref>
            </x14:sparkline>
            <x14:sparkline>
              <xm:f>Referral_Source!BU156:BY156</xm:f>
              <xm:sqref>V129</xm:sqref>
            </x14:sparkline>
            <x14:sparkline>
              <xm:f>Referral_Source!BU157:BY157</xm:f>
              <xm:sqref>V130</xm:sqref>
            </x14:sparkline>
            <x14:sparkline>
              <xm:f>Referral_Source!BU158:BY158</xm:f>
              <xm:sqref>V131</xm:sqref>
            </x14:sparkline>
            <x14:sparkline>
              <xm:f>Referral_Source!BU159:BY159</xm:f>
              <xm:sqref>V132</xm:sqref>
            </x14:sparkline>
            <x14:sparkline>
              <xm:f>Referral_Source!BU160:BY160</xm:f>
              <xm:sqref>V133</xm:sqref>
            </x14:sparkline>
            <x14:sparkline>
              <xm:f>Referral_Source!BU161:BY161</xm:f>
              <xm:sqref>V134</xm:sqref>
            </x14:sparkline>
          </x14:sparklines>
        </x14:sparklineGroup>
        <x14:sparklineGroup displayEmptyCellsAs="gap" displayHidden="1" xr2:uid="{00000000-0003-0000-1200-000001000000}">
          <x14:colorSeries rgb="FF000000"/>
          <x14:colorNegative rgb="FF0070C0"/>
          <x14:colorAxis rgb="FF000000"/>
          <x14:colorMarkers rgb="FF0070C0"/>
          <x14:colorFirst rgb="FF0070C0"/>
          <x14:colorLast rgb="FF0070C0"/>
          <x14:colorHigh rgb="FF0070C0"/>
          <x14:colorLow rgb="FF0070C0"/>
          <x14:sparklines>
            <x14:sparkline>
              <xm:f>Referral_Source!BP138:BT138</xm:f>
              <xm:sqref>T111</xm:sqref>
            </x14:sparkline>
            <x14:sparkline>
              <xm:f>Referral_Source!BP139:BT139</xm:f>
              <xm:sqref>T112</xm:sqref>
            </x14:sparkline>
            <x14:sparkline>
              <xm:f>Referral_Source!BP140:BT140</xm:f>
              <xm:sqref>T113</xm:sqref>
            </x14:sparkline>
            <x14:sparkline>
              <xm:f>Referral_Source!BP141:BT141</xm:f>
              <xm:sqref>T114</xm:sqref>
            </x14:sparkline>
            <x14:sparkline>
              <xm:f>Referral_Source!BP142:BT142</xm:f>
              <xm:sqref>T115</xm:sqref>
            </x14:sparkline>
            <x14:sparkline>
              <xm:f>Referral_Source!BP143:BT143</xm:f>
              <xm:sqref>T116</xm:sqref>
            </x14:sparkline>
            <x14:sparkline>
              <xm:f>Referral_Source!BP144:BT144</xm:f>
              <xm:sqref>T117</xm:sqref>
            </x14:sparkline>
            <x14:sparkline>
              <xm:f>Referral_Source!BP145:BT145</xm:f>
              <xm:sqref>T118</xm:sqref>
            </x14:sparkline>
            <x14:sparkline>
              <xm:f>Referral_Source!BP146:BT146</xm:f>
              <xm:sqref>T119</xm:sqref>
            </x14:sparkline>
            <x14:sparkline>
              <xm:f>Referral_Source!BP147:BT147</xm:f>
              <xm:sqref>T120</xm:sqref>
            </x14:sparkline>
            <x14:sparkline>
              <xm:f>Referral_Source!BP148:BT148</xm:f>
              <xm:sqref>T121</xm:sqref>
            </x14:sparkline>
            <x14:sparkline>
              <xm:f>Referral_Source!BP149:BT149</xm:f>
              <xm:sqref>T122</xm:sqref>
            </x14:sparkline>
            <x14:sparkline>
              <xm:f>Referral_Source!BP150:BT150</xm:f>
              <xm:sqref>T123</xm:sqref>
            </x14:sparkline>
            <x14:sparkline>
              <xm:f>Referral_Source!BP151:BT151</xm:f>
              <xm:sqref>T124</xm:sqref>
            </x14:sparkline>
            <x14:sparkline>
              <xm:f>Referral_Source!BP152:BT152</xm:f>
              <xm:sqref>T125</xm:sqref>
            </x14:sparkline>
            <x14:sparkline>
              <xm:f>Referral_Source!BP153:BT153</xm:f>
              <xm:sqref>T126</xm:sqref>
            </x14:sparkline>
            <x14:sparkline>
              <xm:f>Referral_Source!BP154:BT154</xm:f>
              <xm:sqref>T127</xm:sqref>
            </x14:sparkline>
            <x14:sparkline>
              <xm:f>Referral_Source!BP155:BT155</xm:f>
              <xm:sqref>T128</xm:sqref>
            </x14:sparkline>
            <x14:sparkline>
              <xm:f>Referral_Source!BP156:BT156</xm:f>
              <xm:sqref>T129</xm:sqref>
            </x14:sparkline>
            <x14:sparkline>
              <xm:f>Referral_Source!BP157:BT157</xm:f>
              <xm:sqref>T130</xm:sqref>
            </x14:sparkline>
            <x14:sparkline>
              <xm:f>Referral_Source!BP158:BT158</xm:f>
              <xm:sqref>T131</xm:sqref>
            </x14:sparkline>
            <x14:sparkline>
              <xm:f>Referral_Source!BP159:BT159</xm:f>
              <xm:sqref>T132</xm:sqref>
            </x14:sparkline>
            <x14:sparkline>
              <xm:f>Referral_Source!BP160:BT160</xm:f>
              <xm:sqref>T133</xm:sqref>
            </x14:sparkline>
            <x14:sparkline>
              <xm:f>Referral_Source!BP161:BT161</xm:f>
              <xm:sqref>T134</xm:sqref>
            </x14:sparkline>
          </x14:sparklines>
        </x14:sparklineGroup>
        <x14:sparklineGroup displayEmptyCellsAs="gap" displayHidden="1" xr2:uid="{00000000-0003-0000-1200-000002000000}">
          <x14:colorSeries rgb="FF000000"/>
          <x14:colorNegative rgb="FF0070C0"/>
          <x14:colorAxis rgb="FF000000"/>
          <x14:colorMarkers rgb="FF0070C0"/>
          <x14:colorFirst rgb="FF0070C0"/>
          <x14:colorLast rgb="FF0070C0"/>
          <x14:colorHigh rgb="FF0070C0"/>
          <x14:colorLow rgb="FF0070C0"/>
          <x14:sparklines>
            <x14:sparkline>
              <xm:f>Referral_Source!BK138:BO138</xm:f>
              <xm:sqref>R111</xm:sqref>
            </x14:sparkline>
            <x14:sparkline>
              <xm:f>Referral_Source!BK139:BO139</xm:f>
              <xm:sqref>R112</xm:sqref>
            </x14:sparkline>
            <x14:sparkline>
              <xm:f>Referral_Source!BK140:BO140</xm:f>
              <xm:sqref>R113</xm:sqref>
            </x14:sparkline>
            <x14:sparkline>
              <xm:f>Referral_Source!BK141:BO141</xm:f>
              <xm:sqref>R114</xm:sqref>
            </x14:sparkline>
            <x14:sparkline>
              <xm:f>Referral_Source!BK142:BO142</xm:f>
              <xm:sqref>R115</xm:sqref>
            </x14:sparkline>
            <x14:sparkline>
              <xm:f>Referral_Source!BK143:BO143</xm:f>
              <xm:sqref>R116</xm:sqref>
            </x14:sparkline>
            <x14:sparkline>
              <xm:f>Referral_Source!BK144:BO144</xm:f>
              <xm:sqref>R117</xm:sqref>
            </x14:sparkline>
            <x14:sparkline>
              <xm:f>Referral_Source!BK145:BO145</xm:f>
              <xm:sqref>R118</xm:sqref>
            </x14:sparkline>
            <x14:sparkline>
              <xm:f>Referral_Source!BK146:BO146</xm:f>
              <xm:sqref>R119</xm:sqref>
            </x14:sparkline>
            <x14:sparkline>
              <xm:f>Referral_Source!BK147:BO147</xm:f>
              <xm:sqref>R120</xm:sqref>
            </x14:sparkline>
            <x14:sparkline>
              <xm:f>Referral_Source!BK148:BO148</xm:f>
              <xm:sqref>R121</xm:sqref>
            </x14:sparkline>
            <x14:sparkline>
              <xm:f>Referral_Source!BK149:BO149</xm:f>
              <xm:sqref>R122</xm:sqref>
            </x14:sparkline>
            <x14:sparkline>
              <xm:f>Referral_Source!BK150:BO150</xm:f>
              <xm:sqref>R123</xm:sqref>
            </x14:sparkline>
            <x14:sparkline>
              <xm:f>Referral_Source!BK151:BO151</xm:f>
              <xm:sqref>R124</xm:sqref>
            </x14:sparkline>
            <x14:sparkline>
              <xm:f>Referral_Source!BK152:BO152</xm:f>
              <xm:sqref>R125</xm:sqref>
            </x14:sparkline>
            <x14:sparkline>
              <xm:f>Referral_Source!BK153:BO153</xm:f>
              <xm:sqref>R126</xm:sqref>
            </x14:sparkline>
            <x14:sparkline>
              <xm:f>Referral_Source!BK154:BO154</xm:f>
              <xm:sqref>R127</xm:sqref>
            </x14:sparkline>
            <x14:sparkline>
              <xm:f>Referral_Source!BK155:BO155</xm:f>
              <xm:sqref>R128</xm:sqref>
            </x14:sparkline>
            <x14:sparkline>
              <xm:f>Referral_Source!BK156:BO156</xm:f>
              <xm:sqref>R129</xm:sqref>
            </x14:sparkline>
            <x14:sparkline>
              <xm:f>Referral_Source!BK157:BO157</xm:f>
              <xm:sqref>R130</xm:sqref>
            </x14:sparkline>
            <x14:sparkline>
              <xm:f>Referral_Source!BK158:BO158</xm:f>
              <xm:sqref>R131</xm:sqref>
            </x14:sparkline>
            <x14:sparkline>
              <xm:f>Referral_Source!BK159:BO159</xm:f>
              <xm:sqref>R132</xm:sqref>
            </x14:sparkline>
            <x14:sparkline>
              <xm:f>Referral_Source!BK160:BO160</xm:f>
              <xm:sqref>R133</xm:sqref>
            </x14:sparkline>
            <x14:sparkline>
              <xm:f>Referral_Source!BK161:BO161</xm:f>
              <xm:sqref>R134</xm:sqref>
            </x14:sparkline>
          </x14:sparklines>
        </x14:sparklineGroup>
        <x14:sparklineGroup displayEmptyCellsAs="gap" displayHidden="1" xr2:uid="{00000000-0003-0000-1200-000003000000}">
          <x14:colorSeries rgb="FF000000"/>
          <x14:colorNegative rgb="FF0070C0"/>
          <x14:colorAxis rgb="FF000000"/>
          <x14:colorMarkers rgb="FF0070C0"/>
          <x14:colorFirst rgb="FF0070C0"/>
          <x14:colorLast rgb="FF0070C0"/>
          <x14:colorHigh rgb="FF0070C0"/>
          <x14:colorLow rgb="FF0070C0"/>
          <x14:sparklines>
            <x14:sparkline>
              <xm:f>Referral_Source!BF138:BJ138</xm:f>
              <xm:sqref>P111</xm:sqref>
            </x14:sparkline>
            <x14:sparkline>
              <xm:f>Referral_Source!BF139:BJ139</xm:f>
              <xm:sqref>P112</xm:sqref>
            </x14:sparkline>
            <x14:sparkline>
              <xm:f>Referral_Source!BF140:BJ140</xm:f>
              <xm:sqref>P113</xm:sqref>
            </x14:sparkline>
            <x14:sparkline>
              <xm:f>Referral_Source!BF141:BJ141</xm:f>
              <xm:sqref>P114</xm:sqref>
            </x14:sparkline>
            <x14:sparkline>
              <xm:f>Referral_Source!BF142:BJ142</xm:f>
              <xm:sqref>P115</xm:sqref>
            </x14:sparkline>
            <x14:sparkline>
              <xm:f>Referral_Source!BF143:BJ143</xm:f>
              <xm:sqref>P116</xm:sqref>
            </x14:sparkline>
            <x14:sparkline>
              <xm:f>Referral_Source!BF144:BJ144</xm:f>
              <xm:sqref>P117</xm:sqref>
            </x14:sparkline>
            <x14:sparkline>
              <xm:f>Referral_Source!BF145:BJ145</xm:f>
              <xm:sqref>P118</xm:sqref>
            </x14:sparkline>
            <x14:sparkline>
              <xm:f>Referral_Source!BF146:BJ146</xm:f>
              <xm:sqref>P119</xm:sqref>
            </x14:sparkline>
            <x14:sparkline>
              <xm:f>Referral_Source!BF147:BJ147</xm:f>
              <xm:sqref>P120</xm:sqref>
            </x14:sparkline>
            <x14:sparkline>
              <xm:f>Referral_Source!BF148:BJ148</xm:f>
              <xm:sqref>P121</xm:sqref>
            </x14:sparkline>
            <x14:sparkline>
              <xm:f>Referral_Source!BF149:BJ149</xm:f>
              <xm:sqref>P122</xm:sqref>
            </x14:sparkline>
            <x14:sparkline>
              <xm:f>Referral_Source!BF150:BJ150</xm:f>
              <xm:sqref>P123</xm:sqref>
            </x14:sparkline>
            <x14:sparkline>
              <xm:f>Referral_Source!BF151:BJ151</xm:f>
              <xm:sqref>P124</xm:sqref>
            </x14:sparkline>
            <x14:sparkline>
              <xm:f>Referral_Source!BF152:BJ152</xm:f>
              <xm:sqref>P125</xm:sqref>
            </x14:sparkline>
            <x14:sparkline>
              <xm:f>Referral_Source!BF153:BJ153</xm:f>
              <xm:sqref>P126</xm:sqref>
            </x14:sparkline>
            <x14:sparkline>
              <xm:f>Referral_Source!BF154:BJ154</xm:f>
              <xm:sqref>P127</xm:sqref>
            </x14:sparkline>
            <x14:sparkline>
              <xm:f>Referral_Source!BF155:BJ155</xm:f>
              <xm:sqref>P128</xm:sqref>
            </x14:sparkline>
            <x14:sparkline>
              <xm:f>Referral_Source!BF156:BJ156</xm:f>
              <xm:sqref>P129</xm:sqref>
            </x14:sparkline>
            <x14:sparkline>
              <xm:f>Referral_Source!BF157:BJ157</xm:f>
              <xm:sqref>P130</xm:sqref>
            </x14:sparkline>
            <x14:sparkline>
              <xm:f>Referral_Source!BF158:BJ158</xm:f>
              <xm:sqref>P131</xm:sqref>
            </x14:sparkline>
            <x14:sparkline>
              <xm:f>Referral_Source!BF159:BJ159</xm:f>
              <xm:sqref>P132</xm:sqref>
            </x14:sparkline>
            <x14:sparkline>
              <xm:f>Referral_Source!BF160:BJ160</xm:f>
              <xm:sqref>P133</xm:sqref>
            </x14:sparkline>
            <x14:sparkline>
              <xm:f>Referral_Source!BF161:BJ161</xm:f>
              <xm:sqref>P134</xm:sqref>
            </x14:sparkline>
          </x14:sparklines>
        </x14:sparklineGroup>
        <x14:sparklineGroup displayEmptyCellsAs="gap" displayHidden="1" xr2:uid="{00000000-0003-0000-1200-000004000000}">
          <x14:colorSeries rgb="FF000000"/>
          <x14:colorNegative rgb="FF0070C0"/>
          <x14:colorAxis rgb="FF000000"/>
          <x14:colorMarkers rgb="FF0070C0"/>
          <x14:colorFirst rgb="FF0070C0"/>
          <x14:colorLast rgb="FF0070C0"/>
          <x14:colorHigh rgb="FF0070C0"/>
          <x14:colorLow rgb="FF0070C0"/>
          <x14:sparklines>
            <x14:sparkline>
              <xm:f>Referral_Source!BA138:BE138</xm:f>
              <xm:sqref>N111</xm:sqref>
            </x14:sparkline>
            <x14:sparkline>
              <xm:f>Referral_Source!BA139:BE139</xm:f>
              <xm:sqref>N112</xm:sqref>
            </x14:sparkline>
            <x14:sparkline>
              <xm:f>Referral_Source!BA140:BE140</xm:f>
              <xm:sqref>N113</xm:sqref>
            </x14:sparkline>
            <x14:sparkline>
              <xm:f>Referral_Source!BA141:BE141</xm:f>
              <xm:sqref>N114</xm:sqref>
            </x14:sparkline>
            <x14:sparkline>
              <xm:f>Referral_Source!BA142:BE142</xm:f>
              <xm:sqref>N115</xm:sqref>
            </x14:sparkline>
            <x14:sparkline>
              <xm:f>Referral_Source!BA143:BE143</xm:f>
              <xm:sqref>N116</xm:sqref>
            </x14:sparkline>
            <x14:sparkline>
              <xm:f>Referral_Source!BA144:BE144</xm:f>
              <xm:sqref>N117</xm:sqref>
            </x14:sparkline>
            <x14:sparkline>
              <xm:f>Referral_Source!BA145:BE145</xm:f>
              <xm:sqref>N118</xm:sqref>
            </x14:sparkline>
            <x14:sparkline>
              <xm:f>Referral_Source!BA146:BE146</xm:f>
              <xm:sqref>N119</xm:sqref>
            </x14:sparkline>
            <x14:sparkline>
              <xm:f>Referral_Source!BA147:BE147</xm:f>
              <xm:sqref>N120</xm:sqref>
            </x14:sparkline>
            <x14:sparkline>
              <xm:f>Referral_Source!BA148:BE148</xm:f>
              <xm:sqref>N121</xm:sqref>
            </x14:sparkline>
            <x14:sparkline>
              <xm:f>Referral_Source!BA149:BE149</xm:f>
              <xm:sqref>N122</xm:sqref>
            </x14:sparkline>
            <x14:sparkline>
              <xm:f>Referral_Source!BA150:BE150</xm:f>
              <xm:sqref>N123</xm:sqref>
            </x14:sparkline>
            <x14:sparkline>
              <xm:f>Referral_Source!BA151:BE151</xm:f>
              <xm:sqref>N124</xm:sqref>
            </x14:sparkline>
            <x14:sparkline>
              <xm:f>Referral_Source!BA152:BE152</xm:f>
              <xm:sqref>N125</xm:sqref>
            </x14:sparkline>
            <x14:sparkline>
              <xm:f>Referral_Source!BA153:BE153</xm:f>
              <xm:sqref>N126</xm:sqref>
            </x14:sparkline>
            <x14:sparkline>
              <xm:f>Referral_Source!BA154:BE154</xm:f>
              <xm:sqref>N127</xm:sqref>
            </x14:sparkline>
            <x14:sparkline>
              <xm:f>Referral_Source!BA155:BE155</xm:f>
              <xm:sqref>N128</xm:sqref>
            </x14:sparkline>
            <x14:sparkline>
              <xm:f>Referral_Source!BA156:BE156</xm:f>
              <xm:sqref>N129</xm:sqref>
            </x14:sparkline>
            <x14:sparkline>
              <xm:f>Referral_Source!BA157:BE157</xm:f>
              <xm:sqref>N130</xm:sqref>
            </x14:sparkline>
            <x14:sparkline>
              <xm:f>Referral_Source!BA158:BE158</xm:f>
              <xm:sqref>N131</xm:sqref>
            </x14:sparkline>
            <x14:sparkline>
              <xm:f>Referral_Source!BA159:BE159</xm:f>
              <xm:sqref>N132</xm:sqref>
            </x14:sparkline>
            <x14:sparkline>
              <xm:f>Referral_Source!BA160:BE160</xm:f>
              <xm:sqref>N133</xm:sqref>
            </x14:sparkline>
            <x14:sparkline>
              <xm:f>Referral_Source!BA161:BE161</xm:f>
              <xm:sqref>N134</xm:sqref>
            </x14:sparkline>
          </x14:sparklines>
        </x14:sparklineGroup>
        <x14:sparklineGroup displayEmptyCellsAs="gap" displayHidden="1" xr2:uid="{00000000-0003-0000-1200-000005000000}">
          <x14:colorSeries rgb="FF000000"/>
          <x14:colorNegative rgb="FF0070C0"/>
          <x14:colorAxis rgb="FF000000"/>
          <x14:colorMarkers rgb="FF0070C0"/>
          <x14:colorFirst rgb="FF0070C0"/>
          <x14:colorLast rgb="FF0070C0"/>
          <x14:colorHigh rgb="FF0070C0"/>
          <x14:colorLow rgb="FF0070C0"/>
          <x14:sparklines>
            <x14:sparkline>
              <xm:f>Referral_Source!AV138:AZ138</xm:f>
              <xm:sqref>L111</xm:sqref>
            </x14:sparkline>
            <x14:sparkline>
              <xm:f>Referral_Source!AV139:AZ139</xm:f>
              <xm:sqref>L112</xm:sqref>
            </x14:sparkline>
            <x14:sparkline>
              <xm:f>Referral_Source!AV140:AZ140</xm:f>
              <xm:sqref>L113</xm:sqref>
            </x14:sparkline>
            <x14:sparkline>
              <xm:f>Referral_Source!AV141:AZ141</xm:f>
              <xm:sqref>L114</xm:sqref>
            </x14:sparkline>
            <x14:sparkline>
              <xm:f>Referral_Source!AV142:AZ142</xm:f>
              <xm:sqref>L115</xm:sqref>
            </x14:sparkline>
            <x14:sparkline>
              <xm:f>Referral_Source!AV143:AZ143</xm:f>
              <xm:sqref>L116</xm:sqref>
            </x14:sparkline>
            <x14:sparkline>
              <xm:f>Referral_Source!AV144:AZ144</xm:f>
              <xm:sqref>L117</xm:sqref>
            </x14:sparkline>
            <x14:sparkline>
              <xm:f>Referral_Source!AV145:AZ145</xm:f>
              <xm:sqref>L118</xm:sqref>
            </x14:sparkline>
            <x14:sparkline>
              <xm:f>Referral_Source!AV146:AZ146</xm:f>
              <xm:sqref>L119</xm:sqref>
            </x14:sparkline>
            <x14:sparkline>
              <xm:f>Referral_Source!AV147:AZ147</xm:f>
              <xm:sqref>L120</xm:sqref>
            </x14:sparkline>
            <x14:sparkline>
              <xm:f>Referral_Source!AV148:AZ148</xm:f>
              <xm:sqref>L121</xm:sqref>
            </x14:sparkline>
            <x14:sparkline>
              <xm:f>Referral_Source!AV149:AZ149</xm:f>
              <xm:sqref>L122</xm:sqref>
            </x14:sparkline>
            <x14:sparkline>
              <xm:f>Referral_Source!AV150:AZ150</xm:f>
              <xm:sqref>L123</xm:sqref>
            </x14:sparkline>
            <x14:sparkline>
              <xm:f>Referral_Source!AV151:AZ151</xm:f>
              <xm:sqref>L124</xm:sqref>
            </x14:sparkline>
            <x14:sparkline>
              <xm:f>Referral_Source!AV152:AZ152</xm:f>
              <xm:sqref>L125</xm:sqref>
            </x14:sparkline>
            <x14:sparkline>
              <xm:f>Referral_Source!AV153:AZ153</xm:f>
              <xm:sqref>L126</xm:sqref>
            </x14:sparkline>
            <x14:sparkline>
              <xm:f>Referral_Source!AV154:AZ154</xm:f>
              <xm:sqref>L127</xm:sqref>
            </x14:sparkline>
            <x14:sparkline>
              <xm:f>Referral_Source!AV155:AZ155</xm:f>
              <xm:sqref>L128</xm:sqref>
            </x14:sparkline>
            <x14:sparkline>
              <xm:f>Referral_Source!AV156:AZ156</xm:f>
              <xm:sqref>L129</xm:sqref>
            </x14:sparkline>
            <x14:sparkline>
              <xm:f>Referral_Source!AV157:AZ157</xm:f>
              <xm:sqref>L130</xm:sqref>
            </x14:sparkline>
            <x14:sparkline>
              <xm:f>Referral_Source!AV158:AZ158</xm:f>
              <xm:sqref>L131</xm:sqref>
            </x14:sparkline>
            <x14:sparkline>
              <xm:f>Referral_Source!AV159:AZ159</xm:f>
              <xm:sqref>L132</xm:sqref>
            </x14:sparkline>
            <x14:sparkline>
              <xm:f>Referral_Source!AV160:AZ160</xm:f>
              <xm:sqref>L133</xm:sqref>
            </x14:sparkline>
            <x14:sparkline>
              <xm:f>Referral_Source!AV161:AZ161</xm:f>
              <xm:sqref>L134</xm:sqref>
            </x14:sparkline>
          </x14:sparklines>
        </x14:sparklineGroup>
        <x14:sparklineGroup displayEmptyCellsAs="gap" displayHidden="1" xr2:uid="{00000000-0003-0000-1200-000006000000}">
          <x14:colorSeries rgb="FF000000"/>
          <x14:colorNegative rgb="FF0070C0"/>
          <x14:colorAxis rgb="FF000000"/>
          <x14:colorMarkers rgb="FF0070C0"/>
          <x14:colorFirst rgb="FF0070C0"/>
          <x14:colorLast rgb="FF0070C0"/>
          <x14:colorHigh rgb="FF0070C0"/>
          <x14:colorLow rgb="FF0070C0"/>
          <x14:sparklines>
            <x14:sparkline>
              <xm:f>Referral_Source!AQ138:AU138</xm:f>
              <xm:sqref>J111</xm:sqref>
            </x14:sparkline>
            <x14:sparkline>
              <xm:f>Referral_Source!AQ139:AU139</xm:f>
              <xm:sqref>J112</xm:sqref>
            </x14:sparkline>
            <x14:sparkline>
              <xm:f>Referral_Source!AQ140:AU140</xm:f>
              <xm:sqref>J113</xm:sqref>
            </x14:sparkline>
            <x14:sparkline>
              <xm:f>Referral_Source!AQ141:AU141</xm:f>
              <xm:sqref>J114</xm:sqref>
            </x14:sparkline>
            <x14:sparkline>
              <xm:f>Referral_Source!AQ142:AU142</xm:f>
              <xm:sqref>J115</xm:sqref>
            </x14:sparkline>
            <x14:sparkline>
              <xm:f>Referral_Source!AQ143:AU143</xm:f>
              <xm:sqref>J116</xm:sqref>
            </x14:sparkline>
            <x14:sparkline>
              <xm:f>Referral_Source!AQ144:AU144</xm:f>
              <xm:sqref>J117</xm:sqref>
            </x14:sparkline>
            <x14:sparkline>
              <xm:f>Referral_Source!AQ145:AU145</xm:f>
              <xm:sqref>J118</xm:sqref>
            </x14:sparkline>
            <x14:sparkline>
              <xm:f>Referral_Source!AQ146:AU146</xm:f>
              <xm:sqref>J119</xm:sqref>
            </x14:sparkline>
            <x14:sparkline>
              <xm:f>Referral_Source!AQ147:AU147</xm:f>
              <xm:sqref>J120</xm:sqref>
            </x14:sparkline>
            <x14:sparkline>
              <xm:f>Referral_Source!AQ148:AU148</xm:f>
              <xm:sqref>J121</xm:sqref>
            </x14:sparkline>
            <x14:sparkline>
              <xm:f>Referral_Source!AQ149:AU149</xm:f>
              <xm:sqref>J122</xm:sqref>
            </x14:sparkline>
            <x14:sparkline>
              <xm:f>Referral_Source!AQ150:AU150</xm:f>
              <xm:sqref>J123</xm:sqref>
            </x14:sparkline>
            <x14:sparkline>
              <xm:f>Referral_Source!AQ151:AU151</xm:f>
              <xm:sqref>J124</xm:sqref>
            </x14:sparkline>
            <x14:sparkline>
              <xm:f>Referral_Source!AQ152:AU152</xm:f>
              <xm:sqref>J125</xm:sqref>
            </x14:sparkline>
            <x14:sparkline>
              <xm:f>Referral_Source!AQ153:AU153</xm:f>
              <xm:sqref>J126</xm:sqref>
            </x14:sparkline>
            <x14:sparkline>
              <xm:f>Referral_Source!AQ154:AU154</xm:f>
              <xm:sqref>J127</xm:sqref>
            </x14:sparkline>
            <x14:sparkline>
              <xm:f>Referral_Source!AQ155:AU155</xm:f>
              <xm:sqref>J128</xm:sqref>
            </x14:sparkline>
            <x14:sparkline>
              <xm:f>Referral_Source!AQ156:AU156</xm:f>
              <xm:sqref>J129</xm:sqref>
            </x14:sparkline>
            <x14:sparkline>
              <xm:f>Referral_Source!AQ157:AU157</xm:f>
              <xm:sqref>J130</xm:sqref>
            </x14:sparkline>
            <x14:sparkline>
              <xm:f>Referral_Source!AQ158:AU158</xm:f>
              <xm:sqref>J131</xm:sqref>
            </x14:sparkline>
            <x14:sparkline>
              <xm:f>Referral_Source!AQ159:AU159</xm:f>
              <xm:sqref>J132</xm:sqref>
            </x14:sparkline>
            <x14:sparkline>
              <xm:f>Referral_Source!AQ160:AU160</xm:f>
              <xm:sqref>J133</xm:sqref>
            </x14:sparkline>
            <x14:sparkline>
              <xm:f>Referral_Source!AQ161:AU161</xm:f>
              <xm:sqref>J134</xm:sqref>
            </x14:sparkline>
          </x14:sparklines>
        </x14:sparklineGroup>
        <x14:sparklineGroup displayEmptyCellsAs="gap" displayHidden="1" xr2:uid="{00000000-0003-0000-1200-000007000000}">
          <x14:colorSeries rgb="FF000000"/>
          <x14:colorNegative rgb="FF0070C0"/>
          <x14:colorAxis rgb="FF000000"/>
          <x14:colorMarkers rgb="FF0070C0"/>
          <x14:colorFirst rgb="FF0070C0"/>
          <x14:colorLast rgb="FF0070C0"/>
          <x14:colorHigh rgb="FF0070C0"/>
          <x14:colorLow rgb="FF0070C0"/>
          <x14:sparklines>
            <x14:sparkline>
              <xm:f>Referral_Source!AL138:AP138</xm:f>
              <xm:sqref>H111</xm:sqref>
            </x14:sparkline>
            <x14:sparkline>
              <xm:f>Referral_Source!AL139:AP139</xm:f>
              <xm:sqref>H112</xm:sqref>
            </x14:sparkline>
            <x14:sparkline>
              <xm:f>Referral_Source!AL140:AP140</xm:f>
              <xm:sqref>H113</xm:sqref>
            </x14:sparkline>
            <x14:sparkline>
              <xm:f>Referral_Source!AL141:AP141</xm:f>
              <xm:sqref>H114</xm:sqref>
            </x14:sparkline>
            <x14:sparkline>
              <xm:f>Referral_Source!AL142:AP142</xm:f>
              <xm:sqref>H115</xm:sqref>
            </x14:sparkline>
            <x14:sparkline>
              <xm:f>Referral_Source!AL143:AP143</xm:f>
              <xm:sqref>H116</xm:sqref>
            </x14:sparkline>
            <x14:sparkline>
              <xm:f>Referral_Source!AL144:AP144</xm:f>
              <xm:sqref>H117</xm:sqref>
            </x14:sparkline>
            <x14:sparkline>
              <xm:f>Referral_Source!AL145:AP145</xm:f>
              <xm:sqref>H118</xm:sqref>
            </x14:sparkline>
            <x14:sparkline>
              <xm:f>Referral_Source!AL146:AP146</xm:f>
              <xm:sqref>H119</xm:sqref>
            </x14:sparkline>
            <x14:sparkline>
              <xm:f>Referral_Source!AL147:AP147</xm:f>
              <xm:sqref>H120</xm:sqref>
            </x14:sparkline>
            <x14:sparkline>
              <xm:f>Referral_Source!AL148:AP148</xm:f>
              <xm:sqref>H121</xm:sqref>
            </x14:sparkline>
            <x14:sparkline>
              <xm:f>Referral_Source!AL149:AP149</xm:f>
              <xm:sqref>H122</xm:sqref>
            </x14:sparkline>
            <x14:sparkline>
              <xm:f>Referral_Source!AL150:AP150</xm:f>
              <xm:sqref>H123</xm:sqref>
            </x14:sparkline>
            <x14:sparkline>
              <xm:f>Referral_Source!AL151:AP151</xm:f>
              <xm:sqref>H124</xm:sqref>
            </x14:sparkline>
            <x14:sparkline>
              <xm:f>Referral_Source!AL152:AP152</xm:f>
              <xm:sqref>H125</xm:sqref>
            </x14:sparkline>
            <x14:sparkline>
              <xm:f>Referral_Source!AL153:AP153</xm:f>
              <xm:sqref>H126</xm:sqref>
            </x14:sparkline>
            <x14:sparkline>
              <xm:f>Referral_Source!AL154:AP154</xm:f>
              <xm:sqref>H127</xm:sqref>
            </x14:sparkline>
            <x14:sparkline>
              <xm:f>Referral_Source!AL155:AP155</xm:f>
              <xm:sqref>H128</xm:sqref>
            </x14:sparkline>
            <x14:sparkline>
              <xm:f>Referral_Source!AL156:AP156</xm:f>
              <xm:sqref>H129</xm:sqref>
            </x14:sparkline>
            <x14:sparkline>
              <xm:f>Referral_Source!AL157:AP157</xm:f>
              <xm:sqref>H130</xm:sqref>
            </x14:sparkline>
            <x14:sparkline>
              <xm:f>Referral_Source!AL158:AP158</xm:f>
              <xm:sqref>H131</xm:sqref>
            </x14:sparkline>
            <x14:sparkline>
              <xm:f>Referral_Source!AL159:AP159</xm:f>
              <xm:sqref>H132</xm:sqref>
            </x14:sparkline>
            <x14:sparkline>
              <xm:f>Referral_Source!AL160:AP160</xm:f>
              <xm:sqref>H133</xm:sqref>
            </x14:sparkline>
            <x14:sparkline>
              <xm:f>Referral_Source!AL161:AP161</xm:f>
              <xm:sqref>H134</xm:sqref>
            </x14:sparkline>
          </x14:sparklines>
        </x14:sparklineGroup>
        <x14:sparklineGroup displayEmptyCellsAs="gap" displayHidden="1" xr2:uid="{00000000-0003-0000-1200-000008000000}">
          <x14:colorSeries rgb="FF000000"/>
          <x14:colorNegative rgb="FF0070C0"/>
          <x14:colorAxis rgb="FF000000"/>
          <x14:colorMarkers rgb="FF0070C0"/>
          <x14:colorFirst rgb="FF0070C0"/>
          <x14:colorLast rgb="FF0070C0"/>
          <x14:colorHigh rgb="FF0070C0"/>
          <x14:colorLow rgb="FF0070C0"/>
          <x14:sparklines>
            <x14:sparkline>
              <xm:f>Referral_Source!AB138:AF138</xm:f>
              <xm:sqref>D111</xm:sqref>
            </x14:sparkline>
            <x14:sparkline>
              <xm:f>Referral_Source!AB139:AF139</xm:f>
              <xm:sqref>D112</xm:sqref>
            </x14:sparkline>
            <x14:sparkline>
              <xm:f>Referral_Source!AB140:AF140</xm:f>
              <xm:sqref>D113</xm:sqref>
            </x14:sparkline>
            <x14:sparkline>
              <xm:f>Referral_Source!AB141:AF141</xm:f>
              <xm:sqref>D114</xm:sqref>
            </x14:sparkline>
            <x14:sparkline>
              <xm:f>Referral_Source!AB142:AF142</xm:f>
              <xm:sqref>D115</xm:sqref>
            </x14:sparkline>
            <x14:sparkline>
              <xm:f>Referral_Source!AB143:AF143</xm:f>
              <xm:sqref>D116</xm:sqref>
            </x14:sparkline>
            <x14:sparkline>
              <xm:f>Referral_Source!AB144:AF144</xm:f>
              <xm:sqref>D117</xm:sqref>
            </x14:sparkline>
            <x14:sparkline>
              <xm:f>Referral_Source!AB145:AF145</xm:f>
              <xm:sqref>D118</xm:sqref>
            </x14:sparkline>
            <x14:sparkline>
              <xm:f>Referral_Source!AB146:AF146</xm:f>
              <xm:sqref>D119</xm:sqref>
            </x14:sparkline>
            <x14:sparkline>
              <xm:f>Referral_Source!AB147:AF147</xm:f>
              <xm:sqref>D120</xm:sqref>
            </x14:sparkline>
            <x14:sparkline>
              <xm:f>Referral_Source!AB148:AF148</xm:f>
              <xm:sqref>D121</xm:sqref>
            </x14:sparkline>
            <x14:sparkline>
              <xm:f>Referral_Source!AB149:AF149</xm:f>
              <xm:sqref>D122</xm:sqref>
            </x14:sparkline>
            <x14:sparkline>
              <xm:f>Referral_Source!AB150:AF150</xm:f>
              <xm:sqref>D123</xm:sqref>
            </x14:sparkline>
            <x14:sparkline>
              <xm:f>Referral_Source!AB151:AF151</xm:f>
              <xm:sqref>D124</xm:sqref>
            </x14:sparkline>
            <x14:sparkline>
              <xm:f>Referral_Source!AB152:AF152</xm:f>
              <xm:sqref>D125</xm:sqref>
            </x14:sparkline>
            <x14:sparkline>
              <xm:f>Referral_Source!AB153:AF153</xm:f>
              <xm:sqref>D126</xm:sqref>
            </x14:sparkline>
            <x14:sparkline>
              <xm:f>Referral_Source!AB154:AF154</xm:f>
              <xm:sqref>D127</xm:sqref>
            </x14:sparkline>
            <x14:sparkline>
              <xm:f>Referral_Source!AB155:AF155</xm:f>
              <xm:sqref>D128</xm:sqref>
            </x14:sparkline>
            <x14:sparkline>
              <xm:f>Referral_Source!AB156:AF156</xm:f>
              <xm:sqref>D129</xm:sqref>
            </x14:sparkline>
            <x14:sparkline>
              <xm:f>Referral_Source!AB157:AF157</xm:f>
              <xm:sqref>D130</xm:sqref>
            </x14:sparkline>
            <x14:sparkline>
              <xm:f>Referral_Source!AB158:AF158</xm:f>
              <xm:sqref>D131</xm:sqref>
            </x14:sparkline>
            <x14:sparkline>
              <xm:f>Referral_Source!AB159:AF159</xm:f>
              <xm:sqref>D132</xm:sqref>
            </x14:sparkline>
            <x14:sparkline>
              <xm:f>Referral_Source!AB160:AF160</xm:f>
              <xm:sqref>D133</xm:sqref>
            </x14:sparkline>
            <x14:sparkline>
              <xm:f>Referral_Source!AB161:AF161</xm:f>
              <xm:sqref>D134</xm:sqref>
            </x14:sparkline>
          </x14:sparklines>
        </x14:sparklineGroup>
        <x14:sparklineGroup displayEmptyCellsAs="gap" displayHidden="1" xr2:uid="{00000000-0003-0000-1200-000009000000}">
          <x14:colorSeries rgb="FF000000"/>
          <x14:colorNegative rgb="FF0070C0"/>
          <x14:colorAxis rgb="FF000000"/>
          <x14:colorMarkers rgb="FF0070C0"/>
          <x14:colorFirst rgb="FF0070C0"/>
          <x14:colorLast rgb="FF0070C0"/>
          <x14:colorHigh rgb="FF0070C0"/>
          <x14:colorLow rgb="FF0070C0"/>
          <x14:sparklines>
            <x14:sparkline>
              <xm:f>Referral_Source!AG138:AK138</xm:f>
              <xm:sqref>F111</xm:sqref>
            </x14:sparkline>
            <x14:sparkline>
              <xm:f>Referral_Source!AG139:AK139</xm:f>
              <xm:sqref>F112</xm:sqref>
            </x14:sparkline>
            <x14:sparkline>
              <xm:f>Referral_Source!AG140:AK140</xm:f>
              <xm:sqref>F113</xm:sqref>
            </x14:sparkline>
            <x14:sparkline>
              <xm:f>Referral_Source!AG141:AK141</xm:f>
              <xm:sqref>F114</xm:sqref>
            </x14:sparkline>
            <x14:sparkline>
              <xm:f>Referral_Source!AG142:AK142</xm:f>
              <xm:sqref>F115</xm:sqref>
            </x14:sparkline>
            <x14:sparkline>
              <xm:f>Referral_Source!AG143:AK143</xm:f>
              <xm:sqref>F116</xm:sqref>
            </x14:sparkline>
            <x14:sparkline>
              <xm:f>Referral_Source!AG144:AK144</xm:f>
              <xm:sqref>F117</xm:sqref>
            </x14:sparkline>
            <x14:sparkline>
              <xm:f>Referral_Source!AG145:AK145</xm:f>
              <xm:sqref>F118</xm:sqref>
            </x14:sparkline>
            <x14:sparkline>
              <xm:f>Referral_Source!AG146:AK146</xm:f>
              <xm:sqref>F119</xm:sqref>
            </x14:sparkline>
            <x14:sparkline>
              <xm:f>Referral_Source!AG147:AK147</xm:f>
              <xm:sqref>F120</xm:sqref>
            </x14:sparkline>
            <x14:sparkline>
              <xm:f>Referral_Source!AG148:AK148</xm:f>
              <xm:sqref>F121</xm:sqref>
            </x14:sparkline>
            <x14:sparkline>
              <xm:f>Referral_Source!AG149:AK149</xm:f>
              <xm:sqref>F122</xm:sqref>
            </x14:sparkline>
            <x14:sparkline>
              <xm:f>Referral_Source!AG150:AK150</xm:f>
              <xm:sqref>F123</xm:sqref>
            </x14:sparkline>
            <x14:sparkline>
              <xm:f>Referral_Source!AG151:AK151</xm:f>
              <xm:sqref>F124</xm:sqref>
            </x14:sparkline>
            <x14:sparkline>
              <xm:f>Referral_Source!AG152:AK152</xm:f>
              <xm:sqref>F125</xm:sqref>
            </x14:sparkline>
            <x14:sparkline>
              <xm:f>Referral_Source!AG153:AK153</xm:f>
              <xm:sqref>F126</xm:sqref>
            </x14:sparkline>
            <x14:sparkline>
              <xm:f>Referral_Source!AG154:AK154</xm:f>
              <xm:sqref>F127</xm:sqref>
            </x14:sparkline>
            <x14:sparkline>
              <xm:f>Referral_Source!AG155:AK155</xm:f>
              <xm:sqref>F128</xm:sqref>
            </x14:sparkline>
            <x14:sparkline>
              <xm:f>Referral_Source!AG156:AK156</xm:f>
              <xm:sqref>F129</xm:sqref>
            </x14:sparkline>
            <x14:sparkline>
              <xm:f>Referral_Source!AG157:AK157</xm:f>
              <xm:sqref>F130</xm:sqref>
            </x14:sparkline>
            <x14:sparkline>
              <xm:f>Referral_Source!AG158:AK158</xm:f>
              <xm:sqref>F131</xm:sqref>
            </x14:sparkline>
            <x14:sparkline>
              <xm:f>Referral_Source!AG159:AK159</xm:f>
              <xm:sqref>F132</xm:sqref>
            </x14:sparkline>
            <x14:sparkline>
              <xm:f>Referral_Source!AG160:AK160</xm:f>
              <xm:sqref>F133</xm:sqref>
            </x14:sparkline>
            <x14:sparkline>
              <xm:f>Referral_Source!AG161:AK161</xm:f>
              <xm:sqref>F134</xm:sqref>
            </x14:sparkline>
          </x14:sparklines>
        </x14:sparklineGroup>
      </x14:sparklineGroup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2">
    <tabColor rgb="FFFFC000"/>
  </sheetPr>
  <dimension ref="A1:AY310"/>
  <sheetViews>
    <sheetView showRowColHeaders="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8" width="6.85546875" style="76" customWidth="1"/>
    <col min="9" max="9" width="7.42578125" style="76" customWidth="1"/>
    <col min="10" max="10" width="1.42578125" style="90" customWidth="1"/>
    <col min="11" max="15" width="6.85546875" style="76" customWidth="1"/>
    <col min="16" max="16" width="7.140625" style="76" customWidth="1"/>
    <col min="17" max="17" width="7.42578125" style="76" customWidth="1"/>
    <col min="18" max="18" width="1.42578125" style="76" customWidth="1"/>
    <col min="19" max="19" width="5.7109375" style="76" customWidth="1"/>
    <col min="20" max="20" width="8.28515625" style="76" customWidth="1"/>
    <col min="21" max="21" width="7.7109375" style="76" customWidth="1"/>
    <col min="22" max="22" width="2.140625" style="76" customWidth="1"/>
    <col min="23" max="23" width="6.42578125" style="82" customWidth="1"/>
    <col min="24" max="24" width="4.85546875" style="82" customWidth="1"/>
    <col min="25" max="25" width="17.85546875" style="83" hidden="1" customWidth="1"/>
    <col min="26" max="26" width="19.42578125" style="83" hidden="1" customWidth="1"/>
    <col min="27" max="27" width="19.85546875" style="83" hidden="1" customWidth="1"/>
    <col min="28" max="29" width="16.5703125" style="83" hidden="1" customWidth="1"/>
    <col min="30" max="31" width="8.5703125" style="83" hidden="1" customWidth="1"/>
    <col min="32" max="32" width="3.5703125" style="83" hidden="1" customWidth="1"/>
    <col min="33" max="33" width="17" style="83" hidden="1" customWidth="1"/>
    <col min="34" max="34" width="5.5703125" style="83" hidden="1" customWidth="1"/>
    <col min="35" max="35" width="4.85546875" style="83" hidden="1" customWidth="1"/>
    <col min="36" max="36" width="5.5703125" style="76" hidden="1" customWidth="1"/>
    <col min="37" max="37" width="31.5703125" style="76" customWidth="1"/>
    <col min="38" max="38" width="17" style="76" hidden="1" customWidth="1"/>
    <col min="39" max="43" width="13.5703125" style="76" hidden="1" customWidth="1"/>
    <col min="44" max="50" width="9.140625" style="76" hidden="1" customWidth="1"/>
    <col min="51" max="53" width="9.140625" style="76" customWidth="1"/>
    <col min="54" max="16384" width="9.140625" style="76"/>
  </cols>
  <sheetData>
    <row r="1" spans="1:51" ht="18.75" customHeight="1" thickBot="1" x14ac:dyDescent="0.25">
      <c r="A1" s="114"/>
      <c r="B1" s="115"/>
      <c r="C1" s="115"/>
      <c r="D1" s="115"/>
      <c r="E1" s="115"/>
      <c r="F1" s="115"/>
      <c r="G1" s="115"/>
      <c r="H1" s="115"/>
      <c r="I1" s="115"/>
      <c r="J1" s="116"/>
      <c r="K1" s="115"/>
      <c r="L1" s="115"/>
      <c r="M1" s="115"/>
      <c r="N1" s="115"/>
      <c r="O1" s="115"/>
      <c r="P1" s="115"/>
      <c r="Q1" s="115"/>
      <c r="R1" s="115"/>
      <c r="S1" s="115"/>
      <c r="T1" s="115"/>
      <c r="U1" s="115"/>
      <c r="V1" s="117"/>
      <c r="W1" s="268"/>
      <c r="X1" s="151"/>
      <c r="Y1" s="175"/>
      <c r="Z1" s="891" t="str">
        <f>IF(Sheet1!$C$3="Annual"," the year ending 31st March"," the quarter")</f>
        <v xml:space="preserve"> the year ending 31st March</v>
      </c>
      <c r="AA1" s="175"/>
      <c r="AB1" s="175"/>
      <c r="AC1" s="175"/>
      <c r="AD1" s="175"/>
      <c r="AE1" s="175"/>
      <c r="AF1" s="175"/>
      <c r="AG1" s="175"/>
      <c r="AH1" s="175"/>
      <c r="AI1" s="175"/>
      <c r="AJ1" s="176"/>
      <c r="AK1" s="152"/>
    </row>
    <row r="2" spans="1:51" ht="18.75" customHeight="1" x14ac:dyDescent="0.2">
      <c r="A2" s="120"/>
      <c r="B2" s="130" t="s">
        <v>24</v>
      </c>
      <c r="C2" s="9"/>
      <c r="D2" s="9"/>
      <c r="E2" s="9"/>
      <c r="F2" s="9"/>
      <c r="G2" s="9"/>
      <c r="H2" s="9"/>
      <c r="I2" s="9"/>
      <c r="J2" s="13"/>
      <c r="K2" s="9"/>
      <c r="L2" s="9"/>
      <c r="M2" s="9"/>
      <c r="N2" s="9"/>
      <c r="O2" s="9"/>
      <c r="P2" s="9"/>
      <c r="Q2" s="9"/>
      <c r="R2" s="9"/>
      <c r="S2" s="9"/>
      <c r="T2" s="9"/>
      <c r="U2" s="9"/>
      <c r="V2" s="119"/>
      <c r="W2" s="157"/>
      <c r="X2" s="147"/>
      <c r="Y2" s="800">
        <f>IF(Sheet1!$C$3="Annual",1,4)</f>
        <v>1</v>
      </c>
      <c r="Z2" s="760" t="str">
        <f>IF(Sheet1!$C$3="Annual","",Sheet1!$D$26)</f>
        <v/>
      </c>
      <c r="AA2" s="761" t="str">
        <f>IF(Sheet1!$C$3="Annual","",Sheet1!$E$26)</f>
        <v/>
      </c>
      <c r="AB2" s="761" t="str">
        <f>IF(Sheet1!$C$3="Annual","",Sheet1!$F$26)</f>
        <v/>
      </c>
      <c r="AC2" s="761" t="str">
        <f>IF(Sheet1!$C$3="Annual","",Sheet1!$G$26)</f>
        <v/>
      </c>
      <c r="AD2" s="762" t="str">
        <f>IF(Sheet1!$C$3="Annual","",Sheet1!$H$26)</f>
        <v/>
      </c>
      <c r="AJ2" s="179"/>
      <c r="AK2" s="153"/>
    </row>
    <row r="3" spans="1:51" ht="18.75" customHeight="1" thickBot="1" x14ac:dyDescent="0.25">
      <c r="A3" s="126"/>
      <c r="B3" s="127"/>
      <c r="C3" s="127"/>
      <c r="D3" s="127"/>
      <c r="E3" s="127"/>
      <c r="F3" s="127"/>
      <c r="G3" s="127"/>
      <c r="H3" s="127"/>
      <c r="I3" s="260"/>
      <c r="J3" s="128"/>
      <c r="K3" s="127"/>
      <c r="L3" s="127"/>
      <c r="M3" s="127"/>
      <c r="N3" s="127"/>
      <c r="O3" s="127"/>
      <c r="P3" s="528"/>
      <c r="Q3" s="127"/>
      <c r="R3" s="127"/>
      <c r="S3" s="127"/>
      <c r="T3" s="260"/>
      <c r="U3" s="127"/>
      <c r="V3" s="129"/>
      <c r="W3" s="157"/>
      <c r="X3" s="147"/>
      <c r="Y3" s="763"/>
      <c r="Z3" s="763" t="str">
        <f>Sheet1!$D$25</f>
        <v>2014-15</v>
      </c>
      <c r="AA3" s="764" t="str">
        <f>Sheet1!$E$25</f>
        <v>2015-16</v>
      </c>
      <c r="AB3" s="764" t="str">
        <f>Sheet1!$F$25</f>
        <v>2016-17</v>
      </c>
      <c r="AC3" s="764" t="str">
        <f>Sheet1!$G$25</f>
        <v>2017-18</v>
      </c>
      <c r="AD3" s="765" t="str">
        <f>Sheet1!$H$25</f>
        <v>2018-19</v>
      </c>
      <c r="AJ3" s="179"/>
      <c r="AK3" s="153"/>
    </row>
    <row r="4" spans="1:51" ht="11.25" customHeight="1" x14ac:dyDescent="0.2">
      <c r="A4" s="114"/>
      <c r="B4" s="115"/>
      <c r="C4" s="115"/>
      <c r="D4" s="115"/>
      <c r="E4" s="115"/>
      <c r="F4" s="115"/>
      <c r="G4" s="115"/>
      <c r="H4" s="115"/>
      <c r="I4" s="115"/>
      <c r="J4" s="116"/>
      <c r="K4" s="115"/>
      <c r="L4" s="115"/>
      <c r="M4" s="115"/>
      <c r="N4" s="115"/>
      <c r="O4" s="115"/>
      <c r="P4" s="115"/>
      <c r="Q4" s="115"/>
      <c r="R4" s="115"/>
      <c r="S4" s="115"/>
      <c r="T4" s="115"/>
      <c r="U4" s="115"/>
      <c r="V4" s="117"/>
      <c r="W4" s="138"/>
      <c r="X4" s="147"/>
      <c r="Z4" s="181" t="str">
        <f>Home!$D$10</f>
        <v>(none)</v>
      </c>
      <c r="AA4" s="43" t="str">
        <f>"Selected LA- "&amp;Z4</f>
        <v>Selected LA- (none)</v>
      </c>
      <c r="AJ4" s="179"/>
      <c r="AK4" s="153"/>
    </row>
    <row r="5" spans="1:51" s="78" customFormat="1" ht="15" customHeight="1" x14ac:dyDescent="0.2">
      <c r="A5" s="121"/>
      <c r="B5" s="1435" t="str">
        <f>"Re-referrals received in"&amp;Z1</f>
        <v>Re-referrals received in the year ending 31st March</v>
      </c>
      <c r="C5" s="1318"/>
      <c r="D5" s="1318"/>
      <c r="E5" s="1318"/>
      <c r="F5" s="1318"/>
      <c r="G5" s="1318"/>
      <c r="H5" s="1318"/>
      <c r="I5" s="1318"/>
      <c r="J5" s="1318"/>
      <c r="K5" s="1318"/>
      <c r="L5" s="1318"/>
      <c r="M5" s="1318"/>
      <c r="N5" s="1318"/>
      <c r="O5" s="69"/>
      <c r="P5" s="69"/>
      <c r="Q5" s="69"/>
      <c r="R5" s="69"/>
      <c r="S5" s="69"/>
      <c r="T5" s="69"/>
      <c r="U5" s="69"/>
      <c r="V5" s="122"/>
      <c r="W5" s="139"/>
      <c r="X5" s="148"/>
      <c r="Y5" s="83"/>
      <c r="Z5" s="183"/>
      <c r="AA5" s="183"/>
      <c r="AB5" s="183"/>
      <c r="AC5" s="183"/>
      <c r="AD5" s="183"/>
      <c r="AE5" s="183"/>
      <c r="AF5" s="183"/>
      <c r="AG5" s="183"/>
      <c r="AH5" s="183"/>
      <c r="AI5" s="183"/>
      <c r="AJ5" s="183"/>
      <c r="AK5" s="154"/>
      <c r="AL5" s="183" t="str">
        <f>CONCATENATE($I$7,"in Number of "&amp;$B2)</f>
        <v>Average Annual Change in Number of Re-referrals</v>
      </c>
      <c r="AR5" s="76"/>
      <c r="AS5" s="76"/>
      <c r="AT5" s="76"/>
      <c r="AU5" s="76"/>
      <c r="AV5" s="76"/>
      <c r="AW5" s="76"/>
      <c r="AX5" s="76"/>
      <c r="AY5" s="76"/>
    </row>
    <row r="6" spans="1:51" ht="13.5" customHeight="1" x14ac:dyDescent="0.2">
      <c r="A6" s="120"/>
      <c r="B6" s="1318"/>
      <c r="C6" s="1318"/>
      <c r="D6" s="1318"/>
      <c r="E6" s="1318"/>
      <c r="F6" s="1318"/>
      <c r="G6" s="1318"/>
      <c r="H6" s="1318"/>
      <c r="I6" s="1318"/>
      <c r="J6" s="1318"/>
      <c r="K6" s="1318"/>
      <c r="L6" s="1318"/>
      <c r="M6" s="1318"/>
      <c r="N6" s="1318"/>
      <c r="O6" s="69"/>
      <c r="P6" s="69"/>
      <c r="Q6" s="69"/>
      <c r="R6" s="69"/>
      <c r="S6" s="69"/>
      <c r="T6" s="69"/>
      <c r="U6" s="69"/>
      <c r="V6" s="119"/>
      <c r="W6" s="138"/>
      <c r="X6" s="147"/>
      <c r="Z6" s="185"/>
      <c r="AJ6" s="179"/>
      <c r="AK6" s="153"/>
    </row>
    <row r="7" spans="1:51" ht="12.75" customHeight="1" x14ac:dyDescent="0.2">
      <c r="A7" s="271"/>
      <c r="B7" s="1449" t="s">
        <v>190</v>
      </c>
      <c r="C7" s="87"/>
      <c r="D7" s="1436" t="s">
        <v>88</v>
      </c>
      <c r="E7" s="1437"/>
      <c r="F7" s="1437"/>
      <c r="G7" s="1437"/>
      <c r="H7" s="1438"/>
      <c r="I7" s="1439" t="str">
        <f>"Average "&amp;Sheet1!C3&amp;" Change "</f>
        <v xml:space="preserve">Average Annual Change </v>
      </c>
      <c r="J7" s="98"/>
      <c r="K7" s="1459" t="s">
        <v>89</v>
      </c>
      <c r="L7" s="1460"/>
      <c r="M7" s="1460"/>
      <c r="N7" s="1460"/>
      <c r="O7" s="1460"/>
      <c r="P7" s="1461"/>
      <c r="Q7" s="1446" t="str">
        <f>IF(ISNA(O9),"SE Rank "&amp;O8,"SE Rank "&amp;O9)</f>
        <v>SE Rank 2018-19</v>
      </c>
      <c r="R7" s="69"/>
      <c r="S7" s="1451" t="str">
        <f>"Distance from Expected "&amp;Sheet1!$B$8</f>
        <v>Distance from Expected 2019</v>
      </c>
      <c r="T7" s="1452"/>
      <c r="U7" s="1453"/>
      <c r="V7" s="119"/>
      <c r="W7" s="138"/>
      <c r="X7" s="147"/>
      <c r="Z7" s="185"/>
      <c r="AB7" s="200" t="s">
        <v>79</v>
      </c>
      <c r="AJ7" s="179"/>
      <c r="AK7" s="153"/>
      <c r="AL7" s="550"/>
      <c r="AM7" s="550"/>
      <c r="AN7" s="550"/>
      <c r="AO7" s="550"/>
      <c r="AP7" s="550"/>
    </row>
    <row r="8" spans="1:51" s="89" customFormat="1" ht="12.75" customHeight="1" x14ac:dyDescent="0.2">
      <c r="A8" s="123"/>
      <c r="B8" s="1449"/>
      <c r="C8" s="87"/>
      <c r="D8" s="755" t="str">
        <f>Sheet1!$D$25</f>
        <v>2014-15</v>
      </c>
      <c r="E8" s="756" t="str">
        <f>Sheet1!$E$25</f>
        <v>2015-16</v>
      </c>
      <c r="F8" s="756" t="str">
        <f>Sheet1!$F$25</f>
        <v>2016-17</v>
      </c>
      <c r="G8" s="756" t="str">
        <f>Sheet1!$G$25</f>
        <v>2017-18</v>
      </c>
      <c r="H8" s="757" t="str">
        <f>Sheet1!$H$25</f>
        <v>2018-19</v>
      </c>
      <c r="I8" s="1440"/>
      <c r="J8" s="98"/>
      <c r="K8" s="755" t="str">
        <f>Sheet1!$D$25</f>
        <v>2014-15</v>
      </c>
      <c r="L8" s="756" t="str">
        <f>Sheet1!$E$25</f>
        <v>2015-16</v>
      </c>
      <c r="M8" s="756" t="str">
        <f>Sheet1!$F$25</f>
        <v>2016-17</v>
      </c>
      <c r="N8" s="756" t="str">
        <f>Sheet1!$G$25</f>
        <v>2017-18</v>
      </c>
      <c r="O8" s="1457" t="str">
        <f>Sheet1!$H$25</f>
        <v>2018-19</v>
      </c>
      <c r="P8" s="1458"/>
      <c r="Q8" s="1447"/>
      <c r="R8" s="69"/>
      <c r="S8" s="1454"/>
      <c r="T8" s="1455"/>
      <c r="U8" s="1456"/>
      <c r="V8" s="124"/>
      <c r="W8" s="140"/>
      <c r="X8" s="149"/>
      <c r="Y8" s="199"/>
      <c r="Z8" s="1423" t="s">
        <v>76</v>
      </c>
      <c r="AA8" s="1423" t="s">
        <v>77</v>
      </c>
      <c r="AB8" s="730" t="str">
        <f>Sheet1!$D$25</f>
        <v>2014-15</v>
      </c>
      <c r="AC8" s="730" t="str">
        <f>Sheet1!$E$25</f>
        <v>2015-16</v>
      </c>
      <c r="AD8" s="730" t="str">
        <f>Sheet1!$F$25</f>
        <v>2016-17</v>
      </c>
      <c r="AE8" s="730" t="str">
        <f>Sheet1!$G$25</f>
        <v>2017-18</v>
      </c>
      <c r="AF8" s="730" t="str">
        <f>Sheet1!$H$25</f>
        <v>2018-19</v>
      </c>
      <c r="AG8" s="201" t="s">
        <v>92</v>
      </c>
      <c r="AH8" s="185"/>
      <c r="AI8" s="185"/>
      <c r="AJ8" s="199"/>
      <c r="AK8" s="156"/>
      <c r="AL8" s="789"/>
      <c r="AM8" s="789"/>
      <c r="AN8" s="789"/>
      <c r="AO8" s="789"/>
      <c r="AP8" s="789"/>
      <c r="AR8" s="76"/>
      <c r="AS8" s="76"/>
      <c r="AT8" s="76"/>
      <c r="AU8" s="76"/>
      <c r="AV8" s="76"/>
      <c r="AW8" s="76"/>
      <c r="AX8" s="76"/>
      <c r="AY8" s="76"/>
    </row>
    <row r="9" spans="1:51" s="89" customFormat="1" ht="12.75" customHeight="1" x14ac:dyDescent="0.2">
      <c r="A9" s="123"/>
      <c r="B9" s="1450"/>
      <c r="C9" s="87"/>
      <c r="D9" s="758" t="e">
        <f>Sheet1!$D$26</f>
        <v>#N/A</v>
      </c>
      <c r="E9" s="758" t="e">
        <f>Sheet1!$E$26</f>
        <v>#N/A</v>
      </c>
      <c r="F9" s="758" t="e">
        <f>Sheet1!$F$26</f>
        <v>#N/A</v>
      </c>
      <c r="G9" s="758" t="e">
        <f>Sheet1!$G$26</f>
        <v>#N/A</v>
      </c>
      <c r="H9" s="759" t="e">
        <f>Sheet1!$H$26</f>
        <v>#N/A</v>
      </c>
      <c r="I9" s="1441"/>
      <c r="J9" s="98"/>
      <c r="K9" s="758" t="e">
        <f>Sheet1!$D$26</f>
        <v>#N/A</v>
      </c>
      <c r="L9" s="758" t="e">
        <f>Sheet1!$E$26</f>
        <v>#N/A</v>
      </c>
      <c r="M9" s="758" t="e">
        <f>Sheet1!$F$26</f>
        <v>#N/A</v>
      </c>
      <c r="N9" s="758" t="e">
        <f>Sheet1!$G$26</f>
        <v>#N/A</v>
      </c>
      <c r="O9" s="1433" t="e">
        <f>Sheet1!$H$26</f>
        <v>#N/A</v>
      </c>
      <c r="P9" s="1434"/>
      <c r="Q9" s="1448"/>
      <c r="R9" s="69"/>
      <c r="S9" s="856" t="s">
        <v>78</v>
      </c>
      <c r="T9" s="794" t="s">
        <v>127</v>
      </c>
      <c r="U9" s="795" t="s">
        <v>128</v>
      </c>
      <c r="V9" s="124"/>
      <c r="W9" s="140"/>
      <c r="X9" s="149"/>
      <c r="Y9" s="199"/>
      <c r="Z9" s="1424"/>
      <c r="AA9" s="1424"/>
      <c r="AB9" s="730" t="e">
        <f>Sheet1!$D$26</f>
        <v>#N/A</v>
      </c>
      <c r="AC9" s="730" t="e">
        <f>Sheet1!$E$26</f>
        <v>#N/A</v>
      </c>
      <c r="AD9" s="730" t="e">
        <f>Sheet1!$F$26</f>
        <v>#N/A</v>
      </c>
      <c r="AE9" s="730" t="e">
        <f>Sheet1!$G$26</f>
        <v>#N/A</v>
      </c>
      <c r="AF9" s="730" t="e">
        <f>Sheet1!$H$26</f>
        <v>#N/A</v>
      </c>
      <c r="AG9" s="185"/>
      <c r="AH9" s="185">
        <f>COLUMNS($B$4:O$4)</f>
        <v>14</v>
      </c>
      <c r="AI9" s="185"/>
      <c r="AJ9" s="199"/>
      <c r="AK9" s="156"/>
      <c r="AL9" s="790" t="s">
        <v>686</v>
      </c>
      <c r="AM9" s="790" t="s">
        <v>687</v>
      </c>
      <c r="AN9" s="790" t="s">
        <v>688</v>
      </c>
      <c r="AO9" s="790" t="s">
        <v>689</v>
      </c>
      <c r="AP9" s="790" t="s">
        <v>690</v>
      </c>
      <c r="AR9" s="76"/>
      <c r="AS9" s="76"/>
      <c r="AT9" s="76"/>
      <c r="AU9" s="76"/>
      <c r="AV9" s="76"/>
      <c r="AW9" s="76"/>
      <c r="AX9" s="76"/>
      <c r="AY9" s="76"/>
    </row>
    <row r="10" spans="1:51" s="89" customFormat="1" ht="13.5" customHeight="1" x14ac:dyDescent="0.2">
      <c r="A10" s="462">
        <f>VLOOKUP(B10,Sheet1!$AQ$4:$AR$25,2,FALSE)</f>
        <v>0</v>
      </c>
      <c r="B10" s="95" t="str">
        <f>Sheet1!$K$4</f>
        <v>Bracknell Forest</v>
      </c>
      <c r="C10" s="87"/>
      <c r="D10" s="96">
        <f>IF(Year1_Bracknell_Forest Year1_ReReferrals="","",Year1_Bracknell_Forest Year1_ReReferrals)</f>
        <v>217.00000000000003</v>
      </c>
      <c r="E10" s="96">
        <f>IF(Year2_Bracknell_Forest Year2_ReReferrals="","",Year2_Bracknell_Forest Year2_ReReferrals)</f>
        <v>224.99999999999991</v>
      </c>
      <c r="F10" s="96">
        <f>IF(Year3_Bracknell_Forest Year3_ReReferrals="","",Year3_Bracknell_Forest Year3_ReReferrals)</f>
        <v>387</v>
      </c>
      <c r="G10" s="96">
        <f>IF(Year4_Bracknell_Forest Year4_ReReferrals="","",Year4_Bracknell_Forest Year4_ReReferrals)</f>
        <v>428</v>
      </c>
      <c r="H10" s="97">
        <f>IF(Year5_Bracknell_Forest Year5_ReReferrals="","",Year5_Bracknell_Forest Year5_ReReferrals)</f>
        <v>616</v>
      </c>
      <c r="I10" s="337">
        <f>AP10</f>
        <v>0.3255154620875958</v>
      </c>
      <c r="J10" s="98"/>
      <c r="K10" s="99">
        <f>IF(ISNUMBER(D10),D10/Population!D10*10000,NA())</f>
        <v>78.057553956834539</v>
      </c>
      <c r="L10" s="99">
        <f>IF(ISNUMBER(E10),E10/Population!E10*10000,NA())</f>
        <v>79.787234042553166</v>
      </c>
      <c r="M10" s="99">
        <f>IF(ISNUMBER(F10),F10/Population!F10*10000,NA())</f>
        <v>137.2340425531915</v>
      </c>
      <c r="N10" s="99">
        <f>IF(ISNUMBER(G10),G10/Population!G10*10000,NA())</f>
        <v>152.31316725978647</v>
      </c>
      <c r="O10" s="881">
        <f>IF(ISNUMBER(H10),H10/Population!H10*10000,NA())</f>
        <v>217.66784452296818</v>
      </c>
      <c r="P10" s="101">
        <f>IF(ISNUMBER(O10),O10,"")</f>
        <v>217.66784452296818</v>
      </c>
      <c r="Q10" s="885">
        <f>IF(ISNA(VLOOKUP(B10,$AG$10:$AI$28,3,FALSE)),"--",IF(ISNUMBER(H10),VLOOKUP(B10,$AG$10:$AI$28,3,FALSE),NA()))</f>
        <v>18</v>
      </c>
      <c r="R10" s="69"/>
      <c r="S10" s="333">
        <f>IDACI!C9</f>
        <v>8.9</v>
      </c>
      <c r="T10" s="334">
        <f t="shared" ref="T10:T33" si="0">((S10*$Z$44)+$AA$44)/$Y$2</f>
        <v>87.732250866418013</v>
      </c>
      <c r="U10" s="335">
        <f>O10-T10</f>
        <v>129.93559365655017</v>
      </c>
      <c r="V10" s="124"/>
      <c r="W10" s="140"/>
      <c r="X10" s="149"/>
      <c r="Y10" s="71" t="str">
        <f t="shared" ref="Y10:Y33" si="1">B10</f>
        <v>Bracknell Forest</v>
      </c>
      <c r="Z10" s="45">
        <f>IF(ISNUMBER($H10),IDACI!D9,0)</f>
        <v>24849</v>
      </c>
      <c r="AA10" s="45">
        <f>IF(ISNUMBER($H10),IDACI!E9,0)</f>
        <v>2211.5610000000001</v>
      </c>
      <c r="AB10" s="202">
        <f>IF(ISNUMBER(D10),Population!D10,"")</f>
        <v>27800</v>
      </c>
      <c r="AC10" s="202">
        <f>IF(ISNUMBER(E10),Population!E10,"")</f>
        <v>28200</v>
      </c>
      <c r="AD10" s="202">
        <f>IF(ISNUMBER(F10),Population!F10,"")</f>
        <v>28200</v>
      </c>
      <c r="AE10" s="202">
        <f>IF(ISNUMBER(G10),Population!G10,"")</f>
        <v>28100</v>
      </c>
      <c r="AF10" s="202">
        <f>IF(ISNUMBER(H10),Population!H10,"")</f>
        <v>28300</v>
      </c>
      <c r="AG10" s="95" t="str">
        <f>B10</f>
        <v>Bracknell Forest</v>
      </c>
      <c r="AH10" s="225">
        <f>IFERROR(VLOOKUP(AG10,$B$10:$O$31,$AH$9,FALSE),"")</f>
        <v>217.66784452296818</v>
      </c>
      <c r="AI10" s="203">
        <f>RANK(AH10,$AH$10:$AH$28,1)</f>
        <v>18</v>
      </c>
      <c r="AJ10" s="199"/>
      <c r="AK10" s="156"/>
      <c r="AL10" s="792">
        <f t="shared" ref="AL10:AL33" si="2">IF(ISERROR((E10-D10)/D10),"x",(E10-D10)/D10)</f>
        <v>3.6866359447004081E-2</v>
      </c>
      <c r="AM10" s="792">
        <f t="shared" ref="AM10:AM33" si="3">IF(ISERROR((F10-E10)/E10),"x",(F10-E10)/E10)</f>
        <v>0.72000000000000064</v>
      </c>
      <c r="AN10" s="792">
        <f t="shared" ref="AN10:AN33" si="4">IF(ISERROR((G10-F10)/F10),"x",(G10-F10)/F10)</f>
        <v>0.10594315245478036</v>
      </c>
      <c r="AO10" s="792">
        <f t="shared" ref="AO10:AO33" si="5">IF(ISERROR((H10-G10)/G10),"x",(H10-G10)/G10)</f>
        <v>0.43925233644859812</v>
      </c>
      <c r="AP10" s="792">
        <f>AVERAGE(AL10:AO10)</f>
        <v>0.3255154620875958</v>
      </c>
      <c r="AR10" s="76"/>
      <c r="AS10" s="76"/>
      <c r="AT10" s="76"/>
      <c r="AU10" s="76"/>
      <c r="AV10" s="76"/>
      <c r="AW10" s="76"/>
      <c r="AX10" s="76"/>
      <c r="AY10" s="76"/>
    </row>
    <row r="11" spans="1:51" s="89" customFormat="1" ht="13.5" customHeight="1" x14ac:dyDescent="0.2">
      <c r="A11" s="462">
        <f>VLOOKUP(B11,Sheet1!$AQ$4:$AR$25,2,FALSE)</f>
        <v>0</v>
      </c>
      <c r="B11" s="95" t="str">
        <f>Sheet1!$K$5</f>
        <v>Brighton &amp; Hove</v>
      </c>
      <c r="C11" s="87"/>
      <c r="D11" s="96">
        <f>IF(Year1_Brighton_Hove Year1_ReReferrals="","",Year1_Brighton_Hove Year1_ReReferrals)</f>
        <v>2648.9999999999991</v>
      </c>
      <c r="E11" s="96">
        <f>IF(Year2_Brighton_Hove Year2_ReReferrals="","",Year2_Brighton_Hove Year2_ReReferrals)</f>
        <v>1101.0000000000007</v>
      </c>
      <c r="F11" s="96">
        <f>IF(Year3_Brighton_Hove Year3_ReReferrals="","",Year3_Brighton_Hove Year3_ReReferrals)</f>
        <v>841</v>
      </c>
      <c r="G11" s="96">
        <f>IF(Year4_Brighton_Hove Year4_ReReferrals="","",Year4_Brighton_Hove Year4_ReReferrals)</f>
        <v>947</v>
      </c>
      <c r="H11" s="97">
        <f>IF(Year5_Brighton_Hove Year5_ReReferrals="","",Year5_Brighton_Hove Year5_ReReferrals)</f>
        <v>795</v>
      </c>
      <c r="I11" s="337">
        <f t="shared" ref="I11:I33" si="6">AP11</f>
        <v>-0.21374671303554621</v>
      </c>
      <c r="J11" s="98"/>
      <c r="K11" s="99">
        <f>IF(ISNUMBER(D11),D11/Population!D11*10000,NA())</f>
        <v>519.41176470588221</v>
      </c>
      <c r="L11" s="99">
        <f>IF(ISNUMBER(E11),E11/Population!E11*10000,NA())</f>
        <v>215.03906250000014</v>
      </c>
      <c r="M11" s="99">
        <f>IF(ISNUMBER(F11),F11/Population!F11*10000,NA())</f>
        <v>163.93762183235867</v>
      </c>
      <c r="N11" s="99">
        <f>IF(ISNUMBER(G11),G11/Population!G11*10000,NA())</f>
        <v>185.68627450980392</v>
      </c>
      <c r="O11" s="100">
        <f>IF(ISNUMBER(H11),H11/Population!H11*10000,NA())</f>
        <v>155.88235294117646</v>
      </c>
      <c r="P11" s="101">
        <f t="shared" ref="P11:P32" si="7">IF(ISNUMBER(O11),O11,"")</f>
        <v>155.88235294117646</v>
      </c>
      <c r="Q11" s="885">
        <f t="shared" ref="Q11:Q33" si="8">IF(ISNA(VLOOKUP(B11,$AG$10:$AI$28,3,FALSE)),"--",IF(ISNUMBER(H11),VLOOKUP(B11,$AG$10:$AI$28,3,FALSE),NA()))</f>
        <v>13</v>
      </c>
      <c r="R11" s="69"/>
      <c r="S11" s="333">
        <f>IDACI!C10</f>
        <v>15.299999999999999</v>
      </c>
      <c r="T11" s="334">
        <f t="shared" si="0"/>
        <v>112.48477642981936</v>
      </c>
      <c r="U11" s="335">
        <f t="shared" ref="U11:U33" si="9">O11-T11</f>
        <v>43.397576511357101</v>
      </c>
      <c r="V11" s="124"/>
      <c r="W11" s="140"/>
      <c r="X11" s="149"/>
      <c r="Y11" s="71" t="str">
        <f t="shared" si="1"/>
        <v>Brighton &amp; Hove</v>
      </c>
      <c r="Z11" s="45">
        <f>IF(ISNUMBER($H11),IDACI!D10,0)</f>
        <v>45576</v>
      </c>
      <c r="AA11" s="45">
        <f>IF(ISNUMBER($H11),IDACI!E10,0)</f>
        <v>6973.1279999999997</v>
      </c>
      <c r="AB11" s="202">
        <f>IF(ISNUMBER(D11),Population!D11,"")</f>
        <v>51000</v>
      </c>
      <c r="AC11" s="202">
        <f>IF(ISNUMBER(E11),Population!E11,"")</f>
        <v>51200</v>
      </c>
      <c r="AD11" s="202">
        <f>IF(ISNUMBER(F11),Population!F11,"")</f>
        <v>51300</v>
      </c>
      <c r="AE11" s="202">
        <f>IF(ISNUMBER(G11),Population!G11,"")</f>
        <v>51000</v>
      </c>
      <c r="AF11" s="202">
        <f>IF(ISNUMBER(H11),Population!H11,"")</f>
        <v>51000</v>
      </c>
      <c r="AG11" s="95" t="s">
        <v>31</v>
      </c>
      <c r="AH11" s="225">
        <f t="shared" ref="AH11:AH28" si="10">IFERROR(VLOOKUP(AG11,$B$10:$O$31,$AH$9,FALSE),"")</f>
        <v>155.88235294117646</v>
      </c>
      <c r="AI11" s="203">
        <f t="shared" ref="AI11:AI28" si="11">RANK(AH11,$AH$10:$AH$28,1)</f>
        <v>13</v>
      </c>
      <c r="AJ11" s="199"/>
      <c r="AK11" s="156"/>
      <c r="AL11" s="792">
        <f t="shared" si="2"/>
        <v>-0.58437146092865189</v>
      </c>
      <c r="AM11" s="792">
        <f t="shared" si="3"/>
        <v>-0.236148955495005</v>
      </c>
      <c r="AN11" s="792">
        <f t="shared" si="4"/>
        <v>0.12604042806183116</v>
      </c>
      <c r="AO11" s="792">
        <f t="shared" si="5"/>
        <v>-0.16050686378035903</v>
      </c>
      <c r="AP11" s="792">
        <f t="shared" ref="AP11:AP32" si="12">AVERAGE(AL11:AO11)</f>
        <v>-0.21374671303554621</v>
      </c>
      <c r="AR11" s="76"/>
      <c r="AS11" s="76"/>
      <c r="AT11" s="76"/>
      <c r="AU11" s="76"/>
      <c r="AV11" s="76"/>
      <c r="AW11" s="76"/>
      <c r="AX11" s="76"/>
      <c r="AY11" s="76"/>
    </row>
    <row r="12" spans="1:51" s="89" customFormat="1" ht="13.5" customHeight="1" x14ac:dyDescent="0.2">
      <c r="A12" s="462">
        <f>VLOOKUP(B12,Sheet1!$AQ$4:$AR$25,2,FALSE)</f>
        <v>0</v>
      </c>
      <c r="B12" s="95" t="str">
        <f>Sheet1!$K$6</f>
        <v>Buckinghamshire</v>
      </c>
      <c r="C12" s="87"/>
      <c r="D12" s="96">
        <f>IF(Year1_Buckinghamshire Year1_ReReferrals="","",Year1_Buckinghamshire Year1_ReReferrals)</f>
        <v>1397.9999999999991</v>
      </c>
      <c r="E12" s="96">
        <f>IF(Year2_Buckinghamshire Year2_ReReferrals="","",Year2_Buckinghamshire Year2_ReReferrals)</f>
        <v>1840.9999999999973</v>
      </c>
      <c r="F12" s="96">
        <f>IF(Year3_Buckinghamshire Year3_ReReferrals="","",Year3_Buckinghamshire Year3_ReReferrals)</f>
        <v>3029</v>
      </c>
      <c r="G12" s="96">
        <f>IF(Year4_Buckinghamshire Year4_ReReferrals="","",Year4_Buckinghamshire Year4_ReReferrals)</f>
        <v>3217</v>
      </c>
      <c r="H12" s="97">
        <f>IF(Year5_Buckinghamshire Year5_ReReferrals="","",Year5_Buckinghamshire Year5_ReReferrals)</f>
        <v>2424</v>
      </c>
      <c r="I12" s="337">
        <f t="shared" si="6"/>
        <v>0.19443661528746506</v>
      </c>
      <c r="J12" s="98"/>
      <c r="K12" s="99">
        <f>IF(ISNUMBER(D12),D12/Population!D12*10000,NA())</f>
        <v>117.57779646761976</v>
      </c>
      <c r="L12" s="99">
        <f>IF(ISNUMBER(E12),E12/Population!E12*10000,NA())</f>
        <v>152.65339966832482</v>
      </c>
      <c r="M12" s="99">
        <f>IF(ISNUMBER(F12),F12/Population!F12*10000,NA())</f>
        <v>247.87234042553192</v>
      </c>
      <c r="N12" s="99">
        <f>IF(ISNUMBER(G12),G12/Population!G12*10000,NA())</f>
        <v>261.33225020308691</v>
      </c>
      <c r="O12" s="100">
        <f>IF(ISNUMBER(H12),H12/Population!H12*10000,NA())</f>
        <v>195.01206757843926</v>
      </c>
      <c r="P12" s="101">
        <f t="shared" si="7"/>
        <v>195.01206757843926</v>
      </c>
      <c r="Q12" s="885">
        <f t="shared" si="8"/>
        <v>16</v>
      </c>
      <c r="R12" s="69"/>
      <c r="S12" s="333">
        <f>IDACI!C11</f>
        <v>8.5</v>
      </c>
      <c r="T12" s="334">
        <f t="shared" si="0"/>
        <v>86.185218018705427</v>
      </c>
      <c r="U12" s="335">
        <f t="shared" si="9"/>
        <v>108.82684955973383</v>
      </c>
      <c r="V12" s="124"/>
      <c r="W12" s="140"/>
      <c r="X12" s="149"/>
      <c r="Y12" s="71" t="str">
        <f t="shared" si="1"/>
        <v>Buckinghamshire</v>
      </c>
      <c r="Z12" s="45">
        <f>IF(ISNUMBER($H12),IDACI!D11,0)</f>
        <v>107385</v>
      </c>
      <c r="AA12" s="45">
        <f>IF(ISNUMBER($H12),IDACI!E11,0)</f>
        <v>9127.7250000000004</v>
      </c>
      <c r="AB12" s="202">
        <f>IF(ISNUMBER(D12),Population!D12,"")</f>
        <v>118900</v>
      </c>
      <c r="AC12" s="202">
        <f>IF(ISNUMBER(E12),Population!E12,"")</f>
        <v>120600</v>
      </c>
      <c r="AD12" s="202">
        <f>IF(ISNUMBER(F12),Population!F12,"")</f>
        <v>122200</v>
      </c>
      <c r="AE12" s="202">
        <f>IF(ISNUMBER(G12),Population!G12,"")</f>
        <v>123100</v>
      </c>
      <c r="AF12" s="202">
        <f>IF(ISNUMBER(H12),Population!H12,"")</f>
        <v>124300</v>
      </c>
      <c r="AG12" s="95" t="s">
        <v>8</v>
      </c>
      <c r="AH12" s="225">
        <f t="shared" si="10"/>
        <v>195.01206757843926</v>
      </c>
      <c r="AI12" s="203">
        <f t="shared" si="11"/>
        <v>16</v>
      </c>
      <c r="AJ12" s="199"/>
      <c r="AK12" s="156"/>
      <c r="AL12" s="792">
        <f t="shared" si="2"/>
        <v>0.31688125894134367</v>
      </c>
      <c r="AM12" s="792">
        <f t="shared" si="3"/>
        <v>0.6453014665942447</v>
      </c>
      <c r="AN12" s="792">
        <f t="shared" si="4"/>
        <v>6.2066688676130737E-2</v>
      </c>
      <c r="AO12" s="792">
        <f t="shared" si="5"/>
        <v>-0.24650295306185888</v>
      </c>
      <c r="AP12" s="792">
        <f t="shared" si="12"/>
        <v>0.19443661528746506</v>
      </c>
      <c r="AR12" s="76"/>
      <c r="AS12" s="76"/>
      <c r="AT12" s="76"/>
      <c r="AU12" s="76"/>
      <c r="AV12" s="76"/>
      <c r="AW12" s="76"/>
      <c r="AX12" s="76"/>
      <c r="AY12" s="76"/>
    </row>
    <row r="13" spans="1:51" s="89" customFormat="1" ht="13.5" customHeight="1" x14ac:dyDescent="0.2">
      <c r="A13" s="462">
        <f>VLOOKUP(B13,Sheet1!$AQ$4:$AR$25,2,FALSE)</f>
        <v>0</v>
      </c>
      <c r="B13" s="95" t="str">
        <f>Sheet1!$K$7</f>
        <v>East Sussex</v>
      </c>
      <c r="C13" s="87"/>
      <c r="D13" s="96">
        <f>IF(Year1_East_Sussex Year1_ReReferrals="","",Year1_East_Sussex Year1_ReReferrals)</f>
        <v>939.99999999999989</v>
      </c>
      <c r="E13" s="102">
        <f>IF(Year2_East_Sussex Year2_ReReferrals="","",Year2_East_Sussex Year2_ReReferrals)</f>
        <v>465.00000000000011</v>
      </c>
      <c r="F13" s="96">
        <f>IF(Year3_East_Sussex Year3_ReReferrals="","",Year3_East_Sussex Year3_ReReferrals)</f>
        <v>547</v>
      </c>
      <c r="G13" s="96">
        <f>IF(Year4_East_Sussex Year4_ReReferrals="","",Year4_East_Sussex Year4_ReReferrals)</f>
        <v>772</v>
      </c>
      <c r="H13" s="97">
        <f>IF(Year5_East_Sussex Year5_ReReferrals="","",Year5_East_Sussex Year5_ReReferrals)</f>
        <v>815</v>
      </c>
      <c r="I13" s="337">
        <f t="shared" si="6"/>
        <v>3.4514742763249166E-2</v>
      </c>
      <c r="J13" s="98"/>
      <c r="K13" s="99">
        <f>IF(ISNUMBER(D13),D13/Population!D13*10000,NA())</f>
        <v>89.184060721062608</v>
      </c>
      <c r="L13" s="99">
        <f>IF(ISNUMBER(E13),E13/Population!E13*10000,NA())</f>
        <v>43.909348441926362</v>
      </c>
      <c r="M13" s="99">
        <f>IF(ISNUMBER(F13),F13/Population!F13*10000,NA())</f>
        <v>51.652502360717662</v>
      </c>
      <c r="N13" s="99">
        <f>IF(ISNUMBER(G13),G13/Population!G13*10000,NA())</f>
        <v>72.830188679245282</v>
      </c>
      <c r="O13" s="100">
        <f>IF(ISNUMBER(H13),H13/Population!H13*10000,NA())</f>
        <v>76.597744360902254</v>
      </c>
      <c r="P13" s="101">
        <f t="shared" si="7"/>
        <v>76.597744360902254</v>
      </c>
      <c r="Q13" s="885">
        <f t="shared" si="8"/>
        <v>3</v>
      </c>
      <c r="R13" s="69"/>
      <c r="S13" s="333">
        <f>IDACI!C12</f>
        <v>16.100000000000001</v>
      </c>
      <c r="T13" s="334">
        <f t="shared" si="0"/>
        <v>115.57884212524453</v>
      </c>
      <c r="U13" s="335">
        <f t="shared" si="9"/>
        <v>-38.98109776434228</v>
      </c>
      <c r="V13" s="124"/>
      <c r="W13" s="140"/>
      <c r="X13" s="149"/>
      <c r="Y13" s="71" t="str">
        <f t="shared" si="1"/>
        <v>East Sussex</v>
      </c>
      <c r="Z13" s="45">
        <f>IF(ISNUMBER($H13),IDACI!D12,0)</f>
        <v>93130</v>
      </c>
      <c r="AA13" s="45">
        <f>IF(ISNUMBER($H13),IDACI!E12,0)</f>
        <v>14993.93</v>
      </c>
      <c r="AB13" s="202">
        <f>IF(ISNUMBER(D13),Population!D13,"")</f>
        <v>105400</v>
      </c>
      <c r="AC13" s="202">
        <f>IF(ISNUMBER(E13),Population!E13,"")</f>
        <v>105900</v>
      </c>
      <c r="AD13" s="202">
        <f>IF(ISNUMBER(F13),Population!F13,"")</f>
        <v>105900</v>
      </c>
      <c r="AE13" s="202">
        <f>IF(ISNUMBER(G13),Population!G13,"")</f>
        <v>106000</v>
      </c>
      <c r="AF13" s="202">
        <f>IF(ISNUMBER(H13),Population!H13,"")</f>
        <v>106400</v>
      </c>
      <c r="AG13" s="95" t="s">
        <v>4</v>
      </c>
      <c r="AH13" s="225">
        <f t="shared" si="10"/>
        <v>76.597744360902254</v>
      </c>
      <c r="AI13" s="203">
        <f t="shared" si="11"/>
        <v>3</v>
      </c>
      <c r="AJ13" s="199"/>
      <c r="AK13" s="156"/>
      <c r="AL13" s="792">
        <f t="shared" si="2"/>
        <v>-0.50531914893617003</v>
      </c>
      <c r="AM13" s="792">
        <f t="shared" si="3"/>
        <v>0.17634408602150509</v>
      </c>
      <c r="AN13" s="792">
        <f t="shared" si="4"/>
        <v>0.41133455210237663</v>
      </c>
      <c r="AO13" s="792">
        <f t="shared" si="5"/>
        <v>5.5699481865284971E-2</v>
      </c>
      <c r="AP13" s="792">
        <f t="shared" si="12"/>
        <v>3.4514742763249166E-2</v>
      </c>
      <c r="AR13" s="76"/>
      <c r="AS13" s="76"/>
      <c r="AT13" s="76"/>
      <c r="AU13" s="76"/>
      <c r="AV13" s="76"/>
      <c r="AW13" s="76"/>
      <c r="AX13" s="76"/>
      <c r="AY13" s="76"/>
    </row>
    <row r="14" spans="1:51" s="89" customFormat="1" ht="13.5" customHeight="1" x14ac:dyDescent="0.2">
      <c r="A14" s="462">
        <f>VLOOKUP(B14,Sheet1!$AQ$4:$AR$25,2,FALSE)</f>
        <v>0</v>
      </c>
      <c r="B14" s="95" t="str">
        <f>Sheet1!$K$8</f>
        <v>Hampshire</v>
      </c>
      <c r="C14" s="87"/>
      <c r="D14" s="96">
        <f>IF(Year1_Hampshire Year1_ReReferrals="","",Year1_Hampshire Year1_ReReferrals)</f>
        <v>5324.9999999999991</v>
      </c>
      <c r="E14" s="96">
        <f>IF(Year2_Hampshire Year2_ReReferrals="","",Year2_Hampshire Year2_ReReferrals)</f>
        <v>4695</v>
      </c>
      <c r="F14" s="103">
        <f>IF(Year3_Hampshire Year3_ReReferrals="","",Year3_Hampshire Year3_ReReferrals)</f>
        <v>5966</v>
      </c>
      <c r="G14" s="103">
        <f>IF(Year4_Hampshire Year4_ReReferrals="","",Year4_Hampshire Year4_ReReferrals)</f>
        <v>4772</v>
      </c>
      <c r="H14" s="97">
        <f>IF(Year5_Hampshire Year5_ReReferrals="","",Year5_Hampshire Year5_ReReferrals)</f>
        <v>5359</v>
      </c>
      <c r="I14" s="337">
        <f t="shared" si="6"/>
        <v>1.8819698282391169E-2</v>
      </c>
      <c r="J14" s="98"/>
      <c r="K14" s="99">
        <f>IF(ISNUMBER(D14),D14/Population!D14*10000,NA())</f>
        <v>189.16518650088807</v>
      </c>
      <c r="L14" s="99">
        <f>IF(ISNUMBER(E14),E14/Population!E14*10000,NA())</f>
        <v>166.54842142603761</v>
      </c>
      <c r="M14" s="99">
        <f>IF(ISNUMBER(F14),F14/Population!F14*10000,NA())</f>
        <v>210.96181046676097</v>
      </c>
      <c r="N14" s="99">
        <f>IF(ISNUMBER(G14),G14/Population!G14*10000,NA())</f>
        <v>168.44334627603246</v>
      </c>
      <c r="O14" s="100">
        <f>IF(ISNUMBER(H14),H14/Population!H14*10000,NA())</f>
        <v>188.69718309859155</v>
      </c>
      <c r="P14" s="101">
        <f t="shared" si="7"/>
        <v>188.69718309859155</v>
      </c>
      <c r="Q14" s="885">
        <f t="shared" si="8"/>
        <v>15</v>
      </c>
      <c r="R14" s="69"/>
      <c r="S14" s="333">
        <f>IDACI!C13</f>
        <v>10.100000000000001</v>
      </c>
      <c r="T14" s="334">
        <f t="shared" si="0"/>
        <v>92.373349409555772</v>
      </c>
      <c r="U14" s="335">
        <f t="shared" si="9"/>
        <v>96.32383368903578</v>
      </c>
      <c r="V14" s="124"/>
      <c r="W14" s="140"/>
      <c r="X14" s="149"/>
      <c r="Y14" s="71" t="str">
        <f t="shared" si="1"/>
        <v>Hampshire</v>
      </c>
      <c r="Z14" s="45">
        <f>IF(ISNUMBER($H14),IDACI!D13,0)</f>
        <v>249483</v>
      </c>
      <c r="AA14" s="45">
        <f>IF(ISNUMBER($H14),IDACI!E13,0)</f>
        <v>25197.783000000007</v>
      </c>
      <c r="AB14" s="202">
        <f>IF(ISNUMBER(D14),Population!D14,"")</f>
        <v>281500</v>
      </c>
      <c r="AC14" s="202">
        <f>IF(ISNUMBER(E14),Population!E14,"")</f>
        <v>281900</v>
      </c>
      <c r="AD14" s="202">
        <f>IF(ISNUMBER(F14),Population!F14,"")</f>
        <v>282800</v>
      </c>
      <c r="AE14" s="202">
        <f>IF(ISNUMBER(G14),Population!G14,"")</f>
        <v>283300</v>
      </c>
      <c r="AF14" s="202">
        <f>IF(ISNUMBER(H14),Population!H14,"")</f>
        <v>284000</v>
      </c>
      <c r="AG14" s="95" t="s">
        <v>6</v>
      </c>
      <c r="AH14" s="225">
        <f t="shared" si="10"/>
        <v>188.69718309859155</v>
      </c>
      <c r="AI14" s="203">
        <f t="shared" si="11"/>
        <v>15</v>
      </c>
      <c r="AJ14" s="199"/>
      <c r="AK14" s="156"/>
      <c r="AL14" s="792">
        <f t="shared" si="2"/>
        <v>-0.11830985915492943</v>
      </c>
      <c r="AM14" s="792">
        <f t="shared" si="3"/>
        <v>0.27071352502662405</v>
      </c>
      <c r="AN14" s="792">
        <f t="shared" si="4"/>
        <v>-0.20013409319477035</v>
      </c>
      <c r="AO14" s="792">
        <f t="shared" si="5"/>
        <v>0.1230092204526404</v>
      </c>
      <c r="AP14" s="792">
        <f t="shared" si="12"/>
        <v>1.8819698282391169E-2</v>
      </c>
      <c r="AR14" s="76"/>
      <c r="AS14" s="76"/>
      <c r="AT14" s="76"/>
      <c r="AU14" s="76"/>
      <c r="AV14" s="76"/>
      <c r="AW14" s="76"/>
      <c r="AX14" s="76"/>
      <c r="AY14" s="76"/>
    </row>
    <row r="15" spans="1:51" s="89" customFormat="1" ht="13.5" customHeight="1" x14ac:dyDescent="0.2">
      <c r="A15" s="462">
        <f>VLOOKUP(B15,Sheet1!$AQ$4:$AR$25,2,FALSE)</f>
        <v>0</v>
      </c>
      <c r="B15" s="95" t="str">
        <f>Sheet1!$K$9</f>
        <v>Isle of Wight</v>
      </c>
      <c r="C15" s="87"/>
      <c r="D15" s="96">
        <f>IF(Year1_Isle_of_Wight Year1_ReReferrals="","",Year1_Isle_of_Wight Year1_ReReferrals)</f>
        <v>820.99999999999977</v>
      </c>
      <c r="E15" s="96">
        <f>IF(Year2_Isle_of_Wight Year2_ReReferrals="","",Year2_Isle_of_Wight Year2_ReReferrals)</f>
        <v>786</v>
      </c>
      <c r="F15" s="96">
        <f>IF(Year3_Isle_of_Wight Year3_ReReferrals="","",Year3_Isle_of_Wight Year3_ReReferrals)</f>
        <v>792</v>
      </c>
      <c r="G15" s="96">
        <f>IF(Year4_Isle_of_Wight Year4_ReReferrals="","",Year4_Isle_of_Wight Year4_ReReferrals)</f>
        <v>679</v>
      </c>
      <c r="H15" s="97">
        <f>IF(Year5_Isle_of_Wight Year5_ReReferrals="","",Year5_Isle_of_Wight Year5_ReReferrals)</f>
        <v>827</v>
      </c>
      <c r="I15" s="337">
        <f t="shared" si="6"/>
        <v>1.0073370409939282E-2</v>
      </c>
      <c r="J15" s="98"/>
      <c r="K15" s="99">
        <f>IF(ISNUMBER(D15),D15/Population!D15*10000,NA())</f>
        <v>321.96078431372536</v>
      </c>
      <c r="L15" s="99">
        <f>IF(ISNUMBER(E15),E15/Population!E15*10000,NA())</f>
        <v>310.67193675889325</v>
      </c>
      <c r="M15" s="99">
        <f>IF(ISNUMBER(F15),F15/Population!F15*10000,NA())</f>
        <v>314.28571428571433</v>
      </c>
      <c r="N15" s="99">
        <f>IF(ISNUMBER(G15),G15/Population!G15*10000,NA())</f>
        <v>270.51792828685257</v>
      </c>
      <c r="O15" s="100">
        <f>IF(ISNUMBER(H15),H15/Population!H15*10000,NA())</f>
        <v>332.1285140562249</v>
      </c>
      <c r="P15" s="101">
        <f t="shared" si="7"/>
        <v>332.1285140562249</v>
      </c>
      <c r="Q15" s="885">
        <f t="shared" si="8"/>
        <v>19</v>
      </c>
      <c r="R15" s="69"/>
      <c r="S15" s="333">
        <f>IDACI!C14</f>
        <v>18</v>
      </c>
      <c r="T15" s="334">
        <f t="shared" si="0"/>
        <v>122.92724815187931</v>
      </c>
      <c r="U15" s="335">
        <f t="shared" si="9"/>
        <v>209.20126590434558</v>
      </c>
      <c r="V15" s="124"/>
      <c r="W15" s="140"/>
      <c r="X15" s="149"/>
      <c r="Y15" s="71" t="str">
        <f t="shared" si="1"/>
        <v>Isle of Wight</v>
      </c>
      <c r="Z15" s="45">
        <f>IF(ISNUMBER($H15),IDACI!D14,0)</f>
        <v>22123</v>
      </c>
      <c r="AA15" s="45">
        <f>IF(ISNUMBER($H15),IDACI!E14,0)</f>
        <v>3982.14</v>
      </c>
      <c r="AB15" s="202">
        <f>IF(ISNUMBER(D15),Population!D15,"")</f>
        <v>25500</v>
      </c>
      <c r="AC15" s="202">
        <f>IF(ISNUMBER(E15),Population!E15,"")</f>
        <v>25300</v>
      </c>
      <c r="AD15" s="202">
        <f>IF(ISNUMBER(F15),Population!F15,"")</f>
        <v>25200</v>
      </c>
      <c r="AE15" s="202">
        <f>IF(ISNUMBER(G15),Population!G15,"")</f>
        <v>25100</v>
      </c>
      <c r="AF15" s="202">
        <f>IF(ISNUMBER(H15),Population!H15,"")</f>
        <v>24900</v>
      </c>
      <c r="AG15" s="95" t="s">
        <v>1</v>
      </c>
      <c r="AH15" s="225">
        <f t="shared" si="10"/>
        <v>332.1285140562249</v>
      </c>
      <c r="AI15" s="203">
        <f t="shared" si="11"/>
        <v>19</v>
      </c>
      <c r="AJ15" s="199"/>
      <c r="AK15" s="156"/>
      <c r="AL15" s="792">
        <f t="shared" si="2"/>
        <v>-4.2630937880633109E-2</v>
      </c>
      <c r="AM15" s="792">
        <f t="shared" si="3"/>
        <v>7.6335877862595417E-3</v>
      </c>
      <c r="AN15" s="792">
        <f t="shared" si="4"/>
        <v>-0.14267676767676768</v>
      </c>
      <c r="AO15" s="792">
        <f t="shared" si="5"/>
        <v>0.21796759941089838</v>
      </c>
      <c r="AP15" s="792">
        <f t="shared" si="12"/>
        <v>1.0073370409939282E-2</v>
      </c>
      <c r="AR15" s="76"/>
      <c r="AS15" s="76"/>
      <c r="AT15" s="76"/>
      <c r="AU15" s="76"/>
      <c r="AV15" s="76"/>
      <c r="AW15" s="76"/>
      <c r="AX15" s="76"/>
      <c r="AY15" s="76"/>
    </row>
    <row r="16" spans="1:51" s="89" customFormat="1" ht="13.5" customHeight="1" x14ac:dyDescent="0.2">
      <c r="A16" s="462">
        <f>VLOOKUP(B16,Sheet1!$AQ$4:$AR$25,2,FALSE)</f>
        <v>0</v>
      </c>
      <c r="B16" s="95" t="str">
        <f>Sheet1!$K$10</f>
        <v>Kent</v>
      </c>
      <c r="C16" s="87"/>
      <c r="D16" s="96">
        <f>IF(Year1_Kent Year1_ReReferrals="","",Year1_Kent Year1_ReReferrals)</f>
        <v>4683</v>
      </c>
      <c r="E16" s="96">
        <f>IF(Year2_Kent Year2_ReReferrals="","",Year2_Kent Year2_ReReferrals)</f>
        <v>3197.0000000000027</v>
      </c>
      <c r="F16" s="96">
        <f>IF(Year3_Kent Year3_ReReferrals="","",Year3_Kent Year3_ReReferrals)</f>
        <v>3636</v>
      </c>
      <c r="G16" s="96">
        <f>IF(Year4_Kent Year4_ReReferrals="","",Year4_Kent Year4_ReReferrals)</f>
        <v>4472</v>
      </c>
      <c r="H16" s="97">
        <f>IF(Year5_Kent Year5_ReReferrals="","",Year5_Kent Year5_ReReferrals)</f>
        <v>4772</v>
      </c>
      <c r="I16" s="337">
        <f t="shared" si="6"/>
        <v>2.9251336601749375E-2</v>
      </c>
      <c r="J16" s="98"/>
      <c r="K16" s="99">
        <f>IF(ISNUMBER(D16),D16/Population!D16*10000,NA())</f>
        <v>142.64392324093816</v>
      </c>
      <c r="L16" s="99">
        <f>IF(ISNUMBER(E16),E16/Population!E16*10000,NA())</f>
        <v>96.761501210653833</v>
      </c>
      <c r="M16" s="99">
        <f>IF(ISNUMBER(F16),F16/Population!F16*10000,NA())</f>
        <v>109.18918918918918</v>
      </c>
      <c r="N16" s="99">
        <f>IF(ISNUMBER(G16),G16/Population!G16*10000,NA())</f>
        <v>133.05563820291582</v>
      </c>
      <c r="O16" s="100">
        <f>IF(ISNUMBER(H16),H16/Population!H16*10000,NA())</f>
        <v>140.31167303734196</v>
      </c>
      <c r="P16" s="101">
        <f t="shared" si="7"/>
        <v>140.31167303734196</v>
      </c>
      <c r="Q16" s="885">
        <f t="shared" si="8"/>
        <v>12</v>
      </c>
      <c r="R16" s="69"/>
      <c r="S16" s="333">
        <f>IDACI!C15</f>
        <v>15.8</v>
      </c>
      <c r="T16" s="334">
        <f t="shared" si="0"/>
        <v>114.41856748946009</v>
      </c>
      <c r="U16" s="335">
        <f t="shared" si="9"/>
        <v>25.893105547881873</v>
      </c>
      <c r="V16" s="124"/>
      <c r="W16" s="140"/>
      <c r="X16" s="149"/>
      <c r="Y16" s="71" t="str">
        <f t="shared" si="1"/>
        <v>Kent</v>
      </c>
      <c r="Z16" s="45">
        <f>IF(ISNUMBER($H16),IDACI!D15,0)</f>
        <v>291866</v>
      </c>
      <c r="AA16" s="45">
        <f>IF(ISNUMBER($H16),IDACI!E15,0)</f>
        <v>46114.828000000001</v>
      </c>
      <c r="AB16" s="202">
        <f>IF(ISNUMBER(D16),Population!D16,"")</f>
        <v>328300</v>
      </c>
      <c r="AC16" s="202">
        <f>IF(ISNUMBER(E16),Population!E16,"")</f>
        <v>330400</v>
      </c>
      <c r="AD16" s="202">
        <f>IF(ISNUMBER(F16),Population!F16,"")</f>
        <v>333000</v>
      </c>
      <c r="AE16" s="202">
        <f>IF(ISNUMBER(G16),Population!G16,"")</f>
        <v>336100</v>
      </c>
      <c r="AF16" s="202">
        <f>IF(ISNUMBER(H16),Population!H16,"")</f>
        <v>340100</v>
      </c>
      <c r="AG16" s="95" t="s">
        <v>9</v>
      </c>
      <c r="AH16" s="225">
        <f t="shared" si="10"/>
        <v>140.31167303734196</v>
      </c>
      <c r="AI16" s="203">
        <f t="shared" si="11"/>
        <v>12</v>
      </c>
      <c r="AJ16" s="199"/>
      <c r="AK16" s="156"/>
      <c r="AL16" s="792">
        <f t="shared" si="2"/>
        <v>-0.31731795857356337</v>
      </c>
      <c r="AM16" s="792">
        <f t="shared" si="3"/>
        <v>0.13731623396934528</v>
      </c>
      <c r="AN16" s="792">
        <f t="shared" si="4"/>
        <v>0.22992299229922991</v>
      </c>
      <c r="AO16" s="792">
        <f t="shared" si="5"/>
        <v>6.7084078711985684E-2</v>
      </c>
      <c r="AP16" s="792">
        <f t="shared" si="12"/>
        <v>2.9251336601749375E-2</v>
      </c>
      <c r="AR16" s="76"/>
      <c r="AS16" s="76"/>
      <c r="AT16" s="76"/>
      <c r="AU16" s="76"/>
      <c r="AV16" s="76"/>
      <c r="AW16" s="76"/>
      <c r="AX16" s="76"/>
      <c r="AY16" s="76"/>
    </row>
    <row r="17" spans="1:51" s="89" customFormat="1" ht="13.5" customHeight="1" x14ac:dyDescent="0.2">
      <c r="A17" s="462">
        <f>VLOOKUP(B17,Sheet1!$AQ$4:$AR$25,2,FALSE)</f>
        <v>0</v>
      </c>
      <c r="B17" s="95" t="str">
        <f>Sheet1!$K$11</f>
        <v>Medway</v>
      </c>
      <c r="C17" s="87"/>
      <c r="D17" s="96">
        <f>IF(Year1_Medway Year1_ReReferrals="","",Year1_Medway Year1_ReReferrals)</f>
        <v>614.99999999999966</v>
      </c>
      <c r="E17" s="96">
        <f>IF(Year2_Medway Year2_ReReferrals="","",Year2_Medway Year2_ReReferrals)</f>
        <v>556</v>
      </c>
      <c r="F17" s="96">
        <f>IF(Year3_Medway Year3_ReReferrals="","",Year3_Medway Year3_ReReferrals)</f>
        <v>481</v>
      </c>
      <c r="G17" s="96">
        <f>IF(Year4_Medway Year4_ReReferrals="","",Year4_Medway Year4_ReReferrals)</f>
        <v>444</v>
      </c>
      <c r="H17" s="97">
        <f>IF(Year5_Medway Year5_ReReferrals="","",Year5_Medway Year5_ReReferrals)</f>
        <v>576</v>
      </c>
      <c r="I17" s="337">
        <f t="shared" si="6"/>
        <v>-2.6132063265769667E-3</v>
      </c>
      <c r="J17" s="98"/>
      <c r="K17" s="99">
        <f>IF(ISNUMBER(D17),D17/Population!D17*10000,NA())</f>
        <v>98.399999999999949</v>
      </c>
      <c r="L17" s="99">
        <f>IF(ISNUMBER(E17),E17/Population!E17*10000,NA())</f>
        <v>87.974683544303801</v>
      </c>
      <c r="M17" s="99">
        <f>IF(ISNUMBER(F17),F17/Population!F17*10000,NA())</f>
        <v>75.510204081632651</v>
      </c>
      <c r="N17" s="99">
        <f>IF(ISNUMBER(G17),G17/Population!G17*10000,NA())</f>
        <v>69.483568075117375</v>
      </c>
      <c r="O17" s="100">
        <f>IF(ISNUMBER(H17),H17/Population!H17*10000,NA())</f>
        <v>89.440993788819867</v>
      </c>
      <c r="P17" s="101">
        <f t="shared" si="7"/>
        <v>89.440993788819867</v>
      </c>
      <c r="Q17" s="885">
        <f t="shared" si="8"/>
        <v>7</v>
      </c>
      <c r="R17" s="69"/>
      <c r="S17" s="333">
        <f>IDACI!C16</f>
        <v>18.899999999999999</v>
      </c>
      <c r="T17" s="334">
        <f t="shared" si="0"/>
        <v>126.40807205923262</v>
      </c>
      <c r="U17" s="335">
        <f t="shared" si="9"/>
        <v>-36.967078270412756</v>
      </c>
      <c r="V17" s="124"/>
      <c r="W17" s="140"/>
      <c r="X17" s="149"/>
      <c r="Y17" s="71" t="str">
        <f t="shared" si="1"/>
        <v>Medway</v>
      </c>
      <c r="Z17" s="45">
        <f>IF(ISNUMBER($H17),IDACI!D16,0)</f>
        <v>55993</v>
      </c>
      <c r="AA17" s="45">
        <f>IF(ISNUMBER($H17),IDACI!E16,0)</f>
        <v>10582.676999999998</v>
      </c>
      <c r="AB17" s="202">
        <f>IF(ISNUMBER(D17),Population!D17,"")</f>
        <v>62500</v>
      </c>
      <c r="AC17" s="202">
        <f>IF(ISNUMBER(E17),Population!E17,"")</f>
        <v>63200</v>
      </c>
      <c r="AD17" s="202">
        <f>IF(ISNUMBER(F17),Population!F17,"")</f>
        <v>63700</v>
      </c>
      <c r="AE17" s="202">
        <f>IF(ISNUMBER(G17),Population!G17,"")</f>
        <v>63900</v>
      </c>
      <c r="AF17" s="202">
        <f>IF(ISNUMBER(H17),Population!H17,"")</f>
        <v>64400</v>
      </c>
      <c r="AG17" s="95" t="s">
        <v>2</v>
      </c>
      <c r="AH17" s="225">
        <f t="shared" si="10"/>
        <v>89.440993788819867</v>
      </c>
      <c r="AI17" s="203">
        <f t="shared" si="11"/>
        <v>7</v>
      </c>
      <c r="AJ17" s="199"/>
      <c r="AK17" s="156"/>
      <c r="AL17" s="792">
        <f t="shared" si="2"/>
        <v>-9.5934959349592994E-2</v>
      </c>
      <c r="AM17" s="792">
        <f t="shared" si="3"/>
        <v>-0.13489208633093525</v>
      </c>
      <c r="AN17" s="792">
        <f t="shared" si="4"/>
        <v>-7.6923076923076927E-2</v>
      </c>
      <c r="AO17" s="792">
        <f t="shared" si="5"/>
        <v>0.29729729729729731</v>
      </c>
      <c r="AP17" s="792">
        <f t="shared" si="12"/>
        <v>-2.6132063265769667E-3</v>
      </c>
      <c r="AR17" s="76"/>
      <c r="AS17" s="76"/>
      <c r="AT17" s="76"/>
      <c r="AU17" s="76"/>
      <c r="AV17" s="76"/>
      <c r="AW17" s="76"/>
      <c r="AX17" s="76"/>
      <c r="AY17" s="76"/>
    </row>
    <row r="18" spans="1:51" s="89" customFormat="1" ht="13.5" customHeight="1" x14ac:dyDescent="0.2">
      <c r="A18" s="462">
        <f>VLOOKUP(B18,Sheet1!$AQ$4:$AR$25,2,FALSE)</f>
        <v>0</v>
      </c>
      <c r="B18" s="95" t="str">
        <f>Sheet1!$K$12</f>
        <v>Milton Keynes</v>
      </c>
      <c r="C18" s="87"/>
      <c r="D18" s="96">
        <f>IF(Year1_Milton_Keynes Year1_ReReferrals="","",Year1_Milton_Keynes Year1_ReReferrals)</f>
        <v>595.00000000000011</v>
      </c>
      <c r="E18" s="96">
        <f>IF(Year2_Milton_Keynes Year2_ReReferrals="","",Year2_Milton_Keynes Year2_ReReferrals)</f>
        <v>580</v>
      </c>
      <c r="F18" s="96">
        <f>IF(Year3_Milton_Keynes Year3_ReReferrals="","",Year3_Milton_Keynes Year3_ReReferrals)</f>
        <v>588</v>
      </c>
      <c r="G18" s="96">
        <f>IF(Year4_Milton_Keynes Year4_ReReferrals="","",Year4_Milton_Keynes Year4_ReReferrals)</f>
        <v>485</v>
      </c>
      <c r="H18" s="97">
        <f>IF(Year5_Milton_Keynes Year5_ReReferrals="","",Year5_Milton_Keynes Year5_ReReferrals)</f>
        <v>539</v>
      </c>
      <c r="I18" s="337">
        <f t="shared" si="6"/>
        <v>-1.881171060674541E-2</v>
      </c>
      <c r="J18" s="98"/>
      <c r="K18" s="99">
        <f>IF(ISNUMBER(D18),D18/Population!D18*10000,NA())</f>
        <v>91.25766871165645</v>
      </c>
      <c r="L18" s="99">
        <f>IF(ISNUMBER(E18),E18/Population!E18*10000,NA())</f>
        <v>87.745839636913772</v>
      </c>
      <c r="M18" s="99">
        <f>IF(ISNUMBER(F18),F18/Population!F18*10000,NA())</f>
        <v>87.630402384500755</v>
      </c>
      <c r="N18" s="99">
        <f>IF(ISNUMBER(G18),G18/Population!G18*10000,NA())</f>
        <v>71.745562130177518</v>
      </c>
      <c r="O18" s="100">
        <f>IF(ISNUMBER(H18),H18/Population!H18*10000,NA())</f>
        <v>78.916544655929712</v>
      </c>
      <c r="P18" s="101">
        <f t="shared" si="7"/>
        <v>78.916544655929712</v>
      </c>
      <c r="Q18" s="885">
        <f t="shared" si="8"/>
        <v>4</v>
      </c>
      <c r="R18" s="69"/>
      <c r="S18" s="333">
        <f>IDACI!C17</f>
        <v>15</v>
      </c>
      <c r="T18" s="334">
        <f t="shared" si="0"/>
        <v>111.32450179403492</v>
      </c>
      <c r="U18" s="335">
        <f t="shared" si="9"/>
        <v>-32.407957138105203</v>
      </c>
      <c r="V18" s="124"/>
      <c r="W18" s="140"/>
      <c r="X18" s="149"/>
      <c r="Y18" s="71" t="str">
        <f t="shared" si="1"/>
        <v>Milton Keynes</v>
      </c>
      <c r="Z18" s="45">
        <f>IF(ISNUMBER($H18),IDACI!D17,0)</f>
        <v>59903</v>
      </c>
      <c r="AA18" s="45">
        <f>IF(ISNUMBER($H18),IDACI!E17,0)</f>
        <v>8985.4499999999989</v>
      </c>
      <c r="AB18" s="202">
        <f>IF(ISNUMBER(D18),Population!D18,"")</f>
        <v>65200</v>
      </c>
      <c r="AC18" s="202">
        <f>IF(ISNUMBER(E18),Population!E18,"")</f>
        <v>66100</v>
      </c>
      <c r="AD18" s="202">
        <f>IF(ISNUMBER(F18),Population!F18,"")</f>
        <v>67100</v>
      </c>
      <c r="AE18" s="202">
        <f>IF(ISNUMBER(G18),Population!G18,"")</f>
        <v>67600</v>
      </c>
      <c r="AF18" s="202">
        <f>IF(ISNUMBER(H18),Population!H18,"")</f>
        <v>68300</v>
      </c>
      <c r="AG18" s="95" t="s">
        <v>10</v>
      </c>
      <c r="AH18" s="225">
        <f t="shared" si="10"/>
        <v>78.916544655929712</v>
      </c>
      <c r="AI18" s="203">
        <f t="shared" si="11"/>
        <v>4</v>
      </c>
      <c r="AJ18" s="199"/>
      <c r="AK18" s="156"/>
      <c r="AL18" s="792">
        <f t="shared" si="2"/>
        <v>-2.521008403361363E-2</v>
      </c>
      <c r="AM18" s="792">
        <f t="shared" si="3"/>
        <v>1.3793103448275862E-2</v>
      </c>
      <c r="AN18" s="792">
        <f t="shared" si="4"/>
        <v>-0.17517006802721088</v>
      </c>
      <c r="AO18" s="792">
        <f t="shared" si="5"/>
        <v>0.11134020618556702</v>
      </c>
      <c r="AP18" s="792">
        <f t="shared" si="12"/>
        <v>-1.881171060674541E-2</v>
      </c>
      <c r="AR18" s="76"/>
      <c r="AS18" s="76"/>
      <c r="AT18" s="76"/>
      <c r="AU18" s="76"/>
      <c r="AV18" s="76"/>
      <c r="AW18" s="76"/>
      <c r="AX18" s="76"/>
      <c r="AY18" s="76"/>
    </row>
    <row r="19" spans="1:51" s="89" customFormat="1" ht="13.5" customHeight="1" x14ac:dyDescent="0.2">
      <c r="A19" s="462">
        <f>VLOOKUP(B19,Sheet1!$AQ$4:$AR$25,2,FALSE)</f>
        <v>0</v>
      </c>
      <c r="B19" s="95" t="str">
        <f>Sheet1!$K$13</f>
        <v>Oxfordshire</v>
      </c>
      <c r="C19" s="87"/>
      <c r="D19" s="96">
        <f>IF(Year1_Oxfordshire Year1_ReReferrals="","",Year1_Oxfordshire Year1_ReReferrals)</f>
        <v>1377.0000000000002</v>
      </c>
      <c r="E19" s="96">
        <f>IF(Year2_Oxfordshire Year2_ReReferrals="","",Year2_Oxfordshire Year2_ReReferrals)</f>
        <v>1712</v>
      </c>
      <c r="F19" s="96">
        <f>IF(Year3_Oxfordshire Year3_ReReferrals="","",Year3_Oxfordshire Year3_ReReferrals)</f>
        <v>1405</v>
      </c>
      <c r="G19" s="96">
        <f>IF(Year4_Oxfordshire Year4_ReReferrals="","",Year4_Oxfordshire Year4_ReReferrals)</f>
        <v>1268</v>
      </c>
      <c r="H19" s="97">
        <f>IF(Year5_Oxfordshire Year5_ReReferrals="","",Year5_Oxfordshire Year5_ReReferrals)</f>
        <v>1240</v>
      </c>
      <c r="I19" s="337">
        <f t="shared" si="6"/>
        <v>-1.390771186167028E-2</v>
      </c>
      <c r="J19" s="98"/>
      <c r="K19" s="99">
        <f>IF(ISNUMBER(D19),D19/Population!D19*10000,NA())</f>
        <v>97.521246458923528</v>
      </c>
      <c r="L19" s="99">
        <f>IF(ISNUMBER(E19),E19/Population!E19*10000,NA())</f>
        <v>120.73342736248237</v>
      </c>
      <c r="M19" s="99">
        <f>IF(ISNUMBER(F19),F19/Population!F19*10000,NA())</f>
        <v>98.320503848845348</v>
      </c>
      <c r="N19" s="99">
        <f>IF(ISNUMBER(G19),G19/Population!G19*10000,NA())</f>
        <v>88.423988842398899</v>
      </c>
      <c r="O19" s="100">
        <f>IF(ISNUMBER(H19),H19/Population!H19*10000,NA())</f>
        <v>85.635359116022087</v>
      </c>
      <c r="P19" s="101">
        <f t="shared" si="7"/>
        <v>85.635359116022087</v>
      </c>
      <c r="Q19" s="885">
        <f t="shared" si="8"/>
        <v>5</v>
      </c>
      <c r="R19" s="69"/>
      <c r="S19" s="333">
        <f>IDACI!C18</f>
        <v>10.100000000000001</v>
      </c>
      <c r="T19" s="334">
        <f t="shared" si="0"/>
        <v>92.373349409555772</v>
      </c>
      <c r="U19" s="335">
        <f t="shared" si="9"/>
        <v>-6.7379902935336844</v>
      </c>
      <c r="V19" s="124"/>
      <c r="W19" s="140"/>
      <c r="X19" s="149"/>
      <c r="Y19" s="71" t="str">
        <f t="shared" si="1"/>
        <v>Oxfordshire</v>
      </c>
      <c r="Z19" s="45">
        <f>IF(ISNUMBER($H19),IDACI!D18,0)</f>
        <v>126119</v>
      </c>
      <c r="AA19" s="45">
        <f>IF(ISNUMBER($H19),IDACI!E18,0)</f>
        <v>12738.019000000002</v>
      </c>
      <c r="AB19" s="202">
        <f>IF(ISNUMBER(D19),Population!D19,"")</f>
        <v>141200</v>
      </c>
      <c r="AC19" s="202">
        <f>IF(ISNUMBER(E19),Population!E19,"")</f>
        <v>141800</v>
      </c>
      <c r="AD19" s="202">
        <f>IF(ISNUMBER(F19),Population!F19,"")</f>
        <v>142900</v>
      </c>
      <c r="AE19" s="202">
        <f>IF(ISNUMBER(G19),Population!G19,"")</f>
        <v>143400</v>
      </c>
      <c r="AF19" s="202">
        <f>IF(ISNUMBER(H19),Population!H19,"")</f>
        <v>144800</v>
      </c>
      <c r="AG19" s="95" t="s">
        <v>11</v>
      </c>
      <c r="AH19" s="225">
        <f t="shared" si="10"/>
        <v>85.635359116022087</v>
      </c>
      <c r="AI19" s="203">
        <f t="shared" si="11"/>
        <v>5</v>
      </c>
      <c r="AJ19" s="199"/>
      <c r="AK19" s="156"/>
      <c r="AL19" s="792">
        <f t="shared" si="2"/>
        <v>0.24328249818445877</v>
      </c>
      <c r="AM19" s="792">
        <f t="shared" si="3"/>
        <v>-0.17932242990654207</v>
      </c>
      <c r="AN19" s="792">
        <f t="shared" si="4"/>
        <v>-9.7508896797153022E-2</v>
      </c>
      <c r="AO19" s="792">
        <f t="shared" si="5"/>
        <v>-2.2082018927444796E-2</v>
      </c>
      <c r="AP19" s="792">
        <f t="shared" si="12"/>
        <v>-1.390771186167028E-2</v>
      </c>
      <c r="AR19" s="76"/>
      <c r="AS19" s="76"/>
      <c r="AT19" s="76"/>
      <c r="AU19" s="76"/>
      <c r="AV19" s="76"/>
      <c r="AW19" s="76"/>
      <c r="AX19" s="76"/>
      <c r="AY19" s="76"/>
    </row>
    <row r="20" spans="1:51" s="89" customFormat="1" ht="13.5" customHeight="1" x14ac:dyDescent="0.2">
      <c r="A20" s="462">
        <f>VLOOKUP(B20,Sheet1!$AQ$4:$AR$25,2,FALSE)</f>
        <v>0</v>
      </c>
      <c r="B20" s="95" t="str">
        <f>Sheet1!$K$14</f>
        <v>Portsmouth</v>
      </c>
      <c r="C20" s="87"/>
      <c r="D20" s="96">
        <f>IF(Year1_Portsmouth Year1_ReReferrals="","",Year1_Portsmouth Year1_ReReferrals)</f>
        <v>379.9999999999996</v>
      </c>
      <c r="E20" s="96">
        <f>IF(Year2_Portsmouth Year2_ReReferrals="","",Year2_Portsmouth Year2_ReReferrals)</f>
        <v>406.99999999999989</v>
      </c>
      <c r="F20" s="96">
        <f>IF(Year3_Portsmouth Year3_ReReferrals="","",Year3_Portsmouth Year3_ReReferrals)</f>
        <v>645</v>
      </c>
      <c r="G20" s="96">
        <f>IF(Year4_Portsmouth Year4_ReReferrals="","",Year4_Portsmouth Year4_ReReferrals)</f>
        <v>647</v>
      </c>
      <c r="H20" s="97">
        <f>IF(Year5_Portsmouth Year5_ReReferrals="","",Year5_Portsmouth Year5_ReReferrals)</f>
        <v>729</v>
      </c>
      <c r="I20" s="337">
        <f t="shared" si="6"/>
        <v>0.19641469649379739</v>
      </c>
      <c r="J20" s="98"/>
      <c r="K20" s="99">
        <f>IF(ISNUMBER(D20),D20/Population!D20*10000,NA())</f>
        <v>87.557603686635858</v>
      </c>
      <c r="L20" s="99">
        <f>IF(ISNUMBER(E20),E20/Population!E20*10000,NA())</f>
        <v>92.922374429223723</v>
      </c>
      <c r="M20" s="99">
        <f>IF(ISNUMBER(F20),F20/Population!F20*10000,NA())</f>
        <v>146.59090909090909</v>
      </c>
      <c r="N20" s="99">
        <f>IF(ISNUMBER(G20),G20/Population!G20*10000,NA())</f>
        <v>146.38009049773754</v>
      </c>
      <c r="O20" s="100">
        <f>IF(ISNUMBER(H20),H20/Population!H20*10000,NA())</f>
        <v>165.68181818181819</v>
      </c>
      <c r="P20" s="101">
        <f t="shared" si="7"/>
        <v>165.68181818181819</v>
      </c>
      <c r="Q20" s="885">
        <f t="shared" si="8"/>
        <v>14</v>
      </c>
      <c r="R20" s="69"/>
      <c r="S20" s="333">
        <f>IDACI!C19</f>
        <v>20.200000000000003</v>
      </c>
      <c r="T20" s="334">
        <f t="shared" si="0"/>
        <v>131.43592881429853</v>
      </c>
      <c r="U20" s="335">
        <f t="shared" si="9"/>
        <v>34.245889367519652</v>
      </c>
      <c r="V20" s="124"/>
      <c r="W20" s="140"/>
      <c r="X20" s="149"/>
      <c r="Y20" s="71" t="str">
        <f t="shared" si="1"/>
        <v>Portsmouth</v>
      </c>
      <c r="Z20" s="45">
        <f>IF(ISNUMBER($H20),IDACI!D19,0)</f>
        <v>39325</v>
      </c>
      <c r="AA20" s="45">
        <f>IF(ISNUMBER($H20),IDACI!E19,0)</f>
        <v>7943.6500000000015</v>
      </c>
      <c r="AB20" s="202">
        <f>IF(ISNUMBER(D20),Population!D20,"")</f>
        <v>43400</v>
      </c>
      <c r="AC20" s="202">
        <f>IF(ISNUMBER(E20),Population!E20,"")</f>
        <v>43800</v>
      </c>
      <c r="AD20" s="202">
        <f>IF(ISNUMBER(F20),Population!F20,"")</f>
        <v>44000</v>
      </c>
      <c r="AE20" s="202">
        <f>IF(ISNUMBER(G20),Population!G20,"")</f>
        <v>44200</v>
      </c>
      <c r="AF20" s="202">
        <f>IF(ISNUMBER(H20),Population!H20,"")</f>
        <v>44000</v>
      </c>
      <c r="AG20" s="95" t="s">
        <v>12</v>
      </c>
      <c r="AH20" s="225">
        <f t="shared" si="10"/>
        <v>165.68181818181819</v>
      </c>
      <c r="AI20" s="203">
        <f t="shared" si="11"/>
        <v>14</v>
      </c>
      <c r="AJ20" s="199"/>
      <c r="AK20" s="156"/>
      <c r="AL20" s="792">
        <f t="shared" si="2"/>
        <v>7.1052631578948186E-2</v>
      </c>
      <c r="AM20" s="792">
        <f t="shared" si="3"/>
        <v>0.58476658476658516</v>
      </c>
      <c r="AN20" s="792">
        <f t="shared" si="4"/>
        <v>3.1007751937984496E-3</v>
      </c>
      <c r="AO20" s="792">
        <f t="shared" si="5"/>
        <v>0.12673879443585781</v>
      </c>
      <c r="AP20" s="792">
        <f t="shared" si="12"/>
        <v>0.19641469649379739</v>
      </c>
      <c r="AR20" s="76"/>
      <c r="AS20" s="76"/>
      <c r="AT20" s="76"/>
      <c r="AU20" s="76"/>
      <c r="AV20" s="76"/>
      <c r="AW20" s="76"/>
      <c r="AX20" s="76"/>
      <c r="AY20" s="76"/>
    </row>
    <row r="21" spans="1:51" s="89" customFormat="1" ht="13.5" customHeight="1" x14ac:dyDescent="0.2">
      <c r="A21" s="462">
        <f>VLOOKUP(B21,Sheet1!$AQ$4:$AR$25,2,FALSE)</f>
        <v>0</v>
      </c>
      <c r="B21" s="95" t="str">
        <f>Sheet1!$K$15</f>
        <v>Reading</v>
      </c>
      <c r="C21" s="87"/>
      <c r="D21" s="96">
        <f>IF(Year1_Reading Year1_ReReferrals="","",Year1_Reading Year1_ReReferrals)</f>
        <v>352.99999999999983</v>
      </c>
      <c r="E21" s="96">
        <f>IF(Year2_Reading Year2_ReReferrals="","",Year2_Reading Year2_ReReferrals)</f>
        <v>646</v>
      </c>
      <c r="F21" s="96">
        <f>IF(Year3_Reading Year3_ReReferrals="","",Year3_Reading Year3_ReReferrals)</f>
        <v>930</v>
      </c>
      <c r="G21" s="96">
        <f>IF(Year4_Reading Year4_ReReferrals="","",Year4_Reading Year4_ReReferrals)</f>
        <v>588</v>
      </c>
      <c r="H21" s="97">
        <f>IF(Year5_Reading Year5_ReReferrals="","",Year5_Reading Year5_ReReferrals)</f>
        <v>746</v>
      </c>
      <c r="I21" s="337">
        <f t="shared" si="6"/>
        <v>0.29265558977334039</v>
      </c>
      <c r="J21" s="98"/>
      <c r="K21" s="99">
        <f>IF(ISNUMBER(D21),D21/Population!D21*10000,NA())</f>
        <v>98.32869080779939</v>
      </c>
      <c r="L21" s="99">
        <f>IF(ISNUMBER(E21),E21/Population!E21*10000,NA())</f>
        <v>177.47252747252747</v>
      </c>
      <c r="M21" s="99">
        <f>IF(ISNUMBER(F21),F21/Population!F21*10000,NA())</f>
        <v>254.09836065573771</v>
      </c>
      <c r="N21" s="99">
        <f>IF(ISNUMBER(G21),G21/Population!G21*10000,NA())</f>
        <v>158.49056603773585</v>
      </c>
      <c r="O21" s="100">
        <f>IF(ISNUMBER(H21),H21/Population!H21*10000,NA())</f>
        <v>201.07816711590297</v>
      </c>
      <c r="P21" s="101">
        <f t="shared" si="7"/>
        <v>201.07816711590297</v>
      </c>
      <c r="Q21" s="885">
        <f t="shared" si="8"/>
        <v>17</v>
      </c>
      <c r="R21" s="69"/>
      <c r="S21" s="333">
        <f>IDACI!C20</f>
        <v>16</v>
      </c>
      <c r="T21" s="334">
        <f t="shared" si="0"/>
        <v>115.1920839133164</v>
      </c>
      <c r="U21" s="335">
        <f t="shared" si="9"/>
        <v>85.886083202586576</v>
      </c>
      <c r="V21" s="124"/>
      <c r="W21" s="140"/>
      <c r="X21" s="149"/>
      <c r="Y21" s="71" t="str">
        <f t="shared" si="1"/>
        <v>Reading</v>
      </c>
      <c r="Z21" s="45">
        <f>IF(ISNUMBER($H21),IDACI!D20,0)</f>
        <v>33203</v>
      </c>
      <c r="AA21" s="45">
        <f>IF(ISNUMBER($H21),IDACI!E20,0)</f>
        <v>5312.4800000000005</v>
      </c>
      <c r="AB21" s="202">
        <f>IF(ISNUMBER(D21),Population!D21,"")</f>
        <v>35900</v>
      </c>
      <c r="AC21" s="202">
        <f>IF(ISNUMBER(E21),Population!E21,"")</f>
        <v>36400</v>
      </c>
      <c r="AD21" s="202">
        <f>IF(ISNUMBER(F21),Population!F21,"")</f>
        <v>36600</v>
      </c>
      <c r="AE21" s="202">
        <f>IF(ISNUMBER(G21),Population!G21,"")</f>
        <v>37100</v>
      </c>
      <c r="AF21" s="202">
        <f>IF(ISNUMBER(H21),Population!H21,"")</f>
        <v>37100</v>
      </c>
      <c r="AG21" s="95" t="s">
        <v>3</v>
      </c>
      <c r="AH21" s="225">
        <f t="shared" si="10"/>
        <v>201.07816711590297</v>
      </c>
      <c r="AI21" s="203">
        <f t="shared" si="11"/>
        <v>17</v>
      </c>
      <c r="AJ21" s="199"/>
      <c r="AK21" s="156"/>
      <c r="AL21" s="792">
        <f t="shared" si="2"/>
        <v>0.8300283286118989</v>
      </c>
      <c r="AM21" s="792">
        <f t="shared" si="3"/>
        <v>0.43962848297213625</v>
      </c>
      <c r="AN21" s="792">
        <f t="shared" si="4"/>
        <v>-0.36774193548387096</v>
      </c>
      <c r="AO21" s="792">
        <f t="shared" si="5"/>
        <v>0.2687074829931973</v>
      </c>
      <c r="AP21" s="792">
        <f t="shared" si="12"/>
        <v>0.29265558977334039</v>
      </c>
      <c r="AR21" s="76"/>
      <c r="AS21" s="76"/>
      <c r="AT21" s="76"/>
      <c r="AU21" s="76"/>
      <c r="AV21" s="76"/>
      <c r="AW21" s="76"/>
      <c r="AX21" s="76"/>
      <c r="AY21" s="76"/>
    </row>
    <row r="22" spans="1:51" s="89" customFormat="1" ht="13.5" customHeight="1" x14ac:dyDescent="0.2">
      <c r="A22" s="462">
        <f>VLOOKUP(B22,Sheet1!$AQ$4:$AR$25,2,FALSE)</f>
        <v>0</v>
      </c>
      <c r="B22" s="95" t="str">
        <f>Sheet1!$K$16</f>
        <v>Slough</v>
      </c>
      <c r="C22" s="87"/>
      <c r="D22" s="96">
        <f>IF(Year1_Slough Year1_ReReferrals="","",Year1_Slough Year1_ReReferrals)</f>
        <v>480.00000000000017</v>
      </c>
      <c r="E22" s="96">
        <f>IF(Year2_Slough Year2_ReReferrals="","",Year2_Slough Year2_ReReferrals)</f>
        <v>522.00000000000011</v>
      </c>
      <c r="F22" s="96">
        <f>IF(Year3_Slough Year3_ReReferrals="","",Year3_Slough Year3_ReReferrals)</f>
        <v>1652</v>
      </c>
      <c r="G22" s="96">
        <f>IF(Year4_Slough Year4_ReReferrals="","",Year4_Slough Year4_ReReferrals)</f>
        <v>390</v>
      </c>
      <c r="H22" s="97">
        <f>IF(Year5_Slough Year5_ReReferrals="","",Year5_Slough Year5_ReReferrals)</f>
        <v>293</v>
      </c>
      <c r="I22" s="337">
        <f t="shared" si="6"/>
        <v>0.30990262274416269</v>
      </c>
      <c r="J22" s="98"/>
      <c r="K22" s="99">
        <f>IF(ISNUMBER(D22),D22/Population!D22*10000,NA())</f>
        <v>120.30075187969929</v>
      </c>
      <c r="L22" s="99">
        <f>IF(ISNUMBER(E22),E22/Population!E22*10000,NA())</f>
        <v>128.57142857142861</v>
      </c>
      <c r="M22" s="99">
        <f>IF(ISNUMBER(F22),F22/Population!F22*10000,NA())</f>
        <v>399.03381642512079</v>
      </c>
      <c r="N22" s="99">
        <f>IF(ISNUMBER(G22),G22/Population!G22*10000,NA())</f>
        <v>92.417061611374407</v>
      </c>
      <c r="O22" s="100">
        <f>IF(ISNUMBER(H22),H22/Population!H22*10000,NA())</f>
        <v>68.618266978922719</v>
      </c>
      <c r="P22" s="101">
        <f t="shared" si="7"/>
        <v>68.618266978922719</v>
      </c>
      <c r="Q22" s="885">
        <f t="shared" si="8"/>
        <v>1</v>
      </c>
      <c r="R22" s="69"/>
      <c r="S22" s="333">
        <f>IDACI!C21</f>
        <v>14.7</v>
      </c>
      <c r="T22" s="334">
        <f t="shared" si="0"/>
        <v>110.16422715825048</v>
      </c>
      <c r="U22" s="335">
        <f t="shared" si="9"/>
        <v>-41.545960179327764</v>
      </c>
      <c r="V22" s="124"/>
      <c r="W22" s="140"/>
      <c r="X22" s="149"/>
      <c r="Y22" s="71" t="str">
        <f t="shared" si="1"/>
        <v>Slough</v>
      </c>
      <c r="Z22" s="45">
        <f>IF(ISNUMBER($H22),IDACI!D21,0)</f>
        <v>37031</v>
      </c>
      <c r="AA22" s="45">
        <f>IF(ISNUMBER($H22),IDACI!E21,0)</f>
        <v>5443.5569999999998</v>
      </c>
      <c r="AB22" s="202">
        <f>IF(ISNUMBER(D22),Population!D22,"")</f>
        <v>39900</v>
      </c>
      <c r="AC22" s="202">
        <f>IF(ISNUMBER(E22),Population!E22,"")</f>
        <v>40600</v>
      </c>
      <c r="AD22" s="202">
        <f>IF(ISNUMBER(F22),Population!F22,"")</f>
        <v>41400</v>
      </c>
      <c r="AE22" s="202">
        <f>IF(ISNUMBER(G22),Population!G22,"")</f>
        <v>42200</v>
      </c>
      <c r="AF22" s="202">
        <f>IF(ISNUMBER(H22),Population!H22,"")</f>
        <v>42700</v>
      </c>
      <c r="AG22" s="95" t="s">
        <v>13</v>
      </c>
      <c r="AH22" s="225">
        <f t="shared" si="10"/>
        <v>68.618266978922719</v>
      </c>
      <c r="AI22" s="203">
        <f t="shared" si="11"/>
        <v>1</v>
      </c>
      <c r="AJ22" s="199"/>
      <c r="AK22" s="156"/>
      <c r="AL22" s="792">
        <f t="shared" si="2"/>
        <v>8.7499999999999856E-2</v>
      </c>
      <c r="AM22" s="792">
        <f t="shared" si="3"/>
        <v>2.1647509578544057</v>
      </c>
      <c r="AN22" s="792">
        <f t="shared" si="4"/>
        <v>-0.76392251815980627</v>
      </c>
      <c r="AO22" s="792">
        <f t="shared" si="5"/>
        <v>-0.24871794871794872</v>
      </c>
      <c r="AP22" s="792">
        <f t="shared" si="12"/>
        <v>0.30990262274416269</v>
      </c>
      <c r="AR22" s="76"/>
      <c r="AS22" s="76"/>
      <c r="AT22" s="76"/>
      <c r="AU22" s="76"/>
      <c r="AV22" s="76"/>
      <c r="AW22" s="76"/>
      <c r="AX22" s="76"/>
      <c r="AY22" s="76"/>
    </row>
    <row r="23" spans="1:51" s="89" customFormat="1" ht="13.5" customHeight="1" x14ac:dyDescent="0.2">
      <c r="A23" s="462">
        <f>VLOOKUP(B23,Sheet1!$AQ$4:$AR$25,2,FALSE)</f>
        <v>0</v>
      </c>
      <c r="B23" s="95" t="str">
        <f>Sheet1!$K$17</f>
        <v>Somerset</v>
      </c>
      <c r="C23" s="87"/>
      <c r="D23" s="96">
        <f>IF(Year1_Somerset Year1_ReReferrals="","",Year1_Somerset Year1_ReReferrals)</f>
        <v>1507.9999999999977</v>
      </c>
      <c r="E23" s="96">
        <f>IF(Year2_Somerset Year2_ReReferrals="","",Year2_Somerset Year2_ReReferrals)</f>
        <v>985</v>
      </c>
      <c r="F23" s="96">
        <f>IF(Year3_Somerset Year3_ReReferrals="","",Year3_Somerset Year3_ReReferrals)</f>
        <v>950</v>
      </c>
      <c r="G23" s="96">
        <f>IF(Year4_Somerset Year4_ReReferrals="","",Year4_Somerset Year4_ReReferrals)</f>
        <v>1104</v>
      </c>
      <c r="H23" s="97">
        <f>IF(Year5_Somerset Year5_ReReferrals="","",Year5_Somerset Year5_ReReferrals)</f>
        <v>914</v>
      </c>
      <c r="I23" s="337">
        <f t="shared" si="6"/>
        <v>-9.8086539292161351E-2</v>
      </c>
      <c r="J23" s="98"/>
      <c r="K23" s="99">
        <f>IF(ISNUMBER(D23),D23/Population!D23*10000,NA())</f>
        <v>138.4756657483928</v>
      </c>
      <c r="L23" s="99">
        <f>IF(ISNUMBER(E23),E23/Population!E23*10000,NA())</f>
        <v>90.201465201465197</v>
      </c>
      <c r="M23" s="99">
        <f>IF(ISNUMBER(F23),F23/Population!F23*10000,NA())</f>
        <v>86.599817684594356</v>
      </c>
      <c r="N23" s="99">
        <f>IF(ISNUMBER(G23),G23/Population!G23*10000,NA())</f>
        <v>100.27247956403271</v>
      </c>
      <c r="O23" s="100">
        <f>IF(ISNUMBER(H23),H23/Population!H23*10000,NA())</f>
        <v>82.565492321589886</v>
      </c>
      <c r="P23" s="101">
        <f t="shared" si="7"/>
        <v>82.565492321589886</v>
      </c>
      <c r="Q23" s="882" t="str">
        <f t="shared" si="8"/>
        <v>--</v>
      </c>
      <c r="R23" s="69"/>
      <c r="S23" s="333">
        <f>IDACI!C22</f>
        <v>13.600000000000001</v>
      </c>
      <c r="T23" s="334">
        <f t="shared" si="0"/>
        <v>105.90988682704088</v>
      </c>
      <c r="U23" s="335">
        <f t="shared" si="9"/>
        <v>-23.344394505450992</v>
      </c>
      <c r="V23" s="124"/>
      <c r="W23" s="140"/>
      <c r="X23" s="149"/>
      <c r="Y23" s="71" t="str">
        <f t="shared" si="1"/>
        <v>Somerset</v>
      </c>
      <c r="Z23" s="45">
        <f>IF(ISNUMBER($H23),IDACI!D22,0)</f>
        <v>95875</v>
      </c>
      <c r="AA23" s="45">
        <f>IF(ISNUMBER($H23),IDACI!E22,0)</f>
        <v>13039.000000000002</v>
      </c>
      <c r="AB23" s="202">
        <f>IF(ISNUMBER(D23),Population!D23,"")</f>
        <v>108900</v>
      </c>
      <c r="AC23" s="202">
        <f>IF(ISNUMBER(E23),Population!E23,"")</f>
        <v>109200</v>
      </c>
      <c r="AD23" s="202">
        <f>IF(ISNUMBER(F23),Population!F23,"")</f>
        <v>109700</v>
      </c>
      <c r="AE23" s="202">
        <f>IF(ISNUMBER(G23),Population!G23,"")</f>
        <v>110100</v>
      </c>
      <c r="AF23" s="202">
        <f>IF(ISNUMBER(H23),Population!H23,"")</f>
        <v>110700</v>
      </c>
      <c r="AG23" s="95" t="s">
        <v>14</v>
      </c>
      <c r="AH23" s="225">
        <f t="shared" si="10"/>
        <v>86.811023622047244</v>
      </c>
      <c r="AI23" s="203">
        <f t="shared" si="11"/>
        <v>6</v>
      </c>
      <c r="AJ23" s="199"/>
      <c r="AK23" s="156"/>
      <c r="AL23" s="792">
        <f t="shared" si="2"/>
        <v>-0.34681697612731999</v>
      </c>
      <c r="AM23" s="792">
        <f t="shared" si="3"/>
        <v>-3.553299492385787E-2</v>
      </c>
      <c r="AN23" s="792">
        <f t="shared" si="4"/>
        <v>0.16210526315789472</v>
      </c>
      <c r="AO23" s="792">
        <f t="shared" si="5"/>
        <v>-0.17210144927536231</v>
      </c>
      <c r="AP23" s="792">
        <f t="shared" si="12"/>
        <v>-9.8086539292161351E-2</v>
      </c>
      <c r="AR23" s="76"/>
      <c r="AS23" s="76"/>
      <c r="AT23" s="76"/>
      <c r="AU23" s="76"/>
      <c r="AV23" s="76"/>
      <c r="AW23" s="76"/>
      <c r="AX23" s="76"/>
      <c r="AY23" s="76"/>
    </row>
    <row r="24" spans="1:51" s="89" customFormat="1" ht="13.5" customHeight="1" x14ac:dyDescent="0.2">
      <c r="A24" s="462">
        <f>VLOOKUP(B24,Sheet1!$AQ$4:$AR$25,2,FALSE)</f>
        <v>0</v>
      </c>
      <c r="B24" s="95" t="str">
        <f>Sheet1!$K$18</f>
        <v>Southampton</v>
      </c>
      <c r="C24" s="87"/>
      <c r="D24" s="96">
        <f>IF(Year1_Southampton Year1_ReReferrals="","",Year1_Southampton Year1_ReReferrals)</f>
        <v>2214</v>
      </c>
      <c r="E24" s="96">
        <f>IF(Year2_Southampton Year2_ReReferrals="","",Year2_Southampton Year2_ReReferrals)</f>
        <v>790</v>
      </c>
      <c r="F24" s="96">
        <f>IF(Year3_Southampton Year3_ReReferrals="","",Year3_Southampton Year3_ReReferrals)</f>
        <v>810</v>
      </c>
      <c r="G24" s="96">
        <f>IF(Year4_Southampton Year4_ReReferrals="","",Year4_Southampton Year4_ReReferrals)</f>
        <v>530</v>
      </c>
      <c r="H24" s="97">
        <f>IF(Year5_Southampton Year5_ReReferrals="","",Year5_Southampton Year5_ReReferrals)</f>
        <v>441</v>
      </c>
      <c r="I24" s="337">
        <f t="shared" si="6"/>
        <v>-0.28286671252058698</v>
      </c>
      <c r="J24" s="98"/>
      <c r="K24" s="99">
        <f>IF(ISNUMBER(D24),D24/Population!D24*10000,NA())</f>
        <v>455.5555555555556</v>
      </c>
      <c r="L24" s="99">
        <f>IF(ISNUMBER(E24),E24/Population!E24*10000,NA())</f>
        <v>160.5691056910569</v>
      </c>
      <c r="M24" s="99">
        <f>IF(ISNUMBER(F24),F24/Population!F24*10000,NA())</f>
        <v>162.32464929859719</v>
      </c>
      <c r="N24" s="99">
        <f>IF(ISNUMBER(G24),G24/Population!G24*10000,NA())</f>
        <v>105.36779324055665</v>
      </c>
      <c r="O24" s="100">
        <f>IF(ISNUMBER(H24),H24/Population!H24*10000,NA())</f>
        <v>86.811023622047244</v>
      </c>
      <c r="P24" s="101">
        <f t="shared" si="7"/>
        <v>86.811023622047244</v>
      </c>
      <c r="Q24" s="885">
        <f t="shared" si="8"/>
        <v>6</v>
      </c>
      <c r="R24" s="69"/>
      <c r="S24" s="333">
        <f>IDACI!C23</f>
        <v>20.5</v>
      </c>
      <c r="T24" s="334">
        <f t="shared" si="0"/>
        <v>132.59620345008295</v>
      </c>
      <c r="U24" s="335">
        <f t="shared" si="9"/>
        <v>-45.785179828035709</v>
      </c>
      <c r="V24" s="124"/>
      <c r="W24" s="140"/>
      <c r="X24" s="149"/>
      <c r="Y24" s="71" t="str">
        <f t="shared" si="1"/>
        <v>Southampton</v>
      </c>
      <c r="Z24" s="45">
        <f>IF(ISNUMBER($H24),IDACI!D23,0)</f>
        <v>44295</v>
      </c>
      <c r="AA24" s="45">
        <f>IF(ISNUMBER($H24),IDACI!E23,0)</f>
        <v>9080.4750000000004</v>
      </c>
      <c r="AB24" s="202">
        <f>IF(ISNUMBER(D24),Population!D24,"")</f>
        <v>48600</v>
      </c>
      <c r="AC24" s="202">
        <f>IF(ISNUMBER(E24),Population!E24,"")</f>
        <v>49200</v>
      </c>
      <c r="AD24" s="202">
        <f>IF(ISNUMBER(F24),Population!F24,"")</f>
        <v>49900</v>
      </c>
      <c r="AE24" s="202">
        <f>IF(ISNUMBER(G24),Population!G24,"")</f>
        <v>50300</v>
      </c>
      <c r="AF24" s="202">
        <f>IF(ISNUMBER(H24),Population!H24,"")</f>
        <v>50800</v>
      </c>
      <c r="AG24" s="95" t="s">
        <v>7</v>
      </c>
      <c r="AH24" s="225">
        <f t="shared" si="10"/>
        <v>103.66552119129439</v>
      </c>
      <c r="AI24" s="203">
        <f t="shared" si="11"/>
        <v>9</v>
      </c>
      <c r="AJ24" s="199"/>
      <c r="AK24" s="156"/>
      <c r="AL24" s="792">
        <f t="shared" si="2"/>
        <v>-0.64317976513098463</v>
      </c>
      <c r="AM24" s="792">
        <f t="shared" si="3"/>
        <v>2.5316455696202531E-2</v>
      </c>
      <c r="AN24" s="792">
        <f t="shared" si="4"/>
        <v>-0.34567901234567899</v>
      </c>
      <c r="AO24" s="792">
        <f t="shared" si="5"/>
        <v>-0.16792452830188678</v>
      </c>
      <c r="AP24" s="792">
        <f t="shared" si="12"/>
        <v>-0.28286671252058698</v>
      </c>
      <c r="AR24" s="76"/>
      <c r="AS24" s="76"/>
      <c r="AT24" s="76"/>
      <c r="AU24" s="76"/>
      <c r="AV24" s="76"/>
      <c r="AW24" s="76"/>
      <c r="AX24" s="76"/>
      <c r="AY24" s="76"/>
    </row>
    <row r="25" spans="1:51" s="89" customFormat="1" ht="13.5" customHeight="1" x14ac:dyDescent="0.2">
      <c r="A25" s="462">
        <f>VLOOKUP(B25,Sheet1!$AQ$4:$AR$25,2,FALSE)</f>
        <v>0</v>
      </c>
      <c r="B25" s="95" t="str">
        <f>Sheet1!$K$19</f>
        <v>Surrey</v>
      </c>
      <c r="C25" s="87"/>
      <c r="D25" s="96">
        <f>IF(Year1_Surrey Year1_ReReferrals="","",Year1_Surrey Year1_ReReferrals)</f>
        <v>2530.9999999999973</v>
      </c>
      <c r="E25" s="96">
        <f>IF(Year2_Surrey Year2_ReReferrals="","",Year2_Surrey Year2_ReReferrals)</f>
        <v>2840</v>
      </c>
      <c r="F25" s="96">
        <f>IF(Year3_Surrey Year3_ReReferrals="","",Year3_Surrey Year3_ReReferrals)</f>
        <v>2896</v>
      </c>
      <c r="G25" s="96">
        <f>IF(Year4_Surrey Year4_ReReferrals="","",Year4_Surrey Year4_ReReferrals)</f>
        <v>3724</v>
      </c>
      <c r="H25" s="97">
        <f>IF(Year5_Surrey Year5_ReReferrals="","",Year5_Surrey Year5_ReReferrals)</f>
        <v>2715</v>
      </c>
      <c r="I25" s="337">
        <f t="shared" si="6"/>
        <v>3.9192705959852789E-2</v>
      </c>
      <c r="J25" s="98"/>
      <c r="K25" s="99">
        <f>IF(ISNUMBER(D25),D25/Population!D25*10000,NA())</f>
        <v>99.410840534171143</v>
      </c>
      <c r="L25" s="99">
        <f>IF(ISNUMBER(E25),E25/Population!E25*10000,NA())</f>
        <v>110.7644305772231</v>
      </c>
      <c r="M25" s="99">
        <f>IF(ISNUMBER(F25),F25/Population!F25*10000,NA())</f>
        <v>111.81467181467183</v>
      </c>
      <c r="N25" s="99">
        <f>IF(ISNUMBER(G25),G25/Population!G25*10000,NA())</f>
        <v>143.06569343065695</v>
      </c>
      <c r="O25" s="100">
        <f>IF(ISNUMBER(H25),H25/Population!H25*10000,NA())</f>
        <v>103.66552119129439</v>
      </c>
      <c r="P25" s="101">
        <f t="shared" si="7"/>
        <v>103.66552119129439</v>
      </c>
      <c r="Q25" s="885">
        <f t="shared" si="8"/>
        <v>9</v>
      </c>
      <c r="R25" s="69"/>
      <c r="S25" s="333">
        <f>IDACI!C24</f>
        <v>8.3000000000000007</v>
      </c>
      <c r="T25" s="334">
        <f t="shared" si="0"/>
        <v>85.411701594849134</v>
      </c>
      <c r="U25" s="335">
        <f t="shared" si="9"/>
        <v>18.253819596445254</v>
      </c>
      <c r="V25" s="124"/>
      <c r="W25" s="140"/>
      <c r="X25" s="149"/>
      <c r="Y25" s="71" t="str">
        <f t="shared" si="1"/>
        <v>Surrey</v>
      </c>
      <c r="Z25" s="45">
        <f>IF(ISNUMBER($H25),IDACI!D24,0)</f>
        <v>228466</v>
      </c>
      <c r="AA25" s="45">
        <f>IF(ISNUMBER($H25),IDACI!E24,0)</f>
        <v>18962.678</v>
      </c>
      <c r="AB25" s="202">
        <f>IF(ISNUMBER(D25),Population!D25,"")</f>
        <v>254600</v>
      </c>
      <c r="AC25" s="202">
        <f>IF(ISNUMBER(E25),Population!E25,"")</f>
        <v>256400</v>
      </c>
      <c r="AD25" s="202">
        <f>IF(ISNUMBER(F25),Population!F25,"")</f>
        <v>259000</v>
      </c>
      <c r="AE25" s="202">
        <f>IF(ISNUMBER(G25),Population!G25,"")</f>
        <v>260300</v>
      </c>
      <c r="AF25" s="202">
        <f>IF(ISNUMBER(H25),Population!H25,"")</f>
        <v>261900</v>
      </c>
      <c r="AG25" s="95" t="s">
        <v>15</v>
      </c>
      <c r="AH25" s="225">
        <f t="shared" si="10"/>
        <v>123.87640449438202</v>
      </c>
      <c r="AI25" s="203">
        <f t="shared" si="11"/>
        <v>10</v>
      </c>
      <c r="AJ25" s="199"/>
      <c r="AK25" s="156"/>
      <c r="AL25" s="792">
        <f t="shared" si="2"/>
        <v>0.12208613196365194</v>
      </c>
      <c r="AM25" s="792">
        <f t="shared" si="3"/>
        <v>1.9718309859154931E-2</v>
      </c>
      <c r="AN25" s="792">
        <f t="shared" si="4"/>
        <v>0.28591160220994477</v>
      </c>
      <c r="AO25" s="792">
        <f t="shared" si="5"/>
        <v>-0.2709452201933405</v>
      </c>
      <c r="AP25" s="792">
        <f t="shared" si="12"/>
        <v>3.9192705959852789E-2</v>
      </c>
      <c r="AR25" s="76"/>
      <c r="AS25" s="76"/>
      <c r="AT25" s="76"/>
      <c r="AU25" s="76"/>
      <c r="AV25" s="76"/>
      <c r="AW25" s="76"/>
      <c r="AX25" s="76"/>
      <c r="AY25" s="76"/>
    </row>
    <row r="26" spans="1:51" s="89" customFormat="1" ht="13.5" customHeight="1" x14ac:dyDescent="0.2">
      <c r="A26" s="462">
        <f>VLOOKUP(B26,Sheet1!$AQ$4:$AR$25,2,FALSE)</f>
        <v>0</v>
      </c>
      <c r="B26" s="95" t="str">
        <f>Sheet1!$K$20</f>
        <v>Swindon</v>
      </c>
      <c r="C26" s="87"/>
      <c r="D26" s="96">
        <f>IF(Year1_Swindon Year1_ReReferrals="","",Year1_Swindon Year1_ReReferrals)</f>
        <v>531.00000000000011</v>
      </c>
      <c r="E26" s="96">
        <f>IF(Year2_Swindon Year2_ReReferrals="","",Year2_Swindon Year2_ReReferrals)</f>
        <v>948.99999999999989</v>
      </c>
      <c r="F26" s="96">
        <f>IF(Year3_Swindon Year3_ReReferrals="","",Year3_Swindon Year3_ReReferrals)</f>
        <v>804</v>
      </c>
      <c r="G26" s="96">
        <f>IF(Year4_Swindon Year4_ReReferrals="","",Year4_Swindon Year4_ReReferrals)</f>
        <v>877</v>
      </c>
      <c r="H26" s="97">
        <f>IF(Year5_Swindon Year5_ReReferrals="","",Year5_Swindon Year5_ReReferrals)</f>
        <v>582</v>
      </c>
      <c r="I26" s="337">
        <f t="shared" si="6"/>
        <v>9.7205894547065311E-2</v>
      </c>
      <c r="J26" s="98"/>
      <c r="K26" s="99">
        <f>IF(ISNUMBER(D26),D26/Population!D26*10000,NA())</f>
        <v>109.25925925925928</v>
      </c>
      <c r="L26" s="99">
        <f>IF(ISNUMBER(E26),E26/Population!E26*10000,NA())</f>
        <v>193.67346938775509</v>
      </c>
      <c r="M26" s="99">
        <f>IF(ISNUMBER(F26),F26/Population!F26*10000,NA())</f>
        <v>162.42424242424244</v>
      </c>
      <c r="N26" s="99">
        <f>IF(ISNUMBER(G26),G26/Population!G26*10000,NA())</f>
        <v>175.751503006012</v>
      </c>
      <c r="O26" s="100">
        <f>IF(ISNUMBER(H26),H26/Population!H26*10000,NA())</f>
        <v>115.93625498007968</v>
      </c>
      <c r="P26" s="101">
        <f t="shared" si="7"/>
        <v>115.93625498007968</v>
      </c>
      <c r="Q26" s="882" t="str">
        <f t="shared" si="8"/>
        <v>--</v>
      </c>
      <c r="R26" s="69"/>
      <c r="S26" s="333">
        <f>IDACI!C25</f>
        <v>14.899999999999999</v>
      </c>
      <c r="T26" s="334">
        <f t="shared" si="0"/>
        <v>110.93774358210678</v>
      </c>
      <c r="U26" s="335">
        <f t="shared" si="9"/>
        <v>4.998511397972905</v>
      </c>
      <c r="V26" s="124"/>
      <c r="W26" s="140"/>
      <c r="X26" s="149"/>
      <c r="Y26" s="71" t="str">
        <f t="shared" si="1"/>
        <v>Swindon</v>
      </c>
      <c r="Z26" s="45">
        <f>IF(ISNUMBER($H26),IDACI!D25,0)</f>
        <v>43899</v>
      </c>
      <c r="AA26" s="45">
        <f>IF(ISNUMBER($H26),IDACI!E25,0)</f>
        <v>6540.951</v>
      </c>
      <c r="AB26" s="202">
        <f>IF(ISNUMBER(D26),Population!D26,"")</f>
        <v>48600</v>
      </c>
      <c r="AC26" s="202">
        <f>IF(ISNUMBER(E26),Population!E26,"")</f>
        <v>49000</v>
      </c>
      <c r="AD26" s="202">
        <f>IF(ISNUMBER(F26),Population!F26,"")</f>
        <v>49500</v>
      </c>
      <c r="AE26" s="202">
        <f>IF(ISNUMBER(G26),Population!G26,"")</f>
        <v>49900</v>
      </c>
      <c r="AF26" s="202">
        <f>IF(ISNUMBER(H26),Population!H26,"")</f>
        <v>50200</v>
      </c>
      <c r="AG26" s="95" t="s">
        <v>5</v>
      </c>
      <c r="AH26" s="225">
        <f t="shared" si="10"/>
        <v>140.01144819690899</v>
      </c>
      <c r="AI26" s="203">
        <f t="shared" si="11"/>
        <v>11</v>
      </c>
      <c r="AJ26" s="199"/>
      <c r="AK26" s="156"/>
      <c r="AL26" s="792">
        <f t="shared" si="2"/>
        <v>0.78719397363465105</v>
      </c>
      <c r="AM26" s="792">
        <f t="shared" si="3"/>
        <v>-0.15279241306638558</v>
      </c>
      <c r="AN26" s="792">
        <f t="shared" si="4"/>
        <v>9.0796019900497515E-2</v>
      </c>
      <c r="AO26" s="792">
        <f t="shared" si="5"/>
        <v>-0.33637400228050168</v>
      </c>
      <c r="AP26" s="792">
        <f t="shared" si="12"/>
        <v>9.7205894547065311E-2</v>
      </c>
      <c r="AR26" s="76"/>
      <c r="AS26" s="76"/>
      <c r="AT26" s="76"/>
      <c r="AU26" s="76"/>
      <c r="AV26" s="76"/>
      <c r="AW26" s="76"/>
      <c r="AX26" s="76"/>
      <c r="AY26" s="76"/>
    </row>
    <row r="27" spans="1:51" s="89" customFormat="1" ht="13.5" customHeight="1" x14ac:dyDescent="0.2">
      <c r="A27" s="462">
        <f>VLOOKUP(B27,Sheet1!$AQ$4:$AR$25,2,FALSE)</f>
        <v>0</v>
      </c>
      <c r="B27" s="95" t="str">
        <f>Sheet1!$K$21</f>
        <v>Torbay</v>
      </c>
      <c r="C27" s="87"/>
      <c r="D27" s="96">
        <f>IF(Year1_Torbay Year1_ReReferrals="","",Year1_Torbay Year1_ReReferrals)</f>
        <v>532</v>
      </c>
      <c r="E27" s="96">
        <f>IF(Year2_Torbay Year2_ReReferrals="","",Year2_Torbay Year2_ReReferrals)</f>
        <v>574.00000000000011</v>
      </c>
      <c r="F27" s="96">
        <f>IF(Year3_Torbay Year3_ReReferrals="","",Year3_Torbay Year3_ReReferrals)</f>
        <v>437</v>
      </c>
      <c r="G27" s="96">
        <f>IF(Year4_Torbay Year4_ReReferrals="","",Year4_Torbay Year4_ReReferrals)</f>
        <v>444</v>
      </c>
      <c r="H27" s="97">
        <f>IF(Year5_Torbay Year5_ReReferrals="","",Year5_Torbay Year5_ReReferrals)</f>
        <v>466</v>
      </c>
      <c r="I27" s="337">
        <f t="shared" si="6"/>
        <v>-2.3540183395348864E-2</v>
      </c>
      <c r="J27" s="98"/>
      <c r="K27" s="99">
        <f>IF(ISNUMBER(D27),D27/Population!D27*10000,NA())</f>
        <v>211.95219123505979</v>
      </c>
      <c r="L27" s="99">
        <f>IF(ISNUMBER(E27),E27/Population!E27*10000,NA())</f>
        <v>227.77777777777783</v>
      </c>
      <c r="M27" s="99">
        <f>IF(ISNUMBER(F27),F27/Population!F27*10000,NA())</f>
        <v>172.04724409448821</v>
      </c>
      <c r="N27" s="99">
        <f>IF(ISNUMBER(G27),G27/Population!G27*10000,NA())</f>
        <v>174.8031496062992</v>
      </c>
      <c r="O27" s="100">
        <f>IF(ISNUMBER(H27),H27/Population!H27*10000,NA())</f>
        <v>183.46456692913387</v>
      </c>
      <c r="P27" s="101">
        <f t="shared" si="7"/>
        <v>183.46456692913387</v>
      </c>
      <c r="Q27" s="882" t="str">
        <f t="shared" si="8"/>
        <v>--</v>
      </c>
      <c r="R27" s="69"/>
      <c r="S27" s="333">
        <f>IDACI!C26</f>
        <v>21.9</v>
      </c>
      <c r="T27" s="334">
        <f t="shared" si="0"/>
        <v>138.01081841707702</v>
      </c>
      <c r="U27" s="335">
        <f t="shared" si="9"/>
        <v>45.453748512056848</v>
      </c>
      <c r="V27" s="124"/>
      <c r="W27" s="140"/>
      <c r="X27" s="149"/>
      <c r="Y27" s="71" t="str">
        <f t="shared" si="1"/>
        <v>Torbay</v>
      </c>
      <c r="Z27" s="45">
        <f>IF(ISNUMBER($H27),IDACI!D26,0)</f>
        <v>22257</v>
      </c>
      <c r="AA27" s="45">
        <f>IF(ISNUMBER($H27),IDACI!E26,0)</f>
        <v>4874.2829999999994</v>
      </c>
      <c r="AB27" s="202">
        <f>IF(ISNUMBER(D27),Population!D27,"")</f>
        <v>25100</v>
      </c>
      <c r="AC27" s="202">
        <f>IF(ISNUMBER(E27),Population!E27,"")</f>
        <v>25200</v>
      </c>
      <c r="AD27" s="202">
        <f>IF(ISNUMBER(F27),Population!F27,"")</f>
        <v>25400</v>
      </c>
      <c r="AE27" s="202">
        <f>IF(ISNUMBER(G27),Population!G27,"")</f>
        <v>25400</v>
      </c>
      <c r="AF27" s="202">
        <f>IF(ISNUMBER(H27),Population!H27,"")</f>
        <v>25400</v>
      </c>
      <c r="AG27" s="95" t="s">
        <v>30</v>
      </c>
      <c r="AH27" s="225">
        <f t="shared" si="10"/>
        <v>68.786127167630056</v>
      </c>
      <c r="AI27" s="203">
        <f t="shared" si="11"/>
        <v>2</v>
      </c>
      <c r="AJ27" s="199"/>
      <c r="AK27" s="156"/>
      <c r="AL27" s="792">
        <f t="shared" si="2"/>
        <v>7.8947368421052849E-2</v>
      </c>
      <c r="AM27" s="792">
        <f t="shared" si="3"/>
        <v>-0.23867595818815346</v>
      </c>
      <c r="AN27" s="792">
        <f t="shared" si="4"/>
        <v>1.6018306636155607E-2</v>
      </c>
      <c r="AO27" s="792">
        <f t="shared" si="5"/>
        <v>4.954954954954955E-2</v>
      </c>
      <c r="AP27" s="792">
        <f t="shared" si="12"/>
        <v>-2.3540183395348864E-2</v>
      </c>
      <c r="AR27" s="76"/>
      <c r="AS27" s="76"/>
      <c r="AT27" s="76"/>
      <c r="AU27" s="76"/>
      <c r="AV27" s="76"/>
      <c r="AW27" s="76"/>
      <c r="AX27" s="76"/>
      <c r="AY27" s="76"/>
    </row>
    <row r="28" spans="1:51" s="89" customFormat="1" ht="13.5" customHeight="1" x14ac:dyDescent="0.2">
      <c r="A28" s="462">
        <f>VLOOKUP(B28,Sheet1!$AQ$4:$AR$25,2,FALSE)</f>
        <v>0</v>
      </c>
      <c r="B28" s="95" t="str">
        <f>Sheet1!$K$22</f>
        <v>West Berkshire</v>
      </c>
      <c r="C28" s="87"/>
      <c r="D28" s="96">
        <f>IF(Year1_West_Berkshire Year1_ReReferrals="","",Year1_West_Berkshire Year1_ReReferrals)</f>
        <v>303</v>
      </c>
      <c r="E28" s="102">
        <f>IF(Year2_West_Berkshire Year2_ReReferrals="","",Year2_West_Berkshire Year2_ReReferrals)</f>
        <v>219</v>
      </c>
      <c r="F28" s="96">
        <f>IF(Year3_West_Berkshire Year3_ReReferrals="","",Year3_West_Berkshire Year3_ReReferrals)</f>
        <v>390</v>
      </c>
      <c r="G28" s="96">
        <f>IF(Year4_West_Berkshire Year4_ReReferrals="","",Year4_West_Berkshire Year4_ReReferrals)</f>
        <v>407</v>
      </c>
      <c r="H28" s="97">
        <f>IF(Year5_West_Berkshire Year5_ReReferrals="","",Year5_West_Berkshire Year5_ReReferrals)</f>
        <v>441</v>
      </c>
      <c r="I28" s="337">
        <f t="shared" si="6"/>
        <v>0.15768050554094226</v>
      </c>
      <c r="J28" s="98"/>
      <c r="K28" s="99">
        <f>IF(ISNUMBER(D28),D28/Population!D28*10000,NA())</f>
        <v>85.112359550561791</v>
      </c>
      <c r="L28" s="99">
        <f>IF(ISNUMBER(E28),E28/Population!E28*10000,NA())</f>
        <v>61.344537815126053</v>
      </c>
      <c r="M28" s="99">
        <f>IF(ISNUMBER(F28),F28/Population!F28*10000,NA())</f>
        <v>108.63509749303621</v>
      </c>
      <c r="N28" s="99">
        <f>IF(ISNUMBER(G28),G28/Population!G28*10000,NA())</f>
        <v>113.68715083798882</v>
      </c>
      <c r="O28" s="100">
        <f>IF(ISNUMBER(H28),H28/Population!H28*10000,NA())</f>
        <v>123.87640449438202</v>
      </c>
      <c r="P28" s="101">
        <f t="shared" si="7"/>
        <v>123.87640449438202</v>
      </c>
      <c r="Q28" s="885">
        <f t="shared" si="8"/>
        <v>10</v>
      </c>
      <c r="R28" s="69"/>
      <c r="S28" s="333">
        <f>IDACI!C27</f>
        <v>8.6999999999999993</v>
      </c>
      <c r="T28" s="334">
        <f t="shared" si="0"/>
        <v>86.958734442561706</v>
      </c>
      <c r="U28" s="335">
        <f t="shared" si="9"/>
        <v>36.917670051820309</v>
      </c>
      <c r="V28" s="124"/>
      <c r="W28" s="140"/>
      <c r="X28" s="149"/>
      <c r="Y28" s="71" t="str">
        <f t="shared" si="1"/>
        <v>West Berkshire</v>
      </c>
      <c r="Z28" s="45">
        <f>IF(ISNUMBER($H28),IDACI!D27,0)</f>
        <v>31625</v>
      </c>
      <c r="AA28" s="45">
        <f>IF(ISNUMBER($H28),IDACI!E27,0)</f>
        <v>2751.375</v>
      </c>
      <c r="AB28" s="202">
        <f>IF(ISNUMBER(D28),Population!D28,"")</f>
        <v>35600</v>
      </c>
      <c r="AC28" s="202">
        <f>IF(ISNUMBER(E28),Population!E28,"")</f>
        <v>35700</v>
      </c>
      <c r="AD28" s="202">
        <f>IF(ISNUMBER(F28),Population!F28,"")</f>
        <v>35900</v>
      </c>
      <c r="AE28" s="202">
        <f>IF(ISNUMBER(G28),Population!G28,"")</f>
        <v>35800</v>
      </c>
      <c r="AF28" s="202">
        <f>IF(ISNUMBER(H28),Population!H28,"")</f>
        <v>35600</v>
      </c>
      <c r="AG28" s="95" t="s">
        <v>16</v>
      </c>
      <c r="AH28" s="225">
        <f t="shared" si="10"/>
        <v>90.886075949367097</v>
      </c>
      <c r="AI28" s="203">
        <f t="shared" si="11"/>
        <v>8</v>
      </c>
      <c r="AJ28" s="199"/>
      <c r="AK28" s="156"/>
      <c r="AL28" s="792">
        <f t="shared" si="2"/>
        <v>-0.27722772277227725</v>
      </c>
      <c r="AM28" s="792">
        <f t="shared" si="3"/>
        <v>0.78082191780821919</v>
      </c>
      <c r="AN28" s="792">
        <f t="shared" si="4"/>
        <v>4.3589743589743588E-2</v>
      </c>
      <c r="AO28" s="792">
        <f t="shared" si="5"/>
        <v>8.3538083538083535E-2</v>
      </c>
      <c r="AP28" s="792">
        <f t="shared" si="12"/>
        <v>0.15768050554094226</v>
      </c>
      <c r="AR28" s="76"/>
      <c r="AS28" s="76"/>
      <c r="AT28" s="76"/>
      <c r="AU28" s="76"/>
      <c r="AV28" s="76"/>
      <c r="AW28" s="76"/>
      <c r="AX28" s="76"/>
      <c r="AY28" s="76"/>
    </row>
    <row r="29" spans="1:51" s="89" customFormat="1" ht="13.5" customHeight="1" x14ac:dyDescent="0.2">
      <c r="A29" s="462">
        <f>VLOOKUP(B29,Sheet1!$AQ$4:$AR$25,2,FALSE)</f>
        <v>0</v>
      </c>
      <c r="B29" s="95" t="str">
        <f>Sheet1!$K$23</f>
        <v>West Sussex</v>
      </c>
      <c r="C29" s="87"/>
      <c r="D29" s="96">
        <f>IF(Year1_West_Sussex Year1_ReReferrals="","",Year1_West_Sussex Year1_ReReferrals)</f>
        <v>1503.0000000000002</v>
      </c>
      <c r="E29" s="102">
        <f>IF(Year2_West_Sussex Year2_ReReferrals="","",Year2_West_Sussex Year2_ReReferrals)</f>
        <v>1986.999999999997</v>
      </c>
      <c r="F29" s="96">
        <f>IF(Year3_West_Sussex Year3_ReReferrals="","",Year3_West_Sussex Year3_ReReferrals)</f>
        <v>2209</v>
      </c>
      <c r="G29" s="96">
        <f>IF(Year4_West_Sussex Year4_ReReferrals="","",Year4_West_Sussex Year4_ReReferrals)</f>
        <v>2679</v>
      </c>
      <c r="H29" s="97">
        <f>IF(Year5_West_Sussex Year5_ReReferrals="","",Year5_West_Sussex Year5_ReReferrals)</f>
        <v>2446</v>
      </c>
      <c r="I29" s="337">
        <f t="shared" si="6"/>
        <v>0.1398855120692345</v>
      </c>
      <c r="J29" s="98"/>
      <c r="K29" s="99">
        <f>IF(ISNUMBER(D29),D29/Population!D29*10000,NA())</f>
        <v>89.040284360189588</v>
      </c>
      <c r="L29" s="99">
        <f>IF(ISNUMBER(E29),E29/Population!E29*10000,NA())</f>
        <v>116.60798122065709</v>
      </c>
      <c r="M29" s="99">
        <f>IF(ISNUMBER(F29),F29/Population!F29*10000,NA())</f>
        <v>128.57974388824215</v>
      </c>
      <c r="N29" s="99">
        <f>IF(ISNUMBER(G29),G29/Population!G29*10000,NA())</f>
        <v>154.5874206578188</v>
      </c>
      <c r="O29" s="100">
        <f>IF(ISNUMBER(H29),H29/Population!H29*10000,NA())</f>
        <v>140.01144819690899</v>
      </c>
      <c r="P29" s="101">
        <f t="shared" si="7"/>
        <v>140.01144819690899</v>
      </c>
      <c r="Q29" s="885">
        <f t="shared" si="8"/>
        <v>11</v>
      </c>
      <c r="R29" s="69"/>
      <c r="S29" s="333">
        <f>IDACI!C28</f>
        <v>11</v>
      </c>
      <c r="T29" s="334">
        <f t="shared" si="0"/>
        <v>95.854173316909083</v>
      </c>
      <c r="U29" s="335">
        <f t="shared" si="9"/>
        <v>44.157274879999903</v>
      </c>
      <c r="V29" s="124"/>
      <c r="W29" s="140"/>
      <c r="X29" s="149"/>
      <c r="Y29" s="71" t="str">
        <f t="shared" si="1"/>
        <v>West Sussex</v>
      </c>
      <c r="Z29" s="45">
        <f>IF(ISNUMBER($H29),IDACI!D28,0)</f>
        <v>151487</v>
      </c>
      <c r="AA29" s="45">
        <f>IF(ISNUMBER($H29),IDACI!E28,0)</f>
        <v>16663.57</v>
      </c>
      <c r="AB29" s="202">
        <f>IF(ISNUMBER(D29),Population!D29,"")</f>
        <v>168800</v>
      </c>
      <c r="AC29" s="202">
        <f>IF(ISNUMBER(E29),Population!E29,"")</f>
        <v>170400</v>
      </c>
      <c r="AD29" s="202">
        <f>IF(ISNUMBER(F29),Population!F29,"")</f>
        <v>171800</v>
      </c>
      <c r="AE29" s="202">
        <f>IF(ISNUMBER(G29),Population!G29,"")</f>
        <v>173300</v>
      </c>
      <c r="AF29" s="202">
        <f>IF(ISNUMBER(H29),Population!H29,"")</f>
        <v>174700</v>
      </c>
      <c r="AG29" s="199"/>
      <c r="AH29" s="199"/>
      <c r="AI29" s="185"/>
      <c r="AJ29" s="199"/>
      <c r="AK29" s="156"/>
      <c r="AL29" s="792">
        <f t="shared" si="2"/>
        <v>0.32202262142381688</v>
      </c>
      <c r="AM29" s="792">
        <f t="shared" si="3"/>
        <v>0.11172622043281494</v>
      </c>
      <c r="AN29" s="792">
        <f t="shared" si="4"/>
        <v>0.21276595744680851</v>
      </c>
      <c r="AO29" s="792">
        <f t="shared" si="5"/>
        <v>-8.6972751026502426E-2</v>
      </c>
      <c r="AP29" s="792">
        <f t="shared" si="12"/>
        <v>0.1398855120692345</v>
      </c>
      <c r="AR29" s="76"/>
      <c r="AS29" s="76"/>
      <c r="AT29" s="76"/>
      <c r="AU29" s="76"/>
      <c r="AV29" s="76"/>
      <c r="AW29" s="76"/>
      <c r="AX29" s="76"/>
      <c r="AY29" s="76"/>
    </row>
    <row r="30" spans="1:51" s="89" customFormat="1" ht="13.5" customHeight="1" x14ac:dyDescent="0.2">
      <c r="A30" s="462">
        <f>VLOOKUP(B30,Sheet1!$AQ$4:$AR$25,2,FALSE)</f>
        <v>0</v>
      </c>
      <c r="B30" s="95" t="str">
        <f>Sheet1!$K$24</f>
        <v>Windsor &amp; Maidenhead</v>
      </c>
      <c r="C30" s="87"/>
      <c r="D30" s="102">
        <f>IF(Year1_Windsor_Maidenhead Year1_ReReferrals="","",Year1_Windsor_Maidenhead Year1_ReReferrals)</f>
        <v>188.00000000000009</v>
      </c>
      <c r="E30" s="96">
        <f>IF(Year2_Windsor_Maidenhead Year2_ReReferrals="","",Year2_Windsor_Maidenhead Year2_ReReferrals)</f>
        <v>193</v>
      </c>
      <c r="F30" s="96">
        <f>IF(Year3_Windsor_Maidenhead Year3_ReReferrals="","",Year3_Windsor_Maidenhead Year3_ReReferrals)</f>
        <v>117</v>
      </c>
      <c r="G30" s="96">
        <f>IF(Year4_Windsor_Maidenhead Year4_ReReferrals="","",Year4_Windsor_Maidenhead Year4_ReReferrals)</f>
        <v>166</v>
      </c>
      <c r="H30" s="97">
        <f>IF(Year5_Windsor_Maidenhead Year5_ReReferrals="","",Year5_Windsor_Maidenhead Year5_ReReferrals)</f>
        <v>238</v>
      </c>
      <c r="I30" s="337">
        <f t="shared" si="6"/>
        <v>0.1213379299559041</v>
      </c>
      <c r="J30" s="98"/>
      <c r="K30" s="99">
        <f>IF(ISNUMBER(D30),D30/Population!D30*10000,NA())</f>
        <v>56.287425149700624</v>
      </c>
      <c r="L30" s="99">
        <f>IF(ISNUMBER(E30),E30/Population!E30*10000,NA())</f>
        <v>57.270029673590507</v>
      </c>
      <c r="M30" s="99">
        <f>IF(ISNUMBER(F30),F30/Population!F30*10000,NA())</f>
        <v>34.210526315789473</v>
      </c>
      <c r="N30" s="99">
        <f>IF(ISNUMBER(G30),G30/Population!G30*10000,NA())</f>
        <v>48.255813953488371</v>
      </c>
      <c r="O30" s="100">
        <f>IF(ISNUMBER(H30),H30/Population!H30*10000,NA())</f>
        <v>68.786127167630056</v>
      </c>
      <c r="P30" s="101">
        <f t="shared" si="7"/>
        <v>68.786127167630056</v>
      </c>
      <c r="Q30" s="885">
        <f t="shared" si="8"/>
        <v>2</v>
      </c>
      <c r="R30" s="69"/>
      <c r="S30" s="333">
        <f>IDACI!C29</f>
        <v>6.7</v>
      </c>
      <c r="T30" s="334">
        <f t="shared" si="0"/>
        <v>79.22357020399879</v>
      </c>
      <c r="U30" s="335">
        <f t="shared" si="9"/>
        <v>-10.437443036368734</v>
      </c>
      <c r="V30" s="124"/>
      <c r="W30" s="140"/>
      <c r="X30" s="149"/>
      <c r="Y30" s="71" t="str">
        <f t="shared" si="1"/>
        <v>Windsor &amp; Maidenhead</v>
      </c>
      <c r="Z30" s="45">
        <f>IF(ISNUMBER($H30),IDACI!D29,0)</f>
        <v>29792</v>
      </c>
      <c r="AA30" s="45">
        <f>IF(ISNUMBER($H30),IDACI!E29,0)</f>
        <v>1996.0640000000001</v>
      </c>
      <c r="AB30" s="202">
        <f>IF(ISNUMBER(D30),Population!D30,"")</f>
        <v>33400</v>
      </c>
      <c r="AC30" s="202">
        <f>IF(ISNUMBER(E30),Population!E30,"")</f>
        <v>33700</v>
      </c>
      <c r="AD30" s="202">
        <f>IF(ISNUMBER(F30),Population!F30,"")</f>
        <v>34200</v>
      </c>
      <c r="AE30" s="202">
        <f>IF(ISNUMBER(G30),Population!G30,"")</f>
        <v>34400</v>
      </c>
      <c r="AF30" s="202">
        <f>IF(ISNUMBER(H30),Population!H30,"")</f>
        <v>34600</v>
      </c>
      <c r="AG30" s="199"/>
      <c r="AH30" s="199"/>
      <c r="AI30" s="185"/>
      <c r="AJ30" s="199"/>
      <c r="AK30" s="156"/>
      <c r="AL30" s="792">
        <f t="shared" si="2"/>
        <v>2.6595744680850599E-2</v>
      </c>
      <c r="AM30" s="792">
        <f t="shared" si="3"/>
        <v>-0.39378238341968913</v>
      </c>
      <c r="AN30" s="792">
        <f t="shared" si="4"/>
        <v>0.41880341880341881</v>
      </c>
      <c r="AO30" s="792">
        <f t="shared" si="5"/>
        <v>0.43373493975903615</v>
      </c>
      <c r="AP30" s="792">
        <f t="shared" si="12"/>
        <v>0.1213379299559041</v>
      </c>
      <c r="AR30" s="76"/>
      <c r="AS30" s="76"/>
      <c r="AT30" s="76"/>
      <c r="AU30" s="76"/>
      <c r="AV30" s="76"/>
      <c r="AW30" s="76"/>
      <c r="AX30" s="76"/>
      <c r="AY30" s="76"/>
    </row>
    <row r="31" spans="1:51" s="89" customFormat="1" ht="13.5" customHeight="1" x14ac:dyDescent="0.2">
      <c r="A31" s="462">
        <f>VLOOKUP(B31,Sheet1!$AQ$4:$AR$25,2,FALSE)</f>
        <v>0</v>
      </c>
      <c r="B31" s="95" t="str">
        <f>Sheet1!$K$25</f>
        <v>Wokingham</v>
      </c>
      <c r="C31" s="87"/>
      <c r="D31" s="102">
        <f>IF(Year1_Wokingham Year1_ReReferrals="","",Year1_Wokingham Year1_ReReferrals)</f>
        <v>259.00000000000006</v>
      </c>
      <c r="E31" s="96">
        <f>IF(Year2_Wokingham Year2_ReReferrals="","",Year2_Wokingham Year2_ReReferrals)</f>
        <v>195</v>
      </c>
      <c r="F31" s="96">
        <f>IF(Year3_Wokingham Year3_ReReferrals="","",Year3_Wokingham Year3_ReReferrals)</f>
        <v>170</v>
      </c>
      <c r="G31" s="96">
        <f>IF(Year4_Wokingham Year4_ReReferrals="","",Year4_Wokingham Year4_ReReferrals)</f>
        <v>227</v>
      </c>
      <c r="H31" s="97">
        <f>IF(Year5_Wokingham Year5_ReReferrals="","",Year5_Wokingham Year5_ReReferrals)</f>
        <v>359</v>
      </c>
      <c r="I31" s="337">
        <f t="shared" si="6"/>
        <v>0.13537063492362789</v>
      </c>
      <c r="J31" s="98"/>
      <c r="K31" s="99">
        <f>IF(ISNUMBER(D31),D31/Population!D31*10000,NA())</f>
        <v>70.189701897018992</v>
      </c>
      <c r="L31" s="99">
        <f>IF(ISNUMBER(E31),E31/Population!E31*10000,NA())</f>
        <v>52.278820375335123</v>
      </c>
      <c r="M31" s="99">
        <f>IF(ISNUMBER(F31),F31/Population!F31*10000,NA())</f>
        <v>44.736842105263158</v>
      </c>
      <c r="N31" s="99">
        <f>IF(ISNUMBER(G31),G31/Population!G31*10000,NA())</f>
        <v>58.656330749354005</v>
      </c>
      <c r="O31" s="100">
        <f>IF(ISNUMBER(H31),H31/Population!H31*10000,NA())</f>
        <v>90.886075949367097</v>
      </c>
      <c r="P31" s="101">
        <f t="shared" si="7"/>
        <v>90.886075949367097</v>
      </c>
      <c r="Q31" s="885">
        <f t="shared" si="8"/>
        <v>8</v>
      </c>
      <c r="R31" s="69"/>
      <c r="S31" s="333">
        <f>IDACI!C30</f>
        <v>5.6000000000000005</v>
      </c>
      <c r="T31" s="334">
        <f t="shared" si="0"/>
        <v>74.969229872789185</v>
      </c>
      <c r="U31" s="335">
        <f t="shared" si="9"/>
        <v>15.916846076577912</v>
      </c>
      <c r="V31" s="124"/>
      <c r="W31" s="140"/>
      <c r="X31" s="149"/>
      <c r="Y31" s="71" t="str">
        <f t="shared" si="1"/>
        <v>Wokingham</v>
      </c>
      <c r="Z31" s="45">
        <f>IF(ISNUMBER($H31),IDACI!D30,0)</f>
        <v>33327</v>
      </c>
      <c r="AA31" s="45">
        <f>IF(ISNUMBER($H31),IDACI!E30,0)</f>
        <v>1866.3120000000004</v>
      </c>
      <c r="AB31" s="202">
        <f>IF(ISNUMBER(D31),Population!D31,"")</f>
        <v>36900</v>
      </c>
      <c r="AC31" s="202">
        <f>IF(ISNUMBER(E31),Population!E31,"")</f>
        <v>37300</v>
      </c>
      <c r="AD31" s="202">
        <f>IF(ISNUMBER(F31),Population!F31,"")</f>
        <v>38000</v>
      </c>
      <c r="AE31" s="202">
        <f>IF(ISNUMBER(G31),Population!G31,"")</f>
        <v>38700</v>
      </c>
      <c r="AF31" s="202">
        <f>IF(ISNUMBER(H31),Population!H31,"")</f>
        <v>39500</v>
      </c>
      <c r="AG31" s="199"/>
      <c r="AH31" s="199"/>
      <c r="AI31" s="185"/>
      <c r="AJ31" s="199"/>
      <c r="AK31" s="156"/>
      <c r="AL31" s="792">
        <f t="shared" si="2"/>
        <v>-0.24710424710424728</v>
      </c>
      <c r="AM31" s="792">
        <f t="shared" si="3"/>
        <v>-0.12820512820512819</v>
      </c>
      <c r="AN31" s="792">
        <f t="shared" si="4"/>
        <v>0.3352941176470588</v>
      </c>
      <c r="AO31" s="792">
        <f t="shared" si="5"/>
        <v>0.58149779735682816</v>
      </c>
      <c r="AP31" s="792">
        <f t="shared" si="12"/>
        <v>0.13537063492362789</v>
      </c>
      <c r="AR31" s="76"/>
      <c r="AS31" s="76"/>
      <c r="AT31" s="76"/>
      <c r="AU31" s="76"/>
      <c r="AV31" s="76"/>
      <c r="AW31" s="76"/>
      <c r="AX31" s="76"/>
      <c r="AY31" s="76"/>
    </row>
    <row r="32" spans="1:51" s="89" customFormat="1" ht="13.5" customHeight="1" x14ac:dyDescent="0.2">
      <c r="A32" s="123"/>
      <c r="B32" s="131" t="str">
        <f>Sheet1!$K$26</f>
        <v>South East</v>
      </c>
      <c r="C32" s="87"/>
      <c r="D32" s="132">
        <f>IF(Year1_SouthEast Year1_ReReferrals="","",Year1_SouthEast Year1_ReReferrals)</f>
        <v>26800</v>
      </c>
      <c r="E32" s="132">
        <f>IF(Year2_SouthEast Year2_ReReferrals="","",Year2_SouthEast Year2_ReReferrals)</f>
        <v>22960</v>
      </c>
      <c r="F32" s="132">
        <f>IF(Year3_SouthEast Year3_ReReferrals="","",Year3_SouthEast Year3_ReReferrals)</f>
        <v>27490</v>
      </c>
      <c r="G32" s="132">
        <f>IF(Year4_SouthEast Year4_ReReferrals="","",Year4_SouthEast Year4_ReReferrals)</f>
        <v>26840</v>
      </c>
      <c r="H32" s="414">
        <f>IF(Year5_SouthEast Year5_ReReferrals="","",Year5_SouthEast Year5_ReReferrals)</f>
        <v>26840</v>
      </c>
      <c r="I32" s="350">
        <f t="shared" si="6"/>
        <v>6.6003271411178388E-4</v>
      </c>
      <c r="J32" s="98"/>
      <c r="K32" s="134">
        <f>IF(ISNUMBER(D32),D32/AB32*10000,NA())</f>
        <v>140.72673808023524</v>
      </c>
      <c r="L32" s="134">
        <f>IF(ISNUMBER(E32),E32/AC32*10000,NA())</f>
        <v>119.70178822793389</v>
      </c>
      <c r="M32" s="134">
        <f>IF(ISNUMBER(F32),F32/AD32*10000,NA())</f>
        <v>142.20681806424915</v>
      </c>
      <c r="N32" s="134">
        <f>IF(ISNUMBER(G32),G32/AE32*10000,NA())</f>
        <v>138.0729461392047</v>
      </c>
      <c r="O32" s="135">
        <f>IF(ISNUMBER(H32),H32/AF32*10000,NA())</f>
        <v>137.12067027689793</v>
      </c>
      <c r="P32" s="101">
        <f t="shared" si="7"/>
        <v>137.12067027689793</v>
      </c>
      <c r="Q32" s="883" t="str">
        <f t="shared" si="8"/>
        <v>--</v>
      </c>
      <c r="R32" s="69"/>
      <c r="S32" s="331">
        <f>AA32/Z32*100</f>
        <v>12.371268250968637</v>
      </c>
      <c r="T32" s="331">
        <f t="shared" si="0"/>
        <v>101.15766588509373</v>
      </c>
      <c r="U32" s="336">
        <f t="shared" si="9"/>
        <v>35.963004391804191</v>
      </c>
      <c r="V32" s="124"/>
      <c r="W32" s="140"/>
      <c r="X32" s="149"/>
      <c r="Y32" s="71" t="str">
        <f t="shared" si="1"/>
        <v>South East</v>
      </c>
      <c r="Z32" s="45">
        <f>SUM(Z24:Z25,Z10:Z22,Z28:Z31)</f>
        <v>1704978</v>
      </c>
      <c r="AA32" s="45">
        <f>SUM(AA24:AA25,AA10:AA22,AA28:AA31)</f>
        <v>210927.40200000003</v>
      </c>
      <c r="AB32" s="202">
        <f>SUM(AB10:AB22,AB24:AB25,AB28:AB31)</f>
        <v>1904400</v>
      </c>
      <c r="AC32" s="202">
        <f t="shared" ref="AC32:AF32" si="13">SUM(AC10:AC22,AC24:AC25,AC28:AC31)</f>
        <v>1918100</v>
      </c>
      <c r="AD32" s="202">
        <f t="shared" si="13"/>
        <v>1933100</v>
      </c>
      <c r="AE32" s="202">
        <f t="shared" si="13"/>
        <v>1943900</v>
      </c>
      <c r="AF32" s="202">
        <f t="shared" si="13"/>
        <v>1957400</v>
      </c>
      <c r="AG32" s="199"/>
      <c r="AH32" s="199"/>
      <c r="AI32" s="185"/>
      <c r="AJ32" s="199"/>
      <c r="AK32" s="156"/>
      <c r="AL32" s="792">
        <f>IF(ISERROR((L32-K32)/K32),"x",(L32-K32)/K32)</f>
        <v>-0.14940266604001004</v>
      </c>
      <c r="AM32" s="792">
        <f t="shared" ref="AM32:AO32" si="14">IF(ISERROR((M32-L32)/L32),"x",(M32-L32)/L32)</f>
        <v>0.18800913645050654</v>
      </c>
      <c r="AN32" s="792">
        <f t="shared" si="14"/>
        <v>-2.9069435497647934E-2</v>
      </c>
      <c r="AO32" s="792">
        <f t="shared" si="14"/>
        <v>-6.8969040564014318E-3</v>
      </c>
      <c r="AP32" s="792">
        <f t="shared" si="12"/>
        <v>6.6003271411178388E-4</v>
      </c>
      <c r="AR32" s="76"/>
      <c r="AS32" s="76"/>
      <c r="AT32" s="76"/>
      <c r="AU32" s="76"/>
      <c r="AV32" s="76"/>
      <c r="AW32" s="76"/>
      <c r="AX32" s="76"/>
      <c r="AY32" s="76"/>
    </row>
    <row r="33" spans="1:51" s="89" customFormat="1" ht="13.5" customHeight="1" x14ac:dyDescent="0.2">
      <c r="A33" s="286"/>
      <c r="B33" s="318" t="str">
        <f>Sheet1!$K$27</f>
        <v>England</v>
      </c>
      <c r="C33" s="87"/>
      <c r="D33" s="319" t="str">
        <f>IF(Year1_England Year1_ReReferrals="","",Year1_England Year1_ReReferrals)</f>
        <v/>
      </c>
      <c r="E33" s="319">
        <f>IF(Year2_England Year2_ReReferrals="","",Year2_England Year2_ReReferrals)</f>
        <v>138700</v>
      </c>
      <c r="F33" s="319">
        <f>IF(Year3_England Year3_ReReferrals="","",Year3_England Year3_ReReferrals)</f>
        <v>141560</v>
      </c>
      <c r="G33" s="319">
        <f>IF(Year4_England Year4_ReReferrals="","",Year4_England Year4_ReReferrals)</f>
        <v>143810</v>
      </c>
      <c r="H33" s="415">
        <f>IF(Year5_England Year5_ReReferrals="","",Year5_England Year5_ReReferrals)</f>
        <v>147150</v>
      </c>
      <c r="I33" s="351">
        <f t="shared" si="6"/>
        <v>1.9913150782326233E-2</v>
      </c>
      <c r="J33" s="98"/>
      <c r="K33" s="321" t="e">
        <f>IF(ISNUMBER(D33),D33/Population!D33*10000,NA())</f>
        <v>#N/A</v>
      </c>
      <c r="L33" s="321">
        <f>IF(ISNUMBER(E33),E33/Population!E33*10000,NA())</f>
        <v>118.77135443872615</v>
      </c>
      <c r="M33" s="321">
        <f>IF(ISNUMBER(F33),F33/Population!F33*10000,NA())</f>
        <v>120.11573740167836</v>
      </c>
      <c r="N33" s="321">
        <f>IF(ISNUMBER(G33),G33/Population!G33*10000,NA())</f>
        <v>121.18479817982642</v>
      </c>
      <c r="O33" s="322">
        <f>IF(ISNUMBER(H33),H33/Population!H33*10000,NA())</f>
        <v>123.09069312231274</v>
      </c>
      <c r="P33" s="727"/>
      <c r="Q33" s="884" t="str">
        <f t="shared" si="8"/>
        <v>--</v>
      </c>
      <c r="R33" s="69"/>
      <c r="S33" s="332">
        <f>IDACI!C32</f>
        <v>17.084413405029373</v>
      </c>
      <c r="T33" s="332">
        <f t="shared" si="0"/>
        <v>119.38614180851712</v>
      </c>
      <c r="U33" s="598">
        <f t="shared" si="9"/>
        <v>3.7045513137956192</v>
      </c>
      <c r="V33" s="124"/>
      <c r="W33" s="140"/>
      <c r="X33" s="149"/>
      <c r="Y33" s="71" t="str">
        <f t="shared" si="1"/>
        <v>England</v>
      </c>
      <c r="Z33" s="45">
        <f>IF(H33&gt;0,IDACI!D32,0)</f>
        <v>10405050</v>
      </c>
      <c r="AA33" s="45">
        <f>IF(H33&gt;0,IDACI!E32,0)</f>
        <v>1777641.7570000088</v>
      </c>
      <c r="AB33" s="202" t="str">
        <f>IF(ISNUMBER(D33),Population!D33,"")</f>
        <v/>
      </c>
      <c r="AC33" s="202">
        <f>IF(ISNUMBER(E33),Population!E33,"")</f>
        <v>11677900</v>
      </c>
      <c r="AD33" s="202">
        <f>IF(ISNUMBER(F33),Population!F33,"")</f>
        <v>11785300</v>
      </c>
      <c r="AE33" s="202">
        <f>IF(ISNUMBER(G33),Population!G33,"")</f>
        <v>11867000</v>
      </c>
      <c r="AF33" s="202">
        <f>IF(ISNUMBER(H33),Population!H33,"")</f>
        <v>11954600</v>
      </c>
      <c r="AG33" s="199"/>
      <c r="AH33" s="199"/>
      <c r="AI33" s="185"/>
      <c r="AJ33" s="199"/>
      <c r="AK33" s="156"/>
      <c r="AL33" s="792" t="str">
        <f t="shared" si="2"/>
        <v>x</v>
      </c>
      <c r="AM33" s="792">
        <f t="shared" si="3"/>
        <v>2.0620043258832012E-2</v>
      </c>
      <c r="AN33" s="792">
        <f t="shared" si="4"/>
        <v>1.5894320429499859E-2</v>
      </c>
      <c r="AO33" s="792">
        <f t="shared" si="5"/>
        <v>2.3225088658646826E-2</v>
      </c>
      <c r="AP33" s="792">
        <f>AVERAGE(AL33:AO33)</f>
        <v>1.9913150782326233E-2</v>
      </c>
      <c r="AR33" s="76"/>
      <c r="AS33" s="76"/>
      <c r="AT33" s="76"/>
      <c r="AU33" s="76"/>
      <c r="AV33" s="76"/>
      <c r="AW33" s="76"/>
      <c r="AX33" s="76"/>
      <c r="AY33" s="76"/>
    </row>
    <row r="34" spans="1:51" s="83" customFormat="1" ht="13.5" customHeight="1" x14ac:dyDescent="0.2">
      <c r="A34" s="120"/>
      <c r="B34" s="125" t="s">
        <v>90</v>
      </c>
      <c r="C34" s="63"/>
      <c r="D34" s="63"/>
      <c r="E34" s="63"/>
      <c r="F34" s="63"/>
      <c r="G34" s="63"/>
      <c r="H34" s="63"/>
      <c r="I34" s="63"/>
      <c r="J34" s="63"/>
      <c r="K34" s="63"/>
      <c r="L34" s="63"/>
      <c r="M34" s="63"/>
      <c r="N34" s="63"/>
      <c r="O34" s="63"/>
      <c r="P34" s="63"/>
      <c r="Q34" s="137" t="s">
        <v>109</v>
      </c>
      <c r="S34" s="63"/>
      <c r="T34" s="63"/>
      <c r="U34" s="63"/>
      <c r="V34" s="119"/>
      <c r="W34" s="138"/>
      <c r="X34" s="147"/>
      <c r="Y34" s="82"/>
      <c r="Z34" s="179"/>
      <c r="AA34" s="179"/>
      <c r="AB34" s="179"/>
      <c r="AC34" s="179"/>
      <c r="AD34" s="179"/>
      <c r="AE34" s="179"/>
      <c r="AF34" s="179"/>
      <c r="AG34" s="179"/>
      <c r="AH34" s="179"/>
      <c r="AJ34" s="179"/>
      <c r="AK34" s="157"/>
      <c r="AR34" s="76"/>
      <c r="AS34" s="76"/>
      <c r="AT34" s="76"/>
      <c r="AU34" s="76"/>
      <c r="AV34" s="76"/>
      <c r="AW34" s="76"/>
      <c r="AX34" s="76"/>
      <c r="AY34" s="76"/>
    </row>
    <row r="35" spans="1:51" s="83" customFormat="1" ht="25.5" customHeight="1" x14ac:dyDescent="0.2">
      <c r="A35" s="120"/>
      <c r="B35" s="1425" t="s">
        <v>761</v>
      </c>
      <c r="C35" s="1426"/>
      <c r="D35" s="1426"/>
      <c r="E35" s="1426"/>
      <c r="F35" s="1426"/>
      <c r="G35" s="1426"/>
      <c r="H35" s="1426"/>
      <c r="I35" s="1426"/>
      <c r="J35" s="1426"/>
      <c r="K35" s="1426"/>
      <c r="L35" s="1426"/>
      <c r="M35" s="1426"/>
      <c r="N35" s="1426"/>
      <c r="O35" s="1426"/>
      <c r="P35" s="1426"/>
      <c r="Q35" s="1426"/>
      <c r="R35" s="1426"/>
      <c r="S35" s="1426"/>
      <c r="T35" s="1426"/>
      <c r="U35" s="1427"/>
      <c r="V35" s="119"/>
      <c r="W35" s="138"/>
      <c r="X35" s="147"/>
      <c r="Y35" s="82"/>
      <c r="Z35" s="179"/>
      <c r="AA35" s="179"/>
      <c r="AB35" s="179"/>
      <c r="AC35" s="179"/>
      <c r="AD35" s="179"/>
      <c r="AE35" s="179"/>
      <c r="AF35" s="179"/>
      <c r="AG35" s="179"/>
      <c r="AH35" s="179"/>
      <c r="AJ35" s="179"/>
      <c r="AK35" s="153"/>
      <c r="AL35" s="76"/>
      <c r="AM35" s="76"/>
      <c r="AN35" s="76"/>
      <c r="AO35" s="76"/>
      <c r="AP35" s="76"/>
      <c r="AQ35" s="76"/>
      <c r="AR35" s="76"/>
    </row>
    <row r="36" spans="1:51" s="83" customFormat="1" ht="7.5" customHeight="1" x14ac:dyDescent="0.2">
      <c r="A36" s="120"/>
      <c r="B36" s="18"/>
      <c r="C36" s="18"/>
      <c r="D36" s="17"/>
      <c r="E36" s="17"/>
      <c r="F36" s="17"/>
      <c r="G36" s="17"/>
      <c r="H36" s="17"/>
      <c r="I36" s="17"/>
      <c r="J36" s="13"/>
      <c r="K36" s="19"/>
      <c r="L36" s="19"/>
      <c r="M36" s="19"/>
      <c r="N36" s="19"/>
      <c r="O36" s="19"/>
      <c r="P36" s="19"/>
      <c r="Q36" s="19"/>
      <c r="R36" s="19"/>
      <c r="S36" s="19"/>
      <c r="T36" s="19"/>
      <c r="U36" s="20"/>
      <c r="V36" s="119"/>
      <c r="W36" s="138"/>
      <c r="X36" s="147"/>
      <c r="Z36" s="185"/>
      <c r="AJ36" s="179"/>
      <c r="AK36" s="153"/>
      <c r="AL36" s="76"/>
      <c r="AM36" s="76"/>
      <c r="AN36" s="76"/>
      <c r="AO36" s="76"/>
      <c r="AP36" s="76"/>
      <c r="AQ36" s="76"/>
      <c r="AR36" s="76"/>
    </row>
    <row r="37" spans="1:51"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1"/>
      <c r="V37" s="1422"/>
      <c r="W37" s="138"/>
      <c r="X37" s="147"/>
      <c r="Z37" s="185"/>
      <c r="AK37" s="157"/>
      <c r="AM37" s="83">
        <f>COLUMNS($B$4:K$4)</f>
        <v>10</v>
      </c>
      <c r="AN37" s="83">
        <f>COLUMNS($B$4:L$4)</f>
        <v>11</v>
      </c>
      <c r="AO37" s="83">
        <f>COLUMNS($B$4:M$4)</f>
        <v>12</v>
      </c>
      <c r="AP37" s="83">
        <f>COLUMNS($B$4:N$4)</f>
        <v>13</v>
      </c>
      <c r="AQ37" s="83">
        <f>COLUMNS($B$4:O$4)</f>
        <v>14</v>
      </c>
      <c r="AR37" s="83">
        <f>COLUMNS($B$4:S$4)</f>
        <v>18</v>
      </c>
      <c r="AS37" s="83">
        <f>COLUMNS($B$4:D$4)</f>
        <v>3</v>
      </c>
      <c r="AT37" s="25">
        <f>COLUMNS($B$4:E$4)</f>
        <v>4</v>
      </c>
      <c r="AU37" s="25">
        <f>COLUMNS($B$4:F$4)</f>
        <v>5</v>
      </c>
      <c r="AV37" s="25">
        <f>COLUMNS($B$4:G$4)</f>
        <v>6</v>
      </c>
      <c r="AW37" s="24">
        <f>COLUMNS($B$4:H$4)</f>
        <v>7</v>
      </c>
    </row>
    <row r="38" spans="1:51"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0"/>
      <c r="J38" s="1429"/>
      <c r="K38" s="1429"/>
      <c r="L38" s="1429"/>
      <c r="M38" s="1429"/>
      <c r="N38" s="1429"/>
      <c r="O38" s="1429"/>
      <c r="P38" s="1431"/>
      <c r="Q38" s="1429"/>
      <c r="R38" s="1429"/>
      <c r="S38" s="1429"/>
      <c r="T38" s="1430"/>
      <c r="U38" s="1429"/>
      <c r="V38" s="1432"/>
      <c r="W38" s="138"/>
      <c r="X38" s="147"/>
      <c r="Z38" s="185"/>
      <c r="AJ38" s="179"/>
      <c r="AK38" s="156"/>
      <c r="AL38" s="89"/>
      <c r="AM38" s="310" t="s">
        <v>89</v>
      </c>
      <c r="AN38" s="311"/>
      <c r="AO38" s="311"/>
      <c r="AP38" s="311"/>
      <c r="AQ38" s="311"/>
      <c r="AR38" s="310" t="s">
        <v>95</v>
      </c>
      <c r="AS38" s="56" t="s">
        <v>86</v>
      </c>
      <c r="AT38" s="25"/>
      <c r="AU38" s="25"/>
      <c r="AV38" s="25"/>
      <c r="AW38" s="24"/>
    </row>
    <row r="39" spans="1:51" s="83" customFormat="1" ht="11.25" customHeight="1" x14ac:dyDescent="0.2">
      <c r="A39" s="114"/>
      <c r="B39" s="115"/>
      <c r="C39" s="115"/>
      <c r="D39" s="115"/>
      <c r="E39" s="115"/>
      <c r="F39" s="115"/>
      <c r="G39" s="115"/>
      <c r="H39" s="115"/>
      <c r="I39" s="115"/>
      <c r="J39" s="116"/>
      <c r="K39" s="115"/>
      <c r="L39" s="115"/>
      <c r="M39" s="115"/>
      <c r="N39" s="115"/>
      <c r="O39" s="115"/>
      <c r="P39" s="115"/>
      <c r="Q39" s="115"/>
      <c r="R39" s="115"/>
      <c r="S39" s="115"/>
      <c r="T39" s="115"/>
      <c r="U39" s="115"/>
      <c r="V39" s="117"/>
      <c r="W39" s="138"/>
      <c r="X39" s="146" t="s">
        <v>102</v>
      </c>
      <c r="Y39" s="192"/>
      <c r="Z39" s="192"/>
      <c r="AA39" s="192"/>
      <c r="AB39" s="192"/>
      <c r="AC39" s="192"/>
      <c r="AJ39" s="179"/>
      <c r="AK39" s="156"/>
      <c r="AL39" s="89"/>
      <c r="AM39" s="310"/>
      <c r="AN39" s="310"/>
      <c r="AO39" s="310"/>
      <c r="AP39" s="310"/>
      <c r="AQ39" s="310"/>
      <c r="AR39" s="311"/>
      <c r="AS39" s="310"/>
      <c r="AT39" s="310"/>
      <c r="AU39" s="310"/>
      <c r="AV39" s="310"/>
      <c r="AW39" s="310"/>
    </row>
    <row r="40" spans="1:51" s="83" customFormat="1" ht="3.75" customHeight="1" x14ac:dyDescent="0.25">
      <c r="A40" s="118"/>
      <c r="B40" s="9"/>
      <c r="C40" s="9"/>
      <c r="D40" s="9"/>
      <c r="E40" s="9"/>
      <c r="F40" s="9"/>
      <c r="G40" s="9"/>
      <c r="H40" s="9"/>
      <c r="I40" s="9"/>
      <c r="J40" s="13"/>
      <c r="K40" s="9"/>
      <c r="L40" s="9"/>
      <c r="M40" s="9"/>
      <c r="N40" s="9"/>
      <c r="O40" s="9"/>
      <c r="P40" s="9"/>
      <c r="Q40" s="9"/>
      <c r="R40" s="9"/>
      <c r="S40" s="9"/>
      <c r="T40" s="9"/>
      <c r="U40" s="9"/>
      <c r="V40" s="119"/>
      <c r="W40" s="138"/>
      <c r="X40" s="288"/>
      <c r="AD40" s="1188" t="s">
        <v>1002</v>
      </c>
      <c r="AK40" s="156"/>
      <c r="AL40" s="89"/>
      <c r="AM40" s="310" t="e">
        <f>D9</f>
        <v>#N/A</v>
      </c>
      <c r="AN40" s="310" t="e">
        <f>E9</f>
        <v>#N/A</v>
      </c>
      <c r="AO40" s="310" t="e">
        <f>F9</f>
        <v>#N/A</v>
      </c>
      <c r="AP40" s="310" t="e">
        <f>G9</f>
        <v>#N/A</v>
      </c>
      <c r="AQ40" s="310" t="e">
        <f>H9</f>
        <v>#N/A</v>
      </c>
      <c r="AR40" s="311"/>
      <c r="AS40" s="310" t="e">
        <f>K9</f>
        <v>#N/A</v>
      </c>
      <c r="AT40" s="310" t="e">
        <f>L9</f>
        <v>#N/A</v>
      </c>
      <c r="AU40" s="310" t="e">
        <f>M9</f>
        <v>#N/A</v>
      </c>
      <c r="AV40" s="310" t="e">
        <f>N9</f>
        <v>#N/A</v>
      </c>
      <c r="AW40" s="310" t="e">
        <f>O9</f>
        <v>#N/A</v>
      </c>
    </row>
    <row r="41" spans="1:51" s="83" customFormat="1" ht="14.25" customHeight="1" x14ac:dyDescent="0.2">
      <c r="A41" s="120"/>
      <c r="B41" s="9"/>
      <c r="C41" s="9"/>
      <c r="D41" s="9"/>
      <c r="E41" s="9"/>
      <c r="F41" s="9"/>
      <c r="G41" s="9"/>
      <c r="H41" s="9"/>
      <c r="I41" s="9"/>
      <c r="J41" s="13"/>
      <c r="K41" s="9"/>
      <c r="L41" s="9"/>
      <c r="M41" s="9"/>
      <c r="N41" s="9"/>
      <c r="O41" s="9"/>
      <c r="P41" s="9"/>
      <c r="Q41" s="9"/>
      <c r="R41" s="9"/>
      <c r="S41" s="9"/>
      <c r="T41" s="9"/>
      <c r="U41" s="9"/>
      <c r="V41" s="119"/>
      <c r="W41" s="138"/>
      <c r="X41" s="288"/>
      <c r="Y41" s="44" t="s">
        <v>72</v>
      </c>
      <c r="Z41" s="44" t="s">
        <v>70</v>
      </c>
      <c r="AA41" s="44" t="s">
        <v>71</v>
      </c>
      <c r="AB41" s="1061">
        <v>5</v>
      </c>
      <c r="AC41" s="212">
        <f>(AB41*Z42)+AA42</f>
        <v>122.4882183732978</v>
      </c>
      <c r="AD41" s="203">
        <f>ROUND(ChartLabels!$AA8,3)</f>
        <v>1.6E-2</v>
      </c>
      <c r="AJ41" s="560" t="b">
        <v>1</v>
      </c>
      <c r="AK41" s="156" t="s">
        <v>0</v>
      </c>
      <c r="AL41" s="89" t="str">
        <f t="shared" ref="AL41:AL64" si="15">IF(AJ41=TRUE,B10,"")</f>
        <v>Bracknell Forest</v>
      </c>
      <c r="AM41" s="143">
        <f t="shared" ref="AM41:AQ50" si="16">VLOOKUP($AL41,$B$10:$O$33,AM$37,FALSE)</f>
        <v>78.057553956834539</v>
      </c>
      <c r="AN41" s="143">
        <f t="shared" si="16"/>
        <v>79.787234042553166</v>
      </c>
      <c r="AO41" s="143">
        <f t="shared" si="16"/>
        <v>137.2340425531915</v>
      </c>
      <c r="AP41" s="143">
        <f t="shared" si="16"/>
        <v>152.31316725978647</v>
      </c>
      <c r="AQ41" s="143">
        <f t="shared" si="16"/>
        <v>217.66784452296818</v>
      </c>
      <c r="AR41" s="144">
        <f>VLOOKUP(AL41,$B$10:$U$33,$AR$37,FALSE)</f>
        <v>8.9</v>
      </c>
      <c r="AS41" s="341">
        <f t="shared" ref="AS41:AW50" si="17">VLOOKUP($AL41,$B$112:$H$135,AS$37,FALSE)</f>
        <v>0.20471698113207551</v>
      </c>
      <c r="AT41" s="341">
        <f t="shared" si="17"/>
        <v>0.172281776416539</v>
      </c>
      <c r="AU41" s="341">
        <f t="shared" si="17"/>
        <v>0.23540145985401459</v>
      </c>
      <c r="AV41" s="341">
        <f t="shared" si="17"/>
        <v>0.23529411764705882</v>
      </c>
      <c r="AW41" s="341">
        <f t="shared" si="17"/>
        <v>0.27500000000000002</v>
      </c>
    </row>
    <row r="42" spans="1:51" s="83" customFormat="1" ht="14.25" customHeight="1" x14ac:dyDescent="0.2">
      <c r="A42" s="120"/>
      <c r="B42" s="9"/>
      <c r="C42" s="9"/>
      <c r="D42" s="9"/>
      <c r="E42" s="9"/>
      <c r="F42" s="9"/>
      <c r="G42" s="9"/>
      <c r="H42" s="9"/>
      <c r="I42" s="9"/>
      <c r="J42" s="13"/>
      <c r="K42" s="9"/>
      <c r="L42" s="9"/>
      <c r="M42" s="9"/>
      <c r="N42" s="9"/>
      <c r="O42" s="9"/>
      <c r="P42" s="9"/>
      <c r="Q42" s="9"/>
      <c r="R42" s="9"/>
      <c r="S42" s="9"/>
      <c r="T42" s="9"/>
      <c r="U42" s="9"/>
      <c r="V42" s="119"/>
      <c r="W42" s="138"/>
      <c r="X42" s="288"/>
      <c r="Y42" s="208" t="str">
        <f>"Y= "&amp;Z42&amp;"x + "&amp;AA42</f>
        <v>Y= 1.84112764642785x + 113.282580141159</v>
      </c>
      <c r="Z42" s="712">
        <f>ChartLabels!$Y8</f>
        <v>1.8411276464278481</v>
      </c>
      <c r="AA42" s="712">
        <f>ChartLabels!$Z8</f>
        <v>113.28258014115856</v>
      </c>
      <c r="AB42" s="211">
        <v>35</v>
      </c>
      <c r="AC42" s="212">
        <f>(AB42*Z42)+AA42</f>
        <v>177.72204776613324</v>
      </c>
      <c r="AD42" s="1187" t="str">
        <f>AD40&amp;" = "&amp;AD41</f>
        <v>r² = 0.016</v>
      </c>
      <c r="AJ42" s="560" t="b">
        <v>1</v>
      </c>
      <c r="AK42" s="156" t="s">
        <v>31</v>
      </c>
      <c r="AL42" s="89" t="str">
        <f t="shared" si="15"/>
        <v>Brighton &amp; Hove</v>
      </c>
      <c r="AM42" s="143">
        <f t="shared" si="16"/>
        <v>519.41176470588221</v>
      </c>
      <c r="AN42" s="143">
        <f t="shared" si="16"/>
        <v>215.03906250000014</v>
      </c>
      <c r="AO42" s="143">
        <f t="shared" si="16"/>
        <v>163.93762183235867</v>
      </c>
      <c r="AP42" s="143">
        <f t="shared" si="16"/>
        <v>185.68627450980392</v>
      </c>
      <c r="AQ42" s="143">
        <f t="shared" si="16"/>
        <v>155.88235294117646</v>
      </c>
      <c r="AR42" s="144">
        <f t="shared" ref="AR42:AR64" si="18">VLOOKUP(AL42,$B$10:$U$33,$AR$37,FALSE)</f>
        <v>15.299999999999999</v>
      </c>
      <c r="AS42" s="341">
        <f t="shared" si="17"/>
        <v>0.36252908170247694</v>
      </c>
      <c r="AT42" s="341">
        <f t="shared" si="17"/>
        <v>0.32136602451838897</v>
      </c>
      <c r="AU42" s="341">
        <f t="shared" si="17"/>
        <v>0.24698972099853156</v>
      </c>
      <c r="AV42" s="341">
        <f t="shared" si="17"/>
        <v>0.28319377990430622</v>
      </c>
      <c r="AW42" s="341">
        <f t="shared" si="17"/>
        <v>0.24544612534732943</v>
      </c>
    </row>
    <row r="43" spans="1:51" ht="14.25" customHeight="1" x14ac:dyDescent="0.2">
      <c r="A43" s="120"/>
      <c r="B43" s="9"/>
      <c r="C43" s="9"/>
      <c r="D43" s="9"/>
      <c r="E43" s="9"/>
      <c r="F43" s="9"/>
      <c r="G43" s="9"/>
      <c r="H43" s="9"/>
      <c r="I43" s="9"/>
      <c r="J43" s="13"/>
      <c r="K43" s="9"/>
      <c r="L43" s="9"/>
      <c r="M43" s="9"/>
      <c r="N43" s="9"/>
      <c r="O43" s="9"/>
      <c r="P43" s="9"/>
      <c r="Q43" s="9"/>
      <c r="R43" s="9"/>
      <c r="S43" s="9"/>
      <c r="T43" s="9"/>
      <c r="U43" s="9"/>
      <c r="V43" s="119"/>
      <c r="W43" s="138"/>
      <c r="X43" s="288"/>
      <c r="Y43" s="44" t="str">
        <f>"National Trend "&amp;Sheet1!$B$8</f>
        <v>National Trend 2019</v>
      </c>
      <c r="Z43" s="205" t="s">
        <v>70</v>
      </c>
      <c r="AA43" s="44" t="s">
        <v>71</v>
      </c>
      <c r="AB43" s="1061">
        <v>5</v>
      </c>
      <c r="AC43" s="207">
        <f>((AB43*Z44)+AA44)/$Y$2</f>
        <v>72.648680601220306</v>
      </c>
      <c r="AD43" s="714" t="str">
        <f>"r² = "&amp;ROUND(AD44,3)</f>
        <v>r² = 0.136</v>
      </c>
      <c r="AJ43" s="560" t="b">
        <v>1</v>
      </c>
      <c r="AK43" s="156" t="s">
        <v>8</v>
      </c>
      <c r="AL43" s="89" t="str">
        <f t="shared" si="15"/>
        <v>Buckinghamshire</v>
      </c>
      <c r="AM43" s="143">
        <f t="shared" si="16"/>
        <v>117.57779646761976</v>
      </c>
      <c r="AN43" s="143">
        <f t="shared" si="16"/>
        <v>152.65339966832482</v>
      </c>
      <c r="AO43" s="143">
        <f t="shared" si="16"/>
        <v>247.87234042553192</v>
      </c>
      <c r="AP43" s="143">
        <f t="shared" si="16"/>
        <v>261.33225020308691</v>
      </c>
      <c r="AQ43" s="143">
        <f t="shared" si="16"/>
        <v>195.01206757843926</v>
      </c>
      <c r="AR43" s="144">
        <f t="shared" si="18"/>
        <v>8.5</v>
      </c>
      <c r="AS43" s="341">
        <f t="shared" si="17"/>
        <v>0.27256775199844008</v>
      </c>
      <c r="AT43" s="341">
        <f t="shared" si="17"/>
        <v>0.26458752515090506</v>
      </c>
      <c r="AU43" s="341">
        <f t="shared" si="17"/>
        <v>0.32909604519774011</v>
      </c>
      <c r="AV43" s="341">
        <f t="shared" si="17"/>
        <v>0.31121215052723228</v>
      </c>
      <c r="AW43" s="341">
        <f t="shared" si="17"/>
        <v>0.31727748691099478</v>
      </c>
      <c r="AX43" s="83"/>
    </row>
    <row r="44" spans="1:51" ht="14.25" customHeight="1" x14ac:dyDescent="0.2">
      <c r="A44" s="120"/>
      <c r="B44" s="9"/>
      <c r="C44" s="9"/>
      <c r="D44" s="9"/>
      <c r="E44" s="9"/>
      <c r="F44" s="9"/>
      <c r="G44" s="9"/>
      <c r="H44" s="9"/>
      <c r="I44" s="9"/>
      <c r="J44" s="13"/>
      <c r="K44" s="14"/>
      <c r="L44" s="14"/>
      <c r="M44" s="14"/>
      <c r="N44" s="14"/>
      <c r="O44" s="15"/>
      <c r="P44" s="15"/>
      <c r="Q44" s="15"/>
      <c r="R44" s="15"/>
      <c r="S44" s="15"/>
      <c r="T44" s="15"/>
      <c r="U44" s="15"/>
      <c r="V44" s="119"/>
      <c r="W44" s="138"/>
      <c r="X44" s="288"/>
      <c r="Y44" s="71" t="str">
        <f>"Y= "&amp;Z44&amp;"x + "&amp;AA44</f>
        <v>Y= 3.86758211928146x + 53.310770004813</v>
      </c>
      <c r="Z44" s="712">
        <f>Sheet1!E7</f>
        <v>3.8675821192814621</v>
      </c>
      <c r="AA44" s="713">
        <f>Sheet1!E8</f>
        <v>53.310770004812994</v>
      </c>
      <c r="AB44" s="211">
        <v>35</v>
      </c>
      <c r="AC44" s="212">
        <f>((AB44*Z44)+AA44)/$Y$2</f>
        <v>188.67614417966416</v>
      </c>
      <c r="AD44" s="83">
        <f>Sheet1!E9</f>
        <v>0.13598476639028204</v>
      </c>
      <c r="AJ44" s="560" t="b">
        <v>1</v>
      </c>
      <c r="AK44" s="156" t="s">
        <v>4</v>
      </c>
      <c r="AL44" s="89" t="str">
        <f t="shared" si="15"/>
        <v>East Sussex</v>
      </c>
      <c r="AM44" s="143">
        <f t="shared" si="16"/>
        <v>89.184060721062608</v>
      </c>
      <c r="AN44" s="143">
        <f t="shared" si="16"/>
        <v>43.909348441926362</v>
      </c>
      <c r="AO44" s="143">
        <f t="shared" si="16"/>
        <v>51.652502360717662</v>
      </c>
      <c r="AP44" s="143">
        <f t="shared" si="16"/>
        <v>72.830188679245282</v>
      </c>
      <c r="AQ44" s="143">
        <f t="shared" si="16"/>
        <v>76.597744360902254</v>
      </c>
      <c r="AR44" s="144">
        <f t="shared" si="18"/>
        <v>16.100000000000001</v>
      </c>
      <c r="AS44" s="341">
        <f t="shared" si="17"/>
        <v>0.23558897243107765</v>
      </c>
      <c r="AT44" s="341">
        <f t="shared" si="17"/>
        <v>0.14540337711069423</v>
      </c>
      <c r="AU44" s="341">
        <f t="shared" si="17"/>
        <v>0.14880304678998912</v>
      </c>
      <c r="AV44" s="341">
        <f t="shared" si="17"/>
        <v>0.17678039844286697</v>
      </c>
      <c r="AW44" s="341">
        <f t="shared" si="17"/>
        <v>0.18887601390498263</v>
      </c>
      <c r="AX44" s="83"/>
    </row>
    <row r="45" spans="1:51" s="78" customFormat="1" ht="14.25" customHeight="1" x14ac:dyDescent="0.2">
      <c r="A45" s="121"/>
      <c r="B45" s="220"/>
      <c r="C45" s="220"/>
      <c r="D45" s="221"/>
      <c r="E45" s="221"/>
      <c r="F45" s="221"/>
      <c r="G45" s="221"/>
      <c r="H45" s="221"/>
      <c r="I45" s="221"/>
      <c r="J45" s="16"/>
      <c r="K45" s="9"/>
      <c r="L45" s="9"/>
      <c r="M45" s="9"/>
      <c r="N45" s="9"/>
      <c r="O45" s="9"/>
      <c r="P45" s="9"/>
      <c r="Q45" s="9"/>
      <c r="R45" s="9"/>
      <c r="S45" s="9"/>
      <c r="T45" s="9"/>
      <c r="U45" s="9"/>
      <c r="V45" s="122"/>
      <c r="W45" s="139"/>
      <c r="X45" s="289"/>
      <c r="AE45" s="83"/>
      <c r="AF45" s="83"/>
      <c r="AG45" s="83"/>
      <c r="AH45" s="83"/>
      <c r="AI45" s="83"/>
      <c r="AJ45" s="560" t="b">
        <v>1</v>
      </c>
      <c r="AK45" s="156" t="s">
        <v>6</v>
      </c>
      <c r="AL45" s="89" t="str">
        <f t="shared" si="15"/>
        <v>Hampshire</v>
      </c>
      <c r="AM45" s="143">
        <f t="shared" si="16"/>
        <v>189.16518650088807</v>
      </c>
      <c r="AN45" s="143">
        <f t="shared" si="16"/>
        <v>166.54842142603761</v>
      </c>
      <c r="AO45" s="143">
        <f t="shared" si="16"/>
        <v>210.96181046676097</v>
      </c>
      <c r="AP45" s="143">
        <f t="shared" si="16"/>
        <v>168.44334627603246</v>
      </c>
      <c r="AQ45" s="143">
        <f t="shared" si="16"/>
        <v>188.69718309859155</v>
      </c>
      <c r="AR45" s="144">
        <f t="shared" si="18"/>
        <v>10.100000000000001</v>
      </c>
      <c r="AS45" s="341">
        <f t="shared" si="17"/>
        <v>0.31792942862260426</v>
      </c>
      <c r="AT45" s="341">
        <f t="shared" si="17"/>
        <v>0.28171126845073802</v>
      </c>
      <c r="AU45" s="341">
        <f t="shared" si="17"/>
        <v>0.30697195780807823</v>
      </c>
      <c r="AV45" s="341">
        <f t="shared" si="17"/>
        <v>0.29612162581445856</v>
      </c>
      <c r="AW45" s="341">
        <f t="shared" si="17"/>
        <v>0.29112342459800089</v>
      </c>
    </row>
    <row r="46" spans="1:51" ht="14.25" customHeight="1" x14ac:dyDescent="0.2">
      <c r="A46" s="120"/>
      <c r="B46" s="221"/>
      <c r="C46" s="221"/>
      <c r="D46" s="221"/>
      <c r="E46" s="221"/>
      <c r="F46" s="221"/>
      <c r="G46" s="221"/>
      <c r="H46" s="221"/>
      <c r="I46" s="221"/>
      <c r="J46" s="13"/>
      <c r="K46" s="15"/>
      <c r="L46" s="15"/>
      <c r="M46" s="15"/>
      <c r="N46" s="15"/>
      <c r="O46" s="9"/>
      <c r="P46" s="9"/>
      <c r="Q46" s="9"/>
      <c r="R46" s="9"/>
      <c r="S46" s="9"/>
      <c r="T46" s="9"/>
      <c r="U46" s="9"/>
      <c r="V46" s="119"/>
      <c r="W46" s="138"/>
      <c r="X46" s="288"/>
      <c r="AJ46" s="560" t="b">
        <v>1</v>
      </c>
      <c r="AK46" s="156" t="s">
        <v>1</v>
      </c>
      <c r="AL46" s="89" t="str">
        <f t="shared" si="15"/>
        <v>Isle of Wight</v>
      </c>
      <c r="AM46" s="143">
        <f t="shared" si="16"/>
        <v>321.96078431372536</v>
      </c>
      <c r="AN46" s="143">
        <f t="shared" si="16"/>
        <v>310.67193675889325</v>
      </c>
      <c r="AO46" s="143">
        <f t="shared" si="16"/>
        <v>314.28571428571433</v>
      </c>
      <c r="AP46" s="143">
        <f t="shared" si="16"/>
        <v>270.51792828685257</v>
      </c>
      <c r="AQ46" s="143">
        <f t="shared" si="16"/>
        <v>332.1285140562249</v>
      </c>
      <c r="AR46" s="144">
        <f t="shared" si="18"/>
        <v>18</v>
      </c>
      <c r="AS46" s="341">
        <f t="shared" si="17"/>
        <v>0.34568421052631571</v>
      </c>
      <c r="AT46" s="341">
        <f t="shared" si="17"/>
        <v>0.3290079531184596</v>
      </c>
      <c r="AU46" s="341">
        <f t="shared" si="17"/>
        <v>0.30309988518943742</v>
      </c>
      <c r="AV46" s="341">
        <f t="shared" si="17"/>
        <v>0.30696202531645572</v>
      </c>
      <c r="AW46" s="341">
        <f t="shared" si="17"/>
        <v>0.34117161716171618</v>
      </c>
    </row>
    <row r="47" spans="1:51" ht="14.25" customHeight="1" x14ac:dyDescent="0.2">
      <c r="A47" s="120"/>
      <c r="B47" s="221"/>
      <c r="C47" s="221"/>
      <c r="D47" s="221"/>
      <c r="E47" s="221"/>
      <c r="F47" s="221"/>
      <c r="G47" s="221"/>
      <c r="H47" s="221"/>
      <c r="I47" s="221"/>
      <c r="J47" s="13"/>
      <c r="K47" s="15"/>
      <c r="L47" s="15"/>
      <c r="M47" s="15"/>
      <c r="N47" s="15"/>
      <c r="O47" s="9"/>
      <c r="P47" s="9"/>
      <c r="Q47" s="9"/>
      <c r="R47" s="9"/>
      <c r="S47" s="9"/>
      <c r="T47" s="9"/>
      <c r="U47" s="9"/>
      <c r="V47" s="119"/>
      <c r="W47" s="138"/>
      <c r="X47" s="288"/>
      <c r="AD47" s="204"/>
      <c r="AJ47" s="560" t="b">
        <v>1</v>
      </c>
      <c r="AK47" s="156" t="s">
        <v>9</v>
      </c>
      <c r="AL47" s="89" t="str">
        <f t="shared" si="15"/>
        <v>Kent</v>
      </c>
      <c r="AM47" s="143">
        <f t="shared" si="16"/>
        <v>142.64392324093816</v>
      </c>
      <c r="AN47" s="143">
        <f t="shared" si="16"/>
        <v>96.761501210653833</v>
      </c>
      <c r="AO47" s="143">
        <f t="shared" si="16"/>
        <v>109.18918918918918</v>
      </c>
      <c r="AP47" s="143">
        <f t="shared" si="16"/>
        <v>133.05563820291582</v>
      </c>
      <c r="AQ47" s="143">
        <f t="shared" si="16"/>
        <v>140.31167303734196</v>
      </c>
      <c r="AR47" s="144">
        <f t="shared" si="18"/>
        <v>15.8</v>
      </c>
      <c r="AS47" s="341">
        <f t="shared" si="17"/>
        <v>0.28332022505898724</v>
      </c>
      <c r="AT47" s="341">
        <f t="shared" si="17"/>
        <v>0.20838221874592638</v>
      </c>
      <c r="AU47" s="341">
        <f t="shared" si="17"/>
        <v>0.23005378044922492</v>
      </c>
      <c r="AV47" s="341">
        <f t="shared" si="17"/>
        <v>0.23083673153357767</v>
      </c>
      <c r="AW47" s="341">
        <f t="shared" si="17"/>
        <v>0.26100749329978667</v>
      </c>
    </row>
    <row r="48" spans="1:51" ht="14.25" customHeight="1" x14ac:dyDescent="0.2">
      <c r="A48" s="120"/>
      <c r="B48" s="58"/>
      <c r="C48" s="58"/>
      <c r="D48" s="58"/>
      <c r="E48" s="58"/>
      <c r="F48" s="58"/>
      <c r="G48" s="58"/>
      <c r="H48" s="58"/>
      <c r="I48" s="58"/>
      <c r="J48" s="13"/>
      <c r="K48" s="15"/>
      <c r="L48" s="15"/>
      <c r="M48" s="15"/>
      <c r="N48" s="15"/>
      <c r="O48" s="9"/>
      <c r="P48" s="9"/>
      <c r="Q48" s="9"/>
      <c r="R48" s="9"/>
      <c r="S48" s="9"/>
      <c r="T48" s="9"/>
      <c r="U48" s="9"/>
      <c r="V48" s="119"/>
      <c r="W48" s="138"/>
      <c r="X48" s="288"/>
      <c r="AD48" s="179"/>
      <c r="AJ48" s="560" t="b">
        <v>1</v>
      </c>
      <c r="AK48" s="156" t="s">
        <v>2</v>
      </c>
      <c r="AL48" s="89" t="str">
        <f t="shared" si="15"/>
        <v>Medway</v>
      </c>
      <c r="AM48" s="143">
        <f t="shared" si="16"/>
        <v>98.399999999999949</v>
      </c>
      <c r="AN48" s="143">
        <f t="shared" si="16"/>
        <v>87.974683544303801</v>
      </c>
      <c r="AO48" s="143">
        <f t="shared" si="16"/>
        <v>75.510204081632651</v>
      </c>
      <c r="AP48" s="143">
        <f t="shared" si="16"/>
        <v>69.483568075117375</v>
      </c>
      <c r="AQ48" s="143">
        <f t="shared" si="16"/>
        <v>89.440993788819867</v>
      </c>
      <c r="AR48" s="144">
        <f t="shared" si="18"/>
        <v>18.899999999999999</v>
      </c>
      <c r="AS48" s="341">
        <f t="shared" si="17"/>
        <v>0.19967532467532456</v>
      </c>
      <c r="AT48" s="341">
        <f t="shared" si="17"/>
        <v>0.16508313539192399</v>
      </c>
      <c r="AU48" s="341">
        <f t="shared" si="17"/>
        <v>0.17606149341142022</v>
      </c>
      <c r="AV48" s="341">
        <f t="shared" si="17"/>
        <v>0.16998468606431852</v>
      </c>
      <c r="AW48" s="341">
        <f t="shared" si="17"/>
        <v>0.14310559006211179</v>
      </c>
    </row>
    <row r="49" spans="1:49" ht="14.25" customHeight="1" x14ac:dyDescent="0.2">
      <c r="A49" s="120"/>
      <c r="B49" s="58"/>
      <c r="C49" s="58"/>
      <c r="D49" s="68"/>
      <c r="E49" s="69"/>
      <c r="F49" s="68"/>
      <c r="G49" s="69"/>
      <c r="H49" s="69"/>
      <c r="I49" s="69"/>
      <c r="J49" s="13"/>
      <c r="K49" s="15"/>
      <c r="L49" s="15"/>
      <c r="M49" s="15"/>
      <c r="N49" s="15"/>
      <c r="O49" s="9"/>
      <c r="P49" s="9"/>
      <c r="Q49" s="9"/>
      <c r="R49" s="9"/>
      <c r="S49" s="9"/>
      <c r="T49" s="9"/>
      <c r="U49" s="9"/>
      <c r="V49" s="119"/>
      <c r="W49" s="138"/>
      <c r="X49" s="288"/>
      <c r="AJ49" s="560" t="b">
        <v>1</v>
      </c>
      <c r="AK49" s="156" t="s">
        <v>10</v>
      </c>
      <c r="AL49" s="89" t="str">
        <f t="shared" si="15"/>
        <v>Milton Keynes</v>
      </c>
      <c r="AM49" s="143">
        <f t="shared" si="16"/>
        <v>91.25766871165645</v>
      </c>
      <c r="AN49" s="143">
        <f t="shared" si="16"/>
        <v>87.745839636913772</v>
      </c>
      <c r="AO49" s="143">
        <f t="shared" si="16"/>
        <v>87.630402384500755</v>
      </c>
      <c r="AP49" s="143">
        <f t="shared" si="16"/>
        <v>71.745562130177518</v>
      </c>
      <c r="AQ49" s="143">
        <f t="shared" si="16"/>
        <v>78.916544655929712</v>
      </c>
      <c r="AR49" s="144">
        <f t="shared" si="18"/>
        <v>15</v>
      </c>
      <c r="AS49" s="341">
        <f t="shared" si="17"/>
        <v>0.23160762942779295</v>
      </c>
      <c r="AT49" s="341">
        <f t="shared" si="17"/>
        <v>0.20946189960274467</v>
      </c>
      <c r="AU49" s="341">
        <f t="shared" si="17"/>
        <v>0.19072332144015569</v>
      </c>
      <c r="AV49" s="341">
        <f t="shared" si="17"/>
        <v>0.2055955913522679</v>
      </c>
      <c r="AW49" s="341">
        <f t="shared" si="17"/>
        <v>0.19838056680161945</v>
      </c>
    </row>
    <row r="50" spans="1:49" ht="14.25" customHeight="1" x14ac:dyDescent="0.2">
      <c r="A50" s="120"/>
      <c r="B50" s="58"/>
      <c r="C50" s="58"/>
      <c r="D50" s="61"/>
      <c r="E50" s="61"/>
      <c r="F50" s="61"/>
      <c r="G50" s="61"/>
      <c r="H50" s="61"/>
      <c r="I50" s="61"/>
      <c r="J50" s="13"/>
      <c r="K50" s="15"/>
      <c r="L50" s="15"/>
      <c r="M50" s="15"/>
      <c r="N50" s="15"/>
      <c r="O50" s="9"/>
      <c r="P50" s="9"/>
      <c r="Q50" s="9"/>
      <c r="R50" s="9"/>
      <c r="S50" s="9"/>
      <c r="T50" s="9"/>
      <c r="U50" s="9"/>
      <c r="V50" s="119"/>
      <c r="W50" s="138"/>
      <c r="X50" s="288"/>
      <c r="AJ50" s="560" t="b">
        <v>1</v>
      </c>
      <c r="AK50" s="156" t="s">
        <v>11</v>
      </c>
      <c r="AL50" s="89" t="str">
        <f t="shared" si="15"/>
        <v>Oxfordshire</v>
      </c>
      <c r="AM50" s="143">
        <f t="shared" si="16"/>
        <v>97.521246458923528</v>
      </c>
      <c r="AN50" s="143">
        <f t="shared" si="16"/>
        <v>120.73342736248237</v>
      </c>
      <c r="AO50" s="143">
        <f t="shared" si="16"/>
        <v>98.320503848845348</v>
      </c>
      <c r="AP50" s="143">
        <f t="shared" si="16"/>
        <v>88.423988842398899</v>
      </c>
      <c r="AQ50" s="143">
        <f t="shared" si="16"/>
        <v>85.635359116022087</v>
      </c>
      <c r="AR50" s="144">
        <f t="shared" si="18"/>
        <v>10.100000000000001</v>
      </c>
      <c r="AS50" s="341">
        <f t="shared" si="17"/>
        <v>0.24315733710047682</v>
      </c>
      <c r="AT50" s="341">
        <f t="shared" si="17"/>
        <v>0.25362962962962965</v>
      </c>
      <c r="AU50" s="341">
        <f t="shared" si="17"/>
        <v>0.19883951316161902</v>
      </c>
      <c r="AV50" s="341">
        <f t="shared" si="17"/>
        <v>0.18608746697974757</v>
      </c>
      <c r="AW50" s="341">
        <f t="shared" si="17"/>
        <v>0.18291783448886267</v>
      </c>
    </row>
    <row r="51" spans="1:49" ht="14.25" customHeight="1" x14ac:dyDescent="0.2">
      <c r="A51" s="120"/>
      <c r="B51" s="317"/>
      <c r="C51" s="317"/>
      <c r="D51" s="58"/>
      <c r="E51" s="58"/>
      <c r="F51" s="58"/>
      <c r="G51" s="58"/>
      <c r="H51" s="58"/>
      <c r="I51" s="58"/>
      <c r="J51" s="13"/>
      <c r="K51" s="15"/>
      <c r="L51" s="15"/>
      <c r="M51" s="15"/>
      <c r="N51" s="15"/>
      <c r="O51" s="9"/>
      <c r="P51" s="9"/>
      <c r="Q51" s="9"/>
      <c r="R51" s="9"/>
      <c r="S51" s="9"/>
      <c r="T51" s="9"/>
      <c r="U51" s="9"/>
      <c r="V51" s="119"/>
      <c r="W51" s="138"/>
      <c r="X51" s="288"/>
      <c r="AJ51" s="560" t="b">
        <v>1</v>
      </c>
      <c r="AK51" s="156" t="s">
        <v>12</v>
      </c>
      <c r="AL51" s="89" t="str">
        <f t="shared" si="15"/>
        <v>Portsmouth</v>
      </c>
      <c r="AM51" s="143">
        <f t="shared" ref="AM51:AQ64" si="19">VLOOKUP($AL51,$B$10:$O$33,AM$37,FALSE)</f>
        <v>87.557603686635858</v>
      </c>
      <c r="AN51" s="143">
        <f t="shared" si="19"/>
        <v>92.922374429223723</v>
      </c>
      <c r="AO51" s="143">
        <f t="shared" si="19"/>
        <v>146.59090909090909</v>
      </c>
      <c r="AP51" s="143">
        <f t="shared" si="19"/>
        <v>146.38009049773754</v>
      </c>
      <c r="AQ51" s="143">
        <f t="shared" si="19"/>
        <v>165.68181818181819</v>
      </c>
      <c r="AR51" s="144">
        <f t="shared" si="18"/>
        <v>20.200000000000003</v>
      </c>
      <c r="AS51" s="341">
        <f t="shared" ref="AS51:AW64" si="20">VLOOKUP($AL51,$B$112:$H$135,AS$37,FALSE)</f>
        <v>0.19781363872982802</v>
      </c>
      <c r="AT51" s="341">
        <f t="shared" si="20"/>
        <v>0.19445771619684657</v>
      </c>
      <c r="AU51" s="341">
        <f t="shared" si="20"/>
        <v>0.25934861278648974</v>
      </c>
      <c r="AV51" s="341">
        <f t="shared" si="20"/>
        <v>0.22741652021089631</v>
      </c>
      <c r="AW51" s="341">
        <f t="shared" si="20"/>
        <v>0.25632911392405061</v>
      </c>
    </row>
    <row r="52" spans="1:49" ht="14.25" customHeight="1" x14ac:dyDescent="0.2">
      <c r="A52" s="120"/>
      <c r="B52" s="317"/>
      <c r="C52" s="317"/>
      <c r="D52" s="58"/>
      <c r="E52" s="58"/>
      <c r="F52" s="58"/>
      <c r="G52" s="58"/>
      <c r="H52" s="58"/>
      <c r="I52" s="58"/>
      <c r="J52" s="13"/>
      <c r="K52" s="15"/>
      <c r="L52" s="15"/>
      <c r="M52" s="15"/>
      <c r="N52" s="15"/>
      <c r="O52" s="9"/>
      <c r="P52" s="9"/>
      <c r="Q52" s="9"/>
      <c r="R52" s="9"/>
      <c r="S52" s="9"/>
      <c r="T52" s="9"/>
      <c r="U52" s="9"/>
      <c r="V52" s="119"/>
      <c r="W52" s="138"/>
      <c r="X52" s="288"/>
      <c r="AJ52" s="560" t="b">
        <v>1</v>
      </c>
      <c r="AK52" s="156" t="s">
        <v>3</v>
      </c>
      <c r="AL52" s="89" t="str">
        <f t="shared" si="15"/>
        <v>Reading</v>
      </c>
      <c r="AM52" s="143">
        <f t="shared" si="19"/>
        <v>98.32869080779939</v>
      </c>
      <c r="AN52" s="143">
        <f t="shared" si="19"/>
        <v>177.47252747252747</v>
      </c>
      <c r="AO52" s="143">
        <f t="shared" si="19"/>
        <v>254.09836065573771</v>
      </c>
      <c r="AP52" s="143">
        <f t="shared" si="19"/>
        <v>158.49056603773585</v>
      </c>
      <c r="AQ52" s="143">
        <f t="shared" si="19"/>
        <v>201.07816711590297</v>
      </c>
      <c r="AR52" s="144">
        <f t="shared" si="18"/>
        <v>16</v>
      </c>
      <c r="AS52" s="341">
        <f t="shared" si="20"/>
        <v>0.2109982068141063</v>
      </c>
      <c r="AT52" s="341">
        <f t="shared" si="20"/>
        <v>0.20987654320987653</v>
      </c>
      <c r="AU52" s="341">
        <f t="shared" si="20"/>
        <v>0.2846648301193756</v>
      </c>
      <c r="AV52" s="341">
        <f t="shared" si="20"/>
        <v>0.22374429223744291</v>
      </c>
      <c r="AW52" s="341">
        <f t="shared" si="20"/>
        <v>0.27236217597663381</v>
      </c>
    </row>
    <row r="53" spans="1:49" ht="14.25" customHeight="1" x14ac:dyDescent="0.2">
      <c r="A53" s="120"/>
      <c r="B53" s="317"/>
      <c r="C53" s="317"/>
      <c r="D53" s="58"/>
      <c r="E53" s="58"/>
      <c r="F53" s="58"/>
      <c r="G53" s="58"/>
      <c r="H53" s="58"/>
      <c r="I53" s="58"/>
      <c r="J53" s="13"/>
      <c r="K53" s="15"/>
      <c r="L53" s="15"/>
      <c r="M53" s="15"/>
      <c r="N53" s="15"/>
      <c r="O53" s="9"/>
      <c r="P53" s="9"/>
      <c r="Q53" s="9"/>
      <c r="R53" s="9"/>
      <c r="S53" s="9"/>
      <c r="T53" s="9"/>
      <c r="U53" s="9"/>
      <c r="V53" s="119"/>
      <c r="W53" s="138"/>
      <c r="X53" s="288"/>
      <c r="AJ53" s="560" t="b">
        <v>1</v>
      </c>
      <c r="AK53" s="156" t="s">
        <v>13</v>
      </c>
      <c r="AL53" s="89" t="str">
        <f t="shared" si="15"/>
        <v>Slough</v>
      </c>
      <c r="AM53" s="143">
        <f t="shared" si="19"/>
        <v>120.30075187969929</v>
      </c>
      <c r="AN53" s="143">
        <f t="shared" si="19"/>
        <v>128.57142857142861</v>
      </c>
      <c r="AO53" s="143">
        <f t="shared" si="19"/>
        <v>399.03381642512079</v>
      </c>
      <c r="AP53" s="143">
        <f t="shared" si="19"/>
        <v>92.417061611374407</v>
      </c>
      <c r="AQ53" s="143">
        <f t="shared" si="19"/>
        <v>68.618266978922719</v>
      </c>
      <c r="AR53" s="144">
        <f t="shared" si="18"/>
        <v>14.7</v>
      </c>
      <c r="AS53" s="341">
        <f t="shared" si="20"/>
        <v>0.21034180543383005</v>
      </c>
      <c r="AT53" s="341">
        <f t="shared" si="20"/>
        <v>0.18817591925018029</v>
      </c>
      <c r="AU53" s="341">
        <f t="shared" si="20"/>
        <v>0.29043600562587907</v>
      </c>
      <c r="AV53" s="341">
        <f t="shared" si="20"/>
        <v>0.24512884978001256</v>
      </c>
      <c r="AW53" s="341">
        <f t="shared" si="20"/>
        <v>0.14760705289672543</v>
      </c>
    </row>
    <row r="54" spans="1:49" ht="14.25" customHeight="1" x14ac:dyDescent="0.2">
      <c r="A54" s="120"/>
      <c r="B54" s="317"/>
      <c r="C54" s="317"/>
      <c r="D54" s="58"/>
      <c r="E54" s="58"/>
      <c r="F54" s="58"/>
      <c r="G54" s="58"/>
      <c r="H54" s="58"/>
      <c r="I54" s="58"/>
      <c r="J54" s="13"/>
      <c r="K54" s="15"/>
      <c r="L54" s="15"/>
      <c r="M54" s="15"/>
      <c r="N54" s="15"/>
      <c r="O54" s="9"/>
      <c r="P54" s="9"/>
      <c r="Q54" s="9"/>
      <c r="R54" s="9"/>
      <c r="S54" s="9"/>
      <c r="T54" s="9"/>
      <c r="U54" s="9"/>
      <c r="V54" s="119"/>
      <c r="W54" s="138"/>
      <c r="X54" s="288"/>
      <c r="AJ54" s="560" t="b">
        <v>1</v>
      </c>
      <c r="AK54" s="156" t="s">
        <v>93</v>
      </c>
      <c r="AL54" s="89" t="str">
        <f t="shared" si="15"/>
        <v>Somerset</v>
      </c>
      <c r="AM54" s="143">
        <f t="shared" si="19"/>
        <v>138.4756657483928</v>
      </c>
      <c r="AN54" s="143">
        <f t="shared" si="19"/>
        <v>90.201465201465197</v>
      </c>
      <c r="AO54" s="143">
        <f t="shared" si="19"/>
        <v>86.599817684594356</v>
      </c>
      <c r="AP54" s="143">
        <f t="shared" si="19"/>
        <v>100.27247956403271</v>
      </c>
      <c r="AQ54" s="143">
        <f t="shared" si="19"/>
        <v>82.565492321589886</v>
      </c>
      <c r="AR54" s="144">
        <f t="shared" si="18"/>
        <v>13.600000000000001</v>
      </c>
      <c r="AS54" s="341">
        <f t="shared" si="20"/>
        <v>0.26971919155786045</v>
      </c>
      <c r="AT54" s="341">
        <f t="shared" si="20"/>
        <v>0.23832567142511493</v>
      </c>
      <c r="AU54" s="341">
        <f t="shared" si="20"/>
        <v>0.19886958342055683</v>
      </c>
      <c r="AV54" s="341">
        <f t="shared" si="20"/>
        <v>0.21374636979670861</v>
      </c>
      <c r="AW54" s="341">
        <f t="shared" si="20"/>
        <v>0.23864229765013054</v>
      </c>
    </row>
    <row r="55" spans="1:49" ht="14.25" customHeight="1" x14ac:dyDescent="0.2">
      <c r="A55" s="120"/>
      <c r="B55" s="317"/>
      <c r="C55" s="317"/>
      <c r="D55" s="58"/>
      <c r="E55" s="58"/>
      <c r="F55" s="58"/>
      <c r="G55" s="58"/>
      <c r="H55" s="58"/>
      <c r="I55" s="58"/>
      <c r="J55" s="13"/>
      <c r="K55" s="15"/>
      <c r="L55" s="15"/>
      <c r="M55" s="15"/>
      <c r="N55" s="15"/>
      <c r="O55" s="9"/>
      <c r="P55" s="9"/>
      <c r="Q55" s="9"/>
      <c r="R55" s="9"/>
      <c r="S55" s="9"/>
      <c r="T55" s="9"/>
      <c r="U55" s="9"/>
      <c r="V55" s="119"/>
      <c r="W55" s="138"/>
      <c r="X55" s="288"/>
      <c r="AJ55" s="560" t="b">
        <v>1</v>
      </c>
      <c r="AK55" s="156" t="s">
        <v>14</v>
      </c>
      <c r="AL55" s="89" t="str">
        <f t="shared" si="15"/>
        <v>Southampton</v>
      </c>
      <c r="AM55" s="143">
        <f t="shared" si="19"/>
        <v>455.5555555555556</v>
      </c>
      <c r="AN55" s="143">
        <f t="shared" si="19"/>
        <v>160.5691056910569</v>
      </c>
      <c r="AO55" s="143">
        <f t="shared" si="19"/>
        <v>162.32464929859719</v>
      </c>
      <c r="AP55" s="143">
        <f t="shared" si="19"/>
        <v>105.36779324055665</v>
      </c>
      <c r="AQ55" s="143">
        <f t="shared" si="19"/>
        <v>86.811023622047244</v>
      </c>
      <c r="AR55" s="144">
        <f t="shared" si="18"/>
        <v>20.5</v>
      </c>
      <c r="AS55" s="341">
        <f t="shared" si="20"/>
        <v>0.34555954424847823</v>
      </c>
      <c r="AT55" s="341">
        <f t="shared" si="20"/>
        <v>0.19193391642371235</v>
      </c>
      <c r="AU55" s="341">
        <f t="shared" si="20"/>
        <v>0.26609724047306177</v>
      </c>
      <c r="AV55" s="341">
        <f t="shared" si="20"/>
        <v>0.20283199387677001</v>
      </c>
      <c r="AW55" s="341">
        <f t="shared" si="20"/>
        <v>0.16974595842956119</v>
      </c>
    </row>
    <row r="56" spans="1:49" ht="14.25" customHeight="1" x14ac:dyDescent="0.2">
      <c r="A56" s="120"/>
      <c r="B56" s="317"/>
      <c r="C56" s="317"/>
      <c r="D56" s="58"/>
      <c r="E56" s="58"/>
      <c r="F56" s="58"/>
      <c r="G56" s="58"/>
      <c r="H56" s="58"/>
      <c r="I56" s="58"/>
      <c r="J56" s="13"/>
      <c r="K56" s="15"/>
      <c r="L56" s="15"/>
      <c r="M56" s="15"/>
      <c r="N56" s="15"/>
      <c r="O56" s="9"/>
      <c r="P56" s="9"/>
      <c r="Q56" s="9"/>
      <c r="R56" s="9"/>
      <c r="S56" s="9"/>
      <c r="T56" s="9"/>
      <c r="U56" s="9"/>
      <c r="V56" s="119"/>
      <c r="W56" s="138"/>
      <c r="X56" s="288"/>
      <c r="AJ56" s="560" t="b">
        <v>1</v>
      </c>
      <c r="AK56" s="156" t="s">
        <v>7</v>
      </c>
      <c r="AL56" s="89" t="str">
        <f t="shared" si="15"/>
        <v>Surrey</v>
      </c>
      <c r="AM56" s="143">
        <f t="shared" si="19"/>
        <v>99.410840534171143</v>
      </c>
      <c r="AN56" s="143">
        <f t="shared" si="19"/>
        <v>110.7644305772231</v>
      </c>
      <c r="AO56" s="143">
        <f t="shared" si="19"/>
        <v>111.81467181467183</v>
      </c>
      <c r="AP56" s="143">
        <f t="shared" si="19"/>
        <v>143.06569343065695</v>
      </c>
      <c r="AQ56" s="143">
        <f t="shared" si="19"/>
        <v>103.66552119129439</v>
      </c>
      <c r="AR56" s="144">
        <f t="shared" si="18"/>
        <v>8.3000000000000007</v>
      </c>
      <c r="AS56" s="341">
        <f t="shared" si="20"/>
        <v>0.25363262851989149</v>
      </c>
      <c r="AT56" s="341">
        <f t="shared" si="20"/>
        <v>0.24133242692046228</v>
      </c>
      <c r="AU56" s="341">
        <f t="shared" si="20"/>
        <v>0.24796643548248995</v>
      </c>
      <c r="AV56" s="341">
        <f t="shared" si="20"/>
        <v>0.27330104212534861</v>
      </c>
      <c r="AW56" s="341">
        <f t="shared" si="20"/>
        <v>0.25528913963328631</v>
      </c>
    </row>
    <row r="57" spans="1:49" ht="14.25" customHeight="1" x14ac:dyDescent="0.2">
      <c r="A57" s="271"/>
      <c r="B57" s="317"/>
      <c r="C57" s="317"/>
      <c r="D57" s="58"/>
      <c r="E57" s="58"/>
      <c r="F57" s="58"/>
      <c r="G57" s="58"/>
      <c r="H57" s="58"/>
      <c r="I57" s="58"/>
      <c r="J57" s="13"/>
      <c r="K57" s="15"/>
      <c r="L57" s="15"/>
      <c r="M57" s="15"/>
      <c r="N57" s="15"/>
      <c r="O57" s="9"/>
      <c r="P57" s="9"/>
      <c r="Q57" s="9"/>
      <c r="R57" s="9"/>
      <c r="S57" s="9"/>
      <c r="T57" s="9"/>
      <c r="U57" s="9"/>
      <c r="V57" s="119"/>
      <c r="W57" s="138"/>
      <c r="X57" s="288"/>
      <c r="AJ57" s="560" t="b">
        <v>1</v>
      </c>
      <c r="AK57" s="156" t="s">
        <v>114</v>
      </c>
      <c r="AL57" s="89" t="str">
        <f t="shared" si="15"/>
        <v>Swindon</v>
      </c>
      <c r="AM57" s="143">
        <f t="shared" si="19"/>
        <v>109.25925925925928</v>
      </c>
      <c r="AN57" s="143">
        <f t="shared" si="19"/>
        <v>193.67346938775509</v>
      </c>
      <c r="AO57" s="143">
        <f t="shared" si="19"/>
        <v>162.42424242424244</v>
      </c>
      <c r="AP57" s="143">
        <f t="shared" si="19"/>
        <v>175.751503006012</v>
      </c>
      <c r="AQ57" s="143">
        <f t="shared" si="19"/>
        <v>115.93625498007968</v>
      </c>
      <c r="AR57" s="144">
        <f t="shared" si="18"/>
        <v>14.899999999999999</v>
      </c>
      <c r="AS57" s="341">
        <f t="shared" si="20"/>
        <v>0.20037735849056609</v>
      </c>
      <c r="AT57" s="341">
        <f t="shared" si="20"/>
        <v>0.27870778267254037</v>
      </c>
      <c r="AU57" s="341">
        <f t="shared" si="20"/>
        <v>0.26613704071499505</v>
      </c>
      <c r="AV57" s="341">
        <f t="shared" si="20"/>
        <v>0.24179762889440309</v>
      </c>
      <c r="AW57" s="341">
        <f t="shared" si="20"/>
        <v>0.17951881554595928</v>
      </c>
    </row>
    <row r="58" spans="1:49" ht="14.25" customHeight="1" x14ac:dyDescent="0.2">
      <c r="A58" s="271"/>
      <c r="B58" s="317"/>
      <c r="C58" s="317"/>
      <c r="D58" s="58"/>
      <c r="E58" s="58"/>
      <c r="F58" s="58"/>
      <c r="G58" s="58"/>
      <c r="H58" s="58"/>
      <c r="I58" s="58"/>
      <c r="J58" s="13"/>
      <c r="K58" s="15"/>
      <c r="L58" s="15"/>
      <c r="M58" s="15"/>
      <c r="N58" s="15"/>
      <c r="O58" s="9"/>
      <c r="P58" s="9"/>
      <c r="Q58" s="9"/>
      <c r="R58" s="9"/>
      <c r="S58" s="9"/>
      <c r="T58" s="9"/>
      <c r="U58" s="9"/>
      <c r="V58" s="119"/>
      <c r="W58" s="138"/>
      <c r="X58" s="288"/>
      <c r="AJ58" s="560" t="b">
        <v>1</v>
      </c>
      <c r="AK58" s="156" t="s">
        <v>115</v>
      </c>
      <c r="AL58" s="89" t="str">
        <f t="shared" si="15"/>
        <v>Torbay</v>
      </c>
      <c r="AM58" s="143">
        <f t="shared" si="19"/>
        <v>211.95219123505979</v>
      </c>
      <c r="AN58" s="143">
        <f t="shared" si="19"/>
        <v>227.77777777777783</v>
      </c>
      <c r="AO58" s="143">
        <f t="shared" si="19"/>
        <v>172.04724409448821</v>
      </c>
      <c r="AP58" s="143">
        <f t="shared" si="19"/>
        <v>174.8031496062992</v>
      </c>
      <c r="AQ58" s="143">
        <f t="shared" si="19"/>
        <v>183.46456692913387</v>
      </c>
      <c r="AR58" s="144">
        <f t="shared" si="18"/>
        <v>21.9</v>
      </c>
      <c r="AS58" s="341">
        <f t="shared" si="20"/>
        <v>0.24929709465791941</v>
      </c>
      <c r="AT58" s="341">
        <f t="shared" si="20"/>
        <v>0.28873239436619724</v>
      </c>
      <c r="AU58" s="341">
        <f t="shared" si="20"/>
        <v>0.27042079207920794</v>
      </c>
      <c r="AV58" s="341">
        <f t="shared" si="20"/>
        <v>0.24598337950138505</v>
      </c>
      <c r="AW58" s="341">
        <f t="shared" si="20"/>
        <v>0.26387315968289921</v>
      </c>
    </row>
    <row r="59" spans="1:49" ht="14.25" customHeight="1" x14ac:dyDescent="0.2">
      <c r="A59" s="120"/>
      <c r="B59" s="317"/>
      <c r="C59" s="317"/>
      <c r="D59" s="58"/>
      <c r="E59" s="58"/>
      <c r="F59" s="58"/>
      <c r="G59" s="58"/>
      <c r="H59" s="58"/>
      <c r="I59" s="58"/>
      <c r="J59" s="13"/>
      <c r="K59" s="15"/>
      <c r="L59" s="15"/>
      <c r="M59" s="15"/>
      <c r="N59" s="15"/>
      <c r="O59" s="9"/>
      <c r="P59" s="9"/>
      <c r="Q59" s="9"/>
      <c r="R59" s="9"/>
      <c r="S59" s="9"/>
      <c r="T59" s="9"/>
      <c r="U59" s="9"/>
      <c r="V59" s="119"/>
      <c r="W59" s="138"/>
      <c r="X59" s="288"/>
      <c r="AJ59" s="560" t="b">
        <v>1</v>
      </c>
      <c r="AK59" s="156" t="s">
        <v>15</v>
      </c>
      <c r="AL59" s="89" t="str">
        <f t="shared" si="15"/>
        <v>West Berkshire</v>
      </c>
      <c r="AM59" s="143">
        <f t="shared" si="19"/>
        <v>85.112359550561791</v>
      </c>
      <c r="AN59" s="143">
        <f t="shared" si="19"/>
        <v>61.344537815126053</v>
      </c>
      <c r="AO59" s="143">
        <f t="shared" si="19"/>
        <v>108.63509749303621</v>
      </c>
      <c r="AP59" s="143">
        <f t="shared" si="19"/>
        <v>113.68715083798882</v>
      </c>
      <c r="AQ59" s="143">
        <f t="shared" si="19"/>
        <v>123.87640449438202</v>
      </c>
      <c r="AR59" s="144">
        <f t="shared" si="18"/>
        <v>8.6999999999999993</v>
      </c>
      <c r="AS59" s="341">
        <f t="shared" si="20"/>
        <v>0.24066719618745036</v>
      </c>
      <c r="AT59" s="341">
        <f t="shared" si="20"/>
        <v>0.16043956043956045</v>
      </c>
      <c r="AU59" s="341">
        <f t="shared" si="20"/>
        <v>0.2360774818401937</v>
      </c>
      <c r="AV59" s="341">
        <f t="shared" si="20"/>
        <v>0.26917989417989419</v>
      </c>
      <c r="AW59" s="341">
        <f t="shared" si="20"/>
        <v>0.26156583629893237</v>
      </c>
    </row>
    <row r="60" spans="1:49" ht="14.25" customHeight="1" x14ac:dyDescent="0.2">
      <c r="A60" s="120"/>
      <c r="B60" s="317"/>
      <c r="C60" s="317"/>
      <c r="D60" s="58"/>
      <c r="E60" s="58"/>
      <c r="F60" s="58"/>
      <c r="G60" s="58"/>
      <c r="H60" s="58"/>
      <c r="I60" s="58"/>
      <c r="J60" s="13"/>
      <c r="K60" s="15"/>
      <c r="L60" s="15"/>
      <c r="M60" s="15"/>
      <c r="N60" s="15"/>
      <c r="O60" s="9"/>
      <c r="P60" s="9"/>
      <c r="Q60" s="9"/>
      <c r="R60" s="9"/>
      <c r="S60" s="9"/>
      <c r="T60" s="9"/>
      <c r="U60" s="9"/>
      <c r="V60" s="119"/>
      <c r="W60" s="138"/>
      <c r="X60" s="288"/>
      <c r="AJ60" s="560" t="b">
        <v>1</v>
      </c>
      <c r="AK60" s="156" t="s">
        <v>5</v>
      </c>
      <c r="AL60" s="89" t="str">
        <f t="shared" si="15"/>
        <v>West Sussex</v>
      </c>
      <c r="AM60" s="143">
        <f t="shared" si="19"/>
        <v>89.040284360189588</v>
      </c>
      <c r="AN60" s="143">
        <f t="shared" si="19"/>
        <v>116.60798122065709</v>
      </c>
      <c r="AO60" s="143">
        <f t="shared" si="19"/>
        <v>128.57974388824215</v>
      </c>
      <c r="AP60" s="143">
        <f t="shared" si="19"/>
        <v>154.5874206578188</v>
      </c>
      <c r="AQ60" s="143">
        <f t="shared" si="19"/>
        <v>140.01144819690899</v>
      </c>
      <c r="AR60" s="144">
        <f t="shared" si="18"/>
        <v>11</v>
      </c>
      <c r="AS60" s="341">
        <f t="shared" si="20"/>
        <v>0.21729073297672405</v>
      </c>
      <c r="AT60" s="341">
        <f t="shared" si="20"/>
        <v>0.24389345771449578</v>
      </c>
      <c r="AU60" s="341">
        <f t="shared" si="20"/>
        <v>0.25271708042558061</v>
      </c>
      <c r="AV60" s="341">
        <f t="shared" si="20"/>
        <v>0.26803401700850427</v>
      </c>
      <c r="AW60" s="341">
        <f t="shared" si="20"/>
        <v>0.25774499473129608</v>
      </c>
    </row>
    <row r="61" spans="1:49" s="83" customFormat="1" ht="14.25" customHeight="1" x14ac:dyDescent="0.2">
      <c r="A61" s="120"/>
      <c r="B61" s="317"/>
      <c r="C61" s="317"/>
      <c r="D61" s="58"/>
      <c r="E61" s="58"/>
      <c r="F61" s="58"/>
      <c r="G61" s="58"/>
      <c r="H61" s="58"/>
      <c r="I61" s="58"/>
      <c r="J61" s="13"/>
      <c r="K61" s="15"/>
      <c r="L61" s="15"/>
      <c r="M61" s="15"/>
      <c r="N61" s="15"/>
      <c r="O61" s="9"/>
      <c r="P61" s="9"/>
      <c r="Q61" s="9"/>
      <c r="R61" s="9"/>
      <c r="S61" s="9"/>
      <c r="T61" s="9"/>
      <c r="U61" s="9"/>
      <c r="V61" s="119"/>
      <c r="W61" s="138"/>
      <c r="X61" s="288"/>
      <c r="AJ61" s="560" t="b">
        <v>1</v>
      </c>
      <c r="AK61" s="156" t="s">
        <v>30</v>
      </c>
      <c r="AL61" s="89" t="str">
        <f t="shared" si="15"/>
        <v>Windsor &amp; Maidenhead</v>
      </c>
      <c r="AM61" s="143">
        <f t="shared" si="19"/>
        <v>56.287425149700624</v>
      </c>
      <c r="AN61" s="143">
        <f t="shared" si="19"/>
        <v>57.270029673590507</v>
      </c>
      <c r="AO61" s="143">
        <f t="shared" si="19"/>
        <v>34.210526315789473</v>
      </c>
      <c r="AP61" s="143">
        <f t="shared" si="19"/>
        <v>48.255813953488371</v>
      </c>
      <c r="AQ61" s="143">
        <f t="shared" si="19"/>
        <v>68.786127167630056</v>
      </c>
      <c r="AR61" s="144">
        <f t="shared" si="18"/>
        <v>6.7</v>
      </c>
      <c r="AS61" s="341">
        <f t="shared" si="20"/>
        <v>0.17938931297709931</v>
      </c>
      <c r="AT61" s="341">
        <f t="shared" si="20"/>
        <v>0.17309417040358743</v>
      </c>
      <c r="AU61" s="341">
        <f t="shared" si="20"/>
        <v>0.11794354838709678</v>
      </c>
      <c r="AV61" s="341">
        <f t="shared" si="20"/>
        <v>0.15645617342130066</v>
      </c>
      <c r="AW61" s="341">
        <f t="shared" si="20"/>
        <v>0.20969162995594715</v>
      </c>
    </row>
    <row r="62" spans="1:49" s="83" customFormat="1" ht="14.25" customHeight="1" x14ac:dyDescent="0.2">
      <c r="A62" s="120"/>
      <c r="B62" s="317"/>
      <c r="C62" s="317"/>
      <c r="D62" s="58"/>
      <c r="E62" s="58"/>
      <c r="F62" s="58"/>
      <c r="G62" s="58"/>
      <c r="H62" s="58"/>
      <c r="I62" s="58"/>
      <c r="J62" s="13"/>
      <c r="K62" s="15"/>
      <c r="L62" s="15"/>
      <c r="M62" s="15"/>
      <c r="N62" s="15"/>
      <c r="O62" s="9"/>
      <c r="P62" s="9"/>
      <c r="Q62" s="9"/>
      <c r="R62" s="9"/>
      <c r="S62" s="9"/>
      <c r="T62" s="9"/>
      <c r="U62" s="9"/>
      <c r="V62" s="119"/>
      <c r="W62" s="138"/>
      <c r="X62" s="288"/>
      <c r="AJ62" s="560" t="b">
        <v>1</v>
      </c>
      <c r="AK62" s="156" t="s">
        <v>16</v>
      </c>
      <c r="AL62" s="89" t="str">
        <f t="shared" si="15"/>
        <v>Wokingham</v>
      </c>
      <c r="AM62" s="143">
        <f t="shared" si="19"/>
        <v>70.189701897018992</v>
      </c>
      <c r="AN62" s="143">
        <f t="shared" si="19"/>
        <v>52.278820375335123</v>
      </c>
      <c r="AO62" s="143">
        <f t="shared" si="19"/>
        <v>44.736842105263158</v>
      </c>
      <c r="AP62" s="143">
        <f t="shared" si="19"/>
        <v>58.656330749354005</v>
      </c>
      <c r="AQ62" s="143">
        <f t="shared" si="19"/>
        <v>90.886075949367097</v>
      </c>
      <c r="AR62" s="144">
        <f t="shared" si="18"/>
        <v>5.6000000000000005</v>
      </c>
      <c r="AS62" s="341">
        <f t="shared" si="20"/>
        <v>0.26161616161616169</v>
      </c>
      <c r="AT62" s="341">
        <f t="shared" si="20"/>
        <v>0.17241379310344829</v>
      </c>
      <c r="AU62" s="341">
        <f t="shared" si="20"/>
        <v>0.1874310915104741</v>
      </c>
      <c r="AV62" s="341">
        <f t="shared" si="20"/>
        <v>0.16557257476294676</v>
      </c>
      <c r="AW62" s="341">
        <f t="shared" si="20"/>
        <v>0.21055718475073315</v>
      </c>
    </row>
    <row r="63" spans="1:49" s="83" customFormat="1" ht="14.25" customHeight="1" x14ac:dyDescent="0.2">
      <c r="A63" s="120"/>
      <c r="B63" s="317"/>
      <c r="C63" s="317"/>
      <c r="D63" s="58"/>
      <c r="E63" s="58"/>
      <c r="F63" s="58"/>
      <c r="G63" s="58"/>
      <c r="H63" s="58"/>
      <c r="I63" s="58"/>
      <c r="J63" s="13"/>
      <c r="K63" s="15"/>
      <c r="L63" s="15"/>
      <c r="M63" s="15"/>
      <c r="N63" s="15"/>
      <c r="O63" s="9"/>
      <c r="P63" s="9"/>
      <c r="Q63" s="9"/>
      <c r="R63" s="9"/>
      <c r="S63" s="9"/>
      <c r="T63" s="9"/>
      <c r="U63" s="9"/>
      <c r="V63" s="119"/>
      <c r="W63" s="138"/>
      <c r="X63" s="288"/>
      <c r="AJ63" s="560" t="b">
        <v>1</v>
      </c>
      <c r="AK63" s="156" t="s">
        <v>74</v>
      </c>
      <c r="AL63" s="89" t="str">
        <f t="shared" si="15"/>
        <v>South East</v>
      </c>
      <c r="AM63" s="143">
        <f t="shared" si="19"/>
        <v>140.72673808023524</v>
      </c>
      <c r="AN63" s="143">
        <f t="shared" si="19"/>
        <v>119.70178822793389</v>
      </c>
      <c r="AO63" s="143">
        <f t="shared" si="19"/>
        <v>142.20681806424915</v>
      </c>
      <c r="AP63" s="143">
        <f t="shared" si="19"/>
        <v>138.0729461392047</v>
      </c>
      <c r="AQ63" s="143">
        <f t="shared" si="19"/>
        <v>137.12067027689793</v>
      </c>
      <c r="AR63" s="144">
        <f t="shared" si="18"/>
        <v>12.371268250968637</v>
      </c>
      <c r="AS63" s="341">
        <f t="shared" si="20"/>
        <v>0.27657378740970073</v>
      </c>
      <c r="AT63" s="341">
        <f t="shared" si="20"/>
        <v>0.234860883797054</v>
      </c>
      <c r="AU63" s="341">
        <f t="shared" si="20"/>
        <v>0.25662808065720688</v>
      </c>
      <c r="AV63" s="341">
        <f t="shared" si="20"/>
        <v>0.25180598555211559</v>
      </c>
      <c r="AW63" s="341">
        <f t="shared" si="20"/>
        <v>0.2558871198398322</v>
      </c>
    </row>
    <row r="64" spans="1:49" s="83" customFormat="1" ht="14.25" customHeight="1" x14ac:dyDescent="0.2">
      <c r="A64" s="120"/>
      <c r="B64" s="317"/>
      <c r="C64" s="317"/>
      <c r="D64" s="58"/>
      <c r="E64" s="58"/>
      <c r="F64" s="58"/>
      <c r="G64" s="58"/>
      <c r="H64" s="58"/>
      <c r="I64" s="58"/>
      <c r="J64" s="13"/>
      <c r="K64" s="9"/>
      <c r="L64" s="112"/>
      <c r="M64" s="1468" t="s">
        <v>72</v>
      </c>
      <c r="N64" s="1450"/>
      <c r="O64" s="1450"/>
      <c r="P64" s="1469"/>
      <c r="Q64" s="869"/>
      <c r="R64" s="1462" t="s">
        <v>101</v>
      </c>
      <c r="S64" s="1463"/>
      <c r="T64" s="1463"/>
      <c r="U64" s="1470"/>
      <c r="V64" s="119"/>
      <c r="W64" s="138"/>
      <c r="X64" s="288"/>
      <c r="AJ64" s="560" t="b">
        <v>1</v>
      </c>
      <c r="AK64" s="156" t="s">
        <v>126</v>
      </c>
      <c r="AL64" s="89" t="str">
        <f t="shared" si="15"/>
        <v>England</v>
      </c>
      <c r="AM64" s="143" t="e">
        <f t="shared" si="19"/>
        <v>#N/A</v>
      </c>
      <c r="AN64" s="143">
        <f t="shared" si="19"/>
        <v>118.77135443872615</v>
      </c>
      <c r="AO64" s="143">
        <f t="shared" si="19"/>
        <v>120.11573740167836</v>
      </c>
      <c r="AP64" s="143">
        <f t="shared" si="19"/>
        <v>121.18479817982642</v>
      </c>
      <c r="AQ64" s="143">
        <f t="shared" si="19"/>
        <v>123.09069312231274</v>
      </c>
      <c r="AR64" s="144">
        <f t="shared" si="18"/>
        <v>17.084413405029373</v>
      </c>
      <c r="AS64" s="341" t="e">
        <f t="shared" si="20"/>
        <v>#N/A</v>
      </c>
      <c r="AT64" s="341">
        <f t="shared" si="20"/>
        <v>0.22318052359727741</v>
      </c>
      <c r="AU64" s="341">
        <f t="shared" si="20"/>
        <v>0.21909242865102457</v>
      </c>
      <c r="AV64" s="341">
        <f t="shared" si="20"/>
        <v>0.21934627762610009</v>
      </c>
      <c r="AW64" s="341">
        <f t="shared" si="20"/>
        <v>0.22606117401256665</v>
      </c>
    </row>
    <row r="65" spans="1:49" s="83" customFormat="1" ht="14.25" customHeight="1" x14ac:dyDescent="0.2">
      <c r="A65" s="120"/>
      <c r="B65" s="317"/>
      <c r="C65" s="317"/>
      <c r="D65" s="58"/>
      <c r="E65" s="58"/>
      <c r="F65" s="58"/>
      <c r="G65" s="58"/>
      <c r="H65" s="58"/>
      <c r="I65" s="58"/>
      <c r="J65" s="13"/>
      <c r="K65" s="9"/>
      <c r="L65" s="113"/>
      <c r="M65" s="1462" t="str">
        <f>AA4</f>
        <v>Selected LA- (none)</v>
      </c>
      <c r="N65" s="1463"/>
      <c r="O65" s="1463"/>
      <c r="P65" s="1463"/>
      <c r="Q65" s="112"/>
      <c r="R65" s="1466" t="s">
        <v>184</v>
      </c>
      <c r="S65" s="1466"/>
      <c r="T65" s="1466"/>
      <c r="U65" s="1467"/>
      <c r="V65" s="119"/>
      <c r="W65" s="138"/>
      <c r="X65" s="147"/>
      <c r="AK65" s="157"/>
      <c r="AL65" s="76" t="str">
        <f>AA4</f>
        <v>Selected LA- (none)</v>
      </c>
      <c r="AM65" s="145" t="e">
        <f>VLOOKUP($Z4,$B$10:$O$32,AM$37,FALSE)</f>
        <v>#N/A</v>
      </c>
      <c r="AN65" s="145" t="e">
        <f>VLOOKUP($Z4,$B$10:$O$32,AN$37,FALSE)</f>
        <v>#N/A</v>
      </c>
      <c r="AO65" s="145" t="e">
        <f>VLOOKUP($Z4,$B$10:$O$32,AO$37,FALSE)</f>
        <v>#N/A</v>
      </c>
      <c r="AP65" s="145" t="e">
        <f>VLOOKUP($Z4,$B$10:$O$32,AP$37,FALSE)</f>
        <v>#N/A</v>
      </c>
      <c r="AQ65" s="145" t="e">
        <f>VLOOKUP($Z4,$B$10:$O$32,AQ$37,FALSE)</f>
        <v>#N/A</v>
      </c>
      <c r="AR65" s="144" t="e">
        <f>VLOOKUP($Z$4,$B$10:$U$33,$AR$37,FALSE)</f>
        <v>#N/A</v>
      </c>
      <c r="AS65" s="167" t="e">
        <f>VLOOKUP($Z$4,$B$112:$H$135,AS$37,FALSE)</f>
        <v>#N/A</v>
      </c>
      <c r="AT65" s="167" t="e">
        <f>VLOOKUP($Z$4,$B$112:$H$135,AT$37,FALSE)</f>
        <v>#N/A</v>
      </c>
      <c r="AU65" s="167" t="e">
        <f>VLOOKUP($Z$4,$B$112:$H$135,AU$37,FALSE)</f>
        <v>#N/A</v>
      </c>
      <c r="AV65" s="167" t="e">
        <f>VLOOKUP($Z$4,$B$112:$H$135,AV$37,FALSE)</f>
        <v>#N/A</v>
      </c>
      <c r="AW65" s="167" t="e">
        <f>VLOOKUP($Z$4,$B$112:$H$135,AW$37,FALSE)</f>
        <v>#N/A</v>
      </c>
    </row>
    <row r="66" spans="1:49" s="83" customFormat="1" ht="42" customHeight="1" x14ac:dyDescent="0.2">
      <c r="A66" s="120"/>
      <c r="B66" s="317"/>
      <c r="C66" s="317"/>
      <c r="D66" s="58"/>
      <c r="E66" s="58"/>
      <c r="F66" s="58"/>
      <c r="G66" s="58"/>
      <c r="H66" s="58"/>
      <c r="I66" s="58"/>
      <c r="J66" s="13"/>
      <c r="K66" s="9"/>
      <c r="L66" s="9"/>
      <c r="M66" s="9"/>
      <c r="N66" s="9"/>
      <c r="O66" s="9"/>
      <c r="P66" s="9"/>
      <c r="Q66" s="9"/>
      <c r="R66" s="9"/>
      <c r="S66" s="9"/>
      <c r="T66" s="9"/>
      <c r="U66" s="9"/>
      <c r="V66" s="119"/>
      <c r="W66" s="138"/>
      <c r="X66" s="147"/>
      <c r="AK66" s="157"/>
    </row>
    <row r="67" spans="1:49" s="89" customFormat="1" ht="42" customHeight="1" x14ac:dyDescent="0.2">
      <c r="A67" s="123"/>
      <c r="B67" s="111"/>
      <c r="C67" s="111"/>
      <c r="D67" s="111"/>
      <c r="E67" s="111"/>
      <c r="F67" s="111"/>
      <c r="G67" s="111"/>
      <c r="H67" s="111"/>
      <c r="I67" s="111"/>
      <c r="J67" s="98"/>
      <c r="K67" s="87"/>
      <c r="L67" s="87"/>
      <c r="M67" s="87"/>
      <c r="N67" s="87"/>
      <c r="O67" s="87"/>
      <c r="P67" s="87"/>
      <c r="Q67" s="87"/>
      <c r="R67" s="87"/>
      <c r="S67" s="87"/>
      <c r="T67" s="87"/>
      <c r="U67" s="87"/>
      <c r="V67" s="124"/>
      <c r="W67" s="140"/>
      <c r="X67" s="149"/>
      <c r="AE67" s="185"/>
      <c r="AF67" s="185"/>
      <c r="AG67" s="185"/>
      <c r="AH67" s="185"/>
      <c r="AI67" s="185"/>
      <c r="AJ67" s="199"/>
      <c r="AK67" s="156"/>
    </row>
    <row r="68" spans="1:49" s="89" customFormat="1" ht="42" customHeight="1" x14ac:dyDescent="0.2">
      <c r="A68" s="123"/>
      <c r="B68" s="111"/>
      <c r="C68" s="111"/>
      <c r="D68" s="111"/>
      <c r="E68" s="111"/>
      <c r="F68" s="111"/>
      <c r="G68" s="111"/>
      <c r="H68" s="111"/>
      <c r="I68" s="111"/>
      <c r="J68" s="98"/>
      <c r="K68" s="87"/>
      <c r="L68" s="87"/>
      <c r="M68" s="87"/>
      <c r="N68" s="87"/>
      <c r="O68" s="87"/>
      <c r="P68" s="87"/>
      <c r="Q68" s="87"/>
      <c r="R68" s="87"/>
      <c r="S68" s="87"/>
      <c r="T68" s="87"/>
      <c r="U68" s="87"/>
      <c r="V68" s="124"/>
      <c r="W68" s="140"/>
      <c r="X68" s="149"/>
      <c r="AE68" s="185"/>
      <c r="AF68" s="185"/>
      <c r="AG68" s="185"/>
      <c r="AH68" s="185"/>
      <c r="AI68" s="185"/>
      <c r="AJ68" s="199"/>
      <c r="AK68" s="156"/>
    </row>
    <row r="69" spans="1:49" ht="7.5" customHeight="1" x14ac:dyDescent="0.2">
      <c r="A69" s="120"/>
      <c r="B69" s="18"/>
      <c r="C69" s="18"/>
      <c r="D69" s="17"/>
      <c r="E69" s="17"/>
      <c r="F69" s="17"/>
      <c r="G69" s="17"/>
      <c r="H69" s="17"/>
      <c r="I69" s="17"/>
      <c r="J69" s="13"/>
      <c r="K69" s="19"/>
      <c r="L69" s="19"/>
      <c r="M69" s="19"/>
      <c r="N69" s="19"/>
      <c r="O69" s="19"/>
      <c r="P69" s="19"/>
      <c r="Q69" s="19"/>
      <c r="R69" s="19"/>
      <c r="S69" s="19"/>
      <c r="T69" s="19"/>
      <c r="U69" s="20"/>
      <c r="V69" s="119"/>
      <c r="W69" s="138"/>
      <c r="X69" s="147"/>
      <c r="Y69" s="89"/>
      <c r="Z69" s="89"/>
      <c r="AA69" s="89"/>
      <c r="AB69" s="89"/>
      <c r="AC69" s="89"/>
      <c r="AJ69" s="179"/>
      <c r="AK69" s="153"/>
    </row>
    <row r="70" spans="1:49"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1"/>
      <c r="V70" s="1422"/>
      <c r="W70" s="138"/>
      <c r="X70" s="147"/>
      <c r="Y70" s="89"/>
      <c r="Z70" s="89"/>
      <c r="AA70" s="89"/>
      <c r="AB70" s="89"/>
      <c r="AC70" s="89"/>
      <c r="AJ70" s="179"/>
      <c r="AK70" s="153"/>
    </row>
    <row r="71" spans="1:49"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0"/>
      <c r="J71" s="1429"/>
      <c r="K71" s="1429"/>
      <c r="L71" s="1429"/>
      <c r="M71" s="1429"/>
      <c r="N71" s="1429"/>
      <c r="O71" s="1429"/>
      <c r="P71" s="1431"/>
      <c r="Q71" s="1429"/>
      <c r="R71" s="1429"/>
      <c r="S71" s="1429"/>
      <c r="T71" s="1430"/>
      <c r="U71" s="1429"/>
      <c r="V71" s="1432"/>
      <c r="W71" s="138"/>
      <c r="X71" s="147"/>
      <c r="Y71" s="89"/>
      <c r="Z71" s="89"/>
      <c r="AA71" s="89"/>
      <c r="AB71" s="89"/>
      <c r="AC71" s="89"/>
      <c r="AJ71" s="179"/>
      <c r="AK71" s="153"/>
    </row>
    <row r="72" spans="1:49" ht="11.25" customHeight="1" x14ac:dyDescent="0.2">
      <c r="A72" s="114"/>
      <c r="B72" s="115"/>
      <c r="C72" s="115"/>
      <c r="D72" s="115"/>
      <c r="E72" s="115"/>
      <c r="F72" s="115"/>
      <c r="G72" s="115"/>
      <c r="H72" s="115"/>
      <c r="I72" s="115"/>
      <c r="J72" s="116"/>
      <c r="K72" s="115"/>
      <c r="L72" s="115"/>
      <c r="M72" s="115"/>
      <c r="N72" s="115"/>
      <c r="O72" s="115"/>
      <c r="P72" s="115"/>
      <c r="Q72" s="115"/>
      <c r="R72" s="115"/>
      <c r="S72" s="115"/>
      <c r="T72" s="115"/>
      <c r="U72" s="115"/>
      <c r="V72" s="117"/>
      <c r="W72" s="138"/>
      <c r="X72" s="147"/>
      <c r="Y72" s="89"/>
      <c r="Z72" s="89"/>
      <c r="AA72" s="89"/>
      <c r="AB72" s="89"/>
      <c r="AC72" s="89"/>
      <c r="AJ72" s="179"/>
      <c r="AK72" s="153"/>
    </row>
    <row r="73" spans="1:49" s="78" customFormat="1" ht="15" customHeight="1" x14ac:dyDescent="0.2">
      <c r="A73" s="121"/>
      <c r="B73" s="59"/>
      <c r="C73" s="309"/>
      <c r="D73" s="309"/>
      <c r="E73" s="309"/>
      <c r="F73" s="309"/>
      <c r="G73" s="309"/>
      <c r="H73" s="309"/>
      <c r="I73" s="309"/>
      <c r="J73" s="69"/>
      <c r="K73" s="69"/>
      <c r="L73" s="69"/>
      <c r="M73" s="69"/>
      <c r="N73" s="306"/>
      <c r="O73" s="69"/>
      <c r="P73" s="69"/>
      <c r="Q73" s="69"/>
      <c r="R73" s="69"/>
      <c r="S73" s="69"/>
      <c r="T73" s="69"/>
      <c r="U73" s="69"/>
      <c r="V73" s="122"/>
      <c r="W73" s="139"/>
      <c r="X73" s="148"/>
      <c r="Y73" s="183"/>
      <c r="Z73" s="183"/>
      <c r="AA73" s="183"/>
      <c r="AB73" s="183"/>
      <c r="AC73" s="183"/>
      <c r="AD73" s="183"/>
      <c r="AE73" s="183"/>
      <c r="AF73" s="183"/>
      <c r="AG73" s="183"/>
      <c r="AH73" s="183"/>
      <c r="AI73" s="183"/>
      <c r="AJ73" s="183"/>
      <c r="AK73" s="154"/>
    </row>
    <row r="74" spans="1:49" ht="13.5" customHeight="1" x14ac:dyDescent="0.2">
      <c r="A74" s="120"/>
      <c r="B74" s="309"/>
      <c r="C74" s="309"/>
      <c r="D74" s="309"/>
      <c r="E74" s="309"/>
      <c r="F74" s="309"/>
      <c r="G74" s="309"/>
      <c r="H74" s="309"/>
      <c r="I74" s="309"/>
      <c r="J74" s="69"/>
      <c r="K74" s="69"/>
      <c r="L74" s="69"/>
      <c r="M74" s="69"/>
      <c r="N74" s="306"/>
      <c r="O74" s="69"/>
      <c r="P74" s="69"/>
      <c r="Q74" s="69"/>
      <c r="R74" s="10"/>
      <c r="S74" s="69"/>
      <c r="T74" s="69"/>
      <c r="U74" s="69"/>
      <c r="V74" s="119"/>
      <c r="W74" s="138"/>
      <c r="X74" s="147"/>
      <c r="Y74" s="183"/>
      <c r="Z74" s="183"/>
      <c r="AA74" s="191"/>
      <c r="AB74" s="191"/>
      <c r="AC74" s="192"/>
      <c r="AD74" s="192"/>
      <c r="AJ74" s="179"/>
      <c r="AK74" s="153"/>
    </row>
    <row r="75" spans="1:49" s="89" customFormat="1" ht="12" customHeight="1" x14ac:dyDescent="0.2">
      <c r="A75" s="123"/>
      <c r="B75" s="309"/>
      <c r="C75" s="309"/>
      <c r="D75" s="309"/>
      <c r="E75" s="309"/>
      <c r="F75" s="309"/>
      <c r="G75" s="309"/>
      <c r="H75" s="309"/>
      <c r="I75" s="98"/>
      <c r="J75" s="98"/>
      <c r="K75" s="61"/>
      <c r="L75" s="61"/>
      <c r="M75" s="61"/>
      <c r="N75" s="61"/>
      <c r="O75" s="61"/>
      <c r="P75" s="61"/>
      <c r="Q75" s="313"/>
      <c r="R75" s="313"/>
      <c r="S75" s="155"/>
      <c r="T75" s="155"/>
      <c r="U75" s="312"/>
      <c r="V75" s="124"/>
      <c r="W75" s="140"/>
      <c r="X75" s="149"/>
      <c r="Y75" s="183"/>
      <c r="Z75" s="183"/>
      <c r="AA75" s="191"/>
      <c r="AB75" s="191"/>
      <c r="AC75" s="192"/>
      <c r="AD75" s="192"/>
      <c r="AE75" s="194"/>
      <c r="AF75" s="185"/>
      <c r="AG75" s="185"/>
      <c r="AH75" s="185"/>
      <c r="AI75" s="185"/>
      <c r="AJ75" s="199"/>
      <c r="AK75" s="156"/>
    </row>
    <row r="76" spans="1:49" s="89" customFormat="1" ht="24" customHeight="1" x14ac:dyDescent="0.2">
      <c r="A76" s="123"/>
      <c r="B76" s="309"/>
      <c r="C76" s="309"/>
      <c r="D76" s="309"/>
      <c r="E76" s="309"/>
      <c r="F76" s="309"/>
      <c r="G76" s="309"/>
      <c r="H76" s="309"/>
      <c r="I76" s="98"/>
      <c r="J76" s="98"/>
      <c r="K76" s="162"/>
      <c r="L76" s="162"/>
      <c r="M76" s="162"/>
      <c r="N76" s="162"/>
      <c r="O76" s="162"/>
      <c r="P76" s="162"/>
      <c r="Q76" s="162"/>
      <c r="R76" s="163"/>
      <c r="S76" s="155"/>
      <c r="T76" s="155"/>
      <c r="U76" s="162"/>
      <c r="V76" s="124"/>
      <c r="W76" s="140"/>
      <c r="X76" s="149"/>
      <c r="Z76" s="347" t="s">
        <v>129</v>
      </c>
      <c r="AA76" s="347" t="s">
        <v>130</v>
      </c>
      <c r="AB76" s="191"/>
      <c r="AC76" s="192"/>
      <c r="AD76" s="192"/>
      <c r="AE76" s="194"/>
      <c r="AF76" s="185"/>
      <c r="AG76" s="185"/>
      <c r="AH76" s="185"/>
      <c r="AI76" s="185"/>
      <c r="AJ76" s="199"/>
      <c r="AK76" s="156"/>
    </row>
    <row r="77" spans="1:49" s="89" customFormat="1" ht="12.75" customHeight="1" x14ac:dyDescent="0.2">
      <c r="A77" s="123"/>
      <c r="B77" s="309"/>
      <c r="C77" s="309"/>
      <c r="D77" s="309"/>
      <c r="E77" s="309"/>
      <c r="F77" s="309"/>
      <c r="G77" s="309"/>
      <c r="H77" s="309"/>
      <c r="I77" s="98"/>
      <c r="J77" s="98"/>
      <c r="K77" s="162"/>
      <c r="L77" s="162"/>
      <c r="M77" s="162"/>
      <c r="N77" s="162"/>
      <c r="O77" s="162"/>
      <c r="P77" s="162"/>
      <c r="Q77" s="162"/>
      <c r="R77" s="163"/>
      <c r="S77" s="155"/>
      <c r="T77" s="155"/>
      <c r="U77" s="162"/>
      <c r="V77" s="124"/>
      <c r="W77" s="140"/>
      <c r="X77" s="149"/>
      <c r="Y77" s="551" t="str">
        <f>B10</f>
        <v>Bracknell Forest</v>
      </c>
      <c r="Z77" s="349" t="e">
        <f>IF(Y77=$Z$4,I10,#N/A)</f>
        <v>#N/A</v>
      </c>
      <c r="AA77" s="349" t="e">
        <f>IF(Y77=$Z$4,U10,#N/A)</f>
        <v>#N/A</v>
      </c>
      <c r="AB77" s="191"/>
      <c r="AC77" s="192"/>
      <c r="AD77" s="192"/>
      <c r="AE77" s="194"/>
      <c r="AF77" s="185"/>
      <c r="AG77" s="185"/>
      <c r="AH77" s="185"/>
      <c r="AI77" s="185"/>
      <c r="AJ77" s="199"/>
      <c r="AK77" s="156"/>
    </row>
    <row r="78" spans="1:49" s="89" customFormat="1" ht="12.75" customHeight="1" x14ac:dyDescent="0.2">
      <c r="A78" s="123"/>
      <c r="B78" s="309"/>
      <c r="C78" s="309"/>
      <c r="D78" s="309"/>
      <c r="E78" s="309"/>
      <c r="F78" s="309"/>
      <c r="G78" s="309"/>
      <c r="H78" s="309"/>
      <c r="I78" s="98"/>
      <c r="J78" s="98"/>
      <c r="K78" s="162"/>
      <c r="L78" s="162"/>
      <c r="M78" s="162"/>
      <c r="N78" s="162"/>
      <c r="O78" s="162"/>
      <c r="P78" s="162"/>
      <c r="Q78" s="162"/>
      <c r="R78" s="163"/>
      <c r="S78" s="155"/>
      <c r="T78" s="155"/>
      <c r="U78" s="162"/>
      <c r="V78" s="124"/>
      <c r="W78" s="140"/>
      <c r="X78" s="149"/>
      <c r="Y78" s="551" t="str">
        <f t="shared" ref="Y78:Y98" si="21">B11</f>
        <v>Brighton &amp; Hove</v>
      </c>
      <c r="Z78" s="349" t="e">
        <f t="shared" ref="Z78:Z100" si="22">IF(Y78=$Z$4,I11,#N/A)</f>
        <v>#N/A</v>
      </c>
      <c r="AA78" s="349" t="e">
        <f t="shared" ref="AA78:AA100" si="23">IF(Y78=$Z$4,U11,#N/A)</f>
        <v>#N/A</v>
      </c>
      <c r="AB78" s="191"/>
      <c r="AC78" s="192"/>
      <c r="AD78" s="192"/>
      <c r="AE78" s="194"/>
      <c r="AF78" s="185"/>
      <c r="AG78" s="185"/>
      <c r="AH78" s="185"/>
      <c r="AI78" s="185"/>
      <c r="AJ78" s="199"/>
      <c r="AK78" s="156"/>
    </row>
    <row r="79" spans="1:49" s="89" customFormat="1" ht="12.75" customHeight="1" x14ac:dyDescent="0.2">
      <c r="A79" s="123"/>
      <c r="B79" s="309"/>
      <c r="C79" s="309"/>
      <c r="D79" s="309"/>
      <c r="E79" s="309"/>
      <c r="F79" s="309"/>
      <c r="G79" s="309"/>
      <c r="H79" s="309"/>
      <c r="I79" s="98"/>
      <c r="J79" s="98"/>
      <c r="K79" s="162"/>
      <c r="L79" s="162"/>
      <c r="M79" s="162"/>
      <c r="N79" s="162"/>
      <c r="O79" s="162"/>
      <c r="P79" s="162"/>
      <c r="Q79" s="162"/>
      <c r="R79" s="163"/>
      <c r="S79" s="155"/>
      <c r="T79" s="155"/>
      <c r="U79" s="162"/>
      <c r="V79" s="124"/>
      <c r="W79" s="140"/>
      <c r="X79" s="149"/>
      <c r="Y79" s="551" t="str">
        <f t="shared" si="21"/>
        <v>Buckinghamshire</v>
      </c>
      <c r="Z79" s="349" t="e">
        <f t="shared" si="22"/>
        <v>#N/A</v>
      </c>
      <c r="AA79" s="349" t="e">
        <f t="shared" si="23"/>
        <v>#N/A</v>
      </c>
      <c r="AB79" s="191"/>
      <c r="AC79" s="192"/>
      <c r="AD79" s="192"/>
      <c r="AE79" s="194"/>
      <c r="AF79" s="185"/>
      <c r="AG79" s="185"/>
      <c r="AH79" s="185"/>
      <c r="AI79" s="185"/>
      <c r="AJ79" s="199"/>
      <c r="AK79" s="156"/>
    </row>
    <row r="80" spans="1:49" s="89" customFormat="1" ht="12.75" customHeight="1" x14ac:dyDescent="0.2">
      <c r="A80" s="123"/>
      <c r="B80" s="309"/>
      <c r="C80" s="309"/>
      <c r="D80" s="309"/>
      <c r="E80" s="309"/>
      <c r="F80" s="309"/>
      <c r="G80" s="309"/>
      <c r="H80" s="309"/>
      <c r="I80" s="98"/>
      <c r="J80" s="98"/>
      <c r="K80" s="162"/>
      <c r="L80" s="162"/>
      <c r="M80" s="162"/>
      <c r="N80" s="162"/>
      <c r="O80" s="162"/>
      <c r="P80" s="162"/>
      <c r="Q80" s="162"/>
      <c r="R80" s="163"/>
      <c r="S80" s="155"/>
      <c r="T80" s="155"/>
      <c r="U80" s="162"/>
      <c r="V80" s="124"/>
      <c r="W80" s="140"/>
      <c r="X80" s="149"/>
      <c r="Y80" s="551" t="str">
        <f t="shared" si="21"/>
        <v>East Sussex</v>
      </c>
      <c r="Z80" s="349" t="e">
        <f t="shared" si="22"/>
        <v>#N/A</v>
      </c>
      <c r="AA80" s="349" t="e">
        <f t="shared" si="23"/>
        <v>#N/A</v>
      </c>
      <c r="AB80" s="191"/>
      <c r="AC80" s="192"/>
      <c r="AD80" s="192"/>
      <c r="AE80" s="194"/>
      <c r="AF80" s="185"/>
      <c r="AG80" s="185"/>
      <c r="AH80" s="185"/>
      <c r="AI80" s="185"/>
      <c r="AJ80" s="199"/>
      <c r="AK80" s="156"/>
    </row>
    <row r="81" spans="1:45" s="89" customFormat="1" ht="12.75" customHeight="1" x14ac:dyDescent="0.2">
      <c r="A81" s="123"/>
      <c r="B81" s="309"/>
      <c r="C81" s="309"/>
      <c r="D81" s="309"/>
      <c r="E81" s="309"/>
      <c r="F81" s="309"/>
      <c r="G81" s="309"/>
      <c r="H81" s="309"/>
      <c r="I81" s="98"/>
      <c r="J81" s="98"/>
      <c r="K81" s="162"/>
      <c r="L81" s="162"/>
      <c r="M81" s="162"/>
      <c r="N81" s="162"/>
      <c r="O81" s="162"/>
      <c r="P81" s="162"/>
      <c r="Q81" s="162"/>
      <c r="R81" s="163"/>
      <c r="S81" s="155"/>
      <c r="T81" s="155"/>
      <c r="U81" s="162"/>
      <c r="V81" s="124"/>
      <c r="W81" s="140"/>
      <c r="X81" s="149"/>
      <c r="Y81" s="551" t="str">
        <f t="shared" si="21"/>
        <v>Hampshire</v>
      </c>
      <c r="Z81" s="349" t="e">
        <f t="shared" si="22"/>
        <v>#N/A</v>
      </c>
      <c r="AA81" s="349" t="e">
        <f t="shared" si="23"/>
        <v>#N/A</v>
      </c>
      <c r="AB81" s="191"/>
      <c r="AC81" s="192"/>
      <c r="AD81" s="192"/>
      <c r="AE81" s="194"/>
      <c r="AF81" s="185"/>
      <c r="AG81" s="185"/>
      <c r="AH81" s="185"/>
      <c r="AI81" s="185"/>
      <c r="AJ81" s="199"/>
      <c r="AK81" s="156"/>
      <c r="AS81" s="89" t="s">
        <v>103</v>
      </c>
    </row>
    <row r="82" spans="1:45" s="89" customFormat="1" ht="12.75" customHeight="1" x14ac:dyDescent="0.2">
      <c r="A82" s="123"/>
      <c r="B82" s="309"/>
      <c r="C82" s="309"/>
      <c r="D82" s="309"/>
      <c r="E82" s="309"/>
      <c r="F82" s="309"/>
      <c r="G82" s="309"/>
      <c r="H82" s="309"/>
      <c r="I82" s="98"/>
      <c r="J82" s="98"/>
      <c r="K82" s="162"/>
      <c r="L82" s="162"/>
      <c r="M82" s="162"/>
      <c r="N82" s="162"/>
      <c r="O82" s="162"/>
      <c r="P82" s="162"/>
      <c r="Q82" s="162"/>
      <c r="R82" s="163"/>
      <c r="S82" s="155"/>
      <c r="T82" s="155"/>
      <c r="U82" s="162"/>
      <c r="V82" s="124"/>
      <c r="W82" s="140"/>
      <c r="X82" s="149"/>
      <c r="Y82" s="551" t="str">
        <f t="shared" si="21"/>
        <v>Isle of Wight</v>
      </c>
      <c r="Z82" s="349" t="e">
        <f t="shared" si="22"/>
        <v>#N/A</v>
      </c>
      <c r="AA82" s="349" t="e">
        <f t="shared" si="23"/>
        <v>#N/A</v>
      </c>
      <c r="AB82" s="191"/>
      <c r="AC82" s="192"/>
      <c r="AD82" s="192"/>
      <c r="AE82" s="194"/>
      <c r="AF82" s="185"/>
      <c r="AG82" s="185"/>
      <c r="AH82" s="185"/>
      <c r="AI82" s="185"/>
      <c r="AJ82" s="199"/>
      <c r="AK82" s="156"/>
    </row>
    <row r="83" spans="1:45" s="89" customFormat="1" ht="12.75" customHeight="1" x14ac:dyDescent="0.2">
      <c r="A83" s="123"/>
      <c r="B83" s="309"/>
      <c r="C83" s="309"/>
      <c r="D83" s="309"/>
      <c r="E83" s="309"/>
      <c r="F83" s="309"/>
      <c r="G83" s="309"/>
      <c r="H83" s="309"/>
      <c r="I83" s="98"/>
      <c r="J83" s="98"/>
      <c r="K83" s="162"/>
      <c r="L83" s="162"/>
      <c r="M83" s="162"/>
      <c r="N83" s="162"/>
      <c r="O83" s="162"/>
      <c r="P83" s="162"/>
      <c r="Q83" s="162"/>
      <c r="R83" s="163"/>
      <c r="S83" s="155"/>
      <c r="T83" s="155"/>
      <c r="U83" s="162"/>
      <c r="V83" s="124"/>
      <c r="W83" s="140"/>
      <c r="X83" s="149"/>
      <c r="Y83" s="551" t="str">
        <f t="shared" si="21"/>
        <v>Kent</v>
      </c>
      <c r="Z83" s="349" t="e">
        <f t="shared" si="22"/>
        <v>#N/A</v>
      </c>
      <c r="AA83" s="349" t="e">
        <f t="shared" si="23"/>
        <v>#N/A</v>
      </c>
      <c r="AB83" s="191"/>
      <c r="AC83" s="192"/>
      <c r="AD83" s="192"/>
      <c r="AE83" s="194"/>
      <c r="AF83" s="185"/>
      <c r="AG83" s="185"/>
      <c r="AH83" s="185"/>
      <c r="AI83" s="185"/>
      <c r="AJ83" s="199"/>
      <c r="AK83" s="156"/>
    </row>
    <row r="84" spans="1:45" s="89" customFormat="1" ht="12.75" customHeight="1" x14ac:dyDescent="0.2">
      <c r="A84" s="123"/>
      <c r="B84" s="309"/>
      <c r="C84" s="309"/>
      <c r="D84" s="309"/>
      <c r="E84" s="309"/>
      <c r="F84" s="309"/>
      <c r="G84" s="309"/>
      <c r="H84" s="309"/>
      <c r="I84" s="98"/>
      <c r="J84" s="98"/>
      <c r="K84" s="162"/>
      <c r="L84" s="162"/>
      <c r="M84" s="162"/>
      <c r="N84" s="162"/>
      <c r="O84" s="162"/>
      <c r="P84" s="162"/>
      <c r="Q84" s="162"/>
      <c r="R84" s="163"/>
      <c r="S84" s="155"/>
      <c r="T84" s="155"/>
      <c r="U84" s="162"/>
      <c r="V84" s="124"/>
      <c r="W84" s="140"/>
      <c r="X84" s="149"/>
      <c r="Y84" s="551" t="str">
        <f t="shared" si="21"/>
        <v>Medway</v>
      </c>
      <c r="Z84" s="349" t="e">
        <f t="shared" si="22"/>
        <v>#N/A</v>
      </c>
      <c r="AA84" s="349" t="e">
        <f t="shared" si="23"/>
        <v>#N/A</v>
      </c>
      <c r="AB84" s="191"/>
      <c r="AC84" s="192"/>
      <c r="AD84" s="192"/>
      <c r="AE84" s="194"/>
      <c r="AF84" s="185"/>
      <c r="AG84" s="185"/>
      <c r="AH84" s="185"/>
      <c r="AI84" s="185"/>
      <c r="AJ84" s="199"/>
      <c r="AK84" s="156"/>
    </row>
    <row r="85" spans="1:45" s="89" customFormat="1" ht="12.75" customHeight="1" x14ac:dyDescent="0.2">
      <c r="A85" s="123"/>
      <c r="B85" s="309"/>
      <c r="C85" s="309"/>
      <c r="D85" s="309"/>
      <c r="E85" s="309"/>
      <c r="F85" s="309"/>
      <c r="G85" s="309"/>
      <c r="H85" s="309"/>
      <c r="I85" s="98"/>
      <c r="J85" s="98"/>
      <c r="K85" s="162"/>
      <c r="L85" s="162"/>
      <c r="M85" s="162"/>
      <c r="N85" s="162"/>
      <c r="O85" s="162"/>
      <c r="P85" s="162"/>
      <c r="Q85" s="162"/>
      <c r="R85" s="163"/>
      <c r="S85" s="155"/>
      <c r="T85" s="155"/>
      <c r="U85" s="162"/>
      <c r="V85" s="124"/>
      <c r="W85" s="140"/>
      <c r="X85" s="149"/>
      <c r="Y85" s="551" t="str">
        <f t="shared" si="21"/>
        <v>Milton Keynes</v>
      </c>
      <c r="Z85" s="349" t="e">
        <f t="shared" si="22"/>
        <v>#N/A</v>
      </c>
      <c r="AA85" s="349" t="e">
        <f t="shared" si="23"/>
        <v>#N/A</v>
      </c>
      <c r="AB85" s="191"/>
      <c r="AC85" s="192"/>
      <c r="AD85" s="192"/>
      <c r="AE85" s="194"/>
      <c r="AF85" s="185"/>
      <c r="AG85" s="185"/>
      <c r="AH85" s="185"/>
      <c r="AI85" s="185"/>
      <c r="AJ85" s="199"/>
      <c r="AK85" s="156"/>
    </row>
    <row r="86" spans="1:45" s="89" customFormat="1" ht="12.75" customHeight="1" x14ac:dyDescent="0.2">
      <c r="A86" s="123"/>
      <c r="B86" s="309"/>
      <c r="C86" s="309"/>
      <c r="D86" s="309"/>
      <c r="E86" s="309"/>
      <c r="F86" s="309"/>
      <c r="G86" s="309"/>
      <c r="H86" s="309"/>
      <c r="I86" s="98"/>
      <c r="J86" s="98"/>
      <c r="K86" s="162"/>
      <c r="L86" s="162"/>
      <c r="M86" s="162"/>
      <c r="N86" s="162"/>
      <c r="O86" s="162"/>
      <c r="P86" s="162"/>
      <c r="Q86" s="162"/>
      <c r="R86" s="163"/>
      <c r="S86" s="155"/>
      <c r="T86" s="155"/>
      <c r="U86" s="162"/>
      <c r="V86" s="124"/>
      <c r="W86" s="140"/>
      <c r="X86" s="149"/>
      <c r="Y86" s="551" t="str">
        <f t="shared" si="21"/>
        <v>Oxfordshire</v>
      </c>
      <c r="Z86" s="349" t="e">
        <f t="shared" si="22"/>
        <v>#N/A</v>
      </c>
      <c r="AA86" s="349" t="e">
        <f t="shared" si="23"/>
        <v>#N/A</v>
      </c>
      <c r="AB86" s="191"/>
      <c r="AC86" s="192"/>
      <c r="AD86" s="192"/>
      <c r="AE86" s="194"/>
      <c r="AF86" s="185"/>
      <c r="AG86" s="185"/>
      <c r="AH86" s="185"/>
      <c r="AI86" s="185"/>
      <c r="AJ86" s="199"/>
      <c r="AK86" s="156"/>
    </row>
    <row r="87" spans="1:45" s="89" customFormat="1" ht="12.75" customHeight="1" x14ac:dyDescent="0.2">
      <c r="A87" s="123"/>
      <c r="B87" s="309"/>
      <c r="C87" s="309"/>
      <c r="D87" s="309"/>
      <c r="E87" s="309"/>
      <c r="F87" s="309"/>
      <c r="G87" s="309"/>
      <c r="H87" s="309"/>
      <c r="I87" s="98"/>
      <c r="J87" s="98"/>
      <c r="K87" s="162"/>
      <c r="L87" s="162"/>
      <c r="M87" s="162"/>
      <c r="N87" s="162"/>
      <c r="O87" s="162"/>
      <c r="P87" s="162"/>
      <c r="Q87" s="162"/>
      <c r="R87" s="163"/>
      <c r="S87" s="155"/>
      <c r="T87" s="155"/>
      <c r="U87" s="162"/>
      <c r="V87" s="124"/>
      <c r="W87" s="140"/>
      <c r="X87" s="149"/>
      <c r="Y87" s="551" t="str">
        <f t="shared" si="21"/>
        <v>Portsmouth</v>
      </c>
      <c r="Z87" s="349" t="e">
        <f t="shared" si="22"/>
        <v>#N/A</v>
      </c>
      <c r="AA87" s="349" t="e">
        <f t="shared" si="23"/>
        <v>#N/A</v>
      </c>
      <c r="AB87" s="191"/>
      <c r="AC87" s="192"/>
      <c r="AD87" s="192"/>
      <c r="AE87" s="194"/>
      <c r="AF87" s="185"/>
      <c r="AG87" s="185"/>
      <c r="AH87" s="185"/>
      <c r="AI87" s="185"/>
      <c r="AJ87" s="199"/>
      <c r="AK87" s="156"/>
    </row>
    <row r="88" spans="1:45" s="89" customFormat="1" ht="12.75" customHeight="1" x14ac:dyDescent="0.2">
      <c r="A88" s="123"/>
      <c r="B88" s="309"/>
      <c r="C88" s="309"/>
      <c r="D88" s="309"/>
      <c r="E88" s="309"/>
      <c r="F88" s="309"/>
      <c r="G88" s="309"/>
      <c r="H88" s="309"/>
      <c r="I88" s="98"/>
      <c r="J88" s="98"/>
      <c r="K88" s="162"/>
      <c r="L88" s="162"/>
      <c r="M88" s="162"/>
      <c r="N88" s="162"/>
      <c r="O88" s="162"/>
      <c r="P88" s="162"/>
      <c r="Q88" s="162"/>
      <c r="R88" s="163"/>
      <c r="S88" s="155"/>
      <c r="T88" s="155"/>
      <c r="U88" s="162"/>
      <c r="V88" s="124"/>
      <c r="W88" s="140"/>
      <c r="X88" s="149"/>
      <c r="Y88" s="551" t="str">
        <f t="shared" si="21"/>
        <v>Reading</v>
      </c>
      <c r="Z88" s="349" t="e">
        <f t="shared" si="22"/>
        <v>#N/A</v>
      </c>
      <c r="AA88" s="349" t="e">
        <f t="shared" si="23"/>
        <v>#N/A</v>
      </c>
      <c r="AB88" s="191"/>
      <c r="AC88" s="192"/>
      <c r="AD88" s="192"/>
      <c r="AE88" s="194"/>
      <c r="AF88" s="185"/>
      <c r="AG88" s="185"/>
      <c r="AH88" s="185"/>
      <c r="AI88" s="185"/>
      <c r="AJ88" s="199"/>
      <c r="AK88" s="156"/>
    </row>
    <row r="89" spans="1:45" s="89" customFormat="1" ht="12.75" customHeight="1" x14ac:dyDescent="0.2">
      <c r="A89" s="123"/>
      <c r="B89" s="309"/>
      <c r="C89" s="309"/>
      <c r="D89" s="309"/>
      <c r="E89" s="309"/>
      <c r="F89" s="309"/>
      <c r="G89" s="309"/>
      <c r="H89" s="309"/>
      <c r="I89" s="98"/>
      <c r="J89" s="98"/>
      <c r="K89" s="162"/>
      <c r="L89" s="162"/>
      <c r="M89" s="162"/>
      <c r="N89" s="162"/>
      <c r="O89" s="162"/>
      <c r="P89" s="162"/>
      <c r="Q89" s="162"/>
      <c r="R89" s="163"/>
      <c r="S89" s="155"/>
      <c r="T89" s="155"/>
      <c r="U89" s="162"/>
      <c r="V89" s="124"/>
      <c r="W89" s="140"/>
      <c r="X89" s="149"/>
      <c r="Y89" s="551" t="str">
        <f t="shared" si="21"/>
        <v>Slough</v>
      </c>
      <c r="Z89" s="349" t="e">
        <f t="shared" si="22"/>
        <v>#N/A</v>
      </c>
      <c r="AA89" s="349" t="e">
        <f t="shared" si="23"/>
        <v>#N/A</v>
      </c>
      <c r="AB89" s="191"/>
      <c r="AC89" s="192"/>
      <c r="AD89" s="192"/>
      <c r="AE89" s="194"/>
      <c r="AF89" s="185"/>
      <c r="AG89" s="185"/>
      <c r="AH89" s="185"/>
      <c r="AI89" s="185"/>
      <c r="AJ89" s="199"/>
      <c r="AK89" s="156"/>
    </row>
    <row r="90" spans="1:45" s="89" customFormat="1" ht="12.75" customHeight="1" x14ac:dyDescent="0.2">
      <c r="A90" s="123"/>
      <c r="B90" s="309"/>
      <c r="C90" s="309"/>
      <c r="D90" s="309"/>
      <c r="E90" s="309"/>
      <c r="F90" s="309"/>
      <c r="G90" s="309"/>
      <c r="H90" s="309"/>
      <c r="I90" s="98"/>
      <c r="J90" s="98"/>
      <c r="K90" s="162"/>
      <c r="L90" s="162"/>
      <c r="M90" s="162"/>
      <c r="N90" s="162"/>
      <c r="O90" s="162"/>
      <c r="P90" s="162"/>
      <c r="Q90" s="162"/>
      <c r="R90" s="163"/>
      <c r="S90" s="155"/>
      <c r="T90" s="155"/>
      <c r="U90" s="162"/>
      <c r="V90" s="124"/>
      <c r="W90" s="140"/>
      <c r="X90" s="149"/>
      <c r="Y90" s="551" t="str">
        <f t="shared" si="21"/>
        <v>Somerset</v>
      </c>
      <c r="Z90" s="349" t="e">
        <f t="shared" si="22"/>
        <v>#N/A</v>
      </c>
      <c r="AA90" s="349" t="e">
        <f t="shared" si="23"/>
        <v>#N/A</v>
      </c>
      <c r="AB90" s="191"/>
      <c r="AC90" s="192"/>
      <c r="AD90" s="192"/>
      <c r="AE90" s="194"/>
      <c r="AF90" s="185"/>
      <c r="AG90" s="185"/>
      <c r="AH90" s="185"/>
      <c r="AI90" s="185"/>
      <c r="AJ90" s="199"/>
      <c r="AK90" s="156"/>
    </row>
    <row r="91" spans="1:45" s="89" customFormat="1" ht="12.75" customHeight="1" x14ac:dyDescent="0.2">
      <c r="A91" s="123"/>
      <c r="B91" s="309"/>
      <c r="C91" s="309"/>
      <c r="D91" s="309"/>
      <c r="E91" s="309"/>
      <c r="F91" s="309"/>
      <c r="G91" s="309"/>
      <c r="H91" s="309"/>
      <c r="I91" s="98"/>
      <c r="J91" s="98"/>
      <c r="K91" s="162"/>
      <c r="L91" s="162"/>
      <c r="M91" s="162"/>
      <c r="N91" s="162"/>
      <c r="O91" s="162"/>
      <c r="P91" s="162"/>
      <c r="Q91" s="162"/>
      <c r="R91" s="163"/>
      <c r="S91" s="155"/>
      <c r="T91" s="155"/>
      <c r="U91" s="162"/>
      <c r="V91" s="124"/>
      <c r="W91" s="140"/>
      <c r="X91" s="149"/>
      <c r="Y91" s="551" t="str">
        <f t="shared" si="21"/>
        <v>Southampton</v>
      </c>
      <c r="Z91" s="349" t="e">
        <f t="shared" si="22"/>
        <v>#N/A</v>
      </c>
      <c r="AA91" s="349" t="e">
        <f t="shared" si="23"/>
        <v>#N/A</v>
      </c>
      <c r="AB91" s="191"/>
      <c r="AC91" s="192"/>
      <c r="AD91" s="192"/>
      <c r="AE91" s="194"/>
      <c r="AF91" s="185"/>
      <c r="AG91" s="185"/>
      <c r="AH91" s="185"/>
      <c r="AI91" s="185"/>
      <c r="AJ91" s="199"/>
      <c r="AK91" s="156"/>
    </row>
    <row r="92" spans="1:45" s="89" customFormat="1" ht="12.75" customHeight="1" x14ac:dyDescent="0.2">
      <c r="A92" s="286"/>
      <c r="B92" s="309"/>
      <c r="C92" s="309"/>
      <c r="D92" s="309"/>
      <c r="E92" s="309"/>
      <c r="F92" s="309"/>
      <c r="G92" s="309"/>
      <c r="H92" s="309"/>
      <c r="I92" s="98"/>
      <c r="J92" s="98"/>
      <c r="K92" s="162"/>
      <c r="L92" s="162"/>
      <c r="M92" s="162"/>
      <c r="N92" s="162"/>
      <c r="O92" s="162"/>
      <c r="P92" s="162"/>
      <c r="Q92" s="162"/>
      <c r="R92" s="163"/>
      <c r="S92" s="155"/>
      <c r="T92" s="155"/>
      <c r="U92" s="162"/>
      <c r="V92" s="124"/>
      <c r="W92" s="140"/>
      <c r="X92" s="149"/>
      <c r="Y92" s="551" t="str">
        <f t="shared" si="21"/>
        <v>Surrey</v>
      </c>
      <c r="Z92" s="349" t="e">
        <f t="shared" si="22"/>
        <v>#N/A</v>
      </c>
      <c r="AA92" s="349" t="e">
        <f t="shared" si="23"/>
        <v>#N/A</v>
      </c>
      <c r="AB92" s="191"/>
      <c r="AC92" s="192"/>
      <c r="AD92" s="192"/>
      <c r="AE92" s="194"/>
      <c r="AF92" s="185"/>
      <c r="AG92" s="185"/>
      <c r="AH92" s="185"/>
      <c r="AI92" s="185"/>
      <c r="AJ92" s="199"/>
      <c r="AK92" s="156"/>
    </row>
    <row r="93" spans="1:45" s="89" customFormat="1" ht="12.75" customHeight="1" x14ac:dyDescent="0.2">
      <c r="A93" s="286"/>
      <c r="B93" s="309"/>
      <c r="C93" s="309"/>
      <c r="D93" s="309"/>
      <c r="E93" s="309"/>
      <c r="F93" s="309"/>
      <c r="G93" s="309"/>
      <c r="H93" s="309"/>
      <c r="I93" s="98"/>
      <c r="J93" s="98"/>
      <c r="K93" s="162"/>
      <c r="L93" s="162"/>
      <c r="M93" s="162"/>
      <c r="N93" s="162"/>
      <c r="O93" s="162"/>
      <c r="P93" s="162"/>
      <c r="Q93" s="162"/>
      <c r="R93" s="163"/>
      <c r="S93" s="155"/>
      <c r="T93" s="155"/>
      <c r="U93" s="162"/>
      <c r="V93" s="124"/>
      <c r="W93" s="140"/>
      <c r="X93" s="149"/>
      <c r="Y93" s="551" t="str">
        <f t="shared" si="21"/>
        <v>Swindon</v>
      </c>
      <c r="Z93" s="349" t="e">
        <f t="shared" si="22"/>
        <v>#N/A</v>
      </c>
      <c r="AA93" s="349" t="e">
        <f t="shared" si="23"/>
        <v>#N/A</v>
      </c>
      <c r="AB93" s="191"/>
      <c r="AC93" s="192"/>
      <c r="AD93" s="192"/>
      <c r="AE93" s="194"/>
      <c r="AF93" s="185"/>
      <c r="AG93" s="185"/>
      <c r="AH93" s="185"/>
      <c r="AI93" s="185"/>
      <c r="AJ93" s="199"/>
      <c r="AK93" s="156"/>
    </row>
    <row r="94" spans="1:45" s="89" customFormat="1" ht="12.75" customHeight="1" x14ac:dyDescent="0.2">
      <c r="A94" s="123"/>
      <c r="B94" s="309"/>
      <c r="C94" s="309"/>
      <c r="D94" s="309"/>
      <c r="E94" s="309"/>
      <c r="F94" s="309"/>
      <c r="G94" s="309"/>
      <c r="H94" s="309"/>
      <c r="I94" s="98"/>
      <c r="J94" s="98"/>
      <c r="K94" s="162"/>
      <c r="L94" s="162"/>
      <c r="M94" s="162"/>
      <c r="N94" s="162"/>
      <c r="O94" s="162"/>
      <c r="P94" s="162"/>
      <c r="Q94" s="162"/>
      <c r="R94" s="163"/>
      <c r="S94" s="155"/>
      <c r="T94" s="155"/>
      <c r="U94" s="162"/>
      <c r="V94" s="124"/>
      <c r="W94" s="140"/>
      <c r="X94" s="149"/>
      <c r="Y94" s="551" t="str">
        <f t="shared" si="21"/>
        <v>Torbay</v>
      </c>
      <c r="Z94" s="349" t="e">
        <f t="shared" si="22"/>
        <v>#N/A</v>
      </c>
      <c r="AA94" s="349" t="e">
        <f t="shared" si="23"/>
        <v>#N/A</v>
      </c>
      <c r="AB94" s="191"/>
      <c r="AC94" s="192"/>
      <c r="AD94" s="192"/>
      <c r="AE94" s="194"/>
      <c r="AF94" s="199"/>
      <c r="AG94" s="185"/>
      <c r="AH94" s="185"/>
      <c r="AI94" s="185"/>
      <c r="AJ94" s="199"/>
      <c r="AK94" s="156"/>
    </row>
    <row r="95" spans="1:45" s="89" customFormat="1" ht="12.75" customHeight="1" x14ac:dyDescent="0.2">
      <c r="A95" s="123"/>
      <c r="B95" s="309"/>
      <c r="C95" s="309"/>
      <c r="D95" s="309"/>
      <c r="E95" s="309"/>
      <c r="F95" s="309"/>
      <c r="G95" s="309"/>
      <c r="H95" s="309"/>
      <c r="I95" s="98"/>
      <c r="J95" s="98"/>
      <c r="K95" s="162"/>
      <c r="L95" s="162"/>
      <c r="M95" s="162"/>
      <c r="N95" s="162"/>
      <c r="O95" s="162"/>
      <c r="P95" s="162"/>
      <c r="Q95" s="162"/>
      <c r="R95" s="163"/>
      <c r="S95" s="155"/>
      <c r="T95" s="155"/>
      <c r="U95" s="162"/>
      <c r="V95" s="124"/>
      <c r="W95" s="140"/>
      <c r="X95" s="149"/>
      <c r="Y95" s="551" t="str">
        <f t="shared" si="21"/>
        <v>West Berkshire</v>
      </c>
      <c r="Z95" s="349" t="e">
        <f t="shared" si="22"/>
        <v>#N/A</v>
      </c>
      <c r="AA95" s="349" t="e">
        <f t="shared" si="23"/>
        <v>#N/A</v>
      </c>
      <c r="AB95" s="191"/>
      <c r="AC95" s="192"/>
      <c r="AD95" s="192"/>
      <c r="AE95" s="194"/>
      <c r="AF95" s="199"/>
      <c r="AG95" s="185"/>
      <c r="AH95" s="185"/>
      <c r="AI95" s="185"/>
      <c r="AJ95" s="199"/>
      <c r="AK95" s="156"/>
    </row>
    <row r="96" spans="1:45" s="89" customFormat="1" ht="12.75" customHeight="1" x14ac:dyDescent="0.2">
      <c r="A96" s="123"/>
      <c r="B96" s="309"/>
      <c r="C96" s="309"/>
      <c r="D96" s="309"/>
      <c r="E96" s="309"/>
      <c r="F96" s="309"/>
      <c r="G96" s="309"/>
      <c r="H96" s="309"/>
      <c r="I96" s="98"/>
      <c r="J96" s="98"/>
      <c r="K96" s="162"/>
      <c r="L96" s="162"/>
      <c r="M96" s="162"/>
      <c r="N96" s="162"/>
      <c r="O96" s="162"/>
      <c r="P96" s="162"/>
      <c r="Q96" s="162"/>
      <c r="R96" s="163"/>
      <c r="S96" s="155"/>
      <c r="T96" s="155"/>
      <c r="U96" s="162"/>
      <c r="V96" s="124"/>
      <c r="W96" s="140"/>
      <c r="X96" s="149"/>
      <c r="Y96" s="551" t="str">
        <f t="shared" si="21"/>
        <v>West Sussex</v>
      </c>
      <c r="Z96" s="349" t="e">
        <f t="shared" si="22"/>
        <v>#N/A</v>
      </c>
      <c r="AA96" s="349" t="e">
        <f t="shared" si="23"/>
        <v>#N/A</v>
      </c>
      <c r="AB96" s="191"/>
      <c r="AC96" s="192"/>
      <c r="AD96" s="192"/>
      <c r="AE96" s="194"/>
      <c r="AF96" s="199"/>
      <c r="AG96" s="199"/>
      <c r="AH96" s="199"/>
      <c r="AI96" s="185"/>
      <c r="AJ96" s="199"/>
      <c r="AK96" s="156"/>
    </row>
    <row r="97" spans="1:46" s="89" customFormat="1" ht="12.75" customHeight="1" x14ac:dyDescent="0.2">
      <c r="A97" s="123"/>
      <c r="B97" s="309"/>
      <c r="C97" s="309"/>
      <c r="D97" s="309"/>
      <c r="E97" s="309"/>
      <c r="F97" s="309"/>
      <c r="G97" s="309"/>
      <c r="H97" s="309"/>
      <c r="I97" s="98"/>
      <c r="J97" s="98"/>
      <c r="K97" s="162"/>
      <c r="L97" s="162"/>
      <c r="M97" s="162"/>
      <c r="N97" s="162"/>
      <c r="O97" s="162"/>
      <c r="P97" s="162"/>
      <c r="Q97" s="162"/>
      <c r="R97" s="163"/>
      <c r="S97" s="155"/>
      <c r="T97" s="155"/>
      <c r="U97" s="162"/>
      <c r="V97" s="124"/>
      <c r="W97" s="140"/>
      <c r="X97" s="149"/>
      <c r="Y97" s="551" t="str">
        <f t="shared" si="21"/>
        <v>Windsor &amp; Maidenhead</v>
      </c>
      <c r="Z97" s="349" t="e">
        <f t="shared" si="22"/>
        <v>#N/A</v>
      </c>
      <c r="AA97" s="349" t="e">
        <f t="shared" si="23"/>
        <v>#N/A</v>
      </c>
      <c r="AB97" s="191"/>
      <c r="AC97" s="192"/>
      <c r="AD97" s="192"/>
      <c r="AE97" s="194"/>
      <c r="AF97" s="199"/>
      <c r="AG97" s="199"/>
      <c r="AH97" s="199"/>
      <c r="AI97" s="185"/>
      <c r="AJ97" s="199"/>
      <c r="AK97" s="156"/>
    </row>
    <row r="98" spans="1:46" s="89" customFormat="1" ht="12.75" customHeight="1" x14ac:dyDescent="0.2">
      <c r="A98" s="123"/>
      <c r="B98" s="309"/>
      <c r="C98" s="309"/>
      <c r="D98" s="309"/>
      <c r="E98" s="309"/>
      <c r="F98" s="309"/>
      <c r="G98" s="309"/>
      <c r="H98" s="309"/>
      <c r="I98" s="98"/>
      <c r="J98" s="98"/>
      <c r="K98" s="164"/>
      <c r="L98" s="164"/>
      <c r="M98" s="164"/>
      <c r="N98" s="164"/>
      <c r="O98" s="164"/>
      <c r="P98" s="164"/>
      <c r="Q98" s="164"/>
      <c r="R98" s="165"/>
      <c r="S98" s="155"/>
      <c r="T98" s="155"/>
      <c r="U98" s="166"/>
      <c r="V98" s="124"/>
      <c r="W98" s="140"/>
      <c r="X98" s="149"/>
      <c r="Y98" s="551" t="str">
        <f t="shared" si="21"/>
        <v>Wokingham</v>
      </c>
      <c r="Z98" s="349" t="e">
        <f t="shared" si="22"/>
        <v>#N/A</v>
      </c>
      <c r="AA98" s="349" t="e">
        <f t="shared" si="23"/>
        <v>#N/A</v>
      </c>
      <c r="AB98" s="191"/>
      <c r="AC98" s="192"/>
      <c r="AD98" s="192"/>
      <c r="AE98" s="194"/>
      <c r="AF98" s="199"/>
      <c r="AG98" s="199"/>
      <c r="AH98" s="199"/>
      <c r="AI98" s="185"/>
      <c r="AJ98" s="199"/>
      <c r="AK98" s="156"/>
    </row>
    <row r="99" spans="1:46" s="89" customFormat="1" ht="12.75" customHeight="1" x14ac:dyDescent="0.2">
      <c r="A99" s="123"/>
      <c r="B99" s="309"/>
      <c r="C99" s="309"/>
      <c r="D99" s="309"/>
      <c r="E99" s="309"/>
      <c r="F99" s="309"/>
      <c r="G99" s="309"/>
      <c r="H99" s="309"/>
      <c r="I99" s="98"/>
      <c r="J99" s="98"/>
      <c r="K99" s="164"/>
      <c r="L99" s="164"/>
      <c r="M99" s="164"/>
      <c r="N99" s="164"/>
      <c r="O99" s="164"/>
      <c r="P99" s="164"/>
      <c r="Q99" s="164"/>
      <c r="R99" s="165"/>
      <c r="S99" s="155"/>
      <c r="T99" s="155"/>
      <c r="U99" s="166"/>
      <c r="V99" s="124"/>
      <c r="W99" s="140"/>
      <c r="X99" s="149"/>
      <c r="Y99" s="551" t="str">
        <f>B32</f>
        <v>South East</v>
      </c>
      <c r="Z99" s="349" t="e">
        <f t="shared" si="22"/>
        <v>#N/A</v>
      </c>
      <c r="AA99" s="349" t="e">
        <f t="shared" si="23"/>
        <v>#N/A</v>
      </c>
      <c r="AB99" s="191"/>
      <c r="AC99" s="192"/>
      <c r="AD99" s="192"/>
      <c r="AE99" s="194"/>
      <c r="AF99" s="199"/>
      <c r="AG99" s="199"/>
      <c r="AH99" s="199"/>
      <c r="AI99" s="185"/>
      <c r="AJ99" s="199"/>
      <c r="AK99" s="156"/>
    </row>
    <row r="100" spans="1:46" s="89" customFormat="1" ht="11.25" customHeight="1" x14ac:dyDescent="0.2">
      <c r="A100" s="286"/>
      <c r="B100" s="309"/>
      <c r="C100" s="309"/>
      <c r="D100" s="309"/>
      <c r="E100" s="309"/>
      <c r="F100" s="309"/>
      <c r="G100" s="309"/>
      <c r="H100" s="309"/>
      <c r="I100" s="98"/>
      <c r="J100" s="98"/>
      <c r="K100" s="164"/>
      <c r="L100" s="164"/>
      <c r="M100" s="164"/>
      <c r="N100" s="164"/>
      <c r="O100" s="164"/>
      <c r="P100" s="164"/>
      <c r="Q100" s="164"/>
      <c r="R100" s="165"/>
      <c r="S100" s="155"/>
      <c r="T100" s="155"/>
      <c r="U100" s="166"/>
      <c r="V100" s="124"/>
      <c r="W100" s="140"/>
      <c r="X100" s="149"/>
      <c r="Y100" s="551" t="str">
        <f>B33</f>
        <v>England</v>
      </c>
      <c r="Z100" s="349" t="e">
        <f t="shared" si="22"/>
        <v>#N/A</v>
      </c>
      <c r="AA100" s="349" t="e">
        <f t="shared" si="23"/>
        <v>#N/A</v>
      </c>
      <c r="AB100" s="191"/>
      <c r="AC100" s="192"/>
      <c r="AD100" s="192"/>
      <c r="AE100" s="194"/>
      <c r="AF100" s="199"/>
      <c r="AG100" s="199"/>
      <c r="AH100" s="199"/>
      <c r="AI100" s="185"/>
      <c r="AJ100" s="199"/>
      <c r="AK100" s="156"/>
    </row>
    <row r="101" spans="1:46" s="83" customFormat="1" ht="42" customHeight="1" x14ac:dyDescent="0.2">
      <c r="A101" s="213"/>
      <c r="B101" s="309"/>
      <c r="C101" s="309"/>
      <c r="D101" s="309"/>
      <c r="E101" s="309"/>
      <c r="F101" s="309"/>
      <c r="G101" s="309"/>
      <c r="H101" s="309"/>
      <c r="I101" s="314"/>
      <c r="J101" s="168"/>
      <c r="K101" s="168"/>
      <c r="L101" s="168"/>
      <c r="M101" s="168"/>
      <c r="N101" s="168"/>
      <c r="O101" s="168"/>
      <c r="P101" s="168"/>
      <c r="Q101" s="168"/>
      <c r="R101" s="137"/>
      <c r="S101" s="168"/>
      <c r="T101" s="168"/>
      <c r="U101" s="168"/>
      <c r="V101" s="119"/>
      <c r="W101" s="138"/>
      <c r="X101" s="147"/>
      <c r="AD101" s="192"/>
      <c r="AE101" s="194"/>
      <c r="AF101" s="179"/>
      <c r="AG101" s="179"/>
      <c r="AH101" s="179"/>
      <c r="AJ101" s="179"/>
      <c r="AK101" s="157"/>
    </row>
    <row r="102" spans="1:46" s="83" customFormat="1" ht="42" customHeight="1" x14ac:dyDescent="0.2">
      <c r="A102" s="213"/>
      <c r="B102" s="309"/>
      <c r="C102" s="309"/>
      <c r="D102" s="309"/>
      <c r="E102" s="309"/>
      <c r="F102" s="309"/>
      <c r="G102" s="309"/>
      <c r="H102" s="309"/>
      <c r="I102" s="314"/>
      <c r="J102" s="168"/>
      <c r="K102" s="168"/>
      <c r="L102" s="168"/>
      <c r="M102" s="168"/>
      <c r="N102" s="168"/>
      <c r="O102" s="168"/>
      <c r="P102" s="168"/>
      <c r="Q102" s="168"/>
      <c r="R102" s="137"/>
      <c r="S102" s="168"/>
      <c r="T102" s="168"/>
      <c r="U102" s="168"/>
      <c r="V102" s="119"/>
      <c r="W102" s="138"/>
      <c r="X102" s="147"/>
      <c r="Z102" s="185"/>
      <c r="AE102" s="194"/>
      <c r="AF102" s="179"/>
      <c r="AG102" s="179"/>
      <c r="AH102" s="179"/>
      <c r="AJ102" s="179"/>
      <c r="AK102" s="157"/>
    </row>
    <row r="103" spans="1:46" s="83" customFormat="1" ht="33" customHeight="1" x14ac:dyDescent="0.2">
      <c r="A103" s="213"/>
      <c r="B103" s="314"/>
      <c r="C103" s="314"/>
      <c r="D103" s="314"/>
      <c r="E103" s="314"/>
      <c r="F103" s="314"/>
      <c r="G103" s="314"/>
      <c r="H103" s="314"/>
      <c r="I103" s="314"/>
      <c r="J103" s="168"/>
      <c r="K103" s="168"/>
      <c r="L103" s="168"/>
      <c r="M103" s="168"/>
      <c r="N103" s="168"/>
      <c r="O103" s="168"/>
      <c r="P103" s="168"/>
      <c r="Q103" s="168"/>
      <c r="R103" s="137"/>
      <c r="S103" s="168"/>
      <c r="T103" s="168"/>
      <c r="U103" s="168"/>
      <c r="V103" s="119"/>
      <c r="W103" s="138"/>
      <c r="X103" s="147"/>
      <c r="Z103" s="185"/>
      <c r="AE103" s="194"/>
      <c r="AF103" s="179"/>
      <c r="AG103" s="179"/>
      <c r="AH103" s="179"/>
      <c r="AJ103" s="179"/>
      <c r="AK103" s="157"/>
    </row>
    <row r="104" spans="1:46" s="83" customFormat="1" ht="7.5" customHeight="1" x14ac:dyDescent="0.2">
      <c r="A104" s="120"/>
      <c r="B104" s="18"/>
      <c r="C104" s="18"/>
      <c r="D104" s="17"/>
      <c r="E104" s="17"/>
      <c r="F104" s="17"/>
      <c r="G104" s="17"/>
      <c r="H104" s="17"/>
      <c r="I104" s="17"/>
      <c r="J104" s="13"/>
      <c r="K104" s="19"/>
      <c r="L104" s="19"/>
      <c r="M104" s="19"/>
      <c r="N104" s="19"/>
      <c r="O104" s="19"/>
      <c r="P104" s="19"/>
      <c r="Q104" s="19"/>
      <c r="R104" s="19"/>
      <c r="S104" s="19"/>
      <c r="T104" s="19"/>
      <c r="U104" s="20"/>
      <c r="V104" s="119"/>
      <c r="W104" s="138"/>
      <c r="X104" s="147"/>
      <c r="Z104" s="185"/>
      <c r="AJ104" s="179"/>
      <c r="AK104" s="153"/>
      <c r="AL104" s="76"/>
      <c r="AM104" s="76"/>
      <c r="AN104" s="76"/>
      <c r="AO104" s="76"/>
      <c r="AP104" s="76"/>
      <c r="AQ104" s="76"/>
      <c r="AR104" s="76"/>
    </row>
    <row r="105" spans="1:46" s="83" customFormat="1" ht="15" customHeight="1" x14ac:dyDescent="0.2">
      <c r="A105" s="1399"/>
      <c r="B105" s="1421"/>
      <c r="C105" s="1421"/>
      <c r="D105" s="1421"/>
      <c r="E105" s="1421"/>
      <c r="F105" s="1421"/>
      <c r="G105" s="1421"/>
      <c r="H105" s="1421"/>
      <c r="I105" s="1421"/>
      <c r="J105" s="1421"/>
      <c r="K105" s="1421"/>
      <c r="L105" s="1421"/>
      <c r="M105" s="1421"/>
      <c r="N105" s="1421"/>
      <c r="O105" s="1421"/>
      <c r="P105" s="1421"/>
      <c r="Q105" s="1421"/>
      <c r="R105" s="1421"/>
      <c r="S105" s="1421"/>
      <c r="T105" s="1421"/>
      <c r="U105" s="1421"/>
      <c r="V105" s="1422"/>
      <c r="W105" s="138"/>
      <c r="X105" s="147"/>
      <c r="Y105" s="183"/>
      <c r="Z105" s="183"/>
      <c r="AK105" s="157"/>
      <c r="AT105" s="76"/>
    </row>
    <row r="106" spans="1:46" s="83" customFormat="1" ht="11.25" customHeight="1" x14ac:dyDescent="0.2">
      <c r="A106" s="1428" t="str">
        <f>Home!$A$40</f>
        <v>LA's provide quarterly data on the condition that it is used by the benchmarking group for internal reporting only. Please DO NOT share other LA's data with any external partners or the public</v>
      </c>
      <c r="B106" s="1429"/>
      <c r="C106" s="1429"/>
      <c r="D106" s="1429"/>
      <c r="E106" s="1429"/>
      <c r="F106" s="1429"/>
      <c r="G106" s="1429"/>
      <c r="H106" s="1429"/>
      <c r="I106" s="1430"/>
      <c r="J106" s="1429"/>
      <c r="K106" s="1429"/>
      <c r="L106" s="1429"/>
      <c r="M106" s="1429"/>
      <c r="N106" s="1429"/>
      <c r="O106" s="1429"/>
      <c r="P106" s="1431"/>
      <c r="Q106" s="1429"/>
      <c r="R106" s="1429"/>
      <c r="S106" s="1429"/>
      <c r="T106" s="1430"/>
      <c r="U106" s="1429"/>
      <c r="V106" s="1432"/>
      <c r="W106" s="138"/>
      <c r="X106" s="147"/>
      <c r="Y106" s="183"/>
      <c r="Z106" s="183"/>
      <c r="AJ106" s="179"/>
      <c r="AK106" s="156"/>
      <c r="AL106" s="89"/>
      <c r="AT106" s="76"/>
    </row>
    <row r="107" spans="1:46" ht="11.25" customHeight="1" x14ac:dyDescent="0.2">
      <c r="A107" s="114"/>
      <c r="B107" s="115"/>
      <c r="C107" s="115"/>
      <c r="D107" s="115"/>
      <c r="E107" s="115"/>
      <c r="F107" s="115"/>
      <c r="G107" s="115"/>
      <c r="H107" s="115"/>
      <c r="I107" s="115"/>
      <c r="J107" s="116"/>
      <c r="K107" s="115"/>
      <c r="L107" s="115"/>
      <c r="M107" s="115"/>
      <c r="N107" s="115"/>
      <c r="O107" s="115"/>
      <c r="P107" s="115"/>
      <c r="Q107" s="115"/>
      <c r="R107" s="115"/>
      <c r="S107" s="115"/>
      <c r="T107" s="115"/>
      <c r="U107" s="115"/>
      <c r="V107" s="117"/>
      <c r="W107" s="138"/>
      <c r="X107" s="147"/>
      <c r="Y107" s="183"/>
      <c r="Z107" s="183"/>
      <c r="AJ107" s="179"/>
      <c r="AK107" s="153"/>
    </row>
    <row r="108" spans="1:46" s="78" customFormat="1" ht="15" customHeight="1" x14ac:dyDescent="0.2">
      <c r="A108" s="121"/>
      <c r="B108" s="59" t="s">
        <v>108</v>
      </c>
      <c r="C108" s="309"/>
      <c r="D108" s="309"/>
      <c r="E108" s="309"/>
      <c r="F108" s="309"/>
      <c r="G108" s="309"/>
      <c r="H108" s="309"/>
      <c r="I108" s="309"/>
      <c r="J108" s="69"/>
      <c r="K108" s="69"/>
      <c r="L108" s="69"/>
      <c r="M108" s="69"/>
      <c r="N108" s="306"/>
      <c r="O108" s="69"/>
      <c r="P108" s="69"/>
      <c r="Q108" s="69"/>
      <c r="R108" s="69"/>
      <c r="S108" s="69"/>
      <c r="T108" s="69"/>
      <c r="U108" s="69"/>
      <c r="V108" s="122"/>
      <c r="W108" s="139"/>
      <c r="X108" s="148"/>
      <c r="Y108" s="183"/>
      <c r="Z108" s="183"/>
      <c r="AA108" s="83"/>
      <c r="AB108" s="83"/>
      <c r="AC108" s="83"/>
      <c r="AD108" s="83"/>
      <c r="AE108" s="83"/>
      <c r="AF108" s="183"/>
      <c r="AG108" s="183"/>
      <c r="AH108" s="183"/>
      <c r="AI108" s="183"/>
      <c r="AJ108" s="183"/>
      <c r="AK108" s="154"/>
    </row>
    <row r="109" spans="1:46" ht="15" customHeight="1" x14ac:dyDescent="0.2">
      <c r="A109" s="120"/>
      <c r="B109" s="309"/>
      <c r="C109" s="309"/>
      <c r="D109" s="309"/>
      <c r="E109" s="309"/>
      <c r="F109" s="309"/>
      <c r="G109" s="309"/>
      <c r="H109" s="309"/>
      <c r="I109" s="309"/>
      <c r="J109" s="69"/>
      <c r="K109" s="69"/>
      <c r="L109" s="69"/>
      <c r="M109" s="69"/>
      <c r="N109" s="306"/>
      <c r="O109" s="69"/>
      <c r="P109" s="69"/>
      <c r="Q109" s="69"/>
      <c r="R109" s="10"/>
      <c r="S109" s="69"/>
      <c r="T109" s="69"/>
      <c r="U109" s="69"/>
      <c r="V109" s="119"/>
      <c r="W109" s="138"/>
      <c r="X109" s="147"/>
      <c r="Y109" s="183"/>
      <c r="Z109" s="183"/>
      <c r="AJ109" s="179"/>
      <c r="AK109" s="153"/>
    </row>
    <row r="110" spans="1:46" s="89" customFormat="1" ht="13.5" customHeight="1" x14ac:dyDescent="0.2">
      <c r="A110" s="123"/>
      <c r="B110" s="1419" t="s">
        <v>190</v>
      </c>
      <c r="C110" s="87"/>
      <c r="D110" s="755" t="str">
        <f>Sheet1!$D$25</f>
        <v>2014-15</v>
      </c>
      <c r="E110" s="756" t="str">
        <f>Sheet1!$E$25</f>
        <v>2015-16</v>
      </c>
      <c r="F110" s="756" t="str">
        <f>Sheet1!$F$25</f>
        <v>2016-17</v>
      </c>
      <c r="G110" s="756" t="str">
        <f>Sheet1!$G$25</f>
        <v>2017-18</v>
      </c>
      <c r="H110" s="757" t="str">
        <f>Sheet1!$H$25</f>
        <v>2018-19</v>
      </c>
      <c r="I110" s="98"/>
      <c r="J110" s="98"/>
      <c r="K110" s="61"/>
      <c r="L110" s="61"/>
      <c r="M110" s="61"/>
      <c r="N110" s="61"/>
      <c r="O110" s="61"/>
      <c r="P110" s="61"/>
      <c r="Q110" s="313"/>
      <c r="R110" s="313"/>
      <c r="S110" s="155"/>
      <c r="T110" s="155"/>
      <c r="U110" s="312"/>
      <c r="V110" s="124"/>
      <c r="W110" s="140"/>
      <c r="X110" s="149"/>
      <c r="Y110" s="183"/>
      <c r="Z110" s="183"/>
      <c r="AA110" s="83"/>
      <c r="AB110" s="83"/>
      <c r="AC110" s="83"/>
      <c r="AD110" s="83"/>
      <c r="AE110" s="83"/>
      <c r="AF110" s="185"/>
      <c r="AG110" s="185"/>
      <c r="AH110" s="185"/>
      <c r="AI110" s="185"/>
      <c r="AJ110" s="199"/>
      <c r="AK110" s="156"/>
    </row>
    <row r="111" spans="1:46" s="89" customFormat="1" ht="13.5" customHeight="1" x14ac:dyDescent="0.2">
      <c r="A111" s="286"/>
      <c r="B111" s="1420"/>
      <c r="C111" s="87"/>
      <c r="D111" s="758" t="e">
        <f>Sheet1!$D$26</f>
        <v>#N/A</v>
      </c>
      <c r="E111" s="758" t="e">
        <f>Sheet1!$E$26</f>
        <v>#N/A</v>
      </c>
      <c r="F111" s="758" t="e">
        <f>Sheet1!$F$26</f>
        <v>#N/A</v>
      </c>
      <c r="G111" s="758" t="e">
        <f>Sheet1!$G$26</f>
        <v>#N/A</v>
      </c>
      <c r="H111" s="759" t="e">
        <f>Sheet1!$H$26</f>
        <v>#N/A</v>
      </c>
      <c r="I111" s="98"/>
      <c r="J111" s="98"/>
      <c r="K111" s="61"/>
      <c r="L111" s="61"/>
      <c r="M111" s="61"/>
      <c r="N111" s="61"/>
      <c r="O111" s="61"/>
      <c r="P111" s="61"/>
      <c r="Q111" s="861"/>
      <c r="R111" s="861"/>
      <c r="S111" s="155"/>
      <c r="T111" s="155"/>
      <c r="U111" s="862"/>
      <c r="V111" s="124"/>
      <c r="W111" s="140"/>
      <c r="X111" s="149"/>
      <c r="Y111" s="183"/>
      <c r="Z111" s="183"/>
      <c r="AA111" s="83"/>
      <c r="AB111" s="83"/>
      <c r="AC111" s="83"/>
      <c r="AD111" s="83"/>
      <c r="AE111" s="83"/>
      <c r="AF111" s="185"/>
      <c r="AG111" s="185"/>
      <c r="AH111" s="185"/>
      <c r="AI111" s="185"/>
      <c r="AJ111" s="199"/>
      <c r="AK111" s="156"/>
    </row>
    <row r="112" spans="1:46" s="89" customFormat="1" ht="12.75" customHeight="1" x14ac:dyDescent="0.2">
      <c r="A112" s="462">
        <f>VLOOKUP(B112,Sheet1!$AQ$4:$AR$25,2,FALSE)</f>
        <v>0</v>
      </c>
      <c r="B112" s="95" t="str">
        <f t="shared" ref="B112:B135" si="24">B10</f>
        <v>Bracknell Forest</v>
      </c>
      <c r="C112" s="87"/>
      <c r="D112" s="158">
        <f>IF(AND(ISNUMBER(D10),ISNUMBER(Referrals!D10)),'Re-referrals'!D10/Referrals!D10,NA())</f>
        <v>0.20471698113207551</v>
      </c>
      <c r="E112" s="158">
        <f>IF(AND(ISNUMBER(E10),ISNUMBER(Referrals!E10)),'Re-referrals'!E10/Referrals!E10,NA())</f>
        <v>0.172281776416539</v>
      </c>
      <c r="F112" s="158">
        <f>IF(AND(ISNUMBER(F10),ISNUMBER(Referrals!F10)),'Re-referrals'!F10/Referrals!F10,NA())</f>
        <v>0.23540145985401459</v>
      </c>
      <c r="G112" s="158">
        <f>IF(AND(ISNUMBER(G10),ISNUMBER(Referrals!G10)),'Re-referrals'!G10/Referrals!G10,NA())</f>
        <v>0.23529411764705882</v>
      </c>
      <c r="H112" s="160">
        <f>IF(AND(ISNUMBER(H10),ISNUMBER(Referrals!H10)),'Re-referrals'!H10/Referrals!H10,NA())</f>
        <v>0.27500000000000002</v>
      </c>
      <c r="I112" s="98"/>
      <c r="J112" s="98"/>
      <c r="K112" s="162"/>
      <c r="L112" s="162"/>
      <c r="M112" s="162"/>
      <c r="N112" s="162"/>
      <c r="O112" s="162"/>
      <c r="P112" s="162"/>
      <c r="Q112" s="162"/>
      <c r="R112" s="163"/>
      <c r="S112" s="155"/>
      <c r="T112" s="155"/>
      <c r="U112" s="162"/>
      <c r="V112" s="124"/>
      <c r="W112" s="140"/>
      <c r="X112" s="149"/>
      <c r="Y112" s="183"/>
      <c r="Z112" s="183"/>
      <c r="AA112" s="83"/>
      <c r="AB112" s="83"/>
      <c r="AC112" s="83"/>
      <c r="AD112" s="83"/>
      <c r="AE112" s="83"/>
      <c r="AF112" s="185"/>
      <c r="AG112" s="185"/>
      <c r="AH112" s="185"/>
      <c r="AI112" s="185"/>
      <c r="AJ112" s="199"/>
      <c r="AK112" s="156"/>
    </row>
    <row r="113" spans="1:45" s="89" customFormat="1" ht="12.75" customHeight="1" x14ac:dyDescent="0.2">
      <c r="A113" s="462">
        <f>VLOOKUP(B113,Sheet1!$AQ$4:$AR$25,2,FALSE)</f>
        <v>0</v>
      </c>
      <c r="B113" s="95" t="str">
        <f t="shared" si="24"/>
        <v>Brighton &amp; Hove</v>
      </c>
      <c r="C113" s="87"/>
      <c r="D113" s="158">
        <f>IF(AND(ISNUMBER(D11),ISNUMBER(Referrals!D11)),'Re-referrals'!D11/Referrals!D11,NA())</f>
        <v>0.36252908170247694</v>
      </c>
      <c r="E113" s="158">
        <f>IF(AND(ISNUMBER(E11),ISNUMBER(Referrals!E11)),'Re-referrals'!E11/Referrals!E11,NA())</f>
        <v>0.32136602451838897</v>
      </c>
      <c r="F113" s="158">
        <f>IF(AND(ISNUMBER(F11),ISNUMBER(Referrals!F11)),'Re-referrals'!F11/Referrals!F11,NA())</f>
        <v>0.24698972099853156</v>
      </c>
      <c r="G113" s="158">
        <f>IF(AND(ISNUMBER(G11),ISNUMBER(Referrals!G11)),'Re-referrals'!G11/Referrals!G11,NA())</f>
        <v>0.28319377990430622</v>
      </c>
      <c r="H113" s="160">
        <f>IF(AND(ISNUMBER(H11),ISNUMBER(Referrals!H11)),'Re-referrals'!H11/Referrals!H11,NA())</f>
        <v>0.24544612534732943</v>
      </c>
      <c r="I113" s="98"/>
      <c r="J113" s="98"/>
      <c r="K113" s="162"/>
      <c r="L113" s="162"/>
      <c r="M113" s="162"/>
      <c r="N113" s="162"/>
      <c r="O113" s="162"/>
      <c r="P113" s="162"/>
      <c r="Q113" s="162"/>
      <c r="R113" s="163"/>
      <c r="S113" s="155"/>
      <c r="T113" s="155"/>
      <c r="U113" s="162"/>
      <c r="V113" s="124"/>
      <c r="W113" s="140"/>
      <c r="X113" s="149"/>
      <c r="Y113" s="183"/>
      <c r="Z113" s="183"/>
      <c r="AA113" s="83"/>
      <c r="AB113" s="83"/>
      <c r="AC113" s="83"/>
      <c r="AD113" s="83"/>
      <c r="AE113" s="83"/>
      <c r="AF113" s="185"/>
      <c r="AG113" s="185"/>
      <c r="AH113" s="185"/>
      <c r="AI113" s="185"/>
      <c r="AJ113" s="199"/>
      <c r="AK113" s="156"/>
    </row>
    <row r="114" spans="1:45" s="89" customFormat="1" ht="12.75" customHeight="1" x14ac:dyDescent="0.2">
      <c r="A114" s="462">
        <f>VLOOKUP(B114,Sheet1!$AQ$4:$AR$25,2,FALSE)</f>
        <v>0</v>
      </c>
      <c r="B114" s="95" t="str">
        <f t="shared" si="24"/>
        <v>Buckinghamshire</v>
      </c>
      <c r="C114" s="87"/>
      <c r="D114" s="158">
        <f>IF(AND(ISNUMBER(D12),ISNUMBER(Referrals!D12)),'Re-referrals'!D12/Referrals!D12,NA())</f>
        <v>0.27256775199844008</v>
      </c>
      <c r="E114" s="158">
        <f>IF(AND(ISNUMBER(E12),ISNUMBER(Referrals!E12)),'Re-referrals'!E12/Referrals!E12,NA())</f>
        <v>0.26458752515090506</v>
      </c>
      <c r="F114" s="158">
        <f>IF(AND(ISNUMBER(F12),ISNUMBER(Referrals!F12)),'Re-referrals'!F12/Referrals!F12,NA())</f>
        <v>0.32909604519774011</v>
      </c>
      <c r="G114" s="158">
        <f>IF(AND(ISNUMBER(G12),ISNUMBER(Referrals!G12)),'Re-referrals'!G12/Referrals!G12,NA())</f>
        <v>0.31121215052723228</v>
      </c>
      <c r="H114" s="160">
        <f>IF(AND(ISNUMBER(H12),ISNUMBER(Referrals!H12)),'Re-referrals'!H12/Referrals!H12,NA())</f>
        <v>0.31727748691099478</v>
      </c>
      <c r="I114" s="98"/>
      <c r="J114" s="98"/>
      <c r="K114" s="162"/>
      <c r="L114" s="162"/>
      <c r="M114" s="162"/>
      <c r="N114" s="162"/>
      <c r="O114" s="162"/>
      <c r="P114" s="162"/>
      <c r="Q114" s="162"/>
      <c r="R114" s="163"/>
      <c r="S114" s="155"/>
      <c r="T114" s="155"/>
      <c r="U114" s="162"/>
      <c r="V114" s="124"/>
      <c r="W114" s="140"/>
      <c r="X114" s="149"/>
      <c r="Y114" s="183"/>
      <c r="Z114" s="183"/>
      <c r="AA114" s="83"/>
      <c r="AB114" s="83"/>
      <c r="AC114" s="83"/>
      <c r="AD114" s="83"/>
      <c r="AE114" s="83"/>
      <c r="AF114" s="185"/>
      <c r="AG114" s="185"/>
      <c r="AH114" s="185"/>
      <c r="AI114" s="185"/>
      <c r="AJ114" s="199"/>
      <c r="AK114" s="156"/>
    </row>
    <row r="115" spans="1:45" s="89" customFormat="1" ht="12.75" customHeight="1" x14ac:dyDescent="0.2">
      <c r="A115" s="462">
        <f>VLOOKUP(B115,Sheet1!$AQ$4:$AR$25,2,FALSE)</f>
        <v>0</v>
      </c>
      <c r="B115" s="95" t="str">
        <f t="shared" si="24"/>
        <v>East Sussex</v>
      </c>
      <c r="C115" s="87"/>
      <c r="D115" s="158">
        <f>IF(AND(ISNUMBER(D13),ISNUMBER(Referrals!D13)),'Re-referrals'!D13/Referrals!D13,NA())</f>
        <v>0.23558897243107765</v>
      </c>
      <c r="E115" s="158">
        <f>IF(AND(ISNUMBER(E13),ISNUMBER(Referrals!E13)),'Re-referrals'!E13/Referrals!E13,NA())</f>
        <v>0.14540337711069423</v>
      </c>
      <c r="F115" s="158">
        <f>IF(AND(ISNUMBER(F13),ISNUMBER(Referrals!F13)),'Re-referrals'!F13/Referrals!F13,NA())</f>
        <v>0.14880304678998912</v>
      </c>
      <c r="G115" s="158">
        <f>IF(AND(ISNUMBER(G13),ISNUMBER(Referrals!G13)),'Re-referrals'!G13/Referrals!G13,NA())</f>
        <v>0.17678039844286697</v>
      </c>
      <c r="H115" s="160">
        <f>IF(AND(ISNUMBER(H13),ISNUMBER(Referrals!H13)),'Re-referrals'!H13/Referrals!H13,NA())</f>
        <v>0.18887601390498263</v>
      </c>
      <c r="I115" s="98"/>
      <c r="J115" s="98"/>
      <c r="K115" s="162"/>
      <c r="L115" s="162"/>
      <c r="M115" s="162"/>
      <c r="N115" s="162"/>
      <c r="O115" s="162"/>
      <c r="P115" s="162"/>
      <c r="Q115" s="162"/>
      <c r="R115" s="163"/>
      <c r="S115" s="155"/>
      <c r="T115" s="155"/>
      <c r="U115" s="162"/>
      <c r="V115" s="124"/>
      <c r="W115" s="140"/>
      <c r="X115" s="149"/>
      <c r="Y115" s="183"/>
      <c r="Z115" s="183"/>
      <c r="AA115" s="83"/>
      <c r="AB115" s="83"/>
      <c r="AC115" s="83"/>
      <c r="AD115" s="83"/>
      <c r="AE115" s="83"/>
      <c r="AF115" s="185"/>
      <c r="AG115" s="185"/>
      <c r="AH115" s="185"/>
      <c r="AI115" s="185"/>
      <c r="AJ115" s="199"/>
      <c r="AK115" s="156"/>
    </row>
    <row r="116" spans="1:45" s="89" customFormat="1" ht="12.75" customHeight="1" x14ac:dyDescent="0.2">
      <c r="A116" s="462">
        <f>VLOOKUP(B116,Sheet1!$AQ$4:$AR$25,2,FALSE)</f>
        <v>0</v>
      </c>
      <c r="B116" s="95" t="str">
        <f t="shared" si="24"/>
        <v>Hampshire</v>
      </c>
      <c r="C116" s="87"/>
      <c r="D116" s="158">
        <f>IF(AND(ISNUMBER(D14),ISNUMBER(Referrals!D14)),'Re-referrals'!D14/Referrals!D14,NA())</f>
        <v>0.31792942862260426</v>
      </c>
      <c r="E116" s="158">
        <f>IF(AND(ISNUMBER(E14),ISNUMBER(Referrals!E14)),'Re-referrals'!E14/Referrals!E14,NA())</f>
        <v>0.28171126845073802</v>
      </c>
      <c r="F116" s="158">
        <f>IF(AND(ISNUMBER(F14),ISNUMBER(Referrals!F14)),'Re-referrals'!F14/Referrals!F14,NA())</f>
        <v>0.30697195780807823</v>
      </c>
      <c r="G116" s="158">
        <f>IF(AND(ISNUMBER(G14),ISNUMBER(Referrals!G14)),'Re-referrals'!G14/Referrals!G14,NA())</f>
        <v>0.29612162581445856</v>
      </c>
      <c r="H116" s="160">
        <f>IF(AND(ISNUMBER(H14),ISNUMBER(Referrals!H14)),'Re-referrals'!H14/Referrals!H14,NA())</f>
        <v>0.29112342459800089</v>
      </c>
      <c r="I116" s="98"/>
      <c r="J116" s="98"/>
      <c r="K116" s="162"/>
      <c r="L116" s="162"/>
      <c r="M116" s="162"/>
      <c r="N116" s="162"/>
      <c r="O116" s="162"/>
      <c r="P116" s="162"/>
      <c r="Q116" s="162"/>
      <c r="R116" s="163"/>
      <c r="S116" s="155"/>
      <c r="T116" s="155"/>
      <c r="U116" s="162"/>
      <c r="V116" s="124"/>
      <c r="W116" s="140"/>
      <c r="X116" s="149"/>
      <c r="Y116" s="183"/>
      <c r="Z116" s="183"/>
      <c r="AA116" s="83"/>
      <c r="AB116" s="83"/>
      <c r="AC116" s="83"/>
      <c r="AD116" s="83"/>
      <c r="AE116" s="83"/>
      <c r="AF116" s="185"/>
      <c r="AG116" s="185"/>
      <c r="AH116" s="185"/>
      <c r="AI116" s="185"/>
      <c r="AJ116" s="199"/>
      <c r="AK116" s="156"/>
    </row>
    <row r="117" spans="1:45" s="89" customFormat="1" ht="12.75" customHeight="1" x14ac:dyDescent="0.2">
      <c r="A117" s="462">
        <f>VLOOKUP(B117,Sheet1!$AQ$4:$AR$25,2,FALSE)</f>
        <v>0</v>
      </c>
      <c r="B117" s="95" t="str">
        <f t="shared" si="24"/>
        <v>Isle of Wight</v>
      </c>
      <c r="C117" s="87"/>
      <c r="D117" s="158">
        <f>IF(AND(ISNUMBER(D15),ISNUMBER(Referrals!D15)),'Re-referrals'!D15/Referrals!D15,NA())</f>
        <v>0.34568421052631571</v>
      </c>
      <c r="E117" s="158">
        <f>IF(AND(ISNUMBER(E15),ISNUMBER(Referrals!E15)),'Re-referrals'!E15/Referrals!E15,NA())</f>
        <v>0.3290079531184596</v>
      </c>
      <c r="F117" s="158">
        <f>IF(AND(ISNUMBER(F15),ISNUMBER(Referrals!F15)),'Re-referrals'!F15/Referrals!F15,NA())</f>
        <v>0.30309988518943742</v>
      </c>
      <c r="G117" s="158">
        <f>IF(AND(ISNUMBER(G15),ISNUMBER(Referrals!G15)),'Re-referrals'!G15/Referrals!G15,NA())</f>
        <v>0.30696202531645572</v>
      </c>
      <c r="H117" s="160">
        <f>IF(AND(ISNUMBER(H15),ISNUMBER(Referrals!H15)),'Re-referrals'!H15/Referrals!H15,NA())</f>
        <v>0.34117161716171618</v>
      </c>
      <c r="I117" s="98"/>
      <c r="J117" s="98"/>
      <c r="K117" s="162"/>
      <c r="L117" s="162"/>
      <c r="M117" s="162"/>
      <c r="N117" s="162"/>
      <c r="O117" s="162"/>
      <c r="P117" s="162"/>
      <c r="Q117" s="162"/>
      <c r="R117" s="163"/>
      <c r="S117" s="155"/>
      <c r="T117" s="155"/>
      <c r="U117" s="162"/>
      <c r="V117" s="124"/>
      <c r="W117" s="140"/>
      <c r="X117" s="149"/>
      <c r="Y117" s="183"/>
      <c r="Z117" s="183"/>
      <c r="AA117" s="83"/>
      <c r="AB117" s="83"/>
      <c r="AC117" s="83"/>
      <c r="AD117" s="83"/>
      <c r="AE117" s="83"/>
      <c r="AF117" s="185"/>
      <c r="AG117" s="185"/>
      <c r="AH117" s="185"/>
      <c r="AI117" s="185"/>
      <c r="AJ117" s="199"/>
      <c r="AK117" s="156"/>
      <c r="AS117" s="89" t="s">
        <v>103</v>
      </c>
    </row>
    <row r="118" spans="1:45" s="89" customFormat="1" ht="12.75" customHeight="1" x14ac:dyDescent="0.2">
      <c r="A118" s="462">
        <f>VLOOKUP(B118,Sheet1!$AQ$4:$AR$25,2,FALSE)</f>
        <v>0</v>
      </c>
      <c r="B118" s="95" t="str">
        <f t="shared" si="24"/>
        <v>Kent</v>
      </c>
      <c r="C118" s="87"/>
      <c r="D118" s="158">
        <f>IF(AND(ISNUMBER(D16),ISNUMBER(Referrals!D16)),'Re-referrals'!D16/Referrals!D16,NA())</f>
        <v>0.28332022505898724</v>
      </c>
      <c r="E118" s="158">
        <f>IF(AND(ISNUMBER(E16),ISNUMBER(Referrals!E16)),'Re-referrals'!E16/Referrals!E16,NA())</f>
        <v>0.20838221874592638</v>
      </c>
      <c r="F118" s="158">
        <f>IF(AND(ISNUMBER(F16),ISNUMBER(Referrals!F16)),'Re-referrals'!F16/Referrals!F16,NA())</f>
        <v>0.23005378044922492</v>
      </c>
      <c r="G118" s="158">
        <f>IF(AND(ISNUMBER(G16),ISNUMBER(Referrals!G16)),'Re-referrals'!G16/Referrals!G16,NA())</f>
        <v>0.23083673153357767</v>
      </c>
      <c r="H118" s="160">
        <f>IF(AND(ISNUMBER(H16),ISNUMBER(Referrals!H16)),'Re-referrals'!H16/Referrals!H16,NA())</f>
        <v>0.26100749329978667</v>
      </c>
      <c r="I118" s="98"/>
      <c r="J118" s="98"/>
      <c r="K118" s="162"/>
      <c r="L118" s="162"/>
      <c r="M118" s="162"/>
      <c r="N118" s="162"/>
      <c r="O118" s="162"/>
      <c r="P118" s="162"/>
      <c r="Q118" s="162"/>
      <c r="R118" s="163"/>
      <c r="S118" s="155"/>
      <c r="T118" s="155"/>
      <c r="U118" s="162"/>
      <c r="V118" s="124"/>
      <c r="W118" s="140"/>
      <c r="X118" s="149"/>
      <c r="Y118" s="183"/>
      <c r="Z118" s="183"/>
      <c r="AA118" s="83"/>
      <c r="AB118" s="83"/>
      <c r="AC118" s="83"/>
      <c r="AD118" s="83"/>
      <c r="AE118" s="83"/>
      <c r="AF118" s="185"/>
      <c r="AG118" s="185"/>
      <c r="AH118" s="185"/>
      <c r="AI118" s="185"/>
      <c r="AJ118" s="199"/>
      <c r="AK118" s="156"/>
    </row>
    <row r="119" spans="1:45" s="89" customFormat="1" ht="12.75" customHeight="1" x14ac:dyDescent="0.2">
      <c r="A119" s="462">
        <f>VLOOKUP(B119,Sheet1!$AQ$4:$AR$25,2,FALSE)</f>
        <v>0</v>
      </c>
      <c r="B119" s="95" t="str">
        <f t="shared" si="24"/>
        <v>Medway</v>
      </c>
      <c r="C119" s="87"/>
      <c r="D119" s="158">
        <f>IF(AND(ISNUMBER(D17),ISNUMBER(Referrals!D17)),'Re-referrals'!D17/Referrals!D17,NA())</f>
        <v>0.19967532467532456</v>
      </c>
      <c r="E119" s="158">
        <f>IF(AND(ISNUMBER(E17),ISNUMBER(Referrals!E17)),'Re-referrals'!E17/Referrals!E17,NA())</f>
        <v>0.16508313539192399</v>
      </c>
      <c r="F119" s="158">
        <f>IF(AND(ISNUMBER(F17),ISNUMBER(Referrals!F17)),'Re-referrals'!F17/Referrals!F17,NA())</f>
        <v>0.17606149341142022</v>
      </c>
      <c r="G119" s="158">
        <f>IF(AND(ISNUMBER(G17),ISNUMBER(Referrals!G17)),'Re-referrals'!G17/Referrals!G17,NA())</f>
        <v>0.16998468606431852</v>
      </c>
      <c r="H119" s="160">
        <f>IF(AND(ISNUMBER(H17),ISNUMBER(Referrals!H17)),'Re-referrals'!H17/Referrals!H17,NA())</f>
        <v>0.14310559006211179</v>
      </c>
      <c r="I119" s="98"/>
      <c r="J119" s="98"/>
      <c r="K119" s="162"/>
      <c r="L119" s="162"/>
      <c r="M119" s="162"/>
      <c r="N119" s="162"/>
      <c r="O119" s="162"/>
      <c r="P119" s="162"/>
      <c r="Q119" s="162"/>
      <c r="R119" s="163"/>
      <c r="S119" s="155"/>
      <c r="T119" s="155"/>
      <c r="U119" s="162"/>
      <c r="V119" s="124"/>
      <c r="W119" s="140"/>
      <c r="X119" s="149"/>
      <c r="Y119" s="183"/>
      <c r="Z119" s="183"/>
      <c r="AA119" s="83"/>
      <c r="AB119" s="83"/>
      <c r="AC119" s="83"/>
      <c r="AD119" s="83"/>
      <c r="AE119" s="83"/>
      <c r="AF119" s="185"/>
      <c r="AG119" s="185"/>
      <c r="AH119" s="185"/>
      <c r="AI119" s="185"/>
      <c r="AJ119" s="199"/>
      <c r="AK119" s="156"/>
    </row>
    <row r="120" spans="1:45" s="89" customFormat="1" ht="12.75" customHeight="1" x14ac:dyDescent="0.2">
      <c r="A120" s="462">
        <f>VLOOKUP(B120,Sheet1!$AQ$4:$AR$25,2,FALSE)</f>
        <v>0</v>
      </c>
      <c r="B120" s="95" t="str">
        <f t="shared" si="24"/>
        <v>Milton Keynes</v>
      </c>
      <c r="C120" s="87"/>
      <c r="D120" s="158">
        <f>IF(AND(ISNUMBER(D18),ISNUMBER(Referrals!D18)),'Re-referrals'!D18/Referrals!D18,NA())</f>
        <v>0.23160762942779295</v>
      </c>
      <c r="E120" s="158">
        <f>IF(AND(ISNUMBER(E18),ISNUMBER(Referrals!E18)),'Re-referrals'!E18/Referrals!E18,NA())</f>
        <v>0.20946189960274467</v>
      </c>
      <c r="F120" s="158">
        <f>IF(AND(ISNUMBER(F18),ISNUMBER(Referrals!F18)),'Re-referrals'!F18/Referrals!F18,NA())</f>
        <v>0.19072332144015569</v>
      </c>
      <c r="G120" s="158">
        <f>IF(AND(ISNUMBER(G18),ISNUMBER(Referrals!G18)),'Re-referrals'!G18/Referrals!G18,NA())</f>
        <v>0.2055955913522679</v>
      </c>
      <c r="H120" s="160">
        <f>IF(AND(ISNUMBER(H18),ISNUMBER(Referrals!H18)),'Re-referrals'!H18/Referrals!H18,NA())</f>
        <v>0.19838056680161945</v>
      </c>
      <c r="I120" s="98"/>
      <c r="J120" s="98"/>
      <c r="K120" s="162"/>
      <c r="L120" s="162"/>
      <c r="M120" s="162"/>
      <c r="N120" s="162"/>
      <c r="O120" s="162"/>
      <c r="P120" s="162"/>
      <c r="Q120" s="162"/>
      <c r="R120" s="163"/>
      <c r="S120" s="155"/>
      <c r="T120" s="155"/>
      <c r="U120" s="162"/>
      <c r="V120" s="124"/>
      <c r="W120" s="140"/>
      <c r="X120" s="149"/>
      <c r="Y120" s="183"/>
      <c r="Z120" s="183"/>
      <c r="AA120" s="83"/>
      <c r="AB120" s="83"/>
      <c r="AC120" s="83"/>
      <c r="AD120" s="83"/>
      <c r="AE120" s="83"/>
      <c r="AF120" s="185"/>
      <c r="AG120" s="185"/>
      <c r="AH120" s="185"/>
      <c r="AI120" s="185"/>
      <c r="AJ120" s="199"/>
      <c r="AK120" s="156"/>
    </row>
    <row r="121" spans="1:45" s="89" customFormat="1" ht="12.75" customHeight="1" x14ac:dyDescent="0.2">
      <c r="A121" s="462">
        <f>VLOOKUP(B121,Sheet1!$AQ$4:$AR$25,2,FALSE)</f>
        <v>0</v>
      </c>
      <c r="B121" s="95" t="str">
        <f t="shared" si="24"/>
        <v>Oxfordshire</v>
      </c>
      <c r="C121" s="87"/>
      <c r="D121" s="158">
        <f>IF(AND(ISNUMBER(D19),ISNUMBER(Referrals!D19)),'Re-referrals'!D19/Referrals!D19,NA())</f>
        <v>0.24315733710047682</v>
      </c>
      <c r="E121" s="158">
        <f>IF(AND(ISNUMBER(E19),ISNUMBER(Referrals!E19)),'Re-referrals'!E19/Referrals!E19,NA())</f>
        <v>0.25362962962962965</v>
      </c>
      <c r="F121" s="158">
        <f>IF(AND(ISNUMBER(F19),ISNUMBER(Referrals!F19)),'Re-referrals'!F19/Referrals!F19,NA())</f>
        <v>0.19883951316161902</v>
      </c>
      <c r="G121" s="158">
        <f>IF(AND(ISNUMBER(G19),ISNUMBER(Referrals!G19)),'Re-referrals'!G19/Referrals!G19,NA())</f>
        <v>0.18608746697974757</v>
      </c>
      <c r="H121" s="160">
        <f>IF(AND(ISNUMBER(H19),ISNUMBER(Referrals!H19)),'Re-referrals'!H19/Referrals!H19,NA())</f>
        <v>0.18291783448886267</v>
      </c>
      <c r="I121" s="98"/>
      <c r="J121" s="98"/>
      <c r="K121" s="162"/>
      <c r="L121" s="162"/>
      <c r="M121" s="162"/>
      <c r="N121" s="162"/>
      <c r="O121" s="162"/>
      <c r="P121" s="162"/>
      <c r="Q121" s="162"/>
      <c r="R121" s="163"/>
      <c r="S121" s="155"/>
      <c r="T121" s="155"/>
      <c r="U121" s="162"/>
      <c r="V121" s="124"/>
      <c r="W121" s="140"/>
      <c r="X121" s="149"/>
      <c r="Y121" s="183"/>
      <c r="Z121" s="183"/>
      <c r="AA121" s="83"/>
      <c r="AB121" s="83"/>
      <c r="AC121" s="83"/>
      <c r="AD121" s="83"/>
      <c r="AE121" s="83"/>
      <c r="AF121" s="185"/>
      <c r="AG121" s="185"/>
      <c r="AH121" s="185"/>
      <c r="AI121" s="185"/>
      <c r="AJ121" s="199"/>
      <c r="AK121" s="156"/>
    </row>
    <row r="122" spans="1:45" s="89" customFormat="1" ht="12.75" customHeight="1" x14ac:dyDescent="0.2">
      <c r="A122" s="462">
        <f>VLOOKUP(B122,Sheet1!$AQ$4:$AR$25,2,FALSE)</f>
        <v>0</v>
      </c>
      <c r="B122" s="95" t="str">
        <f t="shared" si="24"/>
        <v>Portsmouth</v>
      </c>
      <c r="C122" s="87"/>
      <c r="D122" s="158">
        <f>IF(AND(ISNUMBER(D20),ISNUMBER(Referrals!D20)),'Re-referrals'!D20/Referrals!D20,NA())</f>
        <v>0.19781363872982802</v>
      </c>
      <c r="E122" s="158">
        <f>IF(AND(ISNUMBER(E20),ISNUMBER(Referrals!E20)),'Re-referrals'!E20/Referrals!E20,NA())</f>
        <v>0.19445771619684657</v>
      </c>
      <c r="F122" s="158">
        <f>IF(AND(ISNUMBER(F20),ISNUMBER(Referrals!F20)),'Re-referrals'!F20/Referrals!F20,NA())</f>
        <v>0.25934861278648974</v>
      </c>
      <c r="G122" s="158">
        <f>IF(AND(ISNUMBER(G20),ISNUMBER(Referrals!G20)),'Re-referrals'!G20/Referrals!G20,NA())</f>
        <v>0.22741652021089631</v>
      </c>
      <c r="H122" s="160">
        <f>IF(AND(ISNUMBER(H20),ISNUMBER(Referrals!H20)),'Re-referrals'!H20/Referrals!H20,NA())</f>
        <v>0.25632911392405061</v>
      </c>
      <c r="I122" s="98"/>
      <c r="J122" s="98"/>
      <c r="K122" s="162"/>
      <c r="L122" s="162"/>
      <c r="M122" s="162"/>
      <c r="N122" s="162"/>
      <c r="O122" s="162"/>
      <c r="P122" s="162"/>
      <c r="Q122" s="162"/>
      <c r="R122" s="163"/>
      <c r="S122" s="155"/>
      <c r="T122" s="155"/>
      <c r="U122" s="162"/>
      <c r="V122" s="124"/>
      <c r="W122" s="140"/>
      <c r="X122" s="149"/>
      <c r="Y122" s="183"/>
      <c r="Z122" s="183"/>
      <c r="AA122" s="83"/>
      <c r="AB122" s="83"/>
      <c r="AC122" s="83"/>
      <c r="AD122" s="83"/>
      <c r="AE122" s="83"/>
      <c r="AF122" s="185"/>
      <c r="AG122" s="185"/>
      <c r="AH122" s="185"/>
      <c r="AI122" s="185"/>
      <c r="AJ122" s="199"/>
      <c r="AK122" s="156"/>
    </row>
    <row r="123" spans="1:45" s="89" customFormat="1" ht="12.75" customHeight="1" x14ac:dyDescent="0.2">
      <c r="A123" s="462">
        <f>VLOOKUP(B123,Sheet1!$AQ$4:$AR$25,2,FALSE)</f>
        <v>0</v>
      </c>
      <c r="B123" s="95" t="str">
        <f t="shared" si="24"/>
        <v>Reading</v>
      </c>
      <c r="C123" s="87"/>
      <c r="D123" s="158">
        <f>IF(AND(ISNUMBER(D21),ISNUMBER(Referrals!D21)),'Re-referrals'!D21/Referrals!D21,NA())</f>
        <v>0.2109982068141063</v>
      </c>
      <c r="E123" s="158">
        <f>IF(AND(ISNUMBER(E21),ISNUMBER(Referrals!E21)),'Re-referrals'!E21/Referrals!E21,NA())</f>
        <v>0.20987654320987653</v>
      </c>
      <c r="F123" s="158">
        <f>IF(AND(ISNUMBER(F21),ISNUMBER(Referrals!F21)),'Re-referrals'!F21/Referrals!F21,NA())</f>
        <v>0.2846648301193756</v>
      </c>
      <c r="G123" s="158">
        <f>IF(AND(ISNUMBER(G21),ISNUMBER(Referrals!G21)),'Re-referrals'!G21/Referrals!G21,NA())</f>
        <v>0.22374429223744291</v>
      </c>
      <c r="H123" s="160">
        <f>IF(AND(ISNUMBER(H21),ISNUMBER(Referrals!H21)),'Re-referrals'!H21/Referrals!H21,NA())</f>
        <v>0.27236217597663381</v>
      </c>
      <c r="I123" s="98"/>
      <c r="J123" s="98"/>
      <c r="K123" s="162"/>
      <c r="L123" s="162"/>
      <c r="M123" s="162"/>
      <c r="N123" s="162"/>
      <c r="O123" s="162"/>
      <c r="P123" s="162"/>
      <c r="Q123" s="162"/>
      <c r="R123" s="163"/>
      <c r="S123" s="155"/>
      <c r="T123" s="155"/>
      <c r="U123" s="162"/>
      <c r="V123" s="124"/>
      <c r="W123" s="140"/>
      <c r="X123" s="149"/>
      <c r="Y123" s="183"/>
      <c r="Z123" s="183"/>
      <c r="AA123" s="83"/>
      <c r="AB123" s="83"/>
      <c r="AC123" s="83"/>
      <c r="AD123" s="83"/>
      <c r="AE123" s="83"/>
      <c r="AF123" s="185"/>
      <c r="AG123" s="185"/>
      <c r="AH123" s="185"/>
      <c r="AI123" s="185"/>
      <c r="AJ123" s="199"/>
      <c r="AK123" s="156"/>
    </row>
    <row r="124" spans="1:45" s="89" customFormat="1" ht="12.75" customHeight="1" x14ac:dyDescent="0.2">
      <c r="A124" s="462">
        <f>VLOOKUP(B124,Sheet1!$AQ$4:$AR$25,2,FALSE)</f>
        <v>0</v>
      </c>
      <c r="B124" s="95" t="str">
        <f t="shared" si="24"/>
        <v>Slough</v>
      </c>
      <c r="C124" s="87"/>
      <c r="D124" s="158">
        <f>IF(AND(ISNUMBER(D22),ISNUMBER(Referrals!D22)),'Re-referrals'!D22/Referrals!D22,NA())</f>
        <v>0.21034180543383005</v>
      </c>
      <c r="E124" s="158">
        <f>IF(AND(ISNUMBER(E22),ISNUMBER(Referrals!E22)),'Re-referrals'!E22/Referrals!E22,NA())</f>
        <v>0.18817591925018029</v>
      </c>
      <c r="F124" s="158">
        <f>IF(AND(ISNUMBER(F22),ISNUMBER(Referrals!F22)),'Re-referrals'!F22/Referrals!F22,NA())</f>
        <v>0.29043600562587907</v>
      </c>
      <c r="G124" s="158">
        <f>IF(AND(ISNUMBER(G22),ISNUMBER(Referrals!G22)),'Re-referrals'!G22/Referrals!G22,NA())</f>
        <v>0.24512884978001256</v>
      </c>
      <c r="H124" s="160">
        <f>IF(AND(ISNUMBER(H22),ISNUMBER(Referrals!H22)),'Re-referrals'!H22/Referrals!H22,NA())</f>
        <v>0.14760705289672543</v>
      </c>
      <c r="I124" s="98"/>
      <c r="J124" s="98"/>
      <c r="K124" s="162"/>
      <c r="L124" s="162"/>
      <c r="M124" s="162"/>
      <c r="N124" s="162"/>
      <c r="O124" s="162"/>
      <c r="P124" s="162"/>
      <c r="Q124" s="162"/>
      <c r="R124" s="163"/>
      <c r="S124" s="155"/>
      <c r="T124" s="155"/>
      <c r="U124" s="162"/>
      <c r="V124" s="124"/>
      <c r="W124" s="140"/>
      <c r="X124" s="149"/>
      <c r="Y124" s="183"/>
      <c r="Z124" s="183"/>
      <c r="AA124" s="83"/>
      <c r="AB124" s="83"/>
      <c r="AC124" s="83"/>
      <c r="AD124" s="83"/>
      <c r="AE124" s="83"/>
      <c r="AF124" s="185"/>
      <c r="AG124" s="185"/>
      <c r="AH124" s="185"/>
      <c r="AI124" s="185"/>
      <c r="AJ124" s="199"/>
      <c r="AK124" s="156"/>
    </row>
    <row r="125" spans="1:45" s="89" customFormat="1" ht="12.75" customHeight="1" x14ac:dyDescent="0.2">
      <c r="A125" s="462">
        <f>VLOOKUP(B125,Sheet1!$AQ$4:$AR$25,2,FALSE)</f>
        <v>0</v>
      </c>
      <c r="B125" s="95" t="str">
        <f t="shared" si="24"/>
        <v>Somerset</v>
      </c>
      <c r="C125" s="87"/>
      <c r="D125" s="158">
        <f>IF(AND(ISNUMBER(D23),ISNUMBER(Referrals!D23)),'Re-referrals'!D23/Referrals!D23,NA())</f>
        <v>0.26971919155786045</v>
      </c>
      <c r="E125" s="158">
        <f>IF(AND(ISNUMBER(E23),ISNUMBER(Referrals!E23)),'Re-referrals'!E23/Referrals!E23,NA())</f>
        <v>0.23832567142511493</v>
      </c>
      <c r="F125" s="158">
        <f>IF(AND(ISNUMBER(F23),ISNUMBER(Referrals!F23)),'Re-referrals'!F23/Referrals!F23,NA())</f>
        <v>0.19886958342055683</v>
      </c>
      <c r="G125" s="158">
        <f>IF(AND(ISNUMBER(G23),ISNUMBER(Referrals!G23)),'Re-referrals'!G23/Referrals!G23,NA())</f>
        <v>0.21374636979670861</v>
      </c>
      <c r="H125" s="160">
        <f>IF(AND(ISNUMBER(H23),ISNUMBER(Referrals!H23)),'Re-referrals'!H23/Referrals!H23,NA())</f>
        <v>0.23864229765013054</v>
      </c>
      <c r="I125" s="98"/>
      <c r="J125" s="98"/>
      <c r="K125" s="162"/>
      <c r="L125" s="162"/>
      <c r="M125" s="162"/>
      <c r="N125" s="162"/>
      <c r="O125" s="162"/>
      <c r="P125" s="162"/>
      <c r="Q125" s="162"/>
      <c r="R125" s="163"/>
      <c r="S125" s="155"/>
      <c r="T125" s="155"/>
      <c r="U125" s="162"/>
      <c r="V125" s="124"/>
      <c r="W125" s="140"/>
      <c r="X125" s="149"/>
      <c r="Y125" s="183"/>
      <c r="Z125" s="183"/>
      <c r="AA125" s="83"/>
      <c r="AB125" s="83"/>
      <c r="AC125" s="83"/>
      <c r="AD125" s="83"/>
      <c r="AE125" s="83"/>
      <c r="AF125" s="185"/>
      <c r="AG125" s="185"/>
      <c r="AH125" s="185"/>
      <c r="AI125" s="185"/>
      <c r="AJ125" s="199"/>
      <c r="AK125" s="156"/>
    </row>
    <row r="126" spans="1:45" s="89" customFormat="1" ht="12.75" customHeight="1" x14ac:dyDescent="0.2">
      <c r="A126" s="462">
        <f>VLOOKUP(B126,Sheet1!$AQ$4:$AR$25,2,FALSE)</f>
        <v>0</v>
      </c>
      <c r="B126" s="95" t="str">
        <f t="shared" si="24"/>
        <v>Southampton</v>
      </c>
      <c r="C126" s="87"/>
      <c r="D126" s="158">
        <f>IF(AND(ISNUMBER(D24),ISNUMBER(Referrals!D24)),'Re-referrals'!D24/Referrals!D24,NA())</f>
        <v>0.34555954424847823</v>
      </c>
      <c r="E126" s="158">
        <f>IF(AND(ISNUMBER(E24),ISNUMBER(Referrals!E24)),'Re-referrals'!E24/Referrals!E24,NA())</f>
        <v>0.19193391642371235</v>
      </c>
      <c r="F126" s="158">
        <f>IF(AND(ISNUMBER(F24),ISNUMBER(Referrals!F24)),'Re-referrals'!F24/Referrals!F24,NA())</f>
        <v>0.26609724047306177</v>
      </c>
      <c r="G126" s="158">
        <f>IF(AND(ISNUMBER(G24),ISNUMBER(Referrals!G24)),'Re-referrals'!G24/Referrals!G24,NA())</f>
        <v>0.20283199387677001</v>
      </c>
      <c r="H126" s="160">
        <f>IF(AND(ISNUMBER(H24),ISNUMBER(Referrals!H24)),'Re-referrals'!H24/Referrals!H24,NA())</f>
        <v>0.16974595842956119</v>
      </c>
      <c r="I126" s="98"/>
      <c r="J126" s="98"/>
      <c r="K126" s="162"/>
      <c r="L126" s="162"/>
      <c r="M126" s="162"/>
      <c r="N126" s="162"/>
      <c r="O126" s="162"/>
      <c r="P126" s="162"/>
      <c r="Q126" s="162"/>
      <c r="R126" s="163"/>
      <c r="S126" s="155"/>
      <c r="T126" s="155"/>
      <c r="U126" s="162"/>
      <c r="V126" s="124"/>
      <c r="W126" s="140"/>
      <c r="X126" s="149"/>
      <c r="Y126" s="183"/>
      <c r="Z126" s="183"/>
      <c r="AA126" s="83"/>
      <c r="AB126" s="83"/>
      <c r="AC126" s="83"/>
      <c r="AD126" s="83"/>
      <c r="AE126" s="83"/>
      <c r="AF126" s="185"/>
      <c r="AG126" s="185"/>
      <c r="AH126" s="185"/>
      <c r="AI126" s="185"/>
      <c r="AJ126" s="199"/>
      <c r="AK126" s="156"/>
    </row>
    <row r="127" spans="1:45" s="89" customFormat="1" ht="12.75" customHeight="1" x14ac:dyDescent="0.2">
      <c r="A127" s="462">
        <f>VLOOKUP(B127,Sheet1!$AQ$4:$AR$25,2,FALSE)</f>
        <v>0</v>
      </c>
      <c r="B127" s="95" t="str">
        <f t="shared" si="24"/>
        <v>Surrey</v>
      </c>
      <c r="C127" s="87"/>
      <c r="D127" s="158">
        <f>IF(AND(ISNUMBER(D25),ISNUMBER(Referrals!D25)),'Re-referrals'!D25/Referrals!D25,NA())</f>
        <v>0.25363262851989149</v>
      </c>
      <c r="E127" s="158">
        <f>IF(AND(ISNUMBER(E25),ISNUMBER(Referrals!E25)),'Re-referrals'!E25/Referrals!E25,NA())</f>
        <v>0.24133242692046228</v>
      </c>
      <c r="F127" s="158">
        <f>IF(AND(ISNUMBER(F25),ISNUMBER(Referrals!F25)),'Re-referrals'!F25/Referrals!F25,NA())</f>
        <v>0.24796643548248995</v>
      </c>
      <c r="G127" s="158">
        <f>IF(AND(ISNUMBER(G25),ISNUMBER(Referrals!G25)),'Re-referrals'!G25/Referrals!G25,NA())</f>
        <v>0.27330104212534861</v>
      </c>
      <c r="H127" s="160">
        <f>IF(AND(ISNUMBER(H25),ISNUMBER(Referrals!H25)),'Re-referrals'!H25/Referrals!H25,NA())</f>
        <v>0.25528913963328631</v>
      </c>
      <c r="I127" s="98"/>
      <c r="J127" s="98"/>
      <c r="K127" s="162"/>
      <c r="L127" s="162"/>
      <c r="M127" s="162"/>
      <c r="N127" s="162"/>
      <c r="O127" s="162"/>
      <c r="P127" s="162"/>
      <c r="Q127" s="162"/>
      <c r="R127" s="163"/>
      <c r="S127" s="155"/>
      <c r="T127" s="155"/>
      <c r="U127" s="162"/>
      <c r="V127" s="124"/>
      <c r="W127" s="140"/>
      <c r="X127" s="149"/>
      <c r="Y127" s="183"/>
      <c r="Z127" s="183"/>
      <c r="AA127" s="83"/>
      <c r="AB127" s="83"/>
      <c r="AC127" s="83"/>
      <c r="AD127" s="83"/>
      <c r="AE127" s="83"/>
      <c r="AF127" s="185"/>
      <c r="AG127" s="185"/>
      <c r="AH127" s="185"/>
      <c r="AI127" s="185"/>
      <c r="AJ127" s="199"/>
      <c r="AK127" s="156"/>
    </row>
    <row r="128" spans="1:45" s="89" customFormat="1" ht="12.75" customHeight="1" x14ac:dyDescent="0.2">
      <c r="A128" s="462">
        <f>VLOOKUP(B128,Sheet1!$AQ$4:$AR$25,2,FALSE)</f>
        <v>0</v>
      </c>
      <c r="B128" s="95" t="str">
        <f t="shared" si="24"/>
        <v>Swindon</v>
      </c>
      <c r="C128" s="87"/>
      <c r="D128" s="158">
        <f>IF(AND(ISNUMBER(D26),ISNUMBER(Referrals!D26)),'Re-referrals'!D26/Referrals!D26,NA())</f>
        <v>0.20037735849056609</v>
      </c>
      <c r="E128" s="158">
        <f>IF(AND(ISNUMBER(E26),ISNUMBER(Referrals!E26)),'Re-referrals'!E26/Referrals!E26,NA())</f>
        <v>0.27870778267254037</v>
      </c>
      <c r="F128" s="158">
        <f>IF(AND(ISNUMBER(F26),ISNUMBER(Referrals!F26)),'Re-referrals'!F26/Referrals!F26,NA())</f>
        <v>0.26613704071499505</v>
      </c>
      <c r="G128" s="158">
        <f>IF(AND(ISNUMBER(G26),ISNUMBER(Referrals!G26)),'Re-referrals'!G26/Referrals!G26,NA())</f>
        <v>0.24179762889440309</v>
      </c>
      <c r="H128" s="160">
        <f>IF(AND(ISNUMBER(H26),ISNUMBER(Referrals!H26)),'Re-referrals'!H26/Referrals!H26,NA())</f>
        <v>0.17951881554595928</v>
      </c>
      <c r="I128" s="98"/>
      <c r="J128" s="98"/>
      <c r="K128" s="162"/>
      <c r="L128" s="162"/>
      <c r="M128" s="162"/>
      <c r="N128" s="162"/>
      <c r="O128" s="162"/>
      <c r="P128" s="162"/>
      <c r="Q128" s="162"/>
      <c r="R128" s="163"/>
      <c r="S128" s="155"/>
      <c r="T128" s="155"/>
      <c r="U128" s="162"/>
      <c r="V128" s="124"/>
      <c r="W128" s="140"/>
      <c r="X128" s="149"/>
      <c r="Y128" s="183"/>
      <c r="Z128" s="183"/>
      <c r="AA128" s="83"/>
      <c r="AB128" s="83"/>
      <c r="AC128" s="83"/>
      <c r="AD128" s="83"/>
      <c r="AE128" s="83"/>
      <c r="AF128" s="185"/>
      <c r="AG128" s="185"/>
      <c r="AH128" s="185"/>
      <c r="AI128" s="185"/>
      <c r="AJ128" s="199"/>
      <c r="AK128" s="156"/>
    </row>
    <row r="129" spans="1:46" s="89" customFormat="1" ht="12.75" customHeight="1" x14ac:dyDescent="0.2">
      <c r="A129" s="462">
        <f>VLOOKUP(B129,Sheet1!$AQ$4:$AR$25,2,FALSE)</f>
        <v>0</v>
      </c>
      <c r="B129" s="95" t="str">
        <f t="shared" si="24"/>
        <v>Torbay</v>
      </c>
      <c r="C129" s="87"/>
      <c r="D129" s="158">
        <f>IF(AND(ISNUMBER(D27),ISNUMBER(Referrals!D27)),'Re-referrals'!D27/Referrals!D27,NA())</f>
        <v>0.24929709465791941</v>
      </c>
      <c r="E129" s="158">
        <f>IF(AND(ISNUMBER(E27),ISNUMBER(Referrals!E27)),'Re-referrals'!E27/Referrals!E27,NA())</f>
        <v>0.28873239436619724</v>
      </c>
      <c r="F129" s="158">
        <f>IF(AND(ISNUMBER(F27),ISNUMBER(Referrals!F27)),'Re-referrals'!F27/Referrals!F27,NA())</f>
        <v>0.27042079207920794</v>
      </c>
      <c r="G129" s="158">
        <f>IF(AND(ISNUMBER(G27),ISNUMBER(Referrals!G27)),'Re-referrals'!G27/Referrals!G27,NA())</f>
        <v>0.24598337950138505</v>
      </c>
      <c r="H129" s="160">
        <f>IF(AND(ISNUMBER(H27),ISNUMBER(Referrals!H27)),'Re-referrals'!H27/Referrals!H27,NA())</f>
        <v>0.26387315968289921</v>
      </c>
      <c r="I129" s="98"/>
      <c r="J129" s="98"/>
      <c r="K129" s="162"/>
      <c r="L129" s="162"/>
      <c r="M129" s="162"/>
      <c r="N129" s="162"/>
      <c r="O129" s="162"/>
      <c r="P129" s="162"/>
      <c r="Q129" s="162"/>
      <c r="R129" s="163"/>
      <c r="S129" s="155"/>
      <c r="T129" s="155"/>
      <c r="U129" s="162"/>
      <c r="V129" s="124"/>
      <c r="W129" s="140"/>
      <c r="X129" s="149"/>
      <c r="Y129" s="183"/>
      <c r="Z129" s="183"/>
      <c r="AA129" s="83"/>
      <c r="AB129" s="83"/>
      <c r="AC129" s="83"/>
      <c r="AD129" s="83"/>
      <c r="AE129" s="83"/>
      <c r="AF129" s="185"/>
      <c r="AG129" s="185"/>
      <c r="AH129" s="185"/>
      <c r="AI129" s="185"/>
      <c r="AJ129" s="199"/>
      <c r="AK129" s="156"/>
    </row>
    <row r="130" spans="1:46" s="89" customFormat="1" ht="12.75" customHeight="1" x14ac:dyDescent="0.2">
      <c r="A130" s="462">
        <f>VLOOKUP(B130,Sheet1!$AQ$4:$AR$25,2,FALSE)</f>
        <v>0</v>
      </c>
      <c r="B130" s="95" t="str">
        <f t="shared" si="24"/>
        <v>West Berkshire</v>
      </c>
      <c r="C130" s="87"/>
      <c r="D130" s="158">
        <f>IF(AND(ISNUMBER(D28),ISNUMBER(Referrals!D28)),'Re-referrals'!D28/Referrals!D28,NA())</f>
        <v>0.24066719618745036</v>
      </c>
      <c r="E130" s="158">
        <f>IF(AND(ISNUMBER(E28),ISNUMBER(Referrals!E28)),'Re-referrals'!E28/Referrals!E28,NA())</f>
        <v>0.16043956043956045</v>
      </c>
      <c r="F130" s="158">
        <f>IF(AND(ISNUMBER(F28),ISNUMBER(Referrals!F28)),'Re-referrals'!F28/Referrals!F28,NA())</f>
        <v>0.2360774818401937</v>
      </c>
      <c r="G130" s="158">
        <f>IF(AND(ISNUMBER(G28),ISNUMBER(Referrals!G28)),'Re-referrals'!G28/Referrals!G28,NA())</f>
        <v>0.26917989417989419</v>
      </c>
      <c r="H130" s="160">
        <f>IF(AND(ISNUMBER(H28),ISNUMBER(Referrals!H28)),'Re-referrals'!H28/Referrals!H28,NA())</f>
        <v>0.26156583629893237</v>
      </c>
      <c r="I130" s="98"/>
      <c r="J130" s="98"/>
      <c r="K130" s="162"/>
      <c r="L130" s="162"/>
      <c r="M130" s="162"/>
      <c r="N130" s="162"/>
      <c r="O130" s="162"/>
      <c r="P130" s="162"/>
      <c r="Q130" s="162"/>
      <c r="R130" s="163"/>
      <c r="S130" s="155"/>
      <c r="T130" s="155"/>
      <c r="U130" s="162"/>
      <c r="V130" s="124"/>
      <c r="W130" s="140"/>
      <c r="X130" s="149"/>
      <c r="Y130" s="183"/>
      <c r="Z130" s="183"/>
      <c r="AA130" s="83"/>
      <c r="AB130" s="83"/>
      <c r="AC130" s="83"/>
      <c r="AD130" s="83"/>
      <c r="AE130" s="83"/>
      <c r="AF130" s="199"/>
      <c r="AG130" s="185"/>
      <c r="AH130" s="185"/>
      <c r="AI130" s="185"/>
      <c r="AJ130" s="199"/>
      <c r="AK130" s="156"/>
    </row>
    <row r="131" spans="1:46" s="89" customFormat="1" ht="12.75" customHeight="1" x14ac:dyDescent="0.2">
      <c r="A131" s="462">
        <f>VLOOKUP(B131,Sheet1!$AQ$4:$AR$25,2,FALSE)</f>
        <v>0</v>
      </c>
      <c r="B131" s="95" t="str">
        <f t="shared" si="24"/>
        <v>West Sussex</v>
      </c>
      <c r="C131" s="87"/>
      <c r="D131" s="158">
        <f>IF(AND(ISNUMBER(D29),ISNUMBER(Referrals!D29)),'Re-referrals'!D29/Referrals!D29,NA())</f>
        <v>0.21729073297672405</v>
      </c>
      <c r="E131" s="158">
        <f>IF(AND(ISNUMBER(E29),ISNUMBER(Referrals!E29)),'Re-referrals'!E29/Referrals!E29,NA())</f>
        <v>0.24389345771449578</v>
      </c>
      <c r="F131" s="158">
        <f>IF(AND(ISNUMBER(F29),ISNUMBER(Referrals!F29)),'Re-referrals'!F29/Referrals!F29,NA())</f>
        <v>0.25271708042558061</v>
      </c>
      <c r="G131" s="158">
        <f>IF(AND(ISNUMBER(G29),ISNUMBER(Referrals!G29)),'Re-referrals'!G29/Referrals!G29,NA())</f>
        <v>0.26803401700850427</v>
      </c>
      <c r="H131" s="160">
        <f>IF(AND(ISNUMBER(H29),ISNUMBER(Referrals!H29)),'Re-referrals'!H29/Referrals!H29,NA())</f>
        <v>0.25774499473129608</v>
      </c>
      <c r="I131" s="98"/>
      <c r="J131" s="98"/>
      <c r="K131" s="162"/>
      <c r="L131" s="162"/>
      <c r="M131" s="162"/>
      <c r="N131" s="162"/>
      <c r="O131" s="162"/>
      <c r="P131" s="162"/>
      <c r="Q131" s="162"/>
      <c r="R131" s="163"/>
      <c r="S131" s="155"/>
      <c r="T131" s="155"/>
      <c r="U131" s="162"/>
      <c r="V131" s="124"/>
      <c r="W131" s="140"/>
      <c r="X131" s="149"/>
      <c r="Y131" s="183"/>
      <c r="Z131" s="183"/>
      <c r="AA131" s="83"/>
      <c r="AB131" s="83"/>
      <c r="AC131" s="83"/>
      <c r="AD131" s="83"/>
      <c r="AE131" s="83"/>
      <c r="AF131" s="199"/>
      <c r="AG131" s="185"/>
      <c r="AH131" s="185"/>
      <c r="AI131" s="185"/>
      <c r="AJ131" s="199"/>
      <c r="AK131" s="156"/>
    </row>
    <row r="132" spans="1:46" s="89" customFormat="1" ht="12.75" customHeight="1" x14ac:dyDescent="0.2">
      <c r="A132" s="462">
        <f>VLOOKUP(B132,Sheet1!$AQ$4:$AR$25,2,FALSE)</f>
        <v>0</v>
      </c>
      <c r="B132" s="95" t="str">
        <f t="shared" si="24"/>
        <v>Windsor &amp; Maidenhead</v>
      </c>
      <c r="C132" s="87"/>
      <c r="D132" s="158">
        <f>IF(AND(ISNUMBER(D30),ISNUMBER(Referrals!D30)),'Re-referrals'!D30/Referrals!D30,NA())</f>
        <v>0.17938931297709931</v>
      </c>
      <c r="E132" s="158">
        <f>IF(AND(ISNUMBER(E30),ISNUMBER(Referrals!E30)),'Re-referrals'!E30/Referrals!E30,NA())</f>
        <v>0.17309417040358743</v>
      </c>
      <c r="F132" s="158">
        <f>IF(AND(ISNUMBER(F30),ISNUMBER(Referrals!F30)),'Re-referrals'!F30/Referrals!F30,NA())</f>
        <v>0.11794354838709678</v>
      </c>
      <c r="G132" s="158">
        <f>IF(AND(ISNUMBER(G30),ISNUMBER(Referrals!G30)),'Re-referrals'!G30/Referrals!G30,NA())</f>
        <v>0.15645617342130066</v>
      </c>
      <c r="H132" s="160">
        <f>IF(AND(ISNUMBER(H30),ISNUMBER(Referrals!H30)),'Re-referrals'!H30/Referrals!H30,NA())</f>
        <v>0.20969162995594715</v>
      </c>
      <c r="I132" s="98"/>
      <c r="J132" s="98"/>
      <c r="K132" s="162"/>
      <c r="L132" s="162"/>
      <c r="M132" s="162"/>
      <c r="N132" s="162"/>
      <c r="O132" s="162"/>
      <c r="P132" s="162"/>
      <c r="Q132" s="162"/>
      <c r="R132" s="163"/>
      <c r="S132" s="155"/>
      <c r="T132" s="155"/>
      <c r="U132" s="162"/>
      <c r="V132" s="124"/>
      <c r="W132" s="140"/>
      <c r="X132" s="149"/>
      <c r="Y132" s="183"/>
      <c r="Z132" s="183"/>
      <c r="AA132" s="83"/>
      <c r="AB132" s="83"/>
      <c r="AC132" s="83"/>
      <c r="AD132" s="83"/>
      <c r="AE132" s="83"/>
      <c r="AF132" s="199"/>
      <c r="AG132" s="199"/>
      <c r="AH132" s="199"/>
      <c r="AI132" s="185"/>
      <c r="AJ132" s="199"/>
      <c r="AK132" s="156"/>
    </row>
    <row r="133" spans="1:46" s="89" customFormat="1" ht="12.75" customHeight="1" x14ac:dyDescent="0.2">
      <c r="A133" s="462">
        <f>VLOOKUP(B133,Sheet1!$AQ$4:$AR$25,2,FALSE)</f>
        <v>0</v>
      </c>
      <c r="B133" s="95" t="str">
        <f t="shared" si="24"/>
        <v>Wokingham</v>
      </c>
      <c r="C133" s="87"/>
      <c r="D133" s="158">
        <f>IF(AND(ISNUMBER(D31),ISNUMBER(Referrals!D31)),'Re-referrals'!D31/Referrals!D31,NA())</f>
        <v>0.26161616161616169</v>
      </c>
      <c r="E133" s="158">
        <f>IF(AND(ISNUMBER(E31),ISNUMBER(Referrals!E31)),'Re-referrals'!E31/Referrals!E31,NA())</f>
        <v>0.17241379310344829</v>
      </c>
      <c r="F133" s="158">
        <f>IF(AND(ISNUMBER(F31),ISNUMBER(Referrals!F31)),'Re-referrals'!F31/Referrals!F31,NA())</f>
        <v>0.1874310915104741</v>
      </c>
      <c r="G133" s="158">
        <f>IF(AND(ISNUMBER(G31),ISNUMBER(Referrals!G31)),'Re-referrals'!G31/Referrals!G31,NA())</f>
        <v>0.16557257476294676</v>
      </c>
      <c r="H133" s="160">
        <f>IF(AND(ISNUMBER(H31),ISNUMBER(Referrals!H31)),'Re-referrals'!H31/Referrals!H31,NA())</f>
        <v>0.21055718475073315</v>
      </c>
      <c r="I133" s="98"/>
      <c r="J133" s="98"/>
      <c r="K133" s="162"/>
      <c r="L133" s="162"/>
      <c r="M133" s="162"/>
      <c r="N133" s="162"/>
      <c r="O133" s="162"/>
      <c r="P133" s="162"/>
      <c r="Q133" s="162"/>
      <c r="R133" s="163"/>
      <c r="S133" s="155"/>
      <c r="T133" s="155"/>
      <c r="U133" s="162"/>
      <c r="V133" s="124"/>
      <c r="W133" s="140"/>
      <c r="X133" s="149"/>
      <c r="Y133" s="183"/>
      <c r="Z133" s="183"/>
      <c r="AA133" s="83"/>
      <c r="AB133" s="83"/>
      <c r="AC133" s="83"/>
      <c r="AD133" s="83"/>
      <c r="AE133" s="83"/>
      <c r="AF133" s="199"/>
      <c r="AG133" s="199"/>
      <c r="AH133" s="199"/>
      <c r="AI133" s="185"/>
      <c r="AJ133" s="199"/>
      <c r="AK133" s="156"/>
    </row>
    <row r="134" spans="1:46" s="89" customFormat="1" ht="12.75" customHeight="1" x14ac:dyDescent="0.2">
      <c r="A134" s="123"/>
      <c r="B134" s="131" t="str">
        <f t="shared" si="24"/>
        <v>South East</v>
      </c>
      <c r="C134" s="87"/>
      <c r="D134" s="159">
        <f>IF(AND(ISNUMBER(D32),ISNUMBER(Referrals!D32)),'Re-referrals'!D32/Referrals!D32,NA())</f>
        <v>0.27657378740970073</v>
      </c>
      <c r="E134" s="159">
        <f>IF(AND(ISNUMBER(E32),ISNUMBER(Referrals!E32)),'Re-referrals'!E32/Referrals!E32,NA())</f>
        <v>0.234860883797054</v>
      </c>
      <c r="F134" s="159">
        <f>IF(AND(ISNUMBER(F32),ISNUMBER(Referrals!F32)),'Re-referrals'!F32/Referrals!F32,NA())</f>
        <v>0.25662808065720688</v>
      </c>
      <c r="G134" s="159">
        <f>IF(AND(ISNUMBER(G32),ISNUMBER(Referrals!G32)),'Re-referrals'!G32/Referrals!G32,NA())</f>
        <v>0.25180598555211559</v>
      </c>
      <c r="H134" s="161">
        <f>IF(AND(ISNUMBER(H32),ISNUMBER(Referrals!H32)),'Re-referrals'!H32/Referrals!H32,NA())</f>
        <v>0.2558871198398322</v>
      </c>
      <c r="I134" s="98"/>
      <c r="J134" s="98"/>
      <c r="K134" s="164"/>
      <c r="L134" s="164"/>
      <c r="M134" s="164"/>
      <c r="N134" s="164"/>
      <c r="O134" s="164"/>
      <c r="P134" s="164"/>
      <c r="Q134" s="164"/>
      <c r="R134" s="165"/>
      <c r="S134" s="155"/>
      <c r="T134" s="155"/>
      <c r="U134" s="166"/>
      <c r="V134" s="124"/>
      <c r="W134" s="140"/>
      <c r="X134" s="149"/>
      <c r="Y134" s="183"/>
      <c r="Z134" s="183"/>
      <c r="AA134" s="83"/>
      <c r="AB134" s="83"/>
      <c r="AC134" s="83"/>
      <c r="AD134" s="83"/>
      <c r="AE134" s="83"/>
      <c r="AF134" s="199"/>
      <c r="AG134" s="199"/>
      <c r="AH134" s="199"/>
      <c r="AI134" s="185"/>
      <c r="AJ134" s="199"/>
      <c r="AK134" s="156"/>
    </row>
    <row r="135" spans="1:46" s="89" customFormat="1" ht="12.75" customHeight="1" x14ac:dyDescent="0.2">
      <c r="A135" s="123"/>
      <c r="B135" s="318" t="str">
        <f t="shared" si="24"/>
        <v>England</v>
      </c>
      <c r="C135" s="87"/>
      <c r="D135" s="344" t="e">
        <f>IF(AND(ISNUMBER(D33),ISNUMBER(Referrals!D33)),'Re-referrals'!D33/Referrals!D33,NA())</f>
        <v>#N/A</v>
      </c>
      <c r="E135" s="344">
        <f>IF(AND(ISNUMBER(E33),ISNUMBER(Referrals!E33)),'Re-referrals'!E33/Referrals!E33,NA())</f>
        <v>0.22318052359727741</v>
      </c>
      <c r="F135" s="344">
        <f>IF(AND(ISNUMBER(F33),ISNUMBER(Referrals!F33)),'Re-referrals'!F33/Referrals!F33,NA())</f>
        <v>0.21909242865102457</v>
      </c>
      <c r="G135" s="344">
        <f>IF(AND(ISNUMBER(G33),ISNUMBER(Referrals!G33)),'Re-referrals'!G33/Referrals!G33,NA())</f>
        <v>0.21934627762610009</v>
      </c>
      <c r="H135" s="345">
        <f>IF(AND(ISNUMBER(H33),ISNUMBER(Referrals!H33)),'Re-referrals'!H33/Referrals!H33,NA())</f>
        <v>0.22606117401256665</v>
      </c>
      <c r="I135" s="98"/>
      <c r="J135" s="98"/>
      <c r="K135" s="164"/>
      <c r="L135" s="164"/>
      <c r="M135" s="164"/>
      <c r="N135" s="164"/>
      <c r="O135" s="164"/>
      <c r="P135" s="164"/>
      <c r="Q135" s="164"/>
      <c r="R135" s="165"/>
      <c r="S135" s="155"/>
      <c r="T135" s="155"/>
      <c r="U135" s="166"/>
      <c r="V135" s="124"/>
      <c r="W135" s="140"/>
      <c r="X135" s="149"/>
      <c r="Y135" s="83"/>
      <c r="Z135" s="83"/>
      <c r="AA135" s="191"/>
      <c r="AB135" s="191"/>
      <c r="AC135" s="192"/>
      <c r="AD135" s="192"/>
      <c r="AE135" s="194"/>
      <c r="AF135" s="199"/>
      <c r="AG135" s="199"/>
      <c r="AH135" s="199"/>
      <c r="AI135" s="185"/>
      <c r="AJ135" s="199"/>
      <c r="AK135" s="156"/>
    </row>
    <row r="136" spans="1:46" s="89" customFormat="1" ht="7.5" customHeight="1" x14ac:dyDescent="0.2">
      <c r="A136" s="286"/>
      <c r="B136" s="98"/>
      <c r="C136" s="98"/>
      <c r="D136" s="98"/>
      <c r="E136" s="98"/>
      <c r="F136" s="98"/>
      <c r="G136" s="98"/>
      <c r="H136" s="98"/>
      <c r="I136" s="98"/>
      <c r="J136" s="98"/>
      <c r="K136" s="164"/>
      <c r="L136" s="164"/>
      <c r="M136" s="164"/>
      <c r="N136" s="164"/>
      <c r="O136" s="164"/>
      <c r="P136" s="164"/>
      <c r="Q136" s="164"/>
      <c r="R136" s="165"/>
      <c r="S136" s="155"/>
      <c r="T136" s="155"/>
      <c r="U136" s="166"/>
      <c r="V136" s="124"/>
      <c r="W136" s="140"/>
      <c r="X136" s="149"/>
      <c r="Y136" s="83"/>
      <c r="Z136" s="83"/>
      <c r="AA136" s="191"/>
      <c r="AB136" s="191"/>
      <c r="AC136" s="192"/>
      <c r="AD136" s="192"/>
      <c r="AE136" s="194"/>
      <c r="AF136" s="199"/>
      <c r="AG136" s="199"/>
      <c r="AH136" s="199"/>
      <c r="AI136" s="185"/>
      <c r="AJ136" s="199"/>
      <c r="AK136" s="156"/>
    </row>
    <row r="137" spans="1:46" s="83" customFormat="1" ht="38.25" customHeight="1" x14ac:dyDescent="0.2">
      <c r="A137" s="213"/>
      <c r="B137" s="314"/>
      <c r="C137" s="314"/>
      <c r="D137" s="314"/>
      <c r="E137" s="314"/>
      <c r="F137" s="314"/>
      <c r="G137" s="314"/>
      <c r="H137" s="314"/>
      <c r="I137" s="314"/>
      <c r="J137" s="168"/>
      <c r="K137" s="168"/>
      <c r="L137" s="168"/>
      <c r="M137" s="168"/>
      <c r="N137" s="168"/>
      <c r="O137" s="168"/>
      <c r="P137" s="168"/>
      <c r="Q137" s="168"/>
      <c r="R137" s="137"/>
      <c r="S137" s="168"/>
      <c r="T137" s="168"/>
      <c r="U137" s="168"/>
      <c r="V137" s="119"/>
      <c r="W137" s="138"/>
      <c r="X137" s="147"/>
      <c r="AD137" s="192"/>
      <c r="AE137" s="194"/>
      <c r="AF137" s="179"/>
      <c r="AG137" s="179"/>
      <c r="AH137" s="179"/>
      <c r="AJ137" s="179"/>
      <c r="AK137" s="157"/>
    </row>
    <row r="138" spans="1:46" s="83" customFormat="1" ht="39" customHeight="1" x14ac:dyDescent="0.2">
      <c r="A138" s="213"/>
      <c r="B138" s="314"/>
      <c r="C138" s="314"/>
      <c r="D138" s="314"/>
      <c r="E138" s="314"/>
      <c r="F138" s="314"/>
      <c r="G138" s="314"/>
      <c r="H138" s="314"/>
      <c r="I138" s="314"/>
      <c r="J138" s="168"/>
      <c r="K138" s="168"/>
      <c r="L138" s="168"/>
      <c r="M138" s="168"/>
      <c r="N138" s="168"/>
      <c r="O138" s="168"/>
      <c r="P138" s="168"/>
      <c r="Q138" s="168"/>
      <c r="R138" s="137"/>
      <c r="S138" s="168"/>
      <c r="T138" s="168"/>
      <c r="U138" s="168"/>
      <c r="V138" s="119"/>
      <c r="W138" s="138"/>
      <c r="X138" s="147"/>
      <c r="Z138" s="185"/>
      <c r="AE138" s="194"/>
      <c r="AF138" s="179"/>
      <c r="AG138" s="179"/>
      <c r="AH138" s="179"/>
      <c r="AJ138" s="179"/>
      <c r="AK138" s="157"/>
    </row>
    <row r="139" spans="1:46" s="83" customFormat="1" ht="38.25" customHeight="1" x14ac:dyDescent="0.2">
      <c r="A139" s="213"/>
      <c r="B139" s="314"/>
      <c r="C139" s="314"/>
      <c r="D139" s="314"/>
      <c r="E139" s="314"/>
      <c r="F139" s="314"/>
      <c r="G139" s="314"/>
      <c r="H139" s="314"/>
      <c r="I139" s="314"/>
      <c r="J139" s="168"/>
      <c r="K139" s="168"/>
      <c r="L139" s="168"/>
      <c r="M139" s="168"/>
      <c r="N139" s="168"/>
      <c r="O139" s="168"/>
      <c r="P139" s="168"/>
      <c r="Q139" s="168"/>
      <c r="R139" s="137"/>
      <c r="S139" s="168"/>
      <c r="T139" s="168"/>
      <c r="U139" s="168"/>
      <c r="V139" s="119"/>
      <c r="W139" s="138"/>
      <c r="X139" s="147"/>
      <c r="Z139" s="185"/>
      <c r="AE139" s="194"/>
      <c r="AF139" s="179"/>
      <c r="AG139" s="179"/>
      <c r="AH139" s="179"/>
      <c r="AJ139" s="179"/>
      <c r="AK139" s="157"/>
    </row>
    <row r="140" spans="1:46" s="83" customFormat="1" ht="7.5" customHeight="1" x14ac:dyDescent="0.2">
      <c r="A140" s="120"/>
      <c r="B140" s="18"/>
      <c r="C140" s="18"/>
      <c r="D140" s="17"/>
      <c r="E140" s="17"/>
      <c r="F140" s="17"/>
      <c r="G140" s="17"/>
      <c r="H140" s="17"/>
      <c r="I140" s="17"/>
      <c r="J140" s="13"/>
      <c r="K140" s="19"/>
      <c r="L140" s="19"/>
      <c r="M140" s="19"/>
      <c r="N140" s="19"/>
      <c r="O140" s="19"/>
      <c r="P140" s="19"/>
      <c r="Q140" s="19"/>
      <c r="R140" s="19"/>
      <c r="S140" s="19"/>
      <c r="T140" s="19"/>
      <c r="U140" s="20"/>
      <c r="V140" s="119"/>
      <c r="W140" s="138"/>
      <c r="X140" s="147"/>
      <c r="Z140" s="185"/>
      <c r="AJ140" s="179"/>
      <c r="AK140" s="153"/>
      <c r="AL140" s="76"/>
      <c r="AM140" s="76"/>
      <c r="AN140" s="76"/>
      <c r="AO140" s="76"/>
      <c r="AP140" s="76"/>
      <c r="AQ140" s="76"/>
      <c r="AR140" s="76"/>
    </row>
    <row r="141" spans="1:46" s="83" customFormat="1" ht="15" customHeight="1" x14ac:dyDescent="0.2">
      <c r="A141" s="1399"/>
      <c r="B141" s="1421"/>
      <c r="C141" s="1421"/>
      <c r="D141" s="1421"/>
      <c r="E141" s="1421"/>
      <c r="F141" s="1421"/>
      <c r="G141" s="1421"/>
      <c r="H141" s="1421"/>
      <c r="I141" s="1421"/>
      <c r="J141" s="1421"/>
      <c r="K141" s="1421"/>
      <c r="L141" s="1421"/>
      <c r="M141" s="1421"/>
      <c r="N141" s="1421"/>
      <c r="O141" s="1421"/>
      <c r="P141" s="1421"/>
      <c r="Q141" s="1421"/>
      <c r="R141" s="1421"/>
      <c r="S141" s="1421"/>
      <c r="T141" s="1421"/>
      <c r="U141" s="1421"/>
      <c r="V141" s="1422"/>
      <c r="W141" s="138"/>
      <c r="X141" s="147"/>
      <c r="AK141" s="157"/>
      <c r="AT141" s="76"/>
    </row>
    <row r="142" spans="1:46" s="83" customFormat="1" ht="11.25" customHeight="1" x14ac:dyDescent="0.2">
      <c r="A142" s="1428" t="str">
        <f>Home!$A$40</f>
        <v>LA's provide quarterly data on the condition that it is used by the benchmarking group for internal reporting only. Please DO NOT share other LA's data with any external partners or the public</v>
      </c>
      <c r="B142" s="1429"/>
      <c r="C142" s="1429"/>
      <c r="D142" s="1429"/>
      <c r="E142" s="1429"/>
      <c r="F142" s="1429"/>
      <c r="G142" s="1429"/>
      <c r="H142" s="1429"/>
      <c r="I142" s="1430"/>
      <c r="J142" s="1429"/>
      <c r="K142" s="1429"/>
      <c r="L142" s="1429"/>
      <c r="M142" s="1429"/>
      <c r="N142" s="1429"/>
      <c r="O142" s="1429"/>
      <c r="P142" s="1431"/>
      <c r="Q142" s="1429"/>
      <c r="R142" s="1429"/>
      <c r="S142" s="1429"/>
      <c r="T142" s="1430"/>
      <c r="U142" s="1429"/>
      <c r="V142" s="1432"/>
      <c r="W142" s="138"/>
      <c r="X142" s="147"/>
      <c r="AJ142" s="179"/>
      <c r="AK142" s="156"/>
      <c r="AL142" s="89"/>
      <c r="AT142" s="76"/>
    </row>
    <row r="143" spans="1:46" ht="11.25" customHeight="1" x14ac:dyDescent="0.2">
      <c r="A143" s="141"/>
      <c r="B143" s="1109"/>
      <c r="C143" s="9"/>
      <c r="D143" s="9"/>
      <c r="E143" s="9"/>
      <c r="F143" s="9"/>
      <c r="G143" s="9"/>
      <c r="H143" s="9"/>
      <c r="I143" s="9"/>
      <c r="J143" s="13"/>
      <c r="K143" s="9"/>
      <c r="L143" s="9"/>
      <c r="M143" s="9"/>
      <c r="N143" s="9"/>
      <c r="O143" s="9"/>
      <c r="P143" s="9"/>
      <c r="Q143" s="9"/>
      <c r="R143" s="9"/>
      <c r="S143" s="9"/>
      <c r="T143" s="9"/>
      <c r="U143" s="11"/>
      <c r="V143" s="11"/>
      <c r="W143" s="1311"/>
      <c r="X143" s="12"/>
      <c r="Y143" s="12"/>
      <c r="Z143" s="12"/>
      <c r="AA143" s="12"/>
      <c r="AB143" s="12"/>
      <c r="AC143" s="241"/>
      <c r="AF143" s="84"/>
      <c r="AI143" s="179"/>
      <c r="AJ143" s="179"/>
      <c r="AK143" s="153"/>
      <c r="AM143" s="83"/>
      <c r="AN143" s="83"/>
      <c r="AO143" s="83"/>
      <c r="AP143" s="83"/>
      <c r="AQ143" s="83"/>
      <c r="AR143" s="83"/>
    </row>
    <row r="144" spans="1:46" ht="11.25" customHeight="1" x14ac:dyDescent="0.2">
      <c r="A144" s="141"/>
      <c r="B144" s="1109"/>
      <c r="C144" s="9"/>
      <c r="D144" s="9"/>
      <c r="E144" s="9"/>
      <c r="F144" s="9"/>
      <c r="G144" s="9"/>
      <c r="H144" s="9"/>
      <c r="I144" s="9"/>
      <c r="J144" s="13"/>
      <c r="K144" s="9"/>
      <c r="L144" s="9"/>
      <c r="M144" s="9"/>
      <c r="N144" s="9"/>
      <c r="O144" s="9"/>
      <c r="P144" s="9"/>
      <c r="Q144" s="9"/>
      <c r="R144" s="9"/>
      <c r="S144" s="9"/>
      <c r="T144" s="9"/>
      <c r="U144" s="11"/>
      <c r="V144" s="11"/>
      <c r="W144" s="11"/>
      <c r="X144" s="12"/>
      <c r="Y144" s="12"/>
      <c r="Z144" s="12"/>
      <c r="AA144" s="12"/>
      <c r="AB144" s="12"/>
      <c r="AC144" s="241"/>
      <c r="AF144" s="84"/>
      <c r="AI144" s="179"/>
      <c r="AJ144" s="179"/>
      <c r="AK144" s="153"/>
      <c r="AM144" s="83"/>
      <c r="AN144" s="83"/>
      <c r="AO144" s="83"/>
      <c r="AP144" s="83"/>
      <c r="AQ144" s="83"/>
      <c r="AR144" s="83"/>
    </row>
    <row r="145" spans="1:44" ht="11.25" customHeight="1" x14ac:dyDescent="0.2">
      <c r="A145" s="141"/>
      <c r="B145" s="1367" t="s">
        <v>82</v>
      </c>
      <c r="C145" s="15"/>
      <c r="D145" s="1306"/>
      <c r="E145" s="1306"/>
      <c r="F145" s="9"/>
      <c r="G145" s="9"/>
      <c r="H145" s="9"/>
      <c r="I145" s="9"/>
      <c r="J145" s="13"/>
      <c r="K145" s="9"/>
      <c r="L145" s="9"/>
      <c r="M145" s="9"/>
      <c r="N145" s="9"/>
      <c r="O145" s="9"/>
      <c r="P145" s="9"/>
      <c r="Q145" s="9"/>
      <c r="R145" s="9"/>
      <c r="S145" s="9"/>
      <c r="T145" s="9"/>
      <c r="U145" s="11"/>
      <c r="V145" s="11"/>
      <c r="W145" s="11"/>
      <c r="X145" s="12"/>
      <c r="Y145" s="12"/>
      <c r="Z145" s="12"/>
      <c r="AA145" s="12"/>
      <c r="AB145" s="12"/>
      <c r="AC145" s="241"/>
      <c r="AF145" s="84"/>
      <c r="AI145" s="179"/>
      <c r="AJ145" s="179"/>
      <c r="AK145" s="153"/>
      <c r="AM145" s="83"/>
      <c r="AN145" s="83"/>
      <c r="AO145" s="83"/>
      <c r="AP145" s="83"/>
      <c r="AQ145" s="83"/>
      <c r="AR145" s="83"/>
    </row>
    <row r="146" spans="1:44" ht="11.25" customHeight="1" x14ac:dyDescent="0.2">
      <c r="A146" s="141"/>
      <c r="B146" s="1368"/>
      <c r="C146" s="9"/>
      <c r="D146" s="1306"/>
      <c r="E146" s="1306"/>
      <c r="F146" s="9"/>
      <c r="G146" s="9"/>
      <c r="H146" s="9"/>
      <c r="I146" s="9"/>
      <c r="J146" s="13"/>
      <c r="K146" s="9"/>
      <c r="L146" s="9"/>
      <c r="M146" s="9"/>
      <c r="N146" s="9"/>
      <c r="O146" s="9"/>
      <c r="P146" s="9"/>
      <c r="Q146" s="9"/>
      <c r="R146" s="9"/>
      <c r="S146" s="9"/>
      <c r="T146" s="9"/>
      <c r="U146" s="11"/>
      <c r="V146" s="11"/>
      <c r="W146" s="11"/>
      <c r="X146" s="12"/>
      <c r="Y146" s="12"/>
      <c r="Z146" s="12"/>
      <c r="AA146" s="12"/>
      <c r="AB146" s="12"/>
      <c r="AC146" s="241"/>
      <c r="AF146" s="84"/>
      <c r="AI146" s="179"/>
      <c r="AJ146" s="179"/>
      <c r="AK146" s="153"/>
    </row>
    <row r="147" spans="1:44" ht="11.25" customHeight="1" x14ac:dyDescent="0.2">
      <c r="A147" s="141"/>
      <c r="B147" s="1366" t="s">
        <v>806</v>
      </c>
      <c r="C147" s="1366"/>
      <c r="D147" s="1366"/>
      <c r="E147" s="1366"/>
      <c r="F147" s="9"/>
      <c r="G147" s="9"/>
      <c r="H147" s="9"/>
      <c r="I147" s="9"/>
      <c r="J147" s="13"/>
      <c r="K147" s="9"/>
      <c r="L147" s="9"/>
      <c r="M147" s="9"/>
      <c r="N147" s="9"/>
      <c r="O147" s="9"/>
      <c r="P147" s="9"/>
      <c r="Q147" s="9"/>
      <c r="R147" s="9"/>
      <c r="S147" s="9"/>
      <c r="T147" s="9"/>
      <c r="U147" s="11"/>
      <c r="V147" s="11"/>
      <c r="W147" s="11"/>
      <c r="X147" s="12"/>
      <c r="Y147" s="12"/>
      <c r="Z147" s="12"/>
      <c r="AA147" s="12"/>
      <c r="AB147" s="12"/>
      <c r="AC147" s="241"/>
      <c r="AF147" s="84"/>
      <c r="AI147" s="179"/>
      <c r="AJ147" s="179"/>
      <c r="AK147" s="153"/>
    </row>
    <row r="148" spans="1:44" ht="11.25" customHeight="1" x14ac:dyDescent="0.2">
      <c r="A148" s="141"/>
      <c r="B148" s="1366"/>
      <c r="C148" s="1366"/>
      <c r="D148" s="1366"/>
      <c r="E148" s="1366"/>
      <c r="F148" s="9"/>
      <c r="G148" s="9"/>
      <c r="H148" s="9"/>
      <c r="I148" s="9"/>
      <c r="J148" s="13"/>
      <c r="K148" s="9"/>
      <c r="L148" s="9"/>
      <c r="M148" s="9"/>
      <c r="N148" s="9"/>
      <c r="O148" s="9"/>
      <c r="P148" s="9"/>
      <c r="Q148" s="9"/>
      <c r="R148" s="9"/>
      <c r="S148" s="9"/>
      <c r="T148" s="9"/>
      <c r="U148" s="11"/>
      <c r="V148" s="11"/>
      <c r="W148" s="11"/>
      <c r="X148" s="12"/>
      <c r="Y148" s="12"/>
      <c r="Z148" s="12"/>
      <c r="AA148" s="12"/>
      <c r="AB148" s="12"/>
      <c r="AC148" s="241"/>
      <c r="AF148" s="84"/>
      <c r="AI148" s="183"/>
      <c r="AJ148" s="183"/>
      <c r="AK148" s="154"/>
    </row>
    <row r="149" spans="1:44" s="78" customFormat="1" ht="11.25" customHeight="1" x14ac:dyDescent="0.2">
      <c r="A149" s="141"/>
      <c r="B149" s="1366" t="s">
        <v>81</v>
      </c>
      <c r="C149" s="1366"/>
      <c r="D149" s="1366"/>
      <c r="E149" s="1366"/>
      <c r="F149" s="9"/>
      <c r="G149" s="9"/>
      <c r="H149" s="9"/>
      <c r="I149" s="9"/>
      <c r="J149" s="13"/>
      <c r="K149" s="9"/>
      <c r="L149" s="9"/>
      <c r="M149" s="9"/>
      <c r="N149" s="9"/>
      <c r="O149" s="9"/>
      <c r="P149" s="9"/>
      <c r="Q149" s="9"/>
      <c r="R149" s="9"/>
      <c r="S149" s="9"/>
      <c r="T149" s="9"/>
      <c r="U149" s="11"/>
      <c r="V149" s="11"/>
      <c r="W149" s="11"/>
      <c r="X149" s="12"/>
      <c r="Y149" s="12"/>
      <c r="Z149" s="12"/>
      <c r="AA149" s="12"/>
      <c r="AB149" s="12"/>
      <c r="AC149" s="241"/>
      <c r="AD149" s="83"/>
      <c r="AE149" s="83"/>
      <c r="AF149" s="84"/>
      <c r="AG149" s="83"/>
      <c r="AH149" s="83"/>
      <c r="AI149" s="179"/>
      <c r="AJ149" s="179"/>
      <c r="AK149" s="153"/>
    </row>
    <row r="150" spans="1:44" ht="11.25" customHeight="1" x14ac:dyDescent="0.2">
      <c r="A150" s="141"/>
      <c r="B150" s="1366"/>
      <c r="C150" s="1366"/>
      <c r="D150" s="1366"/>
      <c r="E150" s="1366"/>
      <c r="F150" s="9"/>
      <c r="G150" s="9"/>
      <c r="H150" s="9"/>
      <c r="I150" s="9"/>
      <c r="J150" s="13"/>
      <c r="K150" s="9"/>
      <c r="L150" s="9"/>
      <c r="M150" s="9"/>
      <c r="N150" s="9"/>
      <c r="O150" s="9"/>
      <c r="P150" s="9"/>
      <c r="Q150" s="9"/>
      <c r="R150" s="9"/>
      <c r="S150" s="9"/>
      <c r="T150" s="9"/>
      <c r="U150" s="11"/>
      <c r="V150" s="11"/>
      <c r="W150" s="11"/>
      <c r="X150" s="12"/>
      <c r="Y150" s="12"/>
      <c r="Z150" s="12"/>
      <c r="AA150" s="12"/>
      <c r="AB150" s="12"/>
      <c r="AC150" s="241"/>
      <c r="AF150" s="84"/>
      <c r="AI150" s="179"/>
      <c r="AJ150" s="179"/>
      <c r="AK150" s="153"/>
    </row>
    <row r="151" spans="1:44" ht="11.25" customHeight="1" x14ac:dyDescent="0.2">
      <c r="A151" s="141"/>
      <c r="B151" s="1366" t="s">
        <v>78</v>
      </c>
      <c r="C151" s="1366"/>
      <c r="D151" s="1366"/>
      <c r="E151" s="1366"/>
      <c r="F151" s="9"/>
      <c r="G151" s="9"/>
      <c r="H151" s="9"/>
      <c r="I151" s="9"/>
      <c r="J151" s="13"/>
      <c r="K151" s="9"/>
      <c r="L151" s="9"/>
      <c r="M151" s="9"/>
      <c r="N151" s="9"/>
      <c r="O151" s="9"/>
      <c r="P151" s="9"/>
      <c r="Q151" s="9"/>
      <c r="R151" s="9"/>
      <c r="S151" s="9"/>
      <c r="T151" s="9"/>
      <c r="U151" s="11"/>
      <c r="V151" s="11"/>
      <c r="W151" s="11"/>
      <c r="X151" s="12"/>
      <c r="Y151" s="12"/>
      <c r="Z151" s="12"/>
      <c r="AA151" s="12"/>
      <c r="AB151" s="12"/>
      <c r="AC151" s="241"/>
      <c r="AF151" s="84"/>
      <c r="AI151" s="179"/>
      <c r="AJ151" s="179"/>
      <c r="AK151" s="153"/>
    </row>
    <row r="152" spans="1:44" ht="11.25" customHeight="1" x14ac:dyDescent="0.2">
      <c r="A152" s="141"/>
      <c r="B152" s="1366"/>
      <c r="C152" s="1366"/>
      <c r="D152" s="1366"/>
      <c r="E152" s="1366"/>
      <c r="F152" s="9"/>
      <c r="G152" s="9"/>
      <c r="H152" s="9"/>
      <c r="I152" s="9"/>
      <c r="J152" s="13"/>
      <c r="K152" s="9"/>
      <c r="L152" s="9"/>
      <c r="M152" s="9"/>
      <c r="N152" s="9"/>
      <c r="O152" s="9"/>
      <c r="P152" s="9"/>
      <c r="Q152" s="9"/>
      <c r="R152" s="9"/>
      <c r="S152" s="9"/>
      <c r="T152" s="9"/>
      <c r="U152" s="11"/>
      <c r="V152" s="11"/>
      <c r="W152" s="11"/>
      <c r="X152" s="12"/>
      <c r="Y152" s="12"/>
      <c r="Z152" s="12"/>
      <c r="AA152" s="12"/>
      <c r="AB152" s="12"/>
      <c r="AC152" s="241"/>
      <c r="AF152" s="84"/>
      <c r="AI152" s="179"/>
      <c r="AJ152" s="179"/>
      <c r="AK152" s="153"/>
    </row>
    <row r="153" spans="1:44" ht="11.25" customHeight="1" x14ac:dyDescent="0.2">
      <c r="A153" s="141"/>
      <c r="B153" s="1366" t="s">
        <v>17</v>
      </c>
      <c r="C153" s="1366"/>
      <c r="D153" s="1366"/>
      <c r="E153" s="1366"/>
      <c r="F153" s="9"/>
      <c r="G153" s="9"/>
      <c r="H153" s="9"/>
      <c r="I153" s="9"/>
      <c r="J153" s="13"/>
      <c r="K153" s="9"/>
      <c r="L153" s="9"/>
      <c r="M153" s="9"/>
      <c r="N153" s="9"/>
      <c r="O153" s="9"/>
      <c r="P153" s="9"/>
      <c r="Q153" s="9"/>
      <c r="R153" s="9"/>
      <c r="S153" s="9"/>
      <c r="T153" s="9"/>
      <c r="U153" s="11"/>
      <c r="V153" s="11"/>
      <c r="W153" s="11"/>
      <c r="X153" s="12"/>
      <c r="Y153" s="12"/>
      <c r="Z153" s="12"/>
      <c r="AA153" s="12"/>
      <c r="AB153" s="12"/>
      <c r="AC153" s="241"/>
      <c r="AF153" s="84"/>
      <c r="AI153" s="179"/>
      <c r="AJ153" s="179"/>
      <c r="AK153" s="153"/>
    </row>
    <row r="154" spans="1:44" ht="11.25" customHeight="1" x14ac:dyDescent="0.2">
      <c r="A154" s="141"/>
      <c r="B154" s="1366"/>
      <c r="C154" s="1366"/>
      <c r="D154" s="1366"/>
      <c r="E154" s="1366"/>
      <c r="F154" s="9"/>
      <c r="G154" s="9"/>
      <c r="H154" s="9"/>
      <c r="I154" s="9"/>
      <c r="J154" s="13"/>
      <c r="K154" s="9"/>
      <c r="L154" s="9"/>
      <c r="M154" s="9"/>
      <c r="N154" s="9"/>
      <c r="O154" s="9"/>
      <c r="P154" s="9"/>
      <c r="Q154" s="9"/>
      <c r="R154" s="9"/>
      <c r="S154" s="9"/>
      <c r="T154" s="9"/>
      <c r="U154" s="11"/>
      <c r="V154" s="11"/>
      <c r="W154" s="11"/>
      <c r="X154" s="12"/>
      <c r="Y154" s="12"/>
      <c r="Z154" s="12"/>
      <c r="AA154" s="12"/>
      <c r="AB154" s="12"/>
      <c r="AC154" s="241"/>
      <c r="AF154" s="84"/>
      <c r="AI154" s="179"/>
      <c r="AJ154" s="179"/>
      <c r="AK154" s="153"/>
    </row>
    <row r="155" spans="1:44" ht="11.25" customHeight="1" x14ac:dyDescent="0.2">
      <c r="A155" s="141"/>
      <c r="B155" s="1366" t="s">
        <v>80</v>
      </c>
      <c r="C155" s="1366"/>
      <c r="D155" s="1366"/>
      <c r="E155" s="1366"/>
      <c r="F155" s="9"/>
      <c r="G155" s="9"/>
      <c r="H155" s="9"/>
      <c r="I155" s="9"/>
      <c r="J155" s="13"/>
      <c r="K155" s="9"/>
      <c r="L155" s="9"/>
      <c r="M155" s="9"/>
      <c r="N155" s="9"/>
      <c r="O155" s="9"/>
      <c r="P155" s="9"/>
      <c r="Q155" s="9"/>
      <c r="R155" s="9"/>
      <c r="S155" s="9"/>
      <c r="T155" s="9"/>
      <c r="U155" s="11"/>
      <c r="V155" s="11"/>
      <c r="W155" s="11"/>
      <c r="X155" s="12"/>
      <c r="Y155" s="12"/>
      <c r="Z155" s="12"/>
      <c r="AA155" s="12"/>
      <c r="AB155" s="12"/>
      <c r="AC155" s="241"/>
      <c r="AF155" s="84"/>
      <c r="AI155" s="179"/>
      <c r="AJ155" s="179"/>
      <c r="AK155" s="153"/>
    </row>
    <row r="156" spans="1:44" ht="11.25" customHeight="1" x14ac:dyDescent="0.2">
      <c r="A156" s="141"/>
      <c r="B156" s="1366"/>
      <c r="C156" s="1366"/>
      <c r="D156" s="1366"/>
      <c r="E156" s="1366"/>
      <c r="F156" s="9"/>
      <c r="G156" s="9"/>
      <c r="H156" s="9"/>
      <c r="I156" s="9"/>
      <c r="J156" s="13"/>
      <c r="K156" s="9"/>
      <c r="L156" s="9"/>
      <c r="M156" s="9"/>
      <c r="N156" s="9"/>
      <c r="O156" s="9"/>
      <c r="P156" s="9"/>
      <c r="Q156" s="9"/>
      <c r="R156" s="9"/>
      <c r="S156" s="9"/>
      <c r="T156" s="9"/>
      <c r="U156" s="11"/>
      <c r="V156" s="11"/>
      <c r="W156" s="11"/>
      <c r="X156" s="12"/>
      <c r="Y156" s="12"/>
      <c r="Z156" s="12"/>
      <c r="AA156" s="12"/>
      <c r="AB156" s="12"/>
      <c r="AC156" s="241"/>
      <c r="AF156" s="84"/>
      <c r="AI156" s="179"/>
      <c r="AJ156" s="179"/>
      <c r="AK156" s="153"/>
    </row>
    <row r="157" spans="1:44" ht="11.25" customHeight="1" x14ac:dyDescent="0.2">
      <c r="A157" s="141"/>
      <c r="B157" s="1366" t="s">
        <v>69</v>
      </c>
      <c r="C157" s="1366"/>
      <c r="D157" s="1366"/>
      <c r="E157" s="1366"/>
      <c r="F157" s="9"/>
      <c r="G157" s="9"/>
      <c r="H157" s="9"/>
      <c r="I157" s="9"/>
      <c r="J157" s="13"/>
      <c r="K157" s="9"/>
      <c r="L157" s="9"/>
      <c r="M157" s="9"/>
      <c r="N157" s="9"/>
      <c r="O157" s="9"/>
      <c r="P157" s="9"/>
      <c r="Q157" s="9"/>
      <c r="R157" s="9"/>
      <c r="S157" s="9"/>
      <c r="T157" s="9"/>
      <c r="U157" s="11"/>
      <c r="V157" s="11"/>
      <c r="W157" s="11"/>
      <c r="X157" s="12"/>
      <c r="Y157" s="12"/>
      <c r="Z157" s="12"/>
      <c r="AA157" s="12"/>
      <c r="AB157" s="12"/>
      <c r="AC157" s="241"/>
      <c r="AF157" s="84"/>
      <c r="AI157" s="179"/>
      <c r="AJ157" s="179"/>
      <c r="AK157" s="153"/>
    </row>
    <row r="158" spans="1:44" ht="11.25" customHeight="1" x14ac:dyDescent="0.2">
      <c r="A158" s="141"/>
      <c r="B158" s="1366"/>
      <c r="C158" s="1366"/>
      <c r="D158" s="1366"/>
      <c r="E158" s="1366"/>
      <c r="F158" s="9"/>
      <c r="G158" s="9"/>
      <c r="H158" s="9"/>
      <c r="I158" s="9"/>
      <c r="J158" s="13"/>
      <c r="K158" s="9"/>
      <c r="L158" s="9"/>
      <c r="M158" s="9"/>
      <c r="N158" s="9"/>
      <c r="O158" s="9"/>
      <c r="P158" s="9"/>
      <c r="Q158" s="9"/>
      <c r="R158" s="9"/>
      <c r="S158" s="9"/>
      <c r="T158" s="9"/>
      <c r="U158" s="11"/>
      <c r="V158" s="11"/>
      <c r="W158" s="11"/>
      <c r="X158" s="12"/>
      <c r="Y158" s="12"/>
      <c r="Z158" s="12"/>
      <c r="AA158" s="12"/>
      <c r="AB158" s="12"/>
      <c r="AC158" s="241"/>
      <c r="AF158" s="84"/>
      <c r="AI158" s="179"/>
      <c r="AJ158" s="179"/>
      <c r="AK158" s="153"/>
    </row>
    <row r="159" spans="1:44" ht="11.25" customHeight="1" x14ac:dyDescent="0.2">
      <c r="A159" s="141"/>
      <c r="B159" s="1366" t="s">
        <v>24</v>
      </c>
      <c r="C159" s="1366"/>
      <c r="D159" s="1366"/>
      <c r="E159" s="1366"/>
      <c r="F159" s="9"/>
      <c r="G159" s="9"/>
      <c r="H159" s="9"/>
      <c r="I159" s="9"/>
      <c r="J159" s="13"/>
      <c r="K159" s="9"/>
      <c r="L159" s="9"/>
      <c r="M159" s="9"/>
      <c r="N159" s="9"/>
      <c r="O159" s="9"/>
      <c r="P159" s="9"/>
      <c r="Q159" s="9"/>
      <c r="R159" s="9"/>
      <c r="S159" s="9"/>
      <c r="T159" s="9"/>
      <c r="U159" s="11"/>
      <c r="V159" s="11"/>
      <c r="W159" s="11"/>
      <c r="X159" s="12"/>
      <c r="Y159" s="12"/>
      <c r="Z159" s="12"/>
      <c r="AA159" s="12"/>
      <c r="AB159" s="12"/>
      <c r="AC159" s="241"/>
      <c r="AF159" s="84"/>
      <c r="AI159" s="179"/>
      <c r="AJ159" s="179"/>
      <c r="AK159" s="153"/>
    </row>
    <row r="160" spans="1:44" ht="11.25" customHeight="1" x14ac:dyDescent="0.2">
      <c r="A160" s="141"/>
      <c r="B160" s="1366"/>
      <c r="C160" s="1366"/>
      <c r="D160" s="1366"/>
      <c r="E160" s="1366"/>
      <c r="F160" s="9"/>
      <c r="G160" s="9"/>
      <c r="H160" s="9"/>
      <c r="I160" s="9"/>
      <c r="J160" s="13"/>
      <c r="K160" s="9"/>
      <c r="L160" s="9"/>
      <c r="M160" s="9"/>
      <c r="N160" s="9"/>
      <c r="O160" s="9"/>
      <c r="P160" s="9"/>
      <c r="Q160" s="9"/>
      <c r="R160" s="9"/>
      <c r="S160" s="9"/>
      <c r="T160" s="9"/>
      <c r="U160" s="11"/>
      <c r="V160" s="11"/>
      <c r="W160" s="11"/>
      <c r="X160" s="12"/>
      <c r="Y160" s="12"/>
      <c r="Z160" s="12"/>
      <c r="AA160" s="12"/>
      <c r="AB160" s="12"/>
      <c r="AC160" s="241"/>
      <c r="AF160" s="84"/>
      <c r="AI160" s="179"/>
      <c r="AJ160" s="179"/>
      <c r="AK160" s="153"/>
    </row>
    <row r="161" spans="1:37" ht="11.25" customHeight="1" x14ac:dyDescent="0.2">
      <c r="A161" s="141"/>
      <c r="B161" s="1366" t="s">
        <v>22</v>
      </c>
      <c r="C161" s="1366"/>
      <c r="D161" s="1366"/>
      <c r="E161" s="1366"/>
      <c r="F161" s="9"/>
      <c r="G161" s="9"/>
      <c r="H161" s="9"/>
      <c r="I161" s="9"/>
      <c r="J161" s="13"/>
      <c r="K161" s="9"/>
      <c r="L161" s="9"/>
      <c r="M161" s="9"/>
      <c r="N161" s="9"/>
      <c r="O161" s="9"/>
      <c r="P161" s="9"/>
      <c r="Q161" s="9"/>
      <c r="R161" s="9"/>
      <c r="S161" s="9"/>
      <c r="T161" s="9"/>
      <c r="U161" s="11"/>
      <c r="V161" s="11"/>
      <c r="W161" s="11"/>
      <c r="X161" s="12"/>
      <c r="Y161" s="12"/>
      <c r="Z161" s="12"/>
      <c r="AA161" s="12"/>
      <c r="AB161" s="12"/>
      <c r="AC161" s="241"/>
      <c r="AF161" s="84"/>
      <c r="AI161" s="179"/>
      <c r="AJ161" s="179"/>
      <c r="AK161" s="153"/>
    </row>
    <row r="162" spans="1:37" ht="11.25" customHeight="1" x14ac:dyDescent="0.2">
      <c r="A162" s="141"/>
      <c r="B162" s="1366"/>
      <c r="C162" s="1366"/>
      <c r="D162" s="1366"/>
      <c r="E162" s="1366"/>
      <c r="F162" s="9"/>
      <c r="G162" s="9"/>
      <c r="H162" s="9"/>
      <c r="I162" s="9"/>
      <c r="J162" s="13"/>
      <c r="K162" s="9"/>
      <c r="L162" s="9"/>
      <c r="M162" s="9"/>
      <c r="N162" s="9"/>
      <c r="O162" s="9"/>
      <c r="P162" s="9"/>
      <c r="Q162" s="9"/>
      <c r="R162" s="9"/>
      <c r="S162" s="9"/>
      <c r="T162" s="9"/>
      <c r="U162" s="11"/>
      <c r="V162" s="11"/>
      <c r="W162" s="11"/>
      <c r="X162" s="12"/>
      <c r="Y162" s="12"/>
      <c r="Z162" s="12"/>
      <c r="AA162" s="12"/>
      <c r="AB162" s="12"/>
      <c r="AC162" s="241"/>
      <c r="AF162" s="84"/>
      <c r="AI162" s="179"/>
      <c r="AJ162" s="179"/>
      <c r="AK162" s="153"/>
    </row>
    <row r="163" spans="1:37" ht="11.25" customHeight="1" x14ac:dyDescent="0.2">
      <c r="A163" s="141"/>
      <c r="B163" s="1366" t="s">
        <v>25</v>
      </c>
      <c r="C163" s="1366"/>
      <c r="D163" s="1366"/>
      <c r="E163" s="1366"/>
      <c r="F163" s="9"/>
      <c r="G163" s="9"/>
      <c r="H163" s="9"/>
      <c r="I163" s="9"/>
      <c r="J163" s="13"/>
      <c r="K163" s="9"/>
      <c r="L163" s="9"/>
      <c r="M163" s="9"/>
      <c r="N163" s="9"/>
      <c r="O163" s="9"/>
      <c r="P163" s="9"/>
      <c r="Q163" s="9"/>
      <c r="R163" s="9"/>
      <c r="S163" s="9"/>
      <c r="T163" s="9"/>
      <c r="U163" s="11"/>
      <c r="V163" s="11"/>
      <c r="W163" s="11"/>
      <c r="X163" s="12"/>
      <c r="Y163" s="12"/>
      <c r="Z163" s="12"/>
      <c r="AA163" s="12"/>
      <c r="AB163" s="12"/>
      <c r="AC163" s="241"/>
      <c r="AF163" s="84"/>
      <c r="AI163" s="179"/>
      <c r="AJ163" s="179"/>
      <c r="AK163" s="153"/>
    </row>
    <row r="164" spans="1:37" ht="11.25" customHeight="1" x14ac:dyDescent="0.2">
      <c r="A164" s="141"/>
      <c r="B164" s="1366"/>
      <c r="C164" s="1366"/>
      <c r="D164" s="1366"/>
      <c r="E164" s="1366"/>
      <c r="F164" s="9"/>
      <c r="G164" s="9"/>
      <c r="H164" s="9"/>
      <c r="I164" s="9"/>
      <c r="J164" s="13"/>
      <c r="K164" s="9"/>
      <c r="L164" s="9"/>
      <c r="M164" s="9"/>
      <c r="N164" s="9"/>
      <c r="O164" s="9"/>
      <c r="P164" s="9"/>
      <c r="Q164" s="9"/>
      <c r="R164" s="9"/>
      <c r="S164" s="9"/>
      <c r="T164" s="9"/>
      <c r="U164" s="11"/>
      <c r="V164" s="11"/>
      <c r="W164" s="11"/>
      <c r="X164" s="12"/>
      <c r="Y164" s="12"/>
      <c r="Z164" s="12"/>
      <c r="AA164" s="12"/>
      <c r="AB164" s="12"/>
      <c r="AC164" s="241"/>
      <c r="AF164" s="84"/>
      <c r="AI164" s="179"/>
      <c r="AJ164" s="179"/>
      <c r="AK164" s="153"/>
    </row>
    <row r="165" spans="1:37" ht="11.25" customHeight="1" x14ac:dyDescent="0.2">
      <c r="A165" s="141"/>
      <c r="B165" s="1366" t="s">
        <v>18</v>
      </c>
      <c r="C165" s="1366"/>
      <c r="D165" s="1366"/>
      <c r="E165" s="1366"/>
      <c r="F165" s="9"/>
      <c r="G165" s="9"/>
      <c r="H165" s="9"/>
      <c r="I165" s="9"/>
      <c r="J165" s="13"/>
      <c r="K165" s="9"/>
      <c r="L165" s="9"/>
      <c r="M165" s="9"/>
      <c r="N165" s="9"/>
      <c r="O165" s="9"/>
      <c r="P165" s="9"/>
      <c r="Q165" s="9"/>
      <c r="R165" s="9"/>
      <c r="S165" s="9"/>
      <c r="T165" s="9"/>
      <c r="U165" s="11"/>
      <c r="V165" s="11"/>
      <c r="W165" s="11"/>
      <c r="X165" s="12"/>
      <c r="Y165" s="12"/>
      <c r="Z165" s="12"/>
      <c r="AA165" s="12"/>
      <c r="AB165" s="12"/>
      <c r="AC165" s="241"/>
      <c r="AF165" s="84"/>
      <c r="AI165" s="179"/>
      <c r="AJ165" s="179"/>
      <c r="AK165" s="153"/>
    </row>
    <row r="166" spans="1:37" ht="11.25" customHeight="1" x14ac:dyDescent="0.2">
      <c r="A166" s="141"/>
      <c r="B166" s="1366"/>
      <c r="C166" s="1366"/>
      <c r="D166" s="1366"/>
      <c r="E166" s="1366"/>
      <c r="F166" s="9"/>
      <c r="G166" s="9"/>
      <c r="H166" s="9"/>
      <c r="I166" s="9"/>
      <c r="J166" s="13"/>
      <c r="K166" s="9"/>
      <c r="L166" s="9"/>
      <c r="M166" s="9"/>
      <c r="N166" s="9"/>
      <c r="O166" s="9"/>
      <c r="P166" s="9"/>
      <c r="Q166" s="9"/>
      <c r="R166" s="9"/>
      <c r="S166" s="9"/>
      <c r="T166" s="9"/>
      <c r="U166" s="11"/>
      <c r="V166" s="11"/>
      <c r="W166" s="11"/>
      <c r="X166" s="12"/>
      <c r="Y166" s="12"/>
      <c r="Z166" s="12"/>
      <c r="AA166" s="12"/>
      <c r="AB166" s="12"/>
      <c r="AC166" s="241"/>
      <c r="AF166" s="84"/>
      <c r="AI166" s="179"/>
      <c r="AJ166" s="179"/>
      <c r="AK166" s="153"/>
    </row>
    <row r="167" spans="1:37" ht="11.25" customHeight="1" x14ac:dyDescent="0.2">
      <c r="A167" s="141"/>
      <c r="B167" s="1366" t="s">
        <v>19</v>
      </c>
      <c r="C167" s="1366"/>
      <c r="D167" s="1366"/>
      <c r="E167" s="1366"/>
      <c r="F167" s="1366"/>
      <c r="G167" s="9"/>
      <c r="H167" s="9"/>
      <c r="I167" s="9"/>
      <c r="J167" s="13"/>
      <c r="K167" s="9"/>
      <c r="L167" s="9"/>
      <c r="M167" s="9"/>
      <c r="N167" s="9"/>
      <c r="O167" s="9"/>
      <c r="P167" s="9"/>
      <c r="Q167" s="9"/>
      <c r="R167" s="9"/>
      <c r="S167" s="9"/>
      <c r="T167" s="9"/>
      <c r="U167" s="11"/>
      <c r="V167" s="11"/>
      <c r="W167" s="11"/>
      <c r="X167" s="12"/>
      <c r="Y167" s="12"/>
      <c r="Z167" s="12"/>
      <c r="AA167" s="12"/>
      <c r="AB167" s="12"/>
      <c r="AC167" s="241"/>
      <c r="AF167" s="84"/>
      <c r="AI167" s="179"/>
      <c r="AJ167" s="179"/>
      <c r="AK167" s="153"/>
    </row>
    <row r="168" spans="1:37" ht="11.25" customHeight="1" x14ac:dyDescent="0.2">
      <c r="A168" s="141"/>
      <c r="B168" s="1366"/>
      <c r="C168" s="1366"/>
      <c r="D168" s="1366"/>
      <c r="E168" s="1366"/>
      <c r="F168" s="1366"/>
      <c r="G168" s="9"/>
      <c r="H168" s="9"/>
      <c r="I168" s="9"/>
      <c r="J168" s="13"/>
      <c r="K168" s="9"/>
      <c r="L168" s="9"/>
      <c r="M168" s="9"/>
      <c r="N168" s="9"/>
      <c r="O168" s="9"/>
      <c r="P168" s="9"/>
      <c r="Q168" s="9"/>
      <c r="R168" s="9"/>
      <c r="S168" s="9"/>
      <c r="T168" s="9"/>
      <c r="U168" s="11"/>
      <c r="V168" s="11"/>
      <c r="W168" s="11"/>
      <c r="X168" s="12"/>
      <c r="Y168" s="12"/>
      <c r="Z168" s="12"/>
      <c r="AA168" s="12"/>
      <c r="AB168" s="12"/>
      <c r="AC168" s="241"/>
      <c r="AF168" s="84"/>
      <c r="AI168" s="179"/>
      <c r="AJ168" s="179"/>
      <c r="AK168" s="153"/>
    </row>
    <row r="169" spans="1:37" ht="11.25" customHeight="1" x14ac:dyDescent="0.2">
      <c r="A169" s="141"/>
      <c r="B169" s="1366" t="s">
        <v>20</v>
      </c>
      <c r="C169" s="1366"/>
      <c r="D169" s="1366"/>
      <c r="E169" s="1366"/>
      <c r="F169" s="9"/>
      <c r="G169" s="9"/>
      <c r="H169" s="9"/>
      <c r="I169" s="9"/>
      <c r="J169" s="13"/>
      <c r="K169" s="9"/>
      <c r="L169" s="9"/>
      <c r="M169" s="9"/>
      <c r="N169" s="9"/>
      <c r="O169" s="9"/>
      <c r="P169" s="9"/>
      <c r="Q169" s="9"/>
      <c r="R169" s="9"/>
      <c r="S169" s="9"/>
      <c r="T169" s="9"/>
      <c r="U169" s="11"/>
      <c r="V169" s="11"/>
      <c r="W169" s="11"/>
      <c r="X169" s="12"/>
      <c r="Y169" s="12"/>
      <c r="Z169" s="12"/>
      <c r="AA169" s="12"/>
      <c r="AB169" s="12"/>
      <c r="AC169" s="241"/>
      <c r="AF169" s="84"/>
      <c r="AI169" s="179"/>
      <c r="AJ169" s="179"/>
      <c r="AK169" s="153"/>
    </row>
    <row r="170" spans="1:37" ht="11.25" customHeight="1" x14ac:dyDescent="0.2">
      <c r="A170" s="141"/>
      <c r="B170" s="1366"/>
      <c r="C170" s="1366"/>
      <c r="D170" s="1366"/>
      <c r="E170" s="1366"/>
      <c r="F170" s="9"/>
      <c r="G170" s="9"/>
      <c r="H170" s="9"/>
      <c r="I170" s="9"/>
      <c r="J170" s="13"/>
      <c r="K170" s="9"/>
      <c r="L170" s="9"/>
      <c r="M170" s="9"/>
      <c r="N170" s="9"/>
      <c r="O170" s="9"/>
      <c r="P170" s="9"/>
      <c r="Q170" s="9"/>
      <c r="R170" s="9"/>
      <c r="S170" s="9"/>
      <c r="T170" s="9"/>
      <c r="U170" s="11"/>
      <c r="V170" s="11"/>
      <c r="W170" s="11"/>
      <c r="X170" s="12"/>
      <c r="Y170" s="12"/>
      <c r="Z170" s="12"/>
      <c r="AA170" s="12"/>
      <c r="AB170" s="12"/>
      <c r="AC170" s="241"/>
      <c r="AF170" s="84"/>
      <c r="AI170" s="179"/>
      <c r="AJ170" s="179"/>
      <c r="AK170" s="153"/>
    </row>
    <row r="171" spans="1:37" ht="11.25" customHeight="1" x14ac:dyDescent="0.2">
      <c r="A171" s="141"/>
      <c r="B171" s="1366" t="s">
        <v>26</v>
      </c>
      <c r="C171" s="1366"/>
      <c r="D171" s="1366"/>
      <c r="E171" s="1366"/>
      <c r="F171" s="9"/>
      <c r="G171" s="9"/>
      <c r="H171" s="9"/>
      <c r="I171" s="9"/>
      <c r="J171" s="13"/>
      <c r="K171" s="9"/>
      <c r="L171" s="9"/>
      <c r="M171" s="9"/>
      <c r="N171" s="9"/>
      <c r="O171" s="9"/>
      <c r="P171" s="9"/>
      <c r="Q171" s="9"/>
      <c r="R171" s="9"/>
      <c r="S171" s="9"/>
      <c r="T171" s="9"/>
      <c r="U171" s="11"/>
      <c r="V171" s="11"/>
      <c r="W171" s="11"/>
      <c r="X171" s="12"/>
      <c r="Y171" s="12"/>
      <c r="Z171" s="12"/>
      <c r="AA171" s="12"/>
      <c r="AB171" s="12"/>
      <c r="AC171" s="241"/>
      <c r="AF171" s="84"/>
      <c r="AI171" s="179"/>
      <c r="AJ171" s="179"/>
      <c r="AK171" s="153"/>
    </row>
    <row r="172" spans="1:37" ht="11.25" customHeight="1" x14ac:dyDescent="0.2">
      <c r="A172" s="141"/>
      <c r="B172" s="1366"/>
      <c r="C172" s="1366"/>
      <c r="D172" s="1366"/>
      <c r="E172" s="1366"/>
      <c r="F172" s="9"/>
      <c r="G172" s="9"/>
      <c r="H172" s="9"/>
      <c r="I172" s="9"/>
      <c r="J172" s="13"/>
      <c r="K172" s="9"/>
      <c r="L172" s="9"/>
      <c r="M172" s="9"/>
      <c r="N172" s="9"/>
      <c r="O172" s="9"/>
      <c r="P172" s="9"/>
      <c r="Q172" s="9"/>
      <c r="R172" s="9"/>
      <c r="S172" s="9"/>
      <c r="T172" s="9"/>
      <c r="U172" s="11"/>
      <c r="V172" s="11"/>
      <c r="W172" s="11"/>
      <c r="X172" s="12"/>
      <c r="Y172" s="12"/>
      <c r="Z172" s="12"/>
      <c r="AA172" s="12"/>
      <c r="AB172" s="12"/>
      <c r="AC172" s="241"/>
      <c r="AF172" s="84"/>
      <c r="AI172" s="179"/>
      <c r="AJ172" s="179"/>
      <c r="AK172" s="153"/>
    </row>
    <row r="173" spans="1:37" ht="11.25" customHeight="1" x14ac:dyDescent="0.2">
      <c r="A173" s="141"/>
      <c r="B173" s="1366" t="s">
        <v>21</v>
      </c>
      <c r="C173" s="1366"/>
      <c r="D173" s="1366"/>
      <c r="E173" s="1366"/>
      <c r="F173" s="9"/>
      <c r="G173" s="9"/>
      <c r="H173" s="9"/>
      <c r="I173" s="9"/>
      <c r="J173" s="13"/>
      <c r="K173" s="9"/>
      <c r="L173" s="9"/>
      <c r="M173" s="9"/>
      <c r="N173" s="9"/>
      <c r="O173" s="9"/>
      <c r="P173" s="9"/>
      <c r="Q173" s="9"/>
      <c r="R173" s="9"/>
      <c r="S173" s="9"/>
      <c r="T173" s="9"/>
      <c r="U173" s="11"/>
      <c r="V173" s="11"/>
      <c r="W173" s="11"/>
      <c r="X173" s="12"/>
      <c r="Y173" s="12"/>
      <c r="Z173" s="12"/>
      <c r="AA173" s="12"/>
      <c r="AB173" s="12"/>
      <c r="AC173" s="241"/>
      <c r="AF173" s="84"/>
      <c r="AI173" s="179"/>
      <c r="AJ173" s="179"/>
      <c r="AK173" s="153"/>
    </row>
    <row r="174" spans="1:37" ht="11.25" customHeight="1" x14ac:dyDescent="0.2">
      <c r="A174" s="141"/>
      <c r="B174" s="1366"/>
      <c r="C174" s="1366"/>
      <c r="D174" s="1366"/>
      <c r="E174" s="1366"/>
      <c r="F174" s="9"/>
      <c r="G174" s="9"/>
      <c r="H174" s="9"/>
      <c r="I174" s="9"/>
      <c r="J174" s="13"/>
      <c r="K174" s="9"/>
      <c r="L174" s="9"/>
      <c r="M174" s="9"/>
      <c r="N174" s="9"/>
      <c r="O174" s="9"/>
      <c r="P174" s="9"/>
      <c r="Q174" s="9"/>
      <c r="R174" s="9"/>
      <c r="S174" s="9"/>
      <c r="T174" s="9"/>
      <c r="U174" s="11"/>
      <c r="V174" s="11"/>
      <c r="W174" s="11"/>
      <c r="X174" s="12"/>
      <c r="Y174" s="12"/>
      <c r="Z174" s="12"/>
      <c r="AA174" s="12"/>
      <c r="AB174" s="12"/>
      <c r="AC174" s="241"/>
      <c r="AF174" s="84"/>
      <c r="AI174" s="179"/>
      <c r="AJ174" s="179"/>
      <c r="AK174" s="153"/>
    </row>
    <row r="175" spans="1:37" ht="11.25" customHeight="1" x14ac:dyDescent="0.2">
      <c r="A175" s="141"/>
      <c r="B175" s="1366" t="s">
        <v>930</v>
      </c>
      <c r="C175" s="1366"/>
      <c r="D175" s="1366"/>
      <c r="E175" s="1366"/>
      <c r="F175" s="1366"/>
      <c r="G175" s="9"/>
      <c r="H175" s="9"/>
      <c r="I175" s="9"/>
      <c r="J175" s="13"/>
      <c r="K175" s="9"/>
      <c r="L175" s="9"/>
      <c r="M175" s="9"/>
      <c r="N175" s="9"/>
      <c r="O175" s="9"/>
      <c r="P175" s="9"/>
      <c r="Q175" s="9"/>
      <c r="R175" s="9"/>
      <c r="S175" s="9"/>
      <c r="T175" s="9"/>
      <c r="U175" s="11"/>
      <c r="V175" s="11"/>
      <c r="W175" s="11"/>
      <c r="X175" s="12"/>
      <c r="Y175" s="12"/>
      <c r="Z175" s="12"/>
      <c r="AA175" s="12"/>
      <c r="AB175" s="12"/>
      <c r="AC175" s="241"/>
      <c r="AF175" s="84"/>
      <c r="AI175" s="179"/>
      <c r="AJ175" s="179"/>
      <c r="AK175" s="153"/>
    </row>
    <row r="176" spans="1:37" ht="11.25" customHeight="1" x14ac:dyDescent="0.2">
      <c r="A176" s="141"/>
      <c r="B176" s="1366"/>
      <c r="C176" s="1366"/>
      <c r="D176" s="1366"/>
      <c r="E176" s="1366"/>
      <c r="F176" s="1366"/>
      <c r="G176" s="9"/>
      <c r="H176" s="9"/>
      <c r="I176" s="9"/>
      <c r="J176" s="13"/>
      <c r="K176" s="9"/>
      <c r="L176" s="9"/>
      <c r="M176" s="9"/>
      <c r="N176" s="9"/>
      <c r="O176" s="9"/>
      <c r="P176" s="9"/>
      <c r="Q176" s="9"/>
      <c r="R176" s="9"/>
      <c r="S176" s="9"/>
      <c r="T176" s="9"/>
      <c r="U176" s="11"/>
      <c r="V176" s="11"/>
      <c r="W176" s="11"/>
      <c r="X176" s="12"/>
      <c r="Y176" s="12"/>
      <c r="Z176" s="12"/>
      <c r="AA176" s="12"/>
      <c r="AB176" s="12"/>
      <c r="AC176" s="241"/>
      <c r="AF176" s="84"/>
      <c r="AI176" s="179"/>
      <c r="AJ176" s="179"/>
      <c r="AK176" s="153"/>
    </row>
    <row r="177" spans="1:51" ht="11.25" customHeight="1" x14ac:dyDescent="0.2">
      <c r="A177" s="141"/>
      <c r="B177" s="1366" t="s">
        <v>680</v>
      </c>
      <c r="C177" s="1366"/>
      <c r="D177" s="1366"/>
      <c r="E177" s="1366"/>
      <c r="F177" s="9"/>
      <c r="G177" s="9"/>
      <c r="H177" s="9"/>
      <c r="I177" s="9"/>
      <c r="J177" s="13"/>
      <c r="K177" s="9"/>
      <c r="L177" s="9"/>
      <c r="M177" s="9"/>
      <c r="N177" s="9"/>
      <c r="O177" s="9"/>
      <c r="P177" s="9"/>
      <c r="Q177" s="9"/>
      <c r="R177" s="9"/>
      <c r="S177" s="9"/>
      <c r="T177" s="9"/>
      <c r="U177" s="11"/>
      <c r="V177" s="11"/>
      <c r="W177" s="11"/>
      <c r="X177" s="12"/>
      <c r="Y177" s="12"/>
      <c r="Z177" s="12"/>
      <c r="AA177" s="12"/>
      <c r="AB177" s="12"/>
      <c r="AC177" s="241"/>
      <c r="AF177" s="84"/>
      <c r="AI177" s="179"/>
      <c r="AJ177" s="179"/>
      <c r="AK177" s="153"/>
    </row>
    <row r="178" spans="1:51" ht="11.25" customHeight="1" x14ac:dyDescent="0.2">
      <c r="A178" s="141"/>
      <c r="B178" s="1366"/>
      <c r="C178" s="1366"/>
      <c r="D178" s="1366"/>
      <c r="E178" s="1366"/>
      <c r="F178" s="9"/>
      <c r="G178" s="9"/>
      <c r="H178" s="9"/>
      <c r="I178" s="9"/>
      <c r="J178" s="13"/>
      <c r="K178" s="9"/>
      <c r="L178" s="9"/>
      <c r="M178" s="9"/>
      <c r="N178" s="9"/>
      <c r="O178" s="9"/>
      <c r="P178" s="9"/>
      <c r="Q178" s="9"/>
      <c r="R178" s="9"/>
      <c r="S178" s="9"/>
      <c r="T178" s="9"/>
      <c r="U178" s="11"/>
      <c r="V178" s="11"/>
      <c r="W178" s="11"/>
      <c r="X178" s="12"/>
      <c r="Y178" s="12"/>
      <c r="Z178" s="12"/>
      <c r="AA178" s="12"/>
      <c r="AB178" s="12"/>
      <c r="AC178" s="241"/>
      <c r="AF178" s="84"/>
      <c r="AI178" s="179"/>
      <c r="AJ178" s="179"/>
      <c r="AK178" s="153"/>
    </row>
    <row r="179" spans="1:51" ht="11.25" customHeight="1" x14ac:dyDescent="0.2">
      <c r="A179" s="141"/>
      <c r="B179" s="1366" t="s">
        <v>32</v>
      </c>
      <c r="C179" s="1366"/>
      <c r="D179" s="1366"/>
      <c r="E179" s="1366"/>
      <c r="F179" s="9"/>
      <c r="G179" s="9"/>
      <c r="H179" s="9"/>
      <c r="I179" s="9"/>
      <c r="J179" s="13"/>
      <c r="K179" s="9"/>
      <c r="L179" s="9"/>
      <c r="M179" s="9"/>
      <c r="N179" s="9"/>
      <c r="O179" s="9"/>
      <c r="P179" s="9"/>
      <c r="Q179" s="9"/>
      <c r="R179" s="9"/>
      <c r="S179" s="9"/>
      <c r="T179" s="9"/>
      <c r="U179" s="11"/>
      <c r="V179" s="11"/>
      <c r="W179" s="11"/>
      <c r="X179" s="12"/>
      <c r="Y179" s="12"/>
      <c r="Z179" s="12"/>
      <c r="AA179" s="12"/>
      <c r="AB179" s="12"/>
      <c r="AC179" s="241"/>
      <c r="AF179" s="84"/>
      <c r="AI179" s="179"/>
      <c r="AJ179" s="179"/>
      <c r="AK179" s="153"/>
    </row>
    <row r="180" spans="1:51" ht="11.25" customHeight="1" x14ac:dyDescent="0.2">
      <c r="A180" s="141"/>
      <c r="B180" s="1366"/>
      <c r="C180" s="1366"/>
      <c r="D180" s="1366"/>
      <c r="E180" s="1366"/>
      <c r="F180" s="9"/>
      <c r="G180" s="9"/>
      <c r="H180" s="9"/>
      <c r="I180" s="9"/>
      <c r="J180" s="13"/>
      <c r="K180" s="9"/>
      <c r="L180" s="9"/>
      <c r="M180" s="9"/>
      <c r="N180" s="9"/>
      <c r="O180" s="9"/>
      <c r="P180" s="9"/>
      <c r="Q180" s="9"/>
      <c r="R180" s="9"/>
      <c r="S180" s="9"/>
      <c r="T180" s="9"/>
      <c r="U180" s="11"/>
      <c r="V180" s="11"/>
      <c r="W180" s="11"/>
      <c r="X180" s="12"/>
      <c r="Y180" s="12"/>
      <c r="Z180" s="12"/>
      <c r="AA180" s="12"/>
      <c r="AB180" s="12"/>
      <c r="AC180" s="241"/>
      <c r="AF180" s="84"/>
      <c r="AI180" s="179"/>
      <c r="AJ180" s="179"/>
      <c r="AK180" s="153"/>
    </row>
    <row r="181" spans="1:51" ht="11.25" customHeight="1" x14ac:dyDescent="0.2">
      <c r="A181" s="248"/>
      <c r="B181" s="1110"/>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c r="AA181" s="246"/>
      <c r="AB181" s="246"/>
      <c r="AC181" s="1307"/>
      <c r="AF181" s="84"/>
      <c r="AI181" s="179"/>
      <c r="AJ181" s="179"/>
      <c r="AK181" s="242"/>
    </row>
    <row r="182" spans="1:51" ht="11.25" customHeight="1" x14ac:dyDescent="0.2">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F182" s="84"/>
      <c r="AI182" s="179"/>
      <c r="AJ182" s="179"/>
    </row>
    <row r="183" spans="1:51" ht="18.75" customHeight="1" x14ac:dyDescent="0.2">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F183" s="84"/>
      <c r="AI183" s="179"/>
      <c r="AJ183" s="179"/>
    </row>
    <row r="184" spans="1:51" s="82" customFormat="1" ht="11.25" customHeight="1" x14ac:dyDescent="0.2">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83"/>
      <c r="AE184" s="83"/>
      <c r="AF184" s="84"/>
      <c r="AG184" s="83"/>
      <c r="AH184" s="83"/>
      <c r="AI184" s="179"/>
      <c r="AJ184" s="179"/>
      <c r="AL184" s="76"/>
      <c r="AM184" s="76"/>
      <c r="AN184" s="76"/>
      <c r="AO184" s="76"/>
      <c r="AP184" s="76"/>
      <c r="AQ184" s="76"/>
      <c r="AR184" s="76"/>
      <c r="AS184" s="76"/>
      <c r="AT184" s="76"/>
      <c r="AU184" s="76"/>
      <c r="AV184" s="76"/>
      <c r="AW184" s="76"/>
      <c r="AX184" s="76"/>
      <c r="AY184" s="76"/>
    </row>
    <row r="185" spans="1:51" ht="11.25" customHeight="1" x14ac:dyDescent="0.2">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F185" s="84"/>
      <c r="AI185" s="179"/>
      <c r="AJ185" s="179"/>
    </row>
    <row r="186" spans="1:51" ht="11.25" customHeight="1" x14ac:dyDescent="0.2">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F186" s="84"/>
      <c r="AI186" s="179"/>
      <c r="AJ186" s="179"/>
    </row>
    <row r="187" spans="1:51" ht="11.25" customHeight="1" x14ac:dyDescent="0.2">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F187" s="84"/>
      <c r="AI187" s="179"/>
      <c r="AJ187" s="179"/>
    </row>
    <row r="188" spans="1:51" ht="11.25" customHeight="1" x14ac:dyDescent="0.2">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F188" s="84"/>
      <c r="AI188" s="179"/>
      <c r="AJ188" s="179"/>
    </row>
    <row r="189" spans="1:51" ht="11.25" customHeight="1" x14ac:dyDescent="0.2">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F189" s="84"/>
      <c r="AI189" s="179"/>
      <c r="AJ189" s="179"/>
    </row>
    <row r="190" spans="1:51" ht="11.25" customHeight="1" x14ac:dyDescent="0.2">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F190" s="84"/>
      <c r="AI190" s="179"/>
      <c r="AJ190" s="179"/>
    </row>
    <row r="191" spans="1:51" ht="11.25" customHeight="1" x14ac:dyDescent="0.2">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F191" s="84"/>
      <c r="AI191" s="179"/>
      <c r="AJ191" s="179"/>
    </row>
    <row r="192" spans="1:51" ht="11.25" customHeight="1" x14ac:dyDescent="0.2">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F192" s="84"/>
      <c r="AI192" s="179"/>
      <c r="AJ192" s="179"/>
    </row>
    <row r="193" spans="1:36" ht="11.25" customHeight="1" x14ac:dyDescent="0.2">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F193" s="84"/>
      <c r="AI193" s="179"/>
      <c r="AJ193" s="179"/>
    </row>
    <row r="194" spans="1:36" ht="11.25" customHeight="1" x14ac:dyDescent="0.2">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F194" s="84"/>
      <c r="AI194" s="179"/>
      <c r="AJ194" s="179"/>
    </row>
    <row r="195" spans="1:36" ht="11.25" customHeight="1" x14ac:dyDescent="0.2">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F195" s="84"/>
      <c r="AI195" s="179"/>
      <c r="AJ195" s="179"/>
    </row>
    <row r="196" spans="1:36" ht="11.25" customHeight="1" x14ac:dyDescent="0.2">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F196" s="84"/>
      <c r="AI196" s="179"/>
      <c r="AJ196" s="179"/>
    </row>
    <row r="197" spans="1:36" ht="11.25" customHeight="1" x14ac:dyDescent="0.2">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F197" s="84"/>
      <c r="AI197" s="179"/>
      <c r="AJ197" s="179"/>
    </row>
    <row r="198" spans="1:36" ht="11.25" customHeight="1" x14ac:dyDescent="0.2">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F198" s="84"/>
      <c r="AI198" s="179"/>
      <c r="AJ198" s="179"/>
    </row>
    <row r="199" spans="1:36" ht="11.25" customHeight="1" x14ac:dyDescent="0.2">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197"/>
      <c r="AE199" s="197"/>
      <c r="AF199" s="1132"/>
      <c r="AG199" s="197"/>
      <c r="AH199" s="197"/>
      <c r="AI199" s="198"/>
      <c r="AJ199" s="198"/>
    </row>
    <row r="310" spans="38:38" ht="11.25" customHeight="1" x14ac:dyDescent="0.2">
      <c r="AL310" s="76" t="b">
        <v>1</v>
      </c>
    </row>
  </sheetData>
  <sheetProtection sheet="1" objects="1" scenarios="1"/>
  <mergeCells count="43">
    <mergeCell ref="A106:V106"/>
    <mergeCell ref="A141:V141"/>
    <mergeCell ref="A142:V142"/>
    <mergeCell ref="B110:B111"/>
    <mergeCell ref="M64:P64"/>
    <mergeCell ref="M65:P65"/>
    <mergeCell ref="R65:U65"/>
    <mergeCell ref="AA8:AA9"/>
    <mergeCell ref="A70:V70"/>
    <mergeCell ref="A71:V71"/>
    <mergeCell ref="A105:V105"/>
    <mergeCell ref="R64:U64"/>
    <mergeCell ref="B35:U35"/>
    <mergeCell ref="A37:V37"/>
    <mergeCell ref="A38:V38"/>
    <mergeCell ref="S7:U8"/>
    <mergeCell ref="Z8:Z9"/>
    <mergeCell ref="B5:N6"/>
    <mergeCell ref="D7:H7"/>
    <mergeCell ref="I7:I9"/>
    <mergeCell ref="Q7:Q9"/>
    <mergeCell ref="B7:B9"/>
    <mergeCell ref="O8:P8"/>
    <mergeCell ref="O9:P9"/>
    <mergeCell ref="K7:P7"/>
    <mergeCell ref="B145:B146"/>
    <mergeCell ref="B147:E148"/>
    <mergeCell ref="B149:E150"/>
    <mergeCell ref="B151:E152"/>
    <mergeCell ref="B153:E154"/>
    <mergeCell ref="B179:E180"/>
    <mergeCell ref="B175:F176"/>
    <mergeCell ref="B167:F168"/>
    <mergeCell ref="B155:E156"/>
    <mergeCell ref="B157:E158"/>
    <mergeCell ref="B159:E160"/>
    <mergeCell ref="B161:E162"/>
    <mergeCell ref="B163:E164"/>
    <mergeCell ref="B165:E166"/>
    <mergeCell ref="B169:E170"/>
    <mergeCell ref="B171:E172"/>
    <mergeCell ref="B173:E174"/>
    <mergeCell ref="B177:E178"/>
  </mergeCells>
  <conditionalFormatting sqref="B10:B31 K10:O31 B51:C66 B112:B133 D112:H133 Q10:Q31">
    <cfRule type="containsErrors" dxfId="592" priority="58">
      <formula>ISERROR(B10)</formula>
    </cfRule>
  </conditionalFormatting>
  <conditionalFormatting sqref="S10:S33">
    <cfRule type="containsErrors" dxfId="591" priority="61">
      <formula>ISERROR(S10)</formula>
    </cfRule>
  </conditionalFormatting>
  <conditionalFormatting sqref="A112:A133">
    <cfRule type="cellIs" dxfId="590" priority="50" operator="equal">
      <formula>0</formula>
    </cfRule>
  </conditionalFormatting>
  <conditionalFormatting sqref="B10:B31 K10:O31 D10:I31 Q10:Q31 P10:P32 S10:U31 B51:C66 B112:B133 D112:H133">
    <cfRule type="expression" dxfId="589" priority="57">
      <formula>$B10=$Z$4</formula>
    </cfRule>
  </conditionalFormatting>
  <conditionalFormatting sqref="A1:A70 A72:A105 A107:A141 A200:A1048576">
    <cfRule type="cellIs" dxfId="588" priority="51" operator="equal">
      <formula>0</formula>
    </cfRule>
    <cfRule type="containsErrors" dxfId="587" priority="59">
      <formula>ISERROR(A1)</formula>
    </cfRule>
  </conditionalFormatting>
  <conditionalFormatting sqref="D10:H31">
    <cfRule type="containsErrors" dxfId="586" priority="48">
      <formula>ISERROR(D10)</formula>
    </cfRule>
  </conditionalFormatting>
  <conditionalFormatting sqref="AG10:AH28">
    <cfRule type="containsErrors" dxfId="585" priority="46">
      <formula>ISERROR(AG10)</formula>
    </cfRule>
  </conditionalFormatting>
  <conditionalFormatting sqref="AG10:AH21 AH11:AH28">
    <cfRule type="expression" dxfId="584" priority="45">
      <formula>$B10=$X$4</formula>
    </cfRule>
  </conditionalFormatting>
  <conditionalFormatting sqref="I10:I31">
    <cfRule type="containsErrors" dxfId="583" priority="44">
      <formula>ISERROR(I10)</formula>
    </cfRule>
  </conditionalFormatting>
  <conditionalFormatting sqref="A71">
    <cfRule type="cellIs" dxfId="582" priority="41" operator="equal">
      <formula>0</formula>
    </cfRule>
    <cfRule type="containsErrors" dxfId="581" priority="42">
      <formula>ISERROR(A71)</formula>
    </cfRule>
  </conditionalFormatting>
  <conditionalFormatting sqref="A106">
    <cfRule type="cellIs" dxfId="580" priority="39" operator="equal">
      <formula>0</formula>
    </cfRule>
    <cfRule type="containsErrors" dxfId="579" priority="40">
      <formula>ISERROR(A106)</formula>
    </cfRule>
  </conditionalFormatting>
  <conditionalFormatting sqref="A142">
    <cfRule type="cellIs" dxfId="578" priority="37" operator="equal">
      <formula>0</formula>
    </cfRule>
    <cfRule type="containsErrors" dxfId="577" priority="38">
      <formula>ISERROR(A142)</formula>
    </cfRule>
  </conditionalFormatting>
  <conditionalFormatting sqref="D110:H110">
    <cfRule type="containsErrors" dxfId="576" priority="27">
      <formula>ISERROR(D110)</formula>
    </cfRule>
  </conditionalFormatting>
  <conditionalFormatting sqref="Y2">
    <cfRule type="containsErrors" dxfId="575" priority="29">
      <formula>ISERROR(Y2)</formula>
    </cfRule>
  </conditionalFormatting>
  <conditionalFormatting sqref="Y3">
    <cfRule type="containsErrors" dxfId="574" priority="30">
      <formula>ISERROR(Y3)</formula>
    </cfRule>
  </conditionalFormatting>
  <conditionalFormatting sqref="D111:H111">
    <cfRule type="containsErrors" dxfId="573" priority="28">
      <formula>ISERROR(D111)</formula>
    </cfRule>
  </conditionalFormatting>
  <conditionalFormatting sqref="P33">
    <cfRule type="containsErrors" dxfId="572" priority="26">
      <formula>ISERROR(P33)</formula>
    </cfRule>
  </conditionalFormatting>
  <conditionalFormatting sqref="P32">
    <cfRule type="containsErrors" dxfId="571" priority="24">
      <formula>ISERROR(P32)</formula>
    </cfRule>
  </conditionalFormatting>
  <conditionalFormatting sqref="P10:P32">
    <cfRule type="containsErrors" dxfId="570" priority="22">
      <formula>ISERROR(P10)</formula>
    </cfRule>
    <cfRule type="dataBar" priority="23">
      <dataBar showValue="0">
        <cfvo type="min"/>
        <cfvo type="max"/>
        <color theme="9"/>
      </dataBar>
      <extLst>
        <ext xmlns:x14="http://schemas.microsoft.com/office/spreadsheetml/2009/9/main" uri="{B025F937-C7B1-47D3-B67F-A62EFF666E3E}">
          <x14:id>{D4E6E97B-DEA9-4C36-A988-415CBFAFF749}</x14:id>
        </ext>
      </extLst>
    </cfRule>
  </conditionalFormatting>
  <conditionalFormatting sqref="D8:H8">
    <cfRule type="containsErrors" dxfId="569" priority="19">
      <formula>ISERROR(D8)</formula>
    </cfRule>
  </conditionalFormatting>
  <conditionalFormatting sqref="D9:H9">
    <cfRule type="containsErrors" dxfId="568" priority="21">
      <formula>ISERROR(D9)</formula>
    </cfRule>
  </conditionalFormatting>
  <conditionalFormatting sqref="K8:O8">
    <cfRule type="containsErrors" dxfId="567" priority="18">
      <formula>ISERROR(K8)</formula>
    </cfRule>
  </conditionalFormatting>
  <conditionalFormatting sqref="K9:O9">
    <cfRule type="containsErrors" dxfId="566" priority="60">
      <formula>ISERROR(K9)</formula>
    </cfRule>
  </conditionalFormatting>
  <conditionalFormatting sqref="AB9:AF9">
    <cfRule type="cellIs" dxfId="565" priority="13" stopIfTrue="1" operator="equal">
      <formula>0</formula>
    </cfRule>
  </conditionalFormatting>
  <conditionalFormatting sqref="B135:H135">
    <cfRule type="containsErrors" dxfId="564" priority="12">
      <formula>ISERROR(B135)</formula>
    </cfRule>
  </conditionalFormatting>
  <conditionalFormatting sqref="D33:I33 K33:O33">
    <cfRule type="containsErrors" dxfId="563" priority="11">
      <formula>ISERROR(D33)</formula>
    </cfRule>
  </conditionalFormatting>
  <conditionalFormatting sqref="T10:T31">
    <cfRule type="containsErrors" dxfId="562" priority="10">
      <formula>ISERROR(T10)</formula>
    </cfRule>
  </conditionalFormatting>
  <conditionalFormatting sqref="T32">
    <cfRule type="containsErrors" dxfId="561" priority="8">
      <formula>ISERROR(T32)</formula>
    </cfRule>
  </conditionalFormatting>
  <conditionalFormatting sqref="T33">
    <cfRule type="containsErrors" dxfId="560" priority="7">
      <formula>ISERROR(T33)</formula>
    </cfRule>
  </conditionalFormatting>
  <conditionalFormatting sqref="U10:U31">
    <cfRule type="containsErrors" dxfId="559" priority="6">
      <formula>ISERROR(U10)</formula>
    </cfRule>
  </conditionalFormatting>
  <conditionalFormatting sqref="U32">
    <cfRule type="containsErrors" dxfId="558" priority="4">
      <formula>ISERROR(U32)</formula>
    </cfRule>
  </conditionalFormatting>
  <conditionalFormatting sqref="U33">
    <cfRule type="containsErrors" dxfId="557" priority="3">
      <formula>ISERROR(U33)</formula>
    </cfRule>
  </conditionalFormatting>
  <conditionalFormatting sqref="Z3:AD3">
    <cfRule type="containsErrors" dxfId="556" priority="2">
      <formula>ISERROR(Z3)</formula>
    </cfRule>
  </conditionalFormatting>
  <conditionalFormatting sqref="Z2:AD2">
    <cfRule type="containsErrors" dxfId="555" priority="1">
      <formula>ISERROR(Z2)</formula>
    </cfRule>
  </conditionalFormatting>
  <hyperlinks>
    <hyperlink ref="B149:B150" location="Coverage!A1" display="Participating LA's" xr:uid="{EE9CED97-148F-4E88-BDBF-A68A47A9186C}"/>
    <hyperlink ref="B151:B152" location="IDACI!A1" display="IDACI" xr:uid="{2ED4D627-4374-452B-96D8-7EECF23C0E0C}"/>
    <hyperlink ref="B179:B180" location="Adoption!A1" display="Adoption" xr:uid="{166A2F24-8B13-4D68-AA8C-2ACBCD7EE98E}"/>
    <hyperlink ref="B173:B174" location="'Looked After Children'!A1" display="Looked After Children" xr:uid="{8906421B-051F-472F-B079-97761513780A}"/>
    <hyperlink ref="B171:B172" location="'Court Applications'!A1" display="Court Applications" xr:uid="{D384929F-612E-4C49-9B05-CB4465A49C68}"/>
    <hyperlink ref="B169:B170" location="'Child Protection Plans'!A1" display="Child Protection Plans" xr:uid="{569DCD6E-A73F-422F-AD93-6AEAB2624D6E}"/>
    <hyperlink ref="B167:B168" location="'Initial CP Conferences'!A1" display="Initial Child Protection Conferences" xr:uid="{66C40B58-1C47-49B0-B9E5-F25F844D167C}"/>
    <hyperlink ref="B165:B166" location="'Section 47 Enquiries'!A1" display="Section 47 Enquiries" xr:uid="{02620DD8-46F4-46B6-895A-EB9EFAA5F971}"/>
    <hyperlink ref="B163:B164" location="'Children in Need'!A1" display="Children in Need" xr:uid="{31C85A94-A842-422E-8FE2-F82C62E0D594}"/>
    <hyperlink ref="B161:B162" location="Assessments!A1" display="Assessments" xr:uid="{04724624-0F77-414A-BD70-4BD8FFEE6E64}"/>
    <hyperlink ref="B159:B160" location="'Re-referrals'!A1" display="Re-referrals" xr:uid="{7FF73CBC-883F-4FFE-9F6C-322E562210CF}"/>
    <hyperlink ref="B157:B158" location="Referral_Source!A1" display="Referral Source" xr:uid="{1C221822-F0F3-4CCB-923A-A42190E3AE6A}"/>
    <hyperlink ref="B155:B156" location="Referrals!A1" display="Referrals" xr:uid="{059F2709-1A4D-4693-9E87-9AB7B82397D6}"/>
    <hyperlink ref="B153:B154" location="Population!A1" display="Population" xr:uid="{D64D2BCB-A86E-4EA8-A5AE-6C301C0F4353}"/>
    <hyperlink ref="B151:C152" location="IDACI!A1" display="IDACI" xr:uid="{072607D9-AB79-4858-ADD3-FEC6061CBD23}"/>
    <hyperlink ref="B147:B148" location="Coverage!A1" display="Participating LA's" xr:uid="{D7CA72E1-5F0A-4F7D-B8D1-F64617D9A23B}"/>
    <hyperlink ref="B147:C148" location="Indicators!A1" display="Indicators" xr:uid="{069D17BD-B136-4D71-810C-0639C3E1C4D4}"/>
    <hyperlink ref="B177:B178" location="'Looked After Children'!A1" display="Looked After Children" xr:uid="{C10BE466-9F73-4C55-8361-ECBA669AB11C}"/>
    <hyperlink ref="B175:B176" location="'Court Applications'!A1" display="Court Applications" xr:uid="{1ECB593A-1A43-41E9-936F-1C0DD59D70B1}"/>
    <hyperlink ref="B175:C176" location="New_Ceased_LAC!A1" display="New/ Ceased Looked After Children" xr:uid="{BDE32CCB-51BD-4561-B6BC-7C4ACCFBDB62}"/>
    <hyperlink ref="B177:C178" location="Care_Leavers!A1" display="Care Leavers" xr:uid="{58536219-D202-48C2-9A2E-891367659AF7}"/>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3" manualBreakCount="3">
    <brk id="38" max="18" man="1"/>
    <brk id="71" max="20" man="1"/>
    <brk id="106" max="20" man="1"/>
  </rowBreaks>
  <ignoredErrors>
    <ignoredError sqref="A10:A31 A112:A135"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macro="[0]!CheckBox1_Click" altText="">
                <anchor>
                  <from>
                    <xdr:col>23</xdr:col>
                    <xdr:colOff>76200</xdr:colOff>
                    <xdr:row>39</xdr:row>
                    <xdr:rowOff>28575</xdr:rowOff>
                  </from>
                  <to>
                    <xdr:col>36</xdr:col>
                    <xdr:colOff>47625</xdr:colOff>
                    <xdr:row>41</xdr:row>
                    <xdr:rowOff>9525</xdr:rowOff>
                  </to>
                </anchor>
              </controlPr>
            </control>
          </mc:Choice>
        </mc:AlternateContent>
        <mc:AlternateContent xmlns:mc="http://schemas.openxmlformats.org/markup-compatibility/2006">
          <mc:Choice Requires="x14">
            <control shapeId="86018" r:id="rId5" name="Check Box 2">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86019" r:id="rId6" name="Check Box 3">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86020" r:id="rId7" name="Check Box 4">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86021" r:id="rId8" name="Check Box 5">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86022" r:id="rId9" name="Check Box 6">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86023" r:id="rId10" name="Check Box 7">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86024" r:id="rId11" name="Check Box 8">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86025" r:id="rId12" name="Check Box 9">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86026" r:id="rId13" name="Check Box 10">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86027" r:id="rId14" name="Check Box 11">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86028" r:id="rId15" name="Check Box 12">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86029" r:id="rId16" name="Check Box 13">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86030" r:id="rId17" name="Check Box 14">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86031" r:id="rId18" name="Check Box 15">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86032" r:id="rId19" name="Check Box 16">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86033" r:id="rId20" name="Check Box 17">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86034" r:id="rId21" name="Check Box 18">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86035" r:id="rId22" name="Check Box 19">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86036" r:id="rId23" name="Check Box 20">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86037" r:id="rId24" name="Check Box 21">
              <controlPr defaultSize="0" autoFill="0" autoLine="0" autoPict="0" macro="[0]!CheckBox1_Click" altText="">
                <anchor>
                  <from>
                    <xdr:col>23</xdr:col>
                    <xdr:colOff>76200</xdr:colOff>
                    <xdr:row>61</xdr:row>
                    <xdr:rowOff>152400</xdr:rowOff>
                  </from>
                  <to>
                    <xdr:col>36</xdr:col>
                    <xdr:colOff>47625</xdr:colOff>
                    <xdr:row>63</xdr:row>
                    <xdr:rowOff>9525</xdr:rowOff>
                  </to>
                </anchor>
              </controlPr>
            </control>
          </mc:Choice>
        </mc:AlternateContent>
        <mc:AlternateContent xmlns:mc="http://schemas.openxmlformats.org/markup-compatibility/2006">
          <mc:Choice Requires="x14">
            <control shapeId="86038" r:id="rId25" name="Check Box 22">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86039" r:id="rId26" name="Check Box 23">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86040" r:id="rId27" name="Check Box 24">
              <controlPr defaultSize="0" autoFill="0" autoLine="0" autoPict="0" macro="[0]!CheckBox1_Click" altText="">
                <anchor>
                  <from>
                    <xdr:col>23</xdr:col>
                    <xdr:colOff>76200</xdr:colOff>
                    <xdr:row>62</xdr:row>
                    <xdr:rowOff>152400</xdr:rowOff>
                  </from>
                  <to>
                    <xdr:col>36</xdr:col>
                    <xdr:colOff>47625</xdr:colOff>
                    <xdr:row>64</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4E6E97B-DEA9-4C36-A988-415CBFAFF749}">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3">
    <tabColor rgb="FFFFC000"/>
  </sheetPr>
  <dimension ref="A1:BN344"/>
  <sheetViews>
    <sheetView showRowColHeaders="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8" width="6.85546875" style="76" customWidth="1"/>
    <col min="9" max="9" width="7.42578125" style="76" customWidth="1"/>
    <col min="10" max="10" width="1.42578125" style="90" customWidth="1"/>
    <col min="11" max="15" width="6.85546875" style="76" customWidth="1"/>
    <col min="16" max="16" width="7.140625" style="76" customWidth="1"/>
    <col min="17" max="17" width="7.42578125" style="76" customWidth="1"/>
    <col min="18" max="18" width="1.42578125" style="76" customWidth="1"/>
    <col min="19" max="19" width="5.7109375" style="76" customWidth="1"/>
    <col min="20" max="20" width="8.28515625" style="76" customWidth="1"/>
    <col min="21" max="21" width="7.7109375" style="76" customWidth="1"/>
    <col min="22" max="22" width="2.140625" style="76" customWidth="1"/>
    <col min="23" max="23" width="6.42578125" style="82" customWidth="1"/>
    <col min="24" max="24" width="4.85546875" style="82" customWidth="1"/>
    <col min="25" max="25" width="17.85546875" style="83" hidden="1" customWidth="1"/>
    <col min="26" max="27" width="19.5703125" style="83" hidden="1" customWidth="1"/>
    <col min="28" max="30" width="9.42578125" style="83" hidden="1" customWidth="1"/>
    <col min="31" max="31" width="8.5703125" style="83" hidden="1" customWidth="1"/>
    <col min="32" max="32" width="18.140625" style="83" hidden="1" customWidth="1"/>
    <col min="33" max="33" width="17" style="83" hidden="1" customWidth="1"/>
    <col min="34" max="34" width="5.5703125" style="83" hidden="1" customWidth="1"/>
    <col min="35" max="35" width="6.5703125" style="83" hidden="1" customWidth="1"/>
    <col min="36" max="36" width="6.5703125" style="76" hidden="1" customWidth="1"/>
    <col min="37" max="37" width="31.5703125" style="76" customWidth="1"/>
    <col min="38" max="38" width="17" style="76" hidden="1" customWidth="1"/>
    <col min="39" max="43" width="13.5703125" style="76" hidden="1" customWidth="1"/>
    <col min="44" max="65" width="9.140625" style="76" hidden="1" customWidth="1"/>
    <col min="66" max="16384" width="9.140625" style="76"/>
  </cols>
  <sheetData>
    <row r="1" spans="1:50" ht="18.75" customHeight="1" thickBot="1" x14ac:dyDescent="0.25">
      <c r="A1" s="114"/>
      <c r="B1" s="115"/>
      <c r="C1" s="115"/>
      <c r="D1" s="115"/>
      <c r="E1" s="115"/>
      <c r="F1" s="115"/>
      <c r="G1" s="115"/>
      <c r="H1" s="115"/>
      <c r="I1" s="115"/>
      <c r="J1" s="116"/>
      <c r="K1" s="115"/>
      <c r="L1" s="115"/>
      <c r="M1" s="115"/>
      <c r="N1" s="115"/>
      <c r="O1" s="115"/>
      <c r="P1" s="115"/>
      <c r="Q1" s="115"/>
      <c r="R1" s="115"/>
      <c r="S1" s="115"/>
      <c r="T1" s="115"/>
      <c r="U1" s="115"/>
      <c r="V1" s="117"/>
      <c r="W1" s="268"/>
      <c r="X1" s="151"/>
      <c r="Y1" s="175"/>
      <c r="Z1" s="891" t="str">
        <f>IF(Sheet1!$C$3="Annual"," the year ending 31st March"," the quarter")</f>
        <v xml:space="preserve"> the year ending 31st March</v>
      </c>
      <c r="AA1" s="175"/>
      <c r="AB1" s="175"/>
      <c r="AC1" s="175"/>
      <c r="AD1" s="175"/>
      <c r="AE1" s="175"/>
      <c r="AF1" s="175"/>
      <c r="AG1" s="175"/>
      <c r="AH1" s="175"/>
      <c r="AI1" s="175"/>
      <c r="AJ1" s="176"/>
      <c r="AK1" s="152"/>
    </row>
    <row r="2" spans="1:50" ht="18.75" customHeight="1" x14ac:dyDescent="0.2">
      <c r="A2" s="120"/>
      <c r="B2" s="130" t="s">
        <v>22</v>
      </c>
      <c r="C2" s="9"/>
      <c r="D2" s="9"/>
      <c r="E2" s="9"/>
      <c r="F2" s="9"/>
      <c r="G2" s="9"/>
      <c r="H2" s="9"/>
      <c r="I2" s="9"/>
      <c r="J2" s="13"/>
      <c r="K2" s="9"/>
      <c r="L2" s="9"/>
      <c r="M2" s="9"/>
      <c r="N2" s="9"/>
      <c r="O2" s="9"/>
      <c r="P2" s="9"/>
      <c r="Q2" s="9"/>
      <c r="R2" s="9"/>
      <c r="S2" s="9"/>
      <c r="T2" s="9"/>
      <c r="U2" s="9"/>
      <c r="V2" s="119"/>
      <c r="W2" s="157"/>
      <c r="X2" s="147"/>
      <c r="Y2" s="800">
        <f>IF(Sheet1!$C$3="Annual",1,4)</f>
        <v>1</v>
      </c>
      <c r="Z2" s="760" t="str">
        <f>IF(Sheet1!$C$3="Annual","",Sheet1!$D$26)</f>
        <v/>
      </c>
      <c r="AA2" s="761" t="str">
        <f>IF(Sheet1!$C$3="Annual","",Sheet1!$E$26)</f>
        <v/>
      </c>
      <c r="AB2" s="761" t="str">
        <f>IF(Sheet1!$C$3="Annual","",Sheet1!$F$26)</f>
        <v/>
      </c>
      <c r="AC2" s="761" t="str">
        <f>IF(Sheet1!$C$3="Annual","",Sheet1!$G$26)</f>
        <v/>
      </c>
      <c r="AD2" s="762" t="str">
        <f>IF(Sheet1!$C$3="Annual","",Sheet1!$H$26)</f>
        <v/>
      </c>
      <c r="AJ2" s="179"/>
      <c r="AK2" s="153"/>
    </row>
    <row r="3" spans="1:50" ht="18.75" customHeight="1" thickBot="1" x14ac:dyDescent="0.25">
      <c r="A3" s="126"/>
      <c r="B3" s="127"/>
      <c r="C3" s="127"/>
      <c r="D3" s="127"/>
      <c r="E3" s="127"/>
      <c r="F3" s="127"/>
      <c r="G3" s="127"/>
      <c r="H3" s="127"/>
      <c r="I3" s="260"/>
      <c r="J3" s="128"/>
      <c r="K3" s="127"/>
      <c r="L3" s="127"/>
      <c r="M3" s="127"/>
      <c r="N3" s="127"/>
      <c r="O3" s="127"/>
      <c r="P3" s="528"/>
      <c r="Q3" s="127"/>
      <c r="R3" s="127"/>
      <c r="S3" s="127"/>
      <c r="T3" s="260"/>
      <c r="U3" s="127"/>
      <c r="V3" s="129"/>
      <c r="W3" s="157"/>
      <c r="X3" s="147"/>
      <c r="Y3" s="763"/>
      <c r="Z3" s="763" t="str">
        <f>Sheet1!$D$25</f>
        <v>2014-15</v>
      </c>
      <c r="AA3" s="764" t="str">
        <f>Sheet1!$E$25</f>
        <v>2015-16</v>
      </c>
      <c r="AB3" s="764" t="str">
        <f>Sheet1!$F$25</f>
        <v>2016-17</v>
      </c>
      <c r="AC3" s="764" t="str">
        <f>Sheet1!$G$25</f>
        <v>2017-18</v>
      </c>
      <c r="AD3" s="765" t="str">
        <f>Sheet1!$H$25</f>
        <v>2018-19</v>
      </c>
      <c r="AJ3" s="179"/>
      <c r="AK3" s="153"/>
    </row>
    <row r="4" spans="1:50" ht="11.25" customHeight="1" x14ac:dyDescent="0.2">
      <c r="A4" s="114"/>
      <c r="B4" s="115"/>
      <c r="C4" s="115"/>
      <c r="D4" s="115"/>
      <c r="E4" s="115"/>
      <c r="F4" s="115"/>
      <c r="G4" s="115"/>
      <c r="H4" s="115"/>
      <c r="I4" s="115"/>
      <c r="J4" s="116"/>
      <c r="K4" s="115"/>
      <c r="L4" s="115"/>
      <c r="M4" s="115"/>
      <c r="N4" s="115"/>
      <c r="O4" s="115"/>
      <c r="P4" s="115"/>
      <c r="Q4" s="115"/>
      <c r="R4" s="115"/>
      <c r="S4" s="115"/>
      <c r="T4" s="115"/>
      <c r="U4" s="115"/>
      <c r="V4" s="117"/>
      <c r="W4" s="138"/>
      <c r="X4" s="147"/>
      <c r="Z4" s="181" t="str">
        <f>Home!$D$10</f>
        <v>(none)</v>
      </c>
      <c r="AA4" s="43" t="str">
        <f>"Selected LA- "&amp;Z4</f>
        <v>Selected LA- (none)</v>
      </c>
      <c r="AJ4" s="179"/>
      <c r="AK4" s="153"/>
    </row>
    <row r="5" spans="1:50" s="78" customFormat="1" ht="15" customHeight="1" x14ac:dyDescent="0.2">
      <c r="A5" s="121"/>
      <c r="B5" s="1435" t="str">
        <f>"Assessments completed in"&amp;Z1</f>
        <v>Assessments completed in the year ending 31st March</v>
      </c>
      <c r="C5" s="1318"/>
      <c r="D5" s="1318"/>
      <c r="E5" s="1318"/>
      <c r="F5" s="1318"/>
      <c r="G5" s="1318"/>
      <c r="H5" s="1318"/>
      <c r="I5" s="1318"/>
      <c r="J5" s="1318"/>
      <c r="K5" s="1318"/>
      <c r="L5" s="1318"/>
      <c r="M5" s="1318"/>
      <c r="N5" s="1318"/>
      <c r="O5" s="69"/>
      <c r="P5" s="69"/>
      <c r="Q5" s="69"/>
      <c r="R5" s="69"/>
      <c r="S5" s="69"/>
      <c r="T5" s="69"/>
      <c r="U5" s="69"/>
      <c r="V5" s="122"/>
      <c r="W5" s="139"/>
      <c r="X5" s="148"/>
      <c r="Y5" s="83"/>
      <c r="Z5" s="183"/>
      <c r="AA5" s="183"/>
      <c r="AB5" s="183"/>
      <c r="AC5" s="183"/>
      <c r="AD5" s="183"/>
      <c r="AE5" s="183"/>
      <c r="AF5" s="183"/>
      <c r="AG5" s="183"/>
      <c r="AH5" s="183"/>
      <c r="AI5" s="183"/>
      <c r="AJ5" s="183"/>
      <c r="AK5" s="154"/>
      <c r="AL5" s="183" t="str">
        <f>CONCATENATE($I$7,"in Number of "&amp;$B2)</f>
        <v>Average Annual Change in Number of Assessments</v>
      </c>
      <c r="AQ5" s="76"/>
      <c r="AR5" s="76"/>
      <c r="AS5" s="76"/>
      <c r="AT5" s="76"/>
      <c r="AU5" s="76"/>
      <c r="AV5" s="76"/>
      <c r="AW5" s="76"/>
      <c r="AX5" s="76"/>
    </row>
    <row r="6" spans="1:50" ht="13.5" customHeight="1" x14ac:dyDescent="0.2">
      <c r="A6" s="120"/>
      <c r="B6" s="1318"/>
      <c r="C6" s="1318"/>
      <c r="D6" s="1318"/>
      <c r="E6" s="1318"/>
      <c r="F6" s="1318"/>
      <c r="G6" s="1318"/>
      <c r="H6" s="1318"/>
      <c r="I6" s="1318"/>
      <c r="J6" s="1318"/>
      <c r="K6" s="1318"/>
      <c r="L6" s="1318"/>
      <c r="M6" s="1318"/>
      <c r="N6" s="1318"/>
      <c r="O6" s="69"/>
      <c r="P6" s="69"/>
      <c r="Q6" s="69"/>
      <c r="R6" s="69"/>
      <c r="S6" s="69"/>
      <c r="T6" s="69"/>
      <c r="U6" s="69"/>
      <c r="V6" s="119"/>
      <c r="W6" s="138"/>
      <c r="X6" s="147"/>
      <c r="Z6" s="185"/>
      <c r="AJ6" s="179"/>
      <c r="AK6" s="153"/>
    </row>
    <row r="7" spans="1:50" s="89" customFormat="1" ht="12.75" customHeight="1" x14ac:dyDescent="0.2">
      <c r="A7" s="123"/>
      <c r="B7" s="1449" t="s">
        <v>190</v>
      </c>
      <c r="C7" s="87"/>
      <c r="D7" s="1436" t="s">
        <v>88</v>
      </c>
      <c r="E7" s="1437"/>
      <c r="F7" s="1437"/>
      <c r="G7" s="1437"/>
      <c r="H7" s="1438"/>
      <c r="I7" s="1439" t="str">
        <f>"Average "&amp;Sheet1!C3&amp;" Change "</f>
        <v xml:space="preserve">Average Annual Change </v>
      </c>
      <c r="J7" s="98"/>
      <c r="K7" s="1459" t="s">
        <v>89</v>
      </c>
      <c r="L7" s="1460"/>
      <c r="M7" s="1460"/>
      <c r="N7" s="1460"/>
      <c r="O7" s="1460"/>
      <c r="P7" s="1461"/>
      <c r="Q7" s="1446" t="str">
        <f>IF(ISNA(O9),"SE Rank "&amp;O8,"SE Rank "&amp;O9)</f>
        <v>SE Rank 2018-19</v>
      </c>
      <c r="R7" s="69"/>
      <c r="S7" s="1451" t="str">
        <f>"Distance from Expected "&amp;Sheet1!$B$8</f>
        <v>Distance from Expected 2019</v>
      </c>
      <c r="T7" s="1452"/>
      <c r="U7" s="1453"/>
      <c r="V7" s="124"/>
      <c r="W7" s="140"/>
      <c r="X7" s="149"/>
      <c r="Y7" s="199"/>
      <c r="Z7" s="199"/>
      <c r="AB7" s="200" t="s">
        <v>79</v>
      </c>
      <c r="AC7" s="185"/>
      <c r="AD7" s="185"/>
      <c r="AE7" s="194"/>
      <c r="AF7" s="194"/>
      <c r="AG7" s="201" t="s">
        <v>92</v>
      </c>
      <c r="AH7" s="185"/>
      <c r="AI7" s="185"/>
      <c r="AJ7" s="199"/>
      <c r="AK7" s="156"/>
      <c r="AQ7" s="76"/>
      <c r="AR7" s="76"/>
      <c r="AS7" s="76"/>
      <c r="AT7" s="76"/>
      <c r="AU7" s="76"/>
      <c r="AV7" s="76"/>
      <c r="AW7" s="76"/>
      <c r="AX7" s="76"/>
    </row>
    <row r="8" spans="1:50" s="89" customFormat="1" ht="12.75" customHeight="1" x14ac:dyDescent="0.2">
      <c r="A8" s="286"/>
      <c r="B8" s="1449"/>
      <c r="C8" s="87"/>
      <c r="D8" s="755" t="str">
        <f>Sheet1!$D$25</f>
        <v>2014-15</v>
      </c>
      <c r="E8" s="756" t="str">
        <f>Sheet1!$E$25</f>
        <v>2015-16</v>
      </c>
      <c r="F8" s="756" t="str">
        <f>Sheet1!$F$25</f>
        <v>2016-17</v>
      </c>
      <c r="G8" s="756" t="str">
        <f>Sheet1!$G$25</f>
        <v>2017-18</v>
      </c>
      <c r="H8" s="757" t="str">
        <f>Sheet1!$H$25</f>
        <v>2018-19</v>
      </c>
      <c r="I8" s="1440"/>
      <c r="J8" s="98"/>
      <c r="K8" s="755" t="str">
        <f>Sheet1!$D$25</f>
        <v>2014-15</v>
      </c>
      <c r="L8" s="756" t="str">
        <f>Sheet1!$E$25</f>
        <v>2015-16</v>
      </c>
      <c r="M8" s="756" t="str">
        <f>Sheet1!$F$25</f>
        <v>2016-17</v>
      </c>
      <c r="N8" s="756" t="str">
        <f>Sheet1!$G$25</f>
        <v>2017-18</v>
      </c>
      <c r="O8" s="1457" t="str">
        <f>Sheet1!$H$25</f>
        <v>2018-19</v>
      </c>
      <c r="P8" s="1458"/>
      <c r="Q8" s="1447"/>
      <c r="R8" s="69"/>
      <c r="S8" s="1454"/>
      <c r="T8" s="1455"/>
      <c r="U8" s="1456"/>
      <c r="V8" s="124"/>
      <c r="W8" s="140"/>
      <c r="X8" s="149"/>
      <c r="Y8" s="199"/>
      <c r="Z8" s="1423" t="s">
        <v>76</v>
      </c>
      <c r="AA8" s="1423" t="s">
        <v>77</v>
      </c>
      <c r="AB8" s="730" t="str">
        <f>Sheet1!$D$25</f>
        <v>2014-15</v>
      </c>
      <c r="AC8" s="730" t="str">
        <f>Sheet1!$E$25</f>
        <v>2015-16</v>
      </c>
      <c r="AD8" s="730" t="str">
        <f>Sheet1!$F$25</f>
        <v>2016-17</v>
      </c>
      <c r="AE8" s="730" t="str">
        <f>Sheet1!$G$25</f>
        <v>2017-18</v>
      </c>
      <c r="AF8" s="730" t="str">
        <f>Sheet1!$H$25</f>
        <v>2018-19</v>
      </c>
      <c r="AG8" s="201"/>
      <c r="AH8" s="185"/>
      <c r="AI8" s="185"/>
      <c r="AJ8" s="199"/>
      <c r="AK8" s="156"/>
      <c r="AQ8" s="76"/>
      <c r="AR8" s="76"/>
      <c r="AS8" s="76"/>
      <c r="AT8" s="76"/>
      <c r="AU8" s="76"/>
      <c r="AV8" s="76"/>
      <c r="AW8" s="76"/>
      <c r="AX8" s="76"/>
    </row>
    <row r="9" spans="1:50" s="89" customFormat="1" ht="12.75" customHeight="1" x14ac:dyDescent="0.2">
      <c r="A9" s="123"/>
      <c r="B9" s="1450"/>
      <c r="C9" s="87"/>
      <c r="D9" s="758" t="e">
        <f>Sheet1!$D$26</f>
        <v>#N/A</v>
      </c>
      <c r="E9" s="758" t="e">
        <f>Sheet1!$E$26</f>
        <v>#N/A</v>
      </c>
      <c r="F9" s="758" t="e">
        <f>Sheet1!$F$26</f>
        <v>#N/A</v>
      </c>
      <c r="G9" s="758" t="e">
        <f>Sheet1!$G$26</f>
        <v>#N/A</v>
      </c>
      <c r="H9" s="759" t="e">
        <f>Sheet1!$H$26</f>
        <v>#N/A</v>
      </c>
      <c r="I9" s="1441"/>
      <c r="J9" s="98"/>
      <c r="K9" s="758" t="e">
        <f>Sheet1!$D$26</f>
        <v>#N/A</v>
      </c>
      <c r="L9" s="758" t="e">
        <f>Sheet1!$E$26</f>
        <v>#N/A</v>
      </c>
      <c r="M9" s="758" t="e">
        <f>Sheet1!$F$26</f>
        <v>#N/A</v>
      </c>
      <c r="N9" s="758" t="e">
        <f>Sheet1!$G$26</f>
        <v>#N/A</v>
      </c>
      <c r="O9" s="1433" t="e">
        <f>Sheet1!$H$26</f>
        <v>#N/A</v>
      </c>
      <c r="P9" s="1434"/>
      <c r="Q9" s="1448"/>
      <c r="R9" s="69"/>
      <c r="S9" s="856" t="s">
        <v>78</v>
      </c>
      <c r="T9" s="794" t="s">
        <v>127</v>
      </c>
      <c r="U9" s="795" t="s">
        <v>128</v>
      </c>
      <c r="V9" s="124"/>
      <c r="W9" s="140"/>
      <c r="X9" s="149"/>
      <c r="Y9" s="199"/>
      <c r="Z9" s="1424"/>
      <c r="AA9" s="1424"/>
      <c r="AB9" s="730" t="e">
        <f>Sheet1!$D$26</f>
        <v>#N/A</v>
      </c>
      <c r="AC9" s="730" t="e">
        <f>Sheet1!$E$26</f>
        <v>#N/A</v>
      </c>
      <c r="AD9" s="730" t="e">
        <f>Sheet1!$F$26</f>
        <v>#N/A</v>
      </c>
      <c r="AE9" s="730" t="e">
        <f>Sheet1!$G$26</f>
        <v>#N/A</v>
      </c>
      <c r="AF9" s="730" t="e">
        <f>Sheet1!$H$26</f>
        <v>#N/A</v>
      </c>
      <c r="AG9" s="185"/>
      <c r="AH9" s="185">
        <f>COLUMNS($B$4:O$4)</f>
        <v>14</v>
      </c>
      <c r="AI9" s="185"/>
      <c r="AJ9" s="199"/>
      <c r="AK9" s="156"/>
      <c r="AL9" s="863" t="s">
        <v>686</v>
      </c>
      <c r="AM9" s="863" t="s">
        <v>687</v>
      </c>
      <c r="AN9" s="863" t="s">
        <v>688</v>
      </c>
      <c r="AO9" s="863" t="s">
        <v>689</v>
      </c>
      <c r="AP9" s="863" t="s">
        <v>690</v>
      </c>
      <c r="AQ9" s="76"/>
      <c r="AR9" s="76"/>
      <c r="AS9" s="76"/>
      <c r="AT9" s="76"/>
      <c r="AU9" s="76"/>
      <c r="AV9" s="76"/>
      <c r="AW9" s="76"/>
      <c r="AX9" s="76"/>
    </row>
    <row r="10" spans="1:50" s="89" customFormat="1" ht="13.5" customHeight="1" x14ac:dyDescent="0.2">
      <c r="A10" s="462">
        <f>VLOOKUP(B10,Sheet1!$AQ$4:$AR$25,2,FALSE)</f>
        <v>0</v>
      </c>
      <c r="B10" s="95" t="str">
        <f>Sheet1!$K$4</f>
        <v>Bracknell Forest</v>
      </c>
      <c r="C10" s="87"/>
      <c r="D10" s="96">
        <f>IF(Year1_Bracknell_Forest Year1_Assessments="","",Year1_Bracknell_Forest Year1_Assessments)</f>
        <v>986</v>
      </c>
      <c r="E10" s="96">
        <f>IF(Year2_Bracknell_Forest Year2_Assessments="","",Year2_Bracknell_Forest Year2_Assessments)</f>
        <v>1099</v>
      </c>
      <c r="F10" s="96">
        <f>IF(Year3_Bracknell_Forest Year3_Assessments="","",Year3_Bracknell_Forest Year3_Assessments)</f>
        <v>1393</v>
      </c>
      <c r="G10" s="96">
        <f>IF(Year4_Bracknell_Forest Year4_Assessments="","",Year4_Bracknell_Forest Year4_Assessments)</f>
        <v>1670</v>
      </c>
      <c r="H10" s="97">
        <f>IF(Year5_Bracknell_Forest Year5_Assessments="","",Year5_Bracknell_Forest Year5_Assessments)</f>
        <v>1703</v>
      </c>
      <c r="I10" s="337">
        <f>AP10</f>
        <v>0.15018306623496627</v>
      </c>
      <c r="J10" s="98"/>
      <c r="K10" s="99">
        <f>IF(ISNUMBER(D10),D10/Population!D10*10000,NA())</f>
        <v>354.67625899280574</v>
      </c>
      <c r="L10" s="99">
        <f>IF(ISNUMBER(E10),E10/Population!E10*10000,NA())</f>
        <v>389.71631205673754</v>
      </c>
      <c r="M10" s="99">
        <f>IF(ISNUMBER(F10),F10/Population!F10*10000,NA())</f>
        <v>493.97163120567376</v>
      </c>
      <c r="N10" s="99">
        <f>IF(ISNUMBER(G10),G10/Population!G10*10000,NA())</f>
        <v>594.3060498220641</v>
      </c>
      <c r="O10" s="881">
        <f>IF(ISNUMBER(H10),H10/Population!H10*10000,NA())</f>
        <v>601.76678445229686</v>
      </c>
      <c r="P10" s="101">
        <f>IF(ISNUMBER(O10),O10,"")</f>
        <v>601.76678445229686</v>
      </c>
      <c r="Q10" s="885">
        <f>IF(ISNA(VLOOKUP(B10,$AG$10:$AI$28,3,FALSE)),"--",IF(ISNUMBER(H10),VLOOKUP(B10,$AG$10:$AI$28,3,FALSE),NA()))</f>
        <v>14</v>
      </c>
      <c r="R10" s="69"/>
      <c r="S10" s="333">
        <f>IDACI!C9</f>
        <v>8.9</v>
      </c>
      <c r="T10" s="334">
        <f t="shared" ref="T10:T33" si="0">((S10*$Z$44)+$AA$44)/$Y$2</f>
        <v>392.93078125711077</v>
      </c>
      <c r="U10" s="335">
        <f>O10-T10</f>
        <v>208.83600319518609</v>
      </c>
      <c r="V10" s="124"/>
      <c r="W10" s="140"/>
      <c r="X10" s="149"/>
      <c r="Y10" s="71" t="str">
        <f t="shared" ref="Y10:Y33" si="1">B10</f>
        <v>Bracknell Forest</v>
      </c>
      <c r="Z10" s="45">
        <f>IF(ISNUMBER($H10),IDACI!D9,0)</f>
        <v>24849</v>
      </c>
      <c r="AA10" s="45">
        <f>IF(ISNUMBER($H10),IDACI!E9,0)</f>
        <v>2211.5610000000001</v>
      </c>
      <c r="AB10" s="202">
        <f>IF(ISNUMBER(D10),Population!D10,"")</f>
        <v>27800</v>
      </c>
      <c r="AC10" s="202">
        <f>IF(ISNUMBER(E10),Population!E10,"")</f>
        <v>28200</v>
      </c>
      <c r="AD10" s="202">
        <f>IF(ISNUMBER(F10),Population!F10,"")</f>
        <v>28200</v>
      </c>
      <c r="AE10" s="202">
        <f>IF(ISNUMBER(G10),Population!G10,"")</f>
        <v>28100</v>
      </c>
      <c r="AF10" s="202">
        <f>IF(ISNUMBER(H10),Population!H10,"")</f>
        <v>28300</v>
      </c>
      <c r="AG10" s="95" t="str">
        <f>B10</f>
        <v>Bracknell Forest</v>
      </c>
      <c r="AH10" s="225">
        <f>IFERROR(VLOOKUP(AG10,$B$10:$O$31,$AH$9,FALSE),"")</f>
        <v>601.76678445229686</v>
      </c>
      <c r="AI10" s="203">
        <f>RANK(AH10,$AH$10:$AH$28,1)</f>
        <v>14</v>
      </c>
      <c r="AJ10" s="199"/>
      <c r="AK10" s="156"/>
      <c r="AL10" s="792">
        <f t="shared" ref="AL10:AL31" si="2">IF(ISERROR((E10-D10)/D10),"x",(E10-D10)/D10)</f>
        <v>0.11460446247464504</v>
      </c>
      <c r="AM10" s="792">
        <f t="shared" ref="AM10:AM31" si="3">IF(ISERROR((F10-E10)/E10),"x",(F10-E10)/E10)</f>
        <v>0.26751592356687898</v>
      </c>
      <c r="AN10" s="792">
        <f t="shared" ref="AN10:AN31" si="4">IF(ISERROR((G10-F10)/F10),"x",(G10-F10)/F10)</f>
        <v>0.19885139985642497</v>
      </c>
      <c r="AO10" s="792">
        <f t="shared" ref="AO10:AO31" si="5">IF(ISERROR((H10-G10)/G10),"x",(H10-G10)/G10)</f>
        <v>1.9760479041916169E-2</v>
      </c>
      <c r="AP10" s="792">
        <f>AVERAGE(AL10:AO10)</f>
        <v>0.15018306623496627</v>
      </c>
      <c r="AQ10" s="76"/>
      <c r="AR10" s="76"/>
      <c r="AS10" s="76"/>
      <c r="AT10" s="76"/>
      <c r="AU10" s="76"/>
      <c r="AV10" s="76"/>
      <c r="AW10" s="76"/>
      <c r="AX10" s="76"/>
    </row>
    <row r="11" spans="1:50" s="89" customFormat="1" ht="13.5" customHeight="1" x14ac:dyDescent="0.2">
      <c r="A11" s="462">
        <f>VLOOKUP(B11,Sheet1!$AQ$4:$AR$25,2,FALSE)</f>
        <v>0</v>
      </c>
      <c r="B11" s="95" t="str">
        <f>Sheet1!$K$5</f>
        <v>Brighton &amp; Hove</v>
      </c>
      <c r="C11" s="87"/>
      <c r="D11" s="96">
        <f>IF(Year1_Brighton_Hove Year1_Assessments="","",Year1_Brighton_Hove Year1_Assessments)</f>
        <v>2770</v>
      </c>
      <c r="E11" s="96">
        <f>IF(Year2_Brighton_Hove Year2_Assessments="","",Year2_Brighton_Hove Year2_Assessments)</f>
        <v>2868</v>
      </c>
      <c r="F11" s="96">
        <f>IF(Year3_Brighton_Hove Year3_Assessments="","",Year3_Brighton_Hove Year3_Assessments)</f>
        <v>3020</v>
      </c>
      <c r="G11" s="96">
        <f>IF(Year4_Brighton_Hove Year4_Assessments="","",Year4_Brighton_Hove Year4_Assessments)</f>
        <v>2701</v>
      </c>
      <c r="H11" s="97">
        <f>IF(Year5_Brighton_Hove Year5_Assessments="","",Year5_Brighton_Hove Year5_Assessments)</f>
        <v>2470</v>
      </c>
      <c r="I11" s="337">
        <f t="shared" ref="I11:I33" si="6">AP11</f>
        <v>-2.5693838111393495E-2</v>
      </c>
      <c r="J11" s="98"/>
      <c r="K11" s="99">
        <f>IF(ISNUMBER(D11),D11/Population!D11*10000,NA())</f>
        <v>543.13725490196077</v>
      </c>
      <c r="L11" s="99">
        <f>IF(ISNUMBER(E11),E11/Population!E11*10000,NA())</f>
        <v>560.15625</v>
      </c>
      <c r="M11" s="99">
        <f>IF(ISNUMBER(F11),F11/Population!F11*10000,NA())</f>
        <v>588.69395711500977</v>
      </c>
      <c r="N11" s="99">
        <f>IF(ISNUMBER(G11),G11/Population!G11*10000,NA())</f>
        <v>529.60784313725492</v>
      </c>
      <c r="O11" s="100">
        <f>IF(ISNUMBER(H11),H11/Population!H11*10000,NA())</f>
        <v>484.31372549019608</v>
      </c>
      <c r="P11" s="101">
        <f t="shared" ref="P11:P32" si="7">IF(ISNUMBER(O11),O11,"")</f>
        <v>484.31372549019608</v>
      </c>
      <c r="Q11" s="885">
        <f t="shared" ref="Q11:Q33" si="8">IF(ISNA(VLOOKUP(B11,$AG$10:$AI$28,3,FALSE)),"--",IF(ISNUMBER(H11),VLOOKUP(B11,$AG$10:$AI$28,3,FALSE),NA()))</f>
        <v>9</v>
      </c>
      <c r="R11" s="69"/>
      <c r="S11" s="333">
        <f>IDACI!C10</f>
        <v>15.299999999999999</v>
      </c>
      <c r="T11" s="334">
        <f t="shared" si="0"/>
        <v>511.27463245731315</v>
      </c>
      <c r="U11" s="335">
        <f t="shared" ref="U11:U33" si="9">O11-T11</f>
        <v>-26.960906967117069</v>
      </c>
      <c r="V11" s="124"/>
      <c r="W11" s="140"/>
      <c r="X11" s="149"/>
      <c r="Y11" s="71" t="str">
        <f t="shared" si="1"/>
        <v>Brighton &amp; Hove</v>
      </c>
      <c r="Z11" s="45">
        <f>IF(ISNUMBER($H11),IDACI!D10,0)</f>
        <v>45576</v>
      </c>
      <c r="AA11" s="45">
        <f>IF(ISNUMBER($H11),IDACI!E10,0)</f>
        <v>6973.1279999999997</v>
      </c>
      <c r="AB11" s="202">
        <f>IF(ISNUMBER(D11),Population!D11,"")</f>
        <v>51000</v>
      </c>
      <c r="AC11" s="202">
        <f>IF(ISNUMBER(E11),Population!E11,"")</f>
        <v>51200</v>
      </c>
      <c r="AD11" s="202">
        <f>IF(ISNUMBER(F11),Population!F11,"")</f>
        <v>51300</v>
      </c>
      <c r="AE11" s="202">
        <f>IF(ISNUMBER(G11),Population!G11,"")</f>
        <v>51000</v>
      </c>
      <c r="AF11" s="202">
        <f>IF(ISNUMBER(H11),Population!H11,"")</f>
        <v>51000</v>
      </c>
      <c r="AG11" s="95" t="s">
        <v>31</v>
      </c>
      <c r="AH11" s="225">
        <f t="shared" ref="AH11:AH28" si="10">IFERROR(VLOOKUP(AG11,$B$10:$O$31,$AH$9,FALSE),"")</f>
        <v>484.31372549019608</v>
      </c>
      <c r="AI11" s="203">
        <f t="shared" ref="AI11:AI28" si="11">RANK(AH11,$AH$10:$AH$28,1)</f>
        <v>9</v>
      </c>
      <c r="AJ11" s="199"/>
      <c r="AK11" s="156"/>
      <c r="AL11" s="792">
        <f t="shared" si="2"/>
        <v>3.5379061371841158E-2</v>
      </c>
      <c r="AM11" s="792">
        <f t="shared" si="3"/>
        <v>5.2998605299860529E-2</v>
      </c>
      <c r="AN11" s="792">
        <f t="shared" si="4"/>
        <v>-0.10562913907284768</v>
      </c>
      <c r="AO11" s="792">
        <f t="shared" si="5"/>
        <v>-8.5523880044427986E-2</v>
      </c>
      <c r="AP11" s="792">
        <f t="shared" ref="AP11:AP32" si="12">AVERAGE(AL11:AO11)</f>
        <v>-2.5693838111393495E-2</v>
      </c>
      <c r="AQ11" s="76"/>
      <c r="AR11" s="76"/>
      <c r="AS11" s="76"/>
      <c r="AT11" s="76"/>
      <c r="AU11" s="76"/>
      <c r="AV11" s="76"/>
      <c r="AW11" s="76"/>
      <c r="AX11" s="76"/>
    </row>
    <row r="12" spans="1:50" s="89" customFormat="1" ht="13.5" customHeight="1" x14ac:dyDescent="0.2">
      <c r="A12" s="462">
        <f>VLOOKUP(B12,Sheet1!$AQ$4:$AR$25,2,FALSE)</f>
        <v>0</v>
      </c>
      <c r="B12" s="95" t="str">
        <f>Sheet1!$K$6</f>
        <v>Buckinghamshire</v>
      </c>
      <c r="C12" s="87"/>
      <c r="D12" s="96">
        <f>IF(Year1_Buckinghamshire Year1_Assessments="","",Year1_Buckinghamshire Year1_Assessments)</f>
        <v>6180</v>
      </c>
      <c r="E12" s="96">
        <f>IF(Year2_Buckinghamshire Year2_Assessments="","",Year2_Buckinghamshire Year2_Assessments)</f>
        <v>5597</v>
      </c>
      <c r="F12" s="96">
        <f>IF(Year3_Buckinghamshire Year3_Assessments="","",Year3_Buckinghamshire Year3_Assessments)</f>
        <v>6680</v>
      </c>
      <c r="G12" s="96">
        <f>IF(Year4_Buckinghamshire Year4_Assessments="","",Year4_Buckinghamshire Year4_Assessments)</f>
        <v>8366</v>
      </c>
      <c r="H12" s="97">
        <f>IF(Year5_Buckinghamshire Year5_Assessments="","",Year5_Buckinghamshire Year5_Assessments)</f>
        <v>7819</v>
      </c>
      <c r="I12" s="337">
        <f t="shared" si="6"/>
        <v>7.1542865020058688E-2</v>
      </c>
      <c r="J12" s="98"/>
      <c r="K12" s="99">
        <f>IF(ISNUMBER(D12),D12/Population!D12*10000,NA())</f>
        <v>519.76450798990754</v>
      </c>
      <c r="L12" s="99">
        <f>IF(ISNUMBER(E12),E12/Population!E12*10000,NA())</f>
        <v>464.09618573797678</v>
      </c>
      <c r="M12" s="99">
        <f>IF(ISNUMBER(F12),F12/Population!F12*10000,NA())</f>
        <v>546.64484451718499</v>
      </c>
      <c r="N12" s="99">
        <f>IF(ISNUMBER(G12),G12/Population!G12*10000,NA())</f>
        <v>679.61007311129163</v>
      </c>
      <c r="O12" s="100">
        <f>IF(ISNUMBER(H12),H12/Population!H12*10000,NA())</f>
        <v>629.04263877715209</v>
      </c>
      <c r="P12" s="101">
        <f t="shared" si="7"/>
        <v>629.04263877715209</v>
      </c>
      <c r="Q12" s="885">
        <f t="shared" si="8"/>
        <v>15</v>
      </c>
      <c r="R12" s="69"/>
      <c r="S12" s="333">
        <f>IDACI!C11</f>
        <v>8.5</v>
      </c>
      <c r="T12" s="334">
        <f t="shared" si="0"/>
        <v>385.53429055709807</v>
      </c>
      <c r="U12" s="335">
        <f t="shared" si="9"/>
        <v>243.50834822005402</v>
      </c>
      <c r="V12" s="124"/>
      <c r="W12" s="140"/>
      <c r="X12" s="149"/>
      <c r="Y12" s="71" t="str">
        <f t="shared" si="1"/>
        <v>Buckinghamshire</v>
      </c>
      <c r="Z12" s="45">
        <f>IF(ISNUMBER($H12),IDACI!D11,0)</f>
        <v>107385</v>
      </c>
      <c r="AA12" s="45">
        <f>IF(ISNUMBER($H12),IDACI!E11,0)</f>
        <v>9127.7250000000004</v>
      </c>
      <c r="AB12" s="202">
        <f>IF(ISNUMBER(D12),Population!D12,"")</f>
        <v>118900</v>
      </c>
      <c r="AC12" s="202">
        <f>IF(ISNUMBER(E12),Population!E12,"")</f>
        <v>120600</v>
      </c>
      <c r="AD12" s="202">
        <f>IF(ISNUMBER(F12),Population!F12,"")</f>
        <v>122200</v>
      </c>
      <c r="AE12" s="202">
        <f>IF(ISNUMBER(G12),Population!G12,"")</f>
        <v>123100</v>
      </c>
      <c r="AF12" s="202">
        <f>IF(ISNUMBER(H12),Population!H12,"")</f>
        <v>124300</v>
      </c>
      <c r="AG12" s="95" t="s">
        <v>8</v>
      </c>
      <c r="AH12" s="225">
        <f t="shared" si="10"/>
        <v>629.04263877715209</v>
      </c>
      <c r="AI12" s="203">
        <f t="shared" si="11"/>
        <v>15</v>
      </c>
      <c r="AJ12" s="199"/>
      <c r="AK12" s="156"/>
      <c r="AL12" s="792">
        <f t="shared" si="2"/>
        <v>-9.4336569579288029E-2</v>
      </c>
      <c r="AM12" s="792">
        <f t="shared" si="3"/>
        <v>0.1934965159907093</v>
      </c>
      <c r="AN12" s="792">
        <f t="shared" si="4"/>
        <v>0.25239520958083833</v>
      </c>
      <c r="AO12" s="792">
        <f t="shared" si="5"/>
        <v>-6.5383695912024864E-2</v>
      </c>
      <c r="AP12" s="792">
        <f t="shared" si="12"/>
        <v>7.1542865020058688E-2</v>
      </c>
      <c r="AQ12" s="76"/>
      <c r="AR12" s="76"/>
      <c r="AS12" s="76"/>
      <c r="AT12" s="76"/>
      <c r="AU12" s="76"/>
      <c r="AV12" s="76"/>
      <c r="AW12" s="76"/>
      <c r="AX12" s="76"/>
    </row>
    <row r="13" spans="1:50" s="89" customFormat="1" ht="13.5" customHeight="1" x14ac:dyDescent="0.2">
      <c r="A13" s="462">
        <f>VLOOKUP(B13,Sheet1!$AQ$4:$AR$25,2,FALSE)</f>
        <v>0</v>
      </c>
      <c r="B13" s="95" t="str">
        <f>Sheet1!$K$7</f>
        <v>East Sussex</v>
      </c>
      <c r="C13" s="87"/>
      <c r="D13" s="96">
        <f>IF(Year1_East_Sussex Year1_Assessments="","",Year1_East_Sussex Year1_Assessments)</f>
        <v>2684</v>
      </c>
      <c r="E13" s="102">
        <f>IF(Year2_East_Sussex Year2_Assessments="","",Year2_East_Sussex Year2_Assessments)</f>
        <v>2485</v>
      </c>
      <c r="F13" s="96">
        <f>IF(Year3_East_Sussex Year3_Assessments="","",Year3_East_Sussex Year3_Assessments)</f>
        <v>3143</v>
      </c>
      <c r="G13" s="96">
        <f>IF(Year4_East_Sussex Year4_Assessments="","",Year4_East_Sussex Year4_Assessments)</f>
        <v>3580</v>
      </c>
      <c r="H13" s="97">
        <f>IF(Year5_East_Sussex Year5_Assessments="","",Year5_East_Sussex Year5_Assessments)</f>
        <v>3598</v>
      </c>
      <c r="I13" s="337">
        <f t="shared" si="6"/>
        <v>8.3678182473835572E-2</v>
      </c>
      <c r="J13" s="98"/>
      <c r="K13" s="99">
        <f>IF(ISNUMBER(D13),D13/Population!D13*10000,NA())</f>
        <v>254.64895635673622</v>
      </c>
      <c r="L13" s="99">
        <f>IF(ISNUMBER(E13),E13/Population!E13*10000,NA())</f>
        <v>234.65533522190745</v>
      </c>
      <c r="M13" s="99">
        <f>IF(ISNUMBER(F13),F13/Population!F13*10000,NA())</f>
        <v>296.78942398489141</v>
      </c>
      <c r="N13" s="99">
        <f>IF(ISNUMBER(G13),G13/Population!G13*10000,NA())</f>
        <v>337.73584905660374</v>
      </c>
      <c r="O13" s="100">
        <f>IF(ISNUMBER(H13),H13/Population!H13*10000,NA())</f>
        <v>338.15789473684208</v>
      </c>
      <c r="P13" s="101">
        <f t="shared" si="7"/>
        <v>338.15789473684208</v>
      </c>
      <c r="Q13" s="885">
        <f t="shared" si="8"/>
        <v>3</v>
      </c>
      <c r="R13" s="69"/>
      <c r="S13" s="333">
        <f>IDACI!C12</f>
        <v>16.100000000000001</v>
      </c>
      <c r="T13" s="334">
        <f t="shared" si="0"/>
        <v>526.06761385733853</v>
      </c>
      <c r="U13" s="335">
        <f t="shared" si="9"/>
        <v>-187.90971912049645</v>
      </c>
      <c r="V13" s="124"/>
      <c r="W13" s="140"/>
      <c r="X13" s="149"/>
      <c r="Y13" s="71" t="str">
        <f t="shared" si="1"/>
        <v>East Sussex</v>
      </c>
      <c r="Z13" s="45">
        <f>IF(ISNUMBER($H13),IDACI!D12,0)</f>
        <v>93130</v>
      </c>
      <c r="AA13" s="45">
        <f>IF(ISNUMBER($H13),IDACI!E12,0)</f>
        <v>14993.93</v>
      </c>
      <c r="AB13" s="202">
        <f>IF(ISNUMBER(D13),Population!D13,"")</f>
        <v>105400</v>
      </c>
      <c r="AC13" s="202">
        <f>IF(ISNUMBER(E13),Population!E13,"")</f>
        <v>105900</v>
      </c>
      <c r="AD13" s="202">
        <f>IF(ISNUMBER(F13),Population!F13,"")</f>
        <v>105900</v>
      </c>
      <c r="AE13" s="202">
        <f>IF(ISNUMBER(G13),Population!G13,"")</f>
        <v>106000</v>
      </c>
      <c r="AF13" s="202">
        <f>IF(ISNUMBER(H13),Population!H13,"")</f>
        <v>106400</v>
      </c>
      <c r="AG13" s="95" t="s">
        <v>4</v>
      </c>
      <c r="AH13" s="225">
        <f t="shared" si="10"/>
        <v>338.15789473684208</v>
      </c>
      <c r="AI13" s="203">
        <f t="shared" si="11"/>
        <v>3</v>
      </c>
      <c r="AJ13" s="199"/>
      <c r="AK13" s="156"/>
      <c r="AL13" s="792">
        <f t="shared" si="2"/>
        <v>-7.4143070044709394E-2</v>
      </c>
      <c r="AM13" s="792">
        <f t="shared" si="3"/>
        <v>0.26478873239436618</v>
      </c>
      <c r="AN13" s="792">
        <f t="shared" si="4"/>
        <v>0.13903913458479161</v>
      </c>
      <c r="AO13" s="792">
        <f t="shared" si="5"/>
        <v>5.0279329608938546E-3</v>
      </c>
      <c r="AP13" s="792">
        <f t="shared" si="12"/>
        <v>8.3678182473835572E-2</v>
      </c>
      <c r="AQ13" s="76"/>
      <c r="AR13" s="76"/>
      <c r="AS13" s="76"/>
      <c r="AT13" s="76"/>
      <c r="AU13" s="76"/>
      <c r="AV13" s="76"/>
      <c r="AW13" s="76"/>
      <c r="AX13" s="76"/>
    </row>
    <row r="14" spans="1:50" s="89" customFormat="1" ht="13.5" customHeight="1" x14ac:dyDescent="0.2">
      <c r="A14" s="462">
        <f>VLOOKUP(B14,Sheet1!$AQ$4:$AR$25,2,FALSE)</f>
        <v>0</v>
      </c>
      <c r="B14" s="95" t="str">
        <f>Sheet1!$K$8</f>
        <v>Hampshire</v>
      </c>
      <c r="C14" s="87"/>
      <c r="D14" s="96">
        <f>IF(Year1_Hampshire Year1_Assessments="","",Year1_Hampshire Year1_Assessments)</f>
        <v>17096</v>
      </c>
      <c r="E14" s="96">
        <f>IF(Year2_Hampshire Year2_Assessments="","",Year2_Hampshire Year2_Assessments)</f>
        <v>16931</v>
      </c>
      <c r="F14" s="103">
        <f>IF(Year3_Hampshire Year3_Assessments="","",Year3_Hampshire Year3_Assessments)</f>
        <v>19841</v>
      </c>
      <c r="G14" s="103">
        <f>IF(Year4_Hampshire Year4_Assessments="","",Year4_Hampshire Year4_Assessments)</f>
        <v>17660</v>
      </c>
      <c r="H14" s="97">
        <f>IF(Year5_Hampshire Year5_Assessments="","",Year5_Hampshire Year5_Assessments)</f>
        <v>18003</v>
      </c>
      <c r="I14" s="337">
        <f t="shared" si="6"/>
        <v>1.7930306321957922E-2</v>
      </c>
      <c r="J14" s="98"/>
      <c r="K14" s="99">
        <f>IF(ISNUMBER(D14),D14/Population!D14*10000,NA())</f>
        <v>607.31793960923619</v>
      </c>
      <c r="L14" s="99">
        <f>IF(ISNUMBER(E14),E14/Population!E14*10000,NA())</f>
        <v>600.60305072720826</v>
      </c>
      <c r="M14" s="99">
        <f>IF(ISNUMBER(F14),F14/Population!F14*10000,NA())</f>
        <v>701.59123055162661</v>
      </c>
      <c r="N14" s="99">
        <f>IF(ISNUMBER(G14),G14/Population!G14*10000,NA())</f>
        <v>623.36745499470521</v>
      </c>
      <c r="O14" s="100">
        <f>IF(ISNUMBER(H14),H14/Population!H14*10000,NA())</f>
        <v>633.90845070422529</v>
      </c>
      <c r="P14" s="101">
        <f t="shared" si="7"/>
        <v>633.90845070422529</v>
      </c>
      <c r="Q14" s="885">
        <f t="shared" si="8"/>
        <v>16</v>
      </c>
      <c r="R14" s="69"/>
      <c r="S14" s="333">
        <f>IDACI!C13</f>
        <v>10.100000000000001</v>
      </c>
      <c r="T14" s="334">
        <f t="shared" si="0"/>
        <v>415.12025335714873</v>
      </c>
      <c r="U14" s="335">
        <f t="shared" si="9"/>
        <v>218.78819734707656</v>
      </c>
      <c r="V14" s="124"/>
      <c r="W14" s="140"/>
      <c r="X14" s="149"/>
      <c r="Y14" s="71" t="str">
        <f t="shared" si="1"/>
        <v>Hampshire</v>
      </c>
      <c r="Z14" s="45">
        <f>IF(ISNUMBER($H14),IDACI!D13,0)</f>
        <v>249483</v>
      </c>
      <c r="AA14" s="45">
        <f>IF(ISNUMBER($H14),IDACI!E13,0)</f>
        <v>25197.783000000007</v>
      </c>
      <c r="AB14" s="202">
        <f>IF(ISNUMBER(D14),Population!D14,"")</f>
        <v>281500</v>
      </c>
      <c r="AC14" s="202">
        <f>IF(ISNUMBER(E14),Population!E14,"")</f>
        <v>281900</v>
      </c>
      <c r="AD14" s="202">
        <f>IF(ISNUMBER(F14),Population!F14,"")</f>
        <v>282800</v>
      </c>
      <c r="AE14" s="202">
        <f>IF(ISNUMBER(G14),Population!G14,"")</f>
        <v>283300</v>
      </c>
      <c r="AF14" s="202">
        <f>IF(ISNUMBER(H14),Population!H14,"")</f>
        <v>284000</v>
      </c>
      <c r="AG14" s="95" t="s">
        <v>6</v>
      </c>
      <c r="AH14" s="225">
        <f t="shared" si="10"/>
        <v>633.90845070422529</v>
      </c>
      <c r="AI14" s="203">
        <f t="shared" si="11"/>
        <v>16</v>
      </c>
      <c r="AJ14" s="199"/>
      <c r="AK14" s="156"/>
      <c r="AL14" s="792">
        <f t="shared" si="2"/>
        <v>-9.6513804398689756E-3</v>
      </c>
      <c r="AM14" s="792">
        <f t="shared" si="3"/>
        <v>0.17187407713661332</v>
      </c>
      <c r="AN14" s="792">
        <f t="shared" si="4"/>
        <v>-0.10992389496497153</v>
      </c>
      <c r="AO14" s="792">
        <f t="shared" si="5"/>
        <v>1.9422423556058891E-2</v>
      </c>
      <c r="AP14" s="792">
        <f t="shared" si="12"/>
        <v>1.7930306321957922E-2</v>
      </c>
      <c r="AQ14" s="76"/>
      <c r="AR14" s="76"/>
      <c r="AS14" s="76"/>
      <c r="AT14" s="76"/>
      <c r="AU14" s="76"/>
      <c r="AV14" s="76"/>
      <c r="AW14" s="76"/>
      <c r="AX14" s="76"/>
    </row>
    <row r="15" spans="1:50" s="89" customFormat="1" ht="13.5" customHeight="1" x14ac:dyDescent="0.2">
      <c r="A15" s="462">
        <f>VLOOKUP(B15,Sheet1!$AQ$4:$AR$25,2,FALSE)</f>
        <v>0</v>
      </c>
      <c r="B15" s="95" t="str">
        <f>Sheet1!$K$9</f>
        <v>Isle of Wight</v>
      </c>
      <c r="C15" s="87"/>
      <c r="D15" s="96">
        <f>IF(Year1_Isle_of_Wight Year1_Assessments="","",Year1_Isle_of_Wight Year1_Assessments)</f>
        <v>2048</v>
      </c>
      <c r="E15" s="96">
        <f>IF(Year2_Isle_of_Wight Year2_Assessments="","",Year2_Isle_of_Wight Year2_Assessments)</f>
        <v>2395</v>
      </c>
      <c r="F15" s="96">
        <f>IF(Year3_Isle_of_Wight Year3_Assessments="","",Year3_Isle_of_Wight Year3_Assessments)</f>
        <v>2691</v>
      </c>
      <c r="G15" s="96">
        <f>IF(Year4_Isle_of_Wight Year4_Assessments="","",Year4_Isle_of_Wight Year4_Assessments)</f>
        <v>2679</v>
      </c>
      <c r="H15" s="97">
        <f>IF(Year5_Isle_of_Wight Year5_Assessments="","",Year5_Isle_of_Wight Year5_Assessments)</f>
        <v>1965</v>
      </c>
      <c r="I15" s="337">
        <f t="shared" si="6"/>
        <v>5.5119354790657271E-3</v>
      </c>
      <c r="J15" s="98"/>
      <c r="K15" s="99">
        <f>IF(ISNUMBER(D15),D15/Population!D15*10000,NA())</f>
        <v>803.13725490196077</v>
      </c>
      <c r="L15" s="99">
        <f>IF(ISNUMBER(E15),E15/Population!E15*10000,NA())</f>
        <v>946.64031620553351</v>
      </c>
      <c r="M15" s="99">
        <f>IF(ISNUMBER(F15),F15/Population!F15*10000,NA())</f>
        <v>1067.8571428571429</v>
      </c>
      <c r="N15" s="99">
        <f>IF(ISNUMBER(G15),G15/Population!G15*10000,NA())</f>
        <v>1067.3306772908368</v>
      </c>
      <c r="O15" s="100">
        <f>IF(ISNUMBER(H15),H15/Population!H15*10000,NA())</f>
        <v>789.15662650602405</v>
      </c>
      <c r="P15" s="101">
        <f t="shared" si="7"/>
        <v>789.15662650602405</v>
      </c>
      <c r="Q15" s="885">
        <f t="shared" si="8"/>
        <v>18</v>
      </c>
      <c r="R15" s="69"/>
      <c r="S15" s="333">
        <f>IDACI!C14</f>
        <v>18</v>
      </c>
      <c r="T15" s="334">
        <f t="shared" si="0"/>
        <v>561.20094468239859</v>
      </c>
      <c r="U15" s="335">
        <f t="shared" si="9"/>
        <v>227.95568182362547</v>
      </c>
      <c r="V15" s="124"/>
      <c r="W15" s="140"/>
      <c r="X15" s="149"/>
      <c r="Y15" s="71" t="str">
        <f t="shared" si="1"/>
        <v>Isle of Wight</v>
      </c>
      <c r="Z15" s="45">
        <f>IF(ISNUMBER($H15),IDACI!D14,0)</f>
        <v>22123</v>
      </c>
      <c r="AA15" s="45">
        <f>IF(ISNUMBER($H15),IDACI!E14,0)</f>
        <v>3982.14</v>
      </c>
      <c r="AB15" s="202">
        <f>IF(ISNUMBER(D15),Population!D15,"")</f>
        <v>25500</v>
      </c>
      <c r="AC15" s="202">
        <f>IF(ISNUMBER(E15),Population!E15,"")</f>
        <v>25300</v>
      </c>
      <c r="AD15" s="202">
        <f>IF(ISNUMBER(F15),Population!F15,"")</f>
        <v>25200</v>
      </c>
      <c r="AE15" s="202">
        <f>IF(ISNUMBER(G15),Population!G15,"")</f>
        <v>25100</v>
      </c>
      <c r="AF15" s="202">
        <f>IF(ISNUMBER(H15),Population!H15,"")</f>
        <v>24900</v>
      </c>
      <c r="AG15" s="95" t="s">
        <v>1</v>
      </c>
      <c r="AH15" s="225">
        <f t="shared" si="10"/>
        <v>789.15662650602405</v>
      </c>
      <c r="AI15" s="203">
        <f t="shared" si="11"/>
        <v>18</v>
      </c>
      <c r="AJ15" s="199"/>
      <c r="AK15" s="156"/>
      <c r="AL15" s="792">
        <f t="shared" si="2"/>
        <v>0.16943359375</v>
      </c>
      <c r="AM15" s="792">
        <f t="shared" si="3"/>
        <v>0.12359081419624217</v>
      </c>
      <c r="AN15" s="792">
        <f t="shared" si="4"/>
        <v>-4.459308807134894E-3</v>
      </c>
      <c r="AO15" s="792">
        <f t="shared" si="5"/>
        <v>-0.26651735722284436</v>
      </c>
      <c r="AP15" s="792">
        <f t="shared" si="12"/>
        <v>5.5119354790657271E-3</v>
      </c>
      <c r="AQ15" s="76"/>
      <c r="AR15" s="76"/>
      <c r="AS15" s="76"/>
      <c r="AT15" s="76"/>
      <c r="AU15" s="76"/>
      <c r="AV15" s="76"/>
      <c r="AW15" s="76"/>
      <c r="AX15" s="76"/>
    </row>
    <row r="16" spans="1:50" s="89" customFormat="1" ht="13.5" customHeight="1" x14ac:dyDescent="0.2">
      <c r="A16" s="462">
        <f>VLOOKUP(B16,Sheet1!$AQ$4:$AR$25,2,FALSE)</f>
        <v>0</v>
      </c>
      <c r="B16" s="95" t="str">
        <f>Sheet1!$K$10</f>
        <v>Kent</v>
      </c>
      <c r="C16" s="87"/>
      <c r="D16" s="96">
        <f>IF(Year1_Kent Year1_Assessments="","",Year1_Kent Year1_Assessments)</f>
        <v>15802</v>
      </c>
      <c r="E16" s="96">
        <f>IF(Year2_Kent Year2_Assessments="","",Year2_Kent Year2_Assessments)</f>
        <v>16440</v>
      </c>
      <c r="F16" s="96">
        <f>IF(Year3_Kent Year3_Assessments="","",Year3_Kent Year3_Assessments)</f>
        <v>16366</v>
      </c>
      <c r="G16" s="96">
        <f>IF(Year4_Kent Year4_Assessments="","",Year4_Kent Year4_Assessments)</f>
        <v>18827</v>
      </c>
      <c r="H16" s="97">
        <f>IF(Year5_Kent Year5_Assessments="","",Year5_Kent Year5_Assessments)</f>
        <v>17703</v>
      </c>
      <c r="I16" s="337">
        <f t="shared" si="6"/>
        <v>3.1636162744889909E-2</v>
      </c>
      <c r="J16" s="98"/>
      <c r="K16" s="99">
        <f>IF(ISNUMBER(D16),D16/Population!D16*10000,NA())</f>
        <v>481.32805360950351</v>
      </c>
      <c r="L16" s="99">
        <f>IF(ISNUMBER(E16),E16/Population!E16*10000,NA())</f>
        <v>497.57869249394673</v>
      </c>
      <c r="M16" s="99">
        <f>IF(ISNUMBER(F16),F16/Population!F16*10000,NA())</f>
        <v>491.47147147147143</v>
      </c>
      <c r="N16" s="99">
        <f>IF(ISNUMBER(G16),G16/Population!G16*10000,NA())</f>
        <v>560.16066646831302</v>
      </c>
      <c r="O16" s="100">
        <f>IF(ISNUMBER(H16),H16/Population!H16*10000,NA())</f>
        <v>520.52337547780064</v>
      </c>
      <c r="P16" s="101">
        <f t="shared" si="7"/>
        <v>520.52337547780064</v>
      </c>
      <c r="Q16" s="885">
        <f t="shared" si="8"/>
        <v>10</v>
      </c>
      <c r="R16" s="69"/>
      <c r="S16" s="333">
        <f>IDACI!C15</f>
        <v>15.8</v>
      </c>
      <c r="T16" s="334">
        <f t="shared" si="0"/>
        <v>520.52024583232901</v>
      </c>
      <c r="U16" s="335">
        <f t="shared" si="9"/>
        <v>3.1296454716311928E-3</v>
      </c>
      <c r="V16" s="124"/>
      <c r="W16" s="140"/>
      <c r="X16" s="149"/>
      <c r="Y16" s="71" t="str">
        <f t="shared" si="1"/>
        <v>Kent</v>
      </c>
      <c r="Z16" s="45">
        <f>IF(ISNUMBER($H16),IDACI!D15,0)</f>
        <v>291866</v>
      </c>
      <c r="AA16" s="45">
        <f>IF(ISNUMBER($H16),IDACI!E15,0)</f>
        <v>46114.828000000001</v>
      </c>
      <c r="AB16" s="202">
        <f>IF(ISNUMBER(D16),Population!D16,"")</f>
        <v>328300</v>
      </c>
      <c r="AC16" s="202">
        <f>IF(ISNUMBER(E16),Population!E16,"")</f>
        <v>330400</v>
      </c>
      <c r="AD16" s="202">
        <f>IF(ISNUMBER(F16),Population!F16,"")</f>
        <v>333000</v>
      </c>
      <c r="AE16" s="202">
        <f>IF(ISNUMBER(G16),Population!G16,"")</f>
        <v>336100</v>
      </c>
      <c r="AF16" s="202">
        <f>IF(ISNUMBER(H16),Population!H16,"")</f>
        <v>340100</v>
      </c>
      <c r="AG16" s="95" t="s">
        <v>9</v>
      </c>
      <c r="AH16" s="225">
        <f t="shared" si="10"/>
        <v>520.52337547780064</v>
      </c>
      <c r="AI16" s="203">
        <f t="shared" si="11"/>
        <v>10</v>
      </c>
      <c r="AJ16" s="199"/>
      <c r="AK16" s="156"/>
      <c r="AL16" s="792">
        <f t="shared" si="2"/>
        <v>4.0374636122009873E-2</v>
      </c>
      <c r="AM16" s="792">
        <f t="shared" si="3"/>
        <v>-4.5012165450121653E-3</v>
      </c>
      <c r="AN16" s="792">
        <f t="shared" si="4"/>
        <v>0.15037272393987536</v>
      </c>
      <c r="AO16" s="792">
        <f t="shared" si="5"/>
        <v>-5.9701492537313432E-2</v>
      </c>
      <c r="AP16" s="792">
        <f t="shared" si="12"/>
        <v>3.1636162744889909E-2</v>
      </c>
      <c r="AQ16" s="76"/>
      <c r="AR16" s="76"/>
      <c r="AS16" s="76"/>
      <c r="AT16" s="76"/>
      <c r="AU16" s="76"/>
      <c r="AV16" s="76"/>
      <c r="AW16" s="76"/>
      <c r="AX16" s="76"/>
    </row>
    <row r="17" spans="1:50" s="89" customFormat="1" ht="13.5" customHeight="1" x14ac:dyDescent="0.2">
      <c r="A17" s="462">
        <f>VLOOKUP(B17,Sheet1!$AQ$4:$AR$25,2,FALSE)</f>
        <v>0</v>
      </c>
      <c r="B17" s="95" t="str">
        <f>Sheet1!$K$11</f>
        <v>Medway</v>
      </c>
      <c r="C17" s="87"/>
      <c r="D17" s="96">
        <f>IF(Year1_Medway Year1_Assessments="","",Year1_Medway Year1_Assessments)</f>
        <v>3699</v>
      </c>
      <c r="E17" s="290">
        <f>IF(Year2_Medway Year2_Assessments="","",Year2_Medway Year2_Assessments)</f>
        <v>3114</v>
      </c>
      <c r="F17" s="290">
        <f>IF(Year3_Medway Year3_Assessments="","",Year3_Medway Year3_Assessments)</f>
        <v>2818</v>
      </c>
      <c r="G17" s="290">
        <f>IF(Year4_Medway Year4_Assessments="","",Year4_Medway Year4_Assessments)</f>
        <v>2509</v>
      </c>
      <c r="H17" s="291">
        <f>IF(Year5_Medway Year5_Assessments="","",Year5_Medway Year5_Assessments)</f>
        <v>3420</v>
      </c>
      <c r="I17" s="337">
        <f t="shared" si="6"/>
        <v>5.8796577376743486E-5</v>
      </c>
      <c r="J17" s="98"/>
      <c r="K17" s="99">
        <f>IF(ISNUMBER(D17),D17/Population!D17*10000,NA())</f>
        <v>591.84</v>
      </c>
      <c r="L17" s="99">
        <f>IF(ISNUMBER(E17),E17/Population!E17*10000,NA())</f>
        <v>492.72151898734177</v>
      </c>
      <c r="M17" s="99">
        <f>IF(ISNUMBER(F17),F17/Population!F17*10000,NA())</f>
        <v>442.38618524332804</v>
      </c>
      <c r="N17" s="99">
        <f>IF(ISNUMBER(G17),G17/Population!G17*10000,NA())</f>
        <v>392.64475743348981</v>
      </c>
      <c r="O17" s="100">
        <f>IF(ISNUMBER(H17),H17/Population!H17*10000,NA())</f>
        <v>531.05590062111798</v>
      </c>
      <c r="P17" s="101">
        <f t="shared" si="7"/>
        <v>531.05590062111798</v>
      </c>
      <c r="Q17" s="885">
        <f t="shared" si="8"/>
        <v>11</v>
      </c>
      <c r="R17" s="69"/>
      <c r="S17" s="333">
        <f>IDACI!C16</f>
        <v>18.899999999999999</v>
      </c>
      <c r="T17" s="334">
        <f t="shared" si="0"/>
        <v>577.84304875742691</v>
      </c>
      <c r="U17" s="335">
        <f t="shared" si="9"/>
        <v>-46.787148136308929</v>
      </c>
      <c r="V17" s="124"/>
      <c r="W17" s="140"/>
      <c r="X17" s="149"/>
      <c r="Y17" s="71" t="str">
        <f t="shared" si="1"/>
        <v>Medway</v>
      </c>
      <c r="Z17" s="45">
        <f>IF(ISNUMBER($H17),IDACI!D16,0)</f>
        <v>55993</v>
      </c>
      <c r="AA17" s="45">
        <f>IF(ISNUMBER($H17),IDACI!E16,0)</f>
        <v>10582.676999999998</v>
      </c>
      <c r="AB17" s="202">
        <f>IF(ISNUMBER(D17),Population!D17,"")</f>
        <v>62500</v>
      </c>
      <c r="AC17" s="202">
        <f>IF(ISNUMBER(E17),Population!E17,"")</f>
        <v>63200</v>
      </c>
      <c r="AD17" s="202">
        <f>IF(ISNUMBER(F17),Population!F17,"")</f>
        <v>63700</v>
      </c>
      <c r="AE17" s="202">
        <f>IF(ISNUMBER(G17),Population!G17,"")</f>
        <v>63900</v>
      </c>
      <c r="AF17" s="202">
        <f>IF(ISNUMBER(H17),Population!H17,"")</f>
        <v>64400</v>
      </c>
      <c r="AG17" s="95" t="s">
        <v>2</v>
      </c>
      <c r="AH17" s="225">
        <f t="shared" si="10"/>
        <v>531.05590062111798</v>
      </c>
      <c r="AI17" s="203">
        <f t="shared" si="11"/>
        <v>11</v>
      </c>
      <c r="AJ17" s="199"/>
      <c r="AK17" s="156"/>
      <c r="AL17" s="792">
        <f t="shared" si="2"/>
        <v>-0.15815085158150852</v>
      </c>
      <c r="AM17" s="792">
        <f t="shared" si="3"/>
        <v>-9.505459216441875E-2</v>
      </c>
      <c r="AN17" s="792">
        <f t="shared" si="4"/>
        <v>-0.10965223562810504</v>
      </c>
      <c r="AO17" s="792">
        <f t="shared" si="5"/>
        <v>0.36309286568353927</v>
      </c>
      <c r="AP17" s="792">
        <f t="shared" si="12"/>
        <v>5.8796577376743486E-5</v>
      </c>
      <c r="AQ17" s="76"/>
      <c r="AR17" s="76"/>
      <c r="AS17" s="76"/>
      <c r="AT17" s="76"/>
      <c r="AU17" s="76"/>
      <c r="AV17" s="76"/>
      <c r="AW17" s="76"/>
      <c r="AX17" s="76"/>
    </row>
    <row r="18" spans="1:50" s="89" customFormat="1" ht="13.5" customHeight="1" x14ac:dyDescent="0.2">
      <c r="A18" s="462">
        <f>VLOOKUP(B18,Sheet1!$AQ$4:$AR$25,2,FALSE)</f>
        <v>0</v>
      </c>
      <c r="B18" s="95" t="str">
        <f>Sheet1!$K$12</f>
        <v>Milton Keynes</v>
      </c>
      <c r="C18" s="87"/>
      <c r="D18" s="96">
        <f>IF(Year1_Milton_Keynes Year1_Assessments="","",Year1_Milton_Keynes Year1_Assessments)</f>
        <v>2000</v>
      </c>
      <c r="E18" s="96">
        <f>IF(Year2_Milton_Keynes Year2_Assessments="","",Year2_Milton_Keynes Year2_Assessments)</f>
        <v>2087</v>
      </c>
      <c r="F18" s="96">
        <f>IF(Year3_Milton_Keynes Year3_Assessments="","",Year3_Milton_Keynes Year3_Assessments)</f>
        <v>2517</v>
      </c>
      <c r="G18" s="96">
        <f>IF(Year4_Milton_Keynes Year4_Assessments="","",Year4_Milton_Keynes Year4_Assessments)</f>
        <v>2213</v>
      </c>
      <c r="H18" s="97">
        <f>IF(Year5_Milton_Keynes Year5_Assessments="","",Year5_Milton_Keynes Year5_Assessments)</f>
        <v>2249</v>
      </c>
      <c r="I18" s="337">
        <f t="shared" si="6"/>
        <v>3.6256544895313492E-2</v>
      </c>
      <c r="J18" s="98"/>
      <c r="K18" s="99">
        <f>IF(ISNUMBER(D18),D18/Population!D18*10000,NA())</f>
        <v>306.74846625766872</v>
      </c>
      <c r="L18" s="99">
        <f>IF(ISNUMBER(E18),E18/Population!E18*10000,NA())</f>
        <v>315.7337367624811</v>
      </c>
      <c r="M18" s="99">
        <f>IF(ISNUMBER(F18),F18/Population!F18*10000,NA())</f>
        <v>375.11177347242921</v>
      </c>
      <c r="N18" s="99">
        <f>IF(ISNUMBER(G18),G18/Population!G18*10000,NA())</f>
        <v>327.36686390532543</v>
      </c>
      <c r="O18" s="100">
        <f>IF(ISNUMBER(H18),H18/Population!H18*10000,NA())</f>
        <v>329.28257686676426</v>
      </c>
      <c r="P18" s="101">
        <f t="shared" si="7"/>
        <v>329.28257686676426</v>
      </c>
      <c r="Q18" s="885">
        <f t="shared" si="8"/>
        <v>2</v>
      </c>
      <c r="R18" s="69"/>
      <c r="S18" s="333">
        <f>IDACI!C17</f>
        <v>15</v>
      </c>
      <c r="T18" s="334">
        <f t="shared" si="0"/>
        <v>505.72726443230368</v>
      </c>
      <c r="U18" s="335">
        <f t="shared" si="9"/>
        <v>-176.44468756553943</v>
      </c>
      <c r="V18" s="124"/>
      <c r="W18" s="140"/>
      <c r="X18" s="149"/>
      <c r="Y18" s="71" t="str">
        <f t="shared" si="1"/>
        <v>Milton Keynes</v>
      </c>
      <c r="Z18" s="45">
        <f>IF(ISNUMBER($H18),IDACI!D17,0)</f>
        <v>59903</v>
      </c>
      <c r="AA18" s="45">
        <f>IF(ISNUMBER($H18),IDACI!E17,0)</f>
        <v>8985.4499999999989</v>
      </c>
      <c r="AB18" s="202">
        <f>IF(ISNUMBER(D18),Population!D18,"")</f>
        <v>65200</v>
      </c>
      <c r="AC18" s="202">
        <f>IF(ISNUMBER(E18),Population!E18,"")</f>
        <v>66100</v>
      </c>
      <c r="AD18" s="202">
        <f>IF(ISNUMBER(F18),Population!F18,"")</f>
        <v>67100</v>
      </c>
      <c r="AE18" s="202">
        <f>IF(ISNUMBER(G18),Population!G18,"")</f>
        <v>67600</v>
      </c>
      <c r="AF18" s="202">
        <f>IF(ISNUMBER(H18),Population!H18,"")</f>
        <v>68300</v>
      </c>
      <c r="AG18" s="95" t="s">
        <v>10</v>
      </c>
      <c r="AH18" s="225">
        <f t="shared" si="10"/>
        <v>329.28257686676426</v>
      </c>
      <c r="AI18" s="203">
        <f t="shared" si="11"/>
        <v>2</v>
      </c>
      <c r="AJ18" s="199"/>
      <c r="AK18" s="156"/>
      <c r="AL18" s="792">
        <f t="shared" si="2"/>
        <v>4.3499999999999997E-2</v>
      </c>
      <c r="AM18" s="792">
        <f t="shared" si="3"/>
        <v>0.20603737422137039</v>
      </c>
      <c r="AN18" s="792">
        <f t="shared" si="4"/>
        <v>-0.12077870480731029</v>
      </c>
      <c r="AO18" s="792">
        <f t="shared" si="5"/>
        <v>1.6267510167193855E-2</v>
      </c>
      <c r="AP18" s="792">
        <f t="shared" si="12"/>
        <v>3.6256544895313492E-2</v>
      </c>
      <c r="AQ18" s="76"/>
      <c r="AR18" s="76"/>
      <c r="AS18" s="76"/>
      <c r="AT18" s="76"/>
      <c r="AU18" s="76"/>
      <c r="AV18" s="76"/>
      <c r="AW18" s="76"/>
      <c r="AX18" s="76"/>
    </row>
    <row r="19" spans="1:50" s="89" customFormat="1" ht="13.5" customHeight="1" x14ac:dyDescent="0.2">
      <c r="A19" s="462">
        <f>VLOOKUP(B19,Sheet1!$AQ$4:$AR$25,2,FALSE)</f>
        <v>0</v>
      </c>
      <c r="B19" s="95" t="str">
        <f>Sheet1!$K$13</f>
        <v>Oxfordshire</v>
      </c>
      <c r="C19" s="87"/>
      <c r="D19" s="96">
        <f>IF(Year1_Oxfordshire Year1_Assessments="","",Year1_Oxfordshire Year1_Assessments)</f>
        <v>3767</v>
      </c>
      <c r="E19" s="96">
        <f>IF(Year2_Oxfordshire Year2_Assessments="","",Year2_Oxfordshire Year2_Assessments)</f>
        <v>5516</v>
      </c>
      <c r="F19" s="96">
        <f>IF(Year3_Oxfordshire Year3_Assessments="","",Year3_Oxfordshire Year3_Assessments)</f>
        <v>6720</v>
      </c>
      <c r="G19" s="96">
        <f>IF(Year4_Oxfordshire Year4_Assessments="","",Year4_Oxfordshire Year4_Assessments)</f>
        <v>5790</v>
      </c>
      <c r="H19" s="97">
        <f>IF(Year5_Oxfordshire Year5_Assessments="","",Year5_Oxfordshire Year5_Assessments)</f>
        <v>5404</v>
      </c>
      <c r="I19" s="337">
        <f t="shared" si="6"/>
        <v>0.11937744574526987</v>
      </c>
      <c r="J19" s="98"/>
      <c r="K19" s="99">
        <f>IF(ISNUMBER(D19),D19/Population!D19*10000,NA())</f>
        <v>266.78470254957506</v>
      </c>
      <c r="L19" s="99">
        <f>IF(ISNUMBER(E19),E19/Population!E19*10000,NA())</f>
        <v>388.99858956276444</v>
      </c>
      <c r="M19" s="99">
        <f>IF(ISNUMBER(F19),F19/Population!F19*10000,NA())</f>
        <v>470.25892232330301</v>
      </c>
      <c r="N19" s="99">
        <f>IF(ISNUMBER(G19),G19/Population!G19*10000,NA())</f>
        <v>403.76569037656907</v>
      </c>
      <c r="O19" s="100">
        <f>IF(ISNUMBER(H19),H19/Population!H19*10000,NA())</f>
        <v>373.20441988950279</v>
      </c>
      <c r="P19" s="101">
        <f t="shared" si="7"/>
        <v>373.20441988950279</v>
      </c>
      <c r="Q19" s="885">
        <f t="shared" si="8"/>
        <v>4</v>
      </c>
      <c r="R19" s="69"/>
      <c r="S19" s="333">
        <f>IDACI!C18</f>
        <v>10.100000000000001</v>
      </c>
      <c r="T19" s="334">
        <f t="shared" si="0"/>
        <v>415.12025335714873</v>
      </c>
      <c r="U19" s="335">
        <f t="shared" si="9"/>
        <v>-41.915833467645939</v>
      </c>
      <c r="V19" s="124"/>
      <c r="W19" s="140"/>
      <c r="X19" s="149"/>
      <c r="Y19" s="71" t="str">
        <f t="shared" si="1"/>
        <v>Oxfordshire</v>
      </c>
      <c r="Z19" s="45">
        <f>IF(ISNUMBER($H19),IDACI!D18,0)</f>
        <v>126119</v>
      </c>
      <c r="AA19" s="45">
        <f>IF(ISNUMBER($H19),IDACI!E18,0)</f>
        <v>12738.019000000002</v>
      </c>
      <c r="AB19" s="202">
        <f>IF(ISNUMBER(D19),Population!D19,"")</f>
        <v>141200</v>
      </c>
      <c r="AC19" s="202">
        <f>IF(ISNUMBER(E19),Population!E19,"")</f>
        <v>141800</v>
      </c>
      <c r="AD19" s="202">
        <f>IF(ISNUMBER(F19),Population!F19,"")</f>
        <v>142900</v>
      </c>
      <c r="AE19" s="202">
        <f>IF(ISNUMBER(G19),Population!G19,"")</f>
        <v>143400</v>
      </c>
      <c r="AF19" s="202">
        <f>IF(ISNUMBER(H19),Population!H19,"")</f>
        <v>144800</v>
      </c>
      <c r="AG19" s="95" t="s">
        <v>11</v>
      </c>
      <c r="AH19" s="225">
        <f t="shared" si="10"/>
        <v>373.20441988950279</v>
      </c>
      <c r="AI19" s="203">
        <f t="shared" si="11"/>
        <v>4</v>
      </c>
      <c r="AJ19" s="199"/>
      <c r="AK19" s="156"/>
      <c r="AL19" s="792">
        <f t="shared" si="2"/>
        <v>0.46429519511547651</v>
      </c>
      <c r="AM19" s="792">
        <f t="shared" si="3"/>
        <v>0.21827411167512689</v>
      </c>
      <c r="AN19" s="792">
        <f t="shared" si="4"/>
        <v>-0.13839285714285715</v>
      </c>
      <c r="AO19" s="792">
        <f t="shared" si="5"/>
        <v>-6.6666666666666666E-2</v>
      </c>
      <c r="AP19" s="792">
        <f t="shared" si="12"/>
        <v>0.11937744574526987</v>
      </c>
      <c r="AQ19" s="76"/>
      <c r="AR19" s="76"/>
      <c r="AS19" s="76"/>
      <c r="AT19" s="76"/>
      <c r="AU19" s="76"/>
      <c r="AV19" s="76"/>
      <c r="AW19" s="76"/>
      <c r="AX19" s="76"/>
    </row>
    <row r="20" spans="1:50" s="89" customFormat="1" ht="13.5" customHeight="1" x14ac:dyDescent="0.2">
      <c r="A20" s="462">
        <f>VLOOKUP(B20,Sheet1!$AQ$4:$AR$25,2,FALSE)</f>
        <v>0</v>
      </c>
      <c r="B20" s="95" t="str">
        <f>Sheet1!$K$14</f>
        <v>Portsmouth</v>
      </c>
      <c r="C20" s="87"/>
      <c r="D20" s="96">
        <f>IF(Year1_Portsmouth Year1_Assessments="","",Year1_Portsmouth Year1_Assessments)</f>
        <v>1453</v>
      </c>
      <c r="E20" s="96">
        <f>IF(Year2_Portsmouth Year2_Assessments="","",Year2_Portsmouth Year2_Assessments)</f>
        <v>1865</v>
      </c>
      <c r="F20" s="96">
        <f>IF(Year3_Portsmouth Year3_Assessments="","",Year3_Portsmouth Year3_Assessments)</f>
        <v>2950</v>
      </c>
      <c r="G20" s="96">
        <f>IF(Year4_Portsmouth Year4_Assessments="","",Year4_Portsmouth Year4_Assessments)</f>
        <v>3190</v>
      </c>
      <c r="H20" s="97">
        <f>IF(Year5_Portsmouth Year5_Assessments="","",Year5_Portsmouth Year5_Assessments)</f>
        <v>3737</v>
      </c>
      <c r="I20" s="337">
        <f t="shared" si="6"/>
        <v>0.27953749916512211</v>
      </c>
      <c r="J20" s="98"/>
      <c r="K20" s="99">
        <f>IF(ISNUMBER(D20),D20/Population!D20*10000,NA())</f>
        <v>334.79262672811058</v>
      </c>
      <c r="L20" s="99">
        <f>IF(ISNUMBER(E20),E20/Population!E20*10000,NA())</f>
        <v>425.79908675799089</v>
      </c>
      <c r="M20" s="99">
        <f>IF(ISNUMBER(F20),F20/Population!F20*10000,NA())</f>
        <v>670.4545454545455</v>
      </c>
      <c r="N20" s="99">
        <f>IF(ISNUMBER(G20),G20/Population!G20*10000,NA())</f>
        <v>721.71945701357458</v>
      </c>
      <c r="O20" s="100">
        <f>IF(ISNUMBER(H20),H20/Population!H20*10000,NA())</f>
        <v>849.31818181818176</v>
      </c>
      <c r="P20" s="101">
        <f t="shared" si="7"/>
        <v>849.31818181818176</v>
      </c>
      <c r="Q20" s="885">
        <f t="shared" si="8"/>
        <v>19</v>
      </c>
      <c r="R20" s="69"/>
      <c r="S20" s="333">
        <f>IDACI!C19</f>
        <v>20.200000000000003</v>
      </c>
      <c r="T20" s="334">
        <f t="shared" si="0"/>
        <v>601.88164353246816</v>
      </c>
      <c r="U20" s="335">
        <f t="shared" si="9"/>
        <v>247.4365382857136</v>
      </c>
      <c r="V20" s="124"/>
      <c r="W20" s="140"/>
      <c r="X20" s="149"/>
      <c r="Y20" s="71" t="str">
        <f t="shared" si="1"/>
        <v>Portsmouth</v>
      </c>
      <c r="Z20" s="45">
        <f>IF(ISNUMBER($H20),IDACI!D19,0)</f>
        <v>39325</v>
      </c>
      <c r="AA20" s="45">
        <f>IF(ISNUMBER($H20),IDACI!E19,0)</f>
        <v>7943.6500000000015</v>
      </c>
      <c r="AB20" s="202">
        <f>IF(ISNUMBER(D20),Population!D20,"")</f>
        <v>43400</v>
      </c>
      <c r="AC20" s="202">
        <f>IF(ISNUMBER(E20),Population!E20,"")</f>
        <v>43800</v>
      </c>
      <c r="AD20" s="202">
        <f>IF(ISNUMBER(F20),Population!F20,"")</f>
        <v>44000</v>
      </c>
      <c r="AE20" s="202">
        <f>IF(ISNUMBER(G20),Population!G20,"")</f>
        <v>44200</v>
      </c>
      <c r="AF20" s="202">
        <f>IF(ISNUMBER(H20),Population!H20,"")</f>
        <v>44000</v>
      </c>
      <c r="AG20" s="95" t="s">
        <v>12</v>
      </c>
      <c r="AH20" s="225">
        <f t="shared" si="10"/>
        <v>849.31818181818176</v>
      </c>
      <c r="AI20" s="203">
        <f t="shared" si="11"/>
        <v>19</v>
      </c>
      <c r="AJ20" s="199"/>
      <c r="AK20" s="156"/>
      <c r="AL20" s="792">
        <f t="shared" si="2"/>
        <v>0.28355127322780455</v>
      </c>
      <c r="AM20" s="792">
        <f t="shared" si="3"/>
        <v>0.58176943699731909</v>
      </c>
      <c r="AN20" s="792">
        <f t="shared" si="4"/>
        <v>8.1355932203389825E-2</v>
      </c>
      <c r="AO20" s="792">
        <f t="shared" si="5"/>
        <v>0.17147335423197493</v>
      </c>
      <c r="AP20" s="792">
        <f t="shared" si="12"/>
        <v>0.27953749916512211</v>
      </c>
      <c r="AQ20" s="76"/>
      <c r="AR20" s="76"/>
      <c r="AS20" s="76"/>
      <c r="AT20" s="76"/>
      <c r="AU20" s="76"/>
      <c r="AV20" s="76"/>
      <c r="AW20" s="76"/>
      <c r="AX20" s="76"/>
    </row>
    <row r="21" spans="1:50" s="89" customFormat="1" ht="13.5" customHeight="1" x14ac:dyDescent="0.2">
      <c r="A21" s="462">
        <f>VLOOKUP(B21,Sheet1!$AQ$4:$AR$25,2,FALSE)</f>
        <v>0</v>
      </c>
      <c r="B21" s="95" t="str">
        <f>Sheet1!$K$15</f>
        <v>Reading</v>
      </c>
      <c r="C21" s="87"/>
      <c r="D21" s="96">
        <f>IF(Year1_Reading Year1_Assessments="","",Year1_Reading Year1_Assessments)</f>
        <v>1197</v>
      </c>
      <c r="E21" s="96">
        <f>IF(Year2_Reading Year2_Assessments="","",Year2_Reading Year2_Assessments)</f>
        <v>2171</v>
      </c>
      <c r="F21" s="96">
        <f>IF(Year3_Reading Year3_Assessments="","",Year3_Reading Year3_Assessments)</f>
        <v>2945</v>
      </c>
      <c r="G21" s="96">
        <f>IF(Year4_Reading Year4_Assessments="","",Year4_Reading Year4_Assessments)</f>
        <v>2791</v>
      </c>
      <c r="H21" s="97">
        <f>IF(Year5_Reading Year5_Assessments="","",Year5_Reading Year5_Assessments)</f>
        <v>2676</v>
      </c>
      <c r="I21" s="337">
        <f t="shared" si="6"/>
        <v>0.2691806906932524</v>
      </c>
      <c r="J21" s="98"/>
      <c r="K21" s="99">
        <f>IF(ISNUMBER(D21),D21/Population!D21*10000,NA())</f>
        <v>333.42618384401112</v>
      </c>
      <c r="L21" s="99">
        <f>IF(ISNUMBER(E21),E21/Population!E21*10000,NA())</f>
        <v>596.42857142857144</v>
      </c>
      <c r="M21" s="99">
        <f>IF(ISNUMBER(F21),F21/Population!F21*10000,NA())</f>
        <v>804.64480874316939</v>
      </c>
      <c r="N21" s="99">
        <f>IF(ISNUMBER(G21),G21/Population!G21*10000,NA())</f>
        <v>752.29110512129387</v>
      </c>
      <c r="O21" s="100">
        <f>IF(ISNUMBER(H21),H21/Population!H21*10000,NA())</f>
        <v>721.29380053908358</v>
      </c>
      <c r="P21" s="101">
        <f t="shared" si="7"/>
        <v>721.29380053908358</v>
      </c>
      <c r="Q21" s="885">
        <f t="shared" si="8"/>
        <v>17</v>
      </c>
      <c r="R21" s="69"/>
      <c r="S21" s="333">
        <f>IDACI!C20</f>
        <v>16</v>
      </c>
      <c r="T21" s="334">
        <f t="shared" si="0"/>
        <v>524.21849118233536</v>
      </c>
      <c r="U21" s="335">
        <f t="shared" si="9"/>
        <v>197.07530935674822</v>
      </c>
      <c r="V21" s="124"/>
      <c r="W21" s="140"/>
      <c r="X21" s="149"/>
      <c r="Y21" s="71" t="str">
        <f t="shared" si="1"/>
        <v>Reading</v>
      </c>
      <c r="Z21" s="45">
        <f>IF(ISNUMBER($H21),IDACI!D20,0)</f>
        <v>33203</v>
      </c>
      <c r="AA21" s="45">
        <f>IF(ISNUMBER($H21),IDACI!E20,0)</f>
        <v>5312.4800000000005</v>
      </c>
      <c r="AB21" s="202">
        <f>IF(ISNUMBER(D21),Population!D21,"")</f>
        <v>35900</v>
      </c>
      <c r="AC21" s="202">
        <f>IF(ISNUMBER(E21),Population!E21,"")</f>
        <v>36400</v>
      </c>
      <c r="AD21" s="202">
        <f>IF(ISNUMBER(F21),Population!F21,"")</f>
        <v>36600</v>
      </c>
      <c r="AE21" s="202">
        <f>IF(ISNUMBER(G21),Population!G21,"")</f>
        <v>37100</v>
      </c>
      <c r="AF21" s="202">
        <f>IF(ISNUMBER(H21),Population!H21,"")</f>
        <v>37100</v>
      </c>
      <c r="AG21" s="95" t="s">
        <v>3</v>
      </c>
      <c r="AH21" s="225">
        <f t="shared" si="10"/>
        <v>721.29380053908358</v>
      </c>
      <c r="AI21" s="203">
        <f t="shared" si="11"/>
        <v>17</v>
      </c>
      <c r="AJ21" s="199"/>
      <c r="AK21" s="156"/>
      <c r="AL21" s="792">
        <f t="shared" si="2"/>
        <v>0.81370091896407681</v>
      </c>
      <c r="AM21" s="792">
        <f t="shared" si="3"/>
        <v>0.35651773376324275</v>
      </c>
      <c r="AN21" s="792">
        <f t="shared" si="4"/>
        <v>-5.2292020373514429E-2</v>
      </c>
      <c r="AO21" s="792">
        <f t="shared" si="5"/>
        <v>-4.1203869580795416E-2</v>
      </c>
      <c r="AP21" s="792">
        <f t="shared" si="12"/>
        <v>0.2691806906932524</v>
      </c>
      <c r="AQ21" s="76"/>
      <c r="AR21" s="76"/>
      <c r="AS21" s="76"/>
      <c r="AT21" s="76"/>
      <c r="AU21" s="76"/>
      <c r="AV21" s="76"/>
      <c r="AW21" s="76"/>
      <c r="AX21" s="76"/>
    </row>
    <row r="22" spans="1:50" s="89" customFormat="1" ht="13.5" customHeight="1" x14ac:dyDescent="0.2">
      <c r="A22" s="462">
        <f>VLOOKUP(B22,Sheet1!$AQ$4:$AR$25,2,FALSE)</f>
        <v>0</v>
      </c>
      <c r="B22" s="95" t="str">
        <f>Sheet1!$K$16</f>
        <v>Slough</v>
      </c>
      <c r="C22" s="87"/>
      <c r="D22" s="96">
        <f>IF(Year1_Slough Year1_Assessments="","",Year1_Slough Year1_Assessments)</f>
        <v>1879</v>
      </c>
      <c r="E22" s="96">
        <f>IF(Year2_Slough Year2_Assessments="","",Year2_Slough Year2_Assessments)</f>
        <v>2588</v>
      </c>
      <c r="F22" s="96">
        <f>IF(Year3_Slough Year3_Assessments="","",Year3_Slough Year3_Assessments)</f>
        <v>2339</v>
      </c>
      <c r="G22" s="96">
        <f>IF(Year4_Slough Year4_Assessments="","",Year4_Slough Year4_Assessments)</f>
        <v>1541</v>
      </c>
      <c r="H22" s="97">
        <f>IF(Year5_Slough Year5_Assessments="","",Year5_Slough Year5_Assessments)</f>
        <v>1853</v>
      </c>
      <c r="I22" s="337">
        <f t="shared" si="6"/>
        <v>3.5602391115395045E-2</v>
      </c>
      <c r="J22" s="98"/>
      <c r="K22" s="99">
        <f>IF(ISNUMBER(D22),D22/Population!D22*10000,NA())</f>
        <v>470.92731829573938</v>
      </c>
      <c r="L22" s="99">
        <f>IF(ISNUMBER(E22),E22/Population!E22*10000,NA())</f>
        <v>637.4384236453202</v>
      </c>
      <c r="M22" s="99">
        <f>IF(ISNUMBER(F22),F22/Population!F22*10000,NA())</f>
        <v>564.97584541062804</v>
      </c>
      <c r="N22" s="99">
        <f>IF(ISNUMBER(G22),G22/Population!G22*10000,NA())</f>
        <v>365.16587677725113</v>
      </c>
      <c r="O22" s="100">
        <f>IF(ISNUMBER(H22),H22/Population!H22*10000,NA())</f>
        <v>433.95784543325533</v>
      </c>
      <c r="P22" s="101">
        <f t="shared" si="7"/>
        <v>433.95784543325533</v>
      </c>
      <c r="Q22" s="885">
        <f t="shared" si="8"/>
        <v>5</v>
      </c>
      <c r="R22" s="69"/>
      <c r="S22" s="333">
        <f>IDACI!C21</f>
        <v>14.7</v>
      </c>
      <c r="T22" s="334">
        <f t="shared" si="0"/>
        <v>500.17989640729417</v>
      </c>
      <c r="U22" s="335">
        <f t="shared" si="9"/>
        <v>-66.222050974038837</v>
      </c>
      <c r="V22" s="124"/>
      <c r="W22" s="140"/>
      <c r="X22" s="149"/>
      <c r="Y22" s="71" t="str">
        <f t="shared" si="1"/>
        <v>Slough</v>
      </c>
      <c r="Z22" s="45">
        <f>IF(ISNUMBER($H22),IDACI!D21,0)</f>
        <v>37031</v>
      </c>
      <c r="AA22" s="45">
        <f>IF(ISNUMBER($H22),IDACI!E21,0)</f>
        <v>5443.5569999999998</v>
      </c>
      <c r="AB22" s="202">
        <f>IF(ISNUMBER(D22),Population!D22,"")</f>
        <v>39900</v>
      </c>
      <c r="AC22" s="202">
        <f>IF(ISNUMBER(E22),Population!E22,"")</f>
        <v>40600</v>
      </c>
      <c r="AD22" s="202">
        <f>IF(ISNUMBER(F22),Population!F22,"")</f>
        <v>41400</v>
      </c>
      <c r="AE22" s="202">
        <f>IF(ISNUMBER(G22),Population!G22,"")</f>
        <v>42200</v>
      </c>
      <c r="AF22" s="202">
        <f>IF(ISNUMBER(H22),Population!H22,"")</f>
        <v>42700</v>
      </c>
      <c r="AG22" s="95" t="s">
        <v>13</v>
      </c>
      <c r="AH22" s="225">
        <f t="shared" si="10"/>
        <v>433.95784543325533</v>
      </c>
      <c r="AI22" s="203">
        <f t="shared" si="11"/>
        <v>5</v>
      </c>
      <c r="AJ22" s="199"/>
      <c r="AK22" s="156"/>
      <c r="AL22" s="792">
        <f t="shared" si="2"/>
        <v>0.37732836615220861</v>
      </c>
      <c r="AM22" s="792">
        <f t="shared" si="3"/>
        <v>-9.6213292117465224E-2</v>
      </c>
      <c r="AN22" s="792">
        <f t="shared" si="4"/>
        <v>-0.34117144078666095</v>
      </c>
      <c r="AO22" s="792">
        <f t="shared" si="5"/>
        <v>0.20246593121349774</v>
      </c>
      <c r="AP22" s="792">
        <f t="shared" si="12"/>
        <v>3.5602391115395045E-2</v>
      </c>
      <c r="AQ22" s="76"/>
      <c r="AR22" s="76"/>
      <c r="AS22" s="76"/>
      <c r="AT22" s="76"/>
      <c r="AU22" s="76"/>
      <c r="AV22" s="76"/>
      <c r="AW22" s="76"/>
      <c r="AX22" s="76"/>
    </row>
    <row r="23" spans="1:50" s="89" customFormat="1" ht="13.5" customHeight="1" x14ac:dyDescent="0.2">
      <c r="A23" s="462">
        <f>VLOOKUP(B23,Sheet1!$AQ$4:$AR$25,2,FALSE)</f>
        <v>0</v>
      </c>
      <c r="B23" s="95" t="str">
        <f>Sheet1!$K$17</f>
        <v>Somerset</v>
      </c>
      <c r="C23" s="87"/>
      <c r="D23" s="96">
        <f>IF(Year1_Somerset Year1_Assessments="","",Year1_Somerset Year1_Assessments)</f>
        <v>4524</v>
      </c>
      <c r="E23" s="96">
        <f>IF(Year2_Somerset Year2_Assessments="","",Year2_Somerset Year2_Assessments)</f>
        <v>4413</v>
      </c>
      <c r="F23" s="96">
        <f>IF(Year3_Somerset Year3_Assessments="","",Year3_Somerset Year3_Assessments)</f>
        <v>4944</v>
      </c>
      <c r="G23" s="96">
        <f>IF(Year4_Somerset Year4_Assessments="","",Year4_Somerset Year4_Assessments)</f>
        <v>5585</v>
      </c>
      <c r="H23" s="97">
        <f>IF(Year5_Somerset Year5_Assessments="","",Year5_Somerset Year5_Assessments)</f>
        <v>4112</v>
      </c>
      <c r="I23" s="337">
        <f t="shared" si="6"/>
        <v>-9.5748908356429879E-3</v>
      </c>
      <c r="J23" s="98"/>
      <c r="K23" s="99">
        <f>IF(ISNUMBER(D23),D23/Population!D23*10000,NA())</f>
        <v>415.42699724517905</v>
      </c>
      <c r="L23" s="99">
        <f>IF(ISNUMBER(E23),E23/Population!E23*10000,NA())</f>
        <v>404.12087912087912</v>
      </c>
      <c r="M23" s="99">
        <f>IF(ISNUMBER(F23),F23/Population!F23*10000,NA())</f>
        <v>450.68368277119413</v>
      </c>
      <c r="N23" s="99">
        <f>IF(ISNUMBER(G23),G23/Population!G23*10000,NA())</f>
        <v>507.26612170753862</v>
      </c>
      <c r="O23" s="100">
        <f>IF(ISNUMBER(H23),H23/Population!H23*10000,NA())</f>
        <v>371.45438121047874</v>
      </c>
      <c r="P23" s="101">
        <f t="shared" si="7"/>
        <v>371.45438121047874</v>
      </c>
      <c r="Q23" s="882" t="str">
        <f t="shared" si="8"/>
        <v>--</v>
      </c>
      <c r="R23" s="69"/>
      <c r="S23" s="333">
        <f>IDACI!C22</f>
        <v>13.600000000000001</v>
      </c>
      <c r="T23" s="334">
        <f t="shared" si="0"/>
        <v>479.83954698225944</v>
      </c>
      <c r="U23" s="335">
        <f t="shared" si="9"/>
        <v>-108.38516577178069</v>
      </c>
      <c r="V23" s="124"/>
      <c r="W23" s="140"/>
      <c r="X23" s="149"/>
      <c r="Y23" s="71" t="str">
        <f t="shared" si="1"/>
        <v>Somerset</v>
      </c>
      <c r="Z23" s="45">
        <f>IF(ISNUMBER($H23),IDACI!D22,0)</f>
        <v>95875</v>
      </c>
      <c r="AA23" s="45">
        <f>IF(ISNUMBER($H23),IDACI!E22,0)</f>
        <v>13039.000000000002</v>
      </c>
      <c r="AB23" s="202">
        <f>IF(ISNUMBER(D23),Population!D23,"")</f>
        <v>108900</v>
      </c>
      <c r="AC23" s="202">
        <f>IF(ISNUMBER(E23),Population!E23,"")</f>
        <v>109200</v>
      </c>
      <c r="AD23" s="202">
        <f>IF(ISNUMBER(F23),Population!F23,"")</f>
        <v>109700</v>
      </c>
      <c r="AE23" s="202">
        <f>IF(ISNUMBER(G23),Population!G23,"")</f>
        <v>110100</v>
      </c>
      <c r="AF23" s="202">
        <f>IF(ISNUMBER(H23),Population!H23,"")</f>
        <v>110700</v>
      </c>
      <c r="AG23" s="95" t="s">
        <v>14</v>
      </c>
      <c r="AH23" s="225">
        <f t="shared" si="10"/>
        <v>481.88976377952753</v>
      </c>
      <c r="AI23" s="203">
        <f t="shared" si="11"/>
        <v>8</v>
      </c>
      <c r="AJ23" s="199"/>
      <c r="AK23" s="156"/>
      <c r="AL23" s="792">
        <f t="shared" si="2"/>
        <v>-2.4535809018567639E-2</v>
      </c>
      <c r="AM23" s="792">
        <f t="shared" si="3"/>
        <v>0.1203263086335826</v>
      </c>
      <c r="AN23" s="792">
        <f t="shared" si="4"/>
        <v>0.12965210355987056</v>
      </c>
      <c r="AO23" s="792">
        <f t="shared" si="5"/>
        <v>-0.26374216651745747</v>
      </c>
      <c r="AP23" s="792">
        <f t="shared" si="12"/>
        <v>-9.5748908356429879E-3</v>
      </c>
      <c r="AQ23" s="76"/>
      <c r="AR23" s="76"/>
      <c r="AS23" s="76"/>
      <c r="AT23" s="76"/>
      <c r="AU23" s="76"/>
      <c r="AV23" s="76"/>
      <c r="AW23" s="76"/>
      <c r="AX23" s="76"/>
    </row>
    <row r="24" spans="1:50" s="89" customFormat="1" ht="13.5" customHeight="1" x14ac:dyDescent="0.2">
      <c r="A24" s="462">
        <f>VLOOKUP(B24,Sheet1!$AQ$4:$AR$25,2,FALSE)</f>
        <v>0</v>
      </c>
      <c r="B24" s="95" t="str">
        <f>Sheet1!$K$18</f>
        <v>Southampton</v>
      </c>
      <c r="C24" s="87"/>
      <c r="D24" s="102">
        <f>IF(Year1_Southampton Year1_Assessments="","",Year1_Southampton Year1_Assessments)</f>
        <v>2109</v>
      </c>
      <c r="E24" s="102">
        <f>IF(Year2_Southampton Year2_Assessments="","",Year2_Southampton Year2_Assessments)</f>
        <v>3035</v>
      </c>
      <c r="F24" s="96">
        <f>IF(Year3_Southampton Year3_Assessments="","",Year3_Southampton Year3_Assessments)</f>
        <v>2655</v>
      </c>
      <c r="G24" s="96">
        <f>IF(Year4_Southampton Year4_Assessments="","",Year4_Southampton Year4_Assessments)</f>
        <v>2318</v>
      </c>
      <c r="H24" s="97">
        <f>IF(Year5_Southampton Year5_Assessments="","",Year5_Southampton Year5_Assessments)</f>
        <v>2448</v>
      </c>
      <c r="I24" s="337">
        <f t="shared" si="6"/>
        <v>6.0754307166235477E-2</v>
      </c>
      <c r="J24" s="98"/>
      <c r="K24" s="99">
        <f>IF(ISNUMBER(D24),D24/Population!D24*10000,NA())</f>
        <v>433.95061728395063</v>
      </c>
      <c r="L24" s="99">
        <f>IF(ISNUMBER(E24),E24/Population!E24*10000,NA())</f>
        <v>616.869918699187</v>
      </c>
      <c r="M24" s="99">
        <f>IF(ISNUMBER(F24),F24/Population!F24*10000,NA())</f>
        <v>532.06412825651307</v>
      </c>
      <c r="N24" s="99">
        <f>IF(ISNUMBER(G24),G24/Population!G24*10000,NA())</f>
        <v>460.83499005964217</v>
      </c>
      <c r="O24" s="100">
        <f>IF(ISNUMBER(H24),H24/Population!H24*10000,NA())</f>
        <v>481.88976377952753</v>
      </c>
      <c r="P24" s="101">
        <f t="shared" si="7"/>
        <v>481.88976377952753</v>
      </c>
      <c r="Q24" s="885">
        <f t="shared" si="8"/>
        <v>8</v>
      </c>
      <c r="R24" s="69"/>
      <c r="S24" s="333">
        <f>IDACI!C23</f>
        <v>20.5</v>
      </c>
      <c r="T24" s="334">
        <f t="shared" si="0"/>
        <v>607.42901155747768</v>
      </c>
      <c r="U24" s="335">
        <f t="shared" si="9"/>
        <v>-125.53924777795015</v>
      </c>
      <c r="V24" s="124"/>
      <c r="W24" s="140"/>
      <c r="X24" s="149"/>
      <c r="Y24" s="71" t="str">
        <f t="shared" si="1"/>
        <v>Southampton</v>
      </c>
      <c r="Z24" s="45">
        <f>IF(ISNUMBER($H24),IDACI!D23,0)</f>
        <v>44295</v>
      </c>
      <c r="AA24" s="45">
        <f>IF(ISNUMBER($H24),IDACI!E23,0)</f>
        <v>9080.4750000000004</v>
      </c>
      <c r="AB24" s="202">
        <f>IF(ISNUMBER(D24),Population!D24,"")</f>
        <v>48600</v>
      </c>
      <c r="AC24" s="202">
        <f>IF(ISNUMBER(E24),Population!E24,"")</f>
        <v>49200</v>
      </c>
      <c r="AD24" s="202">
        <f>IF(ISNUMBER(F24),Population!F24,"")</f>
        <v>49900</v>
      </c>
      <c r="AE24" s="202">
        <f>IF(ISNUMBER(G24),Population!G24,"")</f>
        <v>50300</v>
      </c>
      <c r="AF24" s="202">
        <f>IF(ISNUMBER(H24),Population!H24,"")</f>
        <v>50800</v>
      </c>
      <c r="AG24" s="95" t="s">
        <v>7</v>
      </c>
      <c r="AH24" s="225">
        <f t="shared" si="10"/>
        <v>452.15731195112636</v>
      </c>
      <c r="AI24" s="203">
        <f t="shared" si="11"/>
        <v>7</v>
      </c>
      <c r="AJ24" s="199"/>
      <c r="AK24" s="156"/>
      <c r="AL24" s="792">
        <f t="shared" si="2"/>
        <v>0.4390706495969654</v>
      </c>
      <c r="AM24" s="792">
        <f t="shared" si="3"/>
        <v>-0.12520593080724876</v>
      </c>
      <c r="AN24" s="792">
        <f t="shared" si="4"/>
        <v>-0.12693032015065914</v>
      </c>
      <c r="AO24" s="792">
        <f t="shared" si="5"/>
        <v>5.6082830025884385E-2</v>
      </c>
      <c r="AP24" s="792">
        <f t="shared" si="12"/>
        <v>6.0754307166235477E-2</v>
      </c>
      <c r="AQ24" s="76"/>
      <c r="AR24" s="76"/>
      <c r="AS24" s="76"/>
      <c r="AT24" s="76"/>
      <c r="AU24" s="76"/>
      <c r="AV24" s="76"/>
      <c r="AW24" s="76"/>
      <c r="AX24" s="76"/>
    </row>
    <row r="25" spans="1:50" s="89" customFormat="1" ht="13.5" customHeight="1" x14ac:dyDescent="0.2">
      <c r="A25" s="462">
        <f>VLOOKUP(B25,Sheet1!$AQ$4:$AR$25,2,FALSE)</f>
        <v>0</v>
      </c>
      <c r="B25" s="95" t="str">
        <f>Sheet1!$K$19</f>
        <v>Surrey</v>
      </c>
      <c r="C25" s="87"/>
      <c r="D25" s="96">
        <f>IF(Year1_Surrey Year1_Assessments="","",Year1_Surrey Year1_Assessments)</f>
        <v>8993</v>
      </c>
      <c r="E25" s="96">
        <f>IF(Year2_Surrey Year2_Assessments="","",Year2_Surrey Year2_Assessments)</f>
        <v>12174</v>
      </c>
      <c r="F25" s="96">
        <f>IF(Year3_Surrey Year3_Assessments="","",Year3_Surrey Year3_Assessments)</f>
        <v>12022</v>
      </c>
      <c r="G25" s="96">
        <f>IF(Year4_Surrey Year4_Assessments="","",Year4_Surrey Year4_Assessments)</f>
        <v>12579</v>
      </c>
      <c r="H25" s="97">
        <f>IF(Year5_Surrey Year5_Assessments="","",Year5_Surrey Year5_Assessments)</f>
        <v>11842</v>
      </c>
      <c r="I25" s="337">
        <f t="shared" si="6"/>
        <v>8.2243986677900283E-2</v>
      </c>
      <c r="J25" s="98"/>
      <c r="K25" s="99">
        <f>IF(ISNUMBER(D25),D25/Population!D25*10000,NA())</f>
        <v>353.22073841319718</v>
      </c>
      <c r="L25" s="99">
        <f>IF(ISNUMBER(E25),E25/Population!E25*10000,NA())</f>
        <v>474.80499219968794</v>
      </c>
      <c r="M25" s="99">
        <f>IF(ISNUMBER(F25),F25/Population!F25*10000,NA())</f>
        <v>464.16988416988414</v>
      </c>
      <c r="N25" s="99">
        <f>IF(ISNUMBER(G25),G25/Population!G25*10000,NA())</f>
        <v>483.25009604302727</v>
      </c>
      <c r="O25" s="100">
        <f>IF(ISNUMBER(H25),H25/Population!H25*10000,NA())</f>
        <v>452.15731195112636</v>
      </c>
      <c r="P25" s="101">
        <f t="shared" si="7"/>
        <v>452.15731195112636</v>
      </c>
      <c r="Q25" s="885">
        <f t="shared" si="8"/>
        <v>7</v>
      </c>
      <c r="R25" s="69"/>
      <c r="S25" s="333">
        <f>IDACI!C24</f>
        <v>8.3000000000000007</v>
      </c>
      <c r="T25" s="334">
        <f t="shared" si="0"/>
        <v>381.83604520709173</v>
      </c>
      <c r="U25" s="335">
        <f t="shared" si="9"/>
        <v>70.321266744034631</v>
      </c>
      <c r="V25" s="124"/>
      <c r="W25" s="140"/>
      <c r="X25" s="149"/>
      <c r="Y25" s="71" t="str">
        <f t="shared" si="1"/>
        <v>Surrey</v>
      </c>
      <c r="Z25" s="45">
        <f>IF(ISNUMBER($H25),IDACI!D24,0)</f>
        <v>228466</v>
      </c>
      <c r="AA25" s="45">
        <f>IF(ISNUMBER($H25),IDACI!E24,0)</f>
        <v>18962.678</v>
      </c>
      <c r="AB25" s="202">
        <f>IF(ISNUMBER(D25),Population!D25,"")</f>
        <v>254600</v>
      </c>
      <c r="AC25" s="202">
        <f>IF(ISNUMBER(E25),Population!E25,"")</f>
        <v>256400</v>
      </c>
      <c r="AD25" s="202">
        <f>IF(ISNUMBER(F25),Population!F25,"")</f>
        <v>259000</v>
      </c>
      <c r="AE25" s="202">
        <f>IF(ISNUMBER(G25),Population!G25,"")</f>
        <v>260300</v>
      </c>
      <c r="AF25" s="202">
        <f>IF(ISNUMBER(H25),Population!H25,"")</f>
        <v>261900</v>
      </c>
      <c r="AG25" s="95" t="s">
        <v>15</v>
      </c>
      <c r="AH25" s="225">
        <f t="shared" si="10"/>
        <v>581.17977528089887</v>
      </c>
      <c r="AI25" s="203">
        <f t="shared" si="11"/>
        <v>12</v>
      </c>
      <c r="AJ25" s="199"/>
      <c r="AK25" s="156"/>
      <c r="AL25" s="792">
        <f t="shared" si="2"/>
        <v>0.3537195596575114</v>
      </c>
      <c r="AM25" s="792">
        <f t="shared" si="3"/>
        <v>-1.2485625102677839E-2</v>
      </c>
      <c r="AN25" s="792">
        <f t="shared" si="4"/>
        <v>4.6331725170520713E-2</v>
      </c>
      <c r="AO25" s="792">
        <f t="shared" si="5"/>
        <v>-5.8589713013753084E-2</v>
      </c>
      <c r="AP25" s="792">
        <f t="shared" si="12"/>
        <v>8.2243986677900283E-2</v>
      </c>
      <c r="AQ25" s="76"/>
      <c r="AR25" s="76"/>
      <c r="AS25" s="76"/>
      <c r="AT25" s="76"/>
      <c r="AU25" s="76"/>
      <c r="AV25" s="76"/>
      <c r="AW25" s="76"/>
      <c r="AX25" s="76"/>
    </row>
    <row r="26" spans="1:50" s="89" customFormat="1" ht="13.5" customHeight="1" x14ac:dyDescent="0.2">
      <c r="A26" s="462">
        <f>VLOOKUP(B26,Sheet1!$AQ$4:$AR$25,2,FALSE)</f>
        <v>0</v>
      </c>
      <c r="B26" s="95" t="str">
        <f>Sheet1!$K$20</f>
        <v>Swindon</v>
      </c>
      <c r="C26" s="87"/>
      <c r="D26" s="96">
        <f>IF(Year1_Swindon Year1_Assessments="","",Year1_Swindon Year1_Assessments)</f>
        <v>2649</v>
      </c>
      <c r="E26" s="96">
        <f>IF(Year2_Swindon Year2_Assessments="","",Year2_Swindon Year2_Assessments)</f>
        <v>3139</v>
      </c>
      <c r="F26" s="96">
        <f>IF(Year3_Swindon Year3_Assessments="","",Year3_Swindon Year3_Assessments)</f>
        <v>2994</v>
      </c>
      <c r="G26" s="96">
        <f>IF(Year4_Swindon Year4_Assessments="","",Year4_Swindon Year4_Assessments)</f>
        <v>3151</v>
      </c>
      <c r="H26" s="97">
        <f>IF(Year5_Swindon Year5_Assessments="","",Year5_Swindon Year5_Assessments)</f>
        <v>4204</v>
      </c>
      <c r="I26" s="337">
        <f t="shared" si="6"/>
        <v>0.13135006064852778</v>
      </c>
      <c r="J26" s="98"/>
      <c r="K26" s="99">
        <f>IF(ISNUMBER(D26),D26/Population!D26*10000,NA())</f>
        <v>545.06172839506166</v>
      </c>
      <c r="L26" s="99">
        <f>IF(ISNUMBER(E26),E26/Population!E26*10000,NA())</f>
        <v>640.61224489795916</v>
      </c>
      <c r="M26" s="99">
        <f>IF(ISNUMBER(F26),F26/Population!F26*10000,NA())</f>
        <v>604.84848484848487</v>
      </c>
      <c r="N26" s="99">
        <f>IF(ISNUMBER(G26),G26/Population!G26*10000,NA())</f>
        <v>631.4629258517034</v>
      </c>
      <c r="O26" s="100">
        <f>IF(ISNUMBER(H26),H26/Population!H26*10000,NA())</f>
        <v>837.45019920318725</v>
      </c>
      <c r="P26" s="101">
        <f t="shared" si="7"/>
        <v>837.45019920318725</v>
      </c>
      <c r="Q26" s="882" t="str">
        <f t="shared" si="8"/>
        <v>--</v>
      </c>
      <c r="R26" s="69"/>
      <c r="S26" s="333">
        <f>IDACI!C25</f>
        <v>14.899999999999999</v>
      </c>
      <c r="T26" s="334">
        <f t="shared" si="0"/>
        <v>503.87814175730045</v>
      </c>
      <c r="U26" s="335">
        <f t="shared" si="9"/>
        <v>333.5720574458868</v>
      </c>
      <c r="V26" s="124"/>
      <c r="W26" s="140"/>
      <c r="X26" s="149"/>
      <c r="Y26" s="71" t="str">
        <f t="shared" si="1"/>
        <v>Swindon</v>
      </c>
      <c r="Z26" s="45">
        <f>IF(ISNUMBER($H26),IDACI!D25,0)</f>
        <v>43899</v>
      </c>
      <c r="AA26" s="45">
        <f>IF(ISNUMBER($H26),IDACI!E25,0)</f>
        <v>6540.951</v>
      </c>
      <c r="AB26" s="202">
        <f>IF(ISNUMBER(D26),Population!D26,"")</f>
        <v>48600</v>
      </c>
      <c r="AC26" s="202">
        <f>IF(ISNUMBER(E26),Population!E26,"")</f>
        <v>49000</v>
      </c>
      <c r="AD26" s="202">
        <f>IF(ISNUMBER(F26),Population!F26,"")</f>
        <v>49500</v>
      </c>
      <c r="AE26" s="202">
        <f>IF(ISNUMBER(G26),Population!G26,"")</f>
        <v>49900</v>
      </c>
      <c r="AF26" s="202">
        <f>IF(ISNUMBER(H26),Population!H26,"")</f>
        <v>50200</v>
      </c>
      <c r="AG26" s="95" t="s">
        <v>5</v>
      </c>
      <c r="AH26" s="225">
        <f t="shared" si="10"/>
        <v>595.99313108185459</v>
      </c>
      <c r="AI26" s="203">
        <f t="shared" si="11"/>
        <v>13</v>
      </c>
      <c r="AJ26" s="199"/>
      <c r="AK26" s="156"/>
      <c r="AL26" s="792">
        <f t="shared" si="2"/>
        <v>0.18497546243865609</v>
      </c>
      <c r="AM26" s="792">
        <f t="shared" si="3"/>
        <v>-4.6193055113093344E-2</v>
      </c>
      <c r="AN26" s="792">
        <f t="shared" si="4"/>
        <v>5.2438209752839013E-2</v>
      </c>
      <c r="AO26" s="792">
        <f t="shared" si="5"/>
        <v>0.33417962551570929</v>
      </c>
      <c r="AP26" s="792">
        <f t="shared" si="12"/>
        <v>0.13135006064852778</v>
      </c>
      <c r="AQ26" s="76"/>
      <c r="AR26" s="76"/>
      <c r="AS26" s="76"/>
      <c r="AT26" s="76"/>
      <c r="AU26" s="76"/>
      <c r="AV26" s="76"/>
      <c r="AW26" s="76"/>
      <c r="AX26" s="76"/>
    </row>
    <row r="27" spans="1:50" s="89" customFormat="1" ht="13.5" customHeight="1" x14ac:dyDescent="0.2">
      <c r="A27" s="462">
        <f>VLOOKUP(B27,Sheet1!$AQ$4:$AR$25,2,FALSE)</f>
        <v>0</v>
      </c>
      <c r="B27" s="95" t="str">
        <f>Sheet1!$K$21</f>
        <v>Torbay</v>
      </c>
      <c r="C27" s="87"/>
      <c r="D27" s="96">
        <f>IF(Year1_Torbay Year1_Assessments="","",Year1_Torbay Year1_Assessments)</f>
        <v>1488</v>
      </c>
      <c r="E27" s="96">
        <f>IF(Year2_Torbay Year2_Assessments="","",Year2_Torbay Year2_Assessments)</f>
        <v>1558</v>
      </c>
      <c r="F27" s="96">
        <f>IF(Year3_Torbay Year3_Assessments="","",Year3_Torbay Year3_Assessments)</f>
        <v>1012</v>
      </c>
      <c r="G27" s="96">
        <f>IF(Year4_Torbay Year4_Assessments="","",Year4_Torbay Year4_Assessments)</f>
        <v>1885</v>
      </c>
      <c r="H27" s="97">
        <f>IF(Year5_Torbay Year5_Assessments="","",Year5_Torbay Year5_Assessments)</f>
        <v>1877</v>
      </c>
      <c r="I27" s="337">
        <f t="shared" si="6"/>
        <v>0.13874947657492478</v>
      </c>
      <c r="J27" s="98"/>
      <c r="K27" s="99">
        <f>IF(ISNUMBER(D27),D27/Population!D27*10000,NA())</f>
        <v>592.82868525896413</v>
      </c>
      <c r="L27" s="99">
        <f>IF(ISNUMBER(E27),E27/Population!E27*10000,NA())</f>
        <v>618.2539682539682</v>
      </c>
      <c r="M27" s="99">
        <f>IF(ISNUMBER(F27),F27/Population!F27*10000,NA())</f>
        <v>398.42519685039372</v>
      </c>
      <c r="N27" s="99">
        <f>IF(ISNUMBER(G27),G27/Population!G27*10000,NA())</f>
        <v>742.12598425196859</v>
      </c>
      <c r="O27" s="100">
        <f>IF(ISNUMBER(H27),H27/Population!H27*10000,NA())</f>
        <v>738.9763779527558</v>
      </c>
      <c r="P27" s="101">
        <f t="shared" si="7"/>
        <v>738.9763779527558</v>
      </c>
      <c r="Q27" s="882" t="str">
        <f t="shared" si="8"/>
        <v>--</v>
      </c>
      <c r="R27" s="69"/>
      <c r="S27" s="333">
        <f>IDACI!C26</f>
        <v>21.9</v>
      </c>
      <c r="T27" s="334">
        <f t="shared" si="0"/>
        <v>633.31672900752187</v>
      </c>
      <c r="U27" s="335">
        <f t="shared" si="9"/>
        <v>105.65964894523393</v>
      </c>
      <c r="V27" s="124"/>
      <c r="W27" s="140"/>
      <c r="X27" s="149"/>
      <c r="Y27" s="71" t="str">
        <f t="shared" si="1"/>
        <v>Torbay</v>
      </c>
      <c r="Z27" s="45">
        <f>IF(ISNUMBER($H27),IDACI!D26,0)</f>
        <v>22257</v>
      </c>
      <c r="AA27" s="45">
        <f>IF(ISNUMBER($H27),IDACI!E26,0)</f>
        <v>4874.2829999999994</v>
      </c>
      <c r="AB27" s="202">
        <f>IF(ISNUMBER(D27),Population!D27,"")</f>
        <v>25100</v>
      </c>
      <c r="AC27" s="202">
        <f>IF(ISNUMBER(E27),Population!E27,"")</f>
        <v>25200</v>
      </c>
      <c r="AD27" s="202">
        <f>IF(ISNUMBER(F27),Population!F27,"")</f>
        <v>25400</v>
      </c>
      <c r="AE27" s="202">
        <f>IF(ISNUMBER(G27),Population!G27,"")</f>
        <v>25400</v>
      </c>
      <c r="AF27" s="202">
        <f>IF(ISNUMBER(H27),Population!H27,"")</f>
        <v>25400</v>
      </c>
      <c r="AG27" s="95" t="s">
        <v>30</v>
      </c>
      <c r="AH27" s="225">
        <f t="shared" si="10"/>
        <v>248.84393063583818</v>
      </c>
      <c r="AI27" s="203">
        <f t="shared" si="11"/>
        <v>1</v>
      </c>
      <c r="AJ27" s="199"/>
      <c r="AK27" s="156"/>
      <c r="AL27" s="792">
        <f t="shared" si="2"/>
        <v>4.7043010752688172E-2</v>
      </c>
      <c r="AM27" s="792">
        <f t="shared" si="3"/>
        <v>-0.35044929396662389</v>
      </c>
      <c r="AN27" s="792">
        <f t="shared" si="4"/>
        <v>0.86264822134387353</v>
      </c>
      <c r="AO27" s="792">
        <f t="shared" si="5"/>
        <v>-4.2440318302387264E-3</v>
      </c>
      <c r="AP27" s="792">
        <f t="shared" si="12"/>
        <v>0.13874947657492478</v>
      </c>
      <c r="AQ27" s="76"/>
      <c r="AR27" s="76"/>
      <c r="AS27" s="76"/>
      <c r="AT27" s="76"/>
      <c r="AU27" s="76"/>
      <c r="AV27" s="76"/>
      <c r="AW27" s="76"/>
      <c r="AX27" s="76"/>
    </row>
    <row r="28" spans="1:50" s="89" customFormat="1" ht="13.5" customHeight="1" x14ac:dyDescent="0.2">
      <c r="A28" s="462">
        <f>VLOOKUP(B28,Sheet1!$AQ$4:$AR$25,2,FALSE)</f>
        <v>0</v>
      </c>
      <c r="B28" s="95" t="str">
        <f>Sheet1!$K$22</f>
        <v>West Berkshire</v>
      </c>
      <c r="C28" s="87"/>
      <c r="D28" s="96">
        <f>IF(Year1_West_Berkshire Year1_Assessments="","",Year1_West_Berkshire Year1_Assessments)</f>
        <v>887</v>
      </c>
      <c r="E28" s="102">
        <f>IF(Year2_West_Berkshire Year2_Assessments="","",Year2_West_Berkshire Year2_Assessments)</f>
        <v>1434</v>
      </c>
      <c r="F28" s="96">
        <f>IF(Year3_West_Berkshire Year3_Assessments="","",Year3_West_Berkshire Year3_Assessments)</f>
        <v>1503</v>
      </c>
      <c r="G28" s="96">
        <f>IF(Year4_West_Berkshire Year4_Assessments="","",Year4_West_Berkshire Year4_Assessments)</f>
        <v>1780</v>
      </c>
      <c r="H28" s="97">
        <f>IF(Year5_West_Berkshire Year5_Assessments="","",Year5_West_Berkshire Year5_Assessments)</f>
        <v>2069</v>
      </c>
      <c r="I28" s="337">
        <f t="shared" si="6"/>
        <v>0.25286505812359844</v>
      </c>
      <c r="J28" s="98"/>
      <c r="K28" s="99">
        <f>IF(ISNUMBER(D28),D28/Population!D28*10000,NA())</f>
        <v>249.15730337078651</v>
      </c>
      <c r="L28" s="99">
        <f>IF(ISNUMBER(E28),E28/Population!E28*10000,NA())</f>
        <v>401.68067226890759</v>
      </c>
      <c r="M28" s="99">
        <f>IF(ISNUMBER(F28),F28/Population!F28*10000,NA())</f>
        <v>418.66295264623955</v>
      </c>
      <c r="N28" s="99">
        <f>IF(ISNUMBER(G28),G28/Population!G28*10000,NA())</f>
        <v>497.20670391061458</v>
      </c>
      <c r="O28" s="100">
        <f>IF(ISNUMBER(H28),H28/Population!H28*10000,NA())</f>
        <v>581.17977528089887</v>
      </c>
      <c r="P28" s="101">
        <f t="shared" si="7"/>
        <v>581.17977528089887</v>
      </c>
      <c r="Q28" s="885">
        <f t="shared" si="8"/>
        <v>12</v>
      </c>
      <c r="R28" s="69"/>
      <c r="S28" s="333">
        <f>IDACI!C27</f>
        <v>8.6999999999999993</v>
      </c>
      <c r="T28" s="334">
        <f t="shared" si="0"/>
        <v>389.23253590710442</v>
      </c>
      <c r="U28" s="335">
        <f t="shared" si="9"/>
        <v>191.94723937379445</v>
      </c>
      <c r="V28" s="124"/>
      <c r="W28" s="140"/>
      <c r="X28" s="149"/>
      <c r="Y28" s="71" t="str">
        <f t="shared" si="1"/>
        <v>West Berkshire</v>
      </c>
      <c r="Z28" s="45">
        <f>IF(ISNUMBER($H28),IDACI!D27,0)</f>
        <v>31625</v>
      </c>
      <c r="AA28" s="45">
        <f>IF(ISNUMBER($H28),IDACI!E27,0)</f>
        <v>2751.375</v>
      </c>
      <c r="AB28" s="202">
        <f>IF(ISNUMBER(D28),Population!D28,"")</f>
        <v>35600</v>
      </c>
      <c r="AC28" s="202">
        <f>IF(ISNUMBER(E28),Population!E28,"")</f>
        <v>35700</v>
      </c>
      <c r="AD28" s="202">
        <f>IF(ISNUMBER(F28),Population!F28,"")</f>
        <v>35900</v>
      </c>
      <c r="AE28" s="202">
        <f>IF(ISNUMBER(G28),Population!G28,"")</f>
        <v>35800</v>
      </c>
      <c r="AF28" s="202">
        <f>IF(ISNUMBER(H28),Population!H28,"")</f>
        <v>35600</v>
      </c>
      <c r="AG28" s="95" t="s">
        <v>16</v>
      </c>
      <c r="AH28" s="225">
        <f t="shared" si="10"/>
        <v>438.7341772151899</v>
      </c>
      <c r="AI28" s="203">
        <f t="shared" si="11"/>
        <v>6</v>
      </c>
      <c r="AJ28" s="199"/>
      <c r="AK28" s="156"/>
      <c r="AL28" s="792">
        <f t="shared" si="2"/>
        <v>0.61668545659526497</v>
      </c>
      <c r="AM28" s="792">
        <f t="shared" si="3"/>
        <v>4.8117154811715482E-2</v>
      </c>
      <c r="AN28" s="792">
        <f t="shared" si="4"/>
        <v>0.18429807052561545</v>
      </c>
      <c r="AO28" s="792">
        <f t="shared" si="5"/>
        <v>0.16235955056179777</v>
      </c>
      <c r="AP28" s="792">
        <f t="shared" si="12"/>
        <v>0.25286505812359844</v>
      </c>
      <c r="AQ28" s="76"/>
      <c r="AR28" s="76"/>
      <c r="AS28" s="76"/>
      <c r="AT28" s="76"/>
      <c r="AU28" s="76"/>
      <c r="AV28" s="76"/>
      <c r="AW28" s="76"/>
      <c r="AX28" s="76"/>
    </row>
    <row r="29" spans="1:50" s="89" customFormat="1" ht="13.5" customHeight="1" x14ac:dyDescent="0.2">
      <c r="A29" s="462">
        <f>VLOOKUP(B29,Sheet1!$AQ$4:$AR$25,2,FALSE)</f>
        <v>0</v>
      </c>
      <c r="B29" s="95" t="str">
        <f>Sheet1!$K$23</f>
        <v>West Sussex</v>
      </c>
      <c r="C29" s="87"/>
      <c r="D29" s="96">
        <f>IF(Year1_West_Sussex Year1_Assessments="","",Year1_West_Sussex Year1_Assessments)</f>
        <v>5185</v>
      </c>
      <c r="E29" s="102">
        <f>IF(Year2_West_Sussex Year2_Assessments="","",Year2_West_Sussex Year2_Assessments)</f>
        <v>7465</v>
      </c>
      <c r="F29" s="96">
        <f>IF(Year3_West_Sussex Year3_Assessments="","",Year3_West_Sussex Year3_Assessments)</f>
        <v>7633</v>
      </c>
      <c r="G29" s="96">
        <f>IF(Year4_West_Sussex Year4_Assessments="","",Year4_West_Sussex Year4_Assessments)</f>
        <v>10004</v>
      </c>
      <c r="H29" s="97">
        <f>IF(Year5_West_Sussex Year5_Assessments="","",Year5_West_Sussex Year5_Assessments)</f>
        <v>10412</v>
      </c>
      <c r="I29" s="337">
        <f t="shared" si="6"/>
        <v>0.20341090461090405</v>
      </c>
      <c r="J29" s="98"/>
      <c r="K29" s="99">
        <f>IF(ISNUMBER(D29),D29/Population!D29*10000,NA())</f>
        <v>307.16824644549763</v>
      </c>
      <c r="L29" s="99">
        <f>IF(ISNUMBER(E29),E29/Population!E29*10000,NA())</f>
        <v>438.08685446009389</v>
      </c>
      <c r="M29" s="99">
        <f>IF(ISNUMBER(F29),F29/Population!F29*10000,NA())</f>
        <v>444.29569266589061</v>
      </c>
      <c r="N29" s="99">
        <f>IF(ISNUMBER(G29),G29/Population!G29*10000,NA())</f>
        <v>577.26485862665902</v>
      </c>
      <c r="O29" s="100">
        <f>IF(ISNUMBER(H29),H29/Population!H29*10000,NA())</f>
        <v>595.99313108185459</v>
      </c>
      <c r="P29" s="101">
        <f t="shared" si="7"/>
        <v>595.99313108185459</v>
      </c>
      <c r="Q29" s="885">
        <f t="shared" si="8"/>
        <v>13</v>
      </c>
      <c r="R29" s="69"/>
      <c r="S29" s="333">
        <f>IDACI!C28</f>
        <v>11</v>
      </c>
      <c r="T29" s="334">
        <f t="shared" si="0"/>
        <v>431.76235743217717</v>
      </c>
      <c r="U29" s="335">
        <f t="shared" si="9"/>
        <v>164.23077364967742</v>
      </c>
      <c r="V29" s="124"/>
      <c r="W29" s="140"/>
      <c r="X29" s="149"/>
      <c r="Y29" s="71" t="str">
        <f t="shared" si="1"/>
        <v>West Sussex</v>
      </c>
      <c r="Z29" s="45">
        <f>IF(ISNUMBER($H29),IDACI!D28,0)</f>
        <v>151487</v>
      </c>
      <c r="AA29" s="45">
        <f>IF(ISNUMBER($H29),IDACI!E28,0)</f>
        <v>16663.57</v>
      </c>
      <c r="AB29" s="202">
        <f>IF(ISNUMBER(D29),Population!D29,"")</f>
        <v>168800</v>
      </c>
      <c r="AC29" s="202">
        <f>IF(ISNUMBER(E29),Population!E29,"")</f>
        <v>170400</v>
      </c>
      <c r="AD29" s="202">
        <f>IF(ISNUMBER(F29),Population!F29,"")</f>
        <v>171800</v>
      </c>
      <c r="AE29" s="202">
        <f>IF(ISNUMBER(G29),Population!G29,"")</f>
        <v>173300</v>
      </c>
      <c r="AF29" s="202">
        <f>IF(ISNUMBER(H29),Population!H29,"")</f>
        <v>174700</v>
      </c>
      <c r="AG29" s="199"/>
      <c r="AH29" s="199"/>
      <c r="AI29" s="185"/>
      <c r="AJ29" s="199"/>
      <c r="AK29" s="156"/>
      <c r="AL29" s="792">
        <f t="shared" si="2"/>
        <v>0.43972999035679844</v>
      </c>
      <c r="AM29" s="792">
        <f t="shared" si="3"/>
        <v>2.2505023442732752E-2</v>
      </c>
      <c r="AN29" s="792">
        <f t="shared" si="4"/>
        <v>0.31062491811869514</v>
      </c>
      <c r="AO29" s="792">
        <f t="shared" si="5"/>
        <v>4.0783686525389842E-2</v>
      </c>
      <c r="AP29" s="792">
        <f t="shared" si="12"/>
        <v>0.20341090461090405</v>
      </c>
      <c r="AQ29" s="76"/>
      <c r="AR29" s="76"/>
      <c r="AS29" s="76"/>
      <c r="AT29" s="76"/>
      <c r="AU29" s="76"/>
      <c r="AV29" s="76"/>
      <c r="AW29" s="76"/>
      <c r="AX29" s="76"/>
    </row>
    <row r="30" spans="1:50" s="89" customFormat="1" ht="13.5" customHeight="1" x14ac:dyDescent="0.2">
      <c r="A30" s="462">
        <f>VLOOKUP(B30,Sheet1!$AQ$4:$AR$25,2,FALSE)</f>
        <v>0</v>
      </c>
      <c r="B30" s="95" t="str">
        <f>Sheet1!$K$24</f>
        <v>Windsor &amp; Maidenhead</v>
      </c>
      <c r="C30" s="87"/>
      <c r="D30" s="102">
        <f>IF(Year1_Windsor_Maidenhead Year1_Assessments="","",Year1_Windsor_Maidenhead Year1_Assessments)</f>
        <v>779</v>
      </c>
      <c r="E30" s="96">
        <f>IF(Year2_Windsor_Maidenhead Year2_Assessments="","",Year2_Windsor_Maidenhead Year2_Assessments)</f>
        <v>924</v>
      </c>
      <c r="F30" s="96">
        <f>IF(Year3_Windsor_Maidenhead Year3_Assessments="","",Year3_Windsor_Maidenhead Year3_Assessments)</f>
        <v>668</v>
      </c>
      <c r="G30" s="96">
        <f>IF(Year4_Windsor_Maidenhead Year4_Assessments="","",Year4_Windsor_Maidenhead Year4_Assessments)</f>
        <v>927</v>
      </c>
      <c r="H30" s="97">
        <f>IF(Year5_Windsor_Maidenhead Year5_Assessments="","",Year5_Windsor_Maidenhead Year5_Assessments)</f>
        <v>861</v>
      </c>
      <c r="I30" s="337">
        <f t="shared" si="6"/>
        <v>5.640173368143124E-2</v>
      </c>
      <c r="J30" s="98"/>
      <c r="K30" s="99">
        <f>IF(ISNUMBER(D30),D30/Population!D30*10000,NA())</f>
        <v>233.23353293413174</v>
      </c>
      <c r="L30" s="99">
        <f>IF(ISNUMBER(E30),E30/Population!E30*10000,NA())</f>
        <v>274.18397626112761</v>
      </c>
      <c r="M30" s="99">
        <f>IF(ISNUMBER(F30),F30/Population!F30*10000,NA())</f>
        <v>195.32163742690057</v>
      </c>
      <c r="N30" s="99">
        <f>IF(ISNUMBER(G30),G30/Population!G30*10000,NA())</f>
        <v>269.47674418604652</v>
      </c>
      <c r="O30" s="100">
        <f>IF(ISNUMBER(H30),H30/Population!H30*10000,NA())</f>
        <v>248.84393063583818</v>
      </c>
      <c r="P30" s="101">
        <f t="shared" si="7"/>
        <v>248.84393063583818</v>
      </c>
      <c r="Q30" s="885">
        <f t="shared" si="8"/>
        <v>1</v>
      </c>
      <c r="R30" s="69"/>
      <c r="S30" s="333">
        <f>IDACI!C29</f>
        <v>6.7</v>
      </c>
      <c r="T30" s="334">
        <f t="shared" si="0"/>
        <v>352.25008240704113</v>
      </c>
      <c r="U30" s="335">
        <f t="shared" si="9"/>
        <v>-103.40615177120296</v>
      </c>
      <c r="V30" s="124"/>
      <c r="W30" s="140"/>
      <c r="X30" s="149"/>
      <c r="Y30" s="71" t="str">
        <f t="shared" si="1"/>
        <v>Windsor &amp; Maidenhead</v>
      </c>
      <c r="Z30" s="45">
        <f>IF(ISNUMBER($H30),IDACI!D29,0)</f>
        <v>29792</v>
      </c>
      <c r="AA30" s="45">
        <f>IF(ISNUMBER($H30),IDACI!E29,0)</f>
        <v>1996.0640000000001</v>
      </c>
      <c r="AB30" s="202">
        <f>IF(ISNUMBER(D30),Population!D30,"")</f>
        <v>33400</v>
      </c>
      <c r="AC30" s="202">
        <f>IF(ISNUMBER(E30),Population!E30,"")</f>
        <v>33700</v>
      </c>
      <c r="AD30" s="202">
        <f>IF(ISNUMBER(F30),Population!F30,"")</f>
        <v>34200</v>
      </c>
      <c r="AE30" s="202">
        <f>IF(ISNUMBER(G30),Population!G30,"")</f>
        <v>34400</v>
      </c>
      <c r="AF30" s="202">
        <f>IF(ISNUMBER(H30),Population!H30,"")</f>
        <v>34600</v>
      </c>
      <c r="AG30" s="199"/>
      <c r="AH30" s="199"/>
      <c r="AI30" s="185"/>
      <c r="AJ30" s="199"/>
      <c r="AK30" s="156"/>
      <c r="AL30" s="792">
        <f t="shared" si="2"/>
        <v>0.18613607188703465</v>
      </c>
      <c r="AM30" s="792">
        <f t="shared" si="3"/>
        <v>-0.27705627705627706</v>
      </c>
      <c r="AN30" s="792">
        <f t="shared" si="4"/>
        <v>0.38772455089820357</v>
      </c>
      <c r="AO30" s="792">
        <f t="shared" si="5"/>
        <v>-7.1197411003236247E-2</v>
      </c>
      <c r="AP30" s="792">
        <f t="shared" si="12"/>
        <v>5.640173368143124E-2</v>
      </c>
      <c r="AQ30" s="76"/>
      <c r="AR30" s="76"/>
      <c r="AS30" s="76"/>
      <c r="AT30" s="76"/>
      <c r="AU30" s="76"/>
      <c r="AV30" s="76"/>
      <c r="AW30" s="76"/>
      <c r="AX30" s="76"/>
    </row>
    <row r="31" spans="1:50" s="89" customFormat="1" ht="13.5" customHeight="1" x14ac:dyDescent="0.2">
      <c r="A31" s="462">
        <f>VLOOKUP(B31,Sheet1!$AQ$4:$AR$25,2,FALSE)</f>
        <v>0</v>
      </c>
      <c r="B31" s="95" t="str">
        <f>Sheet1!$K$25</f>
        <v>Wokingham</v>
      </c>
      <c r="C31" s="87"/>
      <c r="D31" s="102">
        <f>IF(Year1_Wokingham Year1_Assessments="","",Year1_Wokingham Year1_Assessments)</f>
        <v>887</v>
      </c>
      <c r="E31" s="96">
        <f>IF(Year2_Wokingham Year2_Assessments="","",Year2_Wokingham Year2_Assessments)</f>
        <v>1128</v>
      </c>
      <c r="F31" s="96">
        <f>IF(Year3_Wokingham Year3_Assessments="","",Year3_Wokingham Year3_Assessments)</f>
        <v>875</v>
      </c>
      <c r="G31" s="96">
        <f>IF(Year4_Wokingham Year4_Assessments="","",Year4_Wokingham Year4_Assessments)</f>
        <v>1096</v>
      </c>
      <c r="H31" s="97">
        <f>IF(Year5_Wokingham Year5_Assessments="","",Year5_Wokingham Year5_Assessments)</f>
        <v>1733</v>
      </c>
      <c r="I31" s="337">
        <f t="shared" si="6"/>
        <v>0.22029684888065795</v>
      </c>
      <c r="J31" s="98"/>
      <c r="K31" s="99">
        <f>IF(ISNUMBER(D31),D31/Population!D31*10000,NA())</f>
        <v>240.37940379403793</v>
      </c>
      <c r="L31" s="99">
        <f>IF(ISNUMBER(E31),E31/Population!E31*10000,NA())</f>
        <v>302.41286863270778</v>
      </c>
      <c r="M31" s="99">
        <f>IF(ISNUMBER(F31),F31/Population!F31*10000,NA())</f>
        <v>230.26315789473682</v>
      </c>
      <c r="N31" s="99">
        <f>IF(ISNUMBER(G31),G31/Population!G31*10000,NA())</f>
        <v>283.20413436692508</v>
      </c>
      <c r="O31" s="100">
        <f>IF(ISNUMBER(H31),H31/Population!H31*10000,NA())</f>
        <v>438.7341772151899</v>
      </c>
      <c r="P31" s="101">
        <f t="shared" si="7"/>
        <v>438.7341772151899</v>
      </c>
      <c r="Q31" s="885">
        <f t="shared" si="8"/>
        <v>6</v>
      </c>
      <c r="R31" s="69"/>
      <c r="S31" s="333">
        <f>IDACI!C30</f>
        <v>5.6000000000000005</v>
      </c>
      <c r="T31" s="334">
        <f t="shared" si="0"/>
        <v>331.90973298200635</v>
      </c>
      <c r="U31" s="335">
        <f t="shared" si="9"/>
        <v>106.82444423318356</v>
      </c>
      <c r="V31" s="124"/>
      <c r="W31" s="140"/>
      <c r="X31" s="149"/>
      <c r="Y31" s="71" t="str">
        <f t="shared" si="1"/>
        <v>Wokingham</v>
      </c>
      <c r="Z31" s="45">
        <f>IF(ISNUMBER($H31),IDACI!D30,0)</f>
        <v>33327</v>
      </c>
      <c r="AA31" s="45">
        <f>IF(ISNUMBER($H31),IDACI!E30,0)</f>
        <v>1866.3120000000004</v>
      </c>
      <c r="AB31" s="202">
        <f>IF(ISNUMBER(D31),Population!D31,"")</f>
        <v>36900</v>
      </c>
      <c r="AC31" s="202">
        <f>IF(ISNUMBER(E31),Population!E31,"")</f>
        <v>37300</v>
      </c>
      <c r="AD31" s="202">
        <f>IF(ISNUMBER(F31),Population!F31,"")</f>
        <v>38000</v>
      </c>
      <c r="AE31" s="202">
        <f>IF(ISNUMBER(G31),Population!G31,"")</f>
        <v>38700</v>
      </c>
      <c r="AF31" s="202">
        <f>IF(ISNUMBER(H31),Population!H31,"")</f>
        <v>39500</v>
      </c>
      <c r="AG31" s="199"/>
      <c r="AH31" s="199"/>
      <c r="AI31" s="185"/>
      <c r="AJ31" s="199"/>
      <c r="AK31" s="156"/>
      <c r="AL31" s="792">
        <f t="shared" si="2"/>
        <v>0.27170236753100341</v>
      </c>
      <c r="AM31" s="792">
        <f t="shared" si="3"/>
        <v>-0.22429078014184398</v>
      </c>
      <c r="AN31" s="792">
        <f t="shared" si="4"/>
        <v>0.25257142857142856</v>
      </c>
      <c r="AO31" s="792">
        <f t="shared" si="5"/>
        <v>0.58120437956204385</v>
      </c>
      <c r="AP31" s="792">
        <f t="shared" si="12"/>
        <v>0.22029684888065795</v>
      </c>
      <c r="AQ31" s="76"/>
      <c r="AR31" s="76"/>
      <c r="AS31" s="76"/>
      <c r="AT31" s="76"/>
      <c r="AU31" s="76"/>
      <c r="AV31" s="76"/>
      <c r="AW31" s="76"/>
      <c r="AX31" s="76"/>
    </row>
    <row r="32" spans="1:50" s="89" customFormat="1" ht="13.5" customHeight="1" x14ac:dyDescent="0.2">
      <c r="A32" s="123"/>
      <c r="B32" s="131" t="str">
        <f>Sheet1!$K$26</f>
        <v>South East</v>
      </c>
      <c r="C32" s="87"/>
      <c r="D32" s="132">
        <f>IF(Year1_SouthEast Year1_Assessments="","",Year1_SouthEast Year1_Assessments)</f>
        <v>80400</v>
      </c>
      <c r="E32" s="132">
        <f>IF(Year2_SouthEast Year2_Assessments="","",Year2_SouthEast Year2_Assessments)</f>
        <v>91320</v>
      </c>
      <c r="F32" s="132">
        <f>IF(Year3_SouthEast Year3_Assessments="","",Year3_SouthEast Year3_Assessments)</f>
        <v>98780</v>
      </c>
      <c r="G32" s="132">
        <f>IF(Year4_SouthEast Year4_Assessments="","",Year4_SouthEast Year4_Assessments)</f>
        <v>102220</v>
      </c>
      <c r="H32" s="133">
        <f>IF(Year5_SouthEast Year5_Assessments="","",Year5_SouthEast Year5_Assessments)</f>
        <v>102220</v>
      </c>
      <c r="I32" s="350">
        <f>AP32</f>
        <v>5.5796066271927236E-2</v>
      </c>
      <c r="J32" s="98"/>
      <c r="K32" s="134">
        <f>IF(ISNUMBER(D32),D32/AB32*10000,NA())</f>
        <v>422.18021424070571</v>
      </c>
      <c r="L32" s="134">
        <f>IF(ISNUMBER(E32),E32/AC32*10000,NA())</f>
        <v>476.09613680204365</v>
      </c>
      <c r="M32" s="134">
        <f>IF(ISNUMBER(F32),F32/AD32*10000,NA())</f>
        <v>510.99270601624335</v>
      </c>
      <c r="N32" s="134">
        <f>IF(ISNUMBER(G32),G32/AE32*10000,NA())</f>
        <v>525.85009516950458</v>
      </c>
      <c r="O32" s="135">
        <f>IF(ISNUMBER(H32),H32/AF32*10000,NA())</f>
        <v>522.22335751507103</v>
      </c>
      <c r="P32" s="101">
        <f t="shared" si="7"/>
        <v>522.22335751507103</v>
      </c>
      <c r="Q32" s="883" t="str">
        <f t="shared" si="8"/>
        <v>--</v>
      </c>
      <c r="R32" s="69"/>
      <c r="S32" s="331">
        <f>AA32/Z32*100</f>
        <v>12.371268250968637</v>
      </c>
      <c r="T32" s="331">
        <f t="shared" si="0"/>
        <v>457.11878959595748</v>
      </c>
      <c r="U32" s="336">
        <f t="shared" si="9"/>
        <v>65.104567919113549</v>
      </c>
      <c r="V32" s="124"/>
      <c r="W32" s="140"/>
      <c r="X32" s="149"/>
      <c r="Y32" s="71" t="str">
        <f t="shared" si="1"/>
        <v>South East</v>
      </c>
      <c r="Z32" s="45">
        <f>SUM(Z24:Z25,Z10:Z22,Z28:Z31)</f>
        <v>1704978</v>
      </c>
      <c r="AA32" s="45">
        <f>SUM(AA24:AA25,AA10:AA22,AA28:AA31)</f>
        <v>210927.40200000003</v>
      </c>
      <c r="AB32" s="202">
        <f>SUM(AB10:AB22,AB24:AB25,AB28:AB31)</f>
        <v>1904400</v>
      </c>
      <c r="AC32" s="202">
        <f t="shared" ref="AC32:AF32" si="13">SUM(AC10:AC22,AC24:AC25,AC28:AC31)</f>
        <v>1918100</v>
      </c>
      <c r="AD32" s="202">
        <f t="shared" si="13"/>
        <v>1933100</v>
      </c>
      <c r="AE32" s="202">
        <f>SUM(AE10:AE22,AE24:AE25,AE28:AE31)</f>
        <v>1943900</v>
      </c>
      <c r="AF32" s="202">
        <f t="shared" si="13"/>
        <v>1957400</v>
      </c>
      <c r="AG32" s="199"/>
      <c r="AH32" s="199"/>
      <c r="AI32" s="185"/>
      <c r="AJ32" s="199"/>
      <c r="AK32" s="156"/>
      <c r="AL32" s="792">
        <f>IF(ISERROR((L32-K32)/K32),"x",(L32-K32)/K32)</f>
        <v>0.12770831209678105</v>
      </c>
      <c r="AM32" s="792">
        <f>IF(ISERROR((M32-L32)/L32),"x",(M32-L32)/L32)</f>
        <v>7.3297316480241403E-2</v>
      </c>
      <c r="AN32" s="792">
        <f>IF(ISERROR((N32-M32)/M32),"x",(N32-M32)/M32)</f>
        <v>2.907554056708777E-2</v>
      </c>
      <c r="AO32" s="792">
        <f>IF(ISERROR((O32-N32)/N32),"x",(O32-N32)/N32)</f>
        <v>-6.8969040564012792E-3</v>
      </c>
      <c r="AP32" s="792">
        <f t="shared" si="12"/>
        <v>5.5796066271927236E-2</v>
      </c>
      <c r="AQ32" s="76"/>
      <c r="AR32" s="76"/>
      <c r="AS32" s="76"/>
      <c r="AT32" s="76"/>
      <c r="AU32" s="76"/>
      <c r="AV32" s="76"/>
      <c r="AW32" s="76"/>
      <c r="AX32" s="76"/>
    </row>
    <row r="33" spans="1:64" s="89" customFormat="1" ht="13.5" customHeight="1" x14ac:dyDescent="0.2">
      <c r="A33" s="286"/>
      <c r="B33" s="318" t="str">
        <f>Sheet1!$K$27</f>
        <v>England</v>
      </c>
      <c r="C33" s="87"/>
      <c r="D33" s="319" t="str">
        <f>IF(Year1_England Year1_Assessments="","",Year1_England Year1_Assessments)</f>
        <v/>
      </c>
      <c r="E33" s="319">
        <f>IF(Year2_England Year2_Assessments="","",Year2_England Year2_Assessments)</f>
        <v>571640</v>
      </c>
      <c r="F33" s="319">
        <f>IF(Year3_England Year3_Assessments="","",Year3_England Year3_Assessments)</f>
        <v>606920</v>
      </c>
      <c r="G33" s="319">
        <f>IF(Year4_England Year4_Assessments="","",Year4_England Year4_Assessments)</f>
        <v>631090</v>
      </c>
      <c r="H33" s="320">
        <f>IF(Year5_England Year5_Assessments="","",Year5_England Year5_Assessments)</f>
        <v>631090</v>
      </c>
      <c r="I33" s="351">
        <f t="shared" si="6"/>
        <v>3.3847064725070597E-2</v>
      </c>
      <c r="J33" s="98"/>
      <c r="K33" s="321" t="e">
        <f>IF(ISNUMBER(D33),D33/Population!D33*10000,NA())</f>
        <v>#N/A</v>
      </c>
      <c r="L33" s="321">
        <f>IF(ISNUMBER(E33),E33/Population!E33*10000,NA())</f>
        <v>489.50581868315362</v>
      </c>
      <c r="M33" s="321">
        <f>IF(ISNUMBER(F33),F33/Population!F33*10000,NA())</f>
        <v>514.98052658820734</v>
      </c>
      <c r="N33" s="321">
        <f>IF(ISNUMBER(G33),G33/Population!G33*10000,NA())</f>
        <v>531.80247745849829</v>
      </c>
      <c r="O33" s="322">
        <f>IF(ISNUMBER(H33),H33/Population!H33*10000,NA())</f>
        <v>527.90557609623079</v>
      </c>
      <c r="P33" s="727"/>
      <c r="Q33" s="884" t="str">
        <f t="shared" si="8"/>
        <v>--</v>
      </c>
      <c r="R33" s="69"/>
      <c r="S33" s="332">
        <f>IDACI!C32</f>
        <v>17.084413405029373</v>
      </c>
      <c r="T33" s="332">
        <f t="shared" si="0"/>
        <v>544.27062534550737</v>
      </c>
      <c r="U33" s="598">
        <f t="shared" si="9"/>
        <v>-16.365049249276581</v>
      </c>
      <c r="V33" s="124"/>
      <c r="W33" s="140"/>
      <c r="X33" s="149"/>
      <c r="Y33" s="71" t="str">
        <f t="shared" si="1"/>
        <v>England</v>
      </c>
      <c r="Z33" s="45">
        <f>IF(H33&gt;0,IDACI!D32,0)</f>
        <v>10405050</v>
      </c>
      <c r="AA33" s="45">
        <f>IF(H33&gt;0,IDACI!E32,0)</f>
        <v>1777641.7570000088</v>
      </c>
      <c r="AB33" s="202" t="str">
        <f>IF(ISNUMBER(D33),Population!D33,"")</f>
        <v/>
      </c>
      <c r="AC33" s="202">
        <f>IF(ISNUMBER(E33),Population!E33,"")</f>
        <v>11677900</v>
      </c>
      <c r="AD33" s="202">
        <f>IF(ISNUMBER(F33),Population!F33,"")</f>
        <v>11785300</v>
      </c>
      <c r="AE33" s="202">
        <f>IF(ISNUMBER(G33),Population!G33,"")</f>
        <v>11867000</v>
      </c>
      <c r="AF33" s="202">
        <f>IF(ISNUMBER(H33),Population!H33,"")</f>
        <v>11954600</v>
      </c>
      <c r="AG33" s="199"/>
      <c r="AH33" s="199"/>
      <c r="AI33" s="185"/>
      <c r="AJ33" s="199"/>
      <c r="AK33" s="156"/>
      <c r="AL33" s="792" t="str">
        <f>IF(ISERROR((E33-D33)/D33),"x",(E33-D33)/D33)</f>
        <v>x</v>
      </c>
      <c r="AM33" s="792">
        <f>IF(ISERROR((F33-E33)/E33),"x",(F33-E33)/E33)</f>
        <v>6.1717164649079843E-2</v>
      </c>
      <c r="AN33" s="792">
        <f>IF(ISERROR((G33-F33)/F33),"x",(G33-F33)/F33)</f>
        <v>3.9824029526131947E-2</v>
      </c>
      <c r="AO33" s="792">
        <f>IF(ISERROR((H33-G33)/G33),"x",(H33-G33)/G33)</f>
        <v>0</v>
      </c>
      <c r="AP33" s="792">
        <f>AVERAGE(AL33:AO33)</f>
        <v>3.3847064725070597E-2</v>
      </c>
      <c r="AQ33" s="76"/>
      <c r="AR33" s="76"/>
      <c r="AS33" s="76"/>
      <c r="AT33" s="76"/>
      <c r="AU33" s="76"/>
      <c r="AV33" s="76"/>
      <c r="AW33" s="76"/>
      <c r="AX33" s="76"/>
    </row>
    <row r="34" spans="1:64" s="83" customFormat="1" ht="13.5" customHeight="1" x14ac:dyDescent="0.2">
      <c r="A34" s="120"/>
      <c r="B34" s="125" t="s">
        <v>90</v>
      </c>
      <c r="C34" s="63"/>
      <c r="D34" s="63"/>
      <c r="E34" s="63"/>
      <c r="F34" s="63"/>
      <c r="G34" s="63"/>
      <c r="H34" s="63"/>
      <c r="I34" s="63"/>
      <c r="J34" s="63"/>
      <c r="K34" s="63"/>
      <c r="L34" s="63"/>
      <c r="M34" s="63"/>
      <c r="N34" s="63"/>
      <c r="O34" s="63"/>
      <c r="P34" s="63"/>
      <c r="Q34" s="137" t="s">
        <v>109</v>
      </c>
      <c r="S34" s="63"/>
      <c r="T34" s="63"/>
      <c r="U34" s="63"/>
      <c r="V34" s="119"/>
      <c r="W34" s="138"/>
      <c r="X34" s="147"/>
      <c r="Y34" s="82"/>
      <c r="Z34" s="179"/>
      <c r="AA34" s="179"/>
      <c r="AB34" s="179"/>
      <c r="AC34" s="179"/>
      <c r="AD34" s="179"/>
      <c r="AE34" s="179"/>
      <c r="AF34" s="179"/>
      <c r="AG34" s="179"/>
      <c r="AH34" s="179"/>
      <c r="AJ34" s="179"/>
      <c r="AK34" s="157"/>
    </row>
    <row r="35" spans="1:64" s="83" customFormat="1" ht="25.5" customHeight="1" x14ac:dyDescent="0.2">
      <c r="A35" s="120"/>
      <c r="B35" s="1425"/>
      <c r="C35" s="1426"/>
      <c r="D35" s="1426"/>
      <c r="E35" s="1426"/>
      <c r="F35" s="1426"/>
      <c r="G35" s="1426"/>
      <c r="H35" s="1426"/>
      <c r="I35" s="1426"/>
      <c r="J35" s="1426"/>
      <c r="K35" s="1426"/>
      <c r="L35" s="1426"/>
      <c r="M35" s="1426"/>
      <c r="N35" s="1426"/>
      <c r="O35" s="1426"/>
      <c r="P35" s="1426"/>
      <c r="Q35" s="1426"/>
      <c r="R35" s="1426"/>
      <c r="S35" s="1426"/>
      <c r="T35" s="1426"/>
      <c r="U35" s="1427"/>
      <c r="V35" s="119"/>
      <c r="W35" s="138"/>
      <c r="X35" s="147"/>
      <c r="Y35" s="82"/>
      <c r="Z35" s="179"/>
      <c r="AA35" s="179"/>
      <c r="AB35" s="179"/>
      <c r="AC35" s="179"/>
      <c r="AD35" s="179"/>
      <c r="AE35" s="179"/>
      <c r="AF35" s="179"/>
      <c r="AG35" s="179"/>
      <c r="AH35" s="179"/>
      <c r="AJ35" s="179"/>
      <c r="AK35" s="153"/>
      <c r="AL35" s="76"/>
      <c r="AM35" s="76"/>
      <c r="AN35" s="76"/>
      <c r="AO35" s="76"/>
      <c r="AP35" s="76"/>
      <c r="AQ35" s="76"/>
      <c r="AR35" s="76"/>
    </row>
    <row r="36" spans="1:64" s="83" customFormat="1" ht="7.5" customHeight="1" x14ac:dyDescent="0.2">
      <c r="A36" s="120"/>
      <c r="B36" s="18"/>
      <c r="C36" s="18"/>
      <c r="D36" s="17"/>
      <c r="E36" s="17"/>
      <c r="F36" s="17"/>
      <c r="G36" s="17"/>
      <c r="H36" s="17"/>
      <c r="I36" s="17"/>
      <c r="J36" s="13"/>
      <c r="K36" s="19"/>
      <c r="L36" s="19"/>
      <c r="M36" s="19"/>
      <c r="N36" s="19"/>
      <c r="O36" s="19"/>
      <c r="P36" s="19"/>
      <c r="Q36" s="19"/>
      <c r="R36" s="19"/>
      <c r="S36" s="19"/>
      <c r="T36" s="19"/>
      <c r="U36" s="20"/>
      <c r="V36" s="119"/>
      <c r="W36" s="138"/>
      <c r="X36" s="147"/>
      <c r="Z36" s="185"/>
      <c r="AJ36" s="179"/>
      <c r="AK36" s="153"/>
      <c r="AL36" s="76"/>
      <c r="AM36" s="76"/>
      <c r="AN36" s="76"/>
      <c r="AO36" s="76"/>
      <c r="AP36" s="76"/>
      <c r="AQ36" s="76"/>
      <c r="AR36" s="76"/>
    </row>
    <row r="37" spans="1:64"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1"/>
      <c r="V37" s="1422"/>
      <c r="W37" s="138"/>
      <c r="X37" s="147"/>
      <c r="Z37" s="185"/>
      <c r="AK37" s="157"/>
      <c r="AM37" s="83">
        <f>COLUMNS($B$4:K$4)</f>
        <v>10</v>
      </c>
      <c r="AN37" s="83">
        <f>COLUMNS($B$4:L$4)</f>
        <v>11</v>
      </c>
      <c r="AO37" s="83">
        <f>COLUMNS($B$4:M$4)</f>
        <v>12</v>
      </c>
      <c r="AP37" s="83">
        <f>COLUMNS($B$4:N$4)</f>
        <v>13</v>
      </c>
      <c r="AQ37" s="83">
        <f>COLUMNS($B$4:O$4)</f>
        <v>14</v>
      </c>
      <c r="AR37" s="83">
        <f>COLUMNS($B$4:S$4)</f>
        <v>18</v>
      </c>
      <c r="AS37" s="83">
        <f>COLUMNS($B$4:D$4)</f>
        <v>3</v>
      </c>
      <c r="AT37" s="83">
        <f>COLUMNS($B$4:E$4)</f>
        <v>4</v>
      </c>
      <c r="AU37" s="83">
        <f>COLUMNS($B$4:F$4)</f>
        <v>5</v>
      </c>
      <c r="AV37" s="83">
        <f>COLUMNS($B$4:G$4)</f>
        <v>6</v>
      </c>
      <c r="AW37" s="83">
        <f>COLUMNS($B$4:H$4)</f>
        <v>7</v>
      </c>
      <c r="AX37" s="83">
        <f>COLUMNS($B$4:D$4)</f>
        <v>3</v>
      </c>
      <c r="AY37" s="83">
        <f>COLUMNS($B$4:E$4)</f>
        <v>4</v>
      </c>
      <c r="AZ37" s="83">
        <f>COLUMNS($B$4:F$4)</f>
        <v>5</v>
      </c>
      <c r="BA37" s="83">
        <f>COLUMNS($B$4:G$4)</f>
        <v>6</v>
      </c>
      <c r="BB37" s="83">
        <f>COLUMNS($B$4:H$4)</f>
        <v>7</v>
      </c>
      <c r="BC37" s="83">
        <f>COLUMNS($B$4:D$4)</f>
        <v>3</v>
      </c>
      <c r="BD37" s="83">
        <f>COLUMNS($B$4:E$4)</f>
        <v>4</v>
      </c>
      <c r="BE37" s="83">
        <f>COLUMNS($B$4:F$4)</f>
        <v>5</v>
      </c>
      <c r="BF37" s="83">
        <f>COLUMNS($B$4:G$4)</f>
        <v>6</v>
      </c>
      <c r="BG37" s="83">
        <f>COLUMNS($B$4:H$4)</f>
        <v>7</v>
      </c>
      <c r="BH37" s="83">
        <f>COLUMNS($B$4:D$4)</f>
        <v>3</v>
      </c>
      <c r="BI37" s="83">
        <f>COLUMNS($B$4:E$4)</f>
        <v>4</v>
      </c>
      <c r="BJ37" s="83">
        <f>COLUMNS($B$4:F$4)</f>
        <v>5</v>
      </c>
      <c r="BK37" s="83">
        <f>COLUMNS($B$4:G$4)</f>
        <v>6</v>
      </c>
      <c r="BL37" s="83">
        <f>COLUMNS($B$4:H$4)</f>
        <v>7</v>
      </c>
    </row>
    <row r="38" spans="1:64"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0"/>
      <c r="J38" s="1429"/>
      <c r="K38" s="1429"/>
      <c r="L38" s="1429"/>
      <c r="M38" s="1429"/>
      <c r="N38" s="1429"/>
      <c r="O38" s="1429"/>
      <c r="P38" s="1431"/>
      <c r="Q38" s="1429"/>
      <c r="R38" s="1429"/>
      <c r="S38" s="1429"/>
      <c r="T38" s="1430"/>
      <c r="U38" s="1429"/>
      <c r="V38" s="1432"/>
      <c r="W38" s="138"/>
      <c r="X38" s="147"/>
      <c r="Z38" s="185"/>
      <c r="AJ38" s="179"/>
      <c r="AK38" s="156"/>
      <c r="AL38" s="89"/>
      <c r="AM38" s="1465" t="s">
        <v>89</v>
      </c>
      <c r="AN38" s="1465"/>
      <c r="AO38" s="1465"/>
      <c r="AP38" s="1465"/>
      <c r="AQ38" s="1465"/>
      <c r="AR38" s="1465" t="s">
        <v>95</v>
      </c>
      <c r="AS38" s="56" t="s">
        <v>137</v>
      </c>
      <c r="AT38" s="25"/>
      <c r="AU38" s="25"/>
      <c r="AV38" s="25"/>
      <c r="AW38" s="24"/>
      <c r="AX38" s="56" t="s">
        <v>193</v>
      </c>
      <c r="AY38" s="25"/>
      <c r="AZ38" s="25"/>
      <c r="BA38" s="25"/>
      <c r="BB38" s="24"/>
      <c r="BC38" s="1549" t="s">
        <v>192</v>
      </c>
      <c r="BD38" s="1549"/>
      <c r="BE38" s="1549"/>
      <c r="BF38" s="1549"/>
      <c r="BG38" s="1549"/>
      <c r="BH38" s="1549" t="s">
        <v>191</v>
      </c>
      <c r="BI38" s="1549"/>
      <c r="BJ38" s="1549"/>
      <c r="BK38" s="1549"/>
      <c r="BL38" s="1549"/>
    </row>
    <row r="39" spans="1:64" s="83" customFormat="1" ht="11.25" customHeight="1" x14ac:dyDescent="0.2">
      <c r="A39" s="114"/>
      <c r="B39" s="115"/>
      <c r="C39" s="115"/>
      <c r="D39" s="115"/>
      <c r="E39" s="115"/>
      <c r="F39" s="115"/>
      <c r="G39" s="115"/>
      <c r="H39" s="115"/>
      <c r="I39" s="115"/>
      <c r="J39" s="116"/>
      <c r="K39" s="115"/>
      <c r="L39" s="115"/>
      <c r="M39" s="115"/>
      <c r="N39" s="115"/>
      <c r="O39" s="115"/>
      <c r="P39" s="115"/>
      <c r="Q39" s="115"/>
      <c r="R39" s="115"/>
      <c r="S39" s="115"/>
      <c r="T39" s="115"/>
      <c r="U39" s="115"/>
      <c r="V39" s="117"/>
      <c r="W39" s="138"/>
      <c r="X39" s="146" t="s">
        <v>102</v>
      </c>
      <c r="Y39" s="192"/>
      <c r="Z39" s="192"/>
      <c r="AA39" s="192"/>
      <c r="AB39" s="192"/>
      <c r="AC39" s="192"/>
      <c r="AJ39" s="179"/>
      <c r="AK39" s="156"/>
      <c r="AL39" s="89"/>
      <c r="AM39" s="310" t="str">
        <f>IF(Sheet1!$C$3="Annual","",Sheet1!$D$26)</f>
        <v/>
      </c>
      <c r="AN39" s="310" t="str">
        <f>IF(Sheet1!$C$3="Annual","",Sheet1!$E$26)</f>
        <v/>
      </c>
      <c r="AO39" s="310" t="str">
        <f>IF(Sheet1!$C$3="Annual","",Sheet1!$F$26)</f>
        <v/>
      </c>
      <c r="AP39" s="310" t="str">
        <f>IF(Sheet1!$C$3="Annual","",Sheet1!$G$26)</f>
        <v/>
      </c>
      <c r="AQ39" s="310" t="str">
        <f>IF(Sheet1!$C$3="Annual","",Sheet1!$H$26)</f>
        <v/>
      </c>
      <c r="AR39" s="1465"/>
      <c r="AS39" s="310"/>
      <c r="AT39" s="310"/>
      <c r="AU39" s="310"/>
      <c r="AV39" s="310"/>
      <c r="AW39" s="310"/>
      <c r="AX39" s="466" t="str">
        <f>IF(Sheet1!$C$3="Annual","",Sheet1!$D$26)</f>
        <v/>
      </c>
      <c r="AY39" s="466" t="str">
        <f>IF(Sheet1!$C$3="Annual","",Sheet1!$E$26)</f>
        <v/>
      </c>
      <c r="AZ39" s="466" t="str">
        <f>IF(Sheet1!$C$3="Annual","",Sheet1!$F$26)</f>
        <v/>
      </c>
      <c r="BA39" s="466" t="str">
        <f>IF(Sheet1!$C$3="Annual","",Sheet1!$G$26)</f>
        <v/>
      </c>
      <c r="BB39" s="466" t="str">
        <f>IF(Sheet1!$C$3="Annual","",Sheet1!$H$26)</f>
        <v/>
      </c>
      <c r="BC39" s="1007" t="str">
        <f>IF(Sheet1!$C$3="Annual","",Sheet1!$D$26)</f>
        <v/>
      </c>
      <c r="BD39" s="1007" t="str">
        <f>IF(Sheet1!$C$3="Annual","",Sheet1!$E$26)</f>
        <v/>
      </c>
      <c r="BE39" s="1007" t="str">
        <f>IF(Sheet1!$C$3="Annual","",Sheet1!$F$26)</f>
        <v/>
      </c>
      <c r="BF39" s="1007" t="str">
        <f>IF(Sheet1!$C$3="Annual","",Sheet1!$G$26)</f>
        <v/>
      </c>
      <c r="BG39" s="1007" t="str">
        <f>IF(Sheet1!$C$3="Annual","",Sheet1!$H$26)</f>
        <v/>
      </c>
      <c r="BH39" s="1007" t="str">
        <f>IF(Sheet1!$C$3="Annual","",Sheet1!$D$26)</f>
        <v/>
      </c>
      <c r="BI39" s="1007" t="str">
        <f>IF(Sheet1!$C$3="Annual","",Sheet1!$E$26)</f>
        <v/>
      </c>
      <c r="BJ39" s="1007" t="str">
        <f>IF(Sheet1!$C$3="Annual","",Sheet1!$F$26)</f>
        <v/>
      </c>
      <c r="BK39" s="1007" t="str">
        <f>IF(Sheet1!$C$3="Annual","",Sheet1!$G$26)</f>
        <v/>
      </c>
      <c r="BL39" s="1007" t="str">
        <f>IF(Sheet1!$C$3="Annual","",Sheet1!$H$26)</f>
        <v/>
      </c>
    </row>
    <row r="40" spans="1:64" s="83" customFormat="1" ht="3.75" customHeight="1" x14ac:dyDescent="0.25">
      <c r="A40" s="118"/>
      <c r="B40" s="9"/>
      <c r="C40" s="9"/>
      <c r="D40" s="9"/>
      <c r="E40" s="9"/>
      <c r="F40" s="9"/>
      <c r="G40" s="9"/>
      <c r="H40" s="9"/>
      <c r="I40" s="9"/>
      <c r="J40" s="13"/>
      <c r="K40" s="9"/>
      <c r="L40" s="9"/>
      <c r="M40" s="9"/>
      <c r="N40" s="9"/>
      <c r="O40" s="9"/>
      <c r="P40" s="9"/>
      <c r="Q40" s="9"/>
      <c r="R40" s="9"/>
      <c r="S40" s="9"/>
      <c r="T40" s="9"/>
      <c r="U40" s="9"/>
      <c r="V40" s="119"/>
      <c r="W40" s="138"/>
      <c r="X40" s="288"/>
      <c r="AD40" s="1188" t="s">
        <v>1002</v>
      </c>
      <c r="AK40" s="156"/>
      <c r="AL40" s="89"/>
      <c r="AM40" s="310" t="str">
        <f>Sheet1!$D$25</f>
        <v>2014-15</v>
      </c>
      <c r="AN40" s="310" t="str">
        <f>Sheet1!$E$25</f>
        <v>2015-16</v>
      </c>
      <c r="AO40" s="310" t="str">
        <f>Sheet1!$F$25</f>
        <v>2016-17</v>
      </c>
      <c r="AP40" s="310" t="str">
        <f>Sheet1!$G$25</f>
        <v>2017-18</v>
      </c>
      <c r="AQ40" s="310" t="str">
        <f>Sheet1!$H$25</f>
        <v>2018-19</v>
      </c>
      <c r="AR40" s="1465"/>
      <c r="AS40" s="353" t="s">
        <v>132</v>
      </c>
      <c r="AT40" s="353" t="s">
        <v>133</v>
      </c>
      <c r="AU40" s="353" t="s">
        <v>134</v>
      </c>
      <c r="AV40" s="353" t="s">
        <v>135</v>
      </c>
      <c r="AW40" s="354" t="s">
        <v>136</v>
      </c>
      <c r="AX40" s="474" t="str">
        <f>Sheet1!$D$25</f>
        <v>2014-15</v>
      </c>
      <c r="AY40" s="474" t="str">
        <f>Sheet1!$E$25</f>
        <v>2015-16</v>
      </c>
      <c r="AZ40" s="474" t="str">
        <f>Sheet1!$F$25</f>
        <v>2016-17</v>
      </c>
      <c r="BA40" s="474" t="str">
        <f>Sheet1!$G$25</f>
        <v>2017-18</v>
      </c>
      <c r="BB40" s="466" t="str">
        <f>Sheet1!$H$25</f>
        <v>2018-19</v>
      </c>
      <c r="BC40" s="1007" t="str">
        <f>Sheet1!$D$25</f>
        <v>2014-15</v>
      </c>
      <c r="BD40" s="1007" t="str">
        <f>Sheet1!$E$25</f>
        <v>2015-16</v>
      </c>
      <c r="BE40" s="1007" t="str">
        <f>Sheet1!$F$25</f>
        <v>2016-17</v>
      </c>
      <c r="BF40" s="1007" t="str">
        <f>Sheet1!$G$25</f>
        <v>2017-18</v>
      </c>
      <c r="BG40" s="1007" t="str">
        <f>Sheet1!$H$25</f>
        <v>2018-19</v>
      </c>
      <c r="BH40" s="1007" t="str">
        <f>Sheet1!$D$25</f>
        <v>2014-15</v>
      </c>
      <c r="BI40" s="1007" t="str">
        <f>Sheet1!$E$25</f>
        <v>2015-16</v>
      </c>
      <c r="BJ40" s="1007" t="str">
        <f>Sheet1!$F$25</f>
        <v>2016-17</v>
      </c>
      <c r="BK40" s="1007" t="str">
        <f>Sheet1!$G$25</f>
        <v>2017-18</v>
      </c>
      <c r="BL40" s="1007" t="str">
        <f>Sheet1!$H$25</f>
        <v>2018-19</v>
      </c>
    </row>
    <row r="41" spans="1:64" s="83" customFormat="1" ht="14.25" customHeight="1" x14ac:dyDescent="0.2">
      <c r="A41" s="120"/>
      <c r="B41" s="9"/>
      <c r="C41" s="9"/>
      <c r="D41" s="9"/>
      <c r="E41" s="9"/>
      <c r="F41" s="9"/>
      <c r="G41" s="9"/>
      <c r="H41" s="9"/>
      <c r="I41" s="9"/>
      <c r="J41" s="13"/>
      <c r="K41" s="9"/>
      <c r="L41" s="9"/>
      <c r="M41" s="9"/>
      <c r="N41" s="9"/>
      <c r="O41" s="9"/>
      <c r="P41" s="9"/>
      <c r="Q41" s="9"/>
      <c r="R41" s="9"/>
      <c r="S41" s="9"/>
      <c r="T41" s="9"/>
      <c r="U41" s="9"/>
      <c r="V41" s="119"/>
      <c r="W41" s="138"/>
      <c r="X41" s="288"/>
      <c r="Y41" s="44" t="s">
        <v>72</v>
      </c>
      <c r="Z41" s="44" t="s">
        <v>70</v>
      </c>
      <c r="AA41" s="44" t="s">
        <v>71</v>
      </c>
      <c r="AB41" s="1061">
        <v>5</v>
      </c>
      <c r="AC41" s="212">
        <f>(AB41*Z42)+AA42</f>
        <v>439.14204089940711</v>
      </c>
      <c r="AD41" s="203">
        <f>ROUND(ChartLabels!$AA9,3)</f>
        <v>0.108</v>
      </c>
      <c r="AJ41" s="560" t="b">
        <v>1</v>
      </c>
      <c r="AK41" s="156" t="s">
        <v>0</v>
      </c>
      <c r="AL41" s="89" t="str">
        <f t="shared" ref="AL41:AL64" si="14">IF(AJ41=TRUE,B10,"")</f>
        <v>Bracknell Forest</v>
      </c>
      <c r="AM41" s="143">
        <f t="shared" ref="AM41:AQ50" si="15">VLOOKUP($AL41,$B$10:$O$33,AM$37,FALSE)</f>
        <v>354.67625899280574</v>
      </c>
      <c r="AN41" s="143">
        <f t="shared" si="15"/>
        <v>389.71631205673754</v>
      </c>
      <c r="AO41" s="143">
        <f t="shared" si="15"/>
        <v>493.97163120567376</v>
      </c>
      <c r="AP41" s="143">
        <f t="shared" si="15"/>
        <v>594.3060498220641</v>
      </c>
      <c r="AQ41" s="143">
        <f t="shared" si="15"/>
        <v>601.76678445229686</v>
      </c>
      <c r="AR41" s="144">
        <f t="shared" ref="AR41:AR64" si="16">VLOOKUP(AL41,$B$10:$U$33,$AR$37,FALSE)</f>
        <v>8.9</v>
      </c>
      <c r="AS41" s="341">
        <f t="shared" ref="AS41:AW50" si="17">VLOOKUP($AL41,$B$147:$H$170,AS$37,FALSE)</f>
        <v>0.18731650029359953</v>
      </c>
      <c r="AT41" s="341">
        <f t="shared" si="17"/>
        <v>0.38990017615971817</v>
      </c>
      <c r="AU41" s="341">
        <f t="shared" si="17"/>
        <v>0.17087492660011744</v>
      </c>
      <c r="AV41" s="341">
        <f t="shared" si="17"/>
        <v>0.18731650029359953</v>
      </c>
      <c r="AW41" s="341">
        <f t="shared" si="17"/>
        <v>6.4591896652965358E-2</v>
      </c>
      <c r="AX41" s="341">
        <f t="shared" ref="AX41:BB50" si="18">VLOOKUP($AL41,$B$112:$H$135,AX$37,FALSE)</f>
        <v>0.99079754601226999</v>
      </c>
      <c r="AY41" s="341">
        <f t="shared" si="18"/>
        <v>0.96542311191992725</v>
      </c>
      <c r="AZ41" s="341">
        <f t="shared" si="18"/>
        <v>0.89727011494252873</v>
      </c>
      <c r="BA41" s="341">
        <f t="shared" si="18"/>
        <v>0.90479041916167668</v>
      </c>
      <c r="BB41" s="341">
        <f t="shared" si="18"/>
        <v>0.93540810334703461</v>
      </c>
      <c r="BC41" s="341" t="e">
        <f>VLOOKUP($AL41,#REF!,BC$37,FALSE)</f>
        <v>#REF!</v>
      </c>
      <c r="BD41" s="341" t="e">
        <f>VLOOKUP($AL41,#REF!,BD$37,FALSE)</f>
        <v>#REF!</v>
      </c>
      <c r="BE41" s="341" t="e">
        <f>VLOOKUP($AL41,#REF!,BE$37,FALSE)</f>
        <v>#REF!</v>
      </c>
      <c r="BF41" s="341" t="e">
        <f>VLOOKUP($AL41,#REF!,BF$37,FALSE)</f>
        <v>#REF!</v>
      </c>
      <c r="BG41" s="341" t="e">
        <f>VLOOKUP($AL41,#REF!,BG$37,FALSE)</f>
        <v>#REF!</v>
      </c>
      <c r="BH41" s="341" t="e">
        <f>VLOOKUP($AL41,#REF!,BH$37,FALSE)</f>
        <v>#REF!</v>
      </c>
      <c r="BI41" s="341" t="e">
        <f>VLOOKUP($AL41,#REF!,BI$37,FALSE)</f>
        <v>#REF!</v>
      </c>
      <c r="BJ41" s="341" t="e">
        <f>VLOOKUP($AL41,#REF!,BJ$37,FALSE)</f>
        <v>#REF!</v>
      </c>
      <c r="BK41" s="341" t="e">
        <f>VLOOKUP($AL41,#REF!,BK$37,FALSE)</f>
        <v>#REF!</v>
      </c>
      <c r="BL41" s="341" t="e">
        <f>VLOOKUP($AL41,#REF!,BL$37,FALSE)</f>
        <v>#REF!</v>
      </c>
    </row>
    <row r="42" spans="1:64" s="83" customFormat="1" ht="14.25" customHeight="1" x14ac:dyDescent="0.2">
      <c r="A42" s="120"/>
      <c r="B42" s="9"/>
      <c r="C42" s="9"/>
      <c r="D42" s="9"/>
      <c r="E42" s="9"/>
      <c r="F42" s="9"/>
      <c r="G42" s="9"/>
      <c r="H42" s="9"/>
      <c r="I42" s="9"/>
      <c r="J42" s="13"/>
      <c r="K42" s="9"/>
      <c r="L42" s="9"/>
      <c r="M42" s="9"/>
      <c r="N42" s="9"/>
      <c r="O42" s="9"/>
      <c r="P42" s="9"/>
      <c r="Q42" s="9"/>
      <c r="R42" s="9"/>
      <c r="S42" s="9"/>
      <c r="T42" s="9"/>
      <c r="U42" s="9"/>
      <c r="V42" s="119"/>
      <c r="W42" s="138"/>
      <c r="X42" s="288"/>
      <c r="Y42" s="208" t="str">
        <f>"Y= "&amp;Z42&amp;"x + "&amp;AA42</f>
        <v>Y= 11.0174806660244x + 384.054637569285</v>
      </c>
      <c r="Z42" s="712">
        <f>ChartLabels!$Y9</f>
        <v>11.017480666024404</v>
      </c>
      <c r="AA42" s="712">
        <f>ChartLabels!$Z9</f>
        <v>384.05463756928509</v>
      </c>
      <c r="AB42" s="211">
        <v>35</v>
      </c>
      <c r="AC42" s="212">
        <f>(AB42*Z42)+AA42</f>
        <v>769.66646088013931</v>
      </c>
      <c r="AD42" s="1187" t="str">
        <f>AD40&amp;" = "&amp;AD41</f>
        <v>r² = 0.108</v>
      </c>
      <c r="AJ42" s="560" t="b">
        <v>1</v>
      </c>
      <c r="AK42" s="156" t="s">
        <v>31</v>
      </c>
      <c r="AL42" s="89" t="str">
        <f t="shared" si="14"/>
        <v>Brighton &amp; Hove</v>
      </c>
      <c r="AM42" s="143">
        <f t="shared" si="15"/>
        <v>543.13725490196077</v>
      </c>
      <c r="AN42" s="143">
        <f t="shared" si="15"/>
        <v>560.15625</v>
      </c>
      <c r="AO42" s="143">
        <f t="shared" si="15"/>
        <v>588.69395711500977</v>
      </c>
      <c r="AP42" s="143">
        <f t="shared" si="15"/>
        <v>529.60784313725492</v>
      </c>
      <c r="AQ42" s="143">
        <f t="shared" si="15"/>
        <v>484.31372549019608</v>
      </c>
      <c r="AR42" s="144">
        <f t="shared" si="16"/>
        <v>15.299999999999999</v>
      </c>
      <c r="AS42" s="341">
        <f t="shared" si="17"/>
        <v>0.12995951417004048</v>
      </c>
      <c r="AT42" s="341">
        <f t="shared" si="17"/>
        <v>0.11700404858299596</v>
      </c>
      <c r="AU42" s="341">
        <f t="shared" si="17"/>
        <v>0.26072874493927123</v>
      </c>
      <c r="AV42" s="341">
        <f t="shared" si="17"/>
        <v>0.37327935222672065</v>
      </c>
      <c r="AW42" s="341">
        <f t="shared" si="17"/>
        <v>0.11902834008097166</v>
      </c>
      <c r="AX42" s="341">
        <f t="shared" si="18"/>
        <v>0.53104693140794224</v>
      </c>
      <c r="AY42" s="341">
        <f t="shared" si="18"/>
        <v>0.48814504881450488</v>
      </c>
      <c r="AZ42" s="341">
        <f t="shared" si="18"/>
        <v>0.70331125827814567</v>
      </c>
      <c r="BA42" s="341">
        <f t="shared" si="18"/>
        <v>0.88855979266938168</v>
      </c>
      <c r="BB42" s="341">
        <f t="shared" si="18"/>
        <v>0.88097165991902837</v>
      </c>
      <c r="BC42" s="341" t="e">
        <f>VLOOKUP($AL42,#REF!,BC$37,FALSE)</f>
        <v>#REF!</v>
      </c>
      <c r="BD42" s="341" t="e">
        <f>VLOOKUP($AL42,#REF!,BD$37,FALSE)</f>
        <v>#REF!</v>
      </c>
      <c r="BE42" s="341" t="e">
        <f>VLOOKUP($AL42,#REF!,BE$37,FALSE)</f>
        <v>#REF!</v>
      </c>
      <c r="BF42" s="341" t="e">
        <f>VLOOKUP($AL42,#REF!,BF$37,FALSE)</f>
        <v>#REF!</v>
      </c>
      <c r="BG42" s="341" t="e">
        <f>VLOOKUP($AL42,#REF!,BG$37,FALSE)</f>
        <v>#REF!</v>
      </c>
      <c r="BH42" s="341" t="e">
        <f>VLOOKUP($AL42,#REF!,BH$37,FALSE)</f>
        <v>#REF!</v>
      </c>
      <c r="BI42" s="341" t="e">
        <f>VLOOKUP($AL42,#REF!,BI$37,FALSE)</f>
        <v>#REF!</v>
      </c>
      <c r="BJ42" s="341" t="e">
        <f>VLOOKUP($AL42,#REF!,BJ$37,FALSE)</f>
        <v>#REF!</v>
      </c>
      <c r="BK42" s="341" t="e">
        <f>VLOOKUP($AL42,#REF!,BK$37,FALSE)</f>
        <v>#REF!</v>
      </c>
      <c r="BL42" s="341" t="e">
        <f>VLOOKUP($AL42,#REF!,BL$37,FALSE)</f>
        <v>#REF!</v>
      </c>
    </row>
    <row r="43" spans="1:64" ht="14.25" customHeight="1" x14ac:dyDescent="0.2">
      <c r="A43" s="120"/>
      <c r="B43" s="9"/>
      <c r="C43" s="9"/>
      <c r="D43" s="9"/>
      <c r="E43" s="9"/>
      <c r="F43" s="9"/>
      <c r="G43" s="9"/>
      <c r="H43" s="9"/>
      <c r="I43" s="9"/>
      <c r="J43" s="13"/>
      <c r="K43" s="9"/>
      <c r="L43" s="9"/>
      <c r="M43" s="9"/>
      <c r="N43" s="9"/>
      <c r="O43" s="9"/>
      <c r="P43" s="9"/>
      <c r="Q43" s="9"/>
      <c r="R43" s="9"/>
      <c r="S43" s="9"/>
      <c r="T43" s="9"/>
      <c r="U43" s="9"/>
      <c r="V43" s="119"/>
      <c r="W43" s="138"/>
      <c r="X43" s="288"/>
      <c r="Y43" s="44" t="str">
        <f>"National Trend "&amp;Sheet1!$B$8</f>
        <v>National Trend 2019</v>
      </c>
      <c r="Z43" s="205" t="s">
        <v>70</v>
      </c>
      <c r="AA43" s="44" t="s">
        <v>71</v>
      </c>
      <c r="AB43" s="1061">
        <v>5</v>
      </c>
      <c r="AC43" s="207">
        <f>((AB43*Z44)+AA44)/$Y$2</f>
        <v>320.81499693198737</v>
      </c>
      <c r="AD43" s="714" t="str">
        <f>"r² = "&amp;ROUND(AD44,3)</f>
        <v>r² = 0.363</v>
      </c>
      <c r="AJ43" s="560" t="b">
        <v>1</v>
      </c>
      <c r="AK43" s="156" t="s">
        <v>8</v>
      </c>
      <c r="AL43" s="89" t="str">
        <f t="shared" si="14"/>
        <v>Buckinghamshire</v>
      </c>
      <c r="AM43" s="143">
        <f t="shared" si="15"/>
        <v>519.76450798990754</v>
      </c>
      <c r="AN43" s="143">
        <f t="shared" si="15"/>
        <v>464.09618573797678</v>
      </c>
      <c r="AO43" s="143">
        <f t="shared" si="15"/>
        <v>546.64484451718499</v>
      </c>
      <c r="AP43" s="143">
        <f t="shared" si="15"/>
        <v>679.61007311129163</v>
      </c>
      <c r="AQ43" s="143">
        <f t="shared" si="15"/>
        <v>629.04263877715209</v>
      </c>
      <c r="AR43" s="144">
        <f t="shared" si="16"/>
        <v>8.5</v>
      </c>
      <c r="AS43" s="341">
        <f t="shared" si="17"/>
        <v>0.22355799974421281</v>
      </c>
      <c r="AT43" s="341">
        <f t="shared" si="17"/>
        <v>0.10436117150530759</v>
      </c>
      <c r="AU43" s="341">
        <f t="shared" si="17"/>
        <v>0.11254636142729249</v>
      </c>
      <c r="AV43" s="341">
        <f t="shared" si="17"/>
        <v>0.29402736922880163</v>
      </c>
      <c r="AW43" s="341">
        <f t="shared" si="17"/>
        <v>0.2655070980943855</v>
      </c>
      <c r="AX43" s="341">
        <f t="shared" si="18"/>
        <v>0.82847896440129454</v>
      </c>
      <c r="AY43" s="341">
        <f t="shared" si="18"/>
        <v>0.87296766124709668</v>
      </c>
      <c r="AZ43" s="341">
        <f t="shared" si="18"/>
        <v>0.92904191616766463</v>
      </c>
      <c r="BA43" s="341">
        <f t="shared" si="18"/>
        <v>0.84317475496055461</v>
      </c>
      <c r="BB43" s="341">
        <f t="shared" si="18"/>
        <v>0.73449290190561456</v>
      </c>
      <c r="BC43" s="341" t="e">
        <f>VLOOKUP($AL43,#REF!,BC$37,FALSE)</f>
        <v>#REF!</v>
      </c>
      <c r="BD43" s="341" t="e">
        <f>VLOOKUP($AL43,#REF!,BD$37,FALSE)</f>
        <v>#REF!</v>
      </c>
      <c r="BE43" s="341" t="e">
        <f>VLOOKUP($AL43,#REF!,BE$37,FALSE)</f>
        <v>#REF!</v>
      </c>
      <c r="BF43" s="341" t="e">
        <f>VLOOKUP($AL43,#REF!,BF$37,FALSE)</f>
        <v>#REF!</v>
      </c>
      <c r="BG43" s="341" t="e">
        <f>VLOOKUP($AL43,#REF!,BG$37,FALSE)</f>
        <v>#REF!</v>
      </c>
      <c r="BH43" s="341" t="e">
        <f>VLOOKUP($AL43,#REF!,BH$37,FALSE)</f>
        <v>#REF!</v>
      </c>
      <c r="BI43" s="341" t="e">
        <f>VLOOKUP($AL43,#REF!,BI$37,FALSE)</f>
        <v>#REF!</v>
      </c>
      <c r="BJ43" s="341" t="e">
        <f>VLOOKUP($AL43,#REF!,BJ$37,FALSE)</f>
        <v>#REF!</v>
      </c>
      <c r="BK43" s="341" t="e">
        <f>VLOOKUP($AL43,#REF!,BK$37,FALSE)</f>
        <v>#REF!</v>
      </c>
      <c r="BL43" s="341" t="e">
        <f>VLOOKUP($AL43,#REF!,BL$37,FALSE)</f>
        <v>#REF!</v>
      </c>
    </row>
    <row r="44" spans="1:64" ht="14.25" customHeight="1" x14ac:dyDescent="0.2">
      <c r="A44" s="120"/>
      <c r="B44" s="9"/>
      <c r="C44" s="9"/>
      <c r="D44" s="9"/>
      <c r="E44" s="9"/>
      <c r="F44" s="9"/>
      <c r="G44" s="9"/>
      <c r="H44" s="9"/>
      <c r="I44" s="9"/>
      <c r="J44" s="13"/>
      <c r="K44" s="14"/>
      <c r="L44" s="14"/>
      <c r="M44" s="14"/>
      <c r="N44" s="14"/>
      <c r="O44" s="15"/>
      <c r="P44" s="15"/>
      <c r="Q44" s="15"/>
      <c r="R44" s="15"/>
      <c r="S44" s="15"/>
      <c r="T44" s="15"/>
      <c r="U44" s="15"/>
      <c r="V44" s="119"/>
      <c r="W44" s="138"/>
      <c r="X44" s="288"/>
      <c r="Y44" s="71" t="str">
        <f>"Y= "&amp;Z44&amp;"x + "&amp;AA44</f>
        <v>Y= 18.4912267500316x + 228.358863181829</v>
      </c>
      <c r="Z44" s="712">
        <f>Sheet1!F7</f>
        <v>18.491226750031629</v>
      </c>
      <c r="AA44" s="713">
        <f>Sheet1!F8</f>
        <v>228.35886318182924</v>
      </c>
      <c r="AB44" s="211">
        <v>35</v>
      </c>
      <c r="AC44" s="212">
        <f>((AB44*Z44)+AA44)/$Y$2</f>
        <v>875.55179943293615</v>
      </c>
      <c r="AD44" s="714">
        <f>Sheet1!F9</f>
        <v>0.36345137079922374</v>
      </c>
      <c r="AJ44" s="560" t="b">
        <v>1</v>
      </c>
      <c r="AK44" s="156" t="s">
        <v>4</v>
      </c>
      <c r="AL44" s="89" t="str">
        <f t="shared" si="14"/>
        <v>East Sussex</v>
      </c>
      <c r="AM44" s="143">
        <f t="shared" si="15"/>
        <v>254.64895635673622</v>
      </c>
      <c r="AN44" s="143">
        <f t="shared" si="15"/>
        <v>234.65533522190745</v>
      </c>
      <c r="AO44" s="143">
        <f t="shared" si="15"/>
        <v>296.78942398489141</v>
      </c>
      <c r="AP44" s="143">
        <f t="shared" si="15"/>
        <v>337.73584905660374</v>
      </c>
      <c r="AQ44" s="143">
        <f t="shared" si="15"/>
        <v>338.15789473684208</v>
      </c>
      <c r="AR44" s="144">
        <f t="shared" si="16"/>
        <v>16.100000000000001</v>
      </c>
      <c r="AS44" s="341">
        <f t="shared" si="17"/>
        <v>7.8654808226792661E-2</v>
      </c>
      <c r="AT44" s="341">
        <f t="shared" si="17"/>
        <v>0.12784880489160644</v>
      </c>
      <c r="AU44" s="341">
        <f t="shared" si="17"/>
        <v>0.13062812673707616</v>
      </c>
      <c r="AV44" s="341">
        <f t="shared" si="17"/>
        <v>0.24207893274041134</v>
      </c>
      <c r="AW44" s="341">
        <f t="shared" si="17"/>
        <v>0.4207893274041134</v>
      </c>
      <c r="AX44" s="341">
        <f t="shared" si="18"/>
        <v>0.5167660208643815</v>
      </c>
      <c r="AY44" s="341">
        <f t="shared" si="18"/>
        <v>0.53883299798792761</v>
      </c>
      <c r="AZ44" s="341">
        <f t="shared" si="18"/>
        <v>0.65892459433662109</v>
      </c>
      <c r="BA44" s="341">
        <f t="shared" si="18"/>
        <v>0.6064245810055866</v>
      </c>
      <c r="BB44" s="341">
        <f t="shared" si="18"/>
        <v>0.57921067259588666</v>
      </c>
      <c r="BC44" s="341" t="e">
        <f>VLOOKUP($AL44,#REF!,BC$37,FALSE)</f>
        <v>#REF!</v>
      </c>
      <c r="BD44" s="341" t="e">
        <f>VLOOKUP($AL44,#REF!,BD$37,FALSE)</f>
        <v>#REF!</v>
      </c>
      <c r="BE44" s="341" t="e">
        <f>VLOOKUP($AL44,#REF!,BE$37,FALSE)</f>
        <v>#REF!</v>
      </c>
      <c r="BF44" s="341" t="e">
        <f>VLOOKUP($AL44,#REF!,BF$37,FALSE)</f>
        <v>#REF!</v>
      </c>
      <c r="BG44" s="341" t="e">
        <f>VLOOKUP($AL44,#REF!,BG$37,FALSE)</f>
        <v>#REF!</v>
      </c>
      <c r="BH44" s="341" t="e">
        <f>VLOOKUP($AL44,#REF!,BH$37,FALSE)</f>
        <v>#REF!</v>
      </c>
      <c r="BI44" s="341" t="e">
        <f>VLOOKUP($AL44,#REF!,BI$37,FALSE)</f>
        <v>#REF!</v>
      </c>
      <c r="BJ44" s="341" t="e">
        <f>VLOOKUP($AL44,#REF!,BJ$37,FALSE)</f>
        <v>#REF!</v>
      </c>
      <c r="BK44" s="341" t="e">
        <f>VLOOKUP($AL44,#REF!,BK$37,FALSE)</f>
        <v>#REF!</v>
      </c>
      <c r="BL44" s="341" t="e">
        <f>VLOOKUP($AL44,#REF!,BL$37,FALSE)</f>
        <v>#REF!</v>
      </c>
    </row>
    <row r="45" spans="1:64" s="78" customFormat="1" ht="14.25" customHeight="1" x14ac:dyDescent="0.2">
      <c r="A45" s="121"/>
      <c r="B45" s="220"/>
      <c r="C45" s="220"/>
      <c r="D45" s="221"/>
      <c r="E45" s="221"/>
      <c r="F45" s="221"/>
      <c r="G45" s="221"/>
      <c r="H45" s="221"/>
      <c r="I45" s="221"/>
      <c r="J45" s="16"/>
      <c r="K45" s="9"/>
      <c r="L45" s="9"/>
      <c r="M45" s="9"/>
      <c r="N45" s="9"/>
      <c r="O45" s="9"/>
      <c r="P45" s="9"/>
      <c r="Q45" s="9"/>
      <c r="R45" s="9"/>
      <c r="S45" s="9"/>
      <c r="T45" s="9"/>
      <c r="U45" s="9"/>
      <c r="V45" s="122"/>
      <c r="W45" s="139"/>
      <c r="X45" s="289"/>
      <c r="AD45" s="83"/>
      <c r="AE45" s="83"/>
      <c r="AF45" s="83"/>
      <c r="AG45" s="83"/>
      <c r="AH45" s="83"/>
      <c r="AI45" s="83"/>
      <c r="AJ45" s="560" t="b">
        <v>1</v>
      </c>
      <c r="AK45" s="156" t="s">
        <v>6</v>
      </c>
      <c r="AL45" s="89" t="str">
        <f t="shared" si="14"/>
        <v>Hampshire</v>
      </c>
      <c r="AM45" s="143">
        <f t="shared" si="15"/>
        <v>607.31793960923619</v>
      </c>
      <c r="AN45" s="143">
        <f t="shared" si="15"/>
        <v>600.60305072720826</v>
      </c>
      <c r="AO45" s="143">
        <f t="shared" si="15"/>
        <v>701.59123055162661</v>
      </c>
      <c r="AP45" s="143">
        <f t="shared" si="15"/>
        <v>623.36745499470521</v>
      </c>
      <c r="AQ45" s="143">
        <f t="shared" si="15"/>
        <v>633.90845070422529</v>
      </c>
      <c r="AR45" s="144">
        <f t="shared" si="16"/>
        <v>10.100000000000001</v>
      </c>
      <c r="AS45" s="341">
        <f t="shared" si="17"/>
        <v>0.23384991390323834</v>
      </c>
      <c r="AT45" s="341">
        <f t="shared" si="17"/>
        <v>0.45364661445314669</v>
      </c>
      <c r="AU45" s="341">
        <f t="shared" si="17"/>
        <v>0.12747875354107649</v>
      </c>
      <c r="AV45" s="341">
        <f t="shared" si="17"/>
        <v>9.3539965561295346E-2</v>
      </c>
      <c r="AW45" s="341">
        <f t="shared" si="17"/>
        <v>9.1484752541243122E-2</v>
      </c>
      <c r="AX45" s="341">
        <f t="shared" si="18"/>
        <v>0.79404539073467473</v>
      </c>
      <c r="AY45" s="341">
        <f t="shared" si="18"/>
        <v>0.88252318232827354</v>
      </c>
      <c r="AZ45" s="341">
        <f t="shared" si="18"/>
        <v>0.89637619071619379</v>
      </c>
      <c r="BA45" s="341">
        <f t="shared" si="18"/>
        <v>0.91200453001132498</v>
      </c>
      <c r="BB45" s="341">
        <f t="shared" si="18"/>
        <v>0.90851524745875689</v>
      </c>
      <c r="BC45" s="341" t="e">
        <f>VLOOKUP($AL45,#REF!,BC$37,FALSE)</f>
        <v>#REF!</v>
      </c>
      <c r="BD45" s="341" t="e">
        <f>VLOOKUP($AL45,#REF!,BD$37,FALSE)</f>
        <v>#REF!</v>
      </c>
      <c r="BE45" s="341" t="e">
        <f>VLOOKUP($AL45,#REF!,BE$37,FALSE)</f>
        <v>#REF!</v>
      </c>
      <c r="BF45" s="341" t="e">
        <f>VLOOKUP($AL45,#REF!,BF$37,FALSE)</f>
        <v>#REF!</v>
      </c>
      <c r="BG45" s="341" t="e">
        <f>VLOOKUP($AL45,#REF!,BG$37,FALSE)</f>
        <v>#REF!</v>
      </c>
      <c r="BH45" s="341" t="e">
        <f>VLOOKUP($AL45,#REF!,BH$37,FALSE)</f>
        <v>#REF!</v>
      </c>
      <c r="BI45" s="341" t="e">
        <f>VLOOKUP($AL45,#REF!,BI$37,FALSE)</f>
        <v>#REF!</v>
      </c>
      <c r="BJ45" s="341" t="e">
        <f>VLOOKUP($AL45,#REF!,BJ$37,FALSE)</f>
        <v>#REF!</v>
      </c>
      <c r="BK45" s="341" t="e">
        <f>VLOOKUP($AL45,#REF!,BK$37,FALSE)</f>
        <v>#REF!</v>
      </c>
      <c r="BL45" s="341" t="e">
        <f>VLOOKUP($AL45,#REF!,BL$37,FALSE)</f>
        <v>#REF!</v>
      </c>
    </row>
    <row r="46" spans="1:64" ht="14.25" customHeight="1" x14ac:dyDescent="0.2">
      <c r="A46" s="120"/>
      <c r="B46" s="221"/>
      <c r="C46" s="221"/>
      <c r="D46" s="221"/>
      <c r="E46" s="221"/>
      <c r="F46" s="221"/>
      <c r="G46" s="221"/>
      <c r="H46" s="221"/>
      <c r="I46" s="221"/>
      <c r="J46" s="13"/>
      <c r="K46" s="15"/>
      <c r="L46" s="15"/>
      <c r="M46" s="15"/>
      <c r="N46" s="15"/>
      <c r="O46" s="9"/>
      <c r="P46" s="9"/>
      <c r="Q46" s="9"/>
      <c r="R46" s="9"/>
      <c r="S46" s="9"/>
      <c r="T46" s="9"/>
      <c r="U46" s="9"/>
      <c r="V46" s="119"/>
      <c r="W46" s="138"/>
      <c r="X46" s="288"/>
      <c r="AJ46" s="560" t="b">
        <v>1</v>
      </c>
      <c r="AK46" s="156" t="s">
        <v>1</v>
      </c>
      <c r="AL46" s="89" t="str">
        <f t="shared" si="14"/>
        <v>Isle of Wight</v>
      </c>
      <c r="AM46" s="143">
        <f t="shared" si="15"/>
        <v>803.13725490196077</v>
      </c>
      <c r="AN46" s="143">
        <f t="shared" si="15"/>
        <v>946.64031620553351</v>
      </c>
      <c r="AO46" s="143">
        <f t="shared" si="15"/>
        <v>1067.8571428571429</v>
      </c>
      <c r="AP46" s="143">
        <f t="shared" si="15"/>
        <v>1067.3306772908368</v>
      </c>
      <c r="AQ46" s="143">
        <f t="shared" si="15"/>
        <v>789.15662650602405</v>
      </c>
      <c r="AR46" s="144">
        <f t="shared" si="16"/>
        <v>18</v>
      </c>
      <c r="AS46" s="341">
        <f t="shared" si="17"/>
        <v>0.29363867684478373</v>
      </c>
      <c r="AT46" s="341">
        <f t="shared" si="17"/>
        <v>0.42035623409669209</v>
      </c>
      <c r="AU46" s="341">
        <f t="shared" si="17"/>
        <v>0.10585241730279898</v>
      </c>
      <c r="AV46" s="341">
        <f t="shared" si="17"/>
        <v>0.13791348600508907</v>
      </c>
      <c r="AW46" s="341">
        <f t="shared" si="17"/>
        <v>4.2239185750636135E-2</v>
      </c>
      <c r="AX46" s="341">
        <f t="shared" si="18"/>
        <v>0.80292338709677424</v>
      </c>
      <c r="AY46" s="341">
        <f t="shared" si="18"/>
        <v>0.86304801670146136</v>
      </c>
      <c r="AZ46" s="341">
        <f t="shared" si="18"/>
        <v>0.79189892233370496</v>
      </c>
      <c r="BA46" s="341">
        <f t="shared" si="18"/>
        <v>0.86114221724524076</v>
      </c>
      <c r="BB46" s="341">
        <f t="shared" si="18"/>
        <v>0.95776081424936388</v>
      </c>
      <c r="BC46" s="341" t="e">
        <f>VLOOKUP($AL46,#REF!,BC$37,FALSE)</f>
        <v>#REF!</v>
      </c>
      <c r="BD46" s="341" t="e">
        <f>VLOOKUP($AL46,#REF!,BD$37,FALSE)</f>
        <v>#REF!</v>
      </c>
      <c r="BE46" s="341" t="e">
        <f>VLOOKUP($AL46,#REF!,BE$37,FALSE)</f>
        <v>#REF!</v>
      </c>
      <c r="BF46" s="341" t="e">
        <f>VLOOKUP($AL46,#REF!,BF$37,FALSE)</f>
        <v>#REF!</v>
      </c>
      <c r="BG46" s="341" t="e">
        <f>VLOOKUP($AL46,#REF!,BG$37,FALSE)</f>
        <v>#REF!</v>
      </c>
      <c r="BH46" s="341" t="e">
        <f>VLOOKUP($AL46,#REF!,BH$37,FALSE)</f>
        <v>#REF!</v>
      </c>
      <c r="BI46" s="341" t="e">
        <f>VLOOKUP($AL46,#REF!,BI$37,FALSE)</f>
        <v>#REF!</v>
      </c>
      <c r="BJ46" s="341" t="e">
        <f>VLOOKUP($AL46,#REF!,BJ$37,FALSE)</f>
        <v>#REF!</v>
      </c>
      <c r="BK46" s="341" t="e">
        <f>VLOOKUP($AL46,#REF!,BK$37,FALSE)</f>
        <v>#REF!</v>
      </c>
      <c r="BL46" s="341" t="e">
        <f>VLOOKUP($AL46,#REF!,BL$37,FALSE)</f>
        <v>#REF!</v>
      </c>
    </row>
    <row r="47" spans="1:64" ht="14.25" customHeight="1" x14ac:dyDescent="0.2">
      <c r="A47" s="120"/>
      <c r="B47" s="221"/>
      <c r="C47" s="221"/>
      <c r="D47" s="221"/>
      <c r="E47" s="221"/>
      <c r="F47" s="221"/>
      <c r="G47" s="221"/>
      <c r="H47" s="221"/>
      <c r="I47" s="221"/>
      <c r="J47" s="13"/>
      <c r="K47" s="15"/>
      <c r="L47" s="15"/>
      <c r="M47" s="15"/>
      <c r="N47" s="15"/>
      <c r="O47" s="9"/>
      <c r="P47" s="9"/>
      <c r="Q47" s="9"/>
      <c r="R47" s="9"/>
      <c r="S47" s="9"/>
      <c r="T47" s="9"/>
      <c r="U47" s="9"/>
      <c r="V47" s="119"/>
      <c r="W47" s="138"/>
      <c r="X47" s="288"/>
      <c r="AD47" s="204"/>
      <c r="AJ47" s="560" t="b">
        <v>1</v>
      </c>
      <c r="AK47" s="156" t="s">
        <v>9</v>
      </c>
      <c r="AL47" s="89" t="str">
        <f t="shared" si="14"/>
        <v>Kent</v>
      </c>
      <c r="AM47" s="143">
        <f t="shared" si="15"/>
        <v>481.32805360950351</v>
      </c>
      <c r="AN47" s="143">
        <f t="shared" si="15"/>
        <v>497.57869249394673</v>
      </c>
      <c r="AO47" s="143">
        <f t="shared" si="15"/>
        <v>491.47147147147143</v>
      </c>
      <c r="AP47" s="143">
        <f t="shared" si="15"/>
        <v>560.16066646831302</v>
      </c>
      <c r="AQ47" s="143">
        <f t="shared" si="15"/>
        <v>520.52337547780064</v>
      </c>
      <c r="AR47" s="144">
        <f t="shared" si="16"/>
        <v>15.8</v>
      </c>
      <c r="AS47" s="341">
        <f t="shared" si="17"/>
        <v>8.3206236231147257E-2</v>
      </c>
      <c r="AT47" s="341">
        <f t="shared" si="17"/>
        <v>0.12658871377732589</v>
      </c>
      <c r="AU47" s="341">
        <f t="shared" si="17"/>
        <v>0.25148279952550417</v>
      </c>
      <c r="AV47" s="341">
        <f t="shared" si="17"/>
        <v>0.4598655595096876</v>
      </c>
      <c r="AW47" s="341">
        <f t="shared" si="17"/>
        <v>7.8856690956335088E-2</v>
      </c>
      <c r="AX47" s="341">
        <f t="shared" si="18"/>
        <v>0.88577395266421977</v>
      </c>
      <c r="AY47" s="341">
        <f t="shared" si="18"/>
        <v>0.91204379562043791</v>
      </c>
      <c r="AZ47" s="341">
        <f t="shared" si="18"/>
        <v>0.92209458633752905</v>
      </c>
      <c r="BA47" s="341">
        <f t="shared" si="18"/>
        <v>0.86859297816964998</v>
      </c>
      <c r="BB47" s="341">
        <f t="shared" si="18"/>
        <v>0.92114330904366493</v>
      </c>
      <c r="BC47" s="341" t="e">
        <f>VLOOKUP($AL47,#REF!,BC$37,FALSE)</f>
        <v>#REF!</v>
      </c>
      <c r="BD47" s="341" t="e">
        <f>VLOOKUP($AL47,#REF!,BD$37,FALSE)</f>
        <v>#REF!</v>
      </c>
      <c r="BE47" s="341" t="e">
        <f>VLOOKUP($AL47,#REF!,BE$37,FALSE)</f>
        <v>#REF!</v>
      </c>
      <c r="BF47" s="341" t="e">
        <f>VLOOKUP($AL47,#REF!,BF$37,FALSE)</f>
        <v>#REF!</v>
      </c>
      <c r="BG47" s="341" t="e">
        <f>VLOOKUP($AL47,#REF!,BG$37,FALSE)</f>
        <v>#REF!</v>
      </c>
      <c r="BH47" s="341" t="e">
        <f>VLOOKUP($AL47,#REF!,BH$37,FALSE)</f>
        <v>#REF!</v>
      </c>
      <c r="BI47" s="341" t="e">
        <f>VLOOKUP($AL47,#REF!,BI$37,FALSE)</f>
        <v>#REF!</v>
      </c>
      <c r="BJ47" s="341" t="e">
        <f>VLOOKUP($AL47,#REF!,BJ$37,FALSE)</f>
        <v>#REF!</v>
      </c>
      <c r="BK47" s="341" t="e">
        <f>VLOOKUP($AL47,#REF!,BK$37,FALSE)</f>
        <v>#REF!</v>
      </c>
      <c r="BL47" s="341" t="e">
        <f>VLOOKUP($AL47,#REF!,BL$37,FALSE)</f>
        <v>#REF!</v>
      </c>
    </row>
    <row r="48" spans="1:64" ht="14.25" customHeight="1" x14ac:dyDescent="0.2">
      <c r="A48" s="120"/>
      <c r="B48" s="58"/>
      <c r="C48" s="58"/>
      <c r="D48" s="58"/>
      <c r="E48" s="58"/>
      <c r="F48" s="58"/>
      <c r="G48" s="58"/>
      <c r="H48" s="58"/>
      <c r="I48" s="58"/>
      <c r="J48" s="13"/>
      <c r="K48" s="15"/>
      <c r="L48" s="15"/>
      <c r="M48" s="15"/>
      <c r="N48" s="15"/>
      <c r="O48" s="9"/>
      <c r="P48" s="9"/>
      <c r="Q48" s="9"/>
      <c r="R48" s="9"/>
      <c r="S48" s="9"/>
      <c r="T48" s="9"/>
      <c r="U48" s="9"/>
      <c r="V48" s="119"/>
      <c r="W48" s="138"/>
      <c r="X48" s="288"/>
      <c r="AD48" s="179"/>
      <c r="AJ48" s="560" t="b">
        <v>1</v>
      </c>
      <c r="AK48" s="156" t="s">
        <v>2</v>
      </c>
      <c r="AL48" s="89" t="str">
        <f t="shared" si="14"/>
        <v>Medway</v>
      </c>
      <c r="AM48" s="143">
        <f t="shared" si="15"/>
        <v>591.84</v>
      </c>
      <c r="AN48" s="143">
        <f t="shared" si="15"/>
        <v>492.72151898734177</v>
      </c>
      <c r="AO48" s="143">
        <f t="shared" si="15"/>
        <v>442.38618524332804</v>
      </c>
      <c r="AP48" s="143">
        <f t="shared" si="15"/>
        <v>392.64475743348981</v>
      </c>
      <c r="AQ48" s="143">
        <f t="shared" si="15"/>
        <v>531.05590062111798</v>
      </c>
      <c r="AR48" s="144">
        <f t="shared" si="16"/>
        <v>18.899999999999999</v>
      </c>
      <c r="AS48" s="341">
        <f t="shared" si="17"/>
        <v>3.9181286549707602E-2</v>
      </c>
      <c r="AT48" s="341">
        <f t="shared" si="17"/>
        <v>8.4210526315789472E-2</v>
      </c>
      <c r="AU48" s="341">
        <f t="shared" si="17"/>
        <v>0.10087719298245613</v>
      </c>
      <c r="AV48" s="341">
        <f t="shared" si="17"/>
        <v>0.40701754385964911</v>
      </c>
      <c r="AW48" s="341">
        <f t="shared" si="17"/>
        <v>0.36871345029239766</v>
      </c>
      <c r="AX48" s="341">
        <f t="shared" si="18"/>
        <v>0.75371722087050552</v>
      </c>
      <c r="AY48" s="341">
        <f t="shared" si="18"/>
        <v>0.83365446371226715</v>
      </c>
      <c r="AZ48" s="341">
        <f t="shared" si="18"/>
        <v>0.95848119233498941</v>
      </c>
      <c r="BA48" s="341">
        <f t="shared" si="18"/>
        <v>0.85930649661219605</v>
      </c>
      <c r="BB48" s="341">
        <f t="shared" si="18"/>
        <v>0.63128654970760234</v>
      </c>
      <c r="BC48" s="341" t="e">
        <f>VLOOKUP($AL48,#REF!,BC$37,FALSE)</f>
        <v>#REF!</v>
      </c>
      <c r="BD48" s="341" t="e">
        <f>VLOOKUP($AL48,#REF!,BD$37,FALSE)</f>
        <v>#REF!</v>
      </c>
      <c r="BE48" s="341" t="e">
        <f>VLOOKUP($AL48,#REF!,BE$37,FALSE)</f>
        <v>#REF!</v>
      </c>
      <c r="BF48" s="341" t="e">
        <f>VLOOKUP($AL48,#REF!,BF$37,FALSE)</f>
        <v>#REF!</v>
      </c>
      <c r="BG48" s="341" t="e">
        <f>VLOOKUP($AL48,#REF!,BG$37,FALSE)</f>
        <v>#REF!</v>
      </c>
      <c r="BH48" s="341" t="e">
        <f>VLOOKUP($AL48,#REF!,BH$37,FALSE)</f>
        <v>#REF!</v>
      </c>
      <c r="BI48" s="341" t="e">
        <f>VLOOKUP($AL48,#REF!,BI$37,FALSE)</f>
        <v>#REF!</v>
      </c>
      <c r="BJ48" s="341" t="e">
        <f>VLOOKUP($AL48,#REF!,BJ$37,FALSE)</f>
        <v>#REF!</v>
      </c>
      <c r="BK48" s="341" t="e">
        <f>VLOOKUP($AL48,#REF!,BK$37,FALSE)</f>
        <v>#REF!</v>
      </c>
      <c r="BL48" s="341" t="e">
        <f>VLOOKUP($AL48,#REF!,BL$37,FALSE)</f>
        <v>#REF!</v>
      </c>
    </row>
    <row r="49" spans="1:64" ht="14.25" customHeight="1" x14ac:dyDescent="0.2">
      <c r="A49" s="120"/>
      <c r="B49" s="58"/>
      <c r="C49" s="58"/>
      <c r="D49" s="68"/>
      <c r="E49" s="69"/>
      <c r="F49" s="68"/>
      <c r="G49" s="69"/>
      <c r="H49" s="69"/>
      <c r="I49" s="69"/>
      <c r="J49" s="13"/>
      <c r="K49" s="15"/>
      <c r="L49" s="15"/>
      <c r="M49" s="15"/>
      <c r="N49" s="15"/>
      <c r="O49" s="9"/>
      <c r="P49" s="9"/>
      <c r="Q49" s="9"/>
      <c r="R49" s="9"/>
      <c r="S49" s="9"/>
      <c r="T49" s="9"/>
      <c r="U49" s="9"/>
      <c r="V49" s="119"/>
      <c r="W49" s="138"/>
      <c r="X49" s="288"/>
      <c r="AJ49" s="560" t="b">
        <v>1</v>
      </c>
      <c r="AK49" s="156" t="s">
        <v>10</v>
      </c>
      <c r="AL49" s="89" t="str">
        <f t="shared" si="14"/>
        <v>Milton Keynes</v>
      </c>
      <c r="AM49" s="143">
        <f t="shared" si="15"/>
        <v>306.74846625766872</v>
      </c>
      <c r="AN49" s="143">
        <f t="shared" si="15"/>
        <v>315.7337367624811</v>
      </c>
      <c r="AO49" s="143">
        <f t="shared" si="15"/>
        <v>375.11177347242921</v>
      </c>
      <c r="AP49" s="143">
        <f t="shared" si="15"/>
        <v>327.36686390532543</v>
      </c>
      <c r="AQ49" s="143">
        <f t="shared" si="15"/>
        <v>329.28257686676426</v>
      </c>
      <c r="AR49" s="144">
        <f t="shared" si="16"/>
        <v>15</v>
      </c>
      <c r="AS49" s="341">
        <f t="shared" si="17"/>
        <v>0.26367274344152958</v>
      </c>
      <c r="AT49" s="341">
        <f t="shared" si="17"/>
        <v>0.30457981325033351</v>
      </c>
      <c r="AU49" s="341">
        <f t="shared" si="17"/>
        <v>0.20497999110715873</v>
      </c>
      <c r="AV49" s="341">
        <f t="shared" si="17"/>
        <v>0.16540684748777235</v>
      </c>
      <c r="AW49" s="341">
        <f t="shared" si="17"/>
        <v>6.1360604713205869E-2</v>
      </c>
      <c r="AX49" s="341">
        <f t="shared" si="18"/>
        <v>0.95950000000000002</v>
      </c>
      <c r="AY49" s="341">
        <f t="shared" si="18"/>
        <v>0.93291806420699563</v>
      </c>
      <c r="AZ49" s="341">
        <f t="shared" si="18"/>
        <v>0.90186730234406043</v>
      </c>
      <c r="BA49" s="341">
        <f t="shared" si="18"/>
        <v>0.87754179846362401</v>
      </c>
      <c r="BB49" s="341">
        <f t="shared" si="18"/>
        <v>0.93863939528679408</v>
      </c>
      <c r="BC49" s="341" t="e">
        <f>VLOOKUP($AL49,#REF!,BC$37,FALSE)</f>
        <v>#REF!</v>
      </c>
      <c r="BD49" s="341" t="e">
        <f>VLOOKUP($AL49,#REF!,BD$37,FALSE)</f>
        <v>#REF!</v>
      </c>
      <c r="BE49" s="341" t="e">
        <f>VLOOKUP($AL49,#REF!,BE$37,FALSE)</f>
        <v>#REF!</v>
      </c>
      <c r="BF49" s="341" t="e">
        <f>VLOOKUP($AL49,#REF!,BF$37,FALSE)</f>
        <v>#REF!</v>
      </c>
      <c r="BG49" s="341" t="e">
        <f>VLOOKUP($AL49,#REF!,BG$37,FALSE)</f>
        <v>#REF!</v>
      </c>
      <c r="BH49" s="341" t="e">
        <f>VLOOKUP($AL49,#REF!,BH$37,FALSE)</f>
        <v>#REF!</v>
      </c>
      <c r="BI49" s="341" t="e">
        <f>VLOOKUP($AL49,#REF!,BI$37,FALSE)</f>
        <v>#REF!</v>
      </c>
      <c r="BJ49" s="341" t="e">
        <f>VLOOKUP($AL49,#REF!,BJ$37,FALSE)</f>
        <v>#REF!</v>
      </c>
      <c r="BK49" s="341" t="e">
        <f>VLOOKUP($AL49,#REF!,BK$37,FALSE)</f>
        <v>#REF!</v>
      </c>
      <c r="BL49" s="341" t="e">
        <f>VLOOKUP($AL49,#REF!,BL$37,FALSE)</f>
        <v>#REF!</v>
      </c>
    </row>
    <row r="50" spans="1:64" ht="14.25" customHeight="1" x14ac:dyDescent="0.2">
      <c r="A50" s="120"/>
      <c r="B50" s="58"/>
      <c r="C50" s="58"/>
      <c r="D50" s="61"/>
      <c r="E50" s="61"/>
      <c r="F50" s="61"/>
      <c r="G50" s="61"/>
      <c r="H50" s="61"/>
      <c r="I50" s="61"/>
      <c r="J50" s="13"/>
      <c r="K50" s="15"/>
      <c r="L50" s="15"/>
      <c r="M50" s="15"/>
      <c r="N50" s="15"/>
      <c r="O50" s="9"/>
      <c r="P50" s="9"/>
      <c r="Q50" s="9"/>
      <c r="R50" s="9"/>
      <c r="S50" s="9"/>
      <c r="T50" s="9"/>
      <c r="U50" s="9"/>
      <c r="V50" s="119"/>
      <c r="W50" s="138"/>
      <c r="X50" s="288"/>
      <c r="AJ50" s="560" t="b">
        <v>1</v>
      </c>
      <c r="AK50" s="156" t="s">
        <v>11</v>
      </c>
      <c r="AL50" s="89" t="str">
        <f t="shared" si="14"/>
        <v>Oxfordshire</v>
      </c>
      <c r="AM50" s="143">
        <f t="shared" si="15"/>
        <v>266.78470254957506</v>
      </c>
      <c r="AN50" s="143">
        <f t="shared" si="15"/>
        <v>388.99858956276444</v>
      </c>
      <c r="AO50" s="143">
        <f t="shared" si="15"/>
        <v>470.25892232330301</v>
      </c>
      <c r="AP50" s="143">
        <f t="shared" si="15"/>
        <v>403.76569037656907</v>
      </c>
      <c r="AQ50" s="143">
        <f t="shared" si="15"/>
        <v>373.20441988950279</v>
      </c>
      <c r="AR50" s="144">
        <f t="shared" si="16"/>
        <v>10.100000000000001</v>
      </c>
      <c r="AS50" s="341">
        <f t="shared" si="17"/>
        <v>5.3108808290155442E-2</v>
      </c>
      <c r="AT50" s="341">
        <f t="shared" si="17"/>
        <v>9.6039970392301999E-2</v>
      </c>
      <c r="AU50" s="341">
        <f t="shared" si="17"/>
        <v>0.12398223538119911</v>
      </c>
      <c r="AV50" s="341">
        <f t="shared" si="17"/>
        <v>0.31014063656550706</v>
      </c>
      <c r="AW50" s="341">
        <f t="shared" si="17"/>
        <v>0.41672834937083642</v>
      </c>
      <c r="AX50" s="341">
        <f t="shared" si="18"/>
        <v>0.74807539155826919</v>
      </c>
      <c r="AY50" s="341">
        <f t="shared" si="18"/>
        <v>0.6292603335750544</v>
      </c>
      <c r="AZ50" s="341">
        <f t="shared" si="18"/>
        <v>0.5178571428571429</v>
      </c>
      <c r="BA50" s="341">
        <f t="shared" si="18"/>
        <v>0.51692573402417963</v>
      </c>
      <c r="BB50" s="341">
        <f t="shared" si="18"/>
        <v>0.58327165062916353</v>
      </c>
      <c r="BC50" s="341" t="e">
        <f>VLOOKUP($AL50,#REF!,BC$37,FALSE)</f>
        <v>#REF!</v>
      </c>
      <c r="BD50" s="341" t="e">
        <f>VLOOKUP($AL50,#REF!,BD$37,FALSE)</f>
        <v>#REF!</v>
      </c>
      <c r="BE50" s="341" t="e">
        <f>VLOOKUP($AL50,#REF!,BE$37,FALSE)</f>
        <v>#REF!</v>
      </c>
      <c r="BF50" s="341" t="e">
        <f>VLOOKUP($AL50,#REF!,BF$37,FALSE)</f>
        <v>#REF!</v>
      </c>
      <c r="BG50" s="341" t="e">
        <f>VLOOKUP($AL50,#REF!,BG$37,FALSE)</f>
        <v>#REF!</v>
      </c>
      <c r="BH50" s="341" t="e">
        <f>VLOOKUP($AL50,#REF!,BH$37,FALSE)</f>
        <v>#REF!</v>
      </c>
      <c r="BI50" s="341" t="e">
        <f>VLOOKUP($AL50,#REF!,BI$37,FALSE)</f>
        <v>#REF!</v>
      </c>
      <c r="BJ50" s="341" t="e">
        <f>VLOOKUP($AL50,#REF!,BJ$37,FALSE)</f>
        <v>#REF!</v>
      </c>
      <c r="BK50" s="341" t="e">
        <f>VLOOKUP($AL50,#REF!,BK$37,FALSE)</f>
        <v>#REF!</v>
      </c>
      <c r="BL50" s="341" t="e">
        <f>VLOOKUP($AL50,#REF!,BL$37,FALSE)</f>
        <v>#REF!</v>
      </c>
    </row>
    <row r="51" spans="1:64" ht="14.25" customHeight="1" x14ac:dyDescent="0.2">
      <c r="A51" s="120"/>
      <c r="B51" s="317"/>
      <c r="C51" s="317"/>
      <c r="D51" s="58"/>
      <c r="E51" s="58"/>
      <c r="F51" s="58"/>
      <c r="G51" s="58"/>
      <c r="H51" s="58"/>
      <c r="I51" s="58"/>
      <c r="J51" s="13"/>
      <c r="K51" s="15"/>
      <c r="L51" s="15"/>
      <c r="M51" s="15"/>
      <c r="N51" s="15"/>
      <c r="O51" s="9"/>
      <c r="P51" s="9"/>
      <c r="Q51" s="9"/>
      <c r="R51" s="9"/>
      <c r="S51" s="9"/>
      <c r="T51" s="9"/>
      <c r="U51" s="9"/>
      <c r="V51" s="119"/>
      <c r="W51" s="138"/>
      <c r="X51" s="288"/>
      <c r="AJ51" s="560" t="b">
        <v>1</v>
      </c>
      <c r="AK51" s="156" t="s">
        <v>12</v>
      </c>
      <c r="AL51" s="89" t="str">
        <f t="shared" si="14"/>
        <v>Portsmouth</v>
      </c>
      <c r="AM51" s="143">
        <f t="shared" ref="AM51:AQ64" si="19">VLOOKUP($AL51,$B$10:$O$33,AM$37,FALSE)</f>
        <v>334.79262672811058</v>
      </c>
      <c r="AN51" s="143">
        <f t="shared" si="19"/>
        <v>425.79908675799089</v>
      </c>
      <c r="AO51" s="143">
        <f t="shared" si="19"/>
        <v>670.4545454545455</v>
      </c>
      <c r="AP51" s="143">
        <f t="shared" si="19"/>
        <v>721.71945701357458</v>
      </c>
      <c r="AQ51" s="143">
        <f t="shared" si="19"/>
        <v>849.31818181818176</v>
      </c>
      <c r="AR51" s="144">
        <f t="shared" si="16"/>
        <v>20.200000000000003</v>
      </c>
      <c r="AS51" s="341">
        <f t="shared" ref="AS51:AW64" si="20">VLOOKUP($AL51,$B$147:$H$170,AS$37,FALSE)</f>
        <v>0.37222370885737222</v>
      </c>
      <c r="AT51" s="341">
        <f t="shared" si="20"/>
        <v>0.20123093390420124</v>
      </c>
      <c r="AU51" s="341">
        <f t="shared" si="20"/>
        <v>0.19266791544019266</v>
      </c>
      <c r="AV51" s="341">
        <f t="shared" si="20"/>
        <v>0.18597805726518599</v>
      </c>
      <c r="AW51" s="341">
        <f t="shared" si="20"/>
        <v>4.7899384533047901E-2</v>
      </c>
      <c r="AX51" s="341">
        <f t="shared" ref="AX51:BB64" si="21">VLOOKUP($AL51,$B$112:$H$135,AX$37,FALSE)</f>
        <v>0.91397109428768064</v>
      </c>
      <c r="AY51" s="341">
        <f t="shared" si="21"/>
        <v>0.99516908212560384</v>
      </c>
      <c r="AZ51" s="341">
        <f t="shared" si="21"/>
        <v>0.94135593220338987</v>
      </c>
      <c r="BA51" s="341">
        <f t="shared" si="21"/>
        <v>0.93573667711598751</v>
      </c>
      <c r="BB51" s="341">
        <f t="shared" si="21"/>
        <v>0.95210061546695213</v>
      </c>
      <c r="BC51" s="341" t="e">
        <f>VLOOKUP($AL51,#REF!,BC$37,FALSE)</f>
        <v>#REF!</v>
      </c>
      <c r="BD51" s="341" t="e">
        <f>VLOOKUP($AL51,#REF!,BD$37,FALSE)</f>
        <v>#REF!</v>
      </c>
      <c r="BE51" s="341" t="e">
        <f>VLOOKUP($AL51,#REF!,BE$37,FALSE)</f>
        <v>#REF!</v>
      </c>
      <c r="BF51" s="341" t="e">
        <f>VLOOKUP($AL51,#REF!,BF$37,FALSE)</f>
        <v>#REF!</v>
      </c>
      <c r="BG51" s="341" t="e">
        <f>VLOOKUP($AL51,#REF!,BG$37,FALSE)</f>
        <v>#REF!</v>
      </c>
      <c r="BH51" s="341" t="e">
        <f>VLOOKUP($AL51,#REF!,BH$37,FALSE)</f>
        <v>#REF!</v>
      </c>
      <c r="BI51" s="341" t="e">
        <f>VLOOKUP($AL51,#REF!,BI$37,FALSE)</f>
        <v>#REF!</v>
      </c>
      <c r="BJ51" s="341" t="e">
        <f>VLOOKUP($AL51,#REF!,BJ$37,FALSE)</f>
        <v>#REF!</v>
      </c>
      <c r="BK51" s="341" t="e">
        <f>VLOOKUP($AL51,#REF!,BK$37,FALSE)</f>
        <v>#REF!</v>
      </c>
      <c r="BL51" s="341" t="e">
        <f>VLOOKUP($AL51,#REF!,BL$37,FALSE)</f>
        <v>#REF!</v>
      </c>
    </row>
    <row r="52" spans="1:64" ht="14.25" customHeight="1" x14ac:dyDescent="0.2">
      <c r="A52" s="120"/>
      <c r="B52" s="317"/>
      <c r="C52" s="317"/>
      <c r="D52" s="58"/>
      <c r="E52" s="58"/>
      <c r="F52" s="58"/>
      <c r="G52" s="58"/>
      <c r="H52" s="58"/>
      <c r="I52" s="58"/>
      <c r="J52" s="13"/>
      <c r="K52" s="15"/>
      <c r="L52" s="15"/>
      <c r="M52" s="15"/>
      <c r="N52" s="15"/>
      <c r="O52" s="9"/>
      <c r="P52" s="9"/>
      <c r="Q52" s="9"/>
      <c r="R52" s="9"/>
      <c r="S52" s="9"/>
      <c r="T52" s="9"/>
      <c r="U52" s="9"/>
      <c r="V52" s="119"/>
      <c r="W52" s="138"/>
      <c r="X52" s="288"/>
      <c r="AJ52" s="560" t="b">
        <v>1</v>
      </c>
      <c r="AK52" s="156" t="s">
        <v>3</v>
      </c>
      <c r="AL52" s="89" t="str">
        <f t="shared" si="14"/>
        <v>Reading</v>
      </c>
      <c r="AM52" s="143">
        <f t="shared" si="19"/>
        <v>333.42618384401112</v>
      </c>
      <c r="AN52" s="143">
        <f t="shared" si="19"/>
        <v>596.42857142857144</v>
      </c>
      <c r="AO52" s="143">
        <f t="shared" si="19"/>
        <v>804.64480874316939</v>
      </c>
      <c r="AP52" s="143">
        <f t="shared" si="19"/>
        <v>752.29110512129387</v>
      </c>
      <c r="AQ52" s="143">
        <f t="shared" si="19"/>
        <v>721.29380053908358</v>
      </c>
      <c r="AR52" s="144">
        <f t="shared" si="16"/>
        <v>16</v>
      </c>
      <c r="AS52" s="341">
        <f t="shared" si="20"/>
        <v>0.13452914798206278</v>
      </c>
      <c r="AT52" s="341">
        <f t="shared" si="20"/>
        <v>0.25149476831091183</v>
      </c>
      <c r="AU52" s="341">
        <f t="shared" si="20"/>
        <v>0.20142002989536623</v>
      </c>
      <c r="AV52" s="341">
        <f t="shared" si="20"/>
        <v>0.29446935724962631</v>
      </c>
      <c r="AW52" s="341">
        <f t="shared" si="20"/>
        <v>0.11808669656203288</v>
      </c>
      <c r="AX52" s="341">
        <f t="shared" si="21"/>
        <v>0.83792815371762741</v>
      </c>
      <c r="AY52" s="341">
        <f t="shared" si="21"/>
        <v>0.8337171810225702</v>
      </c>
      <c r="AZ52" s="341">
        <f t="shared" si="21"/>
        <v>0.69847198641765706</v>
      </c>
      <c r="BA52" s="341">
        <f t="shared" si="21"/>
        <v>0.86205661053385885</v>
      </c>
      <c r="BB52" s="341">
        <f t="shared" si="21"/>
        <v>0.88191330343796714</v>
      </c>
      <c r="BC52" s="341" t="e">
        <f>VLOOKUP($AL52,#REF!,BC$37,FALSE)</f>
        <v>#REF!</v>
      </c>
      <c r="BD52" s="341" t="e">
        <f>VLOOKUP($AL52,#REF!,BD$37,FALSE)</f>
        <v>#REF!</v>
      </c>
      <c r="BE52" s="341" t="e">
        <f>VLOOKUP($AL52,#REF!,BE$37,FALSE)</f>
        <v>#REF!</v>
      </c>
      <c r="BF52" s="341" t="e">
        <f>VLOOKUP($AL52,#REF!,BF$37,FALSE)</f>
        <v>#REF!</v>
      </c>
      <c r="BG52" s="341" t="e">
        <f>VLOOKUP($AL52,#REF!,BG$37,FALSE)</f>
        <v>#REF!</v>
      </c>
      <c r="BH52" s="341" t="e">
        <f>VLOOKUP($AL52,#REF!,BH$37,FALSE)</f>
        <v>#REF!</v>
      </c>
      <c r="BI52" s="341" t="e">
        <f>VLOOKUP($AL52,#REF!,BI$37,FALSE)</f>
        <v>#REF!</v>
      </c>
      <c r="BJ52" s="341" t="e">
        <f>VLOOKUP($AL52,#REF!,BJ$37,FALSE)</f>
        <v>#REF!</v>
      </c>
      <c r="BK52" s="341" t="e">
        <f>VLOOKUP($AL52,#REF!,BK$37,FALSE)</f>
        <v>#REF!</v>
      </c>
      <c r="BL52" s="341" t="e">
        <f>VLOOKUP($AL52,#REF!,BL$37,FALSE)</f>
        <v>#REF!</v>
      </c>
    </row>
    <row r="53" spans="1:64" ht="14.25" customHeight="1" x14ac:dyDescent="0.2">
      <c r="A53" s="120"/>
      <c r="B53" s="317"/>
      <c r="C53" s="317"/>
      <c r="D53" s="58"/>
      <c r="E53" s="58"/>
      <c r="F53" s="58"/>
      <c r="G53" s="58"/>
      <c r="H53" s="58"/>
      <c r="I53" s="58"/>
      <c r="J53" s="13"/>
      <c r="K53" s="15"/>
      <c r="L53" s="15"/>
      <c r="M53" s="15"/>
      <c r="N53" s="15"/>
      <c r="O53" s="9"/>
      <c r="P53" s="9"/>
      <c r="Q53" s="9"/>
      <c r="R53" s="9"/>
      <c r="S53" s="9"/>
      <c r="T53" s="9"/>
      <c r="U53" s="9"/>
      <c r="V53" s="119"/>
      <c r="W53" s="138"/>
      <c r="X53" s="288"/>
      <c r="AJ53" s="560" t="b">
        <v>1</v>
      </c>
      <c r="AK53" s="156" t="s">
        <v>13</v>
      </c>
      <c r="AL53" s="89" t="str">
        <f t="shared" si="14"/>
        <v>Slough</v>
      </c>
      <c r="AM53" s="143">
        <f t="shared" si="19"/>
        <v>470.92731829573938</v>
      </c>
      <c r="AN53" s="143">
        <f t="shared" si="19"/>
        <v>637.4384236453202</v>
      </c>
      <c r="AO53" s="143">
        <f t="shared" si="19"/>
        <v>564.97584541062804</v>
      </c>
      <c r="AP53" s="143">
        <f t="shared" si="19"/>
        <v>365.16587677725113</v>
      </c>
      <c r="AQ53" s="143">
        <f t="shared" si="19"/>
        <v>433.95784543325533</v>
      </c>
      <c r="AR53" s="144">
        <f t="shared" si="16"/>
        <v>14.7</v>
      </c>
      <c r="AS53" s="341">
        <f t="shared" si="20"/>
        <v>4.1554236373448461E-2</v>
      </c>
      <c r="AT53" s="341">
        <f t="shared" si="20"/>
        <v>8.0410145709660014E-2</v>
      </c>
      <c r="AU53" s="341">
        <f t="shared" si="20"/>
        <v>0.21910415542363734</v>
      </c>
      <c r="AV53" s="341">
        <f t="shared" si="20"/>
        <v>0.45601726929303832</v>
      </c>
      <c r="AW53" s="341">
        <f t="shared" si="20"/>
        <v>0.20291419320021586</v>
      </c>
      <c r="AX53" s="341">
        <f t="shared" si="21"/>
        <v>0.93773283661522089</v>
      </c>
      <c r="AY53" s="341">
        <f t="shared" si="21"/>
        <v>0.92851622874806805</v>
      </c>
      <c r="AZ53" s="341">
        <f t="shared" si="21"/>
        <v>0.85763146643864896</v>
      </c>
      <c r="BA53" s="341">
        <f t="shared" si="21"/>
        <v>0.56594885598923284</v>
      </c>
      <c r="BB53" s="341">
        <f t="shared" si="21"/>
        <v>0.79708580679978414</v>
      </c>
      <c r="BC53" s="341" t="e">
        <f>VLOOKUP($AL53,#REF!,BC$37,FALSE)</f>
        <v>#REF!</v>
      </c>
      <c r="BD53" s="341" t="e">
        <f>VLOOKUP($AL53,#REF!,BD$37,FALSE)</f>
        <v>#REF!</v>
      </c>
      <c r="BE53" s="341" t="e">
        <f>VLOOKUP($AL53,#REF!,BE$37,FALSE)</f>
        <v>#REF!</v>
      </c>
      <c r="BF53" s="341" t="e">
        <f>VLOOKUP($AL53,#REF!,BF$37,FALSE)</f>
        <v>#REF!</v>
      </c>
      <c r="BG53" s="341" t="e">
        <f>VLOOKUP($AL53,#REF!,BG$37,FALSE)</f>
        <v>#REF!</v>
      </c>
      <c r="BH53" s="341" t="e">
        <f>VLOOKUP($AL53,#REF!,BH$37,FALSE)</f>
        <v>#REF!</v>
      </c>
      <c r="BI53" s="341" t="e">
        <f>VLOOKUP($AL53,#REF!,BI$37,FALSE)</f>
        <v>#REF!</v>
      </c>
      <c r="BJ53" s="341" t="e">
        <f>VLOOKUP($AL53,#REF!,BJ$37,FALSE)</f>
        <v>#REF!</v>
      </c>
      <c r="BK53" s="341" t="e">
        <f>VLOOKUP($AL53,#REF!,BK$37,FALSE)</f>
        <v>#REF!</v>
      </c>
      <c r="BL53" s="341" t="e">
        <f>VLOOKUP($AL53,#REF!,BL$37,FALSE)</f>
        <v>#REF!</v>
      </c>
    </row>
    <row r="54" spans="1:64" ht="14.25" customHeight="1" x14ac:dyDescent="0.2">
      <c r="A54" s="120"/>
      <c r="B54" s="317"/>
      <c r="C54" s="317"/>
      <c r="D54" s="58"/>
      <c r="E54" s="58"/>
      <c r="F54" s="58"/>
      <c r="G54" s="58"/>
      <c r="H54" s="58"/>
      <c r="I54" s="58"/>
      <c r="J54" s="13"/>
      <c r="K54" s="15"/>
      <c r="L54" s="15"/>
      <c r="M54" s="15"/>
      <c r="N54" s="15"/>
      <c r="O54" s="9"/>
      <c r="P54" s="9"/>
      <c r="Q54" s="9"/>
      <c r="R54" s="9"/>
      <c r="S54" s="9"/>
      <c r="T54" s="9"/>
      <c r="U54" s="9"/>
      <c r="V54" s="119"/>
      <c r="W54" s="138"/>
      <c r="X54" s="288"/>
      <c r="AJ54" s="560" t="b">
        <v>1</v>
      </c>
      <c r="AK54" s="156" t="s">
        <v>93</v>
      </c>
      <c r="AL54" s="89" t="str">
        <f t="shared" si="14"/>
        <v>Somerset</v>
      </c>
      <c r="AM54" s="143">
        <f t="shared" si="19"/>
        <v>415.42699724517905</v>
      </c>
      <c r="AN54" s="143">
        <f t="shared" si="19"/>
        <v>404.12087912087912</v>
      </c>
      <c r="AO54" s="143">
        <f t="shared" si="19"/>
        <v>450.68368277119413</v>
      </c>
      <c r="AP54" s="143">
        <f t="shared" si="19"/>
        <v>507.26612170753862</v>
      </c>
      <c r="AQ54" s="143">
        <f t="shared" si="19"/>
        <v>371.45438121047874</v>
      </c>
      <c r="AR54" s="144">
        <f t="shared" si="16"/>
        <v>13.600000000000001</v>
      </c>
      <c r="AS54" s="341">
        <f t="shared" si="20"/>
        <v>0.11065175097276264</v>
      </c>
      <c r="AT54" s="341">
        <f t="shared" si="20"/>
        <v>0.1522373540856031</v>
      </c>
      <c r="AU54" s="341">
        <f t="shared" si="20"/>
        <v>0.2183852140077821</v>
      </c>
      <c r="AV54" s="341">
        <f t="shared" si="20"/>
        <v>0.27918287937743191</v>
      </c>
      <c r="AW54" s="341">
        <f t="shared" si="20"/>
        <v>0.23954280155642024</v>
      </c>
      <c r="AX54" s="341">
        <f t="shared" si="21"/>
        <v>0.92904509283819625</v>
      </c>
      <c r="AY54" s="341">
        <f t="shared" si="21"/>
        <v>0.68116927260367099</v>
      </c>
      <c r="AZ54" s="341">
        <f t="shared" si="21"/>
        <v>0.89199029126213591</v>
      </c>
      <c r="BA54" s="341">
        <f t="shared" si="21"/>
        <v>0.80662488809310651</v>
      </c>
      <c r="BB54" s="341">
        <f t="shared" si="21"/>
        <v>0.76045719844357973</v>
      </c>
      <c r="BC54" s="341" t="e">
        <f>VLOOKUP($AL54,#REF!,BC$37,FALSE)</f>
        <v>#REF!</v>
      </c>
      <c r="BD54" s="341" t="e">
        <f>VLOOKUP($AL54,#REF!,BD$37,FALSE)</f>
        <v>#REF!</v>
      </c>
      <c r="BE54" s="341" t="e">
        <f>VLOOKUP($AL54,#REF!,BE$37,FALSE)</f>
        <v>#REF!</v>
      </c>
      <c r="BF54" s="341" t="e">
        <f>VLOOKUP($AL54,#REF!,BF$37,FALSE)</f>
        <v>#REF!</v>
      </c>
      <c r="BG54" s="341" t="e">
        <f>VLOOKUP($AL54,#REF!,BG$37,FALSE)</f>
        <v>#REF!</v>
      </c>
      <c r="BH54" s="341" t="e">
        <f>VLOOKUP($AL54,#REF!,BH$37,FALSE)</f>
        <v>#REF!</v>
      </c>
      <c r="BI54" s="341" t="e">
        <f>VLOOKUP($AL54,#REF!,BI$37,FALSE)</f>
        <v>#REF!</v>
      </c>
      <c r="BJ54" s="341" t="e">
        <f>VLOOKUP($AL54,#REF!,BJ$37,FALSE)</f>
        <v>#REF!</v>
      </c>
      <c r="BK54" s="341" t="e">
        <f>VLOOKUP($AL54,#REF!,BK$37,FALSE)</f>
        <v>#REF!</v>
      </c>
      <c r="BL54" s="341" t="e">
        <f>VLOOKUP($AL54,#REF!,BL$37,FALSE)</f>
        <v>#REF!</v>
      </c>
    </row>
    <row r="55" spans="1:64" ht="14.25" customHeight="1" x14ac:dyDescent="0.2">
      <c r="A55" s="120"/>
      <c r="B55" s="317"/>
      <c r="C55" s="317"/>
      <c r="D55" s="58"/>
      <c r="E55" s="58"/>
      <c r="F55" s="58"/>
      <c r="G55" s="58"/>
      <c r="H55" s="58"/>
      <c r="I55" s="58"/>
      <c r="J55" s="13"/>
      <c r="K55" s="15"/>
      <c r="L55" s="15"/>
      <c r="M55" s="15"/>
      <c r="N55" s="15"/>
      <c r="O55" s="9"/>
      <c r="P55" s="9"/>
      <c r="Q55" s="9"/>
      <c r="R55" s="9"/>
      <c r="S55" s="9"/>
      <c r="T55" s="9"/>
      <c r="U55" s="9"/>
      <c r="V55" s="119"/>
      <c r="W55" s="138"/>
      <c r="X55" s="288"/>
      <c r="AJ55" s="560" t="b">
        <v>1</v>
      </c>
      <c r="AK55" s="156" t="s">
        <v>14</v>
      </c>
      <c r="AL55" s="89" t="str">
        <f t="shared" si="14"/>
        <v>Southampton</v>
      </c>
      <c r="AM55" s="143">
        <f t="shared" si="19"/>
        <v>433.95061728395063</v>
      </c>
      <c r="AN55" s="143">
        <f t="shared" si="19"/>
        <v>616.869918699187</v>
      </c>
      <c r="AO55" s="143">
        <f t="shared" si="19"/>
        <v>532.06412825651307</v>
      </c>
      <c r="AP55" s="143">
        <f t="shared" si="19"/>
        <v>460.83499005964217</v>
      </c>
      <c r="AQ55" s="143">
        <f t="shared" si="19"/>
        <v>481.88976377952753</v>
      </c>
      <c r="AR55" s="144">
        <f t="shared" si="16"/>
        <v>20.5</v>
      </c>
      <c r="AS55" s="341">
        <f t="shared" si="20"/>
        <v>0.12132352941176471</v>
      </c>
      <c r="AT55" s="341">
        <f t="shared" si="20"/>
        <v>0.15196078431372548</v>
      </c>
      <c r="AU55" s="341">
        <f t="shared" si="20"/>
        <v>0.11233660130718955</v>
      </c>
      <c r="AV55" s="341">
        <f t="shared" si="20"/>
        <v>0.27532679738562094</v>
      </c>
      <c r="AW55" s="341">
        <f t="shared" si="20"/>
        <v>0.33905228758169936</v>
      </c>
      <c r="AX55" s="341">
        <f t="shared" si="21"/>
        <v>0.91559981033665239</v>
      </c>
      <c r="AY55" s="341">
        <f t="shared" si="21"/>
        <v>0.84843492586490943</v>
      </c>
      <c r="AZ55" s="341">
        <f t="shared" si="21"/>
        <v>0.67984934086629001</v>
      </c>
      <c r="BA55" s="341">
        <f t="shared" si="21"/>
        <v>0.82916307161345992</v>
      </c>
      <c r="BB55" s="341">
        <f t="shared" si="21"/>
        <v>0.66094771241830064</v>
      </c>
      <c r="BC55" s="341" t="e">
        <f>VLOOKUP($AL55,#REF!,BC$37,FALSE)</f>
        <v>#REF!</v>
      </c>
      <c r="BD55" s="341" t="e">
        <f>VLOOKUP($AL55,#REF!,BD$37,FALSE)</f>
        <v>#REF!</v>
      </c>
      <c r="BE55" s="341" t="e">
        <f>VLOOKUP($AL55,#REF!,BE$37,FALSE)</f>
        <v>#REF!</v>
      </c>
      <c r="BF55" s="341" t="e">
        <f>VLOOKUP($AL55,#REF!,BF$37,FALSE)</f>
        <v>#REF!</v>
      </c>
      <c r="BG55" s="341" t="e">
        <f>VLOOKUP($AL55,#REF!,BG$37,FALSE)</f>
        <v>#REF!</v>
      </c>
      <c r="BH55" s="341" t="e">
        <f>VLOOKUP($AL55,#REF!,BH$37,FALSE)</f>
        <v>#REF!</v>
      </c>
      <c r="BI55" s="341" t="e">
        <f>VLOOKUP($AL55,#REF!,BI$37,FALSE)</f>
        <v>#REF!</v>
      </c>
      <c r="BJ55" s="341" t="e">
        <f>VLOOKUP($AL55,#REF!,BJ$37,FALSE)</f>
        <v>#REF!</v>
      </c>
      <c r="BK55" s="341" t="e">
        <f>VLOOKUP($AL55,#REF!,BK$37,FALSE)</f>
        <v>#REF!</v>
      </c>
      <c r="BL55" s="341" t="e">
        <f>VLOOKUP($AL55,#REF!,BL$37,FALSE)</f>
        <v>#REF!</v>
      </c>
    </row>
    <row r="56" spans="1:64" ht="14.25" customHeight="1" x14ac:dyDescent="0.2">
      <c r="A56" s="120"/>
      <c r="B56" s="317"/>
      <c r="C56" s="317"/>
      <c r="D56" s="58"/>
      <c r="E56" s="58"/>
      <c r="F56" s="58"/>
      <c r="G56" s="58"/>
      <c r="H56" s="58"/>
      <c r="I56" s="58"/>
      <c r="J56" s="13"/>
      <c r="K56" s="15"/>
      <c r="L56" s="15"/>
      <c r="M56" s="15"/>
      <c r="N56" s="15"/>
      <c r="O56" s="9"/>
      <c r="P56" s="9"/>
      <c r="Q56" s="9"/>
      <c r="R56" s="9"/>
      <c r="S56" s="9"/>
      <c r="T56" s="9"/>
      <c r="U56" s="9"/>
      <c r="V56" s="119"/>
      <c r="W56" s="138"/>
      <c r="X56" s="288"/>
      <c r="AJ56" s="560" t="b">
        <v>1</v>
      </c>
      <c r="AK56" s="156" t="s">
        <v>7</v>
      </c>
      <c r="AL56" s="89" t="str">
        <f t="shared" si="14"/>
        <v>Surrey</v>
      </c>
      <c r="AM56" s="143">
        <f t="shared" si="19"/>
        <v>353.22073841319718</v>
      </c>
      <c r="AN56" s="143">
        <f t="shared" si="19"/>
        <v>474.80499219968794</v>
      </c>
      <c r="AO56" s="143">
        <f t="shared" si="19"/>
        <v>464.16988416988414</v>
      </c>
      <c r="AP56" s="143">
        <f t="shared" si="19"/>
        <v>483.25009604302727</v>
      </c>
      <c r="AQ56" s="143">
        <f t="shared" si="19"/>
        <v>452.15731195112636</v>
      </c>
      <c r="AR56" s="144">
        <f t="shared" si="16"/>
        <v>8.3000000000000007</v>
      </c>
      <c r="AS56" s="341">
        <f t="shared" si="20"/>
        <v>5.446715081911839E-2</v>
      </c>
      <c r="AT56" s="341">
        <f t="shared" si="20"/>
        <v>0.17142374598885324</v>
      </c>
      <c r="AU56" s="341">
        <f t="shared" si="20"/>
        <v>0.14034791420368181</v>
      </c>
      <c r="AV56" s="341">
        <f t="shared" si="20"/>
        <v>0.36438101672014861</v>
      </c>
      <c r="AW56" s="341">
        <f t="shared" si="20"/>
        <v>0.26938017226819794</v>
      </c>
      <c r="AX56" s="341">
        <f t="shared" si="21"/>
        <v>0.74046480596019126</v>
      </c>
      <c r="AY56" s="341">
        <f t="shared" si="21"/>
        <v>0.6516346311812059</v>
      </c>
      <c r="AZ56" s="341">
        <f t="shared" si="21"/>
        <v>0.75511562136083843</v>
      </c>
      <c r="BA56" s="341">
        <f t="shared" si="21"/>
        <v>0.75856586374115587</v>
      </c>
      <c r="BB56" s="341">
        <f t="shared" si="21"/>
        <v>0.73061982773180201</v>
      </c>
      <c r="BC56" s="341" t="e">
        <f>VLOOKUP($AL56,#REF!,BC$37,FALSE)</f>
        <v>#REF!</v>
      </c>
      <c r="BD56" s="341" t="e">
        <f>VLOOKUP($AL56,#REF!,BD$37,FALSE)</f>
        <v>#REF!</v>
      </c>
      <c r="BE56" s="341" t="e">
        <f>VLOOKUP($AL56,#REF!,BE$37,FALSE)</f>
        <v>#REF!</v>
      </c>
      <c r="BF56" s="341" t="e">
        <f>VLOOKUP($AL56,#REF!,BF$37,FALSE)</f>
        <v>#REF!</v>
      </c>
      <c r="BG56" s="341" t="e">
        <f>VLOOKUP($AL56,#REF!,BG$37,FALSE)</f>
        <v>#REF!</v>
      </c>
      <c r="BH56" s="341" t="e">
        <f>VLOOKUP($AL56,#REF!,BH$37,FALSE)</f>
        <v>#REF!</v>
      </c>
      <c r="BI56" s="341" t="e">
        <f>VLOOKUP($AL56,#REF!,BI$37,FALSE)</f>
        <v>#REF!</v>
      </c>
      <c r="BJ56" s="341" t="e">
        <f>VLOOKUP($AL56,#REF!,BJ$37,FALSE)</f>
        <v>#REF!</v>
      </c>
      <c r="BK56" s="341" t="e">
        <f>VLOOKUP($AL56,#REF!,BK$37,FALSE)</f>
        <v>#REF!</v>
      </c>
      <c r="BL56" s="341" t="e">
        <f>VLOOKUP($AL56,#REF!,BL$37,FALSE)</f>
        <v>#REF!</v>
      </c>
    </row>
    <row r="57" spans="1:64" ht="14.25" customHeight="1" x14ac:dyDescent="0.2">
      <c r="A57" s="271"/>
      <c r="B57" s="317"/>
      <c r="C57" s="317"/>
      <c r="D57" s="58"/>
      <c r="E57" s="58"/>
      <c r="F57" s="58"/>
      <c r="G57" s="58"/>
      <c r="H57" s="58"/>
      <c r="I57" s="58"/>
      <c r="J57" s="13"/>
      <c r="K57" s="15"/>
      <c r="L57" s="15"/>
      <c r="M57" s="15"/>
      <c r="N57" s="15"/>
      <c r="O57" s="9"/>
      <c r="P57" s="9"/>
      <c r="Q57" s="9"/>
      <c r="R57" s="9"/>
      <c r="S57" s="9"/>
      <c r="T57" s="9"/>
      <c r="U57" s="9"/>
      <c r="V57" s="119"/>
      <c r="W57" s="138"/>
      <c r="X57" s="288"/>
      <c r="AJ57" s="560" t="b">
        <v>1</v>
      </c>
      <c r="AK57" s="156" t="s">
        <v>114</v>
      </c>
      <c r="AL57" s="89" t="str">
        <f t="shared" si="14"/>
        <v>Swindon</v>
      </c>
      <c r="AM57" s="143">
        <f t="shared" si="19"/>
        <v>545.06172839506166</v>
      </c>
      <c r="AN57" s="143">
        <f t="shared" si="19"/>
        <v>640.61224489795916</v>
      </c>
      <c r="AO57" s="143">
        <f t="shared" si="19"/>
        <v>604.84848484848487</v>
      </c>
      <c r="AP57" s="143">
        <f t="shared" si="19"/>
        <v>631.4629258517034</v>
      </c>
      <c r="AQ57" s="143">
        <f t="shared" si="19"/>
        <v>837.45019920318725</v>
      </c>
      <c r="AR57" s="144">
        <f t="shared" si="16"/>
        <v>14.899999999999999</v>
      </c>
      <c r="AS57" s="341">
        <f t="shared" si="20"/>
        <v>0.22216936251189343</v>
      </c>
      <c r="AT57" s="341">
        <f t="shared" si="20"/>
        <v>0.22288296860133205</v>
      </c>
      <c r="AU57" s="341">
        <f t="shared" si="20"/>
        <v>0.16412940057088488</v>
      </c>
      <c r="AV57" s="341">
        <f t="shared" si="20"/>
        <v>0.18553758325404376</v>
      </c>
      <c r="AW57" s="341">
        <f t="shared" si="20"/>
        <v>0.20528068506184585</v>
      </c>
      <c r="AX57" s="341">
        <f t="shared" si="21"/>
        <v>0.65081162702906759</v>
      </c>
      <c r="AY57" s="341">
        <f t="shared" si="21"/>
        <v>0.60688117234788153</v>
      </c>
      <c r="AZ57" s="341">
        <f t="shared" si="21"/>
        <v>0.59084836339345359</v>
      </c>
      <c r="BA57" s="341">
        <f t="shared" si="21"/>
        <v>0.71691526499523961</v>
      </c>
      <c r="BB57" s="341">
        <f t="shared" si="21"/>
        <v>0.79471931493815418</v>
      </c>
      <c r="BC57" s="341" t="e">
        <f>VLOOKUP($AL57,#REF!,BC$37,FALSE)</f>
        <v>#REF!</v>
      </c>
      <c r="BD57" s="341" t="e">
        <f>VLOOKUP($AL57,#REF!,BD$37,FALSE)</f>
        <v>#REF!</v>
      </c>
      <c r="BE57" s="341" t="e">
        <f>VLOOKUP($AL57,#REF!,BE$37,FALSE)</f>
        <v>#REF!</v>
      </c>
      <c r="BF57" s="341" t="e">
        <f>VLOOKUP($AL57,#REF!,BF$37,FALSE)</f>
        <v>#REF!</v>
      </c>
      <c r="BG57" s="341" t="e">
        <f>VLOOKUP($AL57,#REF!,BG$37,FALSE)</f>
        <v>#REF!</v>
      </c>
      <c r="BH57" s="341" t="e">
        <f>VLOOKUP($AL57,#REF!,BH$37,FALSE)</f>
        <v>#REF!</v>
      </c>
      <c r="BI57" s="341" t="e">
        <f>VLOOKUP($AL57,#REF!,BI$37,FALSE)</f>
        <v>#REF!</v>
      </c>
      <c r="BJ57" s="341" t="e">
        <f>VLOOKUP($AL57,#REF!,BJ$37,FALSE)</f>
        <v>#REF!</v>
      </c>
      <c r="BK57" s="341" t="e">
        <f>VLOOKUP($AL57,#REF!,BK$37,FALSE)</f>
        <v>#REF!</v>
      </c>
      <c r="BL57" s="341" t="e">
        <f>VLOOKUP($AL57,#REF!,BL$37,FALSE)</f>
        <v>#REF!</v>
      </c>
    </row>
    <row r="58" spans="1:64" ht="14.25" customHeight="1" x14ac:dyDescent="0.2">
      <c r="A58" s="271"/>
      <c r="B58" s="317"/>
      <c r="C58" s="317"/>
      <c r="D58" s="58"/>
      <c r="E58" s="58"/>
      <c r="F58" s="58"/>
      <c r="G58" s="58"/>
      <c r="H58" s="58"/>
      <c r="I58" s="58"/>
      <c r="J58" s="13"/>
      <c r="K58" s="15"/>
      <c r="L58" s="15"/>
      <c r="M58" s="15"/>
      <c r="N58" s="15"/>
      <c r="O58" s="9"/>
      <c r="P58" s="9"/>
      <c r="Q58" s="9"/>
      <c r="R58" s="9"/>
      <c r="S58" s="9"/>
      <c r="T58" s="9"/>
      <c r="U58" s="9"/>
      <c r="V58" s="119"/>
      <c r="W58" s="138"/>
      <c r="X58" s="288"/>
      <c r="AJ58" s="560" t="b">
        <v>1</v>
      </c>
      <c r="AK58" s="156" t="s">
        <v>115</v>
      </c>
      <c r="AL58" s="89" t="str">
        <f t="shared" si="14"/>
        <v>Torbay</v>
      </c>
      <c r="AM58" s="143">
        <f t="shared" si="19"/>
        <v>592.82868525896413</v>
      </c>
      <c r="AN58" s="143">
        <f t="shared" si="19"/>
        <v>618.2539682539682</v>
      </c>
      <c r="AO58" s="143">
        <f t="shared" si="19"/>
        <v>398.42519685039372</v>
      </c>
      <c r="AP58" s="143">
        <f t="shared" si="19"/>
        <v>742.12598425196859</v>
      </c>
      <c r="AQ58" s="143">
        <f t="shared" si="19"/>
        <v>738.9763779527558</v>
      </c>
      <c r="AR58" s="144">
        <f t="shared" si="16"/>
        <v>21.9</v>
      </c>
      <c r="AS58" s="341">
        <f t="shared" si="20"/>
        <v>7.2727272727272724E-2</v>
      </c>
      <c r="AT58" s="341">
        <f t="shared" si="20"/>
        <v>0.18295454545454545</v>
      </c>
      <c r="AU58" s="341">
        <f t="shared" si="20"/>
        <v>0.16931818181818181</v>
      </c>
      <c r="AV58" s="341">
        <f t="shared" si="20"/>
        <v>0.31874999999999998</v>
      </c>
      <c r="AW58" s="341">
        <f t="shared" si="20"/>
        <v>0.25624999999999998</v>
      </c>
      <c r="AX58" s="341">
        <f t="shared" si="21"/>
        <v>0.71505376344086025</v>
      </c>
      <c r="AY58" s="341">
        <f t="shared" si="21"/>
        <v>0.90115532734274706</v>
      </c>
      <c r="AZ58" s="341">
        <f t="shared" si="21"/>
        <v>0.81576253838280455</v>
      </c>
      <c r="BA58" s="341">
        <f t="shared" si="21"/>
        <v>0.72042440318302392</v>
      </c>
      <c r="BB58" s="341">
        <f t="shared" si="21"/>
        <v>0.74375000000000002</v>
      </c>
      <c r="BC58" s="341" t="e">
        <f>VLOOKUP($AL58,#REF!,BC$37,FALSE)</f>
        <v>#REF!</v>
      </c>
      <c r="BD58" s="341" t="e">
        <f>VLOOKUP($AL58,#REF!,BD$37,FALSE)</f>
        <v>#REF!</v>
      </c>
      <c r="BE58" s="341" t="e">
        <f>VLOOKUP($AL58,#REF!,BE$37,FALSE)</f>
        <v>#REF!</v>
      </c>
      <c r="BF58" s="341" t="e">
        <f>VLOOKUP($AL58,#REF!,BF$37,FALSE)</f>
        <v>#REF!</v>
      </c>
      <c r="BG58" s="341" t="e">
        <f>VLOOKUP($AL58,#REF!,BG$37,FALSE)</f>
        <v>#REF!</v>
      </c>
      <c r="BH58" s="341" t="e">
        <f>VLOOKUP($AL58,#REF!,BH$37,FALSE)</f>
        <v>#REF!</v>
      </c>
      <c r="BI58" s="341" t="e">
        <f>VLOOKUP($AL58,#REF!,BI$37,FALSE)</f>
        <v>#REF!</v>
      </c>
      <c r="BJ58" s="341" t="e">
        <f>VLOOKUP($AL58,#REF!,BJ$37,FALSE)</f>
        <v>#REF!</v>
      </c>
      <c r="BK58" s="341" t="e">
        <f>VLOOKUP($AL58,#REF!,BK$37,FALSE)</f>
        <v>#REF!</v>
      </c>
      <c r="BL58" s="341" t="e">
        <f>VLOOKUP($AL58,#REF!,BL$37,FALSE)</f>
        <v>#REF!</v>
      </c>
    </row>
    <row r="59" spans="1:64" ht="14.25" customHeight="1" x14ac:dyDescent="0.2">
      <c r="A59" s="120"/>
      <c r="B59" s="317"/>
      <c r="C59" s="317"/>
      <c r="D59" s="58"/>
      <c r="E59" s="58"/>
      <c r="F59" s="58"/>
      <c r="G59" s="58"/>
      <c r="H59" s="58"/>
      <c r="I59" s="58"/>
      <c r="J59" s="13"/>
      <c r="K59" s="15"/>
      <c r="L59" s="15"/>
      <c r="M59" s="15"/>
      <c r="N59" s="15"/>
      <c r="O59" s="9"/>
      <c r="P59" s="9"/>
      <c r="Q59" s="9"/>
      <c r="R59" s="9"/>
      <c r="S59" s="9"/>
      <c r="T59" s="9"/>
      <c r="U59" s="9"/>
      <c r="V59" s="119"/>
      <c r="W59" s="138"/>
      <c r="X59" s="288"/>
      <c r="AJ59" s="560" t="b">
        <v>1</v>
      </c>
      <c r="AK59" s="156" t="s">
        <v>15</v>
      </c>
      <c r="AL59" s="89" t="str">
        <f t="shared" si="14"/>
        <v>West Berkshire</v>
      </c>
      <c r="AM59" s="143">
        <f t="shared" si="19"/>
        <v>249.15730337078651</v>
      </c>
      <c r="AN59" s="143">
        <f t="shared" si="19"/>
        <v>401.68067226890759</v>
      </c>
      <c r="AO59" s="143">
        <f t="shared" si="19"/>
        <v>418.66295264623955</v>
      </c>
      <c r="AP59" s="143">
        <f t="shared" si="19"/>
        <v>497.20670391061458</v>
      </c>
      <c r="AQ59" s="143">
        <f t="shared" si="19"/>
        <v>581.17977528089887</v>
      </c>
      <c r="AR59" s="144">
        <f t="shared" si="16"/>
        <v>8.6999999999999993</v>
      </c>
      <c r="AS59" s="341">
        <f t="shared" si="20"/>
        <v>0.37944471505114469</v>
      </c>
      <c r="AT59" s="341">
        <f t="shared" si="20"/>
        <v>0.12128592303945446</v>
      </c>
      <c r="AU59" s="341">
        <f t="shared" si="20"/>
        <v>9.7418412079883096E-2</v>
      </c>
      <c r="AV59" s="341">
        <f t="shared" si="20"/>
        <v>0.37165124208475403</v>
      </c>
      <c r="AW59" s="341">
        <f t="shared" si="20"/>
        <v>3.019970774476376E-2</v>
      </c>
      <c r="AX59" s="341">
        <f t="shared" si="21"/>
        <v>0.7125140924464487</v>
      </c>
      <c r="AY59" s="341">
        <f t="shared" si="21"/>
        <v>0.86052998605299857</v>
      </c>
      <c r="AZ59" s="341">
        <f t="shared" si="21"/>
        <v>0.96673320026613441</v>
      </c>
      <c r="BA59" s="341">
        <f t="shared" si="21"/>
        <v>0.98258426966292134</v>
      </c>
      <c r="BB59" s="341">
        <f t="shared" si="21"/>
        <v>0.96980029225523623</v>
      </c>
      <c r="BC59" s="341" t="e">
        <f>VLOOKUP($AL59,#REF!,BC$37,FALSE)</f>
        <v>#REF!</v>
      </c>
      <c r="BD59" s="341" t="e">
        <f>VLOOKUP($AL59,#REF!,BD$37,FALSE)</f>
        <v>#REF!</v>
      </c>
      <c r="BE59" s="341" t="e">
        <f>VLOOKUP($AL59,#REF!,BE$37,FALSE)</f>
        <v>#REF!</v>
      </c>
      <c r="BF59" s="341" t="e">
        <f>VLOOKUP($AL59,#REF!,BF$37,FALSE)</f>
        <v>#REF!</v>
      </c>
      <c r="BG59" s="341" t="e">
        <f>VLOOKUP($AL59,#REF!,BG$37,FALSE)</f>
        <v>#REF!</v>
      </c>
      <c r="BH59" s="341" t="e">
        <f>VLOOKUP($AL59,#REF!,BH$37,FALSE)</f>
        <v>#REF!</v>
      </c>
      <c r="BI59" s="341" t="e">
        <f>VLOOKUP($AL59,#REF!,BI$37,FALSE)</f>
        <v>#REF!</v>
      </c>
      <c r="BJ59" s="341" t="e">
        <f>VLOOKUP($AL59,#REF!,BJ$37,FALSE)</f>
        <v>#REF!</v>
      </c>
      <c r="BK59" s="341" t="e">
        <f>VLOOKUP($AL59,#REF!,BK$37,FALSE)</f>
        <v>#REF!</v>
      </c>
      <c r="BL59" s="341" t="e">
        <f>VLOOKUP($AL59,#REF!,BL$37,FALSE)</f>
        <v>#REF!</v>
      </c>
    </row>
    <row r="60" spans="1:64" ht="14.25" customHeight="1" x14ac:dyDescent="0.2">
      <c r="A60" s="120"/>
      <c r="B60" s="317"/>
      <c r="C60" s="317"/>
      <c r="D60" s="58"/>
      <c r="E60" s="58"/>
      <c r="F60" s="58"/>
      <c r="G60" s="58"/>
      <c r="H60" s="58"/>
      <c r="I60" s="58"/>
      <c r="J60" s="13"/>
      <c r="K60" s="15"/>
      <c r="L60" s="15"/>
      <c r="M60" s="15"/>
      <c r="N60" s="15"/>
      <c r="O60" s="9"/>
      <c r="P60" s="9"/>
      <c r="Q60" s="9"/>
      <c r="R60" s="9"/>
      <c r="S60" s="9"/>
      <c r="T60" s="9"/>
      <c r="U60" s="9"/>
      <c r="V60" s="119"/>
      <c r="W60" s="138"/>
      <c r="X60" s="288"/>
      <c r="AJ60" s="560" t="b">
        <v>1</v>
      </c>
      <c r="AK60" s="156" t="s">
        <v>5</v>
      </c>
      <c r="AL60" s="89" t="str">
        <f t="shared" si="14"/>
        <v>West Sussex</v>
      </c>
      <c r="AM60" s="143">
        <f t="shared" si="19"/>
        <v>307.16824644549763</v>
      </c>
      <c r="AN60" s="143">
        <f t="shared" si="19"/>
        <v>438.08685446009389</v>
      </c>
      <c r="AO60" s="143">
        <f t="shared" si="19"/>
        <v>444.29569266589061</v>
      </c>
      <c r="AP60" s="143">
        <f t="shared" si="19"/>
        <v>577.26485862665902</v>
      </c>
      <c r="AQ60" s="143">
        <f t="shared" si="19"/>
        <v>595.99313108185459</v>
      </c>
      <c r="AR60" s="144">
        <f t="shared" si="16"/>
        <v>11</v>
      </c>
      <c r="AS60" s="341">
        <f t="shared" si="20"/>
        <v>0.30115273775216139</v>
      </c>
      <c r="AT60" s="341">
        <f t="shared" si="20"/>
        <v>7.9058597502401531E-2</v>
      </c>
      <c r="AU60" s="341">
        <f t="shared" si="20"/>
        <v>0.10710854947166186</v>
      </c>
      <c r="AV60" s="341">
        <f t="shared" si="20"/>
        <v>0.36685878962536023</v>
      </c>
      <c r="AW60" s="341">
        <f t="shared" si="20"/>
        <v>0.14582132564841499</v>
      </c>
      <c r="AX60" s="341">
        <f t="shared" si="21"/>
        <v>0.95949855351976854</v>
      </c>
      <c r="AY60" s="341">
        <f t="shared" si="21"/>
        <v>0.96490288010716674</v>
      </c>
      <c r="AZ60" s="341">
        <f t="shared" si="21"/>
        <v>0.96934363946023849</v>
      </c>
      <c r="BA60" s="341">
        <f t="shared" si="21"/>
        <v>0.97780887644942027</v>
      </c>
      <c r="BB60" s="341">
        <f t="shared" si="21"/>
        <v>0.85417867435158501</v>
      </c>
      <c r="BC60" s="341" t="e">
        <f>VLOOKUP($AL60,#REF!,BC$37,FALSE)</f>
        <v>#REF!</v>
      </c>
      <c r="BD60" s="341" t="e">
        <f>VLOOKUP($AL60,#REF!,BD$37,FALSE)</f>
        <v>#REF!</v>
      </c>
      <c r="BE60" s="341" t="e">
        <f>VLOOKUP($AL60,#REF!,BE$37,FALSE)</f>
        <v>#REF!</v>
      </c>
      <c r="BF60" s="341" t="e">
        <f>VLOOKUP($AL60,#REF!,BF$37,FALSE)</f>
        <v>#REF!</v>
      </c>
      <c r="BG60" s="341" t="e">
        <f>VLOOKUP($AL60,#REF!,BG$37,FALSE)</f>
        <v>#REF!</v>
      </c>
      <c r="BH60" s="341" t="e">
        <f>VLOOKUP($AL60,#REF!,BH$37,FALSE)</f>
        <v>#REF!</v>
      </c>
      <c r="BI60" s="341" t="e">
        <f>VLOOKUP($AL60,#REF!,BI$37,FALSE)</f>
        <v>#REF!</v>
      </c>
      <c r="BJ60" s="341" t="e">
        <f>VLOOKUP($AL60,#REF!,BJ$37,FALSE)</f>
        <v>#REF!</v>
      </c>
      <c r="BK60" s="341" t="e">
        <f>VLOOKUP($AL60,#REF!,BK$37,FALSE)</f>
        <v>#REF!</v>
      </c>
      <c r="BL60" s="341" t="e">
        <f>VLOOKUP($AL60,#REF!,BL$37,FALSE)</f>
        <v>#REF!</v>
      </c>
    </row>
    <row r="61" spans="1:64" s="83" customFormat="1" ht="14.25" customHeight="1" x14ac:dyDescent="0.2">
      <c r="A61" s="120"/>
      <c r="B61" s="317"/>
      <c r="C61" s="317"/>
      <c r="D61" s="58"/>
      <c r="E61" s="58"/>
      <c r="F61" s="58"/>
      <c r="G61" s="58"/>
      <c r="H61" s="58"/>
      <c r="I61" s="58"/>
      <c r="J61" s="13"/>
      <c r="K61" s="15"/>
      <c r="L61" s="15"/>
      <c r="M61" s="15"/>
      <c r="N61" s="15"/>
      <c r="O61" s="9"/>
      <c r="P61" s="9"/>
      <c r="Q61" s="9"/>
      <c r="R61" s="9"/>
      <c r="S61" s="9"/>
      <c r="T61" s="9"/>
      <c r="U61" s="9"/>
      <c r="V61" s="119"/>
      <c r="W61" s="138"/>
      <c r="X61" s="288"/>
      <c r="AJ61" s="560" t="b">
        <v>1</v>
      </c>
      <c r="AK61" s="156" t="s">
        <v>30</v>
      </c>
      <c r="AL61" s="89" t="str">
        <f t="shared" si="14"/>
        <v>Windsor &amp; Maidenhead</v>
      </c>
      <c r="AM61" s="143">
        <f t="shared" si="19"/>
        <v>233.23353293413174</v>
      </c>
      <c r="AN61" s="143">
        <f t="shared" si="19"/>
        <v>274.18397626112761</v>
      </c>
      <c r="AO61" s="143">
        <f t="shared" si="19"/>
        <v>195.32163742690057</v>
      </c>
      <c r="AP61" s="143">
        <f t="shared" si="19"/>
        <v>269.47674418604652</v>
      </c>
      <c r="AQ61" s="143">
        <f t="shared" si="19"/>
        <v>248.84393063583818</v>
      </c>
      <c r="AR61" s="144">
        <f t="shared" si="16"/>
        <v>6.7</v>
      </c>
      <c r="AS61" s="341">
        <f t="shared" si="20"/>
        <v>0</v>
      </c>
      <c r="AT61" s="341">
        <f t="shared" si="20"/>
        <v>8.8269454123112656E-2</v>
      </c>
      <c r="AU61" s="341">
        <f t="shared" si="20"/>
        <v>6.968641114982578E-2</v>
      </c>
      <c r="AV61" s="341">
        <f t="shared" si="20"/>
        <v>0.42857142857142855</v>
      </c>
      <c r="AW61" s="341">
        <f t="shared" si="20"/>
        <v>0.36585365853658536</v>
      </c>
      <c r="AX61" s="341">
        <f t="shared" si="21"/>
        <v>0.75866495507060339</v>
      </c>
      <c r="AY61" s="341">
        <f t="shared" si="21"/>
        <v>0.81060606060606055</v>
      </c>
      <c r="AZ61" s="341">
        <f t="shared" si="21"/>
        <v>0.57485029940119758</v>
      </c>
      <c r="BA61" s="341">
        <f t="shared" si="21"/>
        <v>0.57126696832579182</v>
      </c>
      <c r="BB61" s="341">
        <f t="shared" si="21"/>
        <v>0.61585365853658536</v>
      </c>
      <c r="BC61" s="341" t="e">
        <f>VLOOKUP($AL61,#REF!,BC$37,FALSE)</f>
        <v>#REF!</v>
      </c>
      <c r="BD61" s="341" t="e">
        <f>VLOOKUP($AL61,#REF!,BD$37,FALSE)</f>
        <v>#REF!</v>
      </c>
      <c r="BE61" s="341" t="e">
        <f>VLOOKUP($AL61,#REF!,BE$37,FALSE)</f>
        <v>#REF!</v>
      </c>
      <c r="BF61" s="341" t="e">
        <f>VLOOKUP($AL61,#REF!,BF$37,FALSE)</f>
        <v>#REF!</v>
      </c>
      <c r="BG61" s="341" t="e">
        <f>VLOOKUP($AL61,#REF!,BG$37,FALSE)</f>
        <v>#REF!</v>
      </c>
      <c r="BH61" s="341" t="e">
        <f>VLOOKUP($AL61,#REF!,BH$37,FALSE)</f>
        <v>#REF!</v>
      </c>
      <c r="BI61" s="341" t="e">
        <f>VLOOKUP($AL61,#REF!,BI$37,FALSE)</f>
        <v>#REF!</v>
      </c>
      <c r="BJ61" s="341" t="e">
        <f>VLOOKUP($AL61,#REF!,BJ$37,FALSE)</f>
        <v>#REF!</v>
      </c>
      <c r="BK61" s="341" t="e">
        <f>VLOOKUP($AL61,#REF!,BK$37,FALSE)</f>
        <v>#REF!</v>
      </c>
      <c r="BL61" s="341" t="e">
        <f>VLOOKUP($AL61,#REF!,BL$37,FALSE)</f>
        <v>#REF!</v>
      </c>
    </row>
    <row r="62" spans="1:64" s="83" customFormat="1" ht="14.25" customHeight="1" x14ac:dyDescent="0.2">
      <c r="A62" s="120"/>
      <c r="B62" s="317"/>
      <c r="C62" s="317"/>
      <c r="D62" s="58"/>
      <c r="E62" s="58"/>
      <c r="F62" s="58"/>
      <c r="G62" s="58"/>
      <c r="H62" s="58"/>
      <c r="I62" s="58"/>
      <c r="J62" s="13"/>
      <c r="K62" s="15"/>
      <c r="L62" s="15"/>
      <c r="M62" s="15"/>
      <c r="N62" s="15"/>
      <c r="O62" s="9"/>
      <c r="P62" s="9"/>
      <c r="Q62" s="9"/>
      <c r="R62" s="9"/>
      <c r="S62" s="9"/>
      <c r="T62" s="9"/>
      <c r="U62" s="9"/>
      <c r="V62" s="119"/>
      <c r="W62" s="138"/>
      <c r="X62" s="288"/>
      <c r="AJ62" s="560" t="b">
        <v>1</v>
      </c>
      <c r="AK62" s="156" t="s">
        <v>16</v>
      </c>
      <c r="AL62" s="89" t="str">
        <f t="shared" si="14"/>
        <v>Wokingham</v>
      </c>
      <c r="AM62" s="143">
        <f t="shared" si="19"/>
        <v>240.37940379403793</v>
      </c>
      <c r="AN62" s="143">
        <f t="shared" si="19"/>
        <v>302.41286863270778</v>
      </c>
      <c r="AO62" s="143">
        <f t="shared" si="19"/>
        <v>230.26315789473682</v>
      </c>
      <c r="AP62" s="143">
        <f t="shared" si="19"/>
        <v>283.20413436692508</v>
      </c>
      <c r="AQ62" s="143">
        <f t="shared" si="19"/>
        <v>438.7341772151899</v>
      </c>
      <c r="AR62" s="144">
        <f t="shared" si="16"/>
        <v>5.6000000000000005</v>
      </c>
      <c r="AS62" s="341">
        <f t="shared" si="20"/>
        <v>0.11252163877668782</v>
      </c>
      <c r="AT62" s="341">
        <f t="shared" si="20"/>
        <v>0.21581073283323715</v>
      </c>
      <c r="AU62" s="341">
        <f t="shared" si="20"/>
        <v>0.23831506058857474</v>
      </c>
      <c r="AV62" s="341">
        <f t="shared" si="20"/>
        <v>0.18753606462781305</v>
      </c>
      <c r="AW62" s="341">
        <f t="shared" si="20"/>
        <v>0.24581650317368725</v>
      </c>
      <c r="AX62" s="341">
        <f t="shared" si="21"/>
        <v>0.98973774230330669</v>
      </c>
      <c r="AY62" s="341">
        <f t="shared" si="21"/>
        <v>0.9521276595744681</v>
      </c>
      <c r="AZ62" s="341">
        <f t="shared" si="21"/>
        <v>0.85599999999999998</v>
      </c>
      <c r="BA62" s="341">
        <f t="shared" si="21"/>
        <v>0.7308394160583942</v>
      </c>
      <c r="BB62" s="341">
        <f t="shared" si="21"/>
        <v>0.7541834968263128</v>
      </c>
      <c r="BC62" s="341" t="e">
        <f>VLOOKUP($AL62,#REF!,BC$37,FALSE)</f>
        <v>#REF!</v>
      </c>
      <c r="BD62" s="341" t="e">
        <f>VLOOKUP($AL62,#REF!,BD$37,FALSE)</f>
        <v>#REF!</v>
      </c>
      <c r="BE62" s="341" t="e">
        <f>VLOOKUP($AL62,#REF!,BE$37,FALSE)</f>
        <v>#REF!</v>
      </c>
      <c r="BF62" s="341" t="e">
        <f>VLOOKUP($AL62,#REF!,BF$37,FALSE)</f>
        <v>#REF!</v>
      </c>
      <c r="BG62" s="341" t="e">
        <f>VLOOKUP($AL62,#REF!,BG$37,FALSE)</f>
        <v>#REF!</v>
      </c>
      <c r="BH62" s="341" t="e">
        <f>VLOOKUP($AL62,#REF!,BH$37,FALSE)</f>
        <v>#REF!</v>
      </c>
      <c r="BI62" s="341" t="e">
        <f>VLOOKUP($AL62,#REF!,BI$37,FALSE)</f>
        <v>#REF!</v>
      </c>
      <c r="BJ62" s="341" t="e">
        <f>VLOOKUP($AL62,#REF!,BJ$37,FALSE)</f>
        <v>#REF!</v>
      </c>
      <c r="BK62" s="341" t="e">
        <f>VLOOKUP($AL62,#REF!,BK$37,FALSE)</f>
        <v>#REF!</v>
      </c>
      <c r="BL62" s="341" t="e">
        <f>VLOOKUP($AL62,#REF!,BL$37,FALSE)</f>
        <v>#REF!</v>
      </c>
    </row>
    <row r="63" spans="1:64" s="83" customFormat="1" ht="14.25" customHeight="1" x14ac:dyDescent="0.2">
      <c r="A63" s="120"/>
      <c r="B63" s="317"/>
      <c r="C63" s="317"/>
      <c r="D63" s="58"/>
      <c r="E63" s="58"/>
      <c r="F63" s="58"/>
      <c r="G63" s="58"/>
      <c r="H63" s="58"/>
      <c r="I63" s="58"/>
      <c r="J63" s="13"/>
      <c r="K63" s="15"/>
      <c r="L63" s="15"/>
      <c r="M63" s="15"/>
      <c r="N63" s="15"/>
      <c r="O63" s="9"/>
      <c r="P63" s="9"/>
      <c r="Q63" s="9"/>
      <c r="R63" s="9"/>
      <c r="S63" s="9"/>
      <c r="T63" s="9"/>
      <c r="U63" s="9"/>
      <c r="V63" s="119"/>
      <c r="W63" s="138"/>
      <c r="X63" s="288"/>
      <c r="AJ63" s="560" t="b">
        <v>1</v>
      </c>
      <c r="AK63" s="156" t="s">
        <v>74</v>
      </c>
      <c r="AL63" s="89" t="str">
        <f t="shared" si="14"/>
        <v>South East</v>
      </c>
      <c r="AM63" s="143">
        <f t="shared" si="19"/>
        <v>422.18021424070571</v>
      </c>
      <c r="AN63" s="143">
        <f t="shared" si="19"/>
        <v>476.09613680204365</v>
      </c>
      <c r="AO63" s="143">
        <f t="shared" si="19"/>
        <v>510.99270601624335</v>
      </c>
      <c r="AP63" s="143">
        <f t="shared" si="19"/>
        <v>525.85009516950458</v>
      </c>
      <c r="AQ63" s="143">
        <f t="shared" si="19"/>
        <v>522.22335751507103</v>
      </c>
      <c r="AR63" s="144">
        <f t="shared" si="16"/>
        <v>12.371268250968637</v>
      </c>
      <c r="AS63" s="341">
        <f t="shared" si="20"/>
        <v>0.16542459305746224</v>
      </c>
      <c r="AT63" s="341">
        <f t="shared" si="20"/>
        <v>0.20052951559129242</v>
      </c>
      <c r="AU63" s="341">
        <f t="shared" si="20"/>
        <v>0.15797215140223572</v>
      </c>
      <c r="AV63" s="341">
        <f t="shared" si="20"/>
        <v>0.2995685428515395</v>
      </c>
      <c r="AW63" s="341">
        <f t="shared" si="20"/>
        <v>0.17650519709747009</v>
      </c>
      <c r="AX63" s="341">
        <f t="shared" si="21"/>
        <v>0.81318407960199002</v>
      </c>
      <c r="AY63" s="341">
        <f t="shared" si="21"/>
        <v>0.82711047848461627</v>
      </c>
      <c r="AZ63" s="341">
        <f t="shared" si="21"/>
        <v>0.83836032388663972</v>
      </c>
      <c r="BA63" s="341">
        <f t="shared" si="21"/>
        <v>0.83770299354333788</v>
      </c>
      <c r="BB63" s="341">
        <f t="shared" si="21"/>
        <v>0.82349480290252985</v>
      </c>
      <c r="BC63" s="341" t="e">
        <f>VLOOKUP($AL63,#REF!,BC$37,FALSE)</f>
        <v>#REF!</v>
      </c>
      <c r="BD63" s="341" t="e">
        <f>VLOOKUP($AL63,#REF!,BD$37,FALSE)</f>
        <v>#REF!</v>
      </c>
      <c r="BE63" s="341" t="e">
        <f>VLOOKUP($AL63,#REF!,BE$37,FALSE)</f>
        <v>#REF!</v>
      </c>
      <c r="BF63" s="341" t="e">
        <f>VLOOKUP($AL63,#REF!,BF$37,FALSE)</f>
        <v>#REF!</v>
      </c>
      <c r="BG63" s="341" t="e">
        <f>VLOOKUP($AL63,#REF!,BG$37,FALSE)</f>
        <v>#REF!</v>
      </c>
      <c r="BH63" s="341" t="e">
        <f>VLOOKUP($AL63,#REF!,BH$37,FALSE)</f>
        <v>#REF!</v>
      </c>
      <c r="BI63" s="341" t="e">
        <f>VLOOKUP($AL63,#REF!,BI$37,FALSE)</f>
        <v>#REF!</v>
      </c>
      <c r="BJ63" s="341" t="e">
        <f>VLOOKUP($AL63,#REF!,BJ$37,FALSE)</f>
        <v>#REF!</v>
      </c>
      <c r="BK63" s="341" t="e">
        <f>VLOOKUP($AL63,#REF!,BK$37,FALSE)</f>
        <v>#REF!</v>
      </c>
      <c r="BL63" s="341" t="e">
        <f>VLOOKUP($AL63,#REF!,BL$37,FALSE)</f>
        <v>#REF!</v>
      </c>
    </row>
    <row r="64" spans="1:64" s="83" customFormat="1" ht="14.25" customHeight="1" x14ac:dyDescent="0.2">
      <c r="A64" s="120"/>
      <c r="B64" s="317"/>
      <c r="C64" s="317"/>
      <c r="D64" s="58"/>
      <c r="E64" s="58"/>
      <c r="F64" s="58"/>
      <c r="G64" s="58"/>
      <c r="H64" s="58"/>
      <c r="I64" s="58"/>
      <c r="J64" s="13"/>
      <c r="K64" s="9"/>
      <c r="L64" s="112"/>
      <c r="M64" s="1468" t="s">
        <v>72</v>
      </c>
      <c r="N64" s="1450"/>
      <c r="O64" s="1450"/>
      <c r="P64" s="1469"/>
      <c r="Q64" s="869"/>
      <c r="R64" s="1462" t="s">
        <v>101</v>
      </c>
      <c r="S64" s="1463"/>
      <c r="T64" s="1463"/>
      <c r="U64" s="1470"/>
      <c r="V64" s="119"/>
      <c r="W64" s="138"/>
      <c r="X64" s="288"/>
      <c r="AJ64" s="560" t="b">
        <v>1</v>
      </c>
      <c r="AK64" s="156" t="s">
        <v>126</v>
      </c>
      <c r="AL64" s="89" t="str">
        <f t="shared" si="14"/>
        <v>England</v>
      </c>
      <c r="AM64" s="143" t="e">
        <f t="shared" si="19"/>
        <v>#N/A</v>
      </c>
      <c r="AN64" s="143">
        <f t="shared" si="19"/>
        <v>489.50581868315362</v>
      </c>
      <c r="AO64" s="143">
        <f t="shared" si="19"/>
        <v>514.98052658820734</v>
      </c>
      <c r="AP64" s="143">
        <f t="shared" si="19"/>
        <v>531.80247745849829</v>
      </c>
      <c r="AQ64" s="143">
        <f t="shared" si="19"/>
        <v>527.90557609623079</v>
      </c>
      <c r="AR64" s="144">
        <f t="shared" si="16"/>
        <v>17.084413405029373</v>
      </c>
      <c r="AS64" s="341">
        <f t="shared" si="20"/>
        <v>0.14821938205732721</v>
      </c>
      <c r="AT64" s="341">
        <f t="shared" si="20"/>
        <v>0.17133018984985729</v>
      </c>
      <c r="AU64" s="341">
        <f t="shared" si="20"/>
        <v>0.16284588658642513</v>
      </c>
      <c r="AV64" s="341">
        <f t="shared" si="20"/>
        <v>0.34908177193200152</v>
      </c>
      <c r="AW64" s="341">
        <f t="shared" si="20"/>
        <v>0.16852276957438889</v>
      </c>
      <c r="AX64" s="341">
        <f t="shared" si="21"/>
        <v>0.81499972767378948</v>
      </c>
      <c r="AY64" s="341">
        <f t="shared" si="21"/>
        <v>0.8343537890980337</v>
      </c>
      <c r="AZ64" s="341">
        <f t="shared" si="21"/>
        <v>0.82934023200632745</v>
      </c>
      <c r="BA64" s="341">
        <f t="shared" si="21"/>
        <v>0.82698676808493776</v>
      </c>
      <c r="BB64" s="341">
        <f t="shared" si="21"/>
        <v>0.83147723042561117</v>
      </c>
      <c r="BC64" s="341" t="e">
        <f>VLOOKUP($AL64,#REF!,BC$37,FALSE)</f>
        <v>#REF!</v>
      </c>
      <c r="BD64" s="341" t="e">
        <f>VLOOKUP($AL64,#REF!,BD$37,FALSE)</f>
        <v>#REF!</v>
      </c>
      <c r="BE64" s="341" t="e">
        <f>VLOOKUP($AL64,#REF!,BE$37,FALSE)</f>
        <v>#REF!</v>
      </c>
      <c r="BF64" s="341" t="e">
        <f>VLOOKUP($AL64,#REF!,BF$37,FALSE)</f>
        <v>#REF!</v>
      </c>
      <c r="BG64" s="341" t="e">
        <f>VLOOKUP($AL64,#REF!,BG$37,FALSE)</f>
        <v>#REF!</v>
      </c>
      <c r="BH64" s="341" t="e">
        <f>VLOOKUP($AL64,#REF!,BH$37,FALSE)</f>
        <v>#REF!</v>
      </c>
      <c r="BI64" s="341" t="e">
        <f>VLOOKUP($AL64,#REF!,BI$37,FALSE)</f>
        <v>#REF!</v>
      </c>
      <c r="BJ64" s="341" t="e">
        <f>VLOOKUP($AL64,#REF!,BJ$37,FALSE)</f>
        <v>#REF!</v>
      </c>
      <c r="BK64" s="341" t="e">
        <f>VLOOKUP($AL64,#REF!,BK$37,FALSE)</f>
        <v>#REF!</v>
      </c>
      <c r="BL64" s="341" t="e">
        <f>VLOOKUP($AL64,#REF!,BL$37,FALSE)</f>
        <v>#REF!</v>
      </c>
    </row>
    <row r="65" spans="1:64" s="83" customFormat="1" ht="14.25" customHeight="1" x14ac:dyDescent="0.2">
      <c r="A65" s="120"/>
      <c r="B65" s="317"/>
      <c r="C65" s="317"/>
      <c r="D65" s="58"/>
      <c r="E65" s="58"/>
      <c r="F65" s="58"/>
      <c r="G65" s="58"/>
      <c r="H65" s="58"/>
      <c r="I65" s="58"/>
      <c r="J65" s="13"/>
      <c r="K65" s="9"/>
      <c r="L65" s="113"/>
      <c r="M65" s="1462" t="str">
        <f>AA4</f>
        <v>Selected LA- (none)</v>
      </c>
      <c r="N65" s="1463"/>
      <c r="O65" s="1463"/>
      <c r="P65" s="1463"/>
      <c r="Q65" s="112"/>
      <c r="R65" s="1466" t="s">
        <v>184</v>
      </c>
      <c r="S65" s="1466"/>
      <c r="T65" s="1466"/>
      <c r="U65" s="1467"/>
      <c r="V65" s="119"/>
      <c r="W65" s="138"/>
      <c r="X65" s="147"/>
      <c r="AK65" s="157"/>
      <c r="AL65" s="76" t="str">
        <f>AA4</f>
        <v>Selected LA- (none)</v>
      </c>
      <c r="AM65" s="145" t="e">
        <f>VLOOKUP($Z4,$B$10:$O$32,AM$37,FALSE)</f>
        <v>#N/A</v>
      </c>
      <c r="AN65" s="145" t="e">
        <f>VLOOKUP($Z4,$B$10:$O$32,AN$37,FALSE)</f>
        <v>#N/A</v>
      </c>
      <c r="AO65" s="145" t="e">
        <f>VLOOKUP($Z4,$B$10:$O$32,AO$37,FALSE)</f>
        <v>#N/A</v>
      </c>
      <c r="AP65" s="145" t="e">
        <f>VLOOKUP($Z4,$B$10:$O$32,AP$37,FALSE)</f>
        <v>#N/A</v>
      </c>
      <c r="AQ65" s="145" t="e">
        <f>VLOOKUP($Z4,$B$10:$O$32,AQ$37,FALSE)</f>
        <v>#N/A</v>
      </c>
      <c r="AR65" s="144" t="e">
        <f>VLOOKUP($Z$4,$B$10:$U$33,$AR$37,FALSE)</f>
        <v>#N/A</v>
      </c>
      <c r="AS65" s="167" t="e">
        <f>VLOOKUP($Z$4,$B$147:$H$170,AS$37,FALSE)</f>
        <v>#N/A</v>
      </c>
      <c r="AT65" s="167" t="e">
        <f>VLOOKUP($Z$4,$B$147:$H$170,AT$37,FALSE)</f>
        <v>#N/A</v>
      </c>
      <c r="AU65" s="167" t="e">
        <f>VLOOKUP($Z$4,$B$147:$H$170,AU$37,FALSE)</f>
        <v>#N/A</v>
      </c>
      <c r="AV65" s="167" t="e">
        <f>VLOOKUP($Z$4,$B$147:$H$170,AV$37,FALSE)</f>
        <v>#N/A</v>
      </c>
      <c r="AW65" s="167" t="e">
        <f>VLOOKUP($Z$4,$B$147:$H$170,AW$37,FALSE)</f>
        <v>#N/A</v>
      </c>
      <c r="AX65" s="167" t="e">
        <f>VLOOKUP($Z$4,$B$112:$H$135,AX$37,FALSE)</f>
        <v>#N/A</v>
      </c>
      <c r="AY65" s="167" t="e">
        <f>VLOOKUP($Z$4,$B$112:$H$135,AY$37,FALSE)</f>
        <v>#N/A</v>
      </c>
      <c r="AZ65" s="167" t="e">
        <f>VLOOKUP($Z$4,$B$112:$H$135,AZ$37,FALSE)</f>
        <v>#N/A</v>
      </c>
      <c r="BA65" s="167" t="e">
        <f>VLOOKUP($Z$4,$B$112:$H$135,BA$37,FALSE)</f>
        <v>#N/A</v>
      </c>
      <c r="BB65" s="167" t="e">
        <f>VLOOKUP($Z$4,$B$112:$H$135,BB$37,FALSE)</f>
        <v>#N/A</v>
      </c>
      <c r="BC65" s="167" t="e">
        <f>VLOOKUP($Z$4,#REF!,BC$37,FALSE)</f>
        <v>#REF!</v>
      </c>
      <c r="BD65" s="167" t="e">
        <f>VLOOKUP($Z$4,#REF!,BD$37,FALSE)</f>
        <v>#REF!</v>
      </c>
      <c r="BE65" s="167" t="e">
        <f>VLOOKUP($Z$4,#REF!,BE$37,FALSE)</f>
        <v>#REF!</v>
      </c>
      <c r="BF65" s="167" t="e">
        <f>VLOOKUP($Z$4,#REF!,BF$37,FALSE)</f>
        <v>#REF!</v>
      </c>
      <c r="BG65" s="167" t="e">
        <f>VLOOKUP($Z$4,#REF!,BG$37,FALSE)</f>
        <v>#REF!</v>
      </c>
      <c r="BH65" s="167" t="e">
        <f>VLOOKUP($Z$4,#REF!,BH$37,FALSE)</f>
        <v>#REF!</v>
      </c>
      <c r="BI65" s="167" t="e">
        <f>VLOOKUP($Z$4,#REF!,BI$37,FALSE)</f>
        <v>#REF!</v>
      </c>
      <c r="BJ65" s="167" t="e">
        <f>VLOOKUP($Z$4,#REF!,BJ$37,FALSE)</f>
        <v>#REF!</v>
      </c>
      <c r="BK65" s="167" t="e">
        <f>VLOOKUP($Z$4,#REF!,BK$37,FALSE)</f>
        <v>#REF!</v>
      </c>
      <c r="BL65" s="167" t="e">
        <f>VLOOKUP($Z$4,#REF!,BL$37,FALSE)</f>
        <v>#REF!</v>
      </c>
    </row>
    <row r="66" spans="1:64" s="83" customFormat="1" ht="42" customHeight="1" x14ac:dyDescent="0.2">
      <c r="A66" s="120"/>
      <c r="B66" s="317"/>
      <c r="C66" s="317"/>
      <c r="D66" s="58"/>
      <c r="E66" s="58"/>
      <c r="F66" s="58"/>
      <c r="G66" s="58"/>
      <c r="H66" s="58"/>
      <c r="I66" s="58"/>
      <c r="J66" s="13"/>
      <c r="K66" s="9"/>
      <c r="L66" s="9"/>
      <c r="M66" s="9"/>
      <c r="N66" s="9"/>
      <c r="O66" s="9"/>
      <c r="P66" s="9"/>
      <c r="Q66" s="9"/>
      <c r="R66" s="9"/>
      <c r="S66" s="9"/>
      <c r="T66" s="9"/>
      <c r="U66" s="9"/>
      <c r="V66" s="119"/>
      <c r="W66" s="138"/>
      <c r="X66" s="147"/>
      <c r="AK66" s="157"/>
    </row>
    <row r="67" spans="1:64" s="89" customFormat="1" ht="42" customHeight="1" x14ac:dyDescent="0.2">
      <c r="A67" s="123"/>
      <c r="B67" s="111"/>
      <c r="C67" s="111"/>
      <c r="D67" s="111"/>
      <c r="E67" s="111"/>
      <c r="F67" s="111"/>
      <c r="G67" s="111"/>
      <c r="H67" s="111"/>
      <c r="I67" s="111"/>
      <c r="J67" s="98"/>
      <c r="K67" s="87"/>
      <c r="L67" s="87"/>
      <c r="M67" s="87"/>
      <c r="N67" s="87"/>
      <c r="O67" s="87"/>
      <c r="P67" s="87"/>
      <c r="Q67" s="87"/>
      <c r="R67" s="87"/>
      <c r="S67" s="87"/>
      <c r="T67" s="87"/>
      <c r="U67" s="87"/>
      <c r="V67" s="124"/>
      <c r="W67" s="140"/>
      <c r="X67" s="149"/>
      <c r="AE67" s="185"/>
      <c r="AF67" s="185"/>
      <c r="AG67" s="185"/>
      <c r="AH67" s="185"/>
      <c r="AI67" s="185"/>
      <c r="AJ67" s="199"/>
      <c r="AK67" s="156"/>
    </row>
    <row r="68" spans="1:64" s="89" customFormat="1" ht="42" customHeight="1" x14ac:dyDescent="0.2">
      <c r="A68" s="123"/>
      <c r="B68" s="111"/>
      <c r="C68" s="111"/>
      <c r="D68" s="111"/>
      <c r="E68" s="111"/>
      <c r="F68" s="111"/>
      <c r="G68" s="111"/>
      <c r="H68" s="111"/>
      <c r="I68" s="111"/>
      <c r="J68" s="98"/>
      <c r="K68" s="87"/>
      <c r="L68" s="87"/>
      <c r="M68" s="87"/>
      <c r="N68" s="87"/>
      <c r="O68" s="87"/>
      <c r="P68" s="87"/>
      <c r="Q68" s="87"/>
      <c r="R68" s="87"/>
      <c r="S68" s="87"/>
      <c r="T68" s="87"/>
      <c r="U68" s="87"/>
      <c r="V68" s="124"/>
      <c r="W68" s="140"/>
      <c r="X68" s="149"/>
      <c r="AE68" s="185"/>
      <c r="AF68" s="185"/>
      <c r="AG68" s="185"/>
      <c r="AH68" s="185"/>
      <c r="AI68" s="185"/>
      <c r="AJ68" s="199"/>
      <c r="AK68" s="156"/>
    </row>
    <row r="69" spans="1:64" ht="7.5" customHeight="1" x14ac:dyDescent="0.2">
      <c r="A69" s="120"/>
      <c r="B69" s="18"/>
      <c r="C69" s="18"/>
      <c r="D69" s="17"/>
      <c r="E69" s="17"/>
      <c r="F69" s="17"/>
      <c r="G69" s="17"/>
      <c r="H69" s="17"/>
      <c r="I69" s="17"/>
      <c r="J69" s="13"/>
      <c r="K69" s="19"/>
      <c r="L69" s="19"/>
      <c r="M69" s="19"/>
      <c r="N69" s="19"/>
      <c r="O69" s="19"/>
      <c r="P69" s="19"/>
      <c r="Q69" s="19"/>
      <c r="R69" s="19"/>
      <c r="S69" s="19"/>
      <c r="T69" s="19"/>
      <c r="U69" s="20"/>
      <c r="V69" s="119"/>
      <c r="W69" s="138"/>
      <c r="X69" s="147"/>
      <c r="Y69" s="89"/>
      <c r="Z69" s="89"/>
      <c r="AA69" s="89"/>
      <c r="AB69" s="89"/>
      <c r="AC69" s="89"/>
      <c r="AD69" s="89"/>
      <c r="AJ69" s="179"/>
      <c r="AK69" s="153"/>
    </row>
    <row r="70" spans="1:64"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1"/>
      <c r="V70" s="1422"/>
      <c r="W70" s="138"/>
      <c r="X70" s="147"/>
      <c r="Y70" s="89"/>
      <c r="Z70" s="89"/>
      <c r="AA70" s="89"/>
      <c r="AB70" s="89"/>
      <c r="AC70" s="89"/>
      <c r="AD70" s="89"/>
      <c r="AJ70" s="179"/>
      <c r="AK70" s="153"/>
    </row>
    <row r="71" spans="1:64"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0"/>
      <c r="J71" s="1429"/>
      <c r="K71" s="1429"/>
      <c r="L71" s="1429"/>
      <c r="M71" s="1429"/>
      <c r="N71" s="1429"/>
      <c r="O71" s="1429"/>
      <c r="P71" s="1431"/>
      <c r="Q71" s="1429"/>
      <c r="R71" s="1429"/>
      <c r="S71" s="1429"/>
      <c r="T71" s="1430"/>
      <c r="U71" s="1429"/>
      <c r="V71" s="1432"/>
      <c r="W71" s="138"/>
      <c r="X71" s="147"/>
      <c r="Y71" s="89"/>
      <c r="Z71" s="89"/>
      <c r="AA71" s="89"/>
      <c r="AB71" s="89"/>
      <c r="AC71" s="89"/>
      <c r="AD71" s="89"/>
      <c r="AJ71" s="179"/>
      <c r="AK71" s="153"/>
    </row>
    <row r="72" spans="1:64" ht="11.25" customHeight="1" x14ac:dyDescent="0.2">
      <c r="A72" s="114"/>
      <c r="B72" s="115"/>
      <c r="C72" s="115"/>
      <c r="D72" s="115"/>
      <c r="E72" s="115"/>
      <c r="F72" s="115"/>
      <c r="G72" s="115"/>
      <c r="H72" s="115"/>
      <c r="I72" s="115"/>
      <c r="J72" s="116"/>
      <c r="K72" s="115"/>
      <c r="L72" s="115"/>
      <c r="M72" s="115"/>
      <c r="N72" s="115"/>
      <c r="O72" s="115"/>
      <c r="P72" s="115"/>
      <c r="Q72" s="115"/>
      <c r="R72" s="115"/>
      <c r="S72" s="115"/>
      <c r="T72" s="115"/>
      <c r="U72" s="115"/>
      <c r="V72" s="117"/>
      <c r="W72" s="138"/>
      <c r="X72" s="147"/>
      <c r="Y72" s="183"/>
      <c r="Z72" s="183"/>
      <c r="AA72" s="183"/>
      <c r="AJ72" s="179"/>
      <c r="AK72" s="153"/>
    </row>
    <row r="73" spans="1:64" s="78" customFormat="1" ht="15" customHeight="1" x14ac:dyDescent="0.2">
      <c r="A73" s="121"/>
      <c r="B73" s="59"/>
      <c r="C73" s="309"/>
      <c r="D73" s="309"/>
      <c r="E73" s="309"/>
      <c r="F73" s="309"/>
      <c r="G73" s="309"/>
      <c r="H73" s="309"/>
      <c r="I73" s="309"/>
      <c r="J73" s="69"/>
      <c r="K73" s="59"/>
      <c r="M73" s="309"/>
      <c r="N73" s="309"/>
      <c r="O73" s="309"/>
      <c r="P73" s="857"/>
      <c r="Q73" s="309"/>
      <c r="R73" s="309"/>
      <c r="S73" s="309"/>
      <c r="T73" s="69"/>
      <c r="U73" s="69"/>
      <c r="V73" s="122"/>
      <c r="W73" s="139"/>
      <c r="X73" s="148"/>
      <c r="Y73" s="183"/>
      <c r="Z73" s="183"/>
      <c r="AA73" s="183"/>
      <c r="AB73" s="183"/>
      <c r="AC73" s="183"/>
      <c r="AD73" s="183"/>
      <c r="AE73" s="183"/>
      <c r="AF73" s="183"/>
      <c r="AG73" s="183"/>
      <c r="AH73" s="183"/>
      <c r="AI73" s="183"/>
      <c r="AJ73" s="183"/>
      <c r="AK73" s="154"/>
    </row>
    <row r="74" spans="1:64" ht="13.5" customHeight="1" x14ac:dyDescent="0.2">
      <c r="A74" s="120"/>
      <c r="B74" s="309"/>
      <c r="C74" s="309"/>
      <c r="D74" s="309"/>
      <c r="E74" s="309"/>
      <c r="F74" s="309"/>
      <c r="G74" s="309"/>
      <c r="H74" s="309"/>
      <c r="I74" s="309"/>
      <c r="J74" s="69"/>
      <c r="K74" s="69"/>
      <c r="L74" s="309"/>
      <c r="M74" s="309"/>
      <c r="N74" s="309"/>
      <c r="O74" s="309"/>
      <c r="P74" s="857"/>
      <c r="Q74" s="309"/>
      <c r="R74" s="309"/>
      <c r="S74" s="309"/>
      <c r="T74" s="69"/>
      <c r="U74" s="69"/>
      <c r="V74" s="119"/>
      <c r="W74" s="138"/>
      <c r="X74" s="147"/>
      <c r="Y74" s="183"/>
      <c r="Z74" s="183"/>
      <c r="AA74" s="191"/>
      <c r="AB74" s="191"/>
      <c r="AC74" s="192"/>
      <c r="AD74" s="192"/>
      <c r="AJ74" s="179"/>
      <c r="AK74" s="153"/>
    </row>
    <row r="75" spans="1:64" s="89" customFormat="1" ht="24" customHeight="1" x14ac:dyDescent="0.2">
      <c r="A75" s="123"/>
      <c r="B75" s="309"/>
      <c r="C75" s="309"/>
      <c r="D75" s="309"/>
      <c r="E75" s="309"/>
      <c r="F75" s="309"/>
      <c r="G75" s="309"/>
      <c r="H75" s="309"/>
      <c r="I75" s="98"/>
      <c r="J75" s="98"/>
      <c r="K75" s="171"/>
      <c r="L75" s="171"/>
      <c r="M75" s="171"/>
      <c r="N75" s="171"/>
      <c r="O75" s="171"/>
      <c r="P75" s="171"/>
      <c r="Q75" s="309"/>
      <c r="R75" s="309"/>
      <c r="S75" s="309"/>
      <c r="T75" s="155"/>
      <c r="U75" s="312"/>
      <c r="V75" s="124"/>
      <c r="W75" s="140"/>
      <c r="X75" s="149"/>
      <c r="Y75" s="183"/>
      <c r="Z75" s="1550" t="s">
        <v>129</v>
      </c>
      <c r="AA75" s="1550" t="s">
        <v>130</v>
      </c>
      <c r="AB75" s="193"/>
      <c r="AC75" s="191"/>
      <c r="AD75" s="183"/>
      <c r="AE75" s="194"/>
      <c r="AF75" s="185"/>
      <c r="AG75" s="185"/>
      <c r="AH75" s="185"/>
      <c r="AI75" s="185"/>
      <c r="AJ75" s="199"/>
      <c r="AK75" s="156"/>
    </row>
    <row r="76" spans="1:64" s="89" customFormat="1" ht="12" customHeight="1" x14ac:dyDescent="0.2">
      <c r="A76" s="123"/>
      <c r="B76" s="309"/>
      <c r="C76" s="309"/>
      <c r="D76" s="309"/>
      <c r="E76" s="309"/>
      <c r="F76" s="309"/>
      <c r="G76" s="309"/>
      <c r="H76" s="309"/>
      <c r="I76" s="98"/>
      <c r="J76" s="98"/>
      <c r="K76" s="171"/>
      <c r="L76" s="171"/>
      <c r="M76" s="171"/>
      <c r="N76" s="171"/>
      <c r="O76" s="171"/>
      <c r="P76" s="171"/>
      <c r="Q76" s="309"/>
      <c r="R76" s="309"/>
      <c r="S76" s="309"/>
      <c r="T76" s="155"/>
      <c r="U76" s="162"/>
      <c r="V76" s="124"/>
      <c r="W76" s="140"/>
      <c r="X76" s="149"/>
      <c r="Z76" s="1550"/>
      <c r="AA76" s="1550"/>
      <c r="AB76" s="187"/>
      <c r="AC76" s="199"/>
      <c r="AD76" s="199"/>
      <c r="AE76" s="194"/>
      <c r="AF76" s="185"/>
      <c r="AG76" s="185"/>
      <c r="AH76" s="185"/>
      <c r="AI76" s="185"/>
      <c r="AJ76" s="199"/>
      <c r="AK76" s="156"/>
    </row>
    <row r="77" spans="1:64" s="89" customFormat="1" ht="12.75" customHeight="1" x14ac:dyDescent="0.2">
      <c r="A77" s="123"/>
      <c r="B77" s="309"/>
      <c r="C77" s="309"/>
      <c r="D77" s="309"/>
      <c r="E77" s="309"/>
      <c r="F77" s="309"/>
      <c r="G77" s="309"/>
      <c r="H77" s="309"/>
      <c r="I77" s="98"/>
      <c r="J77" s="98"/>
      <c r="K77" s="171"/>
      <c r="L77" s="171"/>
      <c r="M77" s="171"/>
      <c r="N77" s="171"/>
      <c r="O77" s="171"/>
      <c r="P77" s="171"/>
      <c r="Q77" s="309"/>
      <c r="R77" s="309"/>
      <c r="S77" s="309"/>
      <c r="T77" s="155"/>
      <c r="U77" s="162"/>
      <c r="V77" s="124"/>
      <c r="W77" s="140"/>
      <c r="X77" s="149"/>
      <c r="Y77" s="551" t="str">
        <f>B10</f>
        <v>Bracknell Forest</v>
      </c>
      <c r="Z77" s="349" t="e">
        <f>IF(Y77=$Z$4,I10,#N/A)</f>
        <v>#N/A</v>
      </c>
      <c r="AA77" s="349" t="e">
        <f t="shared" ref="AA77:AA100" si="22">IF(Y77=$Z$4,U10,#N/A)</f>
        <v>#N/A</v>
      </c>
      <c r="AB77" s="342"/>
      <c r="AC77" s="199"/>
      <c r="AD77" s="199"/>
      <c r="AE77" s="194"/>
      <c r="AF77" s="185"/>
      <c r="AG77" s="185"/>
      <c r="AH77" s="185"/>
      <c r="AI77" s="185"/>
      <c r="AJ77" s="199"/>
      <c r="AK77" s="156"/>
    </row>
    <row r="78" spans="1:64" s="89" customFormat="1" ht="12.75" customHeight="1" x14ac:dyDescent="0.2">
      <c r="A78" s="123"/>
      <c r="B78" s="309"/>
      <c r="C78" s="309"/>
      <c r="D78" s="309"/>
      <c r="E78" s="309"/>
      <c r="F78" s="309"/>
      <c r="G78" s="309"/>
      <c r="H78" s="309"/>
      <c r="I78" s="98"/>
      <c r="J78" s="98"/>
      <c r="K78" s="171"/>
      <c r="L78" s="171"/>
      <c r="M78" s="171"/>
      <c r="N78" s="171"/>
      <c r="O78" s="171"/>
      <c r="P78" s="171"/>
      <c r="Q78" s="309"/>
      <c r="R78" s="309"/>
      <c r="S78" s="309"/>
      <c r="T78" s="155"/>
      <c r="U78" s="162"/>
      <c r="V78" s="124"/>
      <c r="W78" s="140"/>
      <c r="X78" s="149"/>
      <c r="Y78" s="551" t="str">
        <f t="shared" ref="Y78:Y98" si="23">B11</f>
        <v>Brighton &amp; Hove</v>
      </c>
      <c r="Z78" s="349" t="e">
        <f t="shared" ref="Z78:Z100" si="24">IF(Y78=$Z$4,I11,#N/A)</f>
        <v>#N/A</v>
      </c>
      <c r="AA78" s="349" t="e">
        <f t="shared" si="22"/>
        <v>#N/A</v>
      </c>
      <c r="AB78" s="342"/>
      <c r="AC78" s="199"/>
      <c r="AD78" s="199"/>
      <c r="AE78" s="194"/>
      <c r="AF78" s="185"/>
      <c r="AG78" s="185"/>
      <c r="AH78" s="185"/>
      <c r="AI78" s="185"/>
      <c r="AJ78" s="199"/>
      <c r="AK78" s="156"/>
    </row>
    <row r="79" spans="1:64" s="89" customFormat="1" ht="12.75" customHeight="1" x14ac:dyDescent="0.2">
      <c r="A79" s="123"/>
      <c r="B79" s="309"/>
      <c r="C79" s="309"/>
      <c r="D79" s="309"/>
      <c r="E79" s="309"/>
      <c r="F79" s="309"/>
      <c r="G79" s="309"/>
      <c r="H79" s="309"/>
      <c r="I79" s="98"/>
      <c r="J79" s="98"/>
      <c r="K79" s="171"/>
      <c r="L79" s="171"/>
      <c r="M79" s="171"/>
      <c r="N79" s="171"/>
      <c r="O79" s="171"/>
      <c r="P79" s="171"/>
      <c r="Q79" s="309"/>
      <c r="R79" s="309"/>
      <c r="S79" s="309"/>
      <c r="T79" s="155"/>
      <c r="U79" s="162"/>
      <c r="V79" s="124"/>
      <c r="W79" s="140"/>
      <c r="X79" s="149"/>
      <c r="Y79" s="551" t="str">
        <f t="shared" si="23"/>
        <v>Buckinghamshire</v>
      </c>
      <c r="Z79" s="349" t="e">
        <f t="shared" si="24"/>
        <v>#N/A</v>
      </c>
      <c r="AA79" s="349" t="e">
        <f t="shared" si="22"/>
        <v>#N/A</v>
      </c>
      <c r="AB79" s="342"/>
      <c r="AC79" s="199"/>
      <c r="AD79" s="199"/>
      <c r="AE79" s="194"/>
      <c r="AF79" s="185"/>
      <c r="AG79" s="185"/>
      <c r="AH79" s="185"/>
      <c r="AI79" s="185"/>
      <c r="AJ79" s="199"/>
      <c r="AK79" s="156"/>
    </row>
    <row r="80" spans="1:64" s="89" customFormat="1" ht="12.75" customHeight="1" x14ac:dyDescent="0.2">
      <c r="A80" s="123"/>
      <c r="B80" s="309"/>
      <c r="C80" s="309"/>
      <c r="D80" s="309"/>
      <c r="E80" s="309"/>
      <c r="F80" s="309"/>
      <c r="G80" s="309"/>
      <c r="H80" s="309"/>
      <c r="I80" s="98"/>
      <c r="J80" s="98"/>
      <c r="K80" s="171"/>
      <c r="L80" s="171"/>
      <c r="M80" s="171"/>
      <c r="N80" s="171"/>
      <c r="O80" s="171"/>
      <c r="P80" s="171"/>
      <c r="Q80" s="309"/>
      <c r="R80" s="309"/>
      <c r="S80" s="309"/>
      <c r="T80" s="155"/>
      <c r="U80" s="162"/>
      <c r="V80" s="124"/>
      <c r="W80" s="140"/>
      <c r="X80" s="149"/>
      <c r="Y80" s="551" t="str">
        <f t="shared" si="23"/>
        <v>East Sussex</v>
      </c>
      <c r="Z80" s="349" t="e">
        <f>IF(Y80=$Z$4,I13,#N/A)</f>
        <v>#N/A</v>
      </c>
      <c r="AA80" s="349" t="e">
        <f t="shared" si="22"/>
        <v>#N/A</v>
      </c>
      <c r="AB80" s="342"/>
      <c r="AC80" s="199"/>
      <c r="AD80" s="199"/>
      <c r="AE80" s="194"/>
      <c r="AF80" s="185"/>
      <c r="AG80" s="185"/>
      <c r="AH80" s="185"/>
      <c r="AI80" s="185"/>
      <c r="AJ80" s="199"/>
      <c r="AK80" s="156"/>
    </row>
    <row r="81" spans="1:45" s="89" customFormat="1" ht="12.75" customHeight="1" x14ac:dyDescent="0.2">
      <c r="A81" s="123"/>
      <c r="B81" s="309"/>
      <c r="C81" s="309"/>
      <c r="D81" s="309"/>
      <c r="E81" s="309"/>
      <c r="F81" s="309"/>
      <c r="G81" s="309"/>
      <c r="H81" s="309"/>
      <c r="I81" s="98"/>
      <c r="J81" s="98"/>
      <c r="K81" s="171"/>
      <c r="L81" s="171"/>
      <c r="M81" s="171"/>
      <c r="N81" s="171"/>
      <c r="O81" s="171"/>
      <c r="P81" s="171"/>
      <c r="Q81" s="309"/>
      <c r="R81" s="309"/>
      <c r="S81" s="309"/>
      <c r="T81" s="155"/>
      <c r="U81" s="162"/>
      <c r="V81" s="124"/>
      <c r="W81" s="140"/>
      <c r="X81" s="149"/>
      <c r="Y81" s="551" t="str">
        <f t="shared" si="23"/>
        <v>Hampshire</v>
      </c>
      <c r="Z81" s="349" t="e">
        <f t="shared" si="24"/>
        <v>#N/A</v>
      </c>
      <c r="AA81" s="349" t="e">
        <f t="shared" si="22"/>
        <v>#N/A</v>
      </c>
      <c r="AB81" s="342"/>
      <c r="AC81" s="199"/>
      <c r="AD81" s="199"/>
      <c r="AE81" s="194"/>
      <c r="AF81" s="185"/>
      <c r="AG81" s="185"/>
      <c r="AH81" s="185"/>
      <c r="AI81" s="185"/>
      <c r="AJ81" s="199"/>
      <c r="AK81" s="156"/>
      <c r="AS81" s="89" t="s">
        <v>103</v>
      </c>
    </row>
    <row r="82" spans="1:45" s="89" customFormat="1" ht="12.75" customHeight="1" x14ac:dyDescent="0.2">
      <c r="A82" s="123"/>
      <c r="B82" s="309"/>
      <c r="C82" s="309"/>
      <c r="D82" s="309"/>
      <c r="E82" s="309"/>
      <c r="F82" s="309"/>
      <c r="G82" s="309"/>
      <c r="H82" s="309"/>
      <c r="I82" s="98"/>
      <c r="J82" s="98"/>
      <c r="K82" s="171"/>
      <c r="L82" s="171"/>
      <c r="M82" s="171"/>
      <c r="N82" s="171"/>
      <c r="O82" s="171"/>
      <c r="P82" s="171"/>
      <c r="Q82" s="309"/>
      <c r="R82" s="309"/>
      <c r="S82" s="309"/>
      <c r="T82" s="155"/>
      <c r="U82" s="162"/>
      <c r="V82" s="124"/>
      <c r="W82" s="140"/>
      <c r="X82" s="149"/>
      <c r="Y82" s="551" t="str">
        <f t="shared" si="23"/>
        <v>Isle of Wight</v>
      </c>
      <c r="Z82" s="349" t="e">
        <f t="shared" si="24"/>
        <v>#N/A</v>
      </c>
      <c r="AA82" s="349" t="e">
        <f t="shared" si="22"/>
        <v>#N/A</v>
      </c>
      <c r="AB82" s="342"/>
      <c r="AC82" s="199"/>
      <c r="AD82" s="199"/>
      <c r="AE82" s="194"/>
      <c r="AF82" s="185"/>
      <c r="AG82" s="185"/>
      <c r="AH82" s="185"/>
      <c r="AI82" s="185"/>
      <c r="AJ82" s="199"/>
      <c r="AK82" s="156"/>
    </row>
    <row r="83" spans="1:45" s="89" customFormat="1" ht="12.75" customHeight="1" x14ac:dyDescent="0.2">
      <c r="A83" s="123"/>
      <c r="B83" s="309"/>
      <c r="C83" s="309"/>
      <c r="D83" s="309"/>
      <c r="E83" s="309"/>
      <c r="F83" s="309"/>
      <c r="G83" s="309"/>
      <c r="H83" s="309"/>
      <c r="I83" s="98"/>
      <c r="J83" s="98"/>
      <c r="K83" s="171"/>
      <c r="L83" s="171"/>
      <c r="M83" s="171"/>
      <c r="N83" s="171"/>
      <c r="O83" s="171"/>
      <c r="P83" s="171"/>
      <c r="Q83" s="309"/>
      <c r="R83" s="309"/>
      <c r="S83" s="309"/>
      <c r="T83" s="155"/>
      <c r="U83" s="162"/>
      <c r="V83" s="124"/>
      <c r="W83" s="140"/>
      <c r="X83" s="149"/>
      <c r="Y83" s="551" t="str">
        <f t="shared" si="23"/>
        <v>Kent</v>
      </c>
      <c r="Z83" s="349" t="e">
        <f t="shared" si="24"/>
        <v>#N/A</v>
      </c>
      <c r="AA83" s="349" t="e">
        <f t="shared" si="22"/>
        <v>#N/A</v>
      </c>
      <c r="AB83" s="342"/>
      <c r="AC83" s="199"/>
      <c r="AD83" s="199"/>
      <c r="AE83" s="194"/>
      <c r="AF83" s="185"/>
      <c r="AG83" s="185"/>
      <c r="AH83" s="185"/>
      <c r="AI83" s="185"/>
      <c r="AJ83" s="199"/>
      <c r="AK83" s="156"/>
    </row>
    <row r="84" spans="1:45" s="89" customFormat="1" ht="12.75" customHeight="1" x14ac:dyDescent="0.2">
      <c r="A84" s="123"/>
      <c r="B84" s="309"/>
      <c r="C84" s="309"/>
      <c r="D84" s="309"/>
      <c r="E84" s="309"/>
      <c r="F84" s="309"/>
      <c r="G84" s="309"/>
      <c r="H84" s="309"/>
      <c r="I84" s="98"/>
      <c r="J84" s="98"/>
      <c r="K84" s="171"/>
      <c r="L84" s="171"/>
      <c r="M84" s="171"/>
      <c r="N84" s="171"/>
      <c r="O84" s="171"/>
      <c r="P84" s="171"/>
      <c r="Q84" s="309"/>
      <c r="R84" s="309"/>
      <c r="S84" s="309"/>
      <c r="T84" s="155"/>
      <c r="U84" s="162"/>
      <c r="V84" s="124"/>
      <c r="W84" s="140"/>
      <c r="X84" s="149"/>
      <c r="Y84" s="551" t="str">
        <f t="shared" si="23"/>
        <v>Medway</v>
      </c>
      <c r="Z84" s="349" t="e">
        <f t="shared" si="24"/>
        <v>#N/A</v>
      </c>
      <c r="AA84" s="349" t="e">
        <f t="shared" si="22"/>
        <v>#N/A</v>
      </c>
      <c r="AB84" s="342"/>
      <c r="AC84" s="199"/>
      <c r="AD84" s="199"/>
      <c r="AE84" s="194"/>
      <c r="AF84" s="185"/>
      <c r="AG84" s="185"/>
      <c r="AH84" s="185"/>
      <c r="AI84" s="185"/>
      <c r="AJ84" s="199"/>
      <c r="AK84" s="156"/>
    </row>
    <row r="85" spans="1:45" s="89" customFormat="1" ht="12.75" customHeight="1" x14ac:dyDescent="0.2">
      <c r="A85" s="123"/>
      <c r="B85" s="309"/>
      <c r="C85" s="309"/>
      <c r="D85" s="309"/>
      <c r="E85" s="309"/>
      <c r="F85" s="309"/>
      <c r="G85" s="309"/>
      <c r="H85" s="309"/>
      <c r="I85" s="98"/>
      <c r="J85" s="98"/>
      <c r="K85" s="171"/>
      <c r="L85" s="171"/>
      <c r="M85" s="171"/>
      <c r="N85" s="171"/>
      <c r="O85" s="171"/>
      <c r="P85" s="171"/>
      <c r="Q85" s="309"/>
      <c r="R85" s="309"/>
      <c r="S85" s="309"/>
      <c r="T85" s="155"/>
      <c r="U85" s="162"/>
      <c r="V85" s="124"/>
      <c r="W85" s="140"/>
      <c r="X85" s="149"/>
      <c r="Y85" s="551" t="str">
        <f t="shared" si="23"/>
        <v>Milton Keynes</v>
      </c>
      <c r="Z85" s="349" t="e">
        <f t="shared" si="24"/>
        <v>#N/A</v>
      </c>
      <c r="AA85" s="349" t="e">
        <f t="shared" si="22"/>
        <v>#N/A</v>
      </c>
      <c r="AB85" s="342"/>
      <c r="AC85" s="199"/>
      <c r="AD85" s="199"/>
      <c r="AE85" s="194"/>
      <c r="AF85" s="185"/>
      <c r="AG85" s="185"/>
      <c r="AH85" s="185"/>
      <c r="AI85" s="185"/>
      <c r="AJ85" s="199"/>
      <c r="AK85" s="156"/>
    </row>
    <row r="86" spans="1:45" s="89" customFormat="1" ht="12.75" customHeight="1" x14ac:dyDescent="0.2">
      <c r="A86" s="123"/>
      <c r="B86" s="309"/>
      <c r="C86" s="309"/>
      <c r="D86" s="309"/>
      <c r="E86" s="309"/>
      <c r="F86" s="309"/>
      <c r="G86" s="309"/>
      <c r="H86" s="309"/>
      <c r="I86" s="98"/>
      <c r="J86" s="98"/>
      <c r="K86" s="171"/>
      <c r="L86" s="171"/>
      <c r="M86" s="171"/>
      <c r="N86" s="171"/>
      <c r="O86" s="171"/>
      <c r="P86" s="171"/>
      <c r="Q86" s="309"/>
      <c r="R86" s="309"/>
      <c r="S86" s="309"/>
      <c r="T86" s="155"/>
      <c r="U86" s="162"/>
      <c r="V86" s="124"/>
      <c r="W86" s="140"/>
      <c r="X86" s="149"/>
      <c r="Y86" s="551" t="str">
        <f t="shared" si="23"/>
        <v>Oxfordshire</v>
      </c>
      <c r="Z86" s="349" t="e">
        <f t="shared" si="24"/>
        <v>#N/A</v>
      </c>
      <c r="AA86" s="349" t="e">
        <f t="shared" si="22"/>
        <v>#N/A</v>
      </c>
      <c r="AB86" s="342"/>
      <c r="AC86" s="199"/>
      <c r="AD86" s="199"/>
      <c r="AE86" s="194"/>
      <c r="AF86" s="185"/>
      <c r="AG86" s="185"/>
      <c r="AH86" s="185"/>
      <c r="AI86" s="185"/>
      <c r="AJ86" s="199"/>
      <c r="AK86" s="156"/>
    </row>
    <row r="87" spans="1:45" s="89" customFormat="1" ht="12.75" customHeight="1" x14ac:dyDescent="0.2">
      <c r="A87" s="123"/>
      <c r="B87" s="309"/>
      <c r="C87" s="309"/>
      <c r="D87" s="309"/>
      <c r="E87" s="309"/>
      <c r="F87" s="309"/>
      <c r="G87" s="309"/>
      <c r="H87" s="309"/>
      <c r="I87" s="98"/>
      <c r="J87" s="98"/>
      <c r="K87" s="171"/>
      <c r="L87" s="171"/>
      <c r="M87" s="171"/>
      <c r="N87" s="171"/>
      <c r="O87" s="171"/>
      <c r="P87" s="171"/>
      <c r="Q87" s="309"/>
      <c r="R87" s="309"/>
      <c r="S87" s="309"/>
      <c r="T87" s="155"/>
      <c r="U87" s="162"/>
      <c r="V87" s="124"/>
      <c r="W87" s="140"/>
      <c r="X87" s="149"/>
      <c r="Y87" s="551" t="str">
        <f t="shared" si="23"/>
        <v>Portsmouth</v>
      </c>
      <c r="Z87" s="349" t="e">
        <f t="shared" si="24"/>
        <v>#N/A</v>
      </c>
      <c r="AA87" s="349" t="e">
        <f t="shared" si="22"/>
        <v>#N/A</v>
      </c>
      <c r="AB87" s="342"/>
      <c r="AC87" s="199"/>
      <c r="AD87" s="199"/>
      <c r="AE87" s="194"/>
      <c r="AF87" s="185"/>
      <c r="AG87" s="185"/>
      <c r="AH87" s="185"/>
      <c r="AI87" s="185"/>
      <c r="AJ87" s="199"/>
      <c r="AK87" s="156"/>
    </row>
    <row r="88" spans="1:45" s="89" customFormat="1" ht="12.75" customHeight="1" x14ac:dyDescent="0.2">
      <c r="A88" s="123"/>
      <c r="B88" s="309"/>
      <c r="C88" s="309"/>
      <c r="D88" s="309"/>
      <c r="E88" s="309"/>
      <c r="F88" s="309"/>
      <c r="G88" s="309"/>
      <c r="H88" s="309"/>
      <c r="I88" s="98"/>
      <c r="J88" s="98"/>
      <c r="K88" s="171"/>
      <c r="L88" s="171"/>
      <c r="M88" s="171"/>
      <c r="N88" s="171"/>
      <c r="O88" s="171"/>
      <c r="P88" s="171"/>
      <c r="Q88" s="309"/>
      <c r="R88" s="309"/>
      <c r="S88" s="309"/>
      <c r="T88" s="155"/>
      <c r="U88" s="162"/>
      <c r="V88" s="124"/>
      <c r="W88" s="140"/>
      <c r="X88" s="149"/>
      <c r="Y88" s="551" t="str">
        <f t="shared" si="23"/>
        <v>Reading</v>
      </c>
      <c r="Z88" s="349" t="e">
        <f t="shared" si="24"/>
        <v>#N/A</v>
      </c>
      <c r="AA88" s="349" t="e">
        <f t="shared" si="22"/>
        <v>#N/A</v>
      </c>
      <c r="AB88" s="342"/>
      <c r="AC88" s="199"/>
      <c r="AD88" s="199"/>
      <c r="AE88" s="194"/>
      <c r="AF88" s="185"/>
      <c r="AG88" s="185"/>
      <c r="AH88" s="185"/>
      <c r="AI88" s="185"/>
      <c r="AJ88" s="199"/>
      <c r="AK88" s="156"/>
    </row>
    <row r="89" spans="1:45" s="89" customFormat="1" ht="12.75" customHeight="1" x14ac:dyDescent="0.2">
      <c r="A89" s="123"/>
      <c r="B89" s="309"/>
      <c r="C89" s="309"/>
      <c r="D89" s="309"/>
      <c r="E89" s="309"/>
      <c r="F89" s="309"/>
      <c r="G89" s="309"/>
      <c r="H89" s="309"/>
      <c r="I89" s="98"/>
      <c r="J89" s="98"/>
      <c r="K89" s="171"/>
      <c r="L89" s="171"/>
      <c r="M89" s="171"/>
      <c r="N89" s="171"/>
      <c r="O89" s="171"/>
      <c r="P89" s="171"/>
      <c r="Q89" s="309"/>
      <c r="R89" s="309"/>
      <c r="S89" s="309"/>
      <c r="T89" s="155"/>
      <c r="U89" s="162"/>
      <c r="V89" s="124"/>
      <c r="W89" s="140"/>
      <c r="X89" s="149"/>
      <c r="Y89" s="551" t="str">
        <f t="shared" si="23"/>
        <v>Slough</v>
      </c>
      <c r="Z89" s="349" t="e">
        <f t="shared" si="24"/>
        <v>#N/A</v>
      </c>
      <c r="AA89" s="349" t="e">
        <f t="shared" si="22"/>
        <v>#N/A</v>
      </c>
      <c r="AB89" s="342"/>
      <c r="AC89" s="199"/>
      <c r="AD89" s="199"/>
      <c r="AE89" s="194"/>
      <c r="AF89" s="185"/>
      <c r="AG89" s="185"/>
      <c r="AH89" s="185"/>
      <c r="AI89" s="185"/>
      <c r="AJ89" s="199"/>
      <c r="AK89" s="156"/>
    </row>
    <row r="90" spans="1:45" s="89" customFormat="1" ht="12.75" customHeight="1" x14ac:dyDescent="0.2">
      <c r="A90" s="123"/>
      <c r="B90" s="309"/>
      <c r="C90" s="309"/>
      <c r="D90" s="309"/>
      <c r="E90" s="309"/>
      <c r="F90" s="309"/>
      <c r="G90" s="309"/>
      <c r="H90" s="309"/>
      <c r="I90" s="98"/>
      <c r="J90" s="98"/>
      <c r="K90" s="171"/>
      <c r="L90" s="171"/>
      <c r="M90" s="171"/>
      <c r="N90" s="171"/>
      <c r="O90" s="171"/>
      <c r="P90" s="171"/>
      <c r="Q90" s="309"/>
      <c r="R90" s="309"/>
      <c r="S90" s="309"/>
      <c r="T90" s="155"/>
      <c r="U90" s="162"/>
      <c r="V90" s="124"/>
      <c r="W90" s="140"/>
      <c r="X90" s="149"/>
      <c r="Y90" s="551" t="str">
        <f t="shared" si="23"/>
        <v>Somerset</v>
      </c>
      <c r="Z90" s="349" t="e">
        <f t="shared" si="24"/>
        <v>#N/A</v>
      </c>
      <c r="AA90" s="349" t="e">
        <f t="shared" si="22"/>
        <v>#N/A</v>
      </c>
      <c r="AB90" s="342"/>
      <c r="AC90" s="199"/>
      <c r="AD90" s="199"/>
      <c r="AE90" s="194"/>
      <c r="AF90" s="185"/>
      <c r="AG90" s="185"/>
      <c r="AH90" s="185"/>
      <c r="AI90" s="185"/>
      <c r="AJ90" s="199"/>
      <c r="AK90" s="156"/>
    </row>
    <row r="91" spans="1:45" s="89" customFormat="1" ht="12.75" customHeight="1" x14ac:dyDescent="0.2">
      <c r="A91" s="123"/>
      <c r="B91" s="309"/>
      <c r="C91" s="309"/>
      <c r="D91" s="309"/>
      <c r="E91" s="309"/>
      <c r="F91" s="309"/>
      <c r="G91" s="309"/>
      <c r="H91" s="309"/>
      <c r="I91" s="98"/>
      <c r="J91" s="98"/>
      <c r="K91" s="171"/>
      <c r="L91" s="171"/>
      <c r="M91" s="171"/>
      <c r="N91" s="171"/>
      <c r="O91" s="171"/>
      <c r="P91" s="171"/>
      <c r="Q91" s="309"/>
      <c r="R91" s="309"/>
      <c r="S91" s="309"/>
      <c r="T91" s="155"/>
      <c r="U91" s="162"/>
      <c r="V91" s="124"/>
      <c r="W91" s="140"/>
      <c r="X91" s="149"/>
      <c r="Y91" s="551" t="str">
        <f t="shared" si="23"/>
        <v>Southampton</v>
      </c>
      <c r="Z91" s="349" t="e">
        <f t="shared" si="24"/>
        <v>#N/A</v>
      </c>
      <c r="AA91" s="349" t="e">
        <f t="shared" si="22"/>
        <v>#N/A</v>
      </c>
      <c r="AB91" s="342"/>
      <c r="AC91" s="199"/>
      <c r="AD91" s="199"/>
      <c r="AE91" s="194"/>
      <c r="AF91" s="185"/>
      <c r="AG91" s="185"/>
      <c r="AH91" s="185"/>
      <c r="AI91" s="185"/>
      <c r="AJ91" s="199"/>
      <c r="AK91" s="156"/>
    </row>
    <row r="92" spans="1:45" s="89" customFormat="1" ht="12.75" customHeight="1" x14ac:dyDescent="0.2">
      <c r="A92" s="286"/>
      <c r="B92" s="309"/>
      <c r="C92" s="309"/>
      <c r="D92" s="309"/>
      <c r="E92" s="309"/>
      <c r="F92" s="309"/>
      <c r="G92" s="309"/>
      <c r="H92" s="309"/>
      <c r="I92" s="98"/>
      <c r="J92" s="98"/>
      <c r="K92" s="171"/>
      <c r="L92" s="171"/>
      <c r="M92" s="171"/>
      <c r="N92" s="171"/>
      <c r="O92" s="171"/>
      <c r="P92" s="171"/>
      <c r="Q92" s="309"/>
      <c r="R92" s="309"/>
      <c r="S92" s="309"/>
      <c r="T92" s="155"/>
      <c r="U92" s="162"/>
      <c r="V92" s="124"/>
      <c r="W92" s="140"/>
      <c r="X92" s="149"/>
      <c r="Y92" s="551" t="str">
        <f t="shared" si="23"/>
        <v>Surrey</v>
      </c>
      <c r="Z92" s="349" t="e">
        <f t="shared" si="24"/>
        <v>#N/A</v>
      </c>
      <c r="AA92" s="349" t="e">
        <f t="shared" si="22"/>
        <v>#N/A</v>
      </c>
      <c r="AB92" s="342"/>
      <c r="AC92" s="199"/>
      <c r="AD92" s="199"/>
      <c r="AE92" s="194"/>
      <c r="AF92" s="185"/>
      <c r="AG92" s="185"/>
      <c r="AH92" s="185"/>
      <c r="AI92" s="185"/>
      <c r="AJ92" s="199"/>
      <c r="AK92" s="156"/>
    </row>
    <row r="93" spans="1:45" s="89" customFormat="1" ht="12.75" customHeight="1" x14ac:dyDescent="0.2">
      <c r="A93" s="286"/>
      <c r="B93" s="309"/>
      <c r="C93" s="309"/>
      <c r="D93" s="309"/>
      <c r="E93" s="309"/>
      <c r="F93" s="309"/>
      <c r="G93" s="309"/>
      <c r="H93" s="309"/>
      <c r="I93" s="98"/>
      <c r="J93" s="98"/>
      <c r="K93" s="171"/>
      <c r="L93" s="171"/>
      <c r="M93" s="171"/>
      <c r="N93" s="171"/>
      <c r="O93" s="171"/>
      <c r="P93" s="171"/>
      <c r="Q93" s="309"/>
      <c r="R93" s="309"/>
      <c r="S93" s="309"/>
      <c r="T93" s="155"/>
      <c r="U93" s="162"/>
      <c r="V93" s="124"/>
      <c r="W93" s="140"/>
      <c r="X93" s="149"/>
      <c r="Y93" s="551" t="str">
        <f t="shared" si="23"/>
        <v>Swindon</v>
      </c>
      <c r="Z93" s="349" t="e">
        <f t="shared" si="24"/>
        <v>#N/A</v>
      </c>
      <c r="AA93" s="349" t="e">
        <f t="shared" si="22"/>
        <v>#N/A</v>
      </c>
      <c r="AB93" s="342"/>
      <c r="AC93" s="199"/>
      <c r="AD93" s="199"/>
      <c r="AE93" s="194"/>
      <c r="AF93" s="185"/>
      <c r="AG93" s="185"/>
      <c r="AH93" s="185"/>
      <c r="AI93" s="185"/>
      <c r="AJ93" s="199"/>
      <c r="AK93" s="156"/>
    </row>
    <row r="94" spans="1:45" s="89" customFormat="1" ht="12.75" customHeight="1" x14ac:dyDescent="0.2">
      <c r="A94" s="123"/>
      <c r="B94" s="309"/>
      <c r="C94" s="309"/>
      <c r="D94" s="309"/>
      <c r="E94" s="309"/>
      <c r="F94" s="309"/>
      <c r="G94" s="309"/>
      <c r="H94" s="309"/>
      <c r="I94" s="98"/>
      <c r="J94" s="98"/>
      <c r="K94" s="171"/>
      <c r="L94" s="171"/>
      <c r="M94" s="171"/>
      <c r="N94" s="171"/>
      <c r="O94" s="171"/>
      <c r="P94" s="171"/>
      <c r="Q94" s="309"/>
      <c r="R94" s="309"/>
      <c r="S94" s="309"/>
      <c r="T94" s="155"/>
      <c r="U94" s="162"/>
      <c r="V94" s="124"/>
      <c r="W94" s="140"/>
      <c r="X94" s="149"/>
      <c r="Y94" s="551" t="str">
        <f t="shared" si="23"/>
        <v>Torbay</v>
      </c>
      <c r="Z94" s="349" t="e">
        <f t="shared" si="24"/>
        <v>#N/A</v>
      </c>
      <c r="AA94" s="349" t="e">
        <f t="shared" si="22"/>
        <v>#N/A</v>
      </c>
      <c r="AB94" s="342"/>
      <c r="AC94" s="199"/>
      <c r="AD94" s="199"/>
      <c r="AE94" s="194"/>
      <c r="AF94" s="199"/>
      <c r="AG94" s="185"/>
      <c r="AH94" s="185"/>
      <c r="AI94" s="185"/>
      <c r="AJ94" s="199"/>
      <c r="AK94" s="156"/>
    </row>
    <row r="95" spans="1:45" s="89" customFormat="1" ht="12.75" customHeight="1" x14ac:dyDescent="0.2">
      <c r="A95" s="123"/>
      <c r="B95" s="309"/>
      <c r="C95" s="309"/>
      <c r="D95" s="309"/>
      <c r="E95" s="309"/>
      <c r="F95" s="309"/>
      <c r="G95" s="309"/>
      <c r="H95" s="309"/>
      <c r="I95" s="98"/>
      <c r="J95" s="98"/>
      <c r="K95" s="171"/>
      <c r="L95" s="171"/>
      <c r="M95" s="171"/>
      <c r="N95" s="171"/>
      <c r="O95" s="171"/>
      <c r="P95" s="171"/>
      <c r="Q95" s="309"/>
      <c r="R95" s="309"/>
      <c r="S95" s="309"/>
      <c r="T95" s="155"/>
      <c r="U95" s="162"/>
      <c r="V95" s="124"/>
      <c r="W95" s="140"/>
      <c r="X95" s="149"/>
      <c r="Y95" s="551" t="str">
        <f t="shared" si="23"/>
        <v>West Berkshire</v>
      </c>
      <c r="Z95" s="349" t="e">
        <f t="shared" si="24"/>
        <v>#N/A</v>
      </c>
      <c r="AA95" s="349" t="e">
        <f t="shared" si="22"/>
        <v>#N/A</v>
      </c>
      <c r="AB95" s="342"/>
      <c r="AC95" s="199"/>
      <c r="AD95" s="199"/>
      <c r="AE95" s="194"/>
      <c r="AF95" s="199"/>
      <c r="AG95" s="185"/>
      <c r="AH95" s="185"/>
      <c r="AI95" s="185"/>
      <c r="AJ95" s="199"/>
      <c r="AK95" s="156"/>
    </row>
    <row r="96" spans="1:45" s="89" customFormat="1" ht="12.75" customHeight="1" x14ac:dyDescent="0.2">
      <c r="A96" s="123"/>
      <c r="B96" s="309"/>
      <c r="C96" s="309"/>
      <c r="D96" s="309"/>
      <c r="E96" s="309"/>
      <c r="F96" s="309"/>
      <c r="G96" s="309"/>
      <c r="H96" s="309"/>
      <c r="I96" s="98"/>
      <c r="J96" s="98"/>
      <c r="K96" s="171"/>
      <c r="L96" s="171"/>
      <c r="M96" s="171"/>
      <c r="N96" s="171"/>
      <c r="O96" s="171"/>
      <c r="P96" s="171"/>
      <c r="Q96" s="309"/>
      <c r="R96" s="309"/>
      <c r="S96" s="309"/>
      <c r="T96" s="155"/>
      <c r="U96" s="162"/>
      <c r="V96" s="124"/>
      <c r="W96" s="140"/>
      <c r="X96" s="149"/>
      <c r="Y96" s="551" t="str">
        <f t="shared" si="23"/>
        <v>West Sussex</v>
      </c>
      <c r="Z96" s="349" t="e">
        <f t="shared" si="24"/>
        <v>#N/A</v>
      </c>
      <c r="AA96" s="349" t="e">
        <f t="shared" si="22"/>
        <v>#N/A</v>
      </c>
      <c r="AB96" s="342"/>
      <c r="AC96" s="199"/>
      <c r="AD96" s="199"/>
      <c r="AE96" s="194"/>
      <c r="AF96" s="199"/>
      <c r="AG96" s="199"/>
      <c r="AH96" s="199"/>
      <c r="AI96" s="185"/>
      <c r="AJ96" s="199"/>
      <c r="AK96" s="156"/>
    </row>
    <row r="97" spans="1:46" s="89" customFormat="1" ht="12.75" customHeight="1" x14ac:dyDescent="0.2">
      <c r="A97" s="123"/>
      <c r="B97" s="309"/>
      <c r="C97" s="309"/>
      <c r="D97" s="309"/>
      <c r="E97" s="309"/>
      <c r="F97" s="309"/>
      <c r="G97" s="309"/>
      <c r="H97" s="309"/>
      <c r="I97" s="98"/>
      <c r="J97" s="98"/>
      <c r="K97" s="171"/>
      <c r="L97" s="171"/>
      <c r="M97" s="171"/>
      <c r="N97" s="171"/>
      <c r="O97" s="171"/>
      <c r="P97" s="171"/>
      <c r="Q97" s="309"/>
      <c r="R97" s="309"/>
      <c r="S97" s="309"/>
      <c r="T97" s="155"/>
      <c r="U97" s="162"/>
      <c r="V97" s="124"/>
      <c r="W97" s="140"/>
      <c r="X97" s="149"/>
      <c r="Y97" s="551" t="str">
        <f t="shared" si="23"/>
        <v>Windsor &amp; Maidenhead</v>
      </c>
      <c r="Z97" s="349" t="e">
        <f t="shared" si="24"/>
        <v>#N/A</v>
      </c>
      <c r="AA97" s="349" t="e">
        <f t="shared" si="22"/>
        <v>#N/A</v>
      </c>
      <c r="AB97" s="342"/>
      <c r="AC97" s="199"/>
      <c r="AD97" s="199"/>
      <c r="AE97" s="194"/>
      <c r="AF97" s="199"/>
      <c r="AG97" s="199"/>
      <c r="AH97" s="199"/>
      <c r="AI97" s="185"/>
      <c r="AJ97" s="199"/>
      <c r="AK97" s="156"/>
    </row>
    <row r="98" spans="1:46" s="89" customFormat="1" ht="12.75" customHeight="1" x14ac:dyDescent="0.2">
      <c r="A98" s="123"/>
      <c r="B98" s="309"/>
      <c r="C98" s="309"/>
      <c r="D98" s="309"/>
      <c r="E98" s="309"/>
      <c r="F98" s="309"/>
      <c r="G98" s="309"/>
      <c r="H98" s="309"/>
      <c r="I98" s="98"/>
      <c r="J98" s="98"/>
      <c r="K98" s="171"/>
      <c r="L98" s="171"/>
      <c r="M98" s="171"/>
      <c r="N98" s="171"/>
      <c r="O98" s="171"/>
      <c r="P98" s="171"/>
      <c r="Q98" s="309"/>
      <c r="R98" s="309"/>
      <c r="S98" s="309"/>
      <c r="T98" s="155"/>
      <c r="U98" s="166"/>
      <c r="V98" s="124"/>
      <c r="W98" s="140"/>
      <c r="X98" s="149"/>
      <c r="Y98" s="551" t="str">
        <f t="shared" si="23"/>
        <v>Wokingham</v>
      </c>
      <c r="Z98" s="349" t="e">
        <f t="shared" si="24"/>
        <v>#N/A</v>
      </c>
      <c r="AA98" s="349" t="e">
        <f t="shared" si="22"/>
        <v>#N/A</v>
      </c>
      <c r="AB98" s="342"/>
      <c r="AC98" s="199"/>
      <c r="AD98" s="199"/>
      <c r="AE98" s="194"/>
      <c r="AF98" s="199"/>
      <c r="AG98" s="199"/>
      <c r="AH98" s="199"/>
      <c r="AI98" s="185"/>
      <c r="AJ98" s="199"/>
      <c r="AK98" s="156"/>
    </row>
    <row r="99" spans="1:46" s="89" customFormat="1" ht="12.75" customHeight="1" x14ac:dyDescent="0.2">
      <c r="A99" s="123"/>
      <c r="B99" s="309"/>
      <c r="C99" s="309"/>
      <c r="D99" s="309"/>
      <c r="E99" s="309"/>
      <c r="F99" s="309"/>
      <c r="G99" s="309"/>
      <c r="H99" s="309"/>
      <c r="I99" s="98"/>
      <c r="J99" s="98"/>
      <c r="K99" s="171"/>
      <c r="L99" s="171"/>
      <c r="M99" s="171"/>
      <c r="N99" s="171"/>
      <c r="O99" s="171"/>
      <c r="P99" s="171"/>
      <c r="Q99" s="309"/>
      <c r="R99" s="309"/>
      <c r="S99" s="309"/>
      <c r="T99" s="155"/>
      <c r="U99" s="166"/>
      <c r="V99" s="124"/>
      <c r="W99" s="140"/>
      <c r="X99" s="149"/>
      <c r="Y99" s="551" t="str">
        <f>B32</f>
        <v>South East</v>
      </c>
      <c r="Z99" s="349" t="e">
        <f t="shared" si="24"/>
        <v>#N/A</v>
      </c>
      <c r="AA99" s="349" t="e">
        <f t="shared" si="22"/>
        <v>#N/A</v>
      </c>
      <c r="AB99" s="342"/>
      <c r="AC99" s="199"/>
      <c r="AD99" s="199"/>
      <c r="AE99" s="194"/>
      <c r="AF99" s="199"/>
      <c r="AG99" s="199"/>
      <c r="AH99" s="199"/>
      <c r="AI99" s="185"/>
      <c r="AJ99" s="199"/>
      <c r="AK99" s="156"/>
    </row>
    <row r="100" spans="1:46" s="89" customFormat="1" ht="11.25" customHeight="1" x14ac:dyDescent="0.2">
      <c r="A100" s="286"/>
      <c r="B100" s="309"/>
      <c r="C100" s="309"/>
      <c r="D100" s="309"/>
      <c r="E100" s="309"/>
      <c r="F100" s="309"/>
      <c r="G100" s="309"/>
      <c r="H100" s="309"/>
      <c r="I100" s="98"/>
      <c r="J100" s="98"/>
      <c r="K100" s="164"/>
      <c r="L100" s="164"/>
      <c r="M100" s="171"/>
      <c r="N100" s="171"/>
      <c r="O100" s="171"/>
      <c r="P100" s="171"/>
      <c r="Q100" s="309"/>
      <c r="R100" s="309"/>
      <c r="S100" s="309"/>
      <c r="T100" s="155"/>
      <c r="U100" s="166"/>
      <c r="V100" s="124"/>
      <c r="W100" s="140"/>
      <c r="X100" s="149"/>
      <c r="Y100" s="551" t="str">
        <f>B33</f>
        <v>England</v>
      </c>
      <c r="Z100" s="349" t="e">
        <f t="shared" si="24"/>
        <v>#N/A</v>
      </c>
      <c r="AA100" s="349" t="e">
        <f t="shared" si="22"/>
        <v>#N/A</v>
      </c>
      <c r="AB100" s="342"/>
      <c r="AC100" s="199"/>
      <c r="AD100" s="199"/>
      <c r="AE100" s="194"/>
      <c r="AF100" s="199"/>
      <c r="AG100" s="199"/>
      <c r="AH100" s="199"/>
      <c r="AI100" s="185"/>
      <c r="AJ100" s="199"/>
      <c r="AK100" s="156"/>
    </row>
    <row r="101" spans="1:46" s="83" customFormat="1" ht="42" customHeight="1" x14ac:dyDescent="0.2">
      <c r="A101" s="213"/>
      <c r="B101" s="309"/>
      <c r="C101" s="309"/>
      <c r="D101" s="309"/>
      <c r="E101" s="309"/>
      <c r="F101" s="309"/>
      <c r="G101" s="309"/>
      <c r="H101" s="309"/>
      <c r="I101" s="314"/>
      <c r="J101" s="168"/>
      <c r="K101" s="168"/>
      <c r="L101" s="168"/>
      <c r="M101" s="171"/>
      <c r="N101" s="171"/>
      <c r="O101" s="168"/>
      <c r="P101" s="168"/>
      <c r="Q101" s="168"/>
      <c r="R101" s="137"/>
      <c r="S101" s="168"/>
      <c r="T101" s="168"/>
      <c r="U101" s="168"/>
      <c r="V101" s="119"/>
      <c r="W101" s="138"/>
      <c r="X101" s="147"/>
      <c r="AD101" s="192"/>
      <c r="AE101" s="194"/>
      <c r="AF101" s="179"/>
      <c r="AG101" s="179"/>
      <c r="AH101" s="179"/>
      <c r="AJ101" s="179"/>
      <c r="AK101" s="157"/>
    </row>
    <row r="102" spans="1:46" s="83" customFormat="1" ht="42" customHeight="1" x14ac:dyDescent="0.2">
      <c r="A102" s="213"/>
      <c r="B102" s="309"/>
      <c r="C102" s="309"/>
      <c r="D102" s="309"/>
      <c r="E102" s="309"/>
      <c r="F102" s="309"/>
      <c r="G102" s="309"/>
      <c r="H102" s="309"/>
      <c r="I102" s="314"/>
      <c r="J102" s="168"/>
      <c r="K102" s="168"/>
      <c r="L102" s="168"/>
      <c r="M102" s="171"/>
      <c r="N102" s="171"/>
      <c r="O102" s="168"/>
      <c r="P102" s="168"/>
      <c r="Q102" s="168"/>
      <c r="R102" s="137"/>
      <c r="S102" s="168"/>
      <c r="T102" s="168"/>
      <c r="U102" s="168"/>
      <c r="V102" s="119"/>
      <c r="W102" s="138"/>
      <c r="X102" s="147"/>
      <c r="Z102" s="185"/>
      <c r="AE102" s="194"/>
      <c r="AF102" s="179"/>
      <c r="AG102" s="179"/>
      <c r="AH102" s="179"/>
      <c r="AJ102" s="179"/>
      <c r="AK102" s="157"/>
    </row>
    <row r="103" spans="1:46" s="83" customFormat="1" ht="33" customHeight="1" x14ac:dyDescent="0.2">
      <c r="A103" s="213"/>
      <c r="B103" s="314"/>
      <c r="C103" s="314"/>
      <c r="D103" s="314"/>
      <c r="E103" s="314"/>
      <c r="F103" s="314"/>
      <c r="G103" s="314"/>
      <c r="H103" s="314"/>
      <c r="I103" s="314"/>
      <c r="J103" s="168"/>
      <c r="K103" s="168"/>
      <c r="L103" s="168"/>
      <c r="M103" s="168"/>
      <c r="N103" s="168"/>
      <c r="O103" s="168"/>
      <c r="P103" s="168"/>
      <c r="Q103" s="168"/>
      <c r="R103" s="137"/>
      <c r="S103" s="168"/>
      <c r="T103" s="168"/>
      <c r="U103" s="168"/>
      <c r="V103" s="119"/>
      <c r="W103" s="138"/>
      <c r="X103" s="147"/>
      <c r="Z103" s="185"/>
      <c r="AE103" s="194"/>
      <c r="AF103" s="179"/>
      <c r="AG103" s="179"/>
      <c r="AH103" s="179"/>
      <c r="AJ103" s="179"/>
      <c r="AK103" s="157"/>
    </row>
    <row r="104" spans="1:46" s="83" customFormat="1" ht="7.5" customHeight="1" x14ac:dyDescent="0.2">
      <c r="A104" s="120"/>
      <c r="B104" s="18"/>
      <c r="C104" s="18"/>
      <c r="D104" s="17"/>
      <c r="E104" s="17"/>
      <c r="F104" s="17"/>
      <c r="G104" s="17"/>
      <c r="H104" s="17"/>
      <c r="I104" s="17"/>
      <c r="J104" s="13"/>
      <c r="K104" s="19"/>
      <c r="L104" s="19"/>
      <c r="M104" s="19"/>
      <c r="N104" s="19"/>
      <c r="O104" s="19"/>
      <c r="P104" s="19"/>
      <c r="Q104" s="19"/>
      <c r="R104" s="19"/>
      <c r="S104" s="19"/>
      <c r="T104" s="19"/>
      <c r="U104" s="20"/>
      <c r="V104" s="119"/>
      <c r="W104" s="138"/>
      <c r="X104" s="147"/>
      <c r="Z104" s="185"/>
      <c r="AJ104" s="179"/>
      <c r="AK104" s="153"/>
      <c r="AL104" s="76"/>
      <c r="AM104" s="76"/>
      <c r="AN104" s="76"/>
      <c r="AO104" s="76"/>
      <c r="AP104" s="76"/>
      <c r="AQ104" s="76"/>
      <c r="AR104" s="76"/>
    </row>
    <row r="105" spans="1:46" s="83" customFormat="1" ht="15" customHeight="1" x14ac:dyDescent="0.2">
      <c r="A105" s="1399"/>
      <c r="B105" s="1421"/>
      <c r="C105" s="1421"/>
      <c r="D105" s="1421"/>
      <c r="E105" s="1421"/>
      <c r="F105" s="1421"/>
      <c r="G105" s="1421"/>
      <c r="H105" s="1421"/>
      <c r="I105" s="1421"/>
      <c r="J105" s="1421"/>
      <c r="K105" s="1421"/>
      <c r="L105" s="1421"/>
      <c r="M105" s="1421"/>
      <c r="N105" s="1421"/>
      <c r="O105" s="1421"/>
      <c r="P105" s="1421"/>
      <c r="Q105" s="1421"/>
      <c r="R105" s="1421"/>
      <c r="S105" s="1421"/>
      <c r="T105" s="1421"/>
      <c r="U105" s="1421"/>
      <c r="V105" s="1422"/>
      <c r="W105" s="138"/>
      <c r="X105" s="147"/>
      <c r="Y105" s="183"/>
      <c r="Z105" s="183"/>
      <c r="AK105" s="157"/>
      <c r="AT105" s="76"/>
    </row>
    <row r="106" spans="1:46" s="83" customFormat="1" ht="11.25" customHeight="1" x14ac:dyDescent="0.2">
      <c r="A106" s="1428" t="str">
        <f>Home!$A$40</f>
        <v>LA's provide quarterly data on the condition that it is used by the benchmarking group for internal reporting only. Please DO NOT share other LA's data with any external partners or the public</v>
      </c>
      <c r="B106" s="1429"/>
      <c r="C106" s="1429"/>
      <c r="D106" s="1429"/>
      <c r="E106" s="1429"/>
      <c r="F106" s="1429"/>
      <c r="G106" s="1429"/>
      <c r="H106" s="1429"/>
      <c r="I106" s="1430"/>
      <c r="J106" s="1429"/>
      <c r="K106" s="1429"/>
      <c r="L106" s="1429"/>
      <c r="M106" s="1429"/>
      <c r="N106" s="1429"/>
      <c r="O106" s="1429"/>
      <c r="P106" s="1431"/>
      <c r="Q106" s="1429"/>
      <c r="R106" s="1429"/>
      <c r="S106" s="1429"/>
      <c r="T106" s="1430"/>
      <c r="U106" s="1429"/>
      <c r="V106" s="1432"/>
      <c r="W106" s="138"/>
      <c r="X106" s="147"/>
      <c r="Y106" s="183"/>
      <c r="Z106" s="183"/>
      <c r="AJ106" s="179"/>
      <c r="AK106" s="156"/>
      <c r="AL106" s="89"/>
      <c r="AT106" s="76"/>
    </row>
    <row r="107" spans="1:46" ht="11.25" customHeight="1" x14ac:dyDescent="0.2">
      <c r="A107" s="114"/>
      <c r="B107" s="115"/>
      <c r="C107" s="115"/>
      <c r="D107" s="115"/>
      <c r="E107" s="115"/>
      <c r="F107" s="115"/>
      <c r="G107" s="115"/>
      <c r="H107" s="115"/>
      <c r="I107" s="115"/>
      <c r="J107" s="116"/>
      <c r="K107" s="115"/>
      <c r="L107" s="115"/>
      <c r="M107" s="115"/>
      <c r="N107" s="115"/>
      <c r="O107" s="115"/>
      <c r="P107" s="115"/>
      <c r="Q107" s="115"/>
      <c r="R107" s="115"/>
      <c r="S107" s="115"/>
      <c r="T107" s="115"/>
      <c r="U107" s="115"/>
      <c r="V107" s="117"/>
      <c r="W107" s="138"/>
      <c r="X107" s="147"/>
      <c r="Y107" s="564"/>
      <c r="Z107" s="375"/>
      <c r="AA107" s="376"/>
      <c r="AB107" s="376"/>
      <c r="AC107" s="376"/>
      <c r="AD107" s="565"/>
      <c r="AE107" s="565"/>
      <c r="AJ107" s="179"/>
      <c r="AK107" s="153"/>
    </row>
    <row r="108" spans="1:46" s="78" customFormat="1" ht="15" customHeight="1" x14ac:dyDescent="0.2">
      <c r="A108" s="121"/>
      <c r="B108" s="1442" t="s">
        <v>131</v>
      </c>
      <c r="C108" s="1442"/>
      <c r="D108" s="1442"/>
      <c r="E108" s="1442"/>
      <c r="F108" s="1442"/>
      <c r="G108" s="1442"/>
      <c r="H108" s="1442"/>
      <c r="I108" s="1442"/>
      <c r="J108" s="69"/>
      <c r="K108" s="69"/>
      <c r="L108" s="69"/>
      <c r="M108" s="69"/>
      <c r="N108" s="69"/>
      <c r="O108" s="69"/>
      <c r="P108" s="69"/>
      <c r="Q108" s="69"/>
      <c r="R108" s="69"/>
      <c r="S108" s="69"/>
      <c r="T108" s="69"/>
      <c r="U108" s="69"/>
      <c r="V108" s="122"/>
      <c r="W108" s="139"/>
      <c r="X108" s="148"/>
      <c r="Y108" s="376"/>
      <c r="Z108" s="375"/>
      <c r="AA108" s="376"/>
      <c r="AB108" s="376"/>
      <c r="AC108" s="376"/>
      <c r="AD108" s="565"/>
      <c r="AE108" s="565"/>
      <c r="AF108" s="183"/>
      <c r="AG108" s="183"/>
      <c r="AH108" s="183"/>
      <c r="AI108" s="183"/>
      <c r="AJ108" s="183"/>
      <c r="AK108" s="154"/>
    </row>
    <row r="109" spans="1:46" ht="15" customHeight="1" x14ac:dyDescent="0.2">
      <c r="A109" s="120"/>
      <c r="B109" s="1442"/>
      <c r="C109" s="1442"/>
      <c r="D109" s="1442"/>
      <c r="E109" s="1442"/>
      <c r="F109" s="1442"/>
      <c r="G109" s="1442"/>
      <c r="H109" s="1442"/>
      <c r="I109" s="1442"/>
      <c r="J109" s="69"/>
      <c r="K109" s="69"/>
      <c r="L109" s="69"/>
      <c r="M109" s="69"/>
      <c r="N109" s="69"/>
      <c r="O109" s="69"/>
      <c r="P109" s="69"/>
      <c r="Q109" s="69"/>
      <c r="R109" s="10"/>
      <c r="S109" s="69"/>
      <c r="T109" s="69"/>
      <c r="U109" s="69"/>
      <c r="V109" s="119"/>
      <c r="W109" s="138"/>
      <c r="X109" s="147"/>
      <c r="Y109" s="376"/>
      <c r="Z109" s="1551" t="s">
        <v>522</v>
      </c>
      <c r="AA109" s="1552"/>
      <c r="AB109" s="1552"/>
      <c r="AC109" s="1552"/>
      <c r="AD109" s="1553"/>
      <c r="AE109" s="1552" t="s">
        <v>523</v>
      </c>
      <c r="AF109" s="1552"/>
      <c r="AG109" s="1552"/>
      <c r="AH109" s="1552"/>
      <c r="AI109" s="1555"/>
      <c r="AJ109" s="83"/>
      <c r="AK109" s="153"/>
    </row>
    <row r="110" spans="1:46" ht="13.5" customHeight="1" x14ac:dyDescent="0.2">
      <c r="A110" s="271"/>
      <c r="B110" s="1419" t="s">
        <v>190</v>
      </c>
      <c r="C110" s="859"/>
      <c r="D110" s="755" t="str">
        <f>Sheet1!$D$25</f>
        <v>2014-15</v>
      </c>
      <c r="E110" s="756" t="str">
        <f>Sheet1!$E$25</f>
        <v>2015-16</v>
      </c>
      <c r="F110" s="756" t="str">
        <f>Sheet1!$F$25</f>
        <v>2016-17</v>
      </c>
      <c r="G110" s="756" t="str">
        <f>Sheet1!$G$25</f>
        <v>2017-18</v>
      </c>
      <c r="H110" s="757" t="str">
        <f>Sheet1!$H$25</f>
        <v>2018-19</v>
      </c>
      <c r="I110" s="859"/>
      <c r="J110" s="69"/>
      <c r="K110" s="69"/>
      <c r="L110" s="69"/>
      <c r="M110" s="69"/>
      <c r="N110" s="69"/>
      <c r="O110" s="69"/>
      <c r="P110" s="69"/>
      <c r="Q110" s="69"/>
      <c r="R110" s="10"/>
      <c r="S110" s="69"/>
      <c r="T110" s="69"/>
      <c r="U110" s="69"/>
      <c r="V110" s="119"/>
      <c r="W110" s="138"/>
      <c r="X110" s="147"/>
      <c r="Y110" s="376"/>
      <c r="Z110" s="864" t="str">
        <f>IF(Sheet1!$C$3="Annual","",Sheet1!$D$26)</f>
        <v/>
      </c>
      <c r="AA110" s="865" t="str">
        <f>IF(Sheet1!$C$3="Annual","",Sheet1!$E$26)</f>
        <v/>
      </c>
      <c r="AB110" s="865" t="str">
        <f>IF(Sheet1!$C$3="Annual","",Sheet1!$F$26)</f>
        <v/>
      </c>
      <c r="AC110" s="865" t="str">
        <f>IF(Sheet1!$C$3="Annual","",Sheet1!$G$26)</f>
        <v/>
      </c>
      <c r="AD110" s="866" t="str">
        <f>IF(Sheet1!$C$3="Annual","",Sheet1!$H$26)</f>
        <v/>
      </c>
      <c r="AE110" s="865" t="str">
        <f>IF(Sheet1!$C$3="Annual","",Sheet1!$D$26)</f>
        <v/>
      </c>
      <c r="AF110" s="865" t="str">
        <f>IF(Sheet1!$C$3="Annual","",Sheet1!$E$26)</f>
        <v/>
      </c>
      <c r="AG110" s="865" t="str">
        <f>IF(Sheet1!$C$3="Annual","",Sheet1!$F$26)</f>
        <v/>
      </c>
      <c r="AH110" s="865" t="str">
        <f>IF(Sheet1!$C$3="Annual","",Sheet1!$G$26)</f>
        <v/>
      </c>
      <c r="AI110" s="867" t="str">
        <f>IF(Sheet1!$C$3="Annual","",Sheet1!$H$26)</f>
        <v/>
      </c>
      <c r="AJ110" s="83"/>
      <c r="AK110" s="153"/>
    </row>
    <row r="111" spans="1:46" s="89" customFormat="1" ht="13.5" customHeight="1" x14ac:dyDescent="0.2">
      <c r="A111" s="123"/>
      <c r="B111" s="1420"/>
      <c r="C111" s="87"/>
      <c r="D111" s="758" t="e">
        <f>Sheet1!$D$26</f>
        <v>#N/A</v>
      </c>
      <c r="E111" s="758" t="e">
        <f>Sheet1!$E$26</f>
        <v>#N/A</v>
      </c>
      <c r="F111" s="758" t="e">
        <f>Sheet1!$F$26</f>
        <v>#N/A</v>
      </c>
      <c r="G111" s="758" t="e">
        <f>Sheet1!$G$26</f>
        <v>#N/A</v>
      </c>
      <c r="H111" s="759" t="e">
        <f>Sheet1!$H$26</f>
        <v>#N/A</v>
      </c>
      <c r="I111" s="98"/>
      <c r="J111" s="98"/>
      <c r="K111" s="61"/>
      <c r="L111" s="61"/>
      <c r="M111" s="61"/>
      <c r="N111" s="61"/>
      <c r="O111" s="61"/>
      <c r="P111" s="61"/>
      <c r="Q111" s="467"/>
      <c r="R111" s="467"/>
      <c r="S111" s="155"/>
      <c r="T111" s="155"/>
      <c r="U111" s="468"/>
      <c r="V111" s="124"/>
      <c r="W111" s="140"/>
      <c r="X111" s="149"/>
      <c r="Y111" s="420"/>
      <c r="Z111" s="964" t="str">
        <f>Sheet1!$D$25</f>
        <v>2014-15</v>
      </c>
      <c r="AA111" s="964" t="str">
        <f>Sheet1!$E$25</f>
        <v>2015-16</v>
      </c>
      <c r="AB111" s="964" t="str">
        <f>Sheet1!$F$25</f>
        <v>2016-17</v>
      </c>
      <c r="AC111" s="964" t="str">
        <f>Sheet1!$G$25</f>
        <v>2017-18</v>
      </c>
      <c r="AD111" s="965" t="str">
        <f>Sheet1!$H$25</f>
        <v>2018-19</v>
      </c>
      <c r="AE111" s="966" t="str">
        <f>Sheet1!$D$25</f>
        <v>2014-15</v>
      </c>
      <c r="AF111" s="964" t="str">
        <f>Sheet1!$E$25</f>
        <v>2015-16</v>
      </c>
      <c r="AG111" s="964" t="str">
        <f>Sheet1!$F$25</f>
        <v>2016-17</v>
      </c>
      <c r="AH111" s="964" t="str">
        <f>Sheet1!$G$25</f>
        <v>2017-18</v>
      </c>
      <c r="AI111" s="964" t="str">
        <f>Sheet1!$H$25</f>
        <v>2018-19</v>
      </c>
      <c r="AJ111" s="185"/>
      <c r="AK111" s="156"/>
    </row>
    <row r="112" spans="1:46" s="89" customFormat="1" ht="12.75" customHeight="1" x14ac:dyDescent="0.2">
      <c r="A112" s="462">
        <f>VLOOKUP(B112,Sheet1!$AQ$4:$AR$25,2,FALSE)</f>
        <v>0</v>
      </c>
      <c r="B112" s="95" t="str">
        <f t="shared" ref="B112:B134" si="25">B10</f>
        <v>Bracknell Forest</v>
      </c>
      <c r="C112" s="87"/>
      <c r="D112" s="158">
        <f t="shared" ref="D112" si="26">IF(AE112&gt;0,Z112/AE112,NA())</f>
        <v>0.99079754601226999</v>
      </c>
      <c r="E112" s="158">
        <f t="shared" ref="E112" si="27">IF(AF112&gt;0,AA112/AF112,NA())</f>
        <v>0.96542311191992725</v>
      </c>
      <c r="F112" s="158">
        <f t="shared" ref="F112" si="28">IF(AG112&gt;0,AB112/AG112,NA())</f>
        <v>0.89727011494252873</v>
      </c>
      <c r="G112" s="158">
        <f t="shared" ref="G112" si="29">IF(AH112&gt;0,AC112/AH112,NA())</f>
        <v>0.90479041916167668</v>
      </c>
      <c r="H112" s="160">
        <f>IF(AI112&gt;0,AD112/AI112,NA())</f>
        <v>0.93540810334703461</v>
      </c>
      <c r="I112" s="98"/>
      <c r="J112" s="98"/>
      <c r="K112" s="162"/>
      <c r="L112" s="162"/>
      <c r="M112" s="162"/>
      <c r="N112" s="162"/>
      <c r="O112" s="162"/>
      <c r="P112" s="162"/>
      <c r="Q112" s="162"/>
      <c r="R112" s="163"/>
      <c r="S112" s="155"/>
      <c r="T112" s="155"/>
      <c r="U112" s="162"/>
      <c r="V112" s="124"/>
      <c r="W112" s="140"/>
      <c r="X112" s="149"/>
      <c r="Y112" s="420" t="str">
        <f>B112</f>
        <v>Bracknell Forest</v>
      </c>
      <c r="Z112" s="365">
        <f>IF(Year1_Bracknell_Forest Year1_Assessments_within45days="","",Year1_Bracknell_Forest Year1_Assessments_within45days)</f>
        <v>969</v>
      </c>
      <c r="AA112" s="365">
        <f>IF(Year2_Bracknell_Forest Year2_Assessments_within45days="","",Year2_Bracknell_Forest Year2_Assessments_within45days)</f>
        <v>1061</v>
      </c>
      <c r="AB112" s="365">
        <f>IF(Year3_Bracknell_Forest Year3_Assessments_within45days="","",Year3_Bracknell_Forest Year3_Assessments_within45days)</f>
        <v>1249</v>
      </c>
      <c r="AC112" s="365">
        <f>IF(Year4_Bracknell_Forest Year4_Assessments_within45days="","",Year4_Bracknell_Forest Year4_Assessments_within45days)</f>
        <v>1511</v>
      </c>
      <c r="AD112" s="552">
        <f>IF(Year5_Bracknell_Forest Year5_Assessments_within45days="","",Year5_Bracknell_Forest Year5_Assessments_within45days)</f>
        <v>1593</v>
      </c>
      <c r="AE112" s="556">
        <f>IF(Year1_Bracknell_Forest Year1_Continuous_assessments="","",Year1_Bracknell_Forest Year1_Continuous_assessments)</f>
        <v>978</v>
      </c>
      <c r="AF112" s="463">
        <f>IF(Year2_Bracknell_Forest Year2_Continuous_assessments="","",Year2_Bracknell_Forest Year2_Continuous_assessments)</f>
        <v>1099</v>
      </c>
      <c r="AG112" s="463">
        <f>IF(Year3_Bracknell_Forest Year3_Continuous_assessments="","",Year3_Bracknell_Forest Year3_Continuous_assessments)</f>
        <v>1392</v>
      </c>
      <c r="AH112" s="463">
        <f>IF(Year4_Bracknell_Forest Year4_Continuous_assessments="","",Year4_Bracknell_Forest Year4_Continuous_assessments)</f>
        <v>1670</v>
      </c>
      <c r="AI112" s="463">
        <f>IF(Year5_Bracknell_Forest Year5_Continuous_assessments="","",Year5_Bracknell_Forest Year5_Continuous_assessments)</f>
        <v>1703</v>
      </c>
      <c r="AJ112" s="185"/>
      <c r="AK112" s="156"/>
    </row>
    <row r="113" spans="1:46" s="89" customFormat="1" ht="12.75" customHeight="1" x14ac:dyDescent="0.2">
      <c r="A113" s="462">
        <f>VLOOKUP(B113,Sheet1!$AQ$4:$AR$25,2,FALSE)</f>
        <v>0</v>
      </c>
      <c r="B113" s="95" t="str">
        <f t="shared" si="25"/>
        <v>Brighton &amp; Hove</v>
      </c>
      <c r="C113" s="87"/>
      <c r="D113" s="158">
        <f t="shared" ref="D113:D135" si="30">IF(AE113&gt;0,Z113/AE113,NA())</f>
        <v>0.53104693140794224</v>
      </c>
      <c r="E113" s="158">
        <f t="shared" ref="E113:E135" si="31">IF(AF113&gt;0,AA113/AF113,NA())</f>
        <v>0.48814504881450488</v>
      </c>
      <c r="F113" s="158">
        <f t="shared" ref="F113:F135" si="32">IF(AG113&gt;0,AB113/AG113,NA())</f>
        <v>0.70331125827814567</v>
      </c>
      <c r="G113" s="158">
        <f t="shared" ref="G113:G135" si="33">IF(AH113&gt;0,AC113/AH113,NA())</f>
        <v>0.88855979266938168</v>
      </c>
      <c r="H113" s="160">
        <f t="shared" ref="H113:H135" si="34">IF(AI113&gt;0,AD113/AI113,NA())</f>
        <v>0.88097165991902837</v>
      </c>
      <c r="I113" s="98"/>
      <c r="J113" s="98"/>
      <c r="K113" s="162"/>
      <c r="L113" s="162"/>
      <c r="M113" s="162"/>
      <c r="N113" s="162"/>
      <c r="O113" s="162"/>
      <c r="P113" s="162"/>
      <c r="Q113" s="162"/>
      <c r="R113" s="163"/>
      <c r="S113" s="155"/>
      <c r="T113" s="155"/>
      <c r="U113" s="162"/>
      <c r="V113" s="124"/>
      <c r="W113" s="140"/>
      <c r="X113" s="149"/>
      <c r="Y113" s="420" t="str">
        <f t="shared" ref="Y113:Y135" si="35">B113</f>
        <v>Brighton &amp; Hove</v>
      </c>
      <c r="Z113" s="365">
        <f>IF(Year1_Brighton_Hove Year1_Assessments_within45days="","",Year1_Brighton_Hove Year1_Assessments_within45days)</f>
        <v>1471</v>
      </c>
      <c r="AA113" s="365">
        <f>IF(Year2_Brighton_Hove Year2_Assessments_within45days="","",Year2_Brighton_Hove Year2_Assessments_within45days)</f>
        <v>1400</v>
      </c>
      <c r="AB113" s="365">
        <f>IF(Year3_Brighton_Hove Year3_Assessments_within45days="","",Year3_Brighton_Hove Year3_Assessments_within45days)</f>
        <v>2124</v>
      </c>
      <c r="AC113" s="365">
        <f>IF(Year4_Brighton_Hove Year4_Assessments_within45days="","",Year4_Brighton_Hove Year4_Assessments_within45days)</f>
        <v>2400</v>
      </c>
      <c r="AD113" s="552">
        <f>IF(Year5_Brighton_Hove Year5_Assessments_within45days="","",Year5_Brighton_Hove Year5_Assessments_within45days)</f>
        <v>2176</v>
      </c>
      <c r="AE113" s="556">
        <f>IF(Year1_Brighton_Hove Year1_Continuous_assessments="","",Year1_Brighton_Hove Year1_Continuous_assessments)</f>
        <v>2770</v>
      </c>
      <c r="AF113" s="463">
        <f>IF(Year2_Brighton_Hove Year2_Continuous_assessments="","",Year2_Brighton_Hove Year2_Continuous_assessments)</f>
        <v>2868</v>
      </c>
      <c r="AG113" s="463">
        <f>IF(Year3_Brighton_Hove Year3_Continuous_assessments="","",Year3_Brighton_Hove Year3_Continuous_assessments)</f>
        <v>3020</v>
      </c>
      <c r="AH113" s="463">
        <f>IF(Year4_Brighton_Hove Year4_Continuous_assessments="","",Year4_Brighton_Hove Year4_Continuous_assessments)</f>
        <v>2701</v>
      </c>
      <c r="AI113" s="463">
        <f>IF(Year5_Brighton_Hove Year5_Continuous_assessments="","",Year5_Brighton_Hove Year5_Continuous_assessments)</f>
        <v>2470</v>
      </c>
      <c r="AJ113" s="185"/>
      <c r="AK113" s="156"/>
    </row>
    <row r="114" spans="1:46" s="89" customFormat="1" ht="12.75" customHeight="1" x14ac:dyDescent="0.2">
      <c r="A114" s="462">
        <f>VLOOKUP(B114,Sheet1!$AQ$4:$AR$25,2,FALSE)</f>
        <v>0</v>
      </c>
      <c r="B114" s="95" t="str">
        <f t="shared" si="25"/>
        <v>Buckinghamshire</v>
      </c>
      <c r="C114" s="87"/>
      <c r="D114" s="158">
        <f t="shared" si="30"/>
        <v>0.82847896440129454</v>
      </c>
      <c r="E114" s="158">
        <f t="shared" si="31"/>
        <v>0.87296766124709668</v>
      </c>
      <c r="F114" s="158">
        <f t="shared" si="32"/>
        <v>0.92904191616766463</v>
      </c>
      <c r="G114" s="158">
        <f t="shared" si="33"/>
        <v>0.84317475496055461</v>
      </c>
      <c r="H114" s="160">
        <f t="shared" si="34"/>
        <v>0.73449290190561456</v>
      </c>
      <c r="I114" s="98"/>
      <c r="J114" s="98"/>
      <c r="K114" s="162"/>
      <c r="L114" s="162"/>
      <c r="M114" s="162"/>
      <c r="N114" s="162"/>
      <c r="O114" s="162"/>
      <c r="P114" s="162"/>
      <c r="Q114" s="162"/>
      <c r="R114" s="163"/>
      <c r="S114" s="155"/>
      <c r="T114" s="155"/>
      <c r="U114" s="162"/>
      <c r="V114" s="124"/>
      <c r="W114" s="140"/>
      <c r="X114" s="149"/>
      <c r="Y114" s="420" t="str">
        <f t="shared" si="35"/>
        <v>Buckinghamshire</v>
      </c>
      <c r="Z114" s="365">
        <f>IF(Year1_Buckinghamshire Year1_Assessments_within45days="","",Year1_Buckinghamshire Year1_Assessments_within45days)</f>
        <v>5120</v>
      </c>
      <c r="AA114" s="365">
        <f>IF(Year2_Buckinghamshire Year2_Assessments_within45days="","",Year2_Buckinghamshire Year2_Assessments_within45days)</f>
        <v>4886</v>
      </c>
      <c r="AB114" s="365">
        <f>IF(Year3_Buckinghamshire Year3_Assessments_within45days="","",Year3_Buckinghamshire Year3_Assessments_within45days)</f>
        <v>6206</v>
      </c>
      <c r="AC114" s="365">
        <f>IF(Year4_Buckinghamshire Year4_Assessments_within45days="","",Year4_Buckinghamshire Year4_Assessments_within45days)</f>
        <v>7054</v>
      </c>
      <c r="AD114" s="552">
        <f>IF(Year5_Buckinghamshire Year5_Assessments_within45days="","",Year5_Buckinghamshire Year5_Assessments_within45days)</f>
        <v>5743</v>
      </c>
      <c r="AE114" s="556">
        <f>IF(Year1_Buckinghamshire Year1_Continuous_assessments="","",Year1_Buckinghamshire Year1_Continuous_assessments)</f>
        <v>6180</v>
      </c>
      <c r="AF114" s="463">
        <f>IF(Year2_Buckinghamshire Year2_Continuous_assessments="","",Year2_Buckinghamshire Year2_Continuous_assessments)</f>
        <v>5597</v>
      </c>
      <c r="AG114" s="463">
        <f>IF(Year3_Buckinghamshire Year3_Continuous_assessments="","",Year3_Buckinghamshire Year3_Continuous_assessments)</f>
        <v>6680</v>
      </c>
      <c r="AH114" s="463">
        <f>IF(Year4_Buckinghamshire Year4_Continuous_assessments="","",Year4_Buckinghamshire Year4_Continuous_assessments)</f>
        <v>8366</v>
      </c>
      <c r="AI114" s="463">
        <f>IF(Year5_Buckinghamshire Year5_Continuous_assessments="","",Year5_Buckinghamshire Year5_Continuous_assessments)</f>
        <v>7819</v>
      </c>
      <c r="AJ114" s="185"/>
      <c r="AK114" s="156"/>
    </row>
    <row r="115" spans="1:46" s="89" customFormat="1" ht="12.75" customHeight="1" x14ac:dyDescent="0.2">
      <c r="A115" s="462">
        <f>VLOOKUP(B115,Sheet1!$AQ$4:$AR$25,2,FALSE)</f>
        <v>0</v>
      </c>
      <c r="B115" s="95" t="str">
        <f t="shared" si="25"/>
        <v>East Sussex</v>
      </c>
      <c r="C115" s="87"/>
      <c r="D115" s="158">
        <f t="shared" si="30"/>
        <v>0.5167660208643815</v>
      </c>
      <c r="E115" s="158">
        <f t="shared" si="31"/>
        <v>0.53883299798792761</v>
      </c>
      <c r="F115" s="158">
        <f t="shared" si="32"/>
        <v>0.65892459433662109</v>
      </c>
      <c r="G115" s="158">
        <f t="shared" si="33"/>
        <v>0.6064245810055866</v>
      </c>
      <c r="H115" s="160">
        <f t="shared" si="34"/>
        <v>0.57921067259588666</v>
      </c>
      <c r="I115" s="98"/>
      <c r="J115" s="98"/>
      <c r="K115" s="162"/>
      <c r="L115" s="162"/>
      <c r="M115" s="162"/>
      <c r="N115" s="162"/>
      <c r="O115" s="162"/>
      <c r="P115" s="162"/>
      <c r="Q115" s="162"/>
      <c r="R115" s="163"/>
      <c r="S115" s="155"/>
      <c r="T115" s="155"/>
      <c r="U115" s="162"/>
      <c r="V115" s="124"/>
      <c r="W115" s="140"/>
      <c r="X115" s="149"/>
      <c r="Y115" s="420" t="str">
        <f t="shared" si="35"/>
        <v>East Sussex</v>
      </c>
      <c r="Z115" s="365">
        <f>IF(Year1_East_Sussex Year1_Assessments_within45days="","",Year1_East_Sussex Year1_Assessments_within45days)</f>
        <v>1387</v>
      </c>
      <c r="AA115" s="365">
        <f>IF(Year2_East_Sussex Year2_Assessments_within45days="","",Year2_East_Sussex Year2_Assessments_within45days)</f>
        <v>1339</v>
      </c>
      <c r="AB115" s="365">
        <f>IF(Year3_East_Sussex Year3_Assessments_within45days="","",Year3_East_Sussex Year3_Assessments_within45days)</f>
        <v>2071</v>
      </c>
      <c r="AC115" s="365">
        <f>IF(Year4_East_Sussex Year4_Assessments_within45days="","",Year4_East_Sussex Year4_Assessments_within45days)</f>
        <v>2171</v>
      </c>
      <c r="AD115" s="552">
        <f>IF(Year5_East_Sussex Year5_Assessments_within45days="","",Year5_East_Sussex Year5_Assessments_within45days)</f>
        <v>2084</v>
      </c>
      <c r="AE115" s="556">
        <f>IF(Year1_East_Sussex Year1_Continuous_assessments="","",Year1_East_Sussex Year1_Continuous_assessments)</f>
        <v>2684</v>
      </c>
      <c r="AF115" s="463">
        <f>IF(Year2_East_Sussex Year2_Continuous_assessments="","",Year2_East_Sussex Year2_Continuous_assessments)</f>
        <v>2485</v>
      </c>
      <c r="AG115" s="463">
        <f>IF(Year3_East_Sussex Year3_Continuous_assessments="","",Year3_East_Sussex Year3_Continuous_assessments)</f>
        <v>3143</v>
      </c>
      <c r="AH115" s="463">
        <f>IF(Year4_East_Sussex Year4_Continuous_assessments="","",Year4_East_Sussex Year4_Continuous_assessments)</f>
        <v>3580</v>
      </c>
      <c r="AI115" s="463">
        <f>IF(Year5_East_Sussex Year5_Continuous_assessments="","",Year5_East_Sussex Year5_Continuous_assessments)</f>
        <v>3598</v>
      </c>
      <c r="AJ115" s="185"/>
      <c r="AK115" s="156"/>
    </row>
    <row r="116" spans="1:46" s="89" customFormat="1" ht="12.75" customHeight="1" x14ac:dyDescent="0.2">
      <c r="A116" s="462">
        <f>VLOOKUP(B116,Sheet1!$AQ$4:$AR$25,2,FALSE)</f>
        <v>0</v>
      </c>
      <c r="B116" s="95" t="str">
        <f t="shared" si="25"/>
        <v>Hampshire</v>
      </c>
      <c r="C116" s="87"/>
      <c r="D116" s="158">
        <f t="shared" si="30"/>
        <v>0.79404539073467473</v>
      </c>
      <c r="E116" s="158">
        <f t="shared" si="31"/>
        <v>0.88252318232827354</v>
      </c>
      <c r="F116" s="158">
        <f t="shared" si="32"/>
        <v>0.89637619071619379</v>
      </c>
      <c r="G116" s="158">
        <f t="shared" si="33"/>
        <v>0.91200453001132498</v>
      </c>
      <c r="H116" s="160">
        <f t="shared" si="34"/>
        <v>0.90851524745875689</v>
      </c>
      <c r="I116" s="98"/>
      <c r="J116" s="98"/>
      <c r="K116" s="162"/>
      <c r="L116" s="162"/>
      <c r="M116" s="162"/>
      <c r="N116" s="162"/>
      <c r="O116" s="162"/>
      <c r="P116" s="162"/>
      <c r="Q116" s="162"/>
      <c r="R116" s="163"/>
      <c r="S116" s="155"/>
      <c r="T116" s="155"/>
      <c r="U116" s="162"/>
      <c r="V116" s="124"/>
      <c r="W116" s="140"/>
      <c r="X116" s="149"/>
      <c r="Y116" s="420" t="str">
        <f t="shared" si="35"/>
        <v>Hampshire</v>
      </c>
      <c r="Z116" s="365">
        <f>IF(Year1_Hampshire Year1_Assessments_within45days="","",Year1_Hampshire Year1_Assessments_within45days)</f>
        <v>13575</v>
      </c>
      <c r="AA116" s="365">
        <f>IF(Year2_Hampshire Year2_Assessments_within45days="","",Year2_Hampshire Year2_Assessments_within45days)</f>
        <v>14942</v>
      </c>
      <c r="AB116" s="365">
        <f>IF(Year3_Hampshire Year3_Assessments_within45days="","",Year3_Hampshire Year3_Assessments_within45days)</f>
        <v>17785</v>
      </c>
      <c r="AC116" s="365">
        <f>IF(Year4_Hampshire Year4_Assessments_within45days="","",Year4_Hampshire Year4_Assessments_within45days)</f>
        <v>16106</v>
      </c>
      <c r="AD116" s="552">
        <f>IF(Year5_Hampshire Year5_Assessments_within45days="","",Year5_Hampshire Year5_Assessments_within45days)</f>
        <v>16356</v>
      </c>
      <c r="AE116" s="556">
        <f>IF(Year1_Hampshire Year1_Continuous_assessments="","",Year1_Hampshire Year1_Continuous_assessments)</f>
        <v>17096</v>
      </c>
      <c r="AF116" s="463">
        <f>IF(Year2_Hampshire Year2_Continuous_assessments="","",Year2_Hampshire Year2_Continuous_assessments)</f>
        <v>16931</v>
      </c>
      <c r="AG116" s="463">
        <f>IF(Year3_Hampshire Year3_Continuous_assessments="","",Year3_Hampshire Year3_Continuous_assessments)</f>
        <v>19841</v>
      </c>
      <c r="AH116" s="463">
        <f>IF(Year4_Hampshire Year4_Continuous_assessments="","",Year4_Hampshire Year4_Continuous_assessments)</f>
        <v>17660</v>
      </c>
      <c r="AI116" s="463">
        <f>IF(Year5_Hampshire Year5_Continuous_assessments="","",Year5_Hampshire Year5_Continuous_assessments)</f>
        <v>18003</v>
      </c>
      <c r="AJ116" s="185"/>
      <c r="AK116" s="156"/>
    </row>
    <row r="117" spans="1:46" s="89" customFormat="1" ht="12.75" customHeight="1" x14ac:dyDescent="0.2">
      <c r="A117" s="462">
        <f>VLOOKUP(B117,Sheet1!$AQ$4:$AR$25,2,FALSE)</f>
        <v>0</v>
      </c>
      <c r="B117" s="95" t="str">
        <f t="shared" si="25"/>
        <v>Isle of Wight</v>
      </c>
      <c r="C117" s="87"/>
      <c r="D117" s="158">
        <f t="shared" si="30"/>
        <v>0.80292338709677424</v>
      </c>
      <c r="E117" s="158">
        <f t="shared" si="31"/>
        <v>0.86304801670146136</v>
      </c>
      <c r="F117" s="158">
        <f t="shared" si="32"/>
        <v>0.79189892233370496</v>
      </c>
      <c r="G117" s="158">
        <f t="shared" si="33"/>
        <v>0.86114221724524076</v>
      </c>
      <c r="H117" s="160">
        <f t="shared" si="34"/>
        <v>0.95776081424936388</v>
      </c>
      <c r="I117" s="98"/>
      <c r="J117" s="98"/>
      <c r="K117" s="162"/>
      <c r="L117" s="162"/>
      <c r="M117" s="162"/>
      <c r="N117" s="162"/>
      <c r="O117" s="162"/>
      <c r="P117" s="162"/>
      <c r="Q117" s="162"/>
      <c r="R117" s="163"/>
      <c r="S117" s="155"/>
      <c r="T117" s="155"/>
      <c r="U117" s="162"/>
      <c r="V117" s="124"/>
      <c r="W117" s="140"/>
      <c r="X117" s="149"/>
      <c r="Y117" s="420" t="str">
        <f t="shared" si="35"/>
        <v>Isle of Wight</v>
      </c>
      <c r="Z117" s="365">
        <f>IF(Year1_Isle_of_Wight Year1_Assessments_within45days="","",Year1_Isle_of_Wight Year1_Assessments_within45days)</f>
        <v>1593</v>
      </c>
      <c r="AA117" s="365">
        <f>IF(Year2_Isle_of_Wight Year2_Assessments_within45days="","",Year2_Isle_of_Wight Year2_Assessments_within45days)</f>
        <v>2067</v>
      </c>
      <c r="AB117" s="365">
        <f>IF(Year3_Isle_of_Wight Year3_Assessments_within45days="","",Year3_Isle_of_Wight Year3_Assessments_within45days)</f>
        <v>2131</v>
      </c>
      <c r="AC117" s="365">
        <f>IF(Year4_Isle_of_Wight Year4_Assessments_within45days="","",Year4_Isle_of_Wight Year4_Assessments_within45days)</f>
        <v>2307</v>
      </c>
      <c r="AD117" s="552">
        <f>IF(Year5_Isle_of_Wight Year5_Assessments_within45days="","",Year5_Isle_of_Wight Year5_Assessments_within45days)</f>
        <v>1882</v>
      </c>
      <c r="AE117" s="556">
        <f>IF(Year1_Isle_of_Wight Year1_Continuous_assessments="","",Year1_Isle_of_Wight Year1_Continuous_assessments)</f>
        <v>1984</v>
      </c>
      <c r="AF117" s="463">
        <f>IF(Year2_Isle_of_Wight Year2_Continuous_assessments="","",Year2_Isle_of_Wight Year2_Continuous_assessments)</f>
        <v>2395</v>
      </c>
      <c r="AG117" s="463">
        <f>IF(Year3_Isle_of_Wight Year3_Continuous_assessments="","",Year3_Isle_of_Wight Year3_Continuous_assessments)</f>
        <v>2691</v>
      </c>
      <c r="AH117" s="463">
        <f>IF(Year4_Isle_of_Wight Year4_Continuous_assessments="","",Year4_Isle_of_Wight Year4_Continuous_assessments)</f>
        <v>2679</v>
      </c>
      <c r="AI117" s="463">
        <f>IF(Year5_Isle_of_Wight Year5_Continuous_assessments="","",Year5_Isle_of_Wight Year5_Continuous_assessments)</f>
        <v>1965</v>
      </c>
      <c r="AJ117" s="185"/>
      <c r="AK117" s="156"/>
      <c r="AT117" s="89" t="s">
        <v>103</v>
      </c>
    </row>
    <row r="118" spans="1:46" s="89" customFormat="1" ht="12.75" customHeight="1" x14ac:dyDescent="0.2">
      <c r="A118" s="462">
        <f>VLOOKUP(B118,Sheet1!$AQ$4:$AR$25,2,FALSE)</f>
        <v>0</v>
      </c>
      <c r="B118" s="95" t="str">
        <f t="shared" si="25"/>
        <v>Kent</v>
      </c>
      <c r="C118" s="87"/>
      <c r="D118" s="158">
        <f t="shared" si="30"/>
        <v>0.88577395266421977</v>
      </c>
      <c r="E118" s="158">
        <f t="shared" si="31"/>
        <v>0.91204379562043791</v>
      </c>
      <c r="F118" s="158">
        <f t="shared" si="32"/>
        <v>0.92209458633752905</v>
      </c>
      <c r="G118" s="158">
        <f t="shared" si="33"/>
        <v>0.86859297816964998</v>
      </c>
      <c r="H118" s="160">
        <f t="shared" si="34"/>
        <v>0.92114330904366493</v>
      </c>
      <c r="I118" s="98"/>
      <c r="J118" s="98"/>
      <c r="K118" s="162"/>
      <c r="L118" s="162"/>
      <c r="M118" s="162"/>
      <c r="N118" s="162"/>
      <c r="O118" s="162"/>
      <c r="P118" s="162"/>
      <c r="Q118" s="162"/>
      <c r="R118" s="163"/>
      <c r="S118" s="155"/>
      <c r="T118" s="155"/>
      <c r="U118" s="162"/>
      <c r="V118" s="124"/>
      <c r="W118" s="140"/>
      <c r="X118" s="149"/>
      <c r="Y118" s="420" t="str">
        <f t="shared" si="35"/>
        <v>Kent</v>
      </c>
      <c r="Z118" s="365">
        <f>IF(Year1_Kent Year1_Assessments_within45days="","",Year1_Kent Year1_Assessments_within45days)</f>
        <v>13997</v>
      </c>
      <c r="AA118" s="365">
        <f>IF(Year2_Kent Year2_Assessments_within45days="","",Year2_Kent Year2_Assessments_within45days)</f>
        <v>14994</v>
      </c>
      <c r="AB118" s="365">
        <f>IF(Year3_Kent Year3_Assessments_within45days="","",Year3_Kent Year3_Assessments_within45days)</f>
        <v>15091</v>
      </c>
      <c r="AC118" s="365">
        <f>IF(Year4_Kent Year4_Assessments_within45days="","",Year4_Kent Year4_Assessments_within45days)</f>
        <v>16353</v>
      </c>
      <c r="AD118" s="552">
        <f>IF(Year5_Kent Year5_Assessments_within45days="","",Year5_Kent Year5_Assessments_within45days)</f>
        <v>16307</v>
      </c>
      <c r="AE118" s="556">
        <f>IF(Year1_Kent Year1_Continuous_assessments="","",Year1_Kent Year1_Continuous_assessments)</f>
        <v>15802</v>
      </c>
      <c r="AF118" s="463">
        <f>IF(Year2_Kent Year2_Continuous_assessments="","",Year2_Kent Year2_Continuous_assessments)</f>
        <v>16440</v>
      </c>
      <c r="AG118" s="463">
        <f>IF(Year3_Kent Year3_Continuous_assessments="","",Year3_Kent Year3_Continuous_assessments)</f>
        <v>16366</v>
      </c>
      <c r="AH118" s="463">
        <f>IF(Year4_Kent Year4_Continuous_assessments="","",Year4_Kent Year4_Continuous_assessments)</f>
        <v>18827</v>
      </c>
      <c r="AI118" s="463">
        <f>IF(Year5_Kent Year5_Continuous_assessments="","",Year5_Kent Year5_Continuous_assessments)</f>
        <v>17703</v>
      </c>
      <c r="AJ118" s="185"/>
      <c r="AK118" s="156"/>
    </row>
    <row r="119" spans="1:46" s="89" customFormat="1" ht="12.75" customHeight="1" x14ac:dyDescent="0.2">
      <c r="A119" s="462">
        <f>VLOOKUP(B119,Sheet1!$AQ$4:$AR$25,2,FALSE)</f>
        <v>0</v>
      </c>
      <c r="B119" s="95" t="str">
        <f t="shared" si="25"/>
        <v>Medway</v>
      </c>
      <c r="C119" s="87"/>
      <c r="D119" s="158">
        <f t="shared" si="30"/>
        <v>0.75371722087050552</v>
      </c>
      <c r="E119" s="158">
        <f t="shared" si="31"/>
        <v>0.83365446371226715</v>
      </c>
      <c r="F119" s="158">
        <f t="shared" si="32"/>
        <v>0.95848119233498941</v>
      </c>
      <c r="G119" s="158">
        <f t="shared" si="33"/>
        <v>0.85930649661219605</v>
      </c>
      <c r="H119" s="160">
        <f t="shared" si="34"/>
        <v>0.63128654970760234</v>
      </c>
      <c r="I119" s="98"/>
      <c r="J119" s="98"/>
      <c r="K119" s="162"/>
      <c r="L119" s="162"/>
      <c r="M119" s="162"/>
      <c r="N119" s="162"/>
      <c r="O119" s="162"/>
      <c r="P119" s="162"/>
      <c r="Q119" s="162"/>
      <c r="R119" s="163"/>
      <c r="S119" s="155"/>
      <c r="T119" s="155"/>
      <c r="U119" s="162"/>
      <c r="V119" s="124"/>
      <c r="W119" s="140"/>
      <c r="X119" s="149"/>
      <c r="Y119" s="420" t="str">
        <f t="shared" si="35"/>
        <v>Medway</v>
      </c>
      <c r="Z119" s="365">
        <f>IF(Year1_Medway Year1_Assessments_within45days="","",Year1_Medway Year1_Assessments_within45days)</f>
        <v>2788</v>
      </c>
      <c r="AA119" s="365">
        <f>IF(Year2_Medway Year2_Assessments_within45days="","",Year2_Medway Year2_Assessments_within45days)</f>
        <v>2596</v>
      </c>
      <c r="AB119" s="365">
        <f>IF(Year3_Medway Year3_Assessments_within45days="","",Year3_Medway Year3_Assessments_within45days)</f>
        <v>2701</v>
      </c>
      <c r="AC119" s="365">
        <f>IF(Year4_Medway Year4_Assessments_within45days="","",Year4_Medway Year4_Assessments_within45days)</f>
        <v>2156</v>
      </c>
      <c r="AD119" s="552">
        <f>IF(Year5_Medway Year5_Assessments_within45days="","",Year5_Medway Year5_Assessments_within45days)</f>
        <v>2159</v>
      </c>
      <c r="AE119" s="556">
        <f>IF(Year1_Medway Year1_Continuous_assessments="","",Year1_Medway Year1_Continuous_assessments)</f>
        <v>3699</v>
      </c>
      <c r="AF119" s="463">
        <f>IF(Year2_Medway Year2_Continuous_assessments="","",Year2_Medway Year2_Continuous_assessments)</f>
        <v>3114</v>
      </c>
      <c r="AG119" s="463">
        <f>IF(Year3_Medway Year3_Continuous_assessments="","",Year3_Medway Year3_Continuous_assessments)</f>
        <v>2818</v>
      </c>
      <c r="AH119" s="463">
        <f>IF(Year4_Medway Year4_Continuous_assessments="","",Year4_Medway Year4_Continuous_assessments)</f>
        <v>2509</v>
      </c>
      <c r="AI119" s="463">
        <f>IF(Year5_Medway Year5_Continuous_assessments="","",Year5_Medway Year5_Continuous_assessments)</f>
        <v>3420</v>
      </c>
      <c r="AJ119" s="185"/>
      <c r="AK119" s="156"/>
    </row>
    <row r="120" spans="1:46" s="89" customFormat="1" ht="12.75" customHeight="1" x14ac:dyDescent="0.2">
      <c r="A120" s="462">
        <f>VLOOKUP(B120,Sheet1!$AQ$4:$AR$25,2,FALSE)</f>
        <v>0</v>
      </c>
      <c r="B120" s="95" t="str">
        <f t="shared" si="25"/>
        <v>Milton Keynes</v>
      </c>
      <c r="C120" s="87"/>
      <c r="D120" s="158">
        <f t="shared" si="30"/>
        <v>0.95950000000000002</v>
      </c>
      <c r="E120" s="158">
        <f t="shared" si="31"/>
        <v>0.93291806420699563</v>
      </c>
      <c r="F120" s="158">
        <f t="shared" si="32"/>
        <v>0.90186730234406043</v>
      </c>
      <c r="G120" s="158">
        <f t="shared" si="33"/>
        <v>0.87754179846362401</v>
      </c>
      <c r="H120" s="160">
        <f t="shared" si="34"/>
        <v>0.93863939528679408</v>
      </c>
      <c r="I120" s="98"/>
      <c r="J120" s="98"/>
      <c r="K120" s="162"/>
      <c r="L120" s="162"/>
      <c r="M120" s="162"/>
      <c r="N120" s="162"/>
      <c r="O120" s="162"/>
      <c r="P120" s="162"/>
      <c r="Q120" s="162"/>
      <c r="R120" s="163"/>
      <c r="S120" s="155"/>
      <c r="T120" s="155"/>
      <c r="U120" s="162"/>
      <c r="V120" s="124"/>
      <c r="W120" s="140"/>
      <c r="X120" s="149"/>
      <c r="Y120" s="420" t="str">
        <f t="shared" si="35"/>
        <v>Milton Keynes</v>
      </c>
      <c r="Z120" s="365">
        <f>IF(Year1_Milton_Keynes Year1_Assessments_within45days="","",Year1_Milton_Keynes Year1_Assessments_within45days)</f>
        <v>1919</v>
      </c>
      <c r="AA120" s="365">
        <f>IF(Year2_Milton_Keynes Year2_Assessments_within45days="","",Year2_Milton_Keynes Year2_Assessments_within45days)</f>
        <v>1947</v>
      </c>
      <c r="AB120" s="365">
        <f>IF(Year3_Milton_Keynes Year3_Assessments_within45days="","",Year3_Milton_Keynes Year3_Assessments_within45days)</f>
        <v>2270</v>
      </c>
      <c r="AC120" s="365">
        <f>IF(Year4_Milton_Keynes Year4_Assessments_within45days="","",Year4_Milton_Keynes Year4_Assessments_within45days)</f>
        <v>1942</v>
      </c>
      <c r="AD120" s="552">
        <f>IF(Year5_Milton_Keynes Year5_Assessments_within45days="","",Year5_Milton_Keynes Year5_Assessments_within45days)</f>
        <v>2111</v>
      </c>
      <c r="AE120" s="556">
        <f>IF(Year1_Milton_Keynes Year1_Continuous_assessments="","",Year1_Milton_Keynes Year1_Continuous_assessments)</f>
        <v>2000</v>
      </c>
      <c r="AF120" s="463">
        <f>IF(Year2_Milton_Keynes Year2_Continuous_assessments="","",Year2_Milton_Keynes Year2_Continuous_assessments)</f>
        <v>2087</v>
      </c>
      <c r="AG120" s="463">
        <f>IF(Year3_Milton_Keynes Year3_Continuous_assessments="","",Year3_Milton_Keynes Year3_Continuous_assessments)</f>
        <v>2517</v>
      </c>
      <c r="AH120" s="463">
        <f>IF(Year4_Milton_Keynes Year4_Continuous_assessments="","",Year4_Milton_Keynes Year4_Continuous_assessments)</f>
        <v>2213</v>
      </c>
      <c r="AI120" s="463">
        <f>IF(Year5_Milton_Keynes Year5_Continuous_assessments="","",Year5_Milton_Keynes Year5_Continuous_assessments)</f>
        <v>2249</v>
      </c>
      <c r="AJ120" s="185"/>
      <c r="AK120" s="156"/>
    </row>
    <row r="121" spans="1:46" s="89" customFormat="1" ht="12.75" customHeight="1" x14ac:dyDescent="0.2">
      <c r="A121" s="462">
        <f>VLOOKUP(B121,Sheet1!$AQ$4:$AR$25,2,FALSE)</f>
        <v>0</v>
      </c>
      <c r="B121" s="95" t="str">
        <f t="shared" si="25"/>
        <v>Oxfordshire</v>
      </c>
      <c r="C121" s="87"/>
      <c r="D121" s="158">
        <f t="shared" si="30"/>
        <v>0.74807539155826919</v>
      </c>
      <c r="E121" s="158">
        <f t="shared" si="31"/>
        <v>0.6292603335750544</v>
      </c>
      <c r="F121" s="158">
        <f t="shared" si="32"/>
        <v>0.5178571428571429</v>
      </c>
      <c r="G121" s="158">
        <f t="shared" si="33"/>
        <v>0.51692573402417963</v>
      </c>
      <c r="H121" s="160">
        <f t="shared" si="34"/>
        <v>0.58327165062916353</v>
      </c>
      <c r="I121" s="98"/>
      <c r="J121" s="98"/>
      <c r="K121" s="162"/>
      <c r="L121" s="162"/>
      <c r="M121" s="162"/>
      <c r="N121" s="162"/>
      <c r="O121" s="162"/>
      <c r="P121" s="162"/>
      <c r="Q121" s="162"/>
      <c r="R121" s="163"/>
      <c r="S121" s="155"/>
      <c r="T121" s="155"/>
      <c r="U121" s="162"/>
      <c r="V121" s="124"/>
      <c r="W121" s="140"/>
      <c r="X121" s="149"/>
      <c r="Y121" s="420" t="str">
        <f t="shared" si="35"/>
        <v>Oxfordshire</v>
      </c>
      <c r="Z121" s="365">
        <f>IF(Year1_Oxfordshire Year1_Assessments_within45days="","",Year1_Oxfordshire Year1_Assessments_within45days)</f>
        <v>2818</v>
      </c>
      <c r="AA121" s="365">
        <f>IF(Year2_Oxfordshire Year2_Assessments_within45days="","",Year2_Oxfordshire Year2_Assessments_within45days)</f>
        <v>3471</v>
      </c>
      <c r="AB121" s="365">
        <f>IF(Year3_Oxfordshire Year3_Assessments_within45days="","",Year3_Oxfordshire Year3_Assessments_within45days)</f>
        <v>3480</v>
      </c>
      <c r="AC121" s="365">
        <f>IF(Year4_Oxfordshire Year4_Assessments_within45days="","",Year4_Oxfordshire Year4_Assessments_within45days)</f>
        <v>2993</v>
      </c>
      <c r="AD121" s="552">
        <f>IF(Year5_Oxfordshire Year5_Assessments_within45days="","",Year5_Oxfordshire Year5_Assessments_within45days)</f>
        <v>3152</v>
      </c>
      <c r="AE121" s="556">
        <f>IF(Year1_Oxfordshire Year1_Continuous_assessments="","",Year1_Oxfordshire Year1_Continuous_assessments)</f>
        <v>3767</v>
      </c>
      <c r="AF121" s="463">
        <f>IF(Year2_Oxfordshire Year2_Continuous_assessments="","",Year2_Oxfordshire Year2_Continuous_assessments)</f>
        <v>5516</v>
      </c>
      <c r="AG121" s="463">
        <f>IF(Year3_Oxfordshire Year3_Continuous_assessments="","",Year3_Oxfordshire Year3_Continuous_assessments)</f>
        <v>6720</v>
      </c>
      <c r="AH121" s="463">
        <f>IF(Year4_Oxfordshire Year4_Continuous_assessments="","",Year4_Oxfordshire Year4_Continuous_assessments)</f>
        <v>5790</v>
      </c>
      <c r="AI121" s="463">
        <f>IF(Year5_Oxfordshire Year5_Continuous_assessments="","",Year5_Oxfordshire Year5_Continuous_assessments)</f>
        <v>5404</v>
      </c>
      <c r="AJ121" s="185"/>
      <c r="AK121" s="156"/>
    </row>
    <row r="122" spans="1:46" s="89" customFormat="1" ht="12.75" customHeight="1" x14ac:dyDescent="0.2">
      <c r="A122" s="462">
        <f>VLOOKUP(B122,Sheet1!$AQ$4:$AR$25,2,FALSE)</f>
        <v>0</v>
      </c>
      <c r="B122" s="95" t="str">
        <f t="shared" si="25"/>
        <v>Portsmouth</v>
      </c>
      <c r="C122" s="87"/>
      <c r="D122" s="158">
        <f t="shared" si="30"/>
        <v>0.91397109428768064</v>
      </c>
      <c r="E122" s="158">
        <f t="shared" si="31"/>
        <v>0.99516908212560384</v>
      </c>
      <c r="F122" s="158">
        <f t="shared" si="32"/>
        <v>0.94135593220338987</v>
      </c>
      <c r="G122" s="158">
        <f t="shared" si="33"/>
        <v>0.93573667711598751</v>
      </c>
      <c r="H122" s="160">
        <f t="shared" si="34"/>
        <v>0.95210061546695213</v>
      </c>
      <c r="I122" s="98"/>
      <c r="J122" s="98"/>
      <c r="K122" s="162"/>
      <c r="L122" s="162"/>
      <c r="M122" s="162"/>
      <c r="N122" s="162"/>
      <c r="O122" s="162"/>
      <c r="P122" s="162"/>
      <c r="Q122" s="162"/>
      <c r="R122" s="163"/>
      <c r="S122" s="155"/>
      <c r="T122" s="155"/>
      <c r="U122" s="162"/>
      <c r="V122" s="124"/>
      <c r="W122" s="140"/>
      <c r="X122" s="149"/>
      <c r="Y122" s="420" t="str">
        <f t="shared" si="35"/>
        <v>Portsmouth</v>
      </c>
      <c r="Z122" s="365">
        <f>IF(Year1_Portsmouth Year1_Assessments_within45days="","",Year1_Portsmouth Year1_Assessments_within45days)</f>
        <v>1328</v>
      </c>
      <c r="AA122" s="365">
        <f>IF(Year2_Portsmouth Year2_Assessments_within45days="","",Year2_Portsmouth Year2_Assessments_within45days)</f>
        <v>1854</v>
      </c>
      <c r="AB122" s="365">
        <f>IF(Year3_Portsmouth Year3_Assessments_within45days="","",Year3_Portsmouth Year3_Assessments_within45days)</f>
        <v>2777</v>
      </c>
      <c r="AC122" s="365">
        <f>IF(Year4_Portsmouth Year4_Assessments_within45days="","",Year4_Portsmouth Year4_Assessments_within45days)</f>
        <v>2985</v>
      </c>
      <c r="AD122" s="552">
        <f>IF(Year5_Portsmouth Year5_Assessments_within45days="","",Year5_Portsmouth Year5_Assessments_within45days)</f>
        <v>3558</v>
      </c>
      <c r="AE122" s="556">
        <f>IF(Year1_Portsmouth Year1_Continuous_assessments="","",Year1_Portsmouth Year1_Continuous_assessments)</f>
        <v>1453</v>
      </c>
      <c r="AF122" s="463">
        <f>IF(Year2_Portsmouth Year2_Continuous_assessments="","",Year2_Portsmouth Year2_Continuous_assessments)</f>
        <v>1863</v>
      </c>
      <c r="AG122" s="463">
        <f>IF(Year3_Portsmouth Year3_Continuous_assessments="","",Year3_Portsmouth Year3_Continuous_assessments)</f>
        <v>2950</v>
      </c>
      <c r="AH122" s="463">
        <f>IF(Year4_Portsmouth Year4_Continuous_assessments="","",Year4_Portsmouth Year4_Continuous_assessments)</f>
        <v>3190</v>
      </c>
      <c r="AI122" s="463">
        <f>IF(Year5_Portsmouth Year5_Continuous_assessments="","",Year5_Portsmouth Year5_Continuous_assessments)</f>
        <v>3737</v>
      </c>
      <c r="AJ122" s="185"/>
      <c r="AK122" s="156"/>
    </row>
    <row r="123" spans="1:46" s="89" customFormat="1" ht="12.75" customHeight="1" x14ac:dyDescent="0.2">
      <c r="A123" s="462">
        <f>VLOOKUP(B123,Sheet1!$AQ$4:$AR$25,2,FALSE)</f>
        <v>0</v>
      </c>
      <c r="B123" s="95" t="str">
        <f t="shared" si="25"/>
        <v>Reading</v>
      </c>
      <c r="C123" s="87"/>
      <c r="D123" s="158">
        <f t="shared" si="30"/>
        <v>0.83792815371762741</v>
      </c>
      <c r="E123" s="158">
        <f t="shared" si="31"/>
        <v>0.8337171810225702</v>
      </c>
      <c r="F123" s="158">
        <f t="shared" si="32"/>
        <v>0.69847198641765706</v>
      </c>
      <c r="G123" s="158">
        <f t="shared" si="33"/>
        <v>0.86205661053385885</v>
      </c>
      <c r="H123" s="160">
        <f t="shared" si="34"/>
        <v>0.88191330343796714</v>
      </c>
      <c r="I123" s="98"/>
      <c r="J123" s="98"/>
      <c r="K123" s="162"/>
      <c r="L123" s="162"/>
      <c r="M123" s="162"/>
      <c r="N123" s="162"/>
      <c r="O123" s="162"/>
      <c r="P123" s="162"/>
      <c r="Q123" s="162"/>
      <c r="R123" s="163"/>
      <c r="S123" s="155"/>
      <c r="T123" s="155"/>
      <c r="U123" s="162"/>
      <c r="V123" s="124"/>
      <c r="W123" s="140"/>
      <c r="X123" s="149"/>
      <c r="Y123" s="420" t="str">
        <f t="shared" si="35"/>
        <v>Reading</v>
      </c>
      <c r="Z123" s="365">
        <f>IF(Year1_Reading Year1_Assessments_within45days="","",Year1_Reading Year1_Assessments_within45days)</f>
        <v>1003</v>
      </c>
      <c r="AA123" s="365">
        <f>IF(Year2_Reading Year2_Assessments_within45days="","",Year2_Reading Year2_Assessments_within45days)</f>
        <v>1810</v>
      </c>
      <c r="AB123" s="365">
        <f>IF(Year3_Reading Year3_Assessments_within45days="","",Year3_Reading Year3_Assessments_within45days)</f>
        <v>2057</v>
      </c>
      <c r="AC123" s="365">
        <f>IF(Year4_Reading Year4_Assessments_within45days="","",Year4_Reading Year4_Assessments_within45days)</f>
        <v>2406</v>
      </c>
      <c r="AD123" s="552">
        <f>IF(Year5_Reading Year5_Assessments_within45days="","",Year5_Reading Year5_Assessments_within45days)</f>
        <v>2360</v>
      </c>
      <c r="AE123" s="556">
        <f>IF(Year1_Reading Year1_Continuous_assessments="","",Year1_Reading Year1_Continuous_assessments)</f>
        <v>1197</v>
      </c>
      <c r="AF123" s="463">
        <f>IF(Year2_Reading Year2_Continuous_assessments="","",Year2_Reading Year2_Continuous_assessments)</f>
        <v>2171</v>
      </c>
      <c r="AG123" s="463">
        <f>IF(Year3_Reading Year3_Continuous_assessments="","",Year3_Reading Year3_Continuous_assessments)</f>
        <v>2945</v>
      </c>
      <c r="AH123" s="463">
        <f>IF(Year4_Reading Year4_Continuous_assessments="","",Year4_Reading Year4_Continuous_assessments)</f>
        <v>2791</v>
      </c>
      <c r="AI123" s="463">
        <f>IF(Year5_Reading Year5_Continuous_assessments="","",Year5_Reading Year5_Continuous_assessments)</f>
        <v>2676</v>
      </c>
      <c r="AJ123" s="185"/>
      <c r="AK123" s="156"/>
    </row>
    <row r="124" spans="1:46" s="89" customFormat="1" ht="12.75" customHeight="1" x14ac:dyDescent="0.2">
      <c r="A124" s="462">
        <f>VLOOKUP(B124,Sheet1!$AQ$4:$AR$25,2,FALSE)</f>
        <v>0</v>
      </c>
      <c r="B124" s="95" t="str">
        <f t="shared" si="25"/>
        <v>Slough</v>
      </c>
      <c r="C124" s="87"/>
      <c r="D124" s="158">
        <f t="shared" si="30"/>
        <v>0.93773283661522089</v>
      </c>
      <c r="E124" s="158">
        <f t="shared" si="31"/>
        <v>0.92851622874806805</v>
      </c>
      <c r="F124" s="158">
        <f t="shared" si="32"/>
        <v>0.85763146643864896</v>
      </c>
      <c r="G124" s="158">
        <f t="shared" si="33"/>
        <v>0.56594885598923284</v>
      </c>
      <c r="H124" s="160">
        <f t="shared" si="34"/>
        <v>0.79708580679978414</v>
      </c>
      <c r="I124" s="98"/>
      <c r="J124" s="98"/>
      <c r="K124" s="162"/>
      <c r="L124" s="162"/>
      <c r="M124" s="162"/>
      <c r="N124" s="162"/>
      <c r="O124" s="162"/>
      <c r="P124" s="162"/>
      <c r="Q124" s="162"/>
      <c r="R124" s="163"/>
      <c r="S124" s="155"/>
      <c r="T124" s="155"/>
      <c r="U124" s="162"/>
      <c r="V124" s="124"/>
      <c r="W124" s="140"/>
      <c r="X124" s="149"/>
      <c r="Y124" s="420" t="str">
        <f t="shared" si="35"/>
        <v>Slough</v>
      </c>
      <c r="Z124" s="365">
        <f>IF(Year1_Slough Year1_Assessments_within45days="","",Year1_Slough Year1_Assessments_within45days)</f>
        <v>1762</v>
      </c>
      <c r="AA124" s="365">
        <f>IF(Year2_Slough Year2_Assessments_within45days="","",Year2_Slough Year2_Assessments_within45days)</f>
        <v>2403</v>
      </c>
      <c r="AB124" s="365">
        <f>IF(Year3_Slough Year3_Assessments_within45days="","",Year3_Slough Year3_Assessments_within45days)</f>
        <v>2006</v>
      </c>
      <c r="AC124" s="365">
        <f>IF(Year4_Slough Year4_Assessments_within45days="","",Year4_Slough Year4_Assessments_within45days)</f>
        <v>841</v>
      </c>
      <c r="AD124" s="552">
        <f>IF(Year5_Slough Year5_Assessments_within45days="","",Year5_Slough Year5_Assessments_within45days)</f>
        <v>1477</v>
      </c>
      <c r="AE124" s="556">
        <f>IF(Year1_Slough Year1_Continuous_assessments="","",Year1_Slough Year1_Continuous_assessments)</f>
        <v>1879</v>
      </c>
      <c r="AF124" s="463">
        <f>IF(Year2_Slough Year2_Continuous_assessments="","",Year2_Slough Year2_Continuous_assessments)</f>
        <v>2588</v>
      </c>
      <c r="AG124" s="463">
        <f>IF(Year3_Slough Year3_Continuous_assessments="","",Year3_Slough Year3_Continuous_assessments)</f>
        <v>2339</v>
      </c>
      <c r="AH124" s="463">
        <f>IF(Year4_Slough Year4_Continuous_assessments="","",Year4_Slough Year4_Continuous_assessments)</f>
        <v>1486</v>
      </c>
      <c r="AI124" s="463">
        <f>IF(Year5_Slough Year5_Continuous_assessments="","",Year5_Slough Year5_Continuous_assessments)</f>
        <v>1853</v>
      </c>
      <c r="AJ124" s="185"/>
      <c r="AK124" s="156"/>
    </row>
    <row r="125" spans="1:46" s="89" customFormat="1" ht="12.75" customHeight="1" x14ac:dyDescent="0.2">
      <c r="A125" s="462">
        <f>VLOOKUP(B125,Sheet1!$AQ$4:$AR$25,2,FALSE)</f>
        <v>0</v>
      </c>
      <c r="B125" s="95" t="str">
        <f t="shared" si="25"/>
        <v>Somerset</v>
      </c>
      <c r="C125" s="87"/>
      <c r="D125" s="158">
        <f t="shared" si="30"/>
        <v>0.92904509283819625</v>
      </c>
      <c r="E125" s="158">
        <f t="shared" si="31"/>
        <v>0.68116927260367099</v>
      </c>
      <c r="F125" s="158">
        <f t="shared" si="32"/>
        <v>0.89199029126213591</v>
      </c>
      <c r="G125" s="158">
        <f t="shared" si="33"/>
        <v>0.80662488809310651</v>
      </c>
      <c r="H125" s="160">
        <f t="shared" si="34"/>
        <v>0.76045719844357973</v>
      </c>
      <c r="I125" s="98"/>
      <c r="J125" s="98"/>
      <c r="K125" s="162"/>
      <c r="L125" s="162"/>
      <c r="M125" s="162"/>
      <c r="N125" s="162"/>
      <c r="O125" s="162"/>
      <c r="P125" s="162"/>
      <c r="Q125" s="162"/>
      <c r="R125" s="163"/>
      <c r="S125" s="155"/>
      <c r="T125" s="155"/>
      <c r="U125" s="162"/>
      <c r="V125" s="124"/>
      <c r="W125" s="140"/>
      <c r="X125" s="149"/>
      <c r="Y125" s="420" t="str">
        <f t="shared" si="35"/>
        <v>Somerset</v>
      </c>
      <c r="Z125" s="365">
        <f>IF(Year1_Somerset Year1_Assessments_within45days="","",Year1_Somerset Year1_Assessments_within45days)</f>
        <v>4203</v>
      </c>
      <c r="AA125" s="365">
        <f>IF(Year2_Somerset Year2_Assessments_within45days="","",Year2_Somerset Year2_Assessments_within45days)</f>
        <v>3006</v>
      </c>
      <c r="AB125" s="365">
        <f>IF(Year3_Somerset Year3_Assessments_within45days="","",Year3_Somerset Year3_Assessments_within45days)</f>
        <v>4410</v>
      </c>
      <c r="AC125" s="365">
        <f>IF(Year4_Somerset Year4_Assessments_within45days="","",Year4_Somerset Year4_Assessments_within45days)</f>
        <v>4505</v>
      </c>
      <c r="AD125" s="552">
        <f>IF(Year5_Somerset Year5_Assessments_within45days="","",Year5_Somerset Year5_Assessments_within45days)</f>
        <v>3127</v>
      </c>
      <c r="AE125" s="556">
        <f>IF(Year1_Somerset Year1_Continuous_assessments="","",Year1_Somerset Year1_Continuous_assessments)</f>
        <v>4524</v>
      </c>
      <c r="AF125" s="463">
        <f>IF(Year2_Somerset Year2_Continuous_assessments="","",Year2_Somerset Year2_Continuous_assessments)</f>
        <v>4413</v>
      </c>
      <c r="AG125" s="463">
        <f>IF(Year3_Somerset Year3_Continuous_assessments="","",Year3_Somerset Year3_Continuous_assessments)</f>
        <v>4944</v>
      </c>
      <c r="AH125" s="463">
        <f>IF(Year4_Somerset Year4_Continuous_assessments="","",Year4_Somerset Year4_Continuous_assessments)</f>
        <v>5585</v>
      </c>
      <c r="AI125" s="463">
        <f>IF(Year5_Somerset Year5_Continuous_assessments="","",Year5_Somerset Year5_Continuous_assessments)</f>
        <v>4112</v>
      </c>
      <c r="AJ125" s="185"/>
      <c r="AK125" s="156"/>
    </row>
    <row r="126" spans="1:46" s="89" customFormat="1" ht="12.75" customHeight="1" x14ac:dyDescent="0.2">
      <c r="A126" s="462">
        <f>VLOOKUP(B126,Sheet1!$AQ$4:$AR$25,2,FALSE)</f>
        <v>0</v>
      </c>
      <c r="B126" s="95" t="str">
        <f t="shared" si="25"/>
        <v>Southampton</v>
      </c>
      <c r="C126" s="87"/>
      <c r="D126" s="158">
        <f t="shared" si="30"/>
        <v>0.91559981033665239</v>
      </c>
      <c r="E126" s="158">
        <f t="shared" si="31"/>
        <v>0.84843492586490943</v>
      </c>
      <c r="F126" s="158">
        <f t="shared" si="32"/>
        <v>0.67984934086629001</v>
      </c>
      <c r="G126" s="158">
        <f t="shared" si="33"/>
        <v>0.82916307161345992</v>
      </c>
      <c r="H126" s="160">
        <f t="shared" si="34"/>
        <v>0.66094771241830064</v>
      </c>
      <c r="I126" s="98"/>
      <c r="J126" s="98"/>
      <c r="K126" s="162"/>
      <c r="L126" s="162"/>
      <c r="M126" s="162"/>
      <c r="N126" s="162"/>
      <c r="O126" s="162"/>
      <c r="P126" s="162"/>
      <c r="Q126" s="162"/>
      <c r="R126" s="163"/>
      <c r="S126" s="155"/>
      <c r="T126" s="155"/>
      <c r="U126" s="162"/>
      <c r="V126" s="124"/>
      <c r="W126" s="140"/>
      <c r="X126" s="149"/>
      <c r="Y126" s="420" t="str">
        <f t="shared" si="35"/>
        <v>Southampton</v>
      </c>
      <c r="Z126" s="365">
        <f>IF(Year1_Southampton Year1_Assessments_within45days="","",Year1_Southampton Year1_Assessments_within45days)</f>
        <v>1931</v>
      </c>
      <c r="AA126" s="365">
        <f>IF(Year2_Southampton Year2_Assessments_within45days="","",Year2_Southampton Year2_Assessments_within45days)</f>
        <v>2575</v>
      </c>
      <c r="AB126" s="365">
        <f>IF(Year3_Southampton Year3_Assessments_within45days="","",Year3_Southampton Year3_Assessments_within45days)</f>
        <v>1805</v>
      </c>
      <c r="AC126" s="365">
        <f>IF(Year4_Southampton Year4_Assessments_within45days="","",Year4_Southampton Year4_Assessments_within45days)</f>
        <v>1922</v>
      </c>
      <c r="AD126" s="552">
        <f>IF(Year5_Southampton Year5_Assessments_within45days="","",Year5_Southampton Year5_Assessments_within45days)</f>
        <v>1618</v>
      </c>
      <c r="AE126" s="556">
        <f>IF(Year1_Southampton Year1_Continuous_assessments="","",Year1_Southampton Year1_Continuous_assessments)</f>
        <v>2109</v>
      </c>
      <c r="AF126" s="463">
        <f>IF(Year2_Southampton Year2_Continuous_assessments="","",Year2_Southampton Year2_Continuous_assessments)</f>
        <v>3035</v>
      </c>
      <c r="AG126" s="463">
        <f>IF(Year3_Southampton Year3_Continuous_assessments="","",Year3_Southampton Year3_Continuous_assessments)</f>
        <v>2655</v>
      </c>
      <c r="AH126" s="463">
        <f>IF(Year4_Southampton Year4_Continuous_assessments="","",Year4_Southampton Year4_Continuous_assessments)</f>
        <v>2318</v>
      </c>
      <c r="AI126" s="463">
        <f>IF(Year5_Southampton Year5_Continuous_assessments="","",Year5_Southampton Year5_Continuous_assessments)</f>
        <v>2448</v>
      </c>
      <c r="AJ126" s="185"/>
      <c r="AK126" s="156"/>
    </row>
    <row r="127" spans="1:46" s="89" customFormat="1" ht="12.75" customHeight="1" x14ac:dyDescent="0.2">
      <c r="A127" s="462">
        <f>VLOOKUP(B127,Sheet1!$AQ$4:$AR$25,2,FALSE)</f>
        <v>0</v>
      </c>
      <c r="B127" s="95" t="str">
        <f t="shared" si="25"/>
        <v>Surrey</v>
      </c>
      <c r="C127" s="87"/>
      <c r="D127" s="158">
        <f t="shared" si="30"/>
        <v>0.74046480596019126</v>
      </c>
      <c r="E127" s="158">
        <f t="shared" si="31"/>
        <v>0.6516346311812059</v>
      </c>
      <c r="F127" s="158">
        <f t="shared" si="32"/>
        <v>0.75511562136083843</v>
      </c>
      <c r="G127" s="158">
        <f t="shared" si="33"/>
        <v>0.75856586374115587</v>
      </c>
      <c r="H127" s="160">
        <f t="shared" si="34"/>
        <v>0.73061982773180201</v>
      </c>
      <c r="I127" s="98"/>
      <c r="J127" s="98"/>
      <c r="K127" s="162"/>
      <c r="L127" s="162"/>
      <c r="M127" s="162"/>
      <c r="N127" s="162"/>
      <c r="O127" s="162"/>
      <c r="P127" s="162"/>
      <c r="Q127" s="162"/>
      <c r="R127" s="163"/>
      <c r="S127" s="155"/>
      <c r="T127" s="155"/>
      <c r="U127" s="162"/>
      <c r="V127" s="124"/>
      <c r="W127" s="140"/>
      <c r="X127" s="149"/>
      <c r="Y127" s="420" t="str">
        <f t="shared" si="35"/>
        <v>Surrey</v>
      </c>
      <c r="Z127" s="365">
        <f>IF(Year1_Surrey Year1_Assessments_within45days="","",Year1_Surrey Year1_Assessments_within45days)</f>
        <v>6659</v>
      </c>
      <c r="AA127" s="365">
        <f>IF(Year2_Surrey Year2_Assessments_within45days="","",Year2_Surrey Year2_Assessments_within45days)</f>
        <v>7933</v>
      </c>
      <c r="AB127" s="365">
        <f>IF(Year3_Surrey Year3_Assessments_within45days="","",Year3_Surrey Year3_Assessments_within45days)</f>
        <v>9078</v>
      </c>
      <c r="AC127" s="365">
        <f>IF(Year4_Surrey Year4_Assessments_within45days="","",Year4_Surrey Year4_Assessments_within45days)</f>
        <v>9542</v>
      </c>
      <c r="AD127" s="552">
        <f>IF(Year5_Surrey Year5_Assessments_within45days="","",Year5_Surrey Year5_Assessments_within45days)</f>
        <v>8652</v>
      </c>
      <c r="AE127" s="556">
        <f>IF(Year1_Surrey Year1_Continuous_assessments="","",Year1_Surrey Year1_Continuous_assessments)</f>
        <v>8993</v>
      </c>
      <c r="AF127" s="463">
        <f>IF(Year2_Surrey Year2_Continuous_assessments="","",Year2_Surrey Year2_Continuous_assessments)</f>
        <v>12174</v>
      </c>
      <c r="AG127" s="463">
        <f>IF(Year3_Surrey Year3_Continuous_assessments="","",Year3_Surrey Year3_Continuous_assessments)</f>
        <v>12022</v>
      </c>
      <c r="AH127" s="463">
        <f>IF(Year4_Surrey Year4_Continuous_assessments="","",Year4_Surrey Year4_Continuous_assessments)</f>
        <v>12579</v>
      </c>
      <c r="AI127" s="463">
        <f>IF(Year5_Surrey Year5_Continuous_assessments="","",Year5_Surrey Year5_Continuous_assessments)</f>
        <v>11842</v>
      </c>
      <c r="AJ127" s="185"/>
      <c r="AK127" s="156"/>
    </row>
    <row r="128" spans="1:46" s="89" customFormat="1" ht="12.75" customHeight="1" x14ac:dyDescent="0.2">
      <c r="A128" s="462">
        <f>VLOOKUP(B128,Sheet1!$AQ$4:$AR$25,2,FALSE)</f>
        <v>0</v>
      </c>
      <c r="B128" s="95" t="str">
        <f t="shared" si="25"/>
        <v>Swindon</v>
      </c>
      <c r="C128" s="87"/>
      <c r="D128" s="158">
        <f t="shared" si="30"/>
        <v>0.65081162702906759</v>
      </c>
      <c r="E128" s="158">
        <f t="shared" si="31"/>
        <v>0.60688117234788153</v>
      </c>
      <c r="F128" s="158">
        <f t="shared" si="32"/>
        <v>0.59084836339345359</v>
      </c>
      <c r="G128" s="158">
        <f t="shared" si="33"/>
        <v>0.71691526499523961</v>
      </c>
      <c r="H128" s="160">
        <f t="shared" si="34"/>
        <v>0.79471931493815418</v>
      </c>
      <c r="I128" s="98"/>
      <c r="J128" s="98"/>
      <c r="K128" s="162"/>
      <c r="L128" s="162"/>
      <c r="M128" s="162"/>
      <c r="N128" s="162"/>
      <c r="O128" s="162"/>
      <c r="P128" s="162"/>
      <c r="Q128" s="162"/>
      <c r="R128" s="163"/>
      <c r="S128" s="155"/>
      <c r="T128" s="155"/>
      <c r="U128" s="162"/>
      <c r="V128" s="124"/>
      <c r="W128" s="140"/>
      <c r="X128" s="149"/>
      <c r="Y128" s="420" t="str">
        <f t="shared" si="35"/>
        <v>Swindon</v>
      </c>
      <c r="Z128" s="555">
        <f>IF(Year1_Swindon Year1_Assessments_within45days="","",Year1_Swindon Year1_Assessments_within45days)</f>
        <v>1724</v>
      </c>
      <c r="AA128" s="555">
        <f>IF(Year2_Swindon Year2_Assessments_within45days="","",Year2_Swindon Year2_Assessments_within45days)</f>
        <v>1905</v>
      </c>
      <c r="AB128" s="555">
        <f>IF(Year3_Swindon Year3_Assessments_within45days="","",Year3_Swindon Year3_Assessments_within45days)</f>
        <v>1769</v>
      </c>
      <c r="AC128" s="555">
        <f>IF(Year4_Swindon Year4_Assessments_within45days="","",Year4_Swindon Year4_Assessments_within45days)</f>
        <v>2259</v>
      </c>
      <c r="AD128" s="557">
        <f>IF(Year5_Swindon Year5_Assessments_within45days="","",Year5_Swindon Year5_Assessments_within45days)</f>
        <v>3341</v>
      </c>
      <c r="AE128" s="556">
        <f>IF(Year1_Swindon Year1_Continuous_assessments="","",Year1_Swindon Year1_Continuous_assessments)</f>
        <v>2649</v>
      </c>
      <c r="AF128" s="463">
        <f>IF(Year2_Swindon Year2_Continuous_assessments="","",Year2_Swindon Year2_Continuous_assessments)</f>
        <v>3139</v>
      </c>
      <c r="AG128" s="463">
        <f>IF(Year3_Swindon Year3_Continuous_assessments="","",Year3_Swindon Year3_Continuous_assessments)</f>
        <v>2994</v>
      </c>
      <c r="AH128" s="463">
        <f>IF(Year4_Swindon Year4_Continuous_assessments="","",Year4_Swindon Year4_Continuous_assessments)</f>
        <v>3151</v>
      </c>
      <c r="AI128" s="463">
        <f>IF(Year5_Swindon Year5_Continuous_assessments="","",Year5_Swindon Year5_Continuous_assessments)</f>
        <v>4204</v>
      </c>
      <c r="AJ128" s="185"/>
      <c r="AK128" s="156"/>
    </row>
    <row r="129" spans="1:46" s="89" customFormat="1" ht="12.75" customHeight="1" x14ac:dyDescent="0.2">
      <c r="A129" s="462">
        <f>VLOOKUP(B129,Sheet1!$AQ$4:$AR$25,2,FALSE)</f>
        <v>0</v>
      </c>
      <c r="B129" s="95" t="str">
        <f t="shared" si="25"/>
        <v>Torbay</v>
      </c>
      <c r="C129" s="87"/>
      <c r="D129" s="158">
        <f t="shared" si="30"/>
        <v>0.71505376344086025</v>
      </c>
      <c r="E129" s="158">
        <f t="shared" si="31"/>
        <v>0.90115532734274706</v>
      </c>
      <c r="F129" s="158">
        <f t="shared" si="32"/>
        <v>0.81576253838280455</v>
      </c>
      <c r="G129" s="158">
        <f t="shared" si="33"/>
        <v>0.72042440318302392</v>
      </c>
      <c r="H129" s="160">
        <f t="shared" si="34"/>
        <v>0.74375000000000002</v>
      </c>
      <c r="I129" s="98"/>
      <c r="J129" s="98"/>
      <c r="K129" s="162"/>
      <c r="L129" s="162"/>
      <c r="M129" s="162"/>
      <c r="N129" s="162"/>
      <c r="O129" s="162"/>
      <c r="P129" s="162"/>
      <c r="Q129" s="162"/>
      <c r="R129" s="163"/>
      <c r="S129" s="155"/>
      <c r="T129" s="155"/>
      <c r="U129" s="162"/>
      <c r="V129" s="124"/>
      <c r="W129" s="140"/>
      <c r="X129" s="149"/>
      <c r="Y129" s="420" t="str">
        <f t="shared" si="35"/>
        <v>Torbay</v>
      </c>
      <c r="Z129" s="555">
        <f>IF(Year1_Torbay Year1_Assessments_within45days="","",Year1_Torbay Year1_Assessments_within45days)</f>
        <v>1064</v>
      </c>
      <c r="AA129" s="555">
        <f>IF(Year2_Torbay Year2_Assessments_within45days="","",Year2_Torbay Year2_Assessments_within45days)</f>
        <v>1404</v>
      </c>
      <c r="AB129" s="555">
        <f>IF(Year3_Torbay Year3_Assessments_within45days="","",Year3_Torbay Year3_Assessments_within45days)</f>
        <v>797</v>
      </c>
      <c r="AC129" s="555">
        <f>IF(Year4_Torbay Year4_Assessments_within45days="","",Year4_Torbay Year4_Assessments_within45days)</f>
        <v>1358</v>
      </c>
      <c r="AD129" s="557">
        <f>IF(Year5_Torbay Year5_Assessments_within45days="","",Year5_Torbay Year5_Assessments_within45days)</f>
        <v>1309</v>
      </c>
      <c r="AE129" s="556">
        <f>IF(Year1_Torbay Year1_Continuous_assessments="","",Year1_Torbay Year1_Continuous_assessments)</f>
        <v>1488</v>
      </c>
      <c r="AF129" s="463">
        <f>IF(Year2_Torbay Year2_Continuous_assessments="","",Year2_Torbay Year2_Continuous_assessments)</f>
        <v>1558</v>
      </c>
      <c r="AG129" s="463">
        <f>IF(Year3_Torbay Year3_Continuous_assessments="","",Year3_Torbay Year3_Continuous_assessments)</f>
        <v>977</v>
      </c>
      <c r="AH129" s="463">
        <f>IF(Year4_Torbay Year4_Continuous_assessments="","",Year4_Torbay Year4_Continuous_assessments)</f>
        <v>1885</v>
      </c>
      <c r="AI129" s="463">
        <f>IF(Year5_Torbay Year5_Continuous_assessments="","",Year5_Torbay Year5_Continuous_assessments)</f>
        <v>1760</v>
      </c>
      <c r="AJ129" s="185"/>
      <c r="AK129" s="156"/>
    </row>
    <row r="130" spans="1:46" s="89" customFormat="1" ht="12.75" customHeight="1" x14ac:dyDescent="0.2">
      <c r="A130" s="462">
        <f>VLOOKUP(B130,Sheet1!$AQ$4:$AR$25,2,FALSE)</f>
        <v>0</v>
      </c>
      <c r="B130" s="95" t="str">
        <f t="shared" si="25"/>
        <v>West Berkshire</v>
      </c>
      <c r="C130" s="87"/>
      <c r="D130" s="158">
        <f t="shared" si="30"/>
        <v>0.7125140924464487</v>
      </c>
      <c r="E130" s="158">
        <f t="shared" si="31"/>
        <v>0.86052998605299857</v>
      </c>
      <c r="F130" s="158">
        <f t="shared" si="32"/>
        <v>0.96673320026613441</v>
      </c>
      <c r="G130" s="158">
        <f t="shared" si="33"/>
        <v>0.98258426966292134</v>
      </c>
      <c r="H130" s="160">
        <f t="shared" si="34"/>
        <v>0.96980029225523623</v>
      </c>
      <c r="I130" s="98"/>
      <c r="J130" s="98"/>
      <c r="K130" s="162"/>
      <c r="L130" s="162"/>
      <c r="M130" s="162"/>
      <c r="N130" s="162"/>
      <c r="O130" s="162"/>
      <c r="P130" s="162"/>
      <c r="Q130" s="162"/>
      <c r="R130" s="163"/>
      <c r="S130" s="155"/>
      <c r="T130" s="155"/>
      <c r="U130" s="162"/>
      <c r="V130" s="124"/>
      <c r="W130" s="140"/>
      <c r="X130" s="149"/>
      <c r="Y130" s="420" t="str">
        <f t="shared" si="35"/>
        <v>West Berkshire</v>
      </c>
      <c r="Z130" s="365">
        <f>IF(Year1_West_Berkshire Year1_Assessments_within45days="","",Year1_West_Berkshire Year1_Assessments_within45days)</f>
        <v>632</v>
      </c>
      <c r="AA130" s="365">
        <f>IF(Year2_West_Berkshire Year2_Assessments_within45days="","",Year2_West_Berkshire Year2_Assessments_within45days)</f>
        <v>1234</v>
      </c>
      <c r="AB130" s="365">
        <f>IF(Year3_West_Berkshire Year3_Assessments_within45days="","",Year3_West_Berkshire Year3_Assessments_within45days)</f>
        <v>1453</v>
      </c>
      <c r="AC130" s="365">
        <f>IF(Year4_West_Berkshire Year4_Assessments_within45days="","",Year4_West_Berkshire Year4_Assessments_within45days)</f>
        <v>1749</v>
      </c>
      <c r="AD130" s="552">
        <f>IF(Year5_West_Berkshire Year5_Assessments_within45days="","",Year5_West_Berkshire Year5_Assessments_within45days)</f>
        <v>1991</v>
      </c>
      <c r="AE130" s="556">
        <f>IF(Year1_West_Berkshire Year1_Continuous_assessments="","",Year1_West_Berkshire Year1_Continuous_assessments)</f>
        <v>887</v>
      </c>
      <c r="AF130" s="463">
        <f>IF(Year2_West_Berkshire Year2_Continuous_assessments="","",Year2_West_Berkshire Year2_Continuous_assessments)</f>
        <v>1434</v>
      </c>
      <c r="AG130" s="463">
        <f>IF(Year3_West_Berkshire Year3_Continuous_assessments="","",Year3_West_Berkshire Year3_Continuous_assessments)</f>
        <v>1503</v>
      </c>
      <c r="AH130" s="463">
        <f>IF(Year4_West_Berkshire Year4_Continuous_assessments="","",Year4_West_Berkshire Year4_Continuous_assessments)</f>
        <v>1780</v>
      </c>
      <c r="AI130" s="463">
        <f>IF(Year5_West_Berkshire Year5_Continuous_assessments="","",Year5_West_Berkshire Year5_Continuous_assessments)</f>
        <v>2053</v>
      </c>
      <c r="AJ130" s="185"/>
      <c r="AK130" s="156"/>
    </row>
    <row r="131" spans="1:46" s="89" customFormat="1" ht="12.75" customHeight="1" x14ac:dyDescent="0.2">
      <c r="A131" s="462">
        <f>VLOOKUP(B131,Sheet1!$AQ$4:$AR$25,2,FALSE)</f>
        <v>0</v>
      </c>
      <c r="B131" s="95" t="str">
        <f t="shared" si="25"/>
        <v>West Sussex</v>
      </c>
      <c r="C131" s="87"/>
      <c r="D131" s="158">
        <f t="shared" si="30"/>
        <v>0.95949855351976854</v>
      </c>
      <c r="E131" s="158">
        <f t="shared" si="31"/>
        <v>0.96490288010716674</v>
      </c>
      <c r="F131" s="158">
        <f t="shared" si="32"/>
        <v>0.96934363946023849</v>
      </c>
      <c r="G131" s="158">
        <f t="shared" si="33"/>
        <v>0.97780887644942027</v>
      </c>
      <c r="H131" s="160">
        <f t="shared" si="34"/>
        <v>0.85417867435158501</v>
      </c>
      <c r="I131" s="98"/>
      <c r="J131" s="98"/>
      <c r="K131" s="162"/>
      <c r="L131" s="162"/>
      <c r="M131" s="162"/>
      <c r="N131" s="162"/>
      <c r="O131" s="162"/>
      <c r="P131" s="162"/>
      <c r="Q131" s="162"/>
      <c r="R131" s="163"/>
      <c r="S131" s="155"/>
      <c r="T131" s="155"/>
      <c r="U131" s="162"/>
      <c r="V131" s="124"/>
      <c r="W131" s="140"/>
      <c r="X131" s="149"/>
      <c r="Y131" s="420" t="str">
        <f t="shared" si="35"/>
        <v>West Sussex</v>
      </c>
      <c r="Z131" s="365">
        <f>IF(Year1_West_Sussex Year1_Assessments_within45days="","",Year1_West_Sussex Year1_Assessments_within45days)</f>
        <v>4975</v>
      </c>
      <c r="AA131" s="365">
        <f>IF(Year2_West_Sussex Year2_Assessments_within45days="","",Year2_West_Sussex Year2_Assessments_within45days)</f>
        <v>7203</v>
      </c>
      <c r="AB131" s="365">
        <f>IF(Year3_West_Sussex Year3_Assessments_within45days="","",Year3_West_Sussex Year3_Assessments_within45days)</f>
        <v>7399</v>
      </c>
      <c r="AC131" s="365">
        <f>IF(Year4_West_Sussex Year4_Assessments_within45days="","",Year4_West_Sussex Year4_Assessments_within45days)</f>
        <v>9782</v>
      </c>
      <c r="AD131" s="552">
        <f>IF(Year5_West_Sussex Year5_Assessments_within45days="","",Year5_West_Sussex Year5_Assessments_within45days)</f>
        <v>8892</v>
      </c>
      <c r="AE131" s="556">
        <f>IF(Year1_West_Sussex Year1_Continuous_assessments="","",Year1_West_Sussex Year1_Continuous_assessments)</f>
        <v>5185</v>
      </c>
      <c r="AF131" s="463">
        <f>IF(Year2_West_Sussex Year2_Continuous_assessments="","",Year2_West_Sussex Year2_Continuous_assessments)</f>
        <v>7465</v>
      </c>
      <c r="AG131" s="463">
        <f>IF(Year3_West_Sussex Year3_Continuous_assessments="","",Year3_West_Sussex Year3_Continuous_assessments)</f>
        <v>7633</v>
      </c>
      <c r="AH131" s="463">
        <f>IF(Year4_West_Sussex Year4_Continuous_assessments="","",Year4_West_Sussex Year4_Continuous_assessments)</f>
        <v>10004</v>
      </c>
      <c r="AI131" s="463">
        <f>IF(Year5_West_Sussex Year5_Continuous_assessments="","",Year5_West_Sussex Year5_Continuous_assessments)</f>
        <v>10410</v>
      </c>
      <c r="AJ131" s="185"/>
      <c r="AK131" s="156"/>
    </row>
    <row r="132" spans="1:46" s="89" customFormat="1" ht="12.75" customHeight="1" x14ac:dyDescent="0.2">
      <c r="A132" s="462">
        <f>VLOOKUP(B132,Sheet1!$AQ$4:$AR$25,2,FALSE)</f>
        <v>0</v>
      </c>
      <c r="B132" s="95" t="str">
        <f t="shared" si="25"/>
        <v>Windsor &amp; Maidenhead</v>
      </c>
      <c r="C132" s="87"/>
      <c r="D132" s="158">
        <f t="shared" si="30"/>
        <v>0.75866495507060339</v>
      </c>
      <c r="E132" s="158">
        <f t="shared" si="31"/>
        <v>0.81060606060606055</v>
      </c>
      <c r="F132" s="158">
        <f t="shared" si="32"/>
        <v>0.57485029940119758</v>
      </c>
      <c r="G132" s="158">
        <f t="shared" si="33"/>
        <v>0.57126696832579182</v>
      </c>
      <c r="H132" s="160">
        <f t="shared" si="34"/>
        <v>0.61585365853658536</v>
      </c>
      <c r="I132" s="98"/>
      <c r="J132" s="98"/>
      <c r="K132" s="162"/>
      <c r="L132" s="162"/>
      <c r="M132" s="162"/>
      <c r="N132" s="162"/>
      <c r="O132" s="162"/>
      <c r="P132" s="162"/>
      <c r="Q132" s="162"/>
      <c r="R132" s="163"/>
      <c r="S132" s="155"/>
      <c r="T132" s="155"/>
      <c r="U132" s="162"/>
      <c r="V132" s="124"/>
      <c r="W132" s="140"/>
      <c r="X132" s="149"/>
      <c r="Y132" s="420" t="str">
        <f t="shared" si="35"/>
        <v>Windsor &amp; Maidenhead</v>
      </c>
      <c r="Z132" s="365">
        <f>IF(Year1_Windsor_Maidenhead Year1_Assessments_within45days="","",Year1_Windsor_Maidenhead Year1_Assessments_within45days)</f>
        <v>591</v>
      </c>
      <c r="AA132" s="365">
        <f>IF(Year2_Windsor_Maidenhead Year2_Assessments_within45days="","",Year2_Windsor_Maidenhead Year2_Assessments_within45days)</f>
        <v>749</v>
      </c>
      <c r="AB132" s="365">
        <f>IF(Year3_Windsor_Maidenhead Year3_Assessments_within45days="","",Year3_Windsor_Maidenhead Year3_Assessments_within45days)</f>
        <v>384</v>
      </c>
      <c r="AC132" s="365">
        <f>IF(Year4_Windsor_Maidenhead Year4_Assessments_within45days="","",Year4_Windsor_Maidenhead Year4_Assessments_within45days)</f>
        <v>505</v>
      </c>
      <c r="AD132" s="552">
        <f>IF(Year5_Windsor_Maidenhead Year5_Assessments_within45days="","",Year5_Windsor_Maidenhead Year5_Assessments_within45days)</f>
        <v>505</v>
      </c>
      <c r="AE132" s="556">
        <f>IF(Year1_Windsor_Maidenhead Year1_Continuous_assessments="","",Year1_Windsor_Maidenhead Year1_Continuous_assessments)</f>
        <v>779</v>
      </c>
      <c r="AF132" s="463">
        <f>IF(Year2_Windsor_Maidenhead Year2_Continuous_assessments="","",Year2_Windsor_Maidenhead Year2_Continuous_assessments)</f>
        <v>924</v>
      </c>
      <c r="AG132" s="463">
        <f>IF(Year3_Windsor_Maidenhead Year3_Continuous_assessments="","",Year3_Windsor_Maidenhead Year3_Continuous_assessments)</f>
        <v>668</v>
      </c>
      <c r="AH132" s="463">
        <f>IF(Year4_Windsor_Maidenhead Year4_Continuous_assessments="","",Year4_Windsor_Maidenhead Year4_Continuous_assessments)</f>
        <v>884</v>
      </c>
      <c r="AI132" s="463">
        <f>IF(Year5_Windsor_Maidenhead Year5_Continuous_assessments="","",Year5_Windsor_Maidenhead Year5_Continuous_assessments)</f>
        <v>820</v>
      </c>
      <c r="AJ132" s="185"/>
      <c r="AK132" s="156"/>
    </row>
    <row r="133" spans="1:46" s="89" customFormat="1" ht="12.75" customHeight="1" x14ac:dyDescent="0.2">
      <c r="A133" s="462">
        <f>VLOOKUP(B133,Sheet1!$AQ$4:$AR$25,2,FALSE)</f>
        <v>0</v>
      </c>
      <c r="B133" s="95" t="str">
        <f t="shared" si="25"/>
        <v>Wokingham</v>
      </c>
      <c r="C133" s="87"/>
      <c r="D133" s="158">
        <f t="shared" si="30"/>
        <v>0.98973774230330669</v>
      </c>
      <c r="E133" s="158">
        <f t="shared" si="31"/>
        <v>0.9521276595744681</v>
      </c>
      <c r="F133" s="158">
        <f t="shared" si="32"/>
        <v>0.85599999999999998</v>
      </c>
      <c r="G133" s="158">
        <f t="shared" si="33"/>
        <v>0.7308394160583942</v>
      </c>
      <c r="H133" s="160">
        <f t="shared" si="34"/>
        <v>0.7541834968263128</v>
      </c>
      <c r="I133" s="98"/>
      <c r="J133" s="98"/>
      <c r="K133" s="162"/>
      <c r="L133" s="162"/>
      <c r="M133" s="162"/>
      <c r="N133" s="162"/>
      <c r="O133" s="162"/>
      <c r="P133" s="162"/>
      <c r="Q133" s="162"/>
      <c r="R133" s="163"/>
      <c r="S133" s="155"/>
      <c r="T133" s="155"/>
      <c r="U133" s="162"/>
      <c r="V133" s="124"/>
      <c r="W133" s="140"/>
      <c r="X133" s="149"/>
      <c r="Y133" s="420" t="str">
        <f t="shared" si="35"/>
        <v>Wokingham</v>
      </c>
      <c r="Z133" s="365">
        <f>IF(Year1_Wokingham Year1_Assessments_within45days="","",Year1_Wokingham Year1_Assessments_within45days)</f>
        <v>868</v>
      </c>
      <c r="AA133" s="365">
        <f>IF(Year2_Wokingham Year2_Assessments_within45days="","",Year2_Wokingham Year2_Assessments_within45days)</f>
        <v>1074</v>
      </c>
      <c r="AB133" s="365">
        <f>IF(Year3_Wokingham Year3_Assessments_within45days="","",Year3_Wokingham Year3_Assessments_within45days)</f>
        <v>749</v>
      </c>
      <c r="AC133" s="365">
        <f>IF(Year4_Wokingham Year4_Assessments_within45days="","",Year4_Wokingham Year4_Assessments_within45days)</f>
        <v>801</v>
      </c>
      <c r="AD133" s="552">
        <f>IF(Year5_Wokingham Year5_Assessments_within45days="","",Year5_Wokingham Year5_Assessments_within45days)</f>
        <v>1307</v>
      </c>
      <c r="AE133" s="556">
        <f>IF(Year1_Wokingham Year1_Continuous_assessments="","",Year1_Wokingham Year1_Continuous_assessments)</f>
        <v>877</v>
      </c>
      <c r="AF133" s="463">
        <f>IF(Year2_Wokingham Year2_Continuous_assessments="","",Year2_Wokingham Year2_Continuous_assessments)</f>
        <v>1128</v>
      </c>
      <c r="AG133" s="463">
        <f>IF(Year3_Wokingham Year3_Continuous_assessments="","",Year3_Wokingham Year3_Continuous_assessments)</f>
        <v>875</v>
      </c>
      <c r="AH133" s="463">
        <f>IF(Year4_Wokingham Year4_Continuous_assessments="","",Year4_Wokingham Year4_Continuous_assessments)</f>
        <v>1096</v>
      </c>
      <c r="AI133" s="463">
        <f>IF(Year5_Wokingham Year5_Continuous_assessments="","",Year5_Wokingham Year5_Continuous_assessments)</f>
        <v>1733</v>
      </c>
      <c r="AJ133" s="185"/>
      <c r="AK133" s="156"/>
    </row>
    <row r="134" spans="1:46" s="89" customFormat="1" ht="12.75" customHeight="1" x14ac:dyDescent="0.2">
      <c r="A134" s="123"/>
      <c r="B134" s="131" t="str">
        <f t="shared" si="25"/>
        <v>South East</v>
      </c>
      <c r="C134" s="87"/>
      <c r="D134" s="159">
        <f t="shared" si="30"/>
        <v>0.81318407960199002</v>
      </c>
      <c r="E134" s="159">
        <f t="shared" si="31"/>
        <v>0.82711047848461627</v>
      </c>
      <c r="F134" s="159">
        <f t="shared" si="32"/>
        <v>0.83836032388663972</v>
      </c>
      <c r="G134" s="159">
        <f t="shared" si="33"/>
        <v>0.83770299354333788</v>
      </c>
      <c r="H134" s="161">
        <f t="shared" si="34"/>
        <v>0.82349480290252985</v>
      </c>
      <c r="I134" s="98"/>
      <c r="J134" s="98"/>
      <c r="K134" s="164"/>
      <c r="L134" s="164"/>
      <c r="M134" s="164"/>
      <c r="N134" s="164"/>
      <c r="O134" s="164"/>
      <c r="P134" s="164"/>
      <c r="Q134" s="164"/>
      <c r="R134" s="165"/>
      <c r="S134" s="155"/>
      <c r="T134" s="155"/>
      <c r="U134" s="166"/>
      <c r="V134" s="124"/>
      <c r="W134" s="140"/>
      <c r="X134" s="149"/>
      <c r="Y134" s="420" t="str">
        <f t="shared" si="35"/>
        <v>South East</v>
      </c>
      <c r="Z134" s="463">
        <f>IF(Year1_SouthEast Year1_Assessments_within45days="","",Year1_SouthEast Year1_Assessments_within45days)</f>
        <v>65380</v>
      </c>
      <c r="AA134" s="463">
        <f>IF(Year2_SouthEast Year2_Assessments_within45days="","",Year2_SouthEast Year2_Assessments_within45days)</f>
        <v>75540</v>
      </c>
      <c r="AB134" s="463">
        <f>IF(Year3_SouthEast Year3_Assessments_within45days="","",Year3_SouthEast Year3_Assessments_within45days)</f>
        <v>82830</v>
      </c>
      <c r="AC134" s="463">
        <f>IF(Year4_SouthEast Year4_Assessments_within45days="","",Year4_SouthEast Year4_Assessments_within45days)</f>
        <v>85630</v>
      </c>
      <c r="AD134" s="553">
        <f>IF(Year5_SouthEast Year5_Assessments_within45days="","",Year5_SouthEast Year5_Assessments_within45days)</f>
        <v>83980</v>
      </c>
      <c r="AE134" s="556">
        <f>IF(Year1_SouthEast Year1_Continuous_assessments="","",Year1_SouthEast Year1_Continuous_assessments)</f>
        <v>80400</v>
      </c>
      <c r="AF134" s="463">
        <f>IF(Year2_SouthEast Year2_Continuous_assessments="","",Year2_SouthEast Year2_Continuous_assessments)</f>
        <v>91330</v>
      </c>
      <c r="AG134" s="463">
        <f>IF(Year3_SouthEast Year3_Continuous_assessments="","",Year3_SouthEast Year3_Continuous_assessments)</f>
        <v>98800</v>
      </c>
      <c r="AH134" s="463">
        <f>IF(Year4_SouthEast Year4_Continuous_assessments="","",Year4_SouthEast Year4_Continuous_assessments)</f>
        <v>102220</v>
      </c>
      <c r="AI134" s="463">
        <f>IF(Year5_SouthEast Year5_Continuous_assessments="","",Year5_SouthEast Year5_Continuous_assessments)</f>
        <v>101980</v>
      </c>
      <c r="AJ134" s="185"/>
      <c r="AK134" s="156"/>
    </row>
    <row r="135" spans="1:46" s="89" customFormat="1" ht="12.75" customHeight="1" x14ac:dyDescent="0.2">
      <c r="A135" s="123"/>
      <c r="B135" s="318" t="s">
        <v>126</v>
      </c>
      <c r="C135" s="87"/>
      <c r="D135" s="344">
        <f t="shared" si="30"/>
        <v>0.81499972767378948</v>
      </c>
      <c r="E135" s="344">
        <f t="shared" si="31"/>
        <v>0.8343537890980337</v>
      </c>
      <c r="F135" s="344">
        <f t="shared" si="32"/>
        <v>0.82934023200632745</v>
      </c>
      <c r="G135" s="344">
        <f t="shared" si="33"/>
        <v>0.82698676808493776</v>
      </c>
      <c r="H135" s="345">
        <f t="shared" si="34"/>
        <v>0.83147723042561117</v>
      </c>
      <c r="I135" s="98"/>
      <c r="J135" s="98"/>
      <c r="K135" s="164"/>
      <c r="L135" s="164"/>
      <c r="M135" s="164"/>
      <c r="N135" s="164"/>
      <c r="O135" s="164"/>
      <c r="P135" s="164"/>
      <c r="Q135" s="164"/>
      <c r="R135" s="165"/>
      <c r="S135" s="155"/>
      <c r="T135" s="155"/>
      <c r="U135" s="166"/>
      <c r="V135" s="124"/>
      <c r="W135" s="140"/>
      <c r="X135" s="149"/>
      <c r="Y135" s="420" t="str">
        <f t="shared" si="35"/>
        <v>England</v>
      </c>
      <c r="Z135" s="365">
        <f>IF(Year1_England Year1_Assessments_within45days="","",Year1_England Year1_Assessments_within45days)</f>
        <v>448910</v>
      </c>
      <c r="AA135" s="365">
        <f>IF(Year2_England Year2_Assessments_within45days="","",Year2_England Year2_Assessments_within45days)</f>
        <v>476950</v>
      </c>
      <c r="AB135" s="365">
        <f>IF(Year3_England Year3_Assessments_within45days="","",Year3_England Year3_Assessments_within45days)</f>
        <v>503310</v>
      </c>
      <c r="AC135" s="365">
        <f>IF(Year4_England Year4_Assessments_within45days="","",Year4_England Year4_Assessments_within45days)</f>
        <v>521870</v>
      </c>
      <c r="AD135" s="365">
        <f>IF(Year5_England Year5_Assessments_within45days="","",Year5_England Year5_Assessments_within45days)</f>
        <v>536070</v>
      </c>
      <c r="AE135" s="556">
        <f>IF(Year1_England Year1_Continuous_assessments="","",Year1_England Year1_Continuous_assessments)</f>
        <v>550810</v>
      </c>
      <c r="AF135" s="463">
        <f>IF(Year2_England Year2_Continuous_assessments="","",Year2_England Year2_Continuous_assessments)</f>
        <v>571640</v>
      </c>
      <c r="AG135" s="463">
        <f>IF(Year3_England Year3_Continuous_assessments="","",Year3_England Year3_Continuous_assessments)</f>
        <v>606880</v>
      </c>
      <c r="AH135" s="463">
        <f>IF(Year4_England Year4_Continuous_assessments="","",Year4_England Year4_Continuous_assessments)</f>
        <v>631050</v>
      </c>
      <c r="AI135" s="463">
        <f>IF(Year5_England Year5_Continuous_assessments="","",Year5_England Year5_Continuous_assessments)</f>
        <v>644720</v>
      </c>
      <c r="AJ135" s="199"/>
      <c r="AK135" s="156"/>
    </row>
    <row r="136" spans="1:46" s="89" customFormat="1" ht="7.5" customHeight="1" x14ac:dyDescent="0.2">
      <c r="A136" s="286"/>
      <c r="B136" s="98"/>
      <c r="C136" s="98"/>
      <c r="D136" s="98"/>
      <c r="E136" s="98"/>
      <c r="F136" s="98"/>
      <c r="G136" s="98"/>
      <c r="H136" s="98"/>
      <c r="I136" s="98"/>
      <c r="J136" s="98"/>
      <c r="K136" s="164"/>
      <c r="L136" s="164"/>
      <c r="M136" s="164"/>
      <c r="N136" s="164"/>
      <c r="O136" s="164"/>
      <c r="P136" s="164"/>
      <c r="Q136" s="164"/>
      <c r="R136" s="165"/>
      <c r="S136" s="155"/>
      <c r="T136" s="155"/>
      <c r="U136" s="166"/>
      <c r="V136" s="124"/>
      <c r="W136" s="140"/>
      <c r="X136" s="149"/>
      <c r="Y136" s="83"/>
      <c r="Z136" s="83"/>
      <c r="AA136" s="191"/>
      <c r="AB136" s="191"/>
      <c r="AC136" s="192"/>
      <c r="AD136" s="192"/>
      <c r="AE136" s="194"/>
      <c r="AF136" s="199"/>
      <c r="AG136" s="199"/>
      <c r="AH136" s="199"/>
      <c r="AI136" s="185"/>
      <c r="AJ136" s="199"/>
      <c r="AK136" s="156"/>
    </row>
    <row r="137" spans="1:46" s="83" customFormat="1" ht="39" customHeight="1" x14ac:dyDescent="0.2">
      <c r="A137" s="213"/>
      <c r="B137" s="1554"/>
      <c r="C137" s="1554"/>
      <c r="D137" s="1554"/>
      <c r="E137" s="1554"/>
      <c r="F137" s="1554"/>
      <c r="G137" s="1554"/>
      <c r="H137" s="1554"/>
      <c r="I137" s="385"/>
      <c r="J137" s="168"/>
      <c r="K137" s="168"/>
      <c r="L137" s="168"/>
      <c r="M137" s="168"/>
      <c r="N137" s="168"/>
      <c r="O137" s="168"/>
      <c r="P137" s="168"/>
      <c r="Q137" s="168"/>
      <c r="R137" s="137"/>
      <c r="S137" s="168"/>
      <c r="T137" s="168"/>
      <c r="U137" s="168"/>
      <c r="V137" s="119"/>
      <c r="W137" s="138"/>
      <c r="X137" s="147"/>
      <c r="AD137" s="192"/>
      <c r="AE137" s="194"/>
      <c r="AF137" s="179"/>
      <c r="AG137" s="179"/>
      <c r="AH137" s="179"/>
      <c r="AJ137" s="179"/>
      <c r="AK137" s="157"/>
    </row>
    <row r="138" spans="1:46" s="83" customFormat="1" ht="38.25" customHeight="1" x14ac:dyDescent="0.2">
      <c r="A138" s="213"/>
      <c r="B138" s="385"/>
      <c r="C138" s="385"/>
      <c r="D138" s="385"/>
      <c r="E138" s="385"/>
      <c r="F138" s="385"/>
      <c r="G138" s="385"/>
      <c r="H138" s="385"/>
      <c r="I138" s="385"/>
      <c r="J138" s="168"/>
      <c r="K138" s="168"/>
      <c r="L138" s="168"/>
      <c r="M138" s="168"/>
      <c r="N138" s="168"/>
      <c r="O138" s="168"/>
      <c r="P138" s="168"/>
      <c r="Q138" s="168"/>
      <c r="R138" s="137"/>
      <c r="S138" s="168"/>
      <c r="T138" s="168"/>
      <c r="U138" s="168"/>
      <c r="V138" s="119"/>
      <c r="W138" s="138"/>
      <c r="X138" s="147"/>
      <c r="Z138" s="185"/>
      <c r="AE138" s="194"/>
      <c r="AF138" s="179"/>
      <c r="AG138" s="179"/>
      <c r="AH138" s="179"/>
      <c r="AJ138" s="179"/>
      <c r="AK138" s="157"/>
    </row>
    <row r="139" spans="1:46" s="83" customFormat="1" ht="38.25" customHeight="1" x14ac:dyDescent="0.2">
      <c r="A139" s="213"/>
      <c r="B139" s="385"/>
      <c r="C139" s="385"/>
      <c r="D139" s="385"/>
      <c r="E139" s="385"/>
      <c r="F139" s="385"/>
      <c r="G139" s="385"/>
      <c r="H139" s="385"/>
      <c r="I139" s="385"/>
      <c r="J139" s="168"/>
      <c r="K139" s="168"/>
      <c r="L139" s="168"/>
      <c r="M139" s="168"/>
      <c r="N139" s="168"/>
      <c r="O139" s="168"/>
      <c r="P139" s="168"/>
      <c r="Q139" s="168"/>
      <c r="R139" s="137"/>
      <c r="S139" s="168"/>
      <c r="T139" s="168"/>
      <c r="U139" s="168"/>
      <c r="V139" s="119"/>
      <c r="W139" s="138"/>
      <c r="X139" s="147"/>
      <c r="Z139" s="185"/>
      <c r="AE139" s="194"/>
      <c r="AF139" s="179"/>
      <c r="AG139" s="179"/>
      <c r="AH139" s="179"/>
      <c r="AJ139" s="179"/>
      <c r="AK139" s="157"/>
    </row>
    <row r="140" spans="1:46" s="83" customFormat="1" ht="7.5" customHeight="1" x14ac:dyDescent="0.2">
      <c r="A140" s="120"/>
      <c r="B140" s="18"/>
      <c r="C140" s="18"/>
      <c r="D140" s="17"/>
      <c r="E140" s="17"/>
      <c r="F140" s="17"/>
      <c r="G140" s="17"/>
      <c r="H140" s="17"/>
      <c r="I140" s="17"/>
      <c r="J140" s="13"/>
      <c r="K140" s="19"/>
      <c r="L140" s="19"/>
      <c r="M140" s="19"/>
      <c r="N140" s="19"/>
      <c r="O140" s="19"/>
      <c r="P140" s="19"/>
      <c r="Q140" s="19"/>
      <c r="R140" s="19"/>
      <c r="S140" s="19"/>
      <c r="T140" s="19"/>
      <c r="U140" s="20"/>
      <c r="V140" s="119"/>
      <c r="W140" s="138"/>
      <c r="X140" s="147"/>
      <c r="Z140" s="185"/>
      <c r="AJ140" s="179"/>
      <c r="AK140" s="153"/>
      <c r="AM140" s="76"/>
      <c r="AN140" s="76"/>
      <c r="AO140" s="76"/>
      <c r="AP140" s="76"/>
      <c r="AQ140" s="76"/>
      <c r="AR140" s="76"/>
    </row>
    <row r="141" spans="1:46" s="83" customFormat="1" ht="15" customHeight="1" x14ac:dyDescent="0.2">
      <c r="A141" s="1399"/>
      <c r="B141" s="1421"/>
      <c r="C141" s="1421"/>
      <c r="D141" s="1421"/>
      <c r="E141" s="1421"/>
      <c r="F141" s="1421"/>
      <c r="G141" s="1421"/>
      <c r="H141" s="1421"/>
      <c r="I141" s="1421"/>
      <c r="J141" s="1421"/>
      <c r="K141" s="1421"/>
      <c r="L141" s="1421"/>
      <c r="M141" s="1421"/>
      <c r="N141" s="1421"/>
      <c r="O141" s="1421"/>
      <c r="P141" s="1421"/>
      <c r="Q141" s="1421"/>
      <c r="R141" s="1421"/>
      <c r="S141" s="1421"/>
      <c r="T141" s="1421"/>
      <c r="U141" s="1421"/>
      <c r="V141" s="1422"/>
      <c r="W141" s="138"/>
      <c r="X141" s="147"/>
      <c r="AK141" s="157"/>
      <c r="AT141" s="76"/>
    </row>
    <row r="142" spans="1:46" s="83" customFormat="1" ht="11.25" customHeight="1" x14ac:dyDescent="0.2">
      <c r="A142" s="1428" t="str">
        <f>Home!$A$40</f>
        <v>LA's provide quarterly data on the condition that it is used by the benchmarking group for internal reporting only. Please DO NOT share other LA's data with any external partners or the public</v>
      </c>
      <c r="B142" s="1429"/>
      <c r="C142" s="1429"/>
      <c r="D142" s="1429"/>
      <c r="E142" s="1429"/>
      <c r="F142" s="1429"/>
      <c r="G142" s="1429"/>
      <c r="H142" s="1429"/>
      <c r="I142" s="1430"/>
      <c r="J142" s="1429"/>
      <c r="K142" s="1429"/>
      <c r="L142" s="1429"/>
      <c r="M142" s="1429"/>
      <c r="N142" s="1429"/>
      <c r="O142" s="1429"/>
      <c r="P142" s="1431"/>
      <c r="Q142" s="1429"/>
      <c r="R142" s="1429"/>
      <c r="S142" s="1429"/>
      <c r="T142" s="1430"/>
      <c r="U142" s="1429"/>
      <c r="V142" s="1432"/>
      <c r="W142" s="138"/>
      <c r="X142" s="147"/>
      <c r="AJ142" s="179"/>
      <c r="AK142" s="156"/>
      <c r="AM142" s="89"/>
      <c r="AT142" s="76"/>
    </row>
    <row r="143" spans="1:46" ht="11.25" customHeight="1" x14ac:dyDescent="0.2">
      <c r="A143" s="114"/>
      <c r="B143" s="115"/>
      <c r="C143" s="115"/>
      <c r="D143" s="115"/>
      <c r="E143" s="115"/>
      <c r="F143" s="115"/>
      <c r="G143" s="115"/>
      <c r="H143" s="115"/>
      <c r="I143" s="115"/>
      <c r="J143" s="116"/>
      <c r="K143" s="115"/>
      <c r="L143" s="115"/>
      <c r="M143" s="115"/>
      <c r="N143" s="115"/>
      <c r="O143" s="115"/>
      <c r="P143" s="115"/>
      <c r="Q143" s="115"/>
      <c r="R143" s="115"/>
      <c r="S143" s="115"/>
      <c r="T143" s="115"/>
      <c r="U143" s="115"/>
      <c r="V143" s="117"/>
      <c r="W143" s="138"/>
      <c r="X143" s="147"/>
      <c r="Y143" s="564"/>
      <c r="Z143" s="375"/>
      <c r="AA143" s="376"/>
      <c r="AB143" s="376"/>
      <c r="AC143" s="376"/>
      <c r="AD143" s="565"/>
      <c r="AE143" s="565"/>
      <c r="AJ143" s="179"/>
      <c r="AK143" s="153"/>
    </row>
    <row r="144" spans="1:46" s="78" customFormat="1" ht="15" customHeight="1" x14ac:dyDescent="0.2">
      <c r="A144" s="121"/>
      <c r="B144" s="1442" t="str">
        <f>"Proportion of Single Assessments completed within each 
time band ("&amp;Sheet1!$E$3&amp;")"</f>
        <v>Proportion of Single Assessments completed within each 
time band (2018-19)</v>
      </c>
      <c r="C144" s="1442"/>
      <c r="D144" s="1442"/>
      <c r="E144" s="1442"/>
      <c r="F144" s="1442"/>
      <c r="G144" s="1442"/>
      <c r="H144" s="1442"/>
      <c r="I144" s="1442"/>
      <c r="J144" s="69"/>
      <c r="K144" s="69"/>
      <c r="L144" s="69"/>
      <c r="M144" s="69"/>
      <c r="N144" s="306"/>
      <c r="O144" s="69"/>
      <c r="P144" s="69"/>
      <c r="Q144" s="69"/>
      <c r="R144" s="69"/>
      <c r="S144" s="69"/>
      <c r="T144" s="69"/>
      <c r="U144" s="69"/>
      <c r="V144" s="122"/>
      <c r="W144" s="139"/>
      <c r="X144" s="148"/>
      <c r="Y144" s="376"/>
      <c r="Z144" s="375"/>
      <c r="AA144" s="376"/>
      <c r="AB144" s="376"/>
      <c r="AC144" s="376"/>
      <c r="AD144" s="565"/>
      <c r="AE144" s="565"/>
      <c r="AF144" s="183"/>
      <c r="AG144" s="183"/>
      <c r="AH144" s="183"/>
      <c r="AI144" s="183"/>
      <c r="AJ144" s="183"/>
      <c r="AK144" s="154"/>
    </row>
    <row r="145" spans="1:46" ht="18" customHeight="1" x14ac:dyDescent="0.2">
      <c r="A145" s="120"/>
      <c r="B145" s="1442"/>
      <c r="C145" s="1442"/>
      <c r="D145" s="1442"/>
      <c r="E145" s="1442"/>
      <c r="F145" s="1442"/>
      <c r="G145" s="1442"/>
      <c r="H145" s="1442"/>
      <c r="I145" s="1442"/>
      <c r="J145" s="69"/>
      <c r="K145" s="69"/>
      <c r="L145" s="69"/>
      <c r="M145" s="69"/>
      <c r="N145" s="306"/>
      <c r="O145" s="69"/>
      <c r="P145" s="69"/>
      <c r="Q145" s="69"/>
      <c r="R145" s="10"/>
      <c r="S145" s="69"/>
      <c r="T145" s="69"/>
      <c r="U145" s="69"/>
      <c r="V145" s="119"/>
      <c r="W145" s="138"/>
      <c r="X145" s="147"/>
      <c r="Y145" s="376"/>
      <c r="AJ145" s="83"/>
      <c r="AK145" s="153"/>
    </row>
    <row r="146" spans="1:46" s="89" customFormat="1" ht="34.5" customHeight="1" x14ac:dyDescent="0.2">
      <c r="A146" s="123"/>
      <c r="B146" s="711" t="s">
        <v>190</v>
      </c>
      <c r="C146" s="87"/>
      <c r="D146" s="307" t="s">
        <v>132</v>
      </c>
      <c r="E146" s="307" t="s">
        <v>620</v>
      </c>
      <c r="F146" s="307" t="s">
        <v>621</v>
      </c>
      <c r="G146" s="307" t="s">
        <v>622</v>
      </c>
      <c r="H146" s="308" t="s">
        <v>136</v>
      </c>
      <c r="I146" s="98"/>
      <c r="J146" s="98"/>
      <c r="K146" s="61"/>
      <c r="L146" s="61"/>
      <c r="M146" s="61"/>
      <c r="N146" s="61"/>
      <c r="O146" s="61"/>
      <c r="P146" s="61"/>
      <c r="Q146" s="313"/>
      <c r="R146" s="313"/>
      <c r="S146" s="155"/>
      <c r="T146" s="155"/>
      <c r="U146" s="312"/>
      <c r="V146" s="124"/>
      <c r="W146" s="140"/>
      <c r="X146" s="149"/>
      <c r="Y146" s="365"/>
      <c r="Z146" s="566" t="str">
        <f>D146</f>
        <v>Within 10 Days</v>
      </c>
      <c r="AA146" s="566" t="str">
        <f>E146</f>
        <v>11-20 Days</v>
      </c>
      <c r="AB146" s="566" t="str">
        <f>F146</f>
        <v>21-30 Days</v>
      </c>
      <c r="AC146" s="566" t="str">
        <f>G146</f>
        <v>31-45 Days</v>
      </c>
      <c r="AD146" s="566" t="str">
        <f>H146</f>
        <v>Over 45 Days</v>
      </c>
      <c r="AE146" s="567" t="s">
        <v>87</v>
      </c>
      <c r="AF146" s="561" t="s">
        <v>110</v>
      </c>
      <c r="AG146" s="185"/>
      <c r="AH146" s="185"/>
      <c r="AI146" s="185"/>
      <c r="AJ146" s="185"/>
      <c r="AK146" s="156"/>
    </row>
    <row r="147" spans="1:46" s="89" customFormat="1" ht="12.75" customHeight="1" x14ac:dyDescent="0.2">
      <c r="A147" s="462">
        <f>VLOOKUP(B147,Sheet1!$AQ$4:$AR$25,2,FALSE)</f>
        <v>0</v>
      </c>
      <c r="B147" s="95" t="str">
        <f t="shared" ref="B147:B169" si="36">B10</f>
        <v>Bracknell Forest</v>
      </c>
      <c r="C147" s="87"/>
      <c r="D147" s="158">
        <f>IF(AND(ISNUMBER(Z147),$AE147&gt;0),Z147/$AE147,NA())</f>
        <v>0.18731650029359953</v>
      </c>
      <c r="E147" s="158">
        <f t="shared" ref="E147:H147" si="37">IF(AND(ISNUMBER(AA147),$AE147&gt;0),AA147/$AE147,NA())</f>
        <v>0.38990017615971817</v>
      </c>
      <c r="F147" s="158">
        <f t="shared" si="37"/>
        <v>0.17087492660011744</v>
      </c>
      <c r="G147" s="158">
        <f t="shared" si="37"/>
        <v>0.18731650029359953</v>
      </c>
      <c r="H147" s="160">
        <f t="shared" si="37"/>
        <v>6.4591896652965358E-2</v>
      </c>
      <c r="I147" s="98"/>
      <c r="J147" s="98"/>
      <c r="K147" s="162"/>
      <c r="L147" s="162"/>
      <c r="M147" s="162"/>
      <c r="N147" s="162"/>
      <c r="O147" s="162"/>
      <c r="P147" s="162"/>
      <c r="Q147" s="162"/>
      <c r="R147" s="163"/>
      <c r="S147" s="155"/>
      <c r="T147" s="155"/>
      <c r="U147" s="162"/>
      <c r="V147" s="124"/>
      <c r="W147" s="140"/>
      <c r="X147" s="149"/>
      <c r="Y147" s="420" t="str">
        <f>B147</f>
        <v>Bracknell Forest</v>
      </c>
      <c r="Z147" s="463">
        <f>IF(Year5_Bracknell_Forest Year5_Assessments_10days="","",Year5_Bracknell_Forest Year5_Assessments_10days)</f>
        <v>319</v>
      </c>
      <c r="AA147" s="365">
        <f>IF(Year5_Bracknell_Forest Year5_Assessments_11_25days="","",Year5_Bracknell_Forest Year5_Assessments_11_25days)</f>
        <v>664</v>
      </c>
      <c r="AB147" s="365">
        <f>IF(Year5_Bracknell_Forest Year5_Assessments_26_35days="","",Year5_Bracknell_Forest Year5_Assessments_26_35days)</f>
        <v>291</v>
      </c>
      <c r="AC147" s="365">
        <f>IF(Year5_Bracknell_Forest Year5_Assessments_36_45days="","",Year5_Bracknell_Forest Year5_Assessments_36_45days)</f>
        <v>319</v>
      </c>
      <c r="AD147" s="365">
        <f>IF(Year5_Bracknell_Forest Year5_Assessments_over_45days="","",Year5_Bracknell_Forest Year5_Assessments_over_45days)</f>
        <v>110</v>
      </c>
      <c r="AE147" s="568">
        <f>SUM(Z147:AD147)</f>
        <v>1703</v>
      </c>
      <c r="AF147" s="569">
        <f>SUM(AA147:AC147)/AE147</f>
        <v>0.74809160305343514</v>
      </c>
      <c r="AG147" s="185"/>
      <c r="AH147" s="185"/>
      <c r="AI147" s="185"/>
      <c r="AJ147" s="185"/>
      <c r="AK147" s="156"/>
    </row>
    <row r="148" spans="1:46" s="89" customFormat="1" ht="12.75" customHeight="1" x14ac:dyDescent="0.2">
      <c r="A148" s="462">
        <f>VLOOKUP(B148,Sheet1!$AQ$4:$AR$25,2,FALSE)</f>
        <v>0</v>
      </c>
      <c r="B148" s="95" t="str">
        <f t="shared" si="36"/>
        <v>Brighton &amp; Hove</v>
      </c>
      <c r="C148" s="87"/>
      <c r="D148" s="158">
        <f t="shared" ref="D148:D169" si="38">IF(AND(ISNUMBER(Z148),$AE148&gt;0),Z148/$AE148,NA())</f>
        <v>0.12995951417004048</v>
      </c>
      <c r="E148" s="158">
        <f t="shared" ref="E148:E169" si="39">IF(AND(ISNUMBER(AA148),$AE148&gt;0),AA148/$AE148,NA())</f>
        <v>0.11700404858299596</v>
      </c>
      <c r="F148" s="158">
        <f t="shared" ref="F148:F169" si="40">IF(AND(ISNUMBER(AB148),$AE148&gt;0),AB148/$AE148,NA())</f>
        <v>0.26072874493927123</v>
      </c>
      <c r="G148" s="158">
        <f t="shared" ref="G148:G169" si="41">IF(AND(ISNUMBER(AC148),$AE148&gt;0),AC148/$AE148,NA())</f>
        <v>0.37327935222672065</v>
      </c>
      <c r="H148" s="160">
        <f t="shared" ref="H148:H169" si="42">IF(AND(ISNUMBER(AD148),$AE148&gt;0),AD148/$AE148,NA())</f>
        <v>0.11902834008097166</v>
      </c>
      <c r="I148" s="98"/>
      <c r="J148" s="98"/>
      <c r="K148" s="162"/>
      <c r="L148" s="162"/>
      <c r="M148" s="162"/>
      <c r="N148" s="162"/>
      <c r="O148" s="162"/>
      <c r="P148" s="162"/>
      <c r="Q148" s="162"/>
      <c r="R148" s="163"/>
      <c r="S148" s="155"/>
      <c r="T148" s="155"/>
      <c r="U148" s="162"/>
      <c r="V148" s="124"/>
      <c r="W148" s="140"/>
      <c r="X148" s="149"/>
      <c r="Y148" s="420" t="str">
        <f t="shared" ref="Y148:Y169" si="43">B148</f>
        <v>Brighton &amp; Hove</v>
      </c>
      <c r="Z148" s="463">
        <f>IF(Year5_Brighton_Hove Year5_Assessments_10days="","",Year5_Brighton_Hove Year5_Assessments_10days)</f>
        <v>321</v>
      </c>
      <c r="AA148" s="365">
        <f>IF(Year5_Brighton_Hove Year5_Assessments_11_25days="","",Year5_Brighton_Hove Year5_Assessments_11_25days)</f>
        <v>289</v>
      </c>
      <c r="AB148" s="365">
        <f>IF(Year5_Brighton_Hove Year5_Assessments_26_35days="","",Year5_Brighton_Hove Year5_Assessments_26_35days)</f>
        <v>644</v>
      </c>
      <c r="AC148" s="365">
        <f>IF(Year5_Brighton_Hove Year5_Assessments_36_45days="","",Year5_Brighton_Hove Year5_Assessments_36_45days)</f>
        <v>922</v>
      </c>
      <c r="AD148" s="365">
        <f>IF(Year5_Brighton_Hove Year5_Assessments_over_45days="","",Year5_Brighton_Hove Year5_Assessments_over_45days)</f>
        <v>294</v>
      </c>
      <c r="AE148" s="568">
        <f t="shared" ref="AE148:AE159" si="44">SUM(Z148:AD148)</f>
        <v>2470</v>
      </c>
      <c r="AF148" s="569">
        <f t="shared" ref="AF148:AF170" si="45">SUM(AA148:AC148)/AE148</f>
        <v>0.75101214574898789</v>
      </c>
      <c r="AG148" s="185"/>
      <c r="AH148" s="185"/>
      <c r="AI148" s="185"/>
      <c r="AJ148" s="185"/>
      <c r="AK148" s="156"/>
    </row>
    <row r="149" spans="1:46" s="89" customFormat="1" ht="12.75" customHeight="1" x14ac:dyDescent="0.2">
      <c r="A149" s="462">
        <f>VLOOKUP(B149,Sheet1!$AQ$4:$AR$25,2,FALSE)</f>
        <v>0</v>
      </c>
      <c r="B149" s="95" t="str">
        <f t="shared" si="36"/>
        <v>Buckinghamshire</v>
      </c>
      <c r="C149" s="87"/>
      <c r="D149" s="158">
        <f t="shared" si="38"/>
        <v>0.22355799974421281</v>
      </c>
      <c r="E149" s="158">
        <f t="shared" si="39"/>
        <v>0.10436117150530759</v>
      </c>
      <c r="F149" s="158">
        <f t="shared" si="40"/>
        <v>0.11254636142729249</v>
      </c>
      <c r="G149" s="158">
        <f t="shared" si="41"/>
        <v>0.29402736922880163</v>
      </c>
      <c r="H149" s="160">
        <f t="shared" si="42"/>
        <v>0.2655070980943855</v>
      </c>
      <c r="I149" s="98"/>
      <c r="J149" s="98"/>
      <c r="K149" s="162"/>
      <c r="L149" s="162"/>
      <c r="M149" s="162"/>
      <c r="N149" s="162"/>
      <c r="O149" s="162"/>
      <c r="P149" s="162"/>
      <c r="Q149" s="162"/>
      <c r="R149" s="163"/>
      <c r="S149" s="155"/>
      <c r="T149" s="155"/>
      <c r="U149" s="162"/>
      <c r="V149" s="124"/>
      <c r="W149" s="140"/>
      <c r="X149" s="149"/>
      <c r="Y149" s="420" t="str">
        <f t="shared" si="43"/>
        <v>Buckinghamshire</v>
      </c>
      <c r="Z149" s="463">
        <f>IF(Year5_Buckinghamshire Year5_Assessments_10days="","",Year5_Buckinghamshire Year5_Assessments_10days)</f>
        <v>1748</v>
      </c>
      <c r="AA149" s="365">
        <f>IF(Year5_Buckinghamshire Year5_Assessments_11_25days="","",Year5_Buckinghamshire Year5_Assessments_11_25days)</f>
        <v>816</v>
      </c>
      <c r="AB149" s="365">
        <f>IF(Year5_Buckinghamshire Year5_Assessments_26_35days="","",Year5_Buckinghamshire Year5_Assessments_26_35days)</f>
        <v>880</v>
      </c>
      <c r="AC149" s="365">
        <f>IF(Year5_Buckinghamshire Year5_Assessments_36_45days="","",Year5_Buckinghamshire Year5_Assessments_36_45days)</f>
        <v>2299</v>
      </c>
      <c r="AD149" s="365">
        <f>IF(Year5_Buckinghamshire Year5_Assessments_over_45days="","",Year5_Buckinghamshire Year5_Assessments_over_45days)</f>
        <v>2076</v>
      </c>
      <c r="AE149" s="568">
        <f t="shared" si="44"/>
        <v>7819</v>
      </c>
      <c r="AF149" s="569">
        <f t="shared" si="45"/>
        <v>0.51093490216140169</v>
      </c>
      <c r="AG149" s="185"/>
      <c r="AH149" s="185"/>
      <c r="AI149" s="185"/>
      <c r="AJ149" s="185"/>
      <c r="AK149" s="156"/>
    </row>
    <row r="150" spans="1:46" s="89" customFormat="1" ht="12.75" customHeight="1" x14ac:dyDescent="0.2">
      <c r="A150" s="462">
        <f>VLOOKUP(B150,Sheet1!$AQ$4:$AR$25,2,FALSE)</f>
        <v>0</v>
      </c>
      <c r="B150" s="95" t="str">
        <f t="shared" si="36"/>
        <v>East Sussex</v>
      </c>
      <c r="C150" s="87"/>
      <c r="D150" s="158">
        <f t="shared" si="38"/>
        <v>7.8654808226792661E-2</v>
      </c>
      <c r="E150" s="158">
        <f t="shared" si="39"/>
        <v>0.12784880489160644</v>
      </c>
      <c r="F150" s="158">
        <f t="shared" si="40"/>
        <v>0.13062812673707616</v>
      </c>
      <c r="G150" s="158">
        <f t="shared" si="41"/>
        <v>0.24207893274041134</v>
      </c>
      <c r="H150" s="160">
        <f t="shared" si="42"/>
        <v>0.4207893274041134</v>
      </c>
      <c r="I150" s="98"/>
      <c r="J150" s="98"/>
      <c r="K150" s="162"/>
      <c r="L150" s="162"/>
      <c r="M150" s="162"/>
      <c r="N150" s="162"/>
      <c r="O150" s="162"/>
      <c r="P150" s="162"/>
      <c r="Q150" s="162"/>
      <c r="R150" s="163"/>
      <c r="S150" s="155"/>
      <c r="T150" s="155"/>
      <c r="U150" s="162"/>
      <c r="V150" s="124"/>
      <c r="W150" s="140"/>
      <c r="X150" s="149"/>
      <c r="Y150" s="420" t="str">
        <f t="shared" si="43"/>
        <v>East Sussex</v>
      </c>
      <c r="Z150" s="570">
        <f>IF(Year5_East_Sussex Year5_Assessments_10days="","",Year5_East_Sussex Year5_Assessments_10days)</f>
        <v>283</v>
      </c>
      <c r="AA150" s="365">
        <f>IF(Year5_East_Sussex Year5_Assessments_11_25days="","",Year5_East_Sussex Year5_Assessments_11_25days)</f>
        <v>460</v>
      </c>
      <c r="AB150" s="365">
        <f>IF(Year5_East_Sussex Year5_Assessments_26_35days="","",Year5_East_Sussex Year5_Assessments_26_35days)</f>
        <v>470</v>
      </c>
      <c r="AC150" s="365">
        <f>IF(Year5_East_Sussex Year5_Assessments_36_45days="","",Year5_East_Sussex Year5_Assessments_36_45days)</f>
        <v>871</v>
      </c>
      <c r="AD150" s="365">
        <f>IF(Year5_East_Sussex Year5_Assessments_over_45days="","",Year5_East_Sussex Year5_Assessments_over_45days)</f>
        <v>1514</v>
      </c>
      <c r="AE150" s="568">
        <f t="shared" si="44"/>
        <v>3598</v>
      </c>
      <c r="AF150" s="569">
        <f t="shared" si="45"/>
        <v>0.50055586436909394</v>
      </c>
      <c r="AG150" s="185"/>
      <c r="AH150" s="185"/>
      <c r="AI150" s="185"/>
      <c r="AJ150" s="185"/>
      <c r="AK150" s="156"/>
    </row>
    <row r="151" spans="1:46" s="89" customFormat="1" ht="12.75" customHeight="1" x14ac:dyDescent="0.2">
      <c r="A151" s="462">
        <f>VLOOKUP(B151,Sheet1!$AQ$4:$AR$25,2,FALSE)</f>
        <v>0</v>
      </c>
      <c r="B151" s="95" t="str">
        <f t="shared" si="36"/>
        <v>Hampshire</v>
      </c>
      <c r="C151" s="87"/>
      <c r="D151" s="158">
        <f t="shared" si="38"/>
        <v>0.23384991390323834</v>
      </c>
      <c r="E151" s="158">
        <f t="shared" si="39"/>
        <v>0.45364661445314669</v>
      </c>
      <c r="F151" s="158">
        <f t="shared" si="40"/>
        <v>0.12747875354107649</v>
      </c>
      <c r="G151" s="158">
        <f t="shared" si="41"/>
        <v>9.3539965561295346E-2</v>
      </c>
      <c r="H151" s="160">
        <f t="shared" si="42"/>
        <v>9.1484752541243122E-2</v>
      </c>
      <c r="I151" s="98"/>
      <c r="J151" s="98"/>
      <c r="K151" s="162"/>
      <c r="L151" s="162"/>
      <c r="M151" s="162"/>
      <c r="N151" s="162"/>
      <c r="O151" s="162"/>
      <c r="P151" s="162"/>
      <c r="Q151" s="162"/>
      <c r="R151" s="163"/>
      <c r="S151" s="155"/>
      <c r="T151" s="155"/>
      <c r="U151" s="162"/>
      <c r="V151" s="124"/>
      <c r="W151" s="140"/>
      <c r="X151" s="149"/>
      <c r="Y151" s="420" t="str">
        <f t="shared" si="43"/>
        <v>Hampshire</v>
      </c>
      <c r="Z151" s="463">
        <f>IF(Year5_Hampshire Year5_Assessments_10days="","",Year5_Hampshire Year5_Assessments_10days)</f>
        <v>4210</v>
      </c>
      <c r="AA151" s="365">
        <f>IF(Year5_Hampshire Year5_Assessments_11_25days="","",Year5_Hampshire Year5_Assessments_11_25days)</f>
        <v>8167</v>
      </c>
      <c r="AB151" s="365">
        <f>IF(Year5_Hampshire Year5_Assessments_26_35days="","",Year5_Hampshire Year5_Assessments_26_35days)</f>
        <v>2295</v>
      </c>
      <c r="AC151" s="365">
        <f>IF(Year5_Hampshire Year5_Assessments_36_45days="","",Year5_Hampshire Year5_Assessments_36_45days)</f>
        <v>1684</v>
      </c>
      <c r="AD151" s="365">
        <f>IF(Year5_Hampshire Year5_Assessments_over_45days="","",Year5_Hampshire Year5_Assessments_over_45days)</f>
        <v>1647</v>
      </c>
      <c r="AE151" s="568">
        <f t="shared" si="44"/>
        <v>18003</v>
      </c>
      <c r="AF151" s="569">
        <f t="shared" si="45"/>
        <v>0.6746653335555185</v>
      </c>
      <c r="AG151" s="185"/>
      <c r="AH151" s="185"/>
      <c r="AI151" s="185"/>
      <c r="AJ151" s="185"/>
      <c r="AK151" s="156"/>
    </row>
    <row r="152" spans="1:46" s="89" customFormat="1" ht="12.75" customHeight="1" x14ac:dyDescent="0.2">
      <c r="A152" s="462">
        <f>VLOOKUP(B152,Sheet1!$AQ$4:$AR$25,2,FALSE)</f>
        <v>0</v>
      </c>
      <c r="B152" s="95" t="str">
        <f t="shared" si="36"/>
        <v>Isle of Wight</v>
      </c>
      <c r="C152" s="87"/>
      <c r="D152" s="158">
        <f t="shared" si="38"/>
        <v>0.29363867684478373</v>
      </c>
      <c r="E152" s="158">
        <f t="shared" si="39"/>
        <v>0.42035623409669209</v>
      </c>
      <c r="F152" s="158">
        <f t="shared" si="40"/>
        <v>0.10585241730279898</v>
      </c>
      <c r="G152" s="158">
        <f t="shared" si="41"/>
        <v>0.13791348600508907</v>
      </c>
      <c r="H152" s="160">
        <f t="shared" si="42"/>
        <v>4.2239185750636135E-2</v>
      </c>
      <c r="I152" s="98"/>
      <c r="J152" s="98"/>
      <c r="K152" s="162"/>
      <c r="L152" s="162"/>
      <c r="M152" s="162"/>
      <c r="N152" s="162"/>
      <c r="O152" s="162"/>
      <c r="P152" s="162"/>
      <c r="Q152" s="162"/>
      <c r="R152" s="163"/>
      <c r="S152" s="155"/>
      <c r="T152" s="155"/>
      <c r="U152" s="162"/>
      <c r="V152" s="124"/>
      <c r="W152" s="140"/>
      <c r="X152" s="149"/>
      <c r="Y152" s="420" t="str">
        <f t="shared" si="43"/>
        <v>Isle of Wight</v>
      </c>
      <c r="Z152" s="463">
        <f>IF(Year5_Isle_of_Wight Year5_Assessments_10days="","",Year5_Isle_of_Wight Year5_Assessments_10days)</f>
        <v>577</v>
      </c>
      <c r="AA152" s="365">
        <f>IF(Year5_Isle_of_Wight Year5_Assessments_11_25days="","",Year5_Isle_of_Wight Year5_Assessments_11_25days)</f>
        <v>826</v>
      </c>
      <c r="AB152" s="365">
        <f>IF(Year5_Isle_of_Wight Year5_Assessments_26_35days="","",Year5_Isle_of_Wight Year5_Assessments_26_35days)</f>
        <v>208</v>
      </c>
      <c r="AC152" s="365">
        <f>IF(Year5_Isle_of_Wight Year5_Assessments_36_45days="","",Year5_Isle_of_Wight Year5_Assessments_36_45days)</f>
        <v>271</v>
      </c>
      <c r="AD152" s="365">
        <f>IF(Year5_Isle_of_Wight Year5_Assessments_over_45days="","",Year5_Isle_of_Wight Year5_Assessments_over_45days)</f>
        <v>83</v>
      </c>
      <c r="AE152" s="568">
        <f t="shared" si="44"/>
        <v>1965</v>
      </c>
      <c r="AF152" s="569">
        <f t="shared" si="45"/>
        <v>0.66412213740458015</v>
      </c>
      <c r="AG152" s="185"/>
      <c r="AH152" s="185"/>
      <c r="AI152" s="185"/>
      <c r="AJ152" s="185"/>
      <c r="AK152" s="156"/>
      <c r="AT152" s="89" t="s">
        <v>103</v>
      </c>
    </row>
    <row r="153" spans="1:46" s="89" customFormat="1" ht="12.75" customHeight="1" x14ac:dyDescent="0.2">
      <c r="A153" s="462">
        <f>VLOOKUP(B153,Sheet1!$AQ$4:$AR$25,2,FALSE)</f>
        <v>0</v>
      </c>
      <c r="B153" s="95" t="str">
        <f t="shared" si="36"/>
        <v>Kent</v>
      </c>
      <c r="C153" s="87"/>
      <c r="D153" s="158">
        <f t="shared" si="38"/>
        <v>8.3206236231147257E-2</v>
      </c>
      <c r="E153" s="158">
        <f t="shared" si="39"/>
        <v>0.12658871377732589</v>
      </c>
      <c r="F153" s="158">
        <f t="shared" si="40"/>
        <v>0.25148279952550417</v>
      </c>
      <c r="G153" s="158">
        <f t="shared" si="41"/>
        <v>0.4598655595096876</v>
      </c>
      <c r="H153" s="160">
        <f t="shared" si="42"/>
        <v>7.8856690956335088E-2</v>
      </c>
      <c r="I153" s="98"/>
      <c r="J153" s="98"/>
      <c r="K153" s="162"/>
      <c r="L153" s="162"/>
      <c r="M153" s="162"/>
      <c r="N153" s="162"/>
      <c r="O153" s="162"/>
      <c r="P153" s="162"/>
      <c r="Q153" s="162"/>
      <c r="R153" s="163"/>
      <c r="S153" s="155"/>
      <c r="T153" s="155"/>
      <c r="U153" s="162"/>
      <c r="V153" s="124"/>
      <c r="W153" s="140"/>
      <c r="X153" s="149"/>
      <c r="Y153" s="420" t="str">
        <f t="shared" si="43"/>
        <v>Kent</v>
      </c>
      <c r="Z153" s="570">
        <f>IF(Year5_Kent Year5_Assessments_10days="","",Year5_Kent Year5_Assessments_10days)</f>
        <v>1473</v>
      </c>
      <c r="AA153" s="571">
        <f>IF(Year5_Kent Year5_Assessments_11_25days="","",Year5_Kent Year5_Assessments_11_25days)</f>
        <v>2241</v>
      </c>
      <c r="AB153" s="571">
        <f>IF(Year5_Kent Year5_Assessments_26_35days="","",Year5_Kent Year5_Assessments_26_35days)</f>
        <v>4452</v>
      </c>
      <c r="AC153" s="571">
        <f>IF(Year5_Kent Year5_Assessments_36_45days="","",Year5_Kent Year5_Assessments_36_45days)</f>
        <v>8141</v>
      </c>
      <c r="AD153" s="571">
        <f>IF(Year5_Kent Year5_Assessments_over_45days="","",Year5_Kent Year5_Assessments_over_45days)</f>
        <v>1396</v>
      </c>
      <c r="AE153" s="568">
        <f t="shared" si="44"/>
        <v>17703</v>
      </c>
      <c r="AF153" s="569">
        <f t="shared" si="45"/>
        <v>0.83793707281251761</v>
      </c>
      <c r="AG153" s="185"/>
      <c r="AH153" s="185"/>
      <c r="AI153" s="185"/>
      <c r="AJ153" s="185"/>
      <c r="AK153" s="156"/>
    </row>
    <row r="154" spans="1:46" s="89" customFormat="1" ht="12.75" customHeight="1" x14ac:dyDescent="0.2">
      <c r="A154" s="462">
        <f>VLOOKUP(B154,Sheet1!$AQ$4:$AR$25,2,FALSE)</f>
        <v>0</v>
      </c>
      <c r="B154" s="95" t="str">
        <f t="shared" si="36"/>
        <v>Medway</v>
      </c>
      <c r="C154" s="87"/>
      <c r="D154" s="158">
        <f t="shared" si="38"/>
        <v>3.9181286549707602E-2</v>
      </c>
      <c r="E154" s="158">
        <f t="shared" si="39"/>
        <v>8.4210526315789472E-2</v>
      </c>
      <c r="F154" s="158">
        <f t="shared" si="40"/>
        <v>0.10087719298245613</v>
      </c>
      <c r="G154" s="158">
        <f t="shared" si="41"/>
        <v>0.40701754385964911</v>
      </c>
      <c r="H154" s="160">
        <f t="shared" si="42"/>
        <v>0.36871345029239766</v>
      </c>
      <c r="I154" s="98"/>
      <c r="J154" s="98"/>
      <c r="K154" s="162"/>
      <c r="L154" s="162"/>
      <c r="M154" s="162"/>
      <c r="N154" s="162"/>
      <c r="O154" s="162"/>
      <c r="P154" s="162"/>
      <c r="Q154" s="162"/>
      <c r="R154" s="163"/>
      <c r="S154" s="155"/>
      <c r="T154" s="155"/>
      <c r="U154" s="162"/>
      <c r="V154" s="124"/>
      <c r="W154" s="140"/>
      <c r="X154" s="149"/>
      <c r="Y154" s="420" t="str">
        <f t="shared" si="43"/>
        <v>Medway</v>
      </c>
      <c r="Z154" s="570">
        <f>IF(Year5_Medway Year5_Assessments_10days="","",Year5_Medway Year5_Assessments_10days)</f>
        <v>134</v>
      </c>
      <c r="AA154" s="571">
        <f>IF(Year5_Medway Year5_Assessments_11_25days="","",Year5_Medway Year5_Assessments_11_25days)</f>
        <v>288</v>
      </c>
      <c r="AB154" s="571">
        <f>IF(Year5_Medway Year5_Assessments_26_35days="","",Year5_Medway Year5_Assessments_26_35days)</f>
        <v>345</v>
      </c>
      <c r="AC154" s="571">
        <f>IF(Year5_Medway Year5_Assessments_36_45days="","",Year5_Medway Year5_Assessments_36_45days)</f>
        <v>1392</v>
      </c>
      <c r="AD154" s="571">
        <f>IF(Year5_Medway Year5_Assessments_over_45days="","",Year5_Medway Year5_Assessments_over_45days)</f>
        <v>1261</v>
      </c>
      <c r="AE154" s="568">
        <f t="shared" si="44"/>
        <v>3420</v>
      </c>
      <c r="AF154" s="569">
        <f t="shared" si="45"/>
        <v>0.59210526315789469</v>
      </c>
      <c r="AG154" s="185"/>
      <c r="AH154" s="185"/>
      <c r="AI154" s="185"/>
      <c r="AJ154" s="185"/>
      <c r="AK154" s="156"/>
    </row>
    <row r="155" spans="1:46" s="89" customFormat="1" ht="12.75" customHeight="1" x14ac:dyDescent="0.2">
      <c r="A155" s="462">
        <f>VLOOKUP(B155,Sheet1!$AQ$4:$AR$25,2,FALSE)</f>
        <v>0</v>
      </c>
      <c r="B155" s="95" t="str">
        <f t="shared" si="36"/>
        <v>Milton Keynes</v>
      </c>
      <c r="C155" s="87"/>
      <c r="D155" s="158">
        <f t="shared" si="38"/>
        <v>0.26367274344152958</v>
      </c>
      <c r="E155" s="158">
        <f t="shared" si="39"/>
        <v>0.30457981325033351</v>
      </c>
      <c r="F155" s="158">
        <f t="shared" si="40"/>
        <v>0.20497999110715873</v>
      </c>
      <c r="G155" s="158">
        <f t="shared" si="41"/>
        <v>0.16540684748777235</v>
      </c>
      <c r="H155" s="160">
        <f t="shared" si="42"/>
        <v>6.1360604713205869E-2</v>
      </c>
      <c r="I155" s="98"/>
      <c r="J155" s="98"/>
      <c r="K155" s="162"/>
      <c r="L155" s="162"/>
      <c r="M155" s="162"/>
      <c r="N155" s="162"/>
      <c r="O155" s="162"/>
      <c r="P155" s="162"/>
      <c r="Q155" s="162"/>
      <c r="R155" s="163"/>
      <c r="S155" s="155"/>
      <c r="T155" s="155"/>
      <c r="U155" s="162"/>
      <c r="V155" s="124"/>
      <c r="W155" s="140"/>
      <c r="X155" s="149"/>
      <c r="Y155" s="420" t="str">
        <f t="shared" si="43"/>
        <v>Milton Keynes</v>
      </c>
      <c r="Z155" s="570">
        <f>IF(Year5_Milton_Keynes Year5_Assessments_10days="","",Year5_Milton_Keynes Year5_Assessments_10days)</f>
        <v>593</v>
      </c>
      <c r="AA155" s="571">
        <f>IF(Year5_Milton_Keynes Year5_Assessments_11_25days="","",Year5_Milton_Keynes Year5_Assessments_11_25days)</f>
        <v>685</v>
      </c>
      <c r="AB155" s="571">
        <f>IF(Year5_Milton_Keynes Year5_Assessments_26_35days="","",Year5_Milton_Keynes Year5_Assessments_26_35days)</f>
        <v>461</v>
      </c>
      <c r="AC155" s="571">
        <f>IF(Year5_Milton_Keynes Year5_Assessments_36_45days="","",Year5_Milton_Keynes Year5_Assessments_36_45days)</f>
        <v>372</v>
      </c>
      <c r="AD155" s="571">
        <f>IF(Year5_Milton_Keynes Year5_Assessments_over_45days="","",Year5_Milton_Keynes Year5_Assessments_over_45days)</f>
        <v>138</v>
      </c>
      <c r="AE155" s="568">
        <f t="shared" si="44"/>
        <v>2249</v>
      </c>
      <c r="AF155" s="569">
        <f t="shared" si="45"/>
        <v>0.67496665184526461</v>
      </c>
      <c r="AG155" s="185"/>
      <c r="AH155" s="185"/>
      <c r="AI155" s="185"/>
      <c r="AJ155" s="185"/>
      <c r="AK155" s="156"/>
    </row>
    <row r="156" spans="1:46" s="89" customFormat="1" ht="12.75" customHeight="1" x14ac:dyDescent="0.2">
      <c r="A156" s="462">
        <f>VLOOKUP(B156,Sheet1!$AQ$4:$AR$25,2,FALSE)</f>
        <v>0</v>
      </c>
      <c r="B156" s="95" t="str">
        <f t="shared" si="36"/>
        <v>Oxfordshire</v>
      </c>
      <c r="C156" s="87"/>
      <c r="D156" s="158">
        <f t="shared" si="38"/>
        <v>5.3108808290155442E-2</v>
      </c>
      <c r="E156" s="158">
        <f t="shared" si="39"/>
        <v>9.6039970392301999E-2</v>
      </c>
      <c r="F156" s="158">
        <f t="shared" si="40"/>
        <v>0.12398223538119911</v>
      </c>
      <c r="G156" s="158">
        <f t="shared" si="41"/>
        <v>0.31014063656550706</v>
      </c>
      <c r="H156" s="160">
        <f t="shared" si="42"/>
        <v>0.41672834937083642</v>
      </c>
      <c r="I156" s="98"/>
      <c r="J156" s="98"/>
      <c r="K156" s="162"/>
      <c r="L156" s="162"/>
      <c r="M156" s="162"/>
      <c r="N156" s="162"/>
      <c r="O156" s="162"/>
      <c r="P156" s="162"/>
      <c r="Q156" s="162"/>
      <c r="R156" s="163"/>
      <c r="S156" s="155"/>
      <c r="T156" s="155"/>
      <c r="U156" s="162"/>
      <c r="V156" s="124"/>
      <c r="W156" s="140"/>
      <c r="X156" s="149"/>
      <c r="Y156" s="420" t="str">
        <f t="shared" si="43"/>
        <v>Oxfordshire</v>
      </c>
      <c r="Z156" s="463">
        <f>IF(Year5_Oxfordshire Year5_Assessments_10days="","",Year5_Oxfordshire Year5_Assessments_10days)</f>
        <v>287</v>
      </c>
      <c r="AA156" s="365">
        <f>IF(Year5_Oxfordshire Year5_Assessments_11_25days="","",Year5_Oxfordshire Year5_Assessments_11_25days)</f>
        <v>519</v>
      </c>
      <c r="AB156" s="365">
        <f>IF(Year5_Oxfordshire Year5_Assessments_26_35days="","",Year5_Oxfordshire Year5_Assessments_26_35days)</f>
        <v>670</v>
      </c>
      <c r="AC156" s="365">
        <f>IF(Year5_Oxfordshire Year5_Assessments_36_45days="","",Year5_Oxfordshire Year5_Assessments_36_45days)</f>
        <v>1676</v>
      </c>
      <c r="AD156" s="365">
        <f>IF(Year5_Oxfordshire Year5_Assessments_over_45days="","",Year5_Oxfordshire Year5_Assessments_over_45days)</f>
        <v>2252</v>
      </c>
      <c r="AE156" s="568">
        <f t="shared" si="44"/>
        <v>5404</v>
      </c>
      <c r="AF156" s="569">
        <f t="shared" si="45"/>
        <v>0.53016284233900812</v>
      </c>
      <c r="AG156" s="185"/>
      <c r="AH156" s="185"/>
      <c r="AI156" s="185"/>
      <c r="AJ156" s="185"/>
      <c r="AK156" s="156"/>
    </row>
    <row r="157" spans="1:46" s="89" customFormat="1" ht="12.75" customHeight="1" x14ac:dyDescent="0.2">
      <c r="A157" s="462">
        <f>VLOOKUP(B157,Sheet1!$AQ$4:$AR$25,2,FALSE)</f>
        <v>0</v>
      </c>
      <c r="B157" s="95" t="str">
        <f t="shared" si="36"/>
        <v>Portsmouth</v>
      </c>
      <c r="C157" s="87"/>
      <c r="D157" s="158">
        <f t="shared" si="38"/>
        <v>0.37222370885737222</v>
      </c>
      <c r="E157" s="158">
        <f t="shared" si="39"/>
        <v>0.20123093390420124</v>
      </c>
      <c r="F157" s="158">
        <f t="shared" si="40"/>
        <v>0.19266791544019266</v>
      </c>
      <c r="G157" s="158">
        <f t="shared" si="41"/>
        <v>0.18597805726518599</v>
      </c>
      <c r="H157" s="160">
        <f t="shared" si="42"/>
        <v>4.7899384533047901E-2</v>
      </c>
      <c r="I157" s="98"/>
      <c r="J157" s="98"/>
      <c r="K157" s="162"/>
      <c r="L157" s="162"/>
      <c r="M157" s="162"/>
      <c r="N157" s="162"/>
      <c r="O157" s="162"/>
      <c r="P157" s="162"/>
      <c r="Q157" s="162"/>
      <c r="R157" s="163"/>
      <c r="S157" s="155"/>
      <c r="T157" s="155"/>
      <c r="U157" s="162"/>
      <c r="V157" s="124"/>
      <c r="W157" s="140"/>
      <c r="X157" s="149"/>
      <c r="Y157" s="420" t="str">
        <f t="shared" si="43"/>
        <v>Portsmouth</v>
      </c>
      <c r="Z157" s="463">
        <f>IF(Year5_Portsmouth Year5_Assessments_10days="","",Year5_Portsmouth Year5_Assessments_10days)</f>
        <v>1391</v>
      </c>
      <c r="AA157" s="365">
        <f>IF(Year5_Portsmouth Year5_Assessments_11_25days="","",Year5_Portsmouth Year5_Assessments_11_25days)</f>
        <v>752</v>
      </c>
      <c r="AB157" s="365">
        <f>IF(Year5_Portsmouth Year5_Assessments_26_35days="","",Year5_Portsmouth Year5_Assessments_26_35days)</f>
        <v>720</v>
      </c>
      <c r="AC157" s="365">
        <f>IF(Year5_Portsmouth Year5_Assessments_36_45days="","",Year5_Portsmouth Year5_Assessments_36_45days)</f>
        <v>695</v>
      </c>
      <c r="AD157" s="365">
        <f>IF(Year5_Portsmouth Year5_Assessments_over_45days="","",Year5_Portsmouth Year5_Assessments_over_45days)</f>
        <v>179</v>
      </c>
      <c r="AE157" s="568">
        <f t="shared" si="44"/>
        <v>3737</v>
      </c>
      <c r="AF157" s="569">
        <f t="shared" si="45"/>
        <v>0.57987690660957991</v>
      </c>
      <c r="AG157" s="185"/>
      <c r="AH157" s="185"/>
      <c r="AI157" s="185"/>
      <c r="AJ157" s="185"/>
      <c r="AK157" s="156"/>
    </row>
    <row r="158" spans="1:46" s="89" customFormat="1" ht="12.75" customHeight="1" x14ac:dyDescent="0.2">
      <c r="A158" s="462">
        <f>VLOOKUP(B158,Sheet1!$AQ$4:$AR$25,2,FALSE)</f>
        <v>0</v>
      </c>
      <c r="B158" s="95" t="str">
        <f t="shared" si="36"/>
        <v>Reading</v>
      </c>
      <c r="C158" s="87"/>
      <c r="D158" s="158">
        <f t="shared" si="38"/>
        <v>0.13452914798206278</v>
      </c>
      <c r="E158" s="158">
        <f t="shared" si="39"/>
        <v>0.25149476831091183</v>
      </c>
      <c r="F158" s="158">
        <f t="shared" si="40"/>
        <v>0.20142002989536623</v>
      </c>
      <c r="G158" s="158">
        <f t="shared" si="41"/>
        <v>0.29446935724962631</v>
      </c>
      <c r="H158" s="160">
        <f t="shared" si="42"/>
        <v>0.11808669656203288</v>
      </c>
      <c r="I158" s="98"/>
      <c r="J158" s="98"/>
      <c r="K158" s="162"/>
      <c r="L158" s="162"/>
      <c r="M158" s="162"/>
      <c r="N158" s="162"/>
      <c r="O158" s="162"/>
      <c r="P158" s="162"/>
      <c r="Q158" s="162"/>
      <c r="R158" s="163"/>
      <c r="S158" s="155"/>
      <c r="T158" s="155"/>
      <c r="U158" s="162"/>
      <c r="V158" s="124"/>
      <c r="W158" s="140"/>
      <c r="X158" s="149"/>
      <c r="Y158" s="420" t="str">
        <f t="shared" si="43"/>
        <v>Reading</v>
      </c>
      <c r="Z158" s="463">
        <f>IF(Year5_Reading Year5_Assessments_10days="","",Year5_Reading Year5_Assessments_10days)</f>
        <v>360</v>
      </c>
      <c r="AA158" s="365">
        <f>IF(Year5_Reading Year5_Assessments_11_25days="","",Year5_Reading Year5_Assessments_11_25days)</f>
        <v>673</v>
      </c>
      <c r="AB158" s="365">
        <f>IF(Year5_Reading Year5_Assessments_26_35days="","",Year5_Reading Year5_Assessments_26_35days)</f>
        <v>539</v>
      </c>
      <c r="AC158" s="365">
        <f>IF(Year5_Reading Year5_Assessments_36_45days="","",Year5_Reading Year5_Assessments_36_45days)</f>
        <v>788</v>
      </c>
      <c r="AD158" s="365">
        <f>IF(Year5_Reading Year5_Assessments_over_45days="","",Year5_Reading Year5_Assessments_over_45days)</f>
        <v>316</v>
      </c>
      <c r="AE158" s="568">
        <f t="shared" si="44"/>
        <v>2676</v>
      </c>
      <c r="AF158" s="569">
        <f t="shared" si="45"/>
        <v>0.74738415545590431</v>
      </c>
      <c r="AG158" s="185"/>
      <c r="AH158" s="185"/>
      <c r="AI158" s="185"/>
      <c r="AJ158" s="185"/>
      <c r="AK158" s="156"/>
    </row>
    <row r="159" spans="1:46" s="89" customFormat="1" ht="12.75" customHeight="1" x14ac:dyDescent="0.2">
      <c r="A159" s="462">
        <f>VLOOKUP(B159,Sheet1!$AQ$4:$AR$25,2,FALSE)</f>
        <v>0</v>
      </c>
      <c r="B159" s="95" t="str">
        <f t="shared" si="36"/>
        <v>Slough</v>
      </c>
      <c r="C159" s="87"/>
      <c r="D159" s="158">
        <f t="shared" si="38"/>
        <v>4.1554236373448461E-2</v>
      </c>
      <c r="E159" s="158">
        <f t="shared" si="39"/>
        <v>8.0410145709660014E-2</v>
      </c>
      <c r="F159" s="158">
        <f t="shared" si="40"/>
        <v>0.21910415542363734</v>
      </c>
      <c r="G159" s="158">
        <f t="shared" si="41"/>
        <v>0.45601726929303832</v>
      </c>
      <c r="H159" s="160">
        <f t="shared" si="42"/>
        <v>0.20291419320021586</v>
      </c>
      <c r="I159" s="98"/>
      <c r="J159" s="98"/>
      <c r="K159" s="162"/>
      <c r="L159" s="162"/>
      <c r="M159" s="162"/>
      <c r="N159" s="162"/>
      <c r="O159" s="162"/>
      <c r="P159" s="162"/>
      <c r="Q159" s="162"/>
      <c r="R159" s="163"/>
      <c r="S159" s="155"/>
      <c r="T159" s="155"/>
      <c r="U159" s="162"/>
      <c r="V159" s="124"/>
      <c r="W159" s="140"/>
      <c r="X159" s="149"/>
      <c r="Y159" s="420" t="str">
        <f t="shared" si="43"/>
        <v>Slough</v>
      </c>
      <c r="Z159" s="463">
        <f>IF(Year5_Slough Year5_Assessments_10days="","",Year5_Slough Year5_Assessments_10days)</f>
        <v>77</v>
      </c>
      <c r="AA159" s="365">
        <f>IF(Year5_Slough Year5_Assessments_11_25days="","",Year5_Slough Year5_Assessments_11_25days)</f>
        <v>149</v>
      </c>
      <c r="AB159" s="365">
        <f>IF(Year5_Slough Year5_Assessments_26_35days="","",Year5_Slough Year5_Assessments_26_35days)</f>
        <v>406</v>
      </c>
      <c r="AC159" s="365">
        <f>IF(Year5_Slough Year5_Assessments_36_45days="","",Year5_Slough Year5_Assessments_36_45days)</f>
        <v>845</v>
      </c>
      <c r="AD159" s="365">
        <f>IF(Year5_Slough Year5_Assessments_over_45days="","",Year5_Slough Year5_Assessments_over_45days)</f>
        <v>376</v>
      </c>
      <c r="AE159" s="568">
        <f t="shared" si="44"/>
        <v>1853</v>
      </c>
      <c r="AF159" s="569">
        <f t="shared" si="45"/>
        <v>0.75553157042633567</v>
      </c>
      <c r="AG159" s="185"/>
      <c r="AH159" s="185"/>
      <c r="AI159" s="185"/>
      <c r="AJ159" s="185"/>
      <c r="AK159" s="156"/>
    </row>
    <row r="160" spans="1:46" s="89" customFormat="1" ht="12.75" customHeight="1" x14ac:dyDescent="0.2">
      <c r="A160" s="462">
        <f>VLOOKUP(B160,Sheet1!$AQ$4:$AR$25,2,FALSE)</f>
        <v>0</v>
      </c>
      <c r="B160" s="95" t="str">
        <f t="shared" si="36"/>
        <v>Somerset</v>
      </c>
      <c r="C160" s="87"/>
      <c r="D160" s="158">
        <f t="shared" si="38"/>
        <v>0.11065175097276264</v>
      </c>
      <c r="E160" s="158">
        <f t="shared" si="39"/>
        <v>0.1522373540856031</v>
      </c>
      <c r="F160" s="158">
        <f t="shared" si="40"/>
        <v>0.2183852140077821</v>
      </c>
      <c r="G160" s="158">
        <f t="shared" si="41"/>
        <v>0.27918287937743191</v>
      </c>
      <c r="H160" s="160">
        <f t="shared" si="42"/>
        <v>0.23954280155642024</v>
      </c>
      <c r="I160" s="98"/>
      <c r="J160" s="98"/>
      <c r="K160" s="162"/>
      <c r="L160" s="162"/>
      <c r="M160" s="162"/>
      <c r="N160" s="162"/>
      <c r="O160" s="162"/>
      <c r="P160" s="162"/>
      <c r="Q160" s="162"/>
      <c r="R160" s="163"/>
      <c r="S160" s="155"/>
      <c r="T160" s="155"/>
      <c r="U160" s="162"/>
      <c r="V160" s="124"/>
      <c r="W160" s="140"/>
      <c r="X160" s="149"/>
      <c r="Y160" s="420" t="str">
        <f t="shared" si="43"/>
        <v>Somerset</v>
      </c>
      <c r="Z160" s="463">
        <f>IF(Year5_Somerset Year5_Assessments_10days="","",Year5_Somerset Year5_Assessments_10days)</f>
        <v>455</v>
      </c>
      <c r="AA160" s="365">
        <f>IF(Year5_Somerset Year5_Assessments_11_25days="","",Year5_Somerset Year5_Assessments_11_25days)</f>
        <v>626</v>
      </c>
      <c r="AB160" s="365">
        <f>IF(Year5_Somerset Year5_Assessments_26_35days="","",Year5_Somerset Year5_Assessments_26_35days)</f>
        <v>898</v>
      </c>
      <c r="AC160" s="365">
        <f>IF(Year5_Somerset Year5_Assessments_36_45days="","",Year5_Somerset Year5_Assessments_36_45days)</f>
        <v>1148</v>
      </c>
      <c r="AD160" s="365">
        <f>IF(Year5_Somerset Year5_Assessments_over_45days="","",Year5_Somerset Year5_Assessments_over_45days)</f>
        <v>985</v>
      </c>
      <c r="AE160" s="568">
        <f>SUM(Z160:AD160)</f>
        <v>4112</v>
      </c>
      <c r="AF160" s="569">
        <f t="shared" si="45"/>
        <v>0.64980544747081714</v>
      </c>
      <c r="AG160" s="185"/>
      <c r="AH160" s="185"/>
      <c r="AI160" s="185"/>
      <c r="AJ160" s="185"/>
      <c r="AK160" s="156"/>
    </row>
    <row r="161" spans="1:46" s="89" customFormat="1" ht="12.75" customHeight="1" x14ac:dyDescent="0.2">
      <c r="A161" s="462">
        <f>VLOOKUP(B161,Sheet1!$AQ$4:$AR$25,2,FALSE)</f>
        <v>0</v>
      </c>
      <c r="B161" s="95" t="str">
        <f t="shared" si="36"/>
        <v>Southampton</v>
      </c>
      <c r="C161" s="87"/>
      <c r="D161" s="158">
        <f t="shared" si="38"/>
        <v>0.12132352941176471</v>
      </c>
      <c r="E161" s="158">
        <f t="shared" si="39"/>
        <v>0.15196078431372548</v>
      </c>
      <c r="F161" s="158">
        <f t="shared" si="40"/>
        <v>0.11233660130718955</v>
      </c>
      <c r="G161" s="158">
        <f t="shared" si="41"/>
        <v>0.27532679738562094</v>
      </c>
      <c r="H161" s="160">
        <f t="shared" si="42"/>
        <v>0.33905228758169936</v>
      </c>
      <c r="I161" s="98"/>
      <c r="J161" s="98"/>
      <c r="K161" s="162"/>
      <c r="L161" s="162"/>
      <c r="M161" s="162"/>
      <c r="N161" s="162"/>
      <c r="O161" s="162"/>
      <c r="P161" s="162"/>
      <c r="Q161" s="162"/>
      <c r="R161" s="163"/>
      <c r="S161" s="155"/>
      <c r="T161" s="155"/>
      <c r="U161" s="162"/>
      <c r="V161" s="124"/>
      <c r="W161" s="140"/>
      <c r="X161" s="149"/>
      <c r="Y161" s="420" t="str">
        <f t="shared" si="43"/>
        <v>Southampton</v>
      </c>
      <c r="Z161" s="463">
        <f>IF(Year5_Southampton Year5_Assessments_10days="","",Year5_Southampton Year5_Assessments_10days)</f>
        <v>297</v>
      </c>
      <c r="AA161" s="365">
        <f>IF(Year5_Southampton Year5_Assessments_11_25days="","",Year5_Southampton Year5_Assessments_11_25days)</f>
        <v>372</v>
      </c>
      <c r="AB161" s="365">
        <f>IF(Year5_Southampton Year5_Assessments_26_35days="","",Year5_Southampton Year5_Assessments_26_35days)</f>
        <v>275</v>
      </c>
      <c r="AC161" s="365">
        <f>IF(Year5_Southampton Year5_Assessments_36_45days="","",Year5_Southampton Year5_Assessments_36_45days)</f>
        <v>674</v>
      </c>
      <c r="AD161" s="365">
        <f>IF(Year5_Southampton Year5_Assessments_over_45days="","",Year5_Southampton Year5_Assessments_over_45days)</f>
        <v>830</v>
      </c>
      <c r="AE161" s="568">
        <f t="shared" ref="AE161:AE170" si="46">SUM(Z161:AD161)</f>
        <v>2448</v>
      </c>
      <c r="AF161" s="569">
        <f t="shared" si="45"/>
        <v>0.53962418300653592</v>
      </c>
      <c r="AG161" s="185"/>
      <c r="AH161" s="185"/>
      <c r="AI161" s="185"/>
      <c r="AJ161" s="185"/>
      <c r="AK161" s="156"/>
    </row>
    <row r="162" spans="1:46" s="89" customFormat="1" ht="12.75" customHeight="1" x14ac:dyDescent="0.2">
      <c r="A162" s="462">
        <f>VLOOKUP(B162,Sheet1!$AQ$4:$AR$25,2,FALSE)</f>
        <v>0</v>
      </c>
      <c r="B162" s="95" t="str">
        <f t="shared" si="36"/>
        <v>Surrey</v>
      </c>
      <c r="C162" s="87"/>
      <c r="D162" s="158">
        <f t="shared" si="38"/>
        <v>5.446715081911839E-2</v>
      </c>
      <c r="E162" s="158">
        <f t="shared" si="39"/>
        <v>0.17142374598885324</v>
      </c>
      <c r="F162" s="158">
        <f t="shared" si="40"/>
        <v>0.14034791420368181</v>
      </c>
      <c r="G162" s="158">
        <f t="shared" si="41"/>
        <v>0.36438101672014861</v>
      </c>
      <c r="H162" s="160">
        <f t="shared" si="42"/>
        <v>0.26938017226819794</v>
      </c>
      <c r="I162" s="98"/>
      <c r="J162" s="98"/>
      <c r="K162" s="162"/>
      <c r="L162" s="162"/>
      <c r="M162" s="162"/>
      <c r="N162" s="162"/>
      <c r="O162" s="162"/>
      <c r="P162" s="162"/>
      <c r="Q162" s="162"/>
      <c r="R162" s="163"/>
      <c r="S162" s="155"/>
      <c r="T162" s="155"/>
      <c r="U162" s="162"/>
      <c r="V162" s="124"/>
      <c r="W162" s="140"/>
      <c r="X162" s="149"/>
      <c r="Y162" s="420" t="str">
        <f t="shared" si="43"/>
        <v>Surrey</v>
      </c>
      <c r="Z162" s="463">
        <f>IF(Year5_Surrey Year5_Assessments_10days="","",Year5_Surrey Year5_Assessments_10days)</f>
        <v>645</v>
      </c>
      <c r="AA162" s="365">
        <f>IF(Year5_Surrey Year5_Assessments_11_25days="","",Year5_Surrey Year5_Assessments_11_25days)</f>
        <v>2030</v>
      </c>
      <c r="AB162" s="365">
        <f>IF(Year5_Surrey Year5_Assessments_26_35days="","",Year5_Surrey Year5_Assessments_26_35days)</f>
        <v>1662</v>
      </c>
      <c r="AC162" s="365">
        <f>IF(Year5_Surrey Year5_Assessments_36_45days="","",Year5_Surrey Year5_Assessments_36_45days)</f>
        <v>4315</v>
      </c>
      <c r="AD162" s="365">
        <f>IF(Year5_Surrey Year5_Assessments_over_45days="","",Year5_Surrey Year5_Assessments_over_45days)</f>
        <v>3190</v>
      </c>
      <c r="AE162" s="568">
        <f t="shared" si="46"/>
        <v>11842</v>
      </c>
      <c r="AF162" s="569">
        <f t="shared" si="45"/>
        <v>0.67615267691268366</v>
      </c>
      <c r="AG162" s="185"/>
      <c r="AH162" s="185"/>
      <c r="AI162" s="185"/>
      <c r="AJ162" s="185"/>
      <c r="AK162" s="156"/>
    </row>
    <row r="163" spans="1:46" s="89" customFormat="1" ht="12.75" customHeight="1" x14ac:dyDescent="0.2">
      <c r="A163" s="462">
        <f>VLOOKUP(B163,Sheet1!$AQ$4:$AR$25,2,FALSE)</f>
        <v>0</v>
      </c>
      <c r="B163" s="95" t="str">
        <f t="shared" si="36"/>
        <v>Swindon</v>
      </c>
      <c r="C163" s="87"/>
      <c r="D163" s="158">
        <f t="shared" si="38"/>
        <v>0.22216936251189343</v>
      </c>
      <c r="E163" s="158">
        <f t="shared" si="39"/>
        <v>0.22288296860133205</v>
      </c>
      <c r="F163" s="158">
        <f t="shared" si="40"/>
        <v>0.16412940057088488</v>
      </c>
      <c r="G163" s="158">
        <f t="shared" si="41"/>
        <v>0.18553758325404376</v>
      </c>
      <c r="H163" s="160">
        <f t="shared" si="42"/>
        <v>0.20528068506184585</v>
      </c>
      <c r="I163" s="98"/>
      <c r="J163" s="98"/>
      <c r="K163" s="162"/>
      <c r="L163" s="162"/>
      <c r="M163" s="162"/>
      <c r="N163" s="162"/>
      <c r="O163" s="162"/>
      <c r="P163" s="162"/>
      <c r="Q163" s="162"/>
      <c r="R163" s="163"/>
      <c r="S163" s="155"/>
      <c r="T163" s="155"/>
      <c r="U163" s="162"/>
      <c r="V163" s="124"/>
      <c r="W163" s="140"/>
      <c r="X163" s="149"/>
      <c r="Y163" s="420" t="str">
        <f t="shared" si="43"/>
        <v>Swindon</v>
      </c>
      <c r="Z163" s="463">
        <f>IF(Year5_Swindon Year5_Assessments_10days="","",Year5_Swindon Year5_Assessments_10days)</f>
        <v>934</v>
      </c>
      <c r="AA163" s="365">
        <f>IF(Year5_Swindon Year5_Assessments_11_25days="","",Year5_Swindon Year5_Assessments_11_25days)</f>
        <v>937</v>
      </c>
      <c r="AB163" s="365">
        <f>IF(Year5_Swindon Year5_Assessments_26_35days="","",Year5_Swindon Year5_Assessments_26_35days)</f>
        <v>690</v>
      </c>
      <c r="AC163" s="365">
        <f>IF(Year5_Swindon Year5_Assessments_36_45days="","",Year5_Swindon Year5_Assessments_36_45days)</f>
        <v>780</v>
      </c>
      <c r="AD163" s="365">
        <f>IF(Year5_Swindon Year5_Assessments_over_45days="","",Year5_Swindon Year5_Assessments_over_45days)</f>
        <v>863</v>
      </c>
      <c r="AE163" s="568">
        <f t="shared" si="46"/>
        <v>4204</v>
      </c>
      <c r="AF163" s="569">
        <f t="shared" si="45"/>
        <v>0.57254995242626072</v>
      </c>
      <c r="AG163" s="185"/>
      <c r="AH163" s="185"/>
      <c r="AI163" s="185"/>
      <c r="AJ163" s="185"/>
      <c r="AK163" s="156"/>
    </row>
    <row r="164" spans="1:46" s="89" customFormat="1" ht="12.75" customHeight="1" x14ac:dyDescent="0.2">
      <c r="A164" s="462">
        <f>VLOOKUP(B164,Sheet1!$AQ$4:$AR$25,2,FALSE)</f>
        <v>0</v>
      </c>
      <c r="B164" s="95" t="str">
        <f t="shared" si="36"/>
        <v>Torbay</v>
      </c>
      <c r="C164" s="87"/>
      <c r="D164" s="158">
        <f t="shared" si="38"/>
        <v>7.2727272727272724E-2</v>
      </c>
      <c r="E164" s="158">
        <f t="shared" si="39"/>
        <v>0.18295454545454545</v>
      </c>
      <c r="F164" s="158">
        <f t="shared" si="40"/>
        <v>0.16931818181818181</v>
      </c>
      <c r="G164" s="158">
        <f t="shared" si="41"/>
        <v>0.31874999999999998</v>
      </c>
      <c r="H164" s="160">
        <f t="shared" si="42"/>
        <v>0.25624999999999998</v>
      </c>
      <c r="I164" s="98"/>
      <c r="J164" s="98"/>
      <c r="K164" s="162"/>
      <c r="L164" s="162"/>
      <c r="M164" s="162"/>
      <c r="N164" s="162"/>
      <c r="O164" s="162"/>
      <c r="P164" s="162"/>
      <c r="Q164" s="162"/>
      <c r="R164" s="163"/>
      <c r="S164" s="155"/>
      <c r="T164" s="155"/>
      <c r="U164" s="162"/>
      <c r="V164" s="124"/>
      <c r="W164" s="140"/>
      <c r="X164" s="149"/>
      <c r="Y164" s="420" t="str">
        <f t="shared" si="43"/>
        <v>Torbay</v>
      </c>
      <c r="Z164" s="463">
        <f>IF(Year5_Torbay Year5_Assessments_10days="","",Year5_Torbay Year5_Assessments_10days)</f>
        <v>128</v>
      </c>
      <c r="AA164" s="365">
        <f>IF(Year5_Torbay Year5_Assessments_11_25days="","",Year5_Torbay Year5_Assessments_11_25days)</f>
        <v>322</v>
      </c>
      <c r="AB164" s="365">
        <f>IF(Year5_Torbay Year5_Assessments_26_35days="","",Year5_Torbay Year5_Assessments_26_35days)</f>
        <v>298</v>
      </c>
      <c r="AC164" s="365">
        <f>IF(Year5_Torbay Year5_Assessments_36_45days="","",Year5_Torbay Year5_Assessments_36_45days)</f>
        <v>561</v>
      </c>
      <c r="AD164" s="365">
        <f>IF(Year5_Torbay Year5_Assessments_over_45days="","",Year5_Torbay Year5_Assessments_over_45days)</f>
        <v>451</v>
      </c>
      <c r="AE164" s="568">
        <f t="shared" si="46"/>
        <v>1760</v>
      </c>
      <c r="AF164" s="569">
        <f t="shared" si="45"/>
        <v>0.67102272727272727</v>
      </c>
      <c r="AG164" s="185"/>
      <c r="AH164" s="185"/>
      <c r="AI164" s="185"/>
      <c r="AJ164" s="185"/>
      <c r="AK164" s="156"/>
    </row>
    <row r="165" spans="1:46" s="89" customFormat="1" ht="12.75" customHeight="1" x14ac:dyDescent="0.2">
      <c r="A165" s="462">
        <f>VLOOKUP(B165,Sheet1!$AQ$4:$AR$25,2,FALSE)</f>
        <v>0</v>
      </c>
      <c r="B165" s="95" t="str">
        <f t="shared" si="36"/>
        <v>West Berkshire</v>
      </c>
      <c r="C165" s="87"/>
      <c r="D165" s="158">
        <f t="shared" si="38"/>
        <v>0.37944471505114469</v>
      </c>
      <c r="E165" s="158">
        <f t="shared" si="39"/>
        <v>0.12128592303945446</v>
      </c>
      <c r="F165" s="158">
        <f t="shared" si="40"/>
        <v>9.7418412079883096E-2</v>
      </c>
      <c r="G165" s="158">
        <f t="shared" si="41"/>
        <v>0.37165124208475403</v>
      </c>
      <c r="H165" s="160">
        <f t="shared" si="42"/>
        <v>3.019970774476376E-2</v>
      </c>
      <c r="I165" s="98"/>
      <c r="J165" s="98"/>
      <c r="K165" s="162"/>
      <c r="L165" s="162"/>
      <c r="M165" s="162"/>
      <c r="N165" s="162"/>
      <c r="O165" s="162"/>
      <c r="P165" s="162"/>
      <c r="Q165" s="162"/>
      <c r="R165" s="163"/>
      <c r="S165" s="155"/>
      <c r="T165" s="155"/>
      <c r="U165" s="162"/>
      <c r="V165" s="124"/>
      <c r="W165" s="140"/>
      <c r="X165" s="149"/>
      <c r="Y165" s="420" t="str">
        <f t="shared" si="43"/>
        <v>West Berkshire</v>
      </c>
      <c r="Z165" s="463">
        <f>IF(Year5_West_Berkshire Year5_Assessments_10days="","",Year5_West_Berkshire Year5_Assessments_10days)</f>
        <v>779</v>
      </c>
      <c r="AA165" s="365">
        <f>IF(Year5_West_Berkshire Year5_Assessments_11_25days="","",Year5_West_Berkshire Year5_Assessments_11_25days)</f>
        <v>249</v>
      </c>
      <c r="AB165" s="365">
        <f>IF(Year5_West_Berkshire Year5_Assessments_26_35days="","",Year5_West_Berkshire Year5_Assessments_26_35days)</f>
        <v>200</v>
      </c>
      <c r="AC165" s="365">
        <f>IF(Year5_West_Berkshire Year5_Assessments_36_45days="","",Year5_West_Berkshire Year5_Assessments_36_45days)</f>
        <v>763</v>
      </c>
      <c r="AD165" s="365">
        <f>IF(Year5_West_Berkshire Year5_Assessments_over_45days="","",Year5_West_Berkshire Year5_Assessments_over_45days)</f>
        <v>62</v>
      </c>
      <c r="AE165" s="568">
        <f t="shared" si="46"/>
        <v>2053</v>
      </c>
      <c r="AF165" s="569">
        <f t="shared" si="45"/>
        <v>0.5903555772040916</v>
      </c>
      <c r="AG165" s="199"/>
      <c r="AH165" s="185"/>
      <c r="AI165" s="185"/>
      <c r="AJ165" s="185"/>
      <c r="AK165" s="156"/>
    </row>
    <row r="166" spans="1:46" s="89" customFormat="1" ht="12.75" customHeight="1" x14ac:dyDescent="0.2">
      <c r="A166" s="462">
        <f>VLOOKUP(B166,Sheet1!$AQ$4:$AR$25,2,FALSE)</f>
        <v>0</v>
      </c>
      <c r="B166" s="95" t="str">
        <f t="shared" si="36"/>
        <v>West Sussex</v>
      </c>
      <c r="C166" s="87"/>
      <c r="D166" s="158">
        <f t="shared" si="38"/>
        <v>0.30115273775216139</v>
      </c>
      <c r="E166" s="158">
        <f t="shared" si="39"/>
        <v>7.9058597502401531E-2</v>
      </c>
      <c r="F166" s="158">
        <f t="shared" si="40"/>
        <v>0.10710854947166186</v>
      </c>
      <c r="G166" s="158">
        <f t="shared" si="41"/>
        <v>0.36685878962536023</v>
      </c>
      <c r="H166" s="160">
        <f t="shared" si="42"/>
        <v>0.14582132564841499</v>
      </c>
      <c r="I166" s="98"/>
      <c r="J166" s="98"/>
      <c r="K166" s="162"/>
      <c r="L166" s="162"/>
      <c r="M166" s="162"/>
      <c r="N166" s="162"/>
      <c r="O166" s="162"/>
      <c r="P166" s="162"/>
      <c r="Q166" s="162"/>
      <c r="R166" s="163"/>
      <c r="S166" s="155"/>
      <c r="T166" s="155"/>
      <c r="U166" s="162"/>
      <c r="V166" s="124"/>
      <c r="W166" s="140"/>
      <c r="X166" s="149"/>
      <c r="Y166" s="420" t="str">
        <f t="shared" si="43"/>
        <v>West Sussex</v>
      </c>
      <c r="Z166" s="463">
        <f>IF(Year5_West_Sussex Year5_Assessments_10days="","",Year5_West_Sussex Year5_Assessments_10days)</f>
        <v>3135</v>
      </c>
      <c r="AA166" s="365">
        <f>IF(Year5_West_Sussex Year5_Assessments_11_25days="","",Year5_West_Sussex Year5_Assessments_11_25days)</f>
        <v>823</v>
      </c>
      <c r="AB166" s="365">
        <f>IF(Year5_West_Sussex Year5_Assessments_26_35days="","",Year5_West_Sussex Year5_Assessments_26_35days)</f>
        <v>1115</v>
      </c>
      <c r="AC166" s="365">
        <f>IF(Year5_West_Sussex Year5_Assessments_36_45days="","",Year5_West_Sussex Year5_Assessments_36_45days)</f>
        <v>3819</v>
      </c>
      <c r="AD166" s="365">
        <f>IF(Year5_West_Sussex Year5_Assessments_over_45days="","",Year5_West_Sussex Year5_Assessments_over_45days)</f>
        <v>1518</v>
      </c>
      <c r="AE166" s="568">
        <f t="shared" si="46"/>
        <v>10410</v>
      </c>
      <c r="AF166" s="569">
        <f t="shared" si="45"/>
        <v>0.55302593659942367</v>
      </c>
      <c r="AG166" s="199"/>
      <c r="AH166" s="185"/>
      <c r="AI166" s="185"/>
      <c r="AJ166" s="185"/>
      <c r="AK166" s="156"/>
    </row>
    <row r="167" spans="1:46" s="89" customFormat="1" ht="12.75" customHeight="1" x14ac:dyDescent="0.2">
      <c r="A167" s="462">
        <f>VLOOKUP(B167,Sheet1!$AQ$4:$AR$25,2,FALSE)</f>
        <v>0</v>
      </c>
      <c r="B167" s="95" t="str">
        <f t="shared" si="36"/>
        <v>Windsor &amp; Maidenhead</v>
      </c>
      <c r="C167" s="87"/>
      <c r="D167" s="158">
        <f t="shared" si="38"/>
        <v>0</v>
      </c>
      <c r="E167" s="158">
        <f t="shared" si="39"/>
        <v>8.8269454123112656E-2</v>
      </c>
      <c r="F167" s="158">
        <f t="shared" si="40"/>
        <v>6.968641114982578E-2</v>
      </c>
      <c r="G167" s="158">
        <f t="shared" si="41"/>
        <v>0.42857142857142855</v>
      </c>
      <c r="H167" s="160">
        <f t="shared" si="42"/>
        <v>0.36585365853658536</v>
      </c>
      <c r="I167" s="98"/>
      <c r="J167" s="98"/>
      <c r="K167" s="162"/>
      <c r="L167" s="162"/>
      <c r="M167" s="162"/>
      <c r="N167" s="162"/>
      <c r="O167" s="162"/>
      <c r="P167" s="162"/>
      <c r="Q167" s="162"/>
      <c r="R167" s="163"/>
      <c r="S167" s="155"/>
      <c r="T167" s="155"/>
      <c r="U167" s="162"/>
      <c r="V167" s="124"/>
      <c r="W167" s="140"/>
      <c r="X167" s="149"/>
      <c r="Y167" s="420" t="str">
        <f t="shared" si="43"/>
        <v>Windsor &amp; Maidenhead</v>
      </c>
      <c r="Z167" s="463">
        <f>IF(Year5_Windsor_Maidenhead Year5_Assessments_10days="","",Year5_Windsor_Maidenhead Year5_Assessments_10days)</f>
        <v>0</v>
      </c>
      <c r="AA167" s="365">
        <f>IF(Year5_Windsor_Maidenhead Year5_Assessments_11_25days="","",Year5_Windsor_Maidenhead Year5_Assessments_11_25days)</f>
        <v>76</v>
      </c>
      <c r="AB167" s="365">
        <f>IF(Year5_Windsor_Maidenhead Year5_Assessments_26_35days="","",Year5_Windsor_Maidenhead Year5_Assessments_26_35days)</f>
        <v>60</v>
      </c>
      <c r="AC167" s="365">
        <f>IF(Year5_Windsor_Maidenhead Year5_Assessments_36_45days="","",Year5_Windsor_Maidenhead Year5_Assessments_36_45days)</f>
        <v>369</v>
      </c>
      <c r="AD167" s="365">
        <f>IF(Year5_Windsor_Maidenhead Year5_Assessments_over_45days="","",Year5_Windsor_Maidenhead Year5_Assessments_over_45days)</f>
        <v>315</v>
      </c>
      <c r="AE167" s="968">
        <f>H30</f>
        <v>861</v>
      </c>
      <c r="AF167" s="569">
        <f t="shared" si="45"/>
        <v>0.58652729384436697</v>
      </c>
      <c r="AG167" s="199"/>
      <c r="AH167" s="199"/>
      <c r="AI167" s="199"/>
      <c r="AJ167" s="185"/>
      <c r="AK167" s="156"/>
    </row>
    <row r="168" spans="1:46" s="89" customFormat="1" ht="12.75" customHeight="1" x14ac:dyDescent="0.2">
      <c r="A168" s="462">
        <f>VLOOKUP(B168,Sheet1!$AQ$4:$AR$25,2,FALSE)</f>
        <v>0</v>
      </c>
      <c r="B168" s="95" t="str">
        <f t="shared" si="36"/>
        <v>Wokingham</v>
      </c>
      <c r="C168" s="87"/>
      <c r="D168" s="158">
        <f t="shared" si="38"/>
        <v>0.11252163877668782</v>
      </c>
      <c r="E168" s="158">
        <f t="shared" si="39"/>
        <v>0.21581073283323715</v>
      </c>
      <c r="F168" s="158">
        <f t="shared" si="40"/>
        <v>0.23831506058857474</v>
      </c>
      <c r="G168" s="158">
        <f t="shared" si="41"/>
        <v>0.18753606462781305</v>
      </c>
      <c r="H168" s="160">
        <f t="shared" si="42"/>
        <v>0.24581650317368725</v>
      </c>
      <c r="I168" s="98"/>
      <c r="J168" s="98"/>
      <c r="K168" s="162"/>
      <c r="L168" s="162"/>
      <c r="M168" s="162"/>
      <c r="N168" s="162"/>
      <c r="O168" s="162"/>
      <c r="P168" s="162"/>
      <c r="Q168" s="162"/>
      <c r="R168" s="163"/>
      <c r="S168" s="155"/>
      <c r="T168" s="155"/>
      <c r="U168" s="162"/>
      <c r="V168" s="124"/>
      <c r="W168" s="140"/>
      <c r="X168" s="149"/>
      <c r="Y168" s="420" t="str">
        <f t="shared" si="43"/>
        <v>Wokingham</v>
      </c>
      <c r="Z168" s="463">
        <f>IF(Year5_Wokingham Year5_Assessments_10days="","",Year5_Wokingham Year5_Assessments_10days)</f>
        <v>195</v>
      </c>
      <c r="AA168" s="365">
        <f>IF(Year5_Wokingham Year5_Assessments_11_25days="","",Year5_Wokingham Year5_Assessments_11_25days)</f>
        <v>374</v>
      </c>
      <c r="AB168" s="365">
        <f>IF(Year5_Wokingham Year5_Assessments_26_35days="","",Year5_Wokingham Year5_Assessments_26_35days)</f>
        <v>413</v>
      </c>
      <c r="AC168" s="365">
        <f>IF(Year5_Wokingham Year5_Assessments_36_45days="","",Year5_Wokingham Year5_Assessments_36_45days)</f>
        <v>325</v>
      </c>
      <c r="AD168" s="365">
        <f>IF(Year5_Wokingham Year5_Assessments_over_45days="","",Year5_Wokingham Year5_Assessments_over_45days)</f>
        <v>426</v>
      </c>
      <c r="AE168" s="568">
        <f t="shared" si="46"/>
        <v>1733</v>
      </c>
      <c r="AF168" s="569">
        <f t="shared" si="45"/>
        <v>0.64166185804962494</v>
      </c>
      <c r="AG168" s="199"/>
      <c r="AH168" s="199"/>
      <c r="AI168" s="199"/>
      <c r="AJ168" s="185"/>
      <c r="AK168" s="156"/>
    </row>
    <row r="169" spans="1:46" s="89" customFormat="1" ht="12.75" customHeight="1" x14ac:dyDescent="0.2">
      <c r="A169" s="123"/>
      <c r="B169" s="131" t="str">
        <f t="shared" si="36"/>
        <v>South East</v>
      </c>
      <c r="C169" s="87"/>
      <c r="D169" s="159">
        <f t="shared" si="38"/>
        <v>0.16542459305746224</v>
      </c>
      <c r="E169" s="159">
        <f t="shared" si="39"/>
        <v>0.20052951559129242</v>
      </c>
      <c r="F169" s="159">
        <f t="shared" si="40"/>
        <v>0.15797215140223572</v>
      </c>
      <c r="G169" s="159">
        <f t="shared" si="41"/>
        <v>0.2995685428515395</v>
      </c>
      <c r="H169" s="161">
        <f t="shared" si="42"/>
        <v>0.17650519709747009</v>
      </c>
      <c r="I169" s="98"/>
      <c r="J169" s="98"/>
      <c r="K169" s="164"/>
      <c r="L169" s="164"/>
      <c r="M169" s="164"/>
      <c r="N169" s="164"/>
      <c r="O169" s="164"/>
      <c r="P169" s="164"/>
      <c r="Q169" s="164"/>
      <c r="R169" s="165"/>
      <c r="S169" s="155"/>
      <c r="T169" s="155"/>
      <c r="U169" s="166"/>
      <c r="V169" s="124"/>
      <c r="W169" s="140"/>
      <c r="X169" s="149"/>
      <c r="Y169" s="420" t="str">
        <f t="shared" si="43"/>
        <v>South East</v>
      </c>
      <c r="Z169" s="365">
        <f>IF(Year5_SouthEast Year5_Assessments_10days="","",Year5_SouthEast Year5_Assessments_10days)</f>
        <v>16870</v>
      </c>
      <c r="AA169" s="365">
        <f>IF(Year5_SouthEast Year5_Assessments_11_25days="","",Year5_SouthEast Year5_Assessments_11_25days)</f>
        <v>20450</v>
      </c>
      <c r="AB169" s="365">
        <f>IF(Year5_SouthEast Year5_Assessments_26_35days="","",Year5_SouthEast Year5_Assessments_26_35days)</f>
        <v>16110</v>
      </c>
      <c r="AC169" s="365">
        <f>IF(Year5_SouthEast Year5_Assessments_36_45days="","",Year5_SouthEast Year5_Assessments_36_45days)</f>
        <v>30550</v>
      </c>
      <c r="AD169" s="365">
        <f>IF(Year5_SouthEast Year5_Assessments_over_45days="","",Year5_SouthEast Year5_Assessments_over_45days)</f>
        <v>18000</v>
      </c>
      <c r="AE169" s="568">
        <f>SUM(Z169:AD169)</f>
        <v>101980</v>
      </c>
      <c r="AF169" s="569">
        <f t="shared" si="45"/>
        <v>0.6580702098450677</v>
      </c>
      <c r="AG169" s="199"/>
      <c r="AH169" s="199"/>
      <c r="AI169" s="199"/>
      <c r="AJ169" s="185"/>
      <c r="AK169" s="156"/>
    </row>
    <row r="170" spans="1:46" s="89" customFormat="1" ht="12.75" customHeight="1" x14ac:dyDescent="0.2">
      <c r="A170" s="123"/>
      <c r="B170" s="318" t="s">
        <v>126</v>
      </c>
      <c r="C170" s="87"/>
      <c r="D170" s="344">
        <f t="shared" ref="D170" si="47">IF(AND(ISNUMBER(Z170),$AE170&gt;0),Z170/$AE170,NA())</f>
        <v>0.14821938205732721</v>
      </c>
      <c r="E170" s="344">
        <f t="shared" ref="E170" si="48">IF(AND(ISNUMBER(AA170),$AE170&gt;0),AA170/$AE170,NA())</f>
        <v>0.17133018984985729</v>
      </c>
      <c r="F170" s="344">
        <f t="shared" ref="F170" si="49">IF(AND(ISNUMBER(AB170),$AE170&gt;0),AB170/$AE170,NA())</f>
        <v>0.16284588658642513</v>
      </c>
      <c r="G170" s="344">
        <f t="shared" ref="G170" si="50">IF(AND(ISNUMBER(AC170),$AE170&gt;0),AC170/$AE170,NA())</f>
        <v>0.34908177193200152</v>
      </c>
      <c r="H170" s="345">
        <f t="shared" ref="H170" si="51">IF(AND(ISNUMBER(AD170),$AE170&gt;0),AD170/$AE170,NA())</f>
        <v>0.16852276957438889</v>
      </c>
      <c r="I170" s="98"/>
      <c r="J170" s="98"/>
      <c r="K170" s="164"/>
      <c r="L170" s="164"/>
      <c r="M170" s="164"/>
      <c r="N170" s="164"/>
      <c r="O170" s="164"/>
      <c r="P170" s="164"/>
      <c r="Q170" s="164"/>
      <c r="R170" s="165"/>
      <c r="S170" s="155"/>
      <c r="T170" s="155"/>
      <c r="U170" s="166"/>
      <c r="V170" s="124"/>
      <c r="W170" s="140"/>
      <c r="X170" s="149"/>
      <c r="Y170" s="420" t="str">
        <f>B170</f>
        <v>England</v>
      </c>
      <c r="Z170" s="365">
        <f>IF(Year5_England Year5_Assessments_10days="","",Year5_England Year5_Assessments_10days)</f>
        <v>95560</v>
      </c>
      <c r="AA170" s="365">
        <f>IF(Year5_England Year5_Assessments_11_25days="","",Year5_England Year5_Assessments_11_25days)</f>
        <v>110460</v>
      </c>
      <c r="AB170" s="365">
        <f>IF(Year5_England Year5_Assessments_26_35days="","",Year5_England Year5_Assessments_26_35days)</f>
        <v>104990</v>
      </c>
      <c r="AC170" s="365">
        <f>IF(Year5_England Year5_Assessments_36_45days="","",Year5_England Year5_Assessments_36_45days)</f>
        <v>225060</v>
      </c>
      <c r="AD170" s="365">
        <f>IF(Year5_England Year5_Assessments_over_45days="","",Year5_England Year5_Assessments_over_45days)</f>
        <v>108650</v>
      </c>
      <c r="AE170" s="568">
        <f t="shared" si="46"/>
        <v>644720</v>
      </c>
      <c r="AF170" s="569">
        <f t="shared" si="45"/>
        <v>0.68325784836828396</v>
      </c>
      <c r="AG170" s="199"/>
      <c r="AH170" s="199"/>
      <c r="AI170" s="185"/>
      <c r="AJ170" s="199"/>
      <c r="AK170" s="156"/>
    </row>
    <row r="171" spans="1:46" s="89" customFormat="1" ht="12.75" x14ac:dyDescent="0.2">
      <c r="A171" s="286"/>
      <c r="B171" s="98"/>
      <c r="C171" s="98"/>
      <c r="D171" s="98"/>
      <c r="E171" s="98"/>
      <c r="F171" s="98"/>
      <c r="G171" s="98"/>
      <c r="H171" s="98"/>
      <c r="I171" s="98"/>
      <c r="J171" s="98"/>
      <c r="K171" s="164"/>
      <c r="L171" s="164"/>
      <c r="M171" s="164"/>
      <c r="N171" s="164"/>
      <c r="O171" s="164"/>
      <c r="P171" s="164"/>
      <c r="Q171" s="164"/>
      <c r="R171" s="165"/>
      <c r="S171" s="155"/>
      <c r="T171" s="155"/>
      <c r="U171" s="166"/>
      <c r="V171" s="124"/>
      <c r="W171" s="140"/>
      <c r="X171" s="149"/>
      <c r="Y171" s="83"/>
      <c r="Z171" s="83"/>
      <c r="AA171" s="191"/>
      <c r="AB171" s="191"/>
      <c r="AC171" s="192"/>
      <c r="AD171" s="192"/>
      <c r="AE171" s="194"/>
      <c r="AF171" s="199"/>
      <c r="AG171" s="199"/>
      <c r="AH171" s="199"/>
      <c r="AI171" s="185"/>
      <c r="AJ171" s="199"/>
      <c r="AK171" s="156"/>
    </row>
    <row r="172" spans="1:46" s="83" customFormat="1" ht="33.75" customHeight="1" x14ac:dyDescent="0.2">
      <c r="A172" s="213"/>
      <c r="B172" s="1554"/>
      <c r="C172" s="1554"/>
      <c r="D172" s="1554"/>
      <c r="E172" s="1554"/>
      <c r="F172" s="1554"/>
      <c r="G172" s="1554"/>
      <c r="H172" s="1554"/>
      <c r="I172" s="314"/>
      <c r="J172" s="168"/>
      <c r="K172" s="168"/>
      <c r="L172" s="168"/>
      <c r="M172" s="168"/>
      <c r="N172" s="168"/>
      <c r="O172" s="168"/>
      <c r="P172" s="168"/>
      <c r="Q172" s="168"/>
      <c r="R172" s="137"/>
      <c r="S172" s="168"/>
      <c r="T172" s="168"/>
      <c r="U172" s="168"/>
      <c r="V172" s="119"/>
      <c r="W172" s="138"/>
      <c r="X172" s="147"/>
      <c r="AD172" s="192"/>
      <c r="AE172" s="194"/>
      <c r="AF172" s="179"/>
      <c r="AG172" s="179"/>
      <c r="AH172" s="179"/>
      <c r="AJ172" s="179"/>
      <c r="AK172" s="157"/>
    </row>
    <row r="173" spans="1:46" s="83" customFormat="1" ht="33.75" customHeight="1" x14ac:dyDescent="0.2">
      <c r="A173" s="213"/>
      <c r="B173" s="314"/>
      <c r="C173" s="314"/>
      <c r="D173" s="314"/>
      <c r="E173" s="314"/>
      <c r="F173" s="314"/>
      <c r="G173" s="314"/>
      <c r="H173" s="314"/>
      <c r="I173" s="314"/>
      <c r="J173" s="168"/>
      <c r="K173" s="168"/>
      <c r="L173" s="168"/>
      <c r="M173" s="168"/>
      <c r="N173" s="168"/>
      <c r="O173" s="168"/>
      <c r="P173" s="168"/>
      <c r="Q173" s="168"/>
      <c r="R173" s="137"/>
      <c r="S173" s="168"/>
      <c r="T173" s="168"/>
      <c r="U173" s="168"/>
      <c r="V173" s="119"/>
      <c r="W173" s="138"/>
      <c r="X173" s="147"/>
      <c r="Z173" s="185"/>
      <c r="AE173" s="194"/>
      <c r="AF173" s="179"/>
      <c r="AG173" s="179"/>
      <c r="AH173" s="179"/>
      <c r="AJ173" s="179"/>
      <c r="AK173" s="157"/>
    </row>
    <row r="174" spans="1:46" s="83" customFormat="1" ht="32.25" customHeight="1" x14ac:dyDescent="0.2">
      <c r="A174" s="213"/>
      <c r="B174" s="314"/>
      <c r="C174" s="314"/>
      <c r="D174" s="314"/>
      <c r="E174" s="314"/>
      <c r="F174" s="314"/>
      <c r="G174" s="314"/>
      <c r="H174" s="314"/>
      <c r="I174" s="314"/>
      <c r="J174" s="168"/>
      <c r="K174" s="168"/>
      <c r="L174" s="168"/>
      <c r="M174" s="168"/>
      <c r="N174" s="168"/>
      <c r="O174" s="168"/>
      <c r="P174" s="168"/>
      <c r="Q174" s="168"/>
      <c r="R174" s="137"/>
      <c r="S174" s="168"/>
      <c r="T174" s="168"/>
      <c r="U174" s="168"/>
      <c r="V174" s="119"/>
      <c r="W174" s="138"/>
      <c r="X174" s="147"/>
      <c r="Z174" s="185"/>
      <c r="AE174" s="194"/>
      <c r="AF174" s="179"/>
      <c r="AG174" s="179"/>
      <c r="AH174" s="179"/>
      <c r="AJ174" s="179"/>
      <c r="AK174" s="157"/>
    </row>
    <row r="175" spans="1:46" s="83" customFormat="1" ht="7.5" customHeight="1" x14ac:dyDescent="0.2">
      <c r="A175" s="120"/>
      <c r="B175" s="18"/>
      <c r="C175" s="18"/>
      <c r="D175" s="17"/>
      <c r="E175" s="17"/>
      <c r="F175" s="17"/>
      <c r="G175" s="17"/>
      <c r="H175" s="17"/>
      <c r="I175" s="17"/>
      <c r="J175" s="13"/>
      <c r="K175" s="19"/>
      <c r="L175" s="19"/>
      <c r="M175" s="19"/>
      <c r="N175" s="19"/>
      <c r="O175" s="19"/>
      <c r="P175" s="19"/>
      <c r="Q175" s="19"/>
      <c r="R175" s="19"/>
      <c r="S175" s="19"/>
      <c r="T175" s="19"/>
      <c r="U175" s="20"/>
      <c r="V175" s="119"/>
      <c r="W175" s="138"/>
      <c r="X175" s="147"/>
      <c r="Z175" s="185"/>
      <c r="AJ175" s="179"/>
      <c r="AK175" s="153"/>
      <c r="AM175" s="76"/>
      <c r="AN175" s="76"/>
      <c r="AO175" s="76"/>
      <c r="AP175" s="76"/>
      <c r="AQ175" s="76"/>
      <c r="AR175" s="76"/>
    </row>
    <row r="176" spans="1:46" s="83" customFormat="1" ht="15" customHeight="1" x14ac:dyDescent="0.2">
      <c r="A176" s="1399"/>
      <c r="B176" s="1421"/>
      <c r="C176" s="1421"/>
      <c r="D176" s="1421"/>
      <c r="E176" s="1421"/>
      <c r="F176" s="1421"/>
      <c r="G176" s="1421"/>
      <c r="H176" s="1421"/>
      <c r="I176" s="1421"/>
      <c r="J176" s="1421"/>
      <c r="K176" s="1421"/>
      <c r="L176" s="1421"/>
      <c r="M176" s="1421"/>
      <c r="N176" s="1421"/>
      <c r="O176" s="1421"/>
      <c r="P176" s="1421"/>
      <c r="Q176" s="1421"/>
      <c r="R176" s="1421"/>
      <c r="S176" s="1421"/>
      <c r="T176" s="1421"/>
      <c r="U176" s="1421"/>
      <c r="V176" s="1422"/>
      <c r="W176" s="138"/>
      <c r="X176" s="147"/>
      <c r="AK176" s="157"/>
      <c r="AT176" s="76"/>
    </row>
    <row r="177" spans="1:46" s="83" customFormat="1" ht="11.25" customHeight="1" x14ac:dyDescent="0.2">
      <c r="A177" s="1428" t="str">
        <f>Home!$A$40</f>
        <v>LA's provide quarterly data on the condition that it is used by the benchmarking group for internal reporting only. Please DO NOT share other LA's data with any external partners or the public</v>
      </c>
      <c r="B177" s="1429"/>
      <c r="C177" s="1429"/>
      <c r="D177" s="1429"/>
      <c r="E177" s="1429"/>
      <c r="F177" s="1429"/>
      <c r="G177" s="1429"/>
      <c r="H177" s="1429"/>
      <c r="I177" s="1430"/>
      <c r="J177" s="1429"/>
      <c r="K177" s="1429"/>
      <c r="L177" s="1429"/>
      <c r="M177" s="1429"/>
      <c r="N177" s="1429"/>
      <c r="O177" s="1429"/>
      <c r="P177" s="1431"/>
      <c r="Q177" s="1429"/>
      <c r="R177" s="1429"/>
      <c r="S177" s="1429"/>
      <c r="T177" s="1430"/>
      <c r="U177" s="1429"/>
      <c r="V177" s="1432"/>
      <c r="W177" s="138"/>
      <c r="X177" s="147"/>
      <c r="AJ177" s="179"/>
      <c r="AK177" s="156"/>
      <c r="AM177" s="89"/>
      <c r="AT177" s="76"/>
    </row>
    <row r="178" spans="1:46" ht="11.25" customHeight="1" x14ac:dyDescent="0.2">
      <c r="A178" s="141"/>
      <c r="B178" s="1109"/>
      <c r="C178" s="9"/>
      <c r="D178" s="9"/>
      <c r="E178" s="9"/>
      <c r="F178" s="9"/>
      <c r="G178" s="9"/>
      <c r="H178" s="9"/>
      <c r="I178" s="9"/>
      <c r="J178" s="13"/>
      <c r="K178" s="9"/>
      <c r="L178" s="9"/>
      <c r="M178" s="9"/>
      <c r="N178" s="9"/>
      <c r="O178" s="9"/>
      <c r="P178" s="9"/>
      <c r="Q178" s="9"/>
      <c r="R178" s="9"/>
      <c r="S178" s="9"/>
      <c r="T178" s="9"/>
      <c r="U178" s="11"/>
      <c r="V178" s="11"/>
      <c r="W178" s="1311"/>
      <c r="X178" s="12"/>
      <c r="Y178" s="12"/>
      <c r="Z178" s="12"/>
      <c r="AA178" s="12"/>
      <c r="AB178" s="12"/>
      <c r="AC178" s="241"/>
      <c r="AF178" s="84"/>
      <c r="AI178" s="179"/>
      <c r="AJ178" s="179"/>
      <c r="AK178" s="153"/>
      <c r="AM178" s="83"/>
      <c r="AN178" s="83"/>
      <c r="AO178" s="83"/>
      <c r="AP178" s="83"/>
      <c r="AQ178" s="83"/>
      <c r="AR178" s="83"/>
    </row>
    <row r="179" spans="1:46" ht="11.25" customHeight="1" x14ac:dyDescent="0.2">
      <c r="A179" s="141"/>
      <c r="B179" s="1109"/>
      <c r="C179" s="9"/>
      <c r="D179" s="9"/>
      <c r="E179" s="9"/>
      <c r="F179" s="9"/>
      <c r="G179" s="9"/>
      <c r="H179" s="9"/>
      <c r="I179" s="9"/>
      <c r="J179" s="13"/>
      <c r="K179" s="9"/>
      <c r="L179" s="9"/>
      <c r="M179" s="9"/>
      <c r="N179" s="9"/>
      <c r="O179" s="9"/>
      <c r="P179" s="9"/>
      <c r="Q179" s="9"/>
      <c r="R179" s="9"/>
      <c r="S179" s="9"/>
      <c r="T179" s="9"/>
      <c r="U179" s="11"/>
      <c r="V179" s="11"/>
      <c r="W179" s="11"/>
      <c r="X179" s="12"/>
      <c r="Y179" s="12"/>
      <c r="Z179" s="12"/>
      <c r="AA179" s="12"/>
      <c r="AB179" s="12"/>
      <c r="AC179" s="241"/>
      <c r="AF179" s="84"/>
      <c r="AI179" s="179"/>
      <c r="AJ179" s="179"/>
      <c r="AK179" s="153"/>
      <c r="AM179" s="83"/>
      <c r="AN179" s="83"/>
      <c r="AO179" s="83"/>
      <c r="AP179" s="83"/>
      <c r="AQ179" s="83"/>
      <c r="AR179" s="83"/>
    </row>
    <row r="180" spans="1:46" ht="11.25" customHeight="1" x14ac:dyDescent="0.2">
      <c r="A180" s="141"/>
      <c r="B180" s="1367" t="s">
        <v>82</v>
      </c>
      <c r="C180" s="15"/>
      <c r="D180" s="1306"/>
      <c r="E180" s="1306"/>
      <c r="F180" s="9"/>
      <c r="G180" s="9"/>
      <c r="H180" s="9"/>
      <c r="I180" s="9"/>
      <c r="J180" s="13"/>
      <c r="K180" s="9"/>
      <c r="L180" s="9"/>
      <c r="M180" s="9"/>
      <c r="N180" s="9"/>
      <c r="O180" s="9"/>
      <c r="P180" s="9"/>
      <c r="Q180" s="9"/>
      <c r="R180" s="9"/>
      <c r="S180" s="9"/>
      <c r="T180" s="9"/>
      <c r="U180" s="11"/>
      <c r="V180" s="11"/>
      <c r="W180" s="11"/>
      <c r="X180" s="12"/>
      <c r="Y180" s="12"/>
      <c r="Z180" s="12"/>
      <c r="AA180" s="12"/>
      <c r="AB180" s="12"/>
      <c r="AC180" s="241"/>
      <c r="AF180" s="84"/>
      <c r="AI180" s="179"/>
      <c r="AJ180" s="179"/>
      <c r="AK180" s="153"/>
    </row>
    <row r="181" spans="1:46" ht="11.25" customHeight="1" x14ac:dyDescent="0.2">
      <c r="A181" s="141"/>
      <c r="B181" s="1368"/>
      <c r="C181" s="9"/>
      <c r="D181" s="1306"/>
      <c r="E181" s="1306"/>
      <c r="F181" s="9"/>
      <c r="G181" s="9"/>
      <c r="H181" s="9"/>
      <c r="I181" s="9"/>
      <c r="J181" s="13"/>
      <c r="K181" s="9"/>
      <c r="L181" s="9"/>
      <c r="M181" s="9"/>
      <c r="N181" s="9"/>
      <c r="O181" s="9"/>
      <c r="P181" s="9"/>
      <c r="Q181" s="9"/>
      <c r="R181" s="9"/>
      <c r="S181" s="9"/>
      <c r="T181" s="9"/>
      <c r="U181" s="11"/>
      <c r="V181" s="11"/>
      <c r="W181" s="11"/>
      <c r="X181" s="12"/>
      <c r="Y181" s="12"/>
      <c r="Z181" s="12"/>
      <c r="AA181" s="12"/>
      <c r="AB181" s="12"/>
      <c r="AC181" s="241"/>
      <c r="AF181" s="84"/>
      <c r="AI181" s="179"/>
      <c r="AJ181" s="179"/>
      <c r="AK181" s="153"/>
    </row>
    <row r="182" spans="1:46" ht="11.25" customHeight="1" x14ac:dyDescent="0.2">
      <c r="A182" s="141"/>
      <c r="B182" s="1366" t="s">
        <v>806</v>
      </c>
      <c r="C182" s="1366"/>
      <c r="D182" s="1366"/>
      <c r="E182" s="1366"/>
      <c r="F182" s="9"/>
      <c r="G182" s="9"/>
      <c r="H182" s="9"/>
      <c r="I182" s="9"/>
      <c r="J182" s="13"/>
      <c r="K182" s="9"/>
      <c r="L182" s="9"/>
      <c r="M182" s="9"/>
      <c r="N182" s="9"/>
      <c r="O182" s="9"/>
      <c r="P182" s="9"/>
      <c r="Q182" s="9"/>
      <c r="R182" s="9"/>
      <c r="S182" s="9"/>
      <c r="T182" s="9"/>
      <c r="U182" s="11"/>
      <c r="V182" s="11"/>
      <c r="W182" s="11"/>
      <c r="X182" s="12"/>
      <c r="Y182" s="12"/>
      <c r="Z182" s="12"/>
      <c r="AA182" s="12"/>
      <c r="AB182" s="12"/>
      <c r="AC182" s="241"/>
      <c r="AF182" s="84"/>
      <c r="AI182" s="183"/>
      <c r="AJ182" s="183"/>
      <c r="AK182" s="154"/>
    </row>
    <row r="183" spans="1:46" s="78" customFormat="1" ht="11.25" customHeight="1" x14ac:dyDescent="0.2">
      <c r="A183" s="141"/>
      <c r="B183" s="1366"/>
      <c r="C183" s="1366"/>
      <c r="D183" s="1366"/>
      <c r="E183" s="1366"/>
      <c r="F183" s="9"/>
      <c r="G183" s="9"/>
      <c r="H183" s="9"/>
      <c r="I183" s="9"/>
      <c r="J183" s="13"/>
      <c r="K183" s="9"/>
      <c r="L183" s="9"/>
      <c r="M183" s="9"/>
      <c r="N183" s="9"/>
      <c r="O183" s="9"/>
      <c r="P183" s="9"/>
      <c r="Q183" s="9"/>
      <c r="R183" s="9"/>
      <c r="S183" s="9"/>
      <c r="T183" s="9"/>
      <c r="U183" s="11"/>
      <c r="V183" s="11"/>
      <c r="W183" s="11"/>
      <c r="X183" s="12"/>
      <c r="Y183" s="12"/>
      <c r="Z183" s="12"/>
      <c r="AA183" s="12"/>
      <c r="AB183" s="12"/>
      <c r="AC183" s="241"/>
      <c r="AD183" s="83"/>
      <c r="AE183" s="83"/>
      <c r="AF183" s="84"/>
      <c r="AG183" s="83"/>
      <c r="AH183" s="83"/>
      <c r="AI183" s="179"/>
      <c r="AJ183" s="179"/>
      <c r="AK183" s="153"/>
    </row>
    <row r="184" spans="1:46" ht="11.25" customHeight="1" x14ac:dyDescent="0.2">
      <c r="A184" s="141"/>
      <c r="B184" s="1366" t="s">
        <v>81</v>
      </c>
      <c r="C184" s="1366"/>
      <c r="D184" s="1366"/>
      <c r="E184" s="1366"/>
      <c r="F184" s="9"/>
      <c r="G184" s="9"/>
      <c r="H184" s="9"/>
      <c r="I184" s="9"/>
      <c r="J184" s="13"/>
      <c r="K184" s="9"/>
      <c r="L184" s="9"/>
      <c r="M184" s="9"/>
      <c r="N184" s="9"/>
      <c r="O184" s="9"/>
      <c r="P184" s="9"/>
      <c r="Q184" s="9"/>
      <c r="R184" s="9"/>
      <c r="S184" s="9"/>
      <c r="T184" s="9"/>
      <c r="U184" s="11"/>
      <c r="V184" s="11"/>
      <c r="W184" s="11"/>
      <c r="X184" s="12"/>
      <c r="Y184" s="12"/>
      <c r="Z184" s="12"/>
      <c r="AA184" s="12"/>
      <c r="AB184" s="12"/>
      <c r="AC184" s="241"/>
      <c r="AF184" s="84"/>
      <c r="AI184" s="179"/>
      <c r="AJ184" s="179"/>
      <c r="AK184" s="153"/>
    </row>
    <row r="185" spans="1:46" ht="11.25" customHeight="1" x14ac:dyDescent="0.2">
      <c r="A185" s="141"/>
      <c r="B185" s="1366"/>
      <c r="C185" s="1366"/>
      <c r="D185" s="1366"/>
      <c r="E185" s="1366"/>
      <c r="F185" s="9"/>
      <c r="G185" s="9"/>
      <c r="H185" s="9"/>
      <c r="I185" s="9"/>
      <c r="J185" s="13"/>
      <c r="K185" s="9"/>
      <c r="L185" s="9"/>
      <c r="M185" s="9"/>
      <c r="N185" s="9"/>
      <c r="O185" s="9"/>
      <c r="P185" s="9"/>
      <c r="Q185" s="9"/>
      <c r="R185" s="9"/>
      <c r="S185" s="9"/>
      <c r="T185" s="9"/>
      <c r="U185" s="11"/>
      <c r="V185" s="11"/>
      <c r="W185" s="11"/>
      <c r="X185" s="12"/>
      <c r="Y185" s="12"/>
      <c r="Z185" s="12"/>
      <c r="AA185" s="12"/>
      <c r="AB185" s="12"/>
      <c r="AC185" s="241"/>
      <c r="AF185" s="84"/>
      <c r="AI185" s="179"/>
      <c r="AJ185" s="179"/>
      <c r="AK185" s="153"/>
    </row>
    <row r="186" spans="1:46" ht="11.25" customHeight="1" x14ac:dyDescent="0.2">
      <c r="A186" s="141"/>
      <c r="B186" s="1366" t="s">
        <v>78</v>
      </c>
      <c r="C186" s="1366"/>
      <c r="D186" s="1366"/>
      <c r="E186" s="1366"/>
      <c r="F186" s="9"/>
      <c r="G186" s="9"/>
      <c r="H186" s="9"/>
      <c r="I186" s="9"/>
      <c r="J186" s="13"/>
      <c r="K186" s="9"/>
      <c r="L186" s="9"/>
      <c r="M186" s="9"/>
      <c r="N186" s="9"/>
      <c r="O186" s="9"/>
      <c r="P186" s="9"/>
      <c r="Q186" s="9"/>
      <c r="R186" s="9"/>
      <c r="S186" s="9"/>
      <c r="T186" s="9"/>
      <c r="U186" s="11"/>
      <c r="V186" s="11"/>
      <c r="W186" s="11"/>
      <c r="X186" s="12"/>
      <c r="Y186" s="12"/>
      <c r="Z186" s="12"/>
      <c r="AA186" s="12"/>
      <c r="AB186" s="12"/>
      <c r="AC186" s="241"/>
      <c r="AF186" s="84"/>
      <c r="AI186" s="179"/>
      <c r="AJ186" s="179"/>
      <c r="AK186" s="153"/>
    </row>
    <row r="187" spans="1:46" ht="11.25" customHeight="1" x14ac:dyDescent="0.2">
      <c r="A187" s="141"/>
      <c r="B187" s="1366"/>
      <c r="C187" s="1366"/>
      <c r="D187" s="1366"/>
      <c r="E187" s="1366"/>
      <c r="F187" s="9"/>
      <c r="G187" s="9"/>
      <c r="H187" s="9"/>
      <c r="I187" s="9"/>
      <c r="J187" s="13"/>
      <c r="K187" s="9"/>
      <c r="L187" s="9"/>
      <c r="M187" s="9"/>
      <c r="N187" s="9"/>
      <c r="O187" s="9"/>
      <c r="P187" s="9"/>
      <c r="Q187" s="9"/>
      <c r="R187" s="9"/>
      <c r="S187" s="9"/>
      <c r="T187" s="9"/>
      <c r="U187" s="11"/>
      <c r="V187" s="11"/>
      <c r="W187" s="11"/>
      <c r="X187" s="12"/>
      <c r="Y187" s="12"/>
      <c r="Z187" s="12"/>
      <c r="AA187" s="12"/>
      <c r="AB187" s="12"/>
      <c r="AC187" s="241"/>
      <c r="AF187" s="84"/>
      <c r="AI187" s="179"/>
      <c r="AK187" s="153"/>
    </row>
    <row r="188" spans="1:46" ht="11.25" customHeight="1" x14ac:dyDescent="0.2">
      <c r="A188" s="141"/>
      <c r="B188" s="1366" t="s">
        <v>17</v>
      </c>
      <c r="C188" s="1366"/>
      <c r="D188" s="1366"/>
      <c r="E188" s="1366"/>
      <c r="F188" s="9"/>
      <c r="G188" s="9"/>
      <c r="H188" s="9"/>
      <c r="I188" s="9"/>
      <c r="J188" s="13"/>
      <c r="K188" s="9"/>
      <c r="L188" s="9"/>
      <c r="M188" s="9"/>
      <c r="N188" s="9"/>
      <c r="O188" s="9"/>
      <c r="P188" s="9"/>
      <c r="Q188" s="9"/>
      <c r="R188" s="9"/>
      <c r="S188" s="9"/>
      <c r="T188" s="9"/>
      <c r="U188" s="11"/>
      <c r="V188" s="11"/>
      <c r="W188" s="11"/>
      <c r="X188" s="12"/>
      <c r="Y188" s="12"/>
      <c r="Z188" s="12"/>
      <c r="AA188" s="12"/>
      <c r="AB188" s="12"/>
      <c r="AC188" s="241"/>
      <c r="AF188" s="84"/>
      <c r="AI188" s="179"/>
      <c r="AK188" s="153"/>
    </row>
    <row r="189" spans="1:46" ht="11.25" customHeight="1" x14ac:dyDescent="0.2">
      <c r="A189" s="141"/>
      <c r="B189" s="1366"/>
      <c r="C189" s="1366"/>
      <c r="D189" s="1366"/>
      <c r="E189" s="1366"/>
      <c r="F189" s="9"/>
      <c r="G189" s="9"/>
      <c r="H189" s="9"/>
      <c r="I189" s="9"/>
      <c r="J189" s="13"/>
      <c r="K189" s="9"/>
      <c r="L189" s="9"/>
      <c r="M189" s="9"/>
      <c r="N189" s="9"/>
      <c r="O189" s="9"/>
      <c r="P189" s="9"/>
      <c r="Q189" s="9"/>
      <c r="R189" s="9"/>
      <c r="S189" s="9"/>
      <c r="T189" s="9"/>
      <c r="U189" s="11"/>
      <c r="V189" s="11"/>
      <c r="W189" s="11"/>
      <c r="X189" s="12"/>
      <c r="Y189" s="12"/>
      <c r="Z189" s="12"/>
      <c r="AA189" s="12"/>
      <c r="AB189" s="12"/>
      <c r="AC189" s="241"/>
      <c r="AF189" s="84"/>
      <c r="AI189" s="179"/>
      <c r="AK189" s="153"/>
    </row>
    <row r="190" spans="1:46" ht="11.25" customHeight="1" x14ac:dyDescent="0.2">
      <c r="A190" s="141"/>
      <c r="B190" s="1366" t="s">
        <v>80</v>
      </c>
      <c r="C190" s="1366"/>
      <c r="D190" s="1366"/>
      <c r="E190" s="1366"/>
      <c r="F190" s="9"/>
      <c r="G190" s="9"/>
      <c r="H190" s="9"/>
      <c r="I190" s="9"/>
      <c r="J190" s="13"/>
      <c r="K190" s="9"/>
      <c r="L190" s="9"/>
      <c r="M190" s="9"/>
      <c r="N190" s="9"/>
      <c r="O190" s="9"/>
      <c r="P190" s="9"/>
      <c r="Q190" s="9"/>
      <c r="R190" s="9"/>
      <c r="S190" s="9"/>
      <c r="T190" s="9"/>
      <c r="U190" s="11"/>
      <c r="V190" s="11"/>
      <c r="W190" s="11"/>
      <c r="X190" s="12"/>
      <c r="Y190" s="12"/>
      <c r="Z190" s="12"/>
      <c r="AA190" s="12"/>
      <c r="AB190" s="12"/>
      <c r="AC190" s="241"/>
      <c r="AF190" s="84"/>
      <c r="AI190" s="179"/>
      <c r="AK190" s="153"/>
    </row>
    <row r="191" spans="1:46" ht="11.25" customHeight="1" x14ac:dyDescent="0.2">
      <c r="A191" s="141"/>
      <c r="B191" s="1366"/>
      <c r="C191" s="1366"/>
      <c r="D191" s="1366"/>
      <c r="E191" s="1366"/>
      <c r="F191" s="9"/>
      <c r="G191" s="9"/>
      <c r="H191" s="9"/>
      <c r="I191" s="9"/>
      <c r="J191" s="13"/>
      <c r="K191" s="9"/>
      <c r="L191" s="9"/>
      <c r="M191" s="9"/>
      <c r="N191" s="9"/>
      <c r="O191" s="9"/>
      <c r="P191" s="9"/>
      <c r="Q191" s="9"/>
      <c r="R191" s="9"/>
      <c r="S191" s="9"/>
      <c r="T191" s="9"/>
      <c r="U191" s="11"/>
      <c r="V191" s="11"/>
      <c r="W191" s="11"/>
      <c r="X191" s="12"/>
      <c r="Y191" s="12"/>
      <c r="Z191" s="12"/>
      <c r="AA191" s="12"/>
      <c r="AB191" s="12"/>
      <c r="AC191" s="241"/>
      <c r="AF191" s="84"/>
      <c r="AI191" s="179"/>
      <c r="AK191" s="153"/>
    </row>
    <row r="192" spans="1:46" ht="11.25" customHeight="1" x14ac:dyDescent="0.2">
      <c r="A192" s="141"/>
      <c r="B192" s="1366" t="s">
        <v>69</v>
      </c>
      <c r="C192" s="1366"/>
      <c r="D192" s="1366"/>
      <c r="E192" s="1366"/>
      <c r="F192" s="9"/>
      <c r="G192" s="9"/>
      <c r="H192" s="9"/>
      <c r="I192" s="9"/>
      <c r="J192" s="13"/>
      <c r="K192" s="9"/>
      <c r="L192" s="9"/>
      <c r="M192" s="9"/>
      <c r="N192" s="9"/>
      <c r="O192" s="9"/>
      <c r="P192" s="9"/>
      <c r="Q192" s="9"/>
      <c r="R192" s="9"/>
      <c r="S192" s="9"/>
      <c r="T192" s="9"/>
      <c r="U192" s="11"/>
      <c r="V192" s="11"/>
      <c r="W192" s="11"/>
      <c r="X192" s="12"/>
      <c r="Y192" s="12"/>
      <c r="Z192" s="12"/>
      <c r="AA192" s="12"/>
      <c r="AB192" s="12"/>
      <c r="AC192" s="241"/>
      <c r="AF192" s="84"/>
      <c r="AI192" s="179"/>
      <c r="AK192" s="153"/>
    </row>
    <row r="193" spans="1:37" ht="11.25" customHeight="1" x14ac:dyDescent="0.2">
      <c r="A193" s="141"/>
      <c r="B193" s="1366"/>
      <c r="C193" s="1366"/>
      <c r="D193" s="1366"/>
      <c r="E193" s="1366"/>
      <c r="F193" s="9"/>
      <c r="G193" s="9"/>
      <c r="H193" s="9"/>
      <c r="I193" s="9"/>
      <c r="J193" s="13"/>
      <c r="K193" s="9"/>
      <c r="L193" s="9"/>
      <c r="M193" s="9"/>
      <c r="N193" s="9"/>
      <c r="O193" s="9"/>
      <c r="P193" s="9"/>
      <c r="Q193" s="9"/>
      <c r="R193" s="9"/>
      <c r="S193" s="9"/>
      <c r="T193" s="9"/>
      <c r="U193" s="11"/>
      <c r="V193" s="11"/>
      <c r="W193" s="11"/>
      <c r="X193" s="12"/>
      <c r="Y193" s="12"/>
      <c r="Z193" s="12"/>
      <c r="AA193" s="12"/>
      <c r="AB193" s="12"/>
      <c r="AC193" s="241"/>
      <c r="AF193" s="84"/>
      <c r="AI193" s="179"/>
      <c r="AJ193" s="179"/>
      <c r="AK193" s="153"/>
    </row>
    <row r="194" spans="1:37" ht="11.25" customHeight="1" x14ac:dyDescent="0.2">
      <c r="A194" s="141"/>
      <c r="B194" s="1366" t="s">
        <v>24</v>
      </c>
      <c r="C194" s="1366"/>
      <c r="D194" s="1366"/>
      <c r="E194" s="1366"/>
      <c r="F194" s="9"/>
      <c r="G194" s="9"/>
      <c r="H194" s="9"/>
      <c r="I194" s="9"/>
      <c r="J194" s="13"/>
      <c r="K194" s="9"/>
      <c r="L194" s="9"/>
      <c r="M194" s="9"/>
      <c r="N194" s="9"/>
      <c r="O194" s="9"/>
      <c r="P194" s="9"/>
      <c r="Q194" s="9"/>
      <c r="R194" s="9"/>
      <c r="S194" s="9"/>
      <c r="T194" s="9"/>
      <c r="U194" s="11"/>
      <c r="V194" s="11"/>
      <c r="W194" s="11"/>
      <c r="X194" s="12"/>
      <c r="Y194" s="12"/>
      <c r="Z194" s="12"/>
      <c r="AA194" s="12"/>
      <c r="AB194" s="12"/>
      <c r="AC194" s="241"/>
      <c r="AF194" s="84"/>
      <c r="AI194" s="179"/>
      <c r="AJ194" s="179"/>
      <c r="AK194" s="153"/>
    </row>
    <row r="195" spans="1:37" ht="11.25" customHeight="1" x14ac:dyDescent="0.2">
      <c r="A195" s="141"/>
      <c r="B195" s="1366"/>
      <c r="C195" s="1366"/>
      <c r="D195" s="1366"/>
      <c r="E195" s="1366"/>
      <c r="F195" s="9"/>
      <c r="G195" s="9"/>
      <c r="H195" s="9"/>
      <c r="I195" s="9"/>
      <c r="J195" s="13"/>
      <c r="K195" s="9"/>
      <c r="L195" s="9"/>
      <c r="M195" s="9"/>
      <c r="N195" s="9"/>
      <c r="O195" s="9"/>
      <c r="P195" s="9"/>
      <c r="Q195" s="9"/>
      <c r="R195" s="9"/>
      <c r="S195" s="9"/>
      <c r="T195" s="9"/>
      <c r="U195" s="11"/>
      <c r="V195" s="11"/>
      <c r="W195" s="11"/>
      <c r="X195" s="12"/>
      <c r="Y195" s="12"/>
      <c r="Z195" s="12"/>
      <c r="AA195" s="12"/>
      <c r="AB195" s="12"/>
      <c r="AC195" s="241"/>
      <c r="AF195" s="84"/>
      <c r="AI195" s="179"/>
      <c r="AJ195" s="179"/>
      <c r="AK195" s="153"/>
    </row>
    <row r="196" spans="1:37" ht="11.25" customHeight="1" x14ac:dyDescent="0.2">
      <c r="A196" s="141"/>
      <c r="B196" s="1366" t="s">
        <v>22</v>
      </c>
      <c r="C196" s="1366"/>
      <c r="D196" s="1366"/>
      <c r="E196" s="1366"/>
      <c r="F196" s="9"/>
      <c r="G196" s="9"/>
      <c r="H196" s="9"/>
      <c r="I196" s="9"/>
      <c r="J196" s="13"/>
      <c r="K196" s="9"/>
      <c r="L196" s="9"/>
      <c r="M196" s="9"/>
      <c r="N196" s="9"/>
      <c r="O196" s="9"/>
      <c r="P196" s="9"/>
      <c r="Q196" s="9"/>
      <c r="R196" s="9"/>
      <c r="S196" s="9"/>
      <c r="T196" s="9"/>
      <c r="U196" s="11"/>
      <c r="V196" s="11"/>
      <c r="W196" s="11"/>
      <c r="X196" s="12"/>
      <c r="Y196" s="12"/>
      <c r="Z196" s="12"/>
      <c r="AA196" s="12"/>
      <c r="AB196" s="12"/>
      <c r="AC196" s="241"/>
      <c r="AF196" s="84"/>
      <c r="AI196" s="179"/>
      <c r="AJ196" s="179"/>
      <c r="AK196" s="153"/>
    </row>
    <row r="197" spans="1:37" ht="11.25" customHeight="1" x14ac:dyDescent="0.2">
      <c r="A197" s="141"/>
      <c r="B197" s="1366"/>
      <c r="C197" s="1366"/>
      <c r="D197" s="1366"/>
      <c r="E197" s="1366"/>
      <c r="F197" s="9"/>
      <c r="G197" s="9"/>
      <c r="H197" s="9"/>
      <c r="I197" s="9"/>
      <c r="J197" s="13"/>
      <c r="K197" s="9"/>
      <c r="L197" s="9"/>
      <c r="M197" s="9"/>
      <c r="N197" s="9"/>
      <c r="O197" s="9"/>
      <c r="P197" s="9"/>
      <c r="Q197" s="9"/>
      <c r="R197" s="9"/>
      <c r="S197" s="9"/>
      <c r="T197" s="9"/>
      <c r="U197" s="11"/>
      <c r="V197" s="11"/>
      <c r="W197" s="11"/>
      <c r="X197" s="12"/>
      <c r="Y197" s="12"/>
      <c r="Z197" s="12"/>
      <c r="AA197" s="12"/>
      <c r="AB197" s="12"/>
      <c r="AC197" s="241"/>
      <c r="AF197" s="84"/>
      <c r="AI197" s="179"/>
      <c r="AJ197" s="179"/>
      <c r="AK197" s="153"/>
    </row>
    <row r="198" spans="1:37" ht="11.25" customHeight="1" x14ac:dyDescent="0.2">
      <c r="A198" s="141"/>
      <c r="B198" s="1366" t="s">
        <v>25</v>
      </c>
      <c r="C198" s="1366"/>
      <c r="D198" s="1366"/>
      <c r="E198" s="1366"/>
      <c r="F198" s="9"/>
      <c r="G198" s="9"/>
      <c r="H198" s="9"/>
      <c r="I198" s="9"/>
      <c r="J198" s="13"/>
      <c r="K198" s="9"/>
      <c r="L198" s="9"/>
      <c r="M198" s="9"/>
      <c r="N198" s="9"/>
      <c r="O198" s="9"/>
      <c r="P198" s="9"/>
      <c r="Q198" s="9"/>
      <c r="R198" s="9"/>
      <c r="S198" s="9"/>
      <c r="T198" s="9"/>
      <c r="U198" s="11"/>
      <c r="V198" s="11"/>
      <c r="W198" s="11"/>
      <c r="X198" s="12"/>
      <c r="Y198" s="12"/>
      <c r="Z198" s="12"/>
      <c r="AA198" s="12"/>
      <c r="AB198" s="12"/>
      <c r="AC198" s="241"/>
      <c r="AF198" s="84"/>
      <c r="AI198" s="179"/>
      <c r="AJ198" s="179"/>
      <c r="AK198" s="153"/>
    </row>
    <row r="199" spans="1:37" ht="11.25" customHeight="1" x14ac:dyDescent="0.2">
      <c r="A199" s="141"/>
      <c r="B199" s="1366"/>
      <c r="C199" s="1366"/>
      <c r="D199" s="1366"/>
      <c r="E199" s="1366"/>
      <c r="F199" s="9"/>
      <c r="G199" s="9"/>
      <c r="H199" s="9"/>
      <c r="I199" s="9"/>
      <c r="J199" s="13"/>
      <c r="K199" s="9"/>
      <c r="L199" s="9"/>
      <c r="M199" s="9"/>
      <c r="N199" s="9"/>
      <c r="O199" s="9"/>
      <c r="P199" s="9"/>
      <c r="Q199" s="9"/>
      <c r="R199" s="9"/>
      <c r="S199" s="9"/>
      <c r="T199" s="9"/>
      <c r="U199" s="11"/>
      <c r="V199" s="11"/>
      <c r="W199" s="11"/>
      <c r="X199" s="12"/>
      <c r="Y199" s="12"/>
      <c r="Z199" s="12"/>
      <c r="AA199" s="12"/>
      <c r="AB199" s="12"/>
      <c r="AC199" s="241"/>
      <c r="AF199" s="84"/>
      <c r="AI199" s="179"/>
      <c r="AJ199" s="179"/>
      <c r="AK199" s="153"/>
    </row>
    <row r="200" spans="1:37" ht="11.25" customHeight="1" x14ac:dyDescent="0.2">
      <c r="A200" s="141"/>
      <c r="B200" s="1366" t="s">
        <v>18</v>
      </c>
      <c r="C200" s="1366"/>
      <c r="D200" s="1366"/>
      <c r="E200" s="1366"/>
      <c r="F200" s="9"/>
      <c r="G200" s="9"/>
      <c r="H200" s="9"/>
      <c r="I200" s="9"/>
      <c r="J200" s="13"/>
      <c r="K200" s="9"/>
      <c r="L200" s="9"/>
      <c r="M200" s="9"/>
      <c r="N200" s="9"/>
      <c r="O200" s="9"/>
      <c r="P200" s="9"/>
      <c r="Q200" s="9"/>
      <c r="R200" s="9"/>
      <c r="S200" s="9"/>
      <c r="T200" s="9"/>
      <c r="U200" s="11"/>
      <c r="V200" s="11"/>
      <c r="W200" s="11"/>
      <c r="X200" s="12"/>
      <c r="Y200" s="12"/>
      <c r="Z200" s="12"/>
      <c r="AA200" s="12"/>
      <c r="AB200" s="12"/>
      <c r="AC200" s="241"/>
      <c r="AF200" s="84"/>
      <c r="AI200" s="179"/>
      <c r="AJ200" s="179"/>
      <c r="AK200" s="153"/>
    </row>
    <row r="201" spans="1:37" ht="11.25" customHeight="1" x14ac:dyDescent="0.2">
      <c r="A201" s="141"/>
      <c r="B201" s="1366"/>
      <c r="C201" s="1366"/>
      <c r="D201" s="1366"/>
      <c r="E201" s="1366"/>
      <c r="F201" s="9"/>
      <c r="G201" s="9"/>
      <c r="H201" s="9"/>
      <c r="I201" s="9"/>
      <c r="J201" s="13"/>
      <c r="K201" s="9"/>
      <c r="L201" s="9"/>
      <c r="M201" s="9"/>
      <c r="N201" s="9"/>
      <c r="O201" s="9"/>
      <c r="P201" s="9"/>
      <c r="Q201" s="9"/>
      <c r="R201" s="9"/>
      <c r="S201" s="9"/>
      <c r="T201" s="9"/>
      <c r="U201" s="11"/>
      <c r="V201" s="11"/>
      <c r="W201" s="11"/>
      <c r="X201" s="12"/>
      <c r="Y201" s="12"/>
      <c r="Z201" s="12"/>
      <c r="AA201" s="12"/>
      <c r="AB201" s="12"/>
      <c r="AC201" s="241"/>
      <c r="AF201" s="84"/>
      <c r="AI201" s="179"/>
      <c r="AJ201" s="179"/>
      <c r="AK201" s="153"/>
    </row>
    <row r="202" spans="1:37" ht="11.25" customHeight="1" x14ac:dyDescent="0.2">
      <c r="A202" s="141"/>
      <c r="B202" s="1366" t="s">
        <v>19</v>
      </c>
      <c r="C202" s="1366"/>
      <c r="D202" s="1366"/>
      <c r="E202" s="1366"/>
      <c r="F202" s="1366"/>
      <c r="G202" s="9"/>
      <c r="H202" s="9"/>
      <c r="I202" s="9"/>
      <c r="J202" s="13"/>
      <c r="K202" s="9"/>
      <c r="L202" s="9"/>
      <c r="M202" s="9"/>
      <c r="N202" s="9"/>
      <c r="O202" s="9"/>
      <c r="P202" s="9"/>
      <c r="Q202" s="9"/>
      <c r="R202" s="9"/>
      <c r="S202" s="9"/>
      <c r="T202" s="9"/>
      <c r="U202" s="11"/>
      <c r="V202" s="11"/>
      <c r="W202" s="11"/>
      <c r="X202" s="12"/>
      <c r="Y202" s="12"/>
      <c r="Z202" s="12"/>
      <c r="AA202" s="12"/>
      <c r="AB202" s="12"/>
      <c r="AC202" s="241"/>
      <c r="AF202" s="84"/>
      <c r="AI202" s="179"/>
      <c r="AJ202" s="179"/>
      <c r="AK202" s="153"/>
    </row>
    <row r="203" spans="1:37" ht="11.25" customHeight="1" x14ac:dyDescent="0.2">
      <c r="A203" s="141"/>
      <c r="B203" s="1366"/>
      <c r="C203" s="1366"/>
      <c r="D203" s="1366"/>
      <c r="E203" s="1366"/>
      <c r="F203" s="1366"/>
      <c r="G203" s="9"/>
      <c r="H203" s="9"/>
      <c r="I203" s="9"/>
      <c r="J203" s="13"/>
      <c r="K203" s="9"/>
      <c r="L203" s="9"/>
      <c r="M203" s="9"/>
      <c r="N203" s="9"/>
      <c r="O203" s="9"/>
      <c r="P203" s="9"/>
      <c r="Q203" s="9"/>
      <c r="R203" s="9"/>
      <c r="S203" s="9"/>
      <c r="T203" s="9"/>
      <c r="U203" s="11"/>
      <c r="V203" s="11"/>
      <c r="W203" s="11"/>
      <c r="X203" s="12"/>
      <c r="Y203" s="12"/>
      <c r="Z203" s="12"/>
      <c r="AA203" s="12"/>
      <c r="AB203" s="12"/>
      <c r="AC203" s="241"/>
      <c r="AF203" s="84"/>
      <c r="AI203" s="179"/>
      <c r="AJ203" s="179"/>
      <c r="AK203" s="153"/>
    </row>
    <row r="204" spans="1:37" ht="11.25" customHeight="1" x14ac:dyDescent="0.2">
      <c r="A204" s="141"/>
      <c r="B204" s="1366" t="s">
        <v>20</v>
      </c>
      <c r="C204" s="1366"/>
      <c r="D204" s="1366"/>
      <c r="E204" s="1366"/>
      <c r="F204" s="9"/>
      <c r="G204" s="9"/>
      <c r="H204" s="9"/>
      <c r="I204" s="9"/>
      <c r="J204" s="13"/>
      <c r="K204" s="9"/>
      <c r="L204" s="9"/>
      <c r="M204" s="9"/>
      <c r="N204" s="9"/>
      <c r="O204" s="9"/>
      <c r="P204" s="9"/>
      <c r="Q204" s="9"/>
      <c r="R204" s="9"/>
      <c r="S204" s="9"/>
      <c r="T204" s="9"/>
      <c r="U204" s="11"/>
      <c r="V204" s="11"/>
      <c r="W204" s="11"/>
      <c r="X204" s="12"/>
      <c r="Y204" s="12"/>
      <c r="Z204" s="12"/>
      <c r="AA204" s="12"/>
      <c r="AB204" s="12"/>
      <c r="AC204" s="241"/>
      <c r="AF204" s="84"/>
      <c r="AI204" s="179"/>
      <c r="AJ204" s="179"/>
      <c r="AK204" s="153"/>
    </row>
    <row r="205" spans="1:37" ht="11.25" customHeight="1" x14ac:dyDescent="0.2">
      <c r="A205" s="141"/>
      <c r="B205" s="1366"/>
      <c r="C205" s="1366"/>
      <c r="D205" s="1366"/>
      <c r="E205" s="1366"/>
      <c r="F205" s="9"/>
      <c r="G205" s="9"/>
      <c r="H205" s="9"/>
      <c r="I205" s="9"/>
      <c r="J205" s="13"/>
      <c r="K205" s="9"/>
      <c r="L205" s="9"/>
      <c r="M205" s="9"/>
      <c r="N205" s="9"/>
      <c r="O205" s="9"/>
      <c r="P205" s="9"/>
      <c r="Q205" s="9"/>
      <c r="R205" s="9"/>
      <c r="S205" s="9"/>
      <c r="T205" s="9"/>
      <c r="U205" s="11"/>
      <c r="V205" s="11"/>
      <c r="W205" s="11"/>
      <c r="X205" s="12"/>
      <c r="Y205" s="12"/>
      <c r="Z205" s="12"/>
      <c r="AA205" s="12"/>
      <c r="AB205" s="12"/>
      <c r="AC205" s="241"/>
      <c r="AF205" s="84"/>
      <c r="AI205" s="179"/>
      <c r="AJ205" s="179"/>
      <c r="AK205" s="153"/>
    </row>
    <row r="206" spans="1:37" ht="11.25" customHeight="1" x14ac:dyDescent="0.2">
      <c r="A206" s="141"/>
      <c r="B206" s="1366" t="s">
        <v>26</v>
      </c>
      <c r="C206" s="1366"/>
      <c r="D206" s="1366"/>
      <c r="E206" s="1366"/>
      <c r="F206" s="9"/>
      <c r="G206" s="9"/>
      <c r="H206" s="9"/>
      <c r="I206" s="9"/>
      <c r="J206" s="13"/>
      <c r="K206" s="9"/>
      <c r="L206" s="9"/>
      <c r="M206" s="9"/>
      <c r="N206" s="9"/>
      <c r="O206" s="9"/>
      <c r="P206" s="9"/>
      <c r="Q206" s="9"/>
      <c r="R206" s="9"/>
      <c r="S206" s="9"/>
      <c r="T206" s="9"/>
      <c r="U206" s="11"/>
      <c r="V206" s="11"/>
      <c r="W206" s="11"/>
      <c r="X206" s="12"/>
      <c r="Y206" s="12"/>
      <c r="Z206" s="12"/>
      <c r="AA206" s="12"/>
      <c r="AB206" s="12"/>
      <c r="AC206" s="241"/>
      <c r="AF206" s="84"/>
      <c r="AI206" s="179"/>
      <c r="AJ206" s="179"/>
      <c r="AK206" s="153"/>
    </row>
    <row r="207" spans="1:37" ht="11.25" customHeight="1" x14ac:dyDescent="0.2">
      <c r="A207" s="141"/>
      <c r="B207" s="1366"/>
      <c r="C207" s="1366"/>
      <c r="D207" s="1366"/>
      <c r="E207" s="1366"/>
      <c r="F207" s="9"/>
      <c r="G207" s="9"/>
      <c r="H207" s="9"/>
      <c r="I207" s="9"/>
      <c r="J207" s="13"/>
      <c r="K207" s="9"/>
      <c r="L207" s="9"/>
      <c r="M207" s="9"/>
      <c r="N207" s="9"/>
      <c r="O207" s="9"/>
      <c r="P207" s="9"/>
      <c r="Q207" s="9"/>
      <c r="R207" s="9"/>
      <c r="S207" s="9"/>
      <c r="T207" s="9"/>
      <c r="U207" s="11"/>
      <c r="V207" s="11"/>
      <c r="W207" s="11"/>
      <c r="X207" s="12"/>
      <c r="Y207" s="12"/>
      <c r="Z207" s="12"/>
      <c r="AA207" s="12"/>
      <c r="AB207" s="12"/>
      <c r="AC207" s="241"/>
      <c r="AF207" s="84"/>
      <c r="AI207" s="179"/>
      <c r="AJ207" s="179"/>
      <c r="AK207" s="153"/>
    </row>
    <row r="208" spans="1:37" ht="11.25" customHeight="1" x14ac:dyDescent="0.2">
      <c r="A208" s="141"/>
      <c r="B208" s="1366" t="s">
        <v>21</v>
      </c>
      <c r="C208" s="1366"/>
      <c r="D208" s="1366"/>
      <c r="E208" s="1366"/>
      <c r="F208" s="9"/>
      <c r="G208" s="9"/>
      <c r="H208" s="9"/>
      <c r="I208" s="9"/>
      <c r="J208" s="13"/>
      <c r="K208" s="9"/>
      <c r="L208" s="9"/>
      <c r="M208" s="9"/>
      <c r="N208" s="9"/>
      <c r="O208" s="9"/>
      <c r="P208" s="9"/>
      <c r="Q208" s="9"/>
      <c r="R208" s="9"/>
      <c r="S208" s="9"/>
      <c r="T208" s="9"/>
      <c r="U208" s="11"/>
      <c r="V208" s="11"/>
      <c r="W208" s="11"/>
      <c r="X208" s="12"/>
      <c r="Y208" s="12"/>
      <c r="Z208" s="12"/>
      <c r="AA208" s="12"/>
      <c r="AB208" s="12"/>
      <c r="AC208" s="241"/>
      <c r="AF208" s="84"/>
      <c r="AI208" s="179"/>
      <c r="AJ208" s="179"/>
      <c r="AK208" s="153"/>
    </row>
    <row r="209" spans="1:66" ht="11.25" customHeight="1" x14ac:dyDescent="0.2">
      <c r="A209" s="141"/>
      <c r="B209" s="1366"/>
      <c r="C209" s="1366"/>
      <c r="D209" s="1366"/>
      <c r="E209" s="1366"/>
      <c r="F209" s="9"/>
      <c r="G209" s="9"/>
      <c r="H209" s="9"/>
      <c r="I209" s="9"/>
      <c r="J209" s="13"/>
      <c r="K209" s="9"/>
      <c r="L209" s="9"/>
      <c r="M209" s="9"/>
      <c r="N209" s="9"/>
      <c r="O209" s="9"/>
      <c r="P209" s="9"/>
      <c r="Q209" s="9"/>
      <c r="R209" s="9"/>
      <c r="S209" s="9"/>
      <c r="T209" s="9"/>
      <c r="U209" s="11"/>
      <c r="V209" s="11"/>
      <c r="W209" s="11"/>
      <c r="X209" s="12"/>
      <c r="Y209" s="12"/>
      <c r="Z209" s="12"/>
      <c r="AA209" s="12"/>
      <c r="AB209" s="12"/>
      <c r="AC209" s="241"/>
      <c r="AF209" s="84"/>
      <c r="AI209" s="179"/>
      <c r="AJ209" s="179"/>
      <c r="AK209" s="153"/>
    </row>
    <row r="210" spans="1:66" ht="11.25" customHeight="1" x14ac:dyDescent="0.2">
      <c r="A210" s="141"/>
      <c r="B210" s="1366" t="s">
        <v>930</v>
      </c>
      <c r="C210" s="1366"/>
      <c r="D210" s="1366"/>
      <c r="E210" s="1366"/>
      <c r="F210" s="1366"/>
      <c r="G210" s="9"/>
      <c r="H210" s="9"/>
      <c r="I210" s="9"/>
      <c r="J210" s="13"/>
      <c r="K210" s="9"/>
      <c r="L210" s="9"/>
      <c r="M210" s="9"/>
      <c r="N210" s="9"/>
      <c r="O210" s="9"/>
      <c r="P210" s="9"/>
      <c r="Q210" s="9"/>
      <c r="R210" s="9"/>
      <c r="S210" s="9"/>
      <c r="T210" s="9"/>
      <c r="U210" s="11"/>
      <c r="V210" s="11"/>
      <c r="W210" s="11"/>
      <c r="X210" s="12"/>
      <c r="Y210" s="12"/>
      <c r="Z210" s="12"/>
      <c r="AA210" s="12"/>
      <c r="AB210" s="12"/>
      <c r="AC210" s="241"/>
      <c r="AF210" s="84"/>
      <c r="AI210" s="179"/>
      <c r="AJ210" s="179"/>
      <c r="AK210" s="153"/>
    </row>
    <row r="211" spans="1:66" ht="11.25" customHeight="1" x14ac:dyDescent="0.2">
      <c r="A211" s="141"/>
      <c r="B211" s="1366"/>
      <c r="C211" s="1366"/>
      <c r="D211" s="1366"/>
      <c r="E211" s="1366"/>
      <c r="F211" s="1366"/>
      <c r="G211" s="9"/>
      <c r="H211" s="9"/>
      <c r="I211" s="9"/>
      <c r="J211" s="13"/>
      <c r="K211" s="9"/>
      <c r="L211" s="9"/>
      <c r="M211" s="9"/>
      <c r="N211" s="9"/>
      <c r="O211" s="9"/>
      <c r="P211" s="9"/>
      <c r="Q211" s="9"/>
      <c r="R211" s="9"/>
      <c r="S211" s="9"/>
      <c r="T211" s="9"/>
      <c r="U211" s="11"/>
      <c r="V211" s="11"/>
      <c r="W211" s="11"/>
      <c r="X211" s="12"/>
      <c r="Y211" s="12"/>
      <c r="Z211" s="12"/>
      <c r="AA211" s="12"/>
      <c r="AB211" s="12"/>
      <c r="AC211" s="241"/>
      <c r="AF211" s="84"/>
      <c r="AI211" s="179"/>
      <c r="AJ211" s="179"/>
      <c r="AK211" s="153"/>
    </row>
    <row r="212" spans="1:66" ht="11.25" customHeight="1" x14ac:dyDescent="0.2">
      <c r="A212" s="141"/>
      <c r="B212" s="1366" t="s">
        <v>680</v>
      </c>
      <c r="C212" s="1366"/>
      <c r="D212" s="1366"/>
      <c r="E212" s="1366"/>
      <c r="F212" s="9"/>
      <c r="G212" s="9"/>
      <c r="H212" s="9"/>
      <c r="I212" s="9"/>
      <c r="J212" s="13"/>
      <c r="K212" s="9"/>
      <c r="L212" s="9"/>
      <c r="M212" s="9"/>
      <c r="N212" s="9"/>
      <c r="O212" s="9"/>
      <c r="P212" s="9"/>
      <c r="Q212" s="9"/>
      <c r="R212" s="9"/>
      <c r="S212" s="9"/>
      <c r="T212" s="9"/>
      <c r="U212" s="11"/>
      <c r="V212" s="11"/>
      <c r="W212" s="11"/>
      <c r="X212" s="12"/>
      <c r="Y212" s="12"/>
      <c r="Z212" s="12"/>
      <c r="AA212" s="12"/>
      <c r="AB212" s="12"/>
      <c r="AC212" s="241"/>
      <c r="AF212" s="84"/>
      <c r="AI212" s="179"/>
      <c r="AJ212" s="179"/>
      <c r="AK212" s="153"/>
    </row>
    <row r="213" spans="1:66" ht="11.25" customHeight="1" x14ac:dyDescent="0.2">
      <c r="A213" s="141"/>
      <c r="B213" s="1366"/>
      <c r="C213" s="1366"/>
      <c r="D213" s="1366"/>
      <c r="E213" s="1366"/>
      <c r="F213" s="9"/>
      <c r="G213" s="9"/>
      <c r="H213" s="9"/>
      <c r="I213" s="9"/>
      <c r="J213" s="13"/>
      <c r="K213" s="9"/>
      <c r="L213" s="9"/>
      <c r="M213" s="9"/>
      <c r="N213" s="9"/>
      <c r="O213" s="9"/>
      <c r="P213" s="9"/>
      <c r="Q213" s="9"/>
      <c r="R213" s="9"/>
      <c r="S213" s="9"/>
      <c r="T213" s="9"/>
      <c r="U213" s="11"/>
      <c r="V213" s="11"/>
      <c r="W213" s="11"/>
      <c r="X213" s="12"/>
      <c r="Y213" s="12"/>
      <c r="Z213" s="12"/>
      <c r="AA213" s="12"/>
      <c r="AB213" s="12"/>
      <c r="AC213" s="241"/>
      <c r="AF213" s="84"/>
      <c r="AI213" s="179"/>
      <c r="AJ213" s="179"/>
      <c r="AK213" s="153"/>
    </row>
    <row r="214" spans="1:66" ht="11.25" customHeight="1" x14ac:dyDescent="0.2">
      <c r="A214" s="141"/>
      <c r="B214" s="1366" t="s">
        <v>32</v>
      </c>
      <c r="C214" s="1366"/>
      <c r="D214" s="1366"/>
      <c r="E214" s="1366"/>
      <c r="F214" s="9"/>
      <c r="G214" s="9"/>
      <c r="H214" s="9"/>
      <c r="I214" s="9"/>
      <c r="J214" s="13"/>
      <c r="K214" s="9"/>
      <c r="L214" s="9"/>
      <c r="M214" s="9"/>
      <c r="N214" s="9"/>
      <c r="O214" s="9"/>
      <c r="P214" s="9"/>
      <c r="Q214" s="9"/>
      <c r="R214" s="9"/>
      <c r="S214" s="9"/>
      <c r="T214" s="9"/>
      <c r="U214" s="11"/>
      <c r="V214" s="11"/>
      <c r="W214" s="11"/>
      <c r="X214" s="12"/>
      <c r="Y214" s="12"/>
      <c r="Z214" s="12"/>
      <c r="AA214" s="12"/>
      <c r="AB214" s="12"/>
      <c r="AC214" s="241"/>
      <c r="AF214" s="84"/>
      <c r="AI214" s="179"/>
      <c r="AJ214" s="179"/>
      <c r="AK214" s="153"/>
    </row>
    <row r="215" spans="1:66" ht="11.25" customHeight="1" x14ac:dyDescent="0.2">
      <c r="A215" s="141"/>
      <c r="B215" s="1366"/>
      <c r="C215" s="1366"/>
      <c r="D215" s="1366"/>
      <c r="E215" s="1366"/>
      <c r="F215" s="9"/>
      <c r="G215" s="9"/>
      <c r="H215" s="9"/>
      <c r="I215" s="9"/>
      <c r="J215" s="13"/>
      <c r="K215" s="9"/>
      <c r="L215" s="9"/>
      <c r="M215" s="9"/>
      <c r="N215" s="9"/>
      <c r="O215" s="9"/>
      <c r="P215" s="9"/>
      <c r="Q215" s="9"/>
      <c r="R215" s="9"/>
      <c r="S215" s="9"/>
      <c r="T215" s="9"/>
      <c r="U215" s="11"/>
      <c r="V215" s="11"/>
      <c r="W215" s="11"/>
      <c r="X215" s="12"/>
      <c r="Y215" s="12"/>
      <c r="Z215" s="12"/>
      <c r="AA215" s="12"/>
      <c r="AB215" s="12"/>
      <c r="AC215" s="241"/>
      <c r="AF215" s="84"/>
      <c r="AI215" s="179"/>
      <c r="AJ215" s="179"/>
      <c r="AK215" s="153"/>
    </row>
    <row r="216" spans="1:66" ht="11.25" customHeight="1" x14ac:dyDescent="0.2">
      <c r="A216" s="248"/>
      <c r="B216" s="1110"/>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1307"/>
      <c r="AF216" s="84"/>
      <c r="AI216" s="179"/>
      <c r="AJ216" s="179"/>
      <c r="AK216" s="242"/>
    </row>
    <row r="217" spans="1:66" ht="18.75" customHeight="1" x14ac:dyDescent="0.2">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F217" s="84"/>
      <c r="AI217" s="179"/>
      <c r="AJ217" s="179"/>
    </row>
    <row r="218" spans="1:66" s="82" customFormat="1" ht="11.25" customHeight="1" x14ac:dyDescent="0.2">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83"/>
      <c r="AE218" s="83"/>
      <c r="AF218" s="84"/>
      <c r="AG218" s="83"/>
      <c r="AH218" s="83"/>
      <c r="AI218" s="179"/>
      <c r="AJ218" s="179"/>
      <c r="AL218" s="76"/>
      <c r="AM218" s="76"/>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row>
    <row r="219" spans="1:66" ht="11.25" customHeight="1" x14ac:dyDescent="0.2">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F219" s="84"/>
      <c r="AI219" s="179"/>
      <c r="AJ219" s="179"/>
    </row>
    <row r="220" spans="1:66" ht="11.25" customHeight="1" x14ac:dyDescent="0.2">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F220" s="84"/>
      <c r="AI220" s="179"/>
      <c r="AJ220" s="179"/>
    </row>
    <row r="221" spans="1:66" ht="11.25" customHeight="1" x14ac:dyDescent="0.2">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F221" s="84"/>
      <c r="AI221" s="179"/>
      <c r="AJ221" s="179"/>
    </row>
    <row r="222" spans="1:66" ht="11.25" customHeight="1" x14ac:dyDescent="0.2">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F222" s="84"/>
      <c r="AI222" s="179"/>
      <c r="AJ222" s="179"/>
    </row>
    <row r="223" spans="1:66" ht="11.25" customHeight="1" x14ac:dyDescent="0.2">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F223" s="84"/>
      <c r="AI223" s="179"/>
      <c r="AJ223" s="179"/>
    </row>
    <row r="224" spans="1:66" ht="11.25" customHeight="1" x14ac:dyDescent="0.2">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F224" s="84"/>
      <c r="AI224" s="179"/>
      <c r="AJ224" s="179"/>
    </row>
    <row r="225" spans="1:36" ht="11.25" customHeight="1" x14ac:dyDescent="0.2">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F225" s="84"/>
      <c r="AI225" s="179"/>
      <c r="AJ225" s="179"/>
    </row>
    <row r="226" spans="1:36" ht="11.25" customHeight="1" x14ac:dyDescent="0.2">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F226" s="84"/>
      <c r="AI226" s="179"/>
      <c r="AJ226" s="179"/>
    </row>
    <row r="227" spans="1:36" ht="11.25" customHeight="1" x14ac:dyDescent="0.2">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F227" s="84"/>
      <c r="AI227" s="179"/>
      <c r="AJ227" s="179"/>
    </row>
    <row r="228" spans="1:36" ht="11.25" customHeight="1" x14ac:dyDescent="0.2">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F228" s="84"/>
      <c r="AI228" s="179"/>
      <c r="AJ228" s="179"/>
    </row>
    <row r="229" spans="1:36" ht="11.25" customHeight="1" x14ac:dyDescent="0.2">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F229" s="84"/>
      <c r="AI229" s="179"/>
      <c r="AJ229" s="179"/>
    </row>
    <row r="230" spans="1:36" ht="11.25" customHeight="1" x14ac:dyDescent="0.2">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F230" s="84"/>
      <c r="AI230" s="179"/>
      <c r="AJ230" s="179"/>
    </row>
    <row r="231" spans="1:36" ht="11.25" customHeight="1" x14ac:dyDescent="0.2">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F231" s="84"/>
      <c r="AI231" s="179"/>
      <c r="AJ231" s="179"/>
    </row>
    <row r="232" spans="1:36" ht="11.25" customHeight="1" x14ac:dyDescent="0.2">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F232" s="84"/>
      <c r="AI232" s="179"/>
      <c r="AJ232" s="179"/>
    </row>
    <row r="233" spans="1:36" ht="11.25" customHeight="1" x14ac:dyDescent="0.2">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F233" s="84"/>
      <c r="AI233" s="179"/>
      <c r="AJ233" s="179"/>
    </row>
    <row r="234" spans="1:36" ht="11.25" customHeight="1" x14ac:dyDescent="0.2">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197"/>
      <c r="AE234" s="197"/>
      <c r="AF234" s="1132"/>
      <c r="AG234" s="197"/>
      <c r="AH234" s="197"/>
      <c r="AI234" s="198"/>
      <c r="AJ234" s="198"/>
    </row>
    <row r="344" spans="38:38" ht="11.25" customHeight="1" x14ac:dyDescent="0.2">
      <c r="AL344" s="76" t="b">
        <v>1</v>
      </c>
    </row>
  </sheetData>
  <sheetProtection sheet="1" objects="1" scenarios="1"/>
  <mergeCells count="57">
    <mergeCell ref="AE109:AI109"/>
    <mergeCell ref="B5:N6"/>
    <mergeCell ref="D7:H7"/>
    <mergeCell ref="I7:I9"/>
    <mergeCell ref="B172:H172"/>
    <mergeCell ref="Z8:Z9"/>
    <mergeCell ref="AA8:AA9"/>
    <mergeCell ref="B35:U35"/>
    <mergeCell ref="Q7:Q9"/>
    <mergeCell ref="B7:B9"/>
    <mergeCell ref="R65:U65"/>
    <mergeCell ref="S7:U8"/>
    <mergeCell ref="K7:P7"/>
    <mergeCell ref="O8:P8"/>
    <mergeCell ref="O9:P9"/>
    <mergeCell ref="B180:B181"/>
    <mergeCell ref="A37:V37"/>
    <mergeCell ref="A38:V38"/>
    <mergeCell ref="B108:I109"/>
    <mergeCell ref="B137:H137"/>
    <mergeCell ref="A105:V105"/>
    <mergeCell ref="A106:V106"/>
    <mergeCell ref="A176:V176"/>
    <mergeCell ref="B144:I145"/>
    <mergeCell ref="A177:V177"/>
    <mergeCell ref="B110:B111"/>
    <mergeCell ref="A70:V70"/>
    <mergeCell ref="A71:V71"/>
    <mergeCell ref="R64:U64"/>
    <mergeCell ref="M64:P64"/>
    <mergeCell ref="M65:P65"/>
    <mergeCell ref="B214:E215"/>
    <mergeCell ref="BH38:BL38"/>
    <mergeCell ref="A141:V141"/>
    <mergeCell ref="A142:V142"/>
    <mergeCell ref="BC38:BG38"/>
    <mergeCell ref="B182:E183"/>
    <mergeCell ref="B184:E185"/>
    <mergeCell ref="B186:E187"/>
    <mergeCell ref="B188:E189"/>
    <mergeCell ref="B190:E191"/>
    <mergeCell ref="B192:E193"/>
    <mergeCell ref="AA75:AA76"/>
    <mergeCell ref="Z75:Z76"/>
    <mergeCell ref="AM38:AQ38"/>
    <mergeCell ref="AR38:AR40"/>
    <mergeCell ref="Z109:AD109"/>
    <mergeCell ref="B194:E195"/>
    <mergeCell ref="B196:E197"/>
    <mergeCell ref="B198:E199"/>
    <mergeCell ref="B200:E201"/>
    <mergeCell ref="B202:F203"/>
    <mergeCell ref="B204:E205"/>
    <mergeCell ref="B206:E207"/>
    <mergeCell ref="B208:E209"/>
    <mergeCell ref="B212:E213"/>
    <mergeCell ref="B210:F211"/>
  </mergeCells>
  <conditionalFormatting sqref="B10:B31 K10:O31 B51:C66 B147:B168 D147:H168 B112:B133 D10:H31 A1:A37 A39:A70 A72:A105 A107:A141 A143:A176 A235:A1048576">
    <cfRule type="containsErrors" dxfId="554" priority="1047">
      <formula>ISERROR(A1)</formula>
    </cfRule>
  </conditionalFormatting>
  <conditionalFormatting sqref="B10:B31 K10:O31 D10:I31 Q10:Q31 P10:P32 S10:U31 B51:C66 D112:H133 B112:B133 B147:B168 D147:H168">
    <cfRule type="expression" dxfId="553" priority="1043">
      <formula>$B10=$Z$4</formula>
    </cfRule>
  </conditionalFormatting>
  <conditionalFormatting sqref="S10:S32 D112:F133 H112:H133">
    <cfRule type="containsErrors" dxfId="552" priority="1044">
      <formula>ISERROR(D10)</formula>
    </cfRule>
  </conditionalFormatting>
  <conditionalFormatting sqref="A147:A168">
    <cfRule type="cellIs" dxfId="551" priority="83" operator="equal">
      <formula>0</formula>
    </cfRule>
  </conditionalFormatting>
  <conditionalFormatting sqref="A10:A31">
    <cfRule type="cellIs" dxfId="550" priority="82" operator="equal">
      <formula>0</formula>
    </cfRule>
  </conditionalFormatting>
  <conditionalFormatting sqref="A112:A133">
    <cfRule type="cellIs" dxfId="549" priority="77" operator="equal">
      <formula>0</formula>
    </cfRule>
  </conditionalFormatting>
  <conditionalFormatting sqref="AG10:AH28">
    <cfRule type="containsErrors" dxfId="548" priority="68">
      <formula>ISERROR(AG10)</formula>
    </cfRule>
  </conditionalFormatting>
  <conditionalFormatting sqref="AG10:AH21 AH11:AH28">
    <cfRule type="expression" dxfId="547" priority="67">
      <formula>$B10=$X$4</formula>
    </cfRule>
  </conditionalFormatting>
  <conditionalFormatting sqref="I10:I31">
    <cfRule type="containsErrors" dxfId="546" priority="1045">
      <formula>ISERROR(I10)</formula>
    </cfRule>
  </conditionalFormatting>
  <conditionalFormatting sqref="D135:F135 D170:H170 D33:I33 K33:O33 S33 H135 Q33">
    <cfRule type="containsErrors" dxfId="545" priority="59">
      <formula>ISERROR(D33)</formula>
    </cfRule>
  </conditionalFormatting>
  <conditionalFormatting sqref="D134:F134 D169:H169 D32:I32 K32:O32 S32 H134 Q32">
    <cfRule type="containsErrors" dxfId="544" priority="58">
      <formula>ISERROR(D32)</formula>
    </cfRule>
  </conditionalFormatting>
  <conditionalFormatting sqref="G112:G133">
    <cfRule type="expression" dxfId="543" priority="56">
      <formula>$K76=$Z$4</formula>
    </cfRule>
  </conditionalFormatting>
  <conditionalFormatting sqref="G112:G133">
    <cfRule type="containsErrors" dxfId="542" priority="57">
      <formula>ISERROR(G112)</formula>
    </cfRule>
  </conditionalFormatting>
  <conditionalFormatting sqref="G135">
    <cfRule type="containsErrors" dxfId="541" priority="55">
      <formula>ISERROR(G135)</formula>
    </cfRule>
  </conditionalFormatting>
  <conditionalFormatting sqref="G134">
    <cfRule type="containsErrors" dxfId="540" priority="54">
      <formula>ISERROR(G134)</formula>
    </cfRule>
  </conditionalFormatting>
  <conditionalFormatting sqref="A38">
    <cfRule type="cellIs" dxfId="539" priority="52" operator="equal">
      <formula>0</formula>
    </cfRule>
    <cfRule type="containsErrors" dxfId="538" priority="53">
      <formula>ISERROR(A38)</formula>
    </cfRule>
  </conditionalFormatting>
  <conditionalFormatting sqref="A71">
    <cfRule type="cellIs" dxfId="537" priority="50" operator="equal">
      <formula>0</formula>
    </cfRule>
    <cfRule type="containsErrors" dxfId="536" priority="51">
      <formula>ISERROR(A71)</formula>
    </cfRule>
  </conditionalFormatting>
  <conditionalFormatting sqref="A106">
    <cfRule type="cellIs" dxfId="535" priority="48" operator="equal">
      <formula>0</formula>
    </cfRule>
    <cfRule type="containsErrors" dxfId="534" priority="49">
      <formula>ISERROR(A106)</formula>
    </cfRule>
  </conditionalFormatting>
  <conditionalFormatting sqref="A142">
    <cfRule type="cellIs" dxfId="533" priority="46" operator="equal">
      <formula>0</formula>
    </cfRule>
    <cfRule type="containsErrors" dxfId="532" priority="47">
      <formula>ISERROR(A142)</formula>
    </cfRule>
  </conditionalFormatting>
  <conditionalFormatting sqref="A177">
    <cfRule type="cellIs" dxfId="531" priority="44" operator="equal">
      <formula>0</formula>
    </cfRule>
    <cfRule type="containsErrors" dxfId="530" priority="45">
      <formula>ISERROR(A177)</formula>
    </cfRule>
  </conditionalFormatting>
  <conditionalFormatting sqref="D110:H110">
    <cfRule type="containsErrors" dxfId="529" priority="32">
      <formula>ISERROR(D110)</formula>
    </cfRule>
  </conditionalFormatting>
  <conditionalFormatting sqref="D111:H111">
    <cfRule type="containsErrors" dxfId="528" priority="33">
      <formula>ISERROR(D111)</formula>
    </cfRule>
  </conditionalFormatting>
  <conditionalFormatting sqref="Y2">
    <cfRule type="containsErrors" dxfId="527" priority="30">
      <formula>ISERROR(Y2)</formula>
    </cfRule>
  </conditionalFormatting>
  <conditionalFormatting sqref="Y3">
    <cfRule type="containsErrors" dxfId="526" priority="31">
      <formula>ISERROR(Y3)</formula>
    </cfRule>
  </conditionalFormatting>
  <conditionalFormatting sqref="P33">
    <cfRule type="containsErrors" dxfId="525" priority="29">
      <formula>ISERROR(P33)</formula>
    </cfRule>
  </conditionalFormatting>
  <conditionalFormatting sqref="P32">
    <cfRule type="containsErrors" dxfId="524" priority="27">
      <formula>ISERROR(P32)</formula>
    </cfRule>
  </conditionalFormatting>
  <conditionalFormatting sqref="P10:P32">
    <cfRule type="containsErrors" dxfId="523" priority="25">
      <formula>ISERROR(P10)</formula>
    </cfRule>
    <cfRule type="dataBar" priority="26">
      <dataBar showValue="0">
        <cfvo type="min"/>
        <cfvo type="max"/>
        <color theme="9"/>
      </dataBar>
      <extLst>
        <ext xmlns:x14="http://schemas.microsoft.com/office/spreadsheetml/2009/9/main" uri="{B025F937-C7B1-47D3-B67F-A62EFF666E3E}">
          <x14:id>{DC9F9637-D530-4B01-9362-B2D66A9D2E91}</x14:id>
        </ext>
      </extLst>
    </cfRule>
  </conditionalFormatting>
  <conditionalFormatting sqref="D8:H8">
    <cfRule type="containsErrors" dxfId="522" priority="22">
      <formula>ISERROR(D8)</formula>
    </cfRule>
  </conditionalFormatting>
  <conditionalFormatting sqref="D9:H9">
    <cfRule type="containsErrors" dxfId="521" priority="24">
      <formula>ISERROR(D9)</formula>
    </cfRule>
  </conditionalFormatting>
  <conditionalFormatting sqref="K8:O8">
    <cfRule type="containsErrors" dxfId="520" priority="21">
      <formula>ISERROR(K8)</formula>
    </cfRule>
  </conditionalFormatting>
  <conditionalFormatting sqref="K9:O9">
    <cfRule type="containsErrors" dxfId="519" priority="1048">
      <formula>ISERROR(K9)</formula>
    </cfRule>
  </conditionalFormatting>
  <conditionalFormatting sqref="AB9:AF9">
    <cfRule type="cellIs" dxfId="518" priority="16" stopIfTrue="1" operator="equal">
      <formula>0</formula>
    </cfRule>
  </conditionalFormatting>
  <conditionalFormatting sqref="Q10:Q31">
    <cfRule type="containsErrors" dxfId="517" priority="11">
      <formula>ISERROR(Q10)</formula>
    </cfRule>
  </conditionalFormatting>
  <conditionalFormatting sqref="T10:T31">
    <cfRule type="containsErrors" dxfId="516" priority="10">
      <formula>ISERROR(T10)</formula>
    </cfRule>
  </conditionalFormatting>
  <conditionalFormatting sqref="T32">
    <cfRule type="containsErrors" dxfId="515" priority="8">
      <formula>ISERROR(T32)</formula>
    </cfRule>
  </conditionalFormatting>
  <conditionalFormatting sqref="T33">
    <cfRule type="containsErrors" dxfId="514" priority="7">
      <formula>ISERROR(T33)</formula>
    </cfRule>
  </conditionalFormatting>
  <conditionalFormatting sqref="U10:U31">
    <cfRule type="containsErrors" dxfId="513" priority="6">
      <formula>ISERROR(U10)</formula>
    </cfRule>
  </conditionalFormatting>
  <conditionalFormatting sqref="U32">
    <cfRule type="containsErrors" dxfId="512" priority="4">
      <formula>ISERROR(U32)</formula>
    </cfRule>
  </conditionalFormatting>
  <conditionalFormatting sqref="U33">
    <cfRule type="containsErrors" dxfId="511" priority="3">
      <formula>ISERROR(U33)</formula>
    </cfRule>
  </conditionalFormatting>
  <conditionalFormatting sqref="Z3:AD3">
    <cfRule type="containsErrors" dxfId="510" priority="2">
      <formula>ISERROR(Z3)</formula>
    </cfRule>
  </conditionalFormatting>
  <conditionalFormatting sqref="Z2:AD2">
    <cfRule type="containsErrors" dxfId="509" priority="1">
      <formula>ISERROR(Z2)</formula>
    </cfRule>
  </conditionalFormatting>
  <hyperlinks>
    <hyperlink ref="B184:B185" location="Coverage!A1" display="Participating LA's" xr:uid="{EC849D20-C63A-4B12-BB2E-AC25F1F25DAF}"/>
    <hyperlink ref="B186:B187" location="IDACI!A1" display="IDACI" xr:uid="{D7B72407-0B8A-43A9-8FF5-59DC88E72155}"/>
    <hyperlink ref="B214:B215" location="Adoption!A1" display="Adoption" xr:uid="{AFD29033-7C06-452A-BAD1-618BA18940FA}"/>
    <hyperlink ref="B208:B209" location="'Looked After Children'!A1" display="Looked After Children" xr:uid="{6775C42E-39EF-44FC-BC28-983A1403B243}"/>
    <hyperlink ref="B206:B207" location="'Court Applications'!A1" display="Court Applications" xr:uid="{E1F82468-CB61-4092-A362-E6302CD1A35F}"/>
    <hyperlink ref="B204:B205" location="'Child Protection Plans'!A1" display="Child Protection Plans" xr:uid="{5F927EA2-490A-4838-A683-5281C8DF0804}"/>
    <hyperlink ref="B202:B203" location="'Initial CP Conferences'!A1" display="Initial Child Protection Conferences" xr:uid="{F2077A82-8752-44F5-8490-0A877DBCE96C}"/>
    <hyperlink ref="B200:B201" location="'Section 47 Enquiries'!A1" display="Section 47 Enquiries" xr:uid="{3A381466-6005-45AF-8F03-26FE771A303B}"/>
    <hyperlink ref="B198:B199" location="'Children in Need'!A1" display="Children in Need" xr:uid="{725E0043-F6AF-4FD3-93BC-2BED5EF9A5F9}"/>
    <hyperlink ref="B196:B197" location="Assessments!A1" display="Assessments" xr:uid="{AB31563C-D008-43C4-92F2-766F3A7145CB}"/>
    <hyperlink ref="B194:B195" location="'Re-referrals'!A1" display="Re-referrals" xr:uid="{9BF58E93-25AF-482B-90A3-43072A7F0D9A}"/>
    <hyperlink ref="B192:B193" location="Referral_Source!A1" display="Referral Source" xr:uid="{D550C1B8-BC07-416F-B3CB-02BD3C9F2F21}"/>
    <hyperlink ref="B190:B191" location="Referrals!A1" display="Referrals" xr:uid="{2FDC05E5-92D9-4D03-960E-FD514C50E84F}"/>
    <hyperlink ref="B188:B189" location="Population!A1" display="Population" xr:uid="{0B288F9F-792B-4048-82E8-F293F8D447DB}"/>
    <hyperlink ref="B186:C187" location="IDACI!A1" display="IDACI" xr:uid="{B8A89148-211C-4094-BDD8-2DE6AD8DCD61}"/>
    <hyperlink ref="B182:B183" location="Coverage!A1" display="Participating LA's" xr:uid="{FAC66D8C-651E-4E30-ACFC-24D960A4E3DF}"/>
    <hyperlink ref="B182:C183" location="Indicators!A1" display="Indicators" xr:uid="{FF385362-B06A-494E-A4CB-150A4BB2ED46}"/>
    <hyperlink ref="B212:B213" location="'Looked After Children'!A1" display="Looked After Children" xr:uid="{F47C3A73-2F51-4CB9-A88F-086BDD399980}"/>
    <hyperlink ref="B210:B211" location="'Court Applications'!A1" display="Court Applications" xr:uid="{BE322A37-07AB-4108-8B1C-7F0F34DF2675}"/>
    <hyperlink ref="B210:C211" location="New_Ceased_LAC!A1" display="New/ Ceased Looked After Children" xr:uid="{9312A757-F85C-4A32-8AB7-80EB57F21063}"/>
    <hyperlink ref="B212:C213" location="Care_Leavers!A1" display="Care Leavers" xr:uid="{53D424C0-A6C9-4B1B-8DFF-C18DB46DAA48}"/>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8" max="20" man="1"/>
    <brk id="71" max="20" man="1"/>
    <brk id="106" max="20" man="1"/>
    <brk id="142" max="20" man="1"/>
  </rowBreaks>
  <ignoredErrors>
    <ignoredError sqref="A10:A31 A112:A133 A147:A170"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macro="[0]!CheckBox1_Click" altText="">
                <anchor>
                  <from>
                    <xdr:col>23</xdr:col>
                    <xdr:colOff>76200</xdr:colOff>
                    <xdr:row>39</xdr:row>
                    <xdr:rowOff>28575</xdr:rowOff>
                  </from>
                  <to>
                    <xdr:col>36</xdr:col>
                    <xdr:colOff>47625</xdr:colOff>
                    <xdr:row>41</xdr:row>
                    <xdr:rowOff>9525</xdr:rowOff>
                  </to>
                </anchor>
              </controlPr>
            </control>
          </mc:Choice>
        </mc:AlternateContent>
        <mc:AlternateContent xmlns:mc="http://schemas.openxmlformats.org/markup-compatibility/2006">
          <mc:Choice Requires="x14">
            <control shapeId="87042" r:id="rId5" name="Check Box 2">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87043" r:id="rId6" name="Check Box 3">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87044" r:id="rId7" name="Check Box 4">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87045" r:id="rId8" name="Check Box 5">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87046" r:id="rId9" name="Check Box 6">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87047" r:id="rId10" name="Check Box 7">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87048" r:id="rId11" name="Check Box 8">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87049" r:id="rId12" name="Check Box 9">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87050" r:id="rId13" name="Check Box 10">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87051" r:id="rId14" name="Check Box 11">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87052" r:id="rId15" name="Check Box 12">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87053" r:id="rId16" name="Check Box 13">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87054" r:id="rId17" name="Check Box 14">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87055" r:id="rId18" name="Check Box 15">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87056" r:id="rId19" name="Check Box 16">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87057" r:id="rId20" name="Check Box 17">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87058" r:id="rId21" name="Check Box 18">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87059" r:id="rId22" name="Check Box 19">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87060" r:id="rId23" name="Check Box 20">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87061" r:id="rId24" name="Check Box 21">
              <controlPr defaultSize="0" autoFill="0" autoLine="0" autoPict="0" macro="[0]!CheckBox1_Click" altText="">
                <anchor>
                  <from>
                    <xdr:col>23</xdr:col>
                    <xdr:colOff>76200</xdr:colOff>
                    <xdr:row>61</xdr:row>
                    <xdr:rowOff>152400</xdr:rowOff>
                  </from>
                  <to>
                    <xdr:col>36</xdr:col>
                    <xdr:colOff>47625</xdr:colOff>
                    <xdr:row>63</xdr:row>
                    <xdr:rowOff>9525</xdr:rowOff>
                  </to>
                </anchor>
              </controlPr>
            </control>
          </mc:Choice>
        </mc:AlternateContent>
        <mc:AlternateContent xmlns:mc="http://schemas.openxmlformats.org/markup-compatibility/2006">
          <mc:Choice Requires="x14">
            <control shapeId="87062" r:id="rId25" name="Check Box 22">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87063" r:id="rId26" name="Check Box 23">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87064" r:id="rId27" name="Check Box 24">
              <controlPr defaultSize="0" autoFill="0" autoLine="0" autoPict="0" macro="[0]!CheckBox1_Click" altText="">
                <anchor>
                  <from>
                    <xdr:col>23</xdr:col>
                    <xdr:colOff>76200</xdr:colOff>
                    <xdr:row>62</xdr:row>
                    <xdr:rowOff>152400</xdr:rowOff>
                  </from>
                  <to>
                    <xdr:col>36</xdr:col>
                    <xdr:colOff>47625</xdr:colOff>
                    <xdr:row>64</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C9F9637-D530-4B01-9362-B2D66A9D2E91}">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FFC000"/>
  </sheetPr>
  <dimension ref="A1:AX274"/>
  <sheetViews>
    <sheetView showRowColHeaders="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8" width="6.85546875" style="76" customWidth="1"/>
    <col min="9" max="9" width="7.42578125" style="76" customWidth="1"/>
    <col min="10" max="10" width="1.42578125" style="90" customWidth="1"/>
    <col min="11" max="15" width="6.85546875" style="76" customWidth="1"/>
    <col min="16" max="16" width="7.140625" style="76" customWidth="1"/>
    <col min="17" max="17" width="7.42578125" style="76" customWidth="1"/>
    <col min="18" max="18" width="1.42578125" style="76" customWidth="1"/>
    <col min="19" max="19" width="5.7109375" style="76" customWidth="1"/>
    <col min="20" max="20" width="8.28515625" style="76" customWidth="1"/>
    <col min="21" max="21" width="7.7109375" style="76" customWidth="1"/>
    <col min="22" max="22" width="2.140625" style="76" customWidth="1"/>
    <col min="23" max="23" width="6.42578125" style="82" customWidth="1"/>
    <col min="24" max="24" width="4.85546875" style="82" customWidth="1"/>
    <col min="25" max="25" width="17.85546875" style="83" hidden="1" customWidth="1"/>
    <col min="26" max="26" width="19.42578125" style="83" hidden="1" customWidth="1"/>
    <col min="27" max="27" width="11" style="83" hidden="1" customWidth="1"/>
    <col min="28" max="29" width="16.5703125" style="83" hidden="1" customWidth="1"/>
    <col min="30" max="31" width="8.5703125" style="83" hidden="1" customWidth="1"/>
    <col min="32" max="32" width="7" style="83" hidden="1" customWidth="1"/>
    <col min="33" max="33" width="17" style="83" hidden="1" customWidth="1"/>
    <col min="34" max="34" width="5.5703125" style="83" hidden="1" customWidth="1"/>
    <col min="35" max="35" width="4.85546875" style="83" hidden="1" customWidth="1"/>
    <col min="36" max="36" width="5.5703125" style="76" hidden="1" customWidth="1"/>
    <col min="37" max="37" width="31.5703125" style="76" customWidth="1"/>
    <col min="38" max="38" width="17" style="76" hidden="1" customWidth="1"/>
    <col min="39" max="43" width="13.5703125" style="76" hidden="1" customWidth="1"/>
    <col min="44" max="45" width="9.140625" style="76" hidden="1" customWidth="1"/>
    <col min="46" max="53" width="9.140625" style="76" customWidth="1"/>
    <col min="54" max="16384" width="9.140625" style="76"/>
  </cols>
  <sheetData>
    <row r="1" spans="1:50" ht="18.75" customHeight="1" thickBot="1" x14ac:dyDescent="0.25">
      <c r="A1" s="114"/>
      <c r="B1" s="115"/>
      <c r="C1" s="115"/>
      <c r="D1" s="115"/>
      <c r="E1" s="115"/>
      <c r="F1" s="115"/>
      <c r="G1" s="115"/>
      <c r="H1" s="115"/>
      <c r="I1" s="115"/>
      <c r="J1" s="116"/>
      <c r="K1" s="115"/>
      <c r="L1" s="115"/>
      <c r="M1" s="115"/>
      <c r="N1" s="115"/>
      <c r="O1" s="115"/>
      <c r="P1" s="115"/>
      <c r="Q1" s="115"/>
      <c r="R1" s="115"/>
      <c r="S1" s="115"/>
      <c r="T1" s="115"/>
      <c r="U1" s="115"/>
      <c r="V1" s="117"/>
      <c r="W1" s="268"/>
      <c r="X1" s="151"/>
      <c r="Y1" s="175"/>
      <c r="Z1" s="891" t="str">
        <f>IF(Sheet1!$C$3="Annual"," at 31st March"," at last day in quarter")</f>
        <v xml:space="preserve"> at 31st March</v>
      </c>
      <c r="AA1" s="175"/>
      <c r="AB1" s="175"/>
      <c r="AC1" s="175"/>
      <c r="AD1" s="175"/>
      <c r="AE1" s="175"/>
      <c r="AF1" s="175"/>
      <c r="AG1" s="175"/>
      <c r="AH1" s="175"/>
      <c r="AI1" s="175"/>
      <c r="AJ1" s="176"/>
      <c r="AK1" s="152"/>
    </row>
    <row r="2" spans="1:50" ht="18.75" customHeight="1" x14ac:dyDescent="0.2">
      <c r="A2" s="120"/>
      <c r="B2" s="130" t="s">
        <v>25</v>
      </c>
      <c r="C2" s="9"/>
      <c r="D2" s="9"/>
      <c r="E2" s="9"/>
      <c r="F2" s="9"/>
      <c r="G2" s="9"/>
      <c r="H2" s="9"/>
      <c r="I2" s="9"/>
      <c r="J2" s="13"/>
      <c r="K2" s="9"/>
      <c r="L2" s="9"/>
      <c r="M2" s="9"/>
      <c r="N2" s="9"/>
      <c r="O2" s="9"/>
      <c r="P2" s="9"/>
      <c r="Q2" s="9"/>
      <c r="R2" s="9"/>
      <c r="S2" s="9"/>
      <c r="T2" s="9"/>
      <c r="U2" s="9"/>
      <c r="V2" s="119"/>
      <c r="W2" s="157"/>
      <c r="X2" s="147"/>
      <c r="Y2" s="969">
        <v>1</v>
      </c>
      <c r="Z2" s="760" t="str">
        <f>IF(Sheet1!$C$3="Annual","",Sheet1!$D$26)</f>
        <v/>
      </c>
      <c r="AA2" s="761" t="str">
        <f>IF(Sheet1!$C$3="Annual","",Sheet1!$E$26)</f>
        <v/>
      </c>
      <c r="AB2" s="761" t="str">
        <f>IF(Sheet1!$C$3="Annual","",Sheet1!$F$26)</f>
        <v/>
      </c>
      <c r="AC2" s="761" t="str">
        <f>IF(Sheet1!$C$3="Annual","",Sheet1!$G$26)</f>
        <v/>
      </c>
      <c r="AD2" s="762" t="str">
        <f>IF(Sheet1!$C$3="Annual","",Sheet1!$H$26)</f>
        <v/>
      </c>
      <c r="AJ2" s="179"/>
      <c r="AK2" s="153"/>
    </row>
    <row r="3" spans="1:50" ht="18.75" customHeight="1" thickBot="1" x14ac:dyDescent="0.25">
      <c r="A3" s="126"/>
      <c r="B3" s="127"/>
      <c r="C3" s="127"/>
      <c r="D3" s="127"/>
      <c r="E3" s="127"/>
      <c r="F3" s="127"/>
      <c r="G3" s="127"/>
      <c r="H3" s="127"/>
      <c r="I3" s="260"/>
      <c r="J3" s="128"/>
      <c r="K3" s="127"/>
      <c r="L3" s="127"/>
      <c r="M3" s="127"/>
      <c r="N3" s="127"/>
      <c r="O3" s="127"/>
      <c r="P3" s="528"/>
      <c r="Q3" s="127"/>
      <c r="R3" s="127"/>
      <c r="S3" s="127"/>
      <c r="T3" s="260"/>
      <c r="U3" s="127"/>
      <c r="V3" s="129"/>
      <c r="W3" s="157"/>
      <c r="X3" s="147"/>
      <c r="Y3" s="763"/>
      <c r="Z3" s="763" t="str">
        <f>Sheet1!$D$25</f>
        <v>2014-15</v>
      </c>
      <c r="AA3" s="764" t="str">
        <f>Sheet1!$E$25</f>
        <v>2015-16</v>
      </c>
      <c r="AB3" s="764" t="str">
        <f>Sheet1!$F$25</f>
        <v>2016-17</v>
      </c>
      <c r="AC3" s="764" t="str">
        <f>Sheet1!$G$25</f>
        <v>2017-18</v>
      </c>
      <c r="AD3" s="765" t="str">
        <f>Sheet1!$H$25</f>
        <v>2018-19</v>
      </c>
      <c r="AJ3" s="179"/>
      <c r="AK3" s="153"/>
      <c r="AR3" s="179"/>
      <c r="AS3" s="179"/>
      <c r="AT3" s="179"/>
      <c r="AU3" s="179"/>
      <c r="AV3" s="179"/>
      <c r="AW3" s="179"/>
      <c r="AX3" s="179"/>
    </row>
    <row r="4" spans="1:50" ht="11.25" customHeight="1" x14ac:dyDescent="0.2">
      <c r="A4" s="114"/>
      <c r="B4" s="115"/>
      <c r="C4" s="115"/>
      <c r="D4" s="115"/>
      <c r="E4" s="115"/>
      <c r="F4" s="115"/>
      <c r="G4" s="115"/>
      <c r="H4" s="115"/>
      <c r="I4" s="115"/>
      <c r="J4" s="116"/>
      <c r="K4" s="115"/>
      <c r="L4" s="115"/>
      <c r="M4" s="115"/>
      <c r="N4" s="115"/>
      <c r="O4" s="115"/>
      <c r="P4" s="115"/>
      <c r="Q4" s="115"/>
      <c r="R4" s="115"/>
      <c r="S4" s="115"/>
      <c r="T4" s="115"/>
      <c r="U4" s="115"/>
      <c r="V4" s="117"/>
      <c r="W4" s="138"/>
      <c r="X4" s="147"/>
      <c r="Y4" s="181"/>
      <c r="Z4" s="181" t="str">
        <f>Home!$D$10</f>
        <v>(none)</v>
      </c>
      <c r="AA4" s="43" t="str">
        <f>"Selected LA- "&amp;Z4</f>
        <v>Selected LA- (none)</v>
      </c>
      <c r="AJ4" s="179"/>
      <c r="AK4" s="153"/>
      <c r="AR4" s="179"/>
      <c r="AS4" s="179"/>
      <c r="AT4" s="179"/>
      <c r="AU4" s="179"/>
      <c r="AV4" s="179"/>
      <c r="AW4" s="179"/>
      <c r="AX4" s="179"/>
    </row>
    <row r="5" spans="1:50" s="78" customFormat="1" ht="15" customHeight="1" x14ac:dyDescent="0.2">
      <c r="A5" s="121"/>
      <c r="B5" s="1435" t="str">
        <f>"Children in Need in"&amp;Z1</f>
        <v>Children in Need in at 31st March</v>
      </c>
      <c r="C5" s="1318"/>
      <c r="D5" s="1318"/>
      <c r="E5" s="1318"/>
      <c r="F5" s="1318"/>
      <c r="G5" s="1318"/>
      <c r="H5" s="1318"/>
      <c r="I5" s="1318"/>
      <c r="J5" s="1318"/>
      <c r="K5" s="1318"/>
      <c r="L5" s="1318"/>
      <c r="M5" s="1318"/>
      <c r="N5" s="1318"/>
      <c r="O5" s="69"/>
      <c r="P5" s="69"/>
      <c r="Q5" s="69"/>
      <c r="R5" s="69"/>
      <c r="S5" s="69"/>
      <c r="T5" s="69"/>
      <c r="U5" s="69"/>
      <c r="V5" s="122"/>
      <c r="W5" s="139"/>
      <c r="X5" s="148"/>
      <c r="Y5" s="183"/>
      <c r="Z5" s="183"/>
      <c r="AA5" s="183"/>
      <c r="AB5" s="183"/>
      <c r="AC5" s="183"/>
      <c r="AD5" s="183"/>
      <c r="AE5" s="183"/>
      <c r="AF5" s="183"/>
      <c r="AG5" s="183"/>
      <c r="AH5" s="183"/>
      <c r="AI5" s="183"/>
      <c r="AJ5" s="183"/>
      <c r="AK5" s="154"/>
      <c r="AL5" s="183" t="str">
        <f>CONCATENATE($I$7,"in Number of "&amp;$B2)</f>
        <v>Average Annual Change in Number of Children in Need</v>
      </c>
      <c r="AR5" s="970"/>
      <c r="AS5" s="183"/>
      <c r="AT5" s="183"/>
      <c r="AU5" s="183"/>
      <c r="AV5" s="183"/>
      <c r="AW5" s="183"/>
      <c r="AX5" s="183"/>
    </row>
    <row r="6" spans="1:50" ht="13.5" customHeight="1" x14ac:dyDescent="0.2">
      <c r="A6" s="120"/>
      <c r="B6" s="1318"/>
      <c r="C6" s="1318"/>
      <c r="D6" s="1318"/>
      <c r="E6" s="1318"/>
      <c r="F6" s="1318"/>
      <c r="G6" s="1318"/>
      <c r="H6" s="1318"/>
      <c r="I6" s="1318"/>
      <c r="J6" s="1318"/>
      <c r="K6" s="1318"/>
      <c r="L6" s="1318"/>
      <c r="M6" s="1318"/>
      <c r="N6" s="1318"/>
      <c r="O6" s="69"/>
      <c r="P6" s="69"/>
      <c r="Q6" s="69"/>
      <c r="R6" s="69"/>
      <c r="S6" s="69"/>
      <c r="T6" s="69"/>
      <c r="U6" s="69"/>
      <c r="V6" s="119"/>
      <c r="W6" s="138"/>
      <c r="X6" s="147"/>
      <c r="Z6" s="185"/>
      <c r="AJ6" s="179"/>
      <c r="AK6" s="153"/>
      <c r="AR6" s="179"/>
      <c r="AS6" s="179"/>
      <c r="AT6" s="179"/>
      <c r="AU6" s="179"/>
      <c r="AV6" s="179"/>
      <c r="AW6" s="179"/>
      <c r="AX6" s="179"/>
    </row>
    <row r="7" spans="1:50" ht="12.75" customHeight="1" x14ac:dyDescent="0.2">
      <c r="A7" s="271"/>
      <c r="B7" s="1449" t="s">
        <v>190</v>
      </c>
      <c r="C7" s="87"/>
      <c r="D7" s="1545" t="s">
        <v>88</v>
      </c>
      <c r="E7" s="1557"/>
      <c r="F7" s="1557"/>
      <c r="G7" s="1557"/>
      <c r="H7" s="1558"/>
      <c r="I7" s="1439" t="str">
        <f>"Average "&amp;Sheet1!C3&amp;" Change "</f>
        <v xml:space="preserve">Average Annual Change </v>
      </c>
      <c r="J7" s="98"/>
      <c r="K7" s="1562" t="s">
        <v>89</v>
      </c>
      <c r="L7" s="1563"/>
      <c r="M7" s="1563"/>
      <c r="N7" s="1563"/>
      <c r="O7" s="1563"/>
      <c r="P7" s="1564"/>
      <c r="Q7" s="1559" t="str">
        <f>IF(ISNA(O9),"SE Rank "&amp;O8,"SE Rank "&amp;O9)</f>
        <v>SE Rank 2018-19</v>
      </c>
      <c r="R7" s="69"/>
      <c r="S7" s="1451" t="str">
        <f>"Distance from Expected "&amp;Sheet1!$B$8</f>
        <v>Distance from Expected 2019</v>
      </c>
      <c r="T7" s="1452"/>
      <c r="U7" s="1453"/>
      <c r="V7" s="119"/>
      <c r="W7" s="138"/>
      <c r="X7" s="147"/>
      <c r="Z7" s="185"/>
      <c r="AB7" s="200" t="s">
        <v>79</v>
      </c>
      <c r="AC7" s="185"/>
      <c r="AD7" s="185"/>
      <c r="AE7" s="194"/>
      <c r="AF7" s="194"/>
      <c r="AJ7" s="179"/>
      <c r="AK7" s="153"/>
      <c r="AL7" s="550"/>
      <c r="AM7" s="550"/>
      <c r="AN7" s="550"/>
      <c r="AO7" s="550"/>
      <c r="AP7" s="550"/>
      <c r="AR7" s="199"/>
      <c r="AS7" s="199"/>
      <c r="AT7" s="199"/>
      <c r="AU7" s="199"/>
      <c r="AV7" s="199"/>
      <c r="AW7" s="199"/>
      <c r="AX7" s="199"/>
    </row>
    <row r="8" spans="1:50" s="89" customFormat="1" ht="12.75" customHeight="1" x14ac:dyDescent="0.2">
      <c r="A8" s="123"/>
      <c r="B8" s="1449"/>
      <c r="C8" s="87"/>
      <c r="D8" s="755" t="str">
        <f>Sheet1!$D$25</f>
        <v>2014-15</v>
      </c>
      <c r="E8" s="756" t="str">
        <f>Sheet1!$E$25</f>
        <v>2015-16</v>
      </c>
      <c r="F8" s="756" t="str">
        <f>Sheet1!$F$25</f>
        <v>2016-17</v>
      </c>
      <c r="G8" s="756" t="str">
        <f>Sheet1!$G$25</f>
        <v>2017-18</v>
      </c>
      <c r="H8" s="757" t="str">
        <f>Sheet1!$H$25</f>
        <v>2018-19</v>
      </c>
      <c r="I8" s="1440"/>
      <c r="J8" s="98"/>
      <c r="K8" s="768" t="str">
        <f>Sheet1!$D$25</f>
        <v>2014-15</v>
      </c>
      <c r="L8" s="769" t="str">
        <f>Sheet1!$E$25</f>
        <v>2015-16</v>
      </c>
      <c r="M8" s="769" t="str">
        <f>Sheet1!$F$25</f>
        <v>2016-17</v>
      </c>
      <c r="N8" s="769" t="str">
        <f>Sheet1!$G$25</f>
        <v>2017-18</v>
      </c>
      <c r="O8" s="1457" t="str">
        <f>Sheet1!$H$25</f>
        <v>2018-19</v>
      </c>
      <c r="P8" s="1565"/>
      <c r="Q8" s="1560"/>
      <c r="R8" s="69"/>
      <c r="S8" s="1454"/>
      <c r="T8" s="1455"/>
      <c r="U8" s="1456"/>
      <c r="V8" s="124"/>
      <c r="W8" s="140"/>
      <c r="X8" s="149"/>
      <c r="Y8" s="199"/>
      <c r="Z8" s="1423" t="s">
        <v>76</v>
      </c>
      <c r="AA8" s="1423" t="s">
        <v>77</v>
      </c>
      <c r="AB8" s="730" t="str">
        <f>Sheet1!$D$25</f>
        <v>2014-15</v>
      </c>
      <c r="AC8" s="730" t="str">
        <f>Sheet1!$E$25</f>
        <v>2015-16</v>
      </c>
      <c r="AD8" s="730" t="str">
        <f>Sheet1!$F$25</f>
        <v>2016-17</v>
      </c>
      <c r="AE8" s="730" t="str">
        <f>Sheet1!$G$25</f>
        <v>2017-18</v>
      </c>
      <c r="AF8" s="730" t="str">
        <f>Sheet1!$H$25</f>
        <v>2018-19</v>
      </c>
      <c r="AG8" s="201" t="s">
        <v>92</v>
      </c>
      <c r="AH8" s="185"/>
      <c r="AI8" s="185"/>
      <c r="AJ8" s="199"/>
      <c r="AK8" s="156"/>
      <c r="AL8" s="860"/>
      <c r="AM8" s="860"/>
      <c r="AN8" s="860"/>
      <c r="AO8" s="860"/>
      <c r="AP8" s="860"/>
      <c r="AR8" s="199"/>
      <c r="AS8" s="199"/>
      <c r="AT8" s="199"/>
      <c r="AU8" s="199"/>
      <c r="AV8" s="199"/>
      <c r="AW8" s="199"/>
      <c r="AX8" s="199"/>
    </row>
    <row r="9" spans="1:50" s="89" customFormat="1" ht="12.75" customHeight="1" x14ac:dyDescent="0.2">
      <c r="A9" s="123"/>
      <c r="B9" s="1556"/>
      <c r="C9" s="87"/>
      <c r="D9" s="758" t="e">
        <f>Sheet1!$D$26</f>
        <v>#N/A</v>
      </c>
      <c r="E9" s="758" t="e">
        <f>Sheet1!$E$26</f>
        <v>#N/A</v>
      </c>
      <c r="F9" s="758" t="e">
        <f>Sheet1!$F$26</f>
        <v>#N/A</v>
      </c>
      <c r="G9" s="758" t="e">
        <f>Sheet1!$G$26</f>
        <v>#N/A</v>
      </c>
      <c r="H9" s="759" t="e">
        <f>Sheet1!$H$26</f>
        <v>#N/A</v>
      </c>
      <c r="I9" s="1441"/>
      <c r="J9" s="98"/>
      <c r="K9" s="758" t="e">
        <f>Sheet1!$D$26</f>
        <v>#N/A</v>
      </c>
      <c r="L9" s="758" t="e">
        <f>Sheet1!$E$26</f>
        <v>#N/A</v>
      </c>
      <c r="M9" s="758" t="e">
        <f>Sheet1!$F$26</f>
        <v>#N/A</v>
      </c>
      <c r="N9" s="758" t="e">
        <f>Sheet1!$G$26</f>
        <v>#N/A</v>
      </c>
      <c r="O9" s="1433" t="e">
        <f>Sheet1!$H$26</f>
        <v>#N/A</v>
      </c>
      <c r="P9" s="1566"/>
      <c r="Q9" s="1561"/>
      <c r="R9" s="69"/>
      <c r="S9" s="856" t="s">
        <v>78</v>
      </c>
      <c r="T9" s="794" t="s">
        <v>127</v>
      </c>
      <c r="U9" s="795" t="s">
        <v>128</v>
      </c>
      <c r="V9" s="124"/>
      <c r="W9" s="140"/>
      <c r="X9" s="149"/>
      <c r="Y9" s="199"/>
      <c r="Z9" s="1424"/>
      <c r="AA9" s="1424"/>
      <c r="AB9" s="730" t="e">
        <f>Sheet1!$D$26</f>
        <v>#N/A</v>
      </c>
      <c r="AC9" s="730" t="e">
        <f>Sheet1!$E$26</f>
        <v>#N/A</v>
      </c>
      <c r="AD9" s="730" t="e">
        <f>Sheet1!$F$26</f>
        <v>#N/A</v>
      </c>
      <c r="AE9" s="730" t="e">
        <f>Sheet1!$G$26</f>
        <v>#N/A</v>
      </c>
      <c r="AF9" s="730" t="e">
        <f>Sheet1!$H$26</f>
        <v>#N/A</v>
      </c>
      <c r="AG9" s="185"/>
      <c r="AH9" s="185">
        <f>COLUMNS($B$4:O$4)</f>
        <v>14</v>
      </c>
      <c r="AI9" s="185"/>
      <c r="AJ9" s="199"/>
      <c r="AK9" s="156"/>
      <c r="AL9" s="863" t="s">
        <v>686</v>
      </c>
      <c r="AM9" s="863" t="s">
        <v>687</v>
      </c>
      <c r="AN9" s="863" t="s">
        <v>688</v>
      </c>
      <c r="AO9" s="863" t="s">
        <v>689</v>
      </c>
      <c r="AP9" s="863" t="s">
        <v>690</v>
      </c>
      <c r="AR9" s="971"/>
      <c r="AS9" s="971"/>
      <c r="AT9" s="971"/>
      <c r="AU9" s="971"/>
      <c r="AV9" s="972"/>
      <c r="AW9" s="972"/>
      <c r="AX9" s="972"/>
    </row>
    <row r="10" spans="1:50" s="89" customFormat="1" ht="13.5" customHeight="1" x14ac:dyDescent="0.2">
      <c r="A10" s="462">
        <f>VLOOKUP(B10,Sheet1!$AQ$4:$AR$25,2,FALSE)</f>
        <v>0</v>
      </c>
      <c r="B10" s="95" t="str">
        <f>Sheet1!$K$4</f>
        <v>Bracknell Forest</v>
      </c>
      <c r="C10" s="87"/>
      <c r="D10" s="96">
        <f>IF(Year1_Bracknell_Forest Year1_CIN="","",Year1_Bracknell_Forest Year1_CIN)</f>
        <v>748</v>
      </c>
      <c r="E10" s="96">
        <f>IF(Year2_Bracknell_Forest Year2_CIN="","",Year2_Bracknell_Forest Year2_CIN)</f>
        <v>839</v>
      </c>
      <c r="F10" s="96">
        <f>IF(Year3_Bracknell_Forest Year3_CIN="","",Year3_Bracknell_Forest Year3_CIN)</f>
        <v>981</v>
      </c>
      <c r="G10" s="96">
        <f>IF(Year4_Bracknell_Forest Year4_CIN="","",Year4_Bracknell_Forest Year4_CIN)</f>
        <v>993</v>
      </c>
      <c r="H10" s="97">
        <f>IF(Year5_Bracknell_Forest Year5_CIN="","",Year5_Bracknell_Forest Year5_CIN)</f>
        <v>1043</v>
      </c>
      <c r="I10" s="337">
        <f>AP10</f>
        <v>8.837293581559931E-2</v>
      </c>
      <c r="J10" s="98"/>
      <c r="K10" s="99">
        <f>IF(ISNUMBER(D10),D10/Population!D10*10000,NA())</f>
        <v>269.06474820143887</v>
      </c>
      <c r="L10" s="99">
        <f>IF(ISNUMBER(E10),E10/Population!E10*10000,NA())</f>
        <v>297.51773049645391</v>
      </c>
      <c r="M10" s="99">
        <f>IF(ISNUMBER(F10),F10/Population!F10*10000,NA())</f>
        <v>347.87234042553189</v>
      </c>
      <c r="N10" s="99">
        <f>IF(ISNUMBER(G10),G10/Population!G10*10000,NA())</f>
        <v>353.38078291814946</v>
      </c>
      <c r="O10" s="881">
        <f>IF(ISNUMBER(H10),H10/Population!H10*10000,NA())</f>
        <v>368.55123674911658</v>
      </c>
      <c r="P10" s="101">
        <f>IF(ISNUMBER(O10),O10,"")</f>
        <v>368.55123674911658</v>
      </c>
      <c r="Q10" s="885">
        <f>IF(ISNA(VLOOKUP(B10,$AG$10:$AI$28,3,FALSE)),"--",IF(ISNUMBER(H10),VLOOKUP(B10,$AG$10:$AI$28,3,FALSE),NA()))</f>
        <v>13</v>
      </c>
      <c r="R10" s="69"/>
      <c r="S10" s="333">
        <f>IDACI!C9</f>
        <v>8.9</v>
      </c>
      <c r="T10" s="334">
        <f t="shared" ref="T10:T33" si="0">(S10*$Z$44)+$AA$44</f>
        <v>271.27365934283466</v>
      </c>
      <c r="U10" s="335">
        <f>O10-T10</f>
        <v>97.277577406281921</v>
      </c>
      <c r="V10" s="124"/>
      <c r="W10" s="140"/>
      <c r="X10" s="149"/>
      <c r="Y10" s="71" t="str">
        <f t="shared" ref="Y10:Y33" si="1">B10</f>
        <v>Bracknell Forest</v>
      </c>
      <c r="Z10" s="45">
        <f>IF(ISNUMBER($H10),IDACI!D9,0)</f>
        <v>24849</v>
      </c>
      <c r="AA10" s="45">
        <f>IF(ISNUMBER($H10),IDACI!E9,0)</f>
        <v>2211.5610000000001</v>
      </c>
      <c r="AB10" s="202">
        <f>IF(ISNUMBER(D10),Population!D10,"")</f>
        <v>27800</v>
      </c>
      <c r="AC10" s="202">
        <f>IF(ISNUMBER(E10),Population!E10,"")</f>
        <v>28200</v>
      </c>
      <c r="AD10" s="202">
        <f>IF(ISNUMBER(F10),Population!F10,"")</f>
        <v>28200</v>
      </c>
      <c r="AE10" s="202">
        <f>IF(ISNUMBER(G10),Population!G10,"")</f>
        <v>28100</v>
      </c>
      <c r="AF10" s="202">
        <f>IF(ISNUMBER(H10),Population!H10,"")</f>
        <v>28300</v>
      </c>
      <c r="AG10" s="95" t="str">
        <f>B10</f>
        <v>Bracknell Forest</v>
      </c>
      <c r="AH10" s="225">
        <f>IFERROR(VLOOKUP(AG10,$B$10:$O$31,$AH$9,FALSE),"")</f>
        <v>368.55123674911658</v>
      </c>
      <c r="AI10" s="203">
        <f>RANK(AH10,$AH$10:$AH$28,1)</f>
        <v>13</v>
      </c>
      <c r="AJ10" s="199"/>
      <c r="AK10" s="156"/>
      <c r="AL10" s="792">
        <f>IF(ISERROR((E10-D10)/D10),"x",(E10-D10)/D10)</f>
        <v>0.12165775401069519</v>
      </c>
      <c r="AM10" s="792">
        <f>IF(ISERROR((F10-E10)/E10),"x",(F10-E10)/E10)</f>
        <v>0.16924910607866508</v>
      </c>
      <c r="AN10" s="792">
        <f>IF(ISERROR((G10-F10)/F10),"x",(G10-F10)/F10)</f>
        <v>1.2232415902140673E-2</v>
      </c>
      <c r="AO10" s="792">
        <f>IF(ISERROR((H10-G10)/G10),"x",(H10-G10)/G10)</f>
        <v>5.0352467270896276E-2</v>
      </c>
      <c r="AP10" s="792">
        <f>AVERAGE(AL10:AO10)</f>
        <v>8.837293581559931E-2</v>
      </c>
      <c r="AR10" s="973"/>
      <c r="AS10" s="973"/>
      <c r="AT10" s="973"/>
      <c r="AU10" s="973"/>
      <c r="AV10" s="973"/>
      <c r="AW10" s="199"/>
      <c r="AX10" s="973"/>
    </row>
    <row r="11" spans="1:50" s="89" customFormat="1" ht="13.5" customHeight="1" x14ac:dyDescent="0.2">
      <c r="A11" s="462">
        <f>VLOOKUP(B11,Sheet1!$AQ$4:$AR$25,2,FALSE)</f>
        <v>0</v>
      </c>
      <c r="B11" s="95" t="str">
        <f>Sheet1!$K$5</f>
        <v>Brighton &amp; Hove</v>
      </c>
      <c r="C11" s="87"/>
      <c r="D11" s="96">
        <f>IF(Year1_Brighton_Hove Year1_CIN="","",Year1_Brighton_Hove Year1_CIN)</f>
        <v>2475</v>
      </c>
      <c r="E11" s="96">
        <f>IF(Year2_Brighton_Hove Year2_CIN="","",Year2_Brighton_Hove Year2_CIN)</f>
        <v>2347</v>
      </c>
      <c r="F11" s="96">
        <f>IF(Year3_Brighton_Hove Year3_CIN="","",Year3_Brighton_Hove Year3_CIN)</f>
        <v>2166</v>
      </c>
      <c r="G11" s="96">
        <f>IF(Year4_Brighton_Hove Year4_CIN="","",Year4_Brighton_Hove Year4_CIN)</f>
        <v>2175</v>
      </c>
      <c r="H11" s="97">
        <f>IF(Year5_Brighton_Hove Year5_CIN="","",Year5_Brighton_Hove Year5_CIN)</f>
        <v>2039</v>
      </c>
      <c r="I11" s="337">
        <f t="shared" ref="I11:I33" si="2">AP11</f>
        <v>-4.6802627501769362E-2</v>
      </c>
      <c r="J11" s="98"/>
      <c r="K11" s="99">
        <f>IF(ISNUMBER(D11),D11/Population!D11*10000,NA())</f>
        <v>485.29411764705884</v>
      </c>
      <c r="L11" s="99">
        <f>IF(ISNUMBER(E11),E11/Population!E11*10000,NA())</f>
        <v>458.3984375</v>
      </c>
      <c r="M11" s="99">
        <f>IF(ISNUMBER(F11),F11/Population!F11*10000,NA())</f>
        <v>422.22222222222223</v>
      </c>
      <c r="N11" s="99">
        <f>IF(ISNUMBER(G11),G11/Population!G11*10000,NA())</f>
        <v>426.47058823529414</v>
      </c>
      <c r="O11" s="100">
        <f>IF(ISNUMBER(H11),H11/Population!H11*10000,NA())</f>
        <v>399.80392156862746</v>
      </c>
      <c r="P11" s="101">
        <f t="shared" ref="P11:P32" si="3">IF(ISNUMBER(O11),O11,"")</f>
        <v>399.80392156862746</v>
      </c>
      <c r="Q11" s="885">
        <f t="shared" ref="Q11:Q33" si="4">IF(ISNA(VLOOKUP(B11,$AG$10:$AI$28,3,FALSE)),"--",IF(ISNUMBER(H11),VLOOKUP(B11,$AG$10:$AI$28,3,FALSE),NA()))</f>
        <v>16</v>
      </c>
      <c r="R11" s="69"/>
      <c r="S11" s="333">
        <f>IDACI!C10</f>
        <v>15.299999999999999</v>
      </c>
      <c r="T11" s="334">
        <f t="shared" si="0"/>
        <v>338.39475318269194</v>
      </c>
      <c r="U11" s="335">
        <f t="shared" ref="U11:U33" si="5">O11-T11</f>
        <v>61.409168385935516</v>
      </c>
      <c r="V11" s="124"/>
      <c r="W11" s="140"/>
      <c r="X11" s="149"/>
      <c r="Y11" s="71" t="str">
        <f t="shared" si="1"/>
        <v>Brighton &amp; Hove</v>
      </c>
      <c r="Z11" s="45">
        <f>IF(ISNUMBER($H11),IDACI!D10,0)</f>
        <v>45576</v>
      </c>
      <c r="AA11" s="45">
        <f>IF(ISNUMBER($H11),IDACI!E10,0)</f>
        <v>6973.1279999999997</v>
      </c>
      <c r="AB11" s="202">
        <f>IF(ISNUMBER(D11),Population!D11,"")</f>
        <v>51000</v>
      </c>
      <c r="AC11" s="202">
        <f>IF(ISNUMBER(E11),Population!E11,"")</f>
        <v>51200</v>
      </c>
      <c r="AD11" s="202">
        <f>IF(ISNUMBER(F11),Population!F11,"")</f>
        <v>51300</v>
      </c>
      <c r="AE11" s="202">
        <f>IF(ISNUMBER(G11),Population!G11,"")</f>
        <v>51000</v>
      </c>
      <c r="AF11" s="202">
        <f>IF(ISNUMBER(H11),Population!H11,"")</f>
        <v>51000</v>
      </c>
      <c r="AG11" s="95" t="s">
        <v>31</v>
      </c>
      <c r="AH11" s="225">
        <f t="shared" ref="AH11:AH28" si="6">IFERROR(VLOOKUP(AG11,$B$10:$O$31,$AH$9,FALSE),"")</f>
        <v>399.80392156862746</v>
      </c>
      <c r="AI11" s="203">
        <f t="shared" ref="AI11:AI28" si="7">RANK(AH11,$AH$10:$AH$28,1)</f>
        <v>16</v>
      </c>
      <c r="AJ11" s="199"/>
      <c r="AK11" s="156"/>
      <c r="AL11" s="792">
        <f t="shared" ref="AL11:AL33" si="8">IF(ISERROR((E11-D11)/D11),"x",(E11-D11)/D11)</f>
        <v>-5.1717171717171717E-2</v>
      </c>
      <c r="AM11" s="792">
        <f t="shared" ref="AM11:AM33" si="9">IF(ISERROR((F11-E11)/E11),"x",(F11-E11)/E11)</f>
        <v>-7.7119727311461439E-2</v>
      </c>
      <c r="AN11" s="792">
        <f t="shared" ref="AN11:AN33" si="10">IF(ISERROR((G11-F11)/F11),"x",(G11-F11)/F11)</f>
        <v>4.1551246537396124E-3</v>
      </c>
      <c r="AO11" s="792">
        <f t="shared" ref="AO11:AO33" si="11">IF(ISERROR((H11-G11)/G11),"x",(H11-G11)/G11)</f>
        <v>-6.2528735632183904E-2</v>
      </c>
      <c r="AP11" s="792">
        <f t="shared" ref="AP11:AP32" si="12">AVERAGE(AL11:AO11)</f>
        <v>-4.6802627501769362E-2</v>
      </c>
      <c r="AR11" s="973"/>
      <c r="AS11" s="973"/>
      <c r="AT11" s="973"/>
      <c r="AU11" s="973"/>
      <c r="AV11" s="973"/>
      <c r="AW11" s="199"/>
      <c r="AX11" s="973"/>
    </row>
    <row r="12" spans="1:50" s="89" customFormat="1" ht="13.5" customHeight="1" x14ac:dyDescent="0.2">
      <c r="A12" s="462">
        <f>VLOOKUP(B12,Sheet1!$AQ$4:$AR$25,2,FALSE)</f>
        <v>0</v>
      </c>
      <c r="B12" s="95" t="str">
        <f>Sheet1!$K$6</f>
        <v>Buckinghamshire</v>
      </c>
      <c r="C12" s="87"/>
      <c r="D12" s="96">
        <f>IF(Year1_Buckinghamshire Year1_CIN="","",Year1_Buckinghamshire Year1_CIN)</f>
        <v>2703</v>
      </c>
      <c r="E12" s="96">
        <f>IF(Year2_Buckinghamshire Year2_CIN="","",Year2_Buckinghamshire Year2_CIN)</f>
        <v>2635</v>
      </c>
      <c r="F12" s="96">
        <f>IF(Year3_Buckinghamshire Year3_CIN="","",Year3_Buckinghamshire Year3_CIN)</f>
        <v>3363</v>
      </c>
      <c r="G12" s="96">
        <f>IF(Year4_Buckinghamshire Year4_CIN="","",Year4_Buckinghamshire Year4_CIN)</f>
        <v>3714</v>
      </c>
      <c r="H12" s="97">
        <f>IF(Year5_Buckinghamshire Year5_CIN="","",Year5_Buckinghamshire Year5_CIN)</f>
        <v>3338</v>
      </c>
      <c r="I12" s="337">
        <f t="shared" si="2"/>
        <v>6.3564035658189508E-2</v>
      </c>
      <c r="J12" s="98"/>
      <c r="K12" s="99">
        <f>IF(ISNUMBER(D12),D12/Population!D12*10000,NA())</f>
        <v>227.33389402859547</v>
      </c>
      <c r="L12" s="99">
        <f>IF(ISNUMBER(E12),E12/Population!E12*10000,NA())</f>
        <v>218.49087893864015</v>
      </c>
      <c r="M12" s="99">
        <f>IF(ISNUMBER(F12),F12/Population!F12*10000,NA())</f>
        <v>275.20458265139115</v>
      </c>
      <c r="N12" s="99">
        <f>IF(ISNUMBER(G12),G12/Population!G12*10000,NA())</f>
        <v>301.70593013809912</v>
      </c>
      <c r="O12" s="100">
        <f>IF(ISNUMBER(H12),H12/Population!H12*10000,NA())</f>
        <v>268.54384553499597</v>
      </c>
      <c r="P12" s="101">
        <f t="shared" si="3"/>
        <v>268.54384553499597</v>
      </c>
      <c r="Q12" s="885">
        <f t="shared" si="4"/>
        <v>4</v>
      </c>
      <c r="R12" s="69"/>
      <c r="S12" s="333">
        <f>IDACI!C11</f>
        <v>8.5</v>
      </c>
      <c r="T12" s="334">
        <f t="shared" si="0"/>
        <v>267.07859097784359</v>
      </c>
      <c r="U12" s="335">
        <f t="shared" si="5"/>
        <v>1.4652545571523774</v>
      </c>
      <c r="V12" s="124"/>
      <c r="W12" s="140"/>
      <c r="X12" s="149"/>
      <c r="Y12" s="71" t="str">
        <f t="shared" si="1"/>
        <v>Buckinghamshire</v>
      </c>
      <c r="Z12" s="45">
        <f>IF(ISNUMBER($H12),IDACI!D11,0)</f>
        <v>107385</v>
      </c>
      <c r="AA12" s="45">
        <f>IF(ISNUMBER($H12),IDACI!E11,0)</f>
        <v>9127.7250000000004</v>
      </c>
      <c r="AB12" s="202">
        <f>IF(ISNUMBER(D12),Population!D12,"")</f>
        <v>118900</v>
      </c>
      <c r="AC12" s="202">
        <f>IF(ISNUMBER(E12),Population!E12,"")</f>
        <v>120600</v>
      </c>
      <c r="AD12" s="202">
        <f>IF(ISNUMBER(F12),Population!F12,"")</f>
        <v>122200</v>
      </c>
      <c r="AE12" s="202">
        <f>IF(ISNUMBER(G12),Population!G12,"")</f>
        <v>123100</v>
      </c>
      <c r="AF12" s="202">
        <f>IF(ISNUMBER(H12),Population!H12,"")</f>
        <v>124300</v>
      </c>
      <c r="AG12" s="95" t="s">
        <v>8</v>
      </c>
      <c r="AH12" s="225">
        <f t="shared" si="6"/>
        <v>268.54384553499597</v>
      </c>
      <c r="AI12" s="203">
        <f t="shared" si="7"/>
        <v>4</v>
      </c>
      <c r="AJ12" s="199"/>
      <c r="AK12" s="156"/>
      <c r="AL12" s="792">
        <f t="shared" si="8"/>
        <v>-2.5157232704402517E-2</v>
      </c>
      <c r="AM12" s="792">
        <f t="shared" si="9"/>
        <v>0.27628083491461103</v>
      </c>
      <c r="AN12" s="792">
        <f t="shared" si="10"/>
        <v>0.10437109723461195</v>
      </c>
      <c r="AO12" s="792">
        <f t="shared" si="11"/>
        <v>-0.10123855681206247</v>
      </c>
      <c r="AP12" s="792">
        <f t="shared" si="12"/>
        <v>6.3564035658189508E-2</v>
      </c>
      <c r="AR12" s="973"/>
      <c r="AS12" s="973"/>
      <c r="AT12" s="973"/>
      <c r="AU12" s="973"/>
      <c r="AV12" s="973"/>
      <c r="AW12" s="199"/>
      <c r="AX12" s="973"/>
    </row>
    <row r="13" spans="1:50" s="89" customFormat="1" ht="13.5" customHeight="1" x14ac:dyDescent="0.2">
      <c r="A13" s="462">
        <f>VLOOKUP(B13,Sheet1!$AQ$4:$AR$25,2,FALSE)</f>
        <v>0</v>
      </c>
      <c r="B13" s="95" t="str">
        <f>Sheet1!$K$7</f>
        <v>East Sussex</v>
      </c>
      <c r="C13" s="87"/>
      <c r="D13" s="96">
        <f>IF(Year1_East_Sussex Year1_CIN="","",Year1_East_Sussex Year1_CIN)</f>
        <v>3351</v>
      </c>
      <c r="E13" s="102">
        <f>IF(Year2_East_Sussex Year2_CIN="","",Year2_East_Sussex Year2_CIN)</f>
        <v>2999</v>
      </c>
      <c r="F13" s="96">
        <f>IF(Year3_East_Sussex Year3_CIN="","",Year3_East_Sussex Year3_CIN)</f>
        <v>3140</v>
      </c>
      <c r="G13" s="96">
        <f>IF(Year4_East_Sussex Year4_CIN="","",Year4_East_Sussex Year4_CIN)</f>
        <v>3134</v>
      </c>
      <c r="H13" s="97">
        <f>IF(Year5_East_Sussex Year5_CIN="","",Year5_East_Sussex Year5_CIN)</f>
        <v>3135</v>
      </c>
      <c r="I13" s="337">
        <f t="shared" si="2"/>
        <v>-1.4904836438433664E-2</v>
      </c>
      <c r="J13" s="98"/>
      <c r="K13" s="99">
        <f>IF(ISNUMBER(D13),D13/Population!D13*10000,NA())</f>
        <v>317.93168880455408</v>
      </c>
      <c r="L13" s="99">
        <f>IF(ISNUMBER(E13),E13/Population!E13*10000,NA())</f>
        <v>283.19169027384328</v>
      </c>
      <c r="M13" s="99">
        <f>IF(ISNUMBER(F13),F13/Population!F13*10000,NA())</f>
        <v>296.50613786591123</v>
      </c>
      <c r="N13" s="99">
        <f>IF(ISNUMBER(G13),G13/Population!G13*10000,NA())</f>
        <v>295.66037735849056</v>
      </c>
      <c r="O13" s="100">
        <f>IF(ISNUMBER(H13),H13/Population!H13*10000,NA())</f>
        <v>294.64285714285711</v>
      </c>
      <c r="P13" s="101">
        <f t="shared" si="3"/>
        <v>294.64285714285711</v>
      </c>
      <c r="Q13" s="885">
        <f t="shared" si="4"/>
        <v>6</v>
      </c>
      <c r="R13" s="69"/>
      <c r="S13" s="333">
        <f>IDACI!C12</f>
        <v>16.100000000000001</v>
      </c>
      <c r="T13" s="334">
        <f t="shared" si="0"/>
        <v>346.78488991267409</v>
      </c>
      <c r="U13" s="335">
        <f t="shared" si="5"/>
        <v>-52.142032769816979</v>
      </c>
      <c r="V13" s="124"/>
      <c r="W13" s="140"/>
      <c r="X13" s="149"/>
      <c r="Y13" s="71" t="str">
        <f t="shared" si="1"/>
        <v>East Sussex</v>
      </c>
      <c r="Z13" s="45">
        <f>IF(ISNUMBER($H13),IDACI!D12,0)</f>
        <v>93130</v>
      </c>
      <c r="AA13" s="45">
        <f>IF(ISNUMBER($H13),IDACI!E12,0)</f>
        <v>14993.93</v>
      </c>
      <c r="AB13" s="202">
        <f>IF(ISNUMBER(D13),Population!D13,"")</f>
        <v>105400</v>
      </c>
      <c r="AC13" s="202">
        <f>IF(ISNUMBER(E13),Population!E13,"")</f>
        <v>105900</v>
      </c>
      <c r="AD13" s="202">
        <f>IF(ISNUMBER(F13),Population!F13,"")</f>
        <v>105900</v>
      </c>
      <c r="AE13" s="202">
        <f>IF(ISNUMBER(G13),Population!G13,"")</f>
        <v>106000</v>
      </c>
      <c r="AF13" s="202">
        <f>IF(ISNUMBER(H13),Population!H13,"")</f>
        <v>106400</v>
      </c>
      <c r="AG13" s="95" t="s">
        <v>4</v>
      </c>
      <c r="AH13" s="225">
        <f t="shared" si="6"/>
        <v>294.64285714285711</v>
      </c>
      <c r="AI13" s="203">
        <f t="shared" si="7"/>
        <v>6</v>
      </c>
      <c r="AJ13" s="199"/>
      <c r="AK13" s="156"/>
      <c r="AL13" s="792">
        <f t="shared" si="8"/>
        <v>-0.10504327066547299</v>
      </c>
      <c r="AM13" s="792">
        <f t="shared" si="9"/>
        <v>4.701567189063021E-2</v>
      </c>
      <c r="AN13" s="792">
        <f t="shared" si="10"/>
        <v>-1.910828025477707E-3</v>
      </c>
      <c r="AO13" s="792">
        <f t="shared" si="11"/>
        <v>3.1908104658583282E-4</v>
      </c>
      <c r="AP13" s="792">
        <f t="shared" si="12"/>
        <v>-1.4904836438433664E-2</v>
      </c>
      <c r="AR13" s="973"/>
      <c r="AS13" s="973"/>
      <c r="AT13" s="973"/>
      <c r="AU13" s="973"/>
      <c r="AV13" s="973"/>
      <c r="AW13" s="199"/>
      <c r="AX13" s="973"/>
    </row>
    <row r="14" spans="1:50" s="89" customFormat="1" ht="13.5" customHeight="1" x14ac:dyDescent="0.2">
      <c r="A14" s="462">
        <f>VLOOKUP(B14,Sheet1!$AQ$4:$AR$25,2,FALSE)</f>
        <v>0</v>
      </c>
      <c r="B14" s="95" t="str">
        <f>Sheet1!$K$8</f>
        <v>Hampshire</v>
      </c>
      <c r="C14" s="87"/>
      <c r="D14" s="96">
        <f>IF(Year1_Hampshire Year1_CIN="","",Year1_Hampshire Year1_CIN)</f>
        <v>7818</v>
      </c>
      <c r="E14" s="96">
        <f>IF(Year2_Hampshire Year2_CIN="","",Year2_Hampshire Year2_CIN)</f>
        <v>8732</v>
      </c>
      <c r="F14" s="103">
        <f>IF(Year3_Hampshire Year3_CIN="","",Year3_Hampshire Year3_CIN)</f>
        <v>8713</v>
      </c>
      <c r="G14" s="103">
        <f>IF(Year4_Hampshire Year4_CIN="","",Year4_Hampshire Year4_CIN)</f>
        <v>8285</v>
      </c>
      <c r="H14" s="97">
        <f>IF(Year5_Hampshire Year5_CIN="","",Year5_Hampshire Year5_CIN)</f>
        <v>8585</v>
      </c>
      <c r="I14" s="337">
        <f t="shared" si="2"/>
        <v>2.5455451838563174E-2</v>
      </c>
      <c r="J14" s="98"/>
      <c r="K14" s="99">
        <f>IF(ISNUMBER(D14),D14/Population!D14*10000,NA())</f>
        <v>277.72646536412077</v>
      </c>
      <c r="L14" s="99">
        <f>IF(ISNUMBER(E14),E14/Population!E14*10000,NA())</f>
        <v>309.7552323518978</v>
      </c>
      <c r="M14" s="99">
        <f>IF(ISNUMBER(F14),F14/Population!F14*10000,NA())</f>
        <v>308.09759547383311</v>
      </c>
      <c r="N14" s="99">
        <f>IF(ISNUMBER(G14),G14/Population!G14*10000,NA())</f>
        <v>292.44617013766327</v>
      </c>
      <c r="O14" s="100">
        <f>IF(ISNUMBER(H14),H14/Population!H14*10000,NA())</f>
        <v>302.28873239436621</v>
      </c>
      <c r="P14" s="101">
        <f t="shared" si="3"/>
        <v>302.28873239436621</v>
      </c>
      <c r="Q14" s="885">
        <f t="shared" si="4"/>
        <v>8</v>
      </c>
      <c r="R14" s="69"/>
      <c r="S14" s="333">
        <f>IDACI!C13</f>
        <v>10.100000000000001</v>
      </c>
      <c r="T14" s="334">
        <f t="shared" si="0"/>
        <v>283.85886443780794</v>
      </c>
      <c r="U14" s="335">
        <f t="shared" si="5"/>
        <v>18.429867956558269</v>
      </c>
      <c r="V14" s="124"/>
      <c r="W14" s="140"/>
      <c r="X14" s="149"/>
      <c r="Y14" s="71" t="str">
        <f t="shared" si="1"/>
        <v>Hampshire</v>
      </c>
      <c r="Z14" s="45">
        <f>IF(ISNUMBER($H14),IDACI!D13,0)</f>
        <v>249483</v>
      </c>
      <c r="AA14" s="45">
        <f>IF(ISNUMBER($H14),IDACI!E13,0)</f>
        <v>25197.783000000007</v>
      </c>
      <c r="AB14" s="202">
        <f>IF(ISNUMBER(D14),Population!D14,"")</f>
        <v>281500</v>
      </c>
      <c r="AC14" s="202">
        <f>IF(ISNUMBER(E14),Population!E14,"")</f>
        <v>281900</v>
      </c>
      <c r="AD14" s="202">
        <f>IF(ISNUMBER(F14),Population!F14,"")</f>
        <v>282800</v>
      </c>
      <c r="AE14" s="202">
        <f>IF(ISNUMBER(G14),Population!G14,"")</f>
        <v>283300</v>
      </c>
      <c r="AF14" s="202">
        <f>IF(ISNUMBER(H14),Population!H14,"")</f>
        <v>284000</v>
      </c>
      <c r="AG14" s="95" t="s">
        <v>6</v>
      </c>
      <c r="AH14" s="225">
        <f t="shared" si="6"/>
        <v>302.28873239436621</v>
      </c>
      <c r="AI14" s="203">
        <f t="shared" si="7"/>
        <v>8</v>
      </c>
      <c r="AJ14" s="199"/>
      <c r="AK14" s="156"/>
      <c r="AL14" s="792">
        <f t="shared" si="8"/>
        <v>0.11690969557431569</v>
      </c>
      <c r="AM14" s="792">
        <f t="shared" si="9"/>
        <v>-2.1759047182775995E-3</v>
      </c>
      <c r="AN14" s="792">
        <f t="shared" si="10"/>
        <v>-4.9122001606794446E-2</v>
      </c>
      <c r="AO14" s="792">
        <f t="shared" si="11"/>
        <v>3.6210018105009054E-2</v>
      </c>
      <c r="AP14" s="792">
        <f t="shared" si="12"/>
        <v>2.5455451838563174E-2</v>
      </c>
      <c r="AR14" s="973"/>
      <c r="AS14" s="973"/>
      <c r="AT14" s="973"/>
      <c r="AU14" s="973"/>
      <c r="AV14" s="973"/>
      <c r="AW14" s="199"/>
      <c r="AX14" s="973"/>
    </row>
    <row r="15" spans="1:50" s="89" customFormat="1" ht="13.5" customHeight="1" x14ac:dyDescent="0.2">
      <c r="A15" s="462">
        <f>VLOOKUP(B15,Sheet1!$AQ$4:$AR$25,2,FALSE)</f>
        <v>0</v>
      </c>
      <c r="B15" s="95" t="str">
        <f>Sheet1!$K$9</f>
        <v>Isle of Wight</v>
      </c>
      <c r="C15" s="87"/>
      <c r="D15" s="96">
        <f>IF(Year1_Isle_of_Wight Year1_CIN="","",Year1_Isle_of_Wight Year1_CIN)</f>
        <v>1092</v>
      </c>
      <c r="E15" s="96">
        <f>IF(Year2_Isle_of_Wight Year2_CIN="","",Year2_Isle_of_Wight Year2_CIN)</f>
        <v>1302</v>
      </c>
      <c r="F15" s="96">
        <f>IF(Year3_Isle_of_Wight Year3_CIN="","",Year3_Isle_of_Wight Year3_CIN)</f>
        <v>1247</v>
      </c>
      <c r="G15" s="96">
        <f>IF(Year4_Isle_of_Wight Year4_CIN="","",Year4_Isle_of_Wight Year4_CIN)</f>
        <v>1230</v>
      </c>
      <c r="H15" s="97">
        <f>IF(Year5_Isle_of_Wight Year5_CIN="","",Year5_Isle_of_Wight Year5_CIN)</f>
        <v>1178</v>
      </c>
      <c r="I15" s="337">
        <f t="shared" si="2"/>
        <v>2.3538961871494964E-2</v>
      </c>
      <c r="J15" s="98"/>
      <c r="K15" s="99">
        <f>IF(ISNUMBER(D15),D15/Population!D15*10000,NA())</f>
        <v>428.23529411764707</v>
      </c>
      <c r="L15" s="99">
        <f>IF(ISNUMBER(E15),E15/Population!E15*10000,NA())</f>
        <v>514.62450592885375</v>
      </c>
      <c r="M15" s="99">
        <f>IF(ISNUMBER(F15),F15/Population!F15*10000,NA())</f>
        <v>494.84126984126982</v>
      </c>
      <c r="N15" s="99">
        <f>IF(ISNUMBER(G15),G15/Population!G15*10000,NA())</f>
        <v>490.03984063745014</v>
      </c>
      <c r="O15" s="100">
        <f>IF(ISNUMBER(H15),H15/Population!H15*10000,NA())</f>
        <v>473.09236947791163</v>
      </c>
      <c r="P15" s="101">
        <f t="shared" si="3"/>
        <v>473.09236947791163</v>
      </c>
      <c r="Q15" s="885">
        <f t="shared" si="4"/>
        <v>18</v>
      </c>
      <c r="R15" s="69"/>
      <c r="S15" s="333">
        <f>IDACI!C14</f>
        <v>18</v>
      </c>
      <c r="T15" s="334">
        <f t="shared" si="0"/>
        <v>366.71146464638173</v>
      </c>
      <c r="U15" s="335">
        <f t="shared" si="5"/>
        <v>106.3809048315299</v>
      </c>
      <c r="V15" s="124"/>
      <c r="W15" s="140"/>
      <c r="X15" s="149"/>
      <c r="Y15" s="71" t="str">
        <f t="shared" si="1"/>
        <v>Isle of Wight</v>
      </c>
      <c r="Z15" s="45">
        <f>IF(ISNUMBER($H15),IDACI!D14,0)</f>
        <v>22123</v>
      </c>
      <c r="AA15" s="45">
        <f>IF(ISNUMBER($H15),IDACI!E14,0)</f>
        <v>3982.14</v>
      </c>
      <c r="AB15" s="202">
        <f>IF(ISNUMBER(D15),Population!D15,"")</f>
        <v>25500</v>
      </c>
      <c r="AC15" s="202">
        <f>IF(ISNUMBER(E15),Population!E15,"")</f>
        <v>25300</v>
      </c>
      <c r="AD15" s="202">
        <f>IF(ISNUMBER(F15),Population!F15,"")</f>
        <v>25200</v>
      </c>
      <c r="AE15" s="202">
        <f>IF(ISNUMBER(G15),Population!G15,"")</f>
        <v>25100</v>
      </c>
      <c r="AF15" s="202">
        <f>IF(ISNUMBER(H15),Population!H15,"")</f>
        <v>24900</v>
      </c>
      <c r="AG15" s="95" t="s">
        <v>1</v>
      </c>
      <c r="AH15" s="225">
        <f t="shared" si="6"/>
        <v>473.09236947791163</v>
      </c>
      <c r="AI15" s="203">
        <f t="shared" si="7"/>
        <v>18</v>
      </c>
      <c r="AJ15" s="199"/>
      <c r="AK15" s="156"/>
      <c r="AL15" s="792">
        <f t="shared" si="8"/>
        <v>0.19230769230769232</v>
      </c>
      <c r="AM15" s="792">
        <f t="shared" si="9"/>
        <v>-4.2242703533026116E-2</v>
      </c>
      <c r="AN15" s="792">
        <f t="shared" si="10"/>
        <v>-1.3632718524458701E-2</v>
      </c>
      <c r="AO15" s="792">
        <f t="shared" si="11"/>
        <v>-4.2276422764227641E-2</v>
      </c>
      <c r="AP15" s="792">
        <f t="shared" si="12"/>
        <v>2.3538961871494964E-2</v>
      </c>
      <c r="AR15" s="973"/>
      <c r="AS15" s="973"/>
      <c r="AT15" s="973"/>
      <c r="AU15" s="973"/>
      <c r="AV15" s="973"/>
      <c r="AW15" s="199"/>
      <c r="AX15" s="973"/>
    </row>
    <row r="16" spans="1:50" s="89" customFormat="1" ht="13.5" customHeight="1" x14ac:dyDescent="0.2">
      <c r="A16" s="462">
        <f>VLOOKUP(B16,Sheet1!$AQ$4:$AR$25,2,FALSE)</f>
        <v>0</v>
      </c>
      <c r="B16" s="95" t="str">
        <f>Sheet1!$K$10</f>
        <v>Kent</v>
      </c>
      <c r="C16" s="87"/>
      <c r="D16" s="96">
        <f>IF(Year1_Kent Year1_CIN="","",Year1_Kent Year1_CIN)</f>
        <v>9182</v>
      </c>
      <c r="E16" s="96">
        <f>IF(Year2_Kent Year2_CIN="","",Year2_Kent Year2_CIN)</f>
        <v>9290</v>
      </c>
      <c r="F16" s="96">
        <f>IF(Year3_Kent Year3_CIN="","",Year3_Kent Year3_CIN)</f>
        <v>10005</v>
      </c>
      <c r="G16" s="96">
        <f>IF(Year4_Kent Year4_CIN="","",Year4_Kent Year4_CIN)</f>
        <v>10019</v>
      </c>
      <c r="H16" s="97">
        <f>IF(Year5_Kent Year5_CIN="","",Year5_Kent Year5_CIN)</f>
        <v>10370</v>
      </c>
      <c r="I16" s="337">
        <f t="shared" si="2"/>
        <v>3.1289839519421728E-2</v>
      </c>
      <c r="J16" s="98"/>
      <c r="K16" s="99">
        <f>IF(ISNUMBER(D16),D16/Population!D16*10000,NA())</f>
        <v>279.68321657021016</v>
      </c>
      <c r="L16" s="99">
        <f>IF(ISNUMBER(E16),E16/Population!E16*10000,NA())</f>
        <v>281.17433414043586</v>
      </c>
      <c r="M16" s="99">
        <f>IF(ISNUMBER(F16),F16/Population!F16*10000,NA())</f>
        <v>300.45045045045043</v>
      </c>
      <c r="N16" s="99">
        <f>IF(ISNUMBER(G16),G16/Population!G16*10000,NA())</f>
        <v>298.09580481999404</v>
      </c>
      <c r="O16" s="100">
        <f>IF(ISNUMBER(H16),H16/Population!H16*10000,NA())</f>
        <v>304.91032049397239</v>
      </c>
      <c r="P16" s="101">
        <f t="shared" si="3"/>
        <v>304.91032049397239</v>
      </c>
      <c r="Q16" s="885">
        <f t="shared" si="4"/>
        <v>9</v>
      </c>
      <c r="R16" s="69"/>
      <c r="S16" s="333">
        <f>IDACI!C15</f>
        <v>15.8</v>
      </c>
      <c r="T16" s="334">
        <f t="shared" si="0"/>
        <v>343.63858863893074</v>
      </c>
      <c r="U16" s="335">
        <f t="shared" si="5"/>
        <v>-38.728268144958349</v>
      </c>
      <c r="V16" s="124"/>
      <c r="W16" s="140"/>
      <c r="X16" s="149"/>
      <c r="Y16" s="71" t="str">
        <f t="shared" si="1"/>
        <v>Kent</v>
      </c>
      <c r="Z16" s="45">
        <f>IF(ISNUMBER($H16),IDACI!D15,0)</f>
        <v>291866</v>
      </c>
      <c r="AA16" s="45">
        <f>IF(ISNUMBER($H16),IDACI!E15,0)</f>
        <v>46114.828000000001</v>
      </c>
      <c r="AB16" s="202">
        <f>IF(ISNUMBER(D16),Population!D16,"")</f>
        <v>328300</v>
      </c>
      <c r="AC16" s="202">
        <f>IF(ISNUMBER(E16),Population!E16,"")</f>
        <v>330400</v>
      </c>
      <c r="AD16" s="202">
        <f>IF(ISNUMBER(F16),Population!F16,"")</f>
        <v>333000</v>
      </c>
      <c r="AE16" s="202">
        <f>IF(ISNUMBER(G16),Population!G16,"")</f>
        <v>336100</v>
      </c>
      <c r="AF16" s="202">
        <f>IF(ISNUMBER(H16),Population!H16,"")</f>
        <v>340100</v>
      </c>
      <c r="AG16" s="95" t="s">
        <v>9</v>
      </c>
      <c r="AH16" s="225">
        <f t="shared" si="6"/>
        <v>304.91032049397239</v>
      </c>
      <c r="AI16" s="203">
        <f t="shared" si="7"/>
        <v>9</v>
      </c>
      <c r="AJ16" s="199"/>
      <c r="AK16" s="156"/>
      <c r="AL16" s="792">
        <f t="shared" si="8"/>
        <v>1.1762143323894577E-2</v>
      </c>
      <c r="AM16" s="792">
        <f t="shared" si="9"/>
        <v>7.6964477933261569E-2</v>
      </c>
      <c r="AN16" s="792">
        <f t="shared" si="10"/>
        <v>1.3993003498250875E-3</v>
      </c>
      <c r="AO16" s="792">
        <f t="shared" si="11"/>
        <v>3.5033436470705656E-2</v>
      </c>
      <c r="AP16" s="792">
        <f t="shared" si="12"/>
        <v>3.1289839519421728E-2</v>
      </c>
      <c r="AR16" s="973"/>
      <c r="AS16" s="973"/>
      <c r="AT16" s="973"/>
      <c r="AU16" s="973"/>
      <c r="AV16" s="973"/>
      <c r="AW16" s="199"/>
      <c r="AX16" s="973"/>
    </row>
    <row r="17" spans="1:50" s="89" customFormat="1" ht="13.5" customHeight="1" x14ac:dyDescent="0.2">
      <c r="A17" s="462">
        <f>VLOOKUP(B17,Sheet1!$AQ$4:$AR$25,2,FALSE)</f>
        <v>0</v>
      </c>
      <c r="B17" s="95" t="str">
        <f>Sheet1!$K$11</f>
        <v>Medway</v>
      </c>
      <c r="C17" s="87"/>
      <c r="D17" s="96">
        <f>IF(Year1_Medway Year1_CIN="","",Year1_Medway Year1_CIN)</f>
        <v>2544</v>
      </c>
      <c r="E17" s="290">
        <f>IF(Year2_Medway Year2_CIN="","",Year2_Medway Year2_CIN)</f>
        <v>2618</v>
      </c>
      <c r="F17" s="290">
        <f>IF(Year3_Medway Year3_CIN="","",Year3_Medway Year3_CIN)</f>
        <v>1776</v>
      </c>
      <c r="G17" s="290">
        <f>IF(Year4_Medway Year4_CIN="","",Year4_Medway Year4_CIN)</f>
        <v>1945</v>
      </c>
      <c r="H17" s="291">
        <f>IF(Year5_Medway Year5_CIN="","",Year5_Medway Year5_CIN)</f>
        <v>2417</v>
      </c>
      <c r="I17" s="337">
        <f t="shared" si="2"/>
        <v>1.1324918227337069E-2</v>
      </c>
      <c r="J17" s="98"/>
      <c r="K17" s="99">
        <f>IF(ISNUMBER(D17),D17/Population!D17*10000,NA())</f>
        <v>407.03999999999996</v>
      </c>
      <c r="L17" s="99">
        <f>IF(ISNUMBER(E17),E17/Population!E17*10000,NA())</f>
        <v>414.24050632911394</v>
      </c>
      <c r="M17" s="99">
        <f>IF(ISNUMBER(F17),F17/Population!F17*10000,NA())</f>
        <v>278.80690737833595</v>
      </c>
      <c r="N17" s="99">
        <f>IF(ISNUMBER(G17),G17/Population!G17*10000,NA())</f>
        <v>304.38184663536776</v>
      </c>
      <c r="O17" s="100">
        <f>IF(ISNUMBER(H17),H17/Population!H17*10000,NA())</f>
        <v>375.31055900621118</v>
      </c>
      <c r="P17" s="101">
        <f t="shared" si="3"/>
        <v>375.31055900621118</v>
      </c>
      <c r="Q17" s="885">
        <f t="shared" si="4"/>
        <v>15</v>
      </c>
      <c r="R17" s="69"/>
      <c r="S17" s="333">
        <f>IDACI!C16</f>
        <v>18.899999999999999</v>
      </c>
      <c r="T17" s="334">
        <f t="shared" si="0"/>
        <v>376.1503684676116</v>
      </c>
      <c r="U17" s="335">
        <f t="shared" si="5"/>
        <v>-0.83980946140042079</v>
      </c>
      <c r="V17" s="124"/>
      <c r="W17" s="140"/>
      <c r="X17" s="149"/>
      <c r="Y17" s="71" t="str">
        <f t="shared" si="1"/>
        <v>Medway</v>
      </c>
      <c r="Z17" s="45">
        <f>IF(ISNUMBER($H17),IDACI!D16,0)</f>
        <v>55993</v>
      </c>
      <c r="AA17" s="45">
        <f>IF(ISNUMBER($H17),IDACI!E16,0)</f>
        <v>10582.676999999998</v>
      </c>
      <c r="AB17" s="202">
        <f>IF(ISNUMBER(D17),Population!D17,"")</f>
        <v>62500</v>
      </c>
      <c r="AC17" s="202">
        <f>IF(ISNUMBER(E17),Population!E17,"")</f>
        <v>63200</v>
      </c>
      <c r="AD17" s="202">
        <f>IF(ISNUMBER(F17),Population!F17,"")</f>
        <v>63700</v>
      </c>
      <c r="AE17" s="202">
        <f>IF(ISNUMBER(G17),Population!G17,"")</f>
        <v>63900</v>
      </c>
      <c r="AF17" s="202">
        <f>IF(ISNUMBER(H17),Population!H17,"")</f>
        <v>64400</v>
      </c>
      <c r="AG17" s="95" t="s">
        <v>2</v>
      </c>
      <c r="AH17" s="225">
        <f t="shared" si="6"/>
        <v>375.31055900621118</v>
      </c>
      <c r="AI17" s="203">
        <f t="shared" si="7"/>
        <v>15</v>
      </c>
      <c r="AJ17" s="199"/>
      <c r="AK17" s="156"/>
      <c r="AL17" s="792">
        <f t="shared" si="8"/>
        <v>2.9088050314465409E-2</v>
      </c>
      <c r="AM17" s="792">
        <f t="shared" si="9"/>
        <v>-0.32161955691367455</v>
      </c>
      <c r="AN17" s="792">
        <f t="shared" si="10"/>
        <v>9.5157657657657657E-2</v>
      </c>
      <c r="AO17" s="792">
        <f t="shared" si="11"/>
        <v>0.24267352185089974</v>
      </c>
      <c r="AP17" s="792">
        <f t="shared" si="12"/>
        <v>1.1324918227337069E-2</v>
      </c>
      <c r="AR17" s="973"/>
      <c r="AS17" s="973"/>
      <c r="AT17" s="973"/>
      <c r="AU17" s="973"/>
      <c r="AV17" s="973"/>
      <c r="AW17" s="199"/>
      <c r="AX17" s="973"/>
    </row>
    <row r="18" spans="1:50" s="89" customFormat="1" ht="13.5" customHeight="1" x14ac:dyDescent="0.2">
      <c r="A18" s="462">
        <f>VLOOKUP(B18,Sheet1!$AQ$4:$AR$25,2,FALSE)</f>
        <v>0</v>
      </c>
      <c r="B18" s="95" t="str">
        <f>Sheet1!$K$12</f>
        <v>Milton Keynes</v>
      </c>
      <c r="C18" s="87"/>
      <c r="D18" s="96">
        <f>IF(Year1_Milton_Keynes Year1_CIN="","",Year1_Milton_Keynes Year1_CIN)</f>
        <v>1584</v>
      </c>
      <c r="E18" s="96">
        <f>IF(Year2_Milton_Keynes Year2_CIN="","",Year2_Milton_Keynes Year2_CIN)</f>
        <v>1730</v>
      </c>
      <c r="F18" s="96">
        <f>IF(Year3_Milton_Keynes Year3_CIN="","",Year3_Milton_Keynes Year3_CIN)</f>
        <v>2025</v>
      </c>
      <c r="G18" s="96">
        <f>IF(Year4_Milton_Keynes Year4_CIN="","",Year4_Milton_Keynes Year4_CIN)</f>
        <v>1874</v>
      </c>
      <c r="H18" s="97">
        <f>IF(Year5_Milton_Keynes Year5_CIN="","",Year5_Milton_Keynes Year5_CIN)</f>
        <v>2156</v>
      </c>
      <c r="I18" s="337">
        <f t="shared" si="2"/>
        <v>8.4651075821907062E-2</v>
      </c>
      <c r="J18" s="98"/>
      <c r="K18" s="99">
        <f>IF(ISNUMBER(D18),D18/Population!D18*10000,NA())</f>
        <v>242.94478527607362</v>
      </c>
      <c r="L18" s="99">
        <f>IF(ISNUMBER(E18),E18/Population!E18*10000,NA())</f>
        <v>261.72465960665659</v>
      </c>
      <c r="M18" s="99">
        <f>IF(ISNUMBER(F18),F18/Population!F18*10000,NA())</f>
        <v>301.78837555886736</v>
      </c>
      <c r="N18" s="99">
        <f>IF(ISNUMBER(G18),G18/Population!G18*10000,NA())</f>
        <v>277.21893491124263</v>
      </c>
      <c r="O18" s="100">
        <f>IF(ISNUMBER(H18),H18/Population!H18*10000,NA())</f>
        <v>315.66617862371885</v>
      </c>
      <c r="P18" s="101">
        <f t="shared" si="3"/>
        <v>315.66617862371885</v>
      </c>
      <c r="Q18" s="885">
        <f t="shared" si="4"/>
        <v>11</v>
      </c>
      <c r="R18" s="69"/>
      <c r="S18" s="333">
        <f>IDACI!C17</f>
        <v>15</v>
      </c>
      <c r="T18" s="334">
        <f t="shared" si="0"/>
        <v>335.2484519089486</v>
      </c>
      <c r="U18" s="335">
        <f t="shared" si="5"/>
        <v>-19.582273285229746</v>
      </c>
      <c r="V18" s="124"/>
      <c r="W18" s="140"/>
      <c r="X18" s="149"/>
      <c r="Y18" s="71" t="str">
        <f t="shared" si="1"/>
        <v>Milton Keynes</v>
      </c>
      <c r="Z18" s="45">
        <f>IF(ISNUMBER($H18),IDACI!D17,0)</f>
        <v>59903</v>
      </c>
      <c r="AA18" s="45">
        <f>IF(ISNUMBER($H18),IDACI!E17,0)</f>
        <v>8985.4499999999989</v>
      </c>
      <c r="AB18" s="202">
        <f>IF(ISNUMBER(D18),Population!D18,"")</f>
        <v>65200</v>
      </c>
      <c r="AC18" s="202">
        <f>IF(ISNUMBER(E18),Population!E18,"")</f>
        <v>66100</v>
      </c>
      <c r="AD18" s="202">
        <f>IF(ISNUMBER(F18),Population!F18,"")</f>
        <v>67100</v>
      </c>
      <c r="AE18" s="202">
        <f>IF(ISNUMBER(G18),Population!G18,"")</f>
        <v>67600</v>
      </c>
      <c r="AF18" s="202">
        <f>IF(ISNUMBER(H18),Population!H18,"")</f>
        <v>68300</v>
      </c>
      <c r="AG18" s="95" t="s">
        <v>10</v>
      </c>
      <c r="AH18" s="225">
        <f t="shared" si="6"/>
        <v>315.66617862371885</v>
      </c>
      <c r="AI18" s="203">
        <f t="shared" si="7"/>
        <v>11</v>
      </c>
      <c r="AJ18" s="199"/>
      <c r="AK18" s="156"/>
      <c r="AL18" s="792">
        <f t="shared" si="8"/>
        <v>9.2171717171717168E-2</v>
      </c>
      <c r="AM18" s="792">
        <f t="shared" si="9"/>
        <v>0.17052023121387283</v>
      </c>
      <c r="AN18" s="792">
        <f t="shared" si="10"/>
        <v>-7.4567901234567899E-2</v>
      </c>
      <c r="AO18" s="792">
        <f t="shared" si="11"/>
        <v>0.15048025613660618</v>
      </c>
      <c r="AP18" s="792">
        <f t="shared" si="12"/>
        <v>8.4651075821907062E-2</v>
      </c>
      <c r="AR18" s="973"/>
      <c r="AS18" s="973"/>
      <c r="AT18" s="973"/>
      <c r="AU18" s="973"/>
      <c r="AV18" s="973"/>
      <c r="AW18" s="199"/>
      <c r="AX18" s="973"/>
    </row>
    <row r="19" spans="1:50" s="89" customFormat="1" ht="13.5" customHeight="1" x14ac:dyDescent="0.2">
      <c r="A19" s="462">
        <f>VLOOKUP(B19,Sheet1!$AQ$4:$AR$25,2,FALSE)</f>
        <v>0</v>
      </c>
      <c r="B19" s="95" t="str">
        <f>Sheet1!$K$13</f>
        <v>Oxfordshire</v>
      </c>
      <c r="C19" s="87"/>
      <c r="D19" s="96">
        <f>IF(Year1_Oxfordshire Year1_CIN="","",Year1_Oxfordshire Year1_CIN)</f>
        <v>3917</v>
      </c>
      <c r="E19" s="96">
        <f>IF(Year2_Oxfordshire Year2_CIN="","",Year2_Oxfordshire Year2_CIN)</f>
        <v>4636</v>
      </c>
      <c r="F19" s="96">
        <f>IF(Year3_Oxfordshire Year3_CIN="","",Year3_Oxfordshire Year3_CIN)</f>
        <v>4808</v>
      </c>
      <c r="G19" s="96">
        <f>IF(Year4_Oxfordshire Year4_CIN="","",Year4_Oxfordshire Year4_CIN)</f>
        <v>4293</v>
      </c>
      <c r="H19" s="97">
        <f>IF(Year5_Oxfordshire Year5_CIN="","",Year5_Oxfordshire Year5_CIN)</f>
        <v>4511</v>
      </c>
      <c r="I19" s="337">
        <f t="shared" si="2"/>
        <v>4.1081747619870546E-2</v>
      </c>
      <c r="J19" s="98"/>
      <c r="K19" s="99">
        <f>IF(ISNUMBER(D19),D19/Population!D19*10000,NA())</f>
        <v>277.40793201133147</v>
      </c>
      <c r="L19" s="99">
        <f>IF(ISNUMBER(E19),E19/Population!E19*10000,NA())</f>
        <v>326.93935119887163</v>
      </c>
      <c r="M19" s="99">
        <f>IF(ISNUMBER(F19),F19/Population!F19*10000,NA())</f>
        <v>336.4590622813156</v>
      </c>
      <c r="N19" s="99">
        <f>IF(ISNUMBER(G19),G19/Population!G19*10000,NA())</f>
        <v>299.37238493723851</v>
      </c>
      <c r="O19" s="100">
        <f>IF(ISNUMBER(H19),H19/Population!H19*10000,NA())</f>
        <v>311.53314917127068</v>
      </c>
      <c r="P19" s="101">
        <f t="shared" si="3"/>
        <v>311.53314917127068</v>
      </c>
      <c r="Q19" s="885">
        <f t="shared" si="4"/>
        <v>10</v>
      </c>
      <c r="R19" s="69"/>
      <c r="S19" s="333">
        <f>IDACI!C18</f>
        <v>10.100000000000001</v>
      </c>
      <c r="T19" s="334">
        <f t="shared" si="0"/>
        <v>283.85886443780794</v>
      </c>
      <c r="U19" s="335">
        <f t="shared" si="5"/>
        <v>27.674284733462741</v>
      </c>
      <c r="V19" s="124"/>
      <c r="W19" s="140"/>
      <c r="X19" s="149"/>
      <c r="Y19" s="71" t="str">
        <f t="shared" si="1"/>
        <v>Oxfordshire</v>
      </c>
      <c r="Z19" s="45">
        <f>IF(ISNUMBER($H19),IDACI!D18,0)</f>
        <v>126119</v>
      </c>
      <c r="AA19" s="45">
        <f>IF(ISNUMBER($H19),IDACI!E18,0)</f>
        <v>12738.019000000002</v>
      </c>
      <c r="AB19" s="202">
        <f>IF(ISNUMBER(D19),Population!D19,"")</f>
        <v>141200</v>
      </c>
      <c r="AC19" s="202">
        <f>IF(ISNUMBER(E19),Population!E19,"")</f>
        <v>141800</v>
      </c>
      <c r="AD19" s="202">
        <f>IF(ISNUMBER(F19),Population!F19,"")</f>
        <v>142900</v>
      </c>
      <c r="AE19" s="202">
        <f>IF(ISNUMBER(G19),Population!G19,"")</f>
        <v>143400</v>
      </c>
      <c r="AF19" s="202">
        <f>IF(ISNUMBER(H19),Population!H19,"")</f>
        <v>144800</v>
      </c>
      <c r="AG19" s="95" t="s">
        <v>11</v>
      </c>
      <c r="AH19" s="225">
        <f t="shared" si="6"/>
        <v>311.53314917127068</v>
      </c>
      <c r="AI19" s="203">
        <f t="shared" si="7"/>
        <v>10</v>
      </c>
      <c r="AJ19" s="199"/>
      <c r="AK19" s="156"/>
      <c r="AL19" s="792">
        <f t="shared" si="8"/>
        <v>0.18355884605565484</v>
      </c>
      <c r="AM19" s="792">
        <f t="shared" si="9"/>
        <v>3.7100949094046591E-2</v>
      </c>
      <c r="AN19" s="792">
        <f t="shared" si="10"/>
        <v>-0.10711314475873544</v>
      </c>
      <c r="AO19" s="792">
        <f t="shared" si="11"/>
        <v>5.0780340088516188E-2</v>
      </c>
      <c r="AP19" s="792">
        <f t="shared" si="12"/>
        <v>4.1081747619870546E-2</v>
      </c>
      <c r="AR19" s="973"/>
      <c r="AS19" s="973"/>
      <c r="AT19" s="973"/>
      <c r="AU19" s="973"/>
      <c r="AV19" s="973"/>
      <c r="AW19" s="199"/>
      <c r="AX19" s="973"/>
    </row>
    <row r="20" spans="1:50" s="89" customFormat="1" ht="13.5" customHeight="1" x14ac:dyDescent="0.2">
      <c r="A20" s="462">
        <f>VLOOKUP(B20,Sheet1!$AQ$4:$AR$25,2,FALSE)</f>
        <v>0</v>
      </c>
      <c r="B20" s="95" t="str">
        <f>Sheet1!$K$14</f>
        <v>Portsmouth</v>
      </c>
      <c r="C20" s="87"/>
      <c r="D20" s="96">
        <f>IF(Year1_Portsmouth Year1_CIN="","",Year1_Portsmouth Year1_CIN)</f>
        <v>1436</v>
      </c>
      <c r="E20" s="96">
        <f>IF(Year2_Portsmouth Year2_CIN="","",Year2_Portsmouth Year2_CIN)</f>
        <v>1331</v>
      </c>
      <c r="F20" s="96">
        <f>IF(Year3_Portsmouth Year3_CIN="","",Year3_Portsmouth Year3_CIN)</f>
        <v>1432</v>
      </c>
      <c r="G20" s="96">
        <f>IF(Year4_Portsmouth Year4_CIN="","",Year4_Portsmouth Year4_CIN)</f>
        <v>1748</v>
      </c>
      <c r="H20" s="97">
        <f>IF(Year5_Portsmouth Year5_CIN="","",Year5_Portsmouth Year5_CIN)</f>
        <v>1645</v>
      </c>
      <c r="I20" s="337">
        <f t="shared" si="2"/>
        <v>4.1127230916969834E-2</v>
      </c>
      <c r="J20" s="98"/>
      <c r="K20" s="99">
        <f>IF(ISNUMBER(D20),D20/Population!D20*10000,NA())</f>
        <v>330.87557603686639</v>
      </c>
      <c r="L20" s="99">
        <f>IF(ISNUMBER(E20),E20/Population!E20*10000,NA())</f>
        <v>303.88127853881281</v>
      </c>
      <c r="M20" s="99">
        <f>IF(ISNUMBER(F20),F20/Population!F20*10000,NA())</f>
        <v>325.45454545454544</v>
      </c>
      <c r="N20" s="99">
        <f>IF(ISNUMBER(G20),G20/Population!G20*10000,NA())</f>
        <v>395.47511312217199</v>
      </c>
      <c r="O20" s="100">
        <f>IF(ISNUMBER(H20),H20/Population!H20*10000,NA())</f>
        <v>373.86363636363632</v>
      </c>
      <c r="P20" s="101">
        <f t="shared" si="3"/>
        <v>373.86363636363632</v>
      </c>
      <c r="Q20" s="885">
        <f t="shared" si="4"/>
        <v>14</v>
      </c>
      <c r="R20" s="69"/>
      <c r="S20" s="333">
        <f>IDACI!C19</f>
        <v>20.200000000000003</v>
      </c>
      <c r="T20" s="334">
        <f t="shared" si="0"/>
        <v>389.78434065383266</v>
      </c>
      <c r="U20" s="335">
        <f t="shared" si="5"/>
        <v>-15.92070429019634</v>
      </c>
      <c r="V20" s="124"/>
      <c r="W20" s="140"/>
      <c r="X20" s="149"/>
      <c r="Y20" s="71" t="str">
        <f t="shared" si="1"/>
        <v>Portsmouth</v>
      </c>
      <c r="Z20" s="45">
        <f>IF(ISNUMBER($H20),IDACI!D19,0)</f>
        <v>39325</v>
      </c>
      <c r="AA20" s="45">
        <f>IF(ISNUMBER($H20),IDACI!E19,0)</f>
        <v>7943.6500000000015</v>
      </c>
      <c r="AB20" s="202">
        <f>IF(ISNUMBER(D20),Population!D20,"")</f>
        <v>43400</v>
      </c>
      <c r="AC20" s="202">
        <f>IF(ISNUMBER(E20),Population!E20,"")</f>
        <v>43800</v>
      </c>
      <c r="AD20" s="202">
        <f>IF(ISNUMBER(F20),Population!F20,"")</f>
        <v>44000</v>
      </c>
      <c r="AE20" s="202">
        <f>IF(ISNUMBER(G20),Population!G20,"")</f>
        <v>44200</v>
      </c>
      <c r="AF20" s="202">
        <f>IF(ISNUMBER(H20),Population!H20,"")</f>
        <v>44000</v>
      </c>
      <c r="AG20" s="95" t="s">
        <v>12</v>
      </c>
      <c r="AH20" s="225">
        <f t="shared" si="6"/>
        <v>373.86363636363632</v>
      </c>
      <c r="AI20" s="203">
        <f t="shared" si="7"/>
        <v>14</v>
      </c>
      <c r="AJ20" s="199"/>
      <c r="AK20" s="156"/>
      <c r="AL20" s="792">
        <f t="shared" si="8"/>
        <v>-7.3119777158774379E-2</v>
      </c>
      <c r="AM20" s="792">
        <f t="shared" si="9"/>
        <v>7.5882794891059355E-2</v>
      </c>
      <c r="AN20" s="792">
        <f t="shared" si="10"/>
        <v>0.2206703910614525</v>
      </c>
      <c r="AO20" s="792">
        <f t="shared" si="11"/>
        <v>-5.8924485125858121E-2</v>
      </c>
      <c r="AP20" s="792">
        <f t="shared" si="12"/>
        <v>4.1127230916969834E-2</v>
      </c>
      <c r="AR20" s="973"/>
      <c r="AS20" s="973"/>
      <c r="AT20" s="973"/>
      <c r="AU20" s="973"/>
      <c r="AV20" s="973"/>
      <c r="AW20" s="199"/>
      <c r="AX20" s="973"/>
    </row>
    <row r="21" spans="1:50" s="89" customFormat="1" ht="13.5" customHeight="1" x14ac:dyDescent="0.2">
      <c r="A21" s="462">
        <f>VLOOKUP(B21,Sheet1!$AQ$4:$AR$25,2,FALSE)</f>
        <v>0</v>
      </c>
      <c r="B21" s="95" t="str">
        <f>Sheet1!$K$15</f>
        <v>Reading</v>
      </c>
      <c r="C21" s="87"/>
      <c r="D21" s="96">
        <f>IF(Year1_Reading Year1_CIN="","",Year1_Reading Year1_CIN)</f>
        <v>1394</v>
      </c>
      <c r="E21" s="96">
        <f>IF(Year2_Reading Year2_CIN="","",Year2_Reading Year2_CIN)</f>
        <v>1869</v>
      </c>
      <c r="F21" s="96">
        <f>IF(Year3_Reading Year3_CIN="","",Year3_Reading Year3_CIN)</f>
        <v>1781</v>
      </c>
      <c r="G21" s="96">
        <f>IF(Year4_Reading Year4_CIN="","",Year4_Reading Year4_CIN)</f>
        <v>1683</v>
      </c>
      <c r="H21" s="97">
        <f>IF(Year5_Reading Year5_CIN="","",Year5_Reading Year5_CIN)</f>
        <v>1635</v>
      </c>
      <c r="I21" s="337">
        <f t="shared" si="2"/>
        <v>5.252907164158839E-2</v>
      </c>
      <c r="J21" s="98"/>
      <c r="K21" s="99">
        <f>IF(ISNUMBER(D21),D21/Population!D21*10000,NA())</f>
        <v>388.30083565459609</v>
      </c>
      <c r="L21" s="99">
        <f>IF(ISNUMBER(E21),E21/Population!E21*10000,NA())</f>
        <v>513.46153846153845</v>
      </c>
      <c r="M21" s="99">
        <f>IF(ISNUMBER(F21),F21/Population!F21*10000,NA())</f>
        <v>486.61202185792348</v>
      </c>
      <c r="N21" s="99">
        <f>IF(ISNUMBER(G21),G21/Population!G21*10000,NA())</f>
        <v>453.63881401617249</v>
      </c>
      <c r="O21" s="100">
        <f>IF(ISNUMBER(H21),H21/Population!H21*10000,NA())</f>
        <v>440.70080862533695</v>
      </c>
      <c r="P21" s="101">
        <f t="shared" si="3"/>
        <v>440.70080862533695</v>
      </c>
      <c r="Q21" s="885">
        <f t="shared" si="4"/>
        <v>17</v>
      </c>
      <c r="R21" s="69"/>
      <c r="S21" s="333">
        <f>IDACI!C20</f>
        <v>16</v>
      </c>
      <c r="T21" s="334">
        <f t="shared" si="0"/>
        <v>345.73612282142631</v>
      </c>
      <c r="U21" s="335">
        <f t="shared" si="5"/>
        <v>94.964685803910641</v>
      </c>
      <c r="V21" s="124"/>
      <c r="W21" s="140"/>
      <c r="X21" s="149"/>
      <c r="Y21" s="71" t="str">
        <f t="shared" si="1"/>
        <v>Reading</v>
      </c>
      <c r="Z21" s="45">
        <f>IF(ISNUMBER($H21),IDACI!D20,0)</f>
        <v>33203</v>
      </c>
      <c r="AA21" s="45">
        <f>IF(ISNUMBER($H21),IDACI!E20,0)</f>
        <v>5312.4800000000005</v>
      </c>
      <c r="AB21" s="202">
        <f>IF(ISNUMBER(D21),Population!D21,"")</f>
        <v>35900</v>
      </c>
      <c r="AC21" s="202">
        <f>IF(ISNUMBER(E21),Population!E21,"")</f>
        <v>36400</v>
      </c>
      <c r="AD21" s="202">
        <f>IF(ISNUMBER(F21),Population!F21,"")</f>
        <v>36600</v>
      </c>
      <c r="AE21" s="202">
        <f>IF(ISNUMBER(G21),Population!G21,"")</f>
        <v>37100</v>
      </c>
      <c r="AF21" s="202">
        <f>IF(ISNUMBER(H21),Population!H21,"")</f>
        <v>37100</v>
      </c>
      <c r="AG21" s="95" t="s">
        <v>3</v>
      </c>
      <c r="AH21" s="225">
        <f t="shared" si="6"/>
        <v>440.70080862533695</v>
      </c>
      <c r="AI21" s="203">
        <f t="shared" si="7"/>
        <v>17</v>
      </c>
      <c r="AJ21" s="199"/>
      <c r="AK21" s="156"/>
      <c r="AL21" s="792">
        <f t="shared" si="8"/>
        <v>0.34074605451936874</v>
      </c>
      <c r="AM21" s="792">
        <f t="shared" si="9"/>
        <v>-4.7084002140181914E-2</v>
      </c>
      <c r="AN21" s="792">
        <f t="shared" si="10"/>
        <v>-5.5025266704098824E-2</v>
      </c>
      <c r="AO21" s="792">
        <f t="shared" si="11"/>
        <v>-2.8520499108734401E-2</v>
      </c>
      <c r="AP21" s="792">
        <f t="shared" si="12"/>
        <v>5.252907164158839E-2</v>
      </c>
      <c r="AR21" s="973"/>
      <c r="AS21" s="973"/>
      <c r="AT21" s="973"/>
      <c r="AU21" s="973"/>
      <c r="AV21" s="973"/>
      <c r="AW21" s="199"/>
      <c r="AX21" s="973"/>
    </row>
    <row r="22" spans="1:50" s="89" customFormat="1" ht="13.5" customHeight="1" x14ac:dyDescent="0.2">
      <c r="A22" s="462">
        <f>VLOOKUP(B22,Sheet1!$AQ$4:$AR$25,2,FALSE)</f>
        <v>0</v>
      </c>
      <c r="B22" s="95" t="str">
        <f>Sheet1!$K$16</f>
        <v>Slough</v>
      </c>
      <c r="C22" s="87"/>
      <c r="D22" s="96">
        <f>IF(Year1_Slough Year1_CIN="","",Year1_Slough Year1_CIN)</f>
        <v>1450</v>
      </c>
      <c r="E22" s="96">
        <f>IF(Year2_Slough Year2_CIN="","",Year2_Slough Year2_CIN)</f>
        <v>1601</v>
      </c>
      <c r="F22" s="96">
        <f>IF(Year3_Slough Year3_CIN="","",Year3_Slough Year3_CIN)</f>
        <v>1212</v>
      </c>
      <c r="G22" s="96">
        <f>IF(Year4_Slough Year4_CIN="","",Year4_Slough Year4_CIN)</f>
        <v>1223</v>
      </c>
      <c r="H22" s="97">
        <f>IF(Year5_Slough Year5_CIN="","",Year5_Slough Year5_CIN)</f>
        <v>1426</v>
      </c>
      <c r="I22" s="337">
        <f t="shared" si="2"/>
        <v>9.0564947330179363E-3</v>
      </c>
      <c r="J22" s="98"/>
      <c r="K22" s="99">
        <f>IF(ISNUMBER(D22),D22/Population!D22*10000,NA())</f>
        <v>363.40852130325811</v>
      </c>
      <c r="L22" s="99">
        <f>IF(ISNUMBER(E22),E22/Population!E22*10000,NA())</f>
        <v>394.33497536945811</v>
      </c>
      <c r="M22" s="99">
        <f>IF(ISNUMBER(F22),F22/Population!F22*10000,NA())</f>
        <v>292.75362318840575</v>
      </c>
      <c r="N22" s="99">
        <f>IF(ISNUMBER(G22),G22/Population!G22*10000,NA())</f>
        <v>289.81042654028437</v>
      </c>
      <c r="O22" s="100">
        <f>IF(ISNUMBER(H22),H22/Population!H22*10000,NA())</f>
        <v>333.95784543325527</v>
      </c>
      <c r="P22" s="101">
        <f t="shared" si="3"/>
        <v>333.95784543325527</v>
      </c>
      <c r="Q22" s="885">
        <f t="shared" si="4"/>
        <v>12</v>
      </c>
      <c r="R22" s="69"/>
      <c r="S22" s="333">
        <f>IDACI!C21</f>
        <v>14.7</v>
      </c>
      <c r="T22" s="334">
        <f t="shared" si="0"/>
        <v>332.10215063520531</v>
      </c>
      <c r="U22" s="335">
        <f t="shared" si="5"/>
        <v>1.8556947980499672</v>
      </c>
      <c r="V22" s="124"/>
      <c r="W22" s="140"/>
      <c r="X22" s="149"/>
      <c r="Y22" s="71" t="str">
        <f t="shared" si="1"/>
        <v>Slough</v>
      </c>
      <c r="Z22" s="45">
        <f>IF(ISNUMBER($H22),IDACI!D21,0)</f>
        <v>37031</v>
      </c>
      <c r="AA22" s="45">
        <f>IF(ISNUMBER($H22),IDACI!E21,0)</f>
        <v>5443.5569999999998</v>
      </c>
      <c r="AB22" s="202">
        <f>IF(ISNUMBER(D22),Population!D22,"")</f>
        <v>39900</v>
      </c>
      <c r="AC22" s="202">
        <f>IF(ISNUMBER(E22),Population!E22,"")</f>
        <v>40600</v>
      </c>
      <c r="AD22" s="202">
        <f>IF(ISNUMBER(F22),Population!F22,"")</f>
        <v>41400</v>
      </c>
      <c r="AE22" s="202">
        <f>IF(ISNUMBER(G22),Population!G22,"")</f>
        <v>42200</v>
      </c>
      <c r="AF22" s="202">
        <f>IF(ISNUMBER(H22),Population!H22,"")</f>
        <v>42700</v>
      </c>
      <c r="AG22" s="95" t="s">
        <v>13</v>
      </c>
      <c r="AH22" s="225">
        <f t="shared" si="6"/>
        <v>333.95784543325527</v>
      </c>
      <c r="AI22" s="203">
        <f t="shared" si="7"/>
        <v>12</v>
      </c>
      <c r="AJ22" s="199"/>
      <c r="AK22" s="156"/>
      <c r="AL22" s="792">
        <f t="shared" si="8"/>
        <v>0.10413793103448275</v>
      </c>
      <c r="AM22" s="792">
        <f t="shared" si="9"/>
        <v>-0.24297314178638352</v>
      </c>
      <c r="AN22" s="792">
        <f t="shared" si="10"/>
        <v>9.0759075907590765E-3</v>
      </c>
      <c r="AO22" s="792">
        <f t="shared" si="11"/>
        <v>0.16598528209321342</v>
      </c>
      <c r="AP22" s="792">
        <f t="shared" si="12"/>
        <v>9.0564947330179363E-3</v>
      </c>
      <c r="AR22" s="973"/>
      <c r="AS22" s="973"/>
      <c r="AT22" s="973"/>
      <c r="AU22" s="973"/>
      <c r="AV22" s="973"/>
      <c r="AW22" s="199"/>
      <c r="AX22" s="973"/>
    </row>
    <row r="23" spans="1:50" s="89" customFormat="1" ht="13.5" customHeight="1" x14ac:dyDescent="0.2">
      <c r="A23" s="462">
        <f>VLOOKUP(B23,Sheet1!$AQ$4:$AR$25,2,FALSE)</f>
        <v>0</v>
      </c>
      <c r="B23" s="95" t="str">
        <f>Sheet1!$K$17</f>
        <v>Somerset</v>
      </c>
      <c r="C23" s="87"/>
      <c r="D23" s="96">
        <f>IF(Year1_Somerset Year1_CIN="","",Year1_Somerset Year1_CIN)</f>
        <v>4264</v>
      </c>
      <c r="E23" s="96">
        <f>IF(Year2_Somerset Year2_CIN="","",Year2_Somerset Year2_CIN)</f>
        <v>2903</v>
      </c>
      <c r="F23" s="96">
        <f>IF(Year3_Somerset Year3_CIN="","",Year3_Somerset Year3_CIN)</f>
        <v>3109</v>
      </c>
      <c r="G23" s="96">
        <f>IF(Year4_Somerset Year4_CIN="","",Year4_Somerset Year4_CIN)</f>
        <v>3193</v>
      </c>
      <c r="H23" s="97">
        <f>IF(Year5_Somerset Year5_CIN="","",Year5_Somerset Year5_CIN)</f>
        <v>2608</v>
      </c>
      <c r="I23" s="337">
        <f t="shared" si="2"/>
        <v>-0.10110443383595494</v>
      </c>
      <c r="J23" s="98"/>
      <c r="K23" s="99">
        <f>IF(ISNUMBER(D23),D23/Population!D23*10000,NA())</f>
        <v>391.55188246097339</v>
      </c>
      <c r="L23" s="99">
        <f>IF(ISNUMBER(E23),E23/Population!E23*10000,NA())</f>
        <v>265.84249084249086</v>
      </c>
      <c r="M23" s="99">
        <f>IF(ISNUMBER(F23),F23/Population!F23*10000,NA())</f>
        <v>283.40929808568825</v>
      </c>
      <c r="N23" s="99">
        <f>IF(ISNUMBER(G23),G23/Population!G23*10000,NA())</f>
        <v>290.00908265213445</v>
      </c>
      <c r="O23" s="100">
        <f>IF(ISNUMBER(H23),H23/Population!H23*10000,NA())</f>
        <v>235.59168925022584</v>
      </c>
      <c r="P23" s="101">
        <f t="shared" si="3"/>
        <v>235.59168925022584</v>
      </c>
      <c r="Q23" s="882" t="str">
        <f t="shared" si="4"/>
        <v>--</v>
      </c>
      <c r="R23" s="69"/>
      <c r="S23" s="333">
        <f>IDACI!C22</f>
        <v>13.600000000000001</v>
      </c>
      <c r="T23" s="334">
        <f t="shared" si="0"/>
        <v>320.56571263147987</v>
      </c>
      <c r="U23" s="335">
        <f t="shared" si="5"/>
        <v>-84.974023381254028</v>
      </c>
      <c r="V23" s="124"/>
      <c r="W23" s="140"/>
      <c r="X23" s="149"/>
      <c r="Y23" s="71" t="str">
        <f t="shared" si="1"/>
        <v>Somerset</v>
      </c>
      <c r="Z23" s="45">
        <f>IF(ISNUMBER($H23),IDACI!D22,0)</f>
        <v>95875</v>
      </c>
      <c r="AA23" s="45">
        <f>IF(ISNUMBER($H23),IDACI!E22,0)</f>
        <v>13039.000000000002</v>
      </c>
      <c r="AB23" s="202">
        <f>IF(ISNUMBER(D23),Population!D23,"")</f>
        <v>108900</v>
      </c>
      <c r="AC23" s="202">
        <f>IF(ISNUMBER(E23),Population!E23,"")</f>
        <v>109200</v>
      </c>
      <c r="AD23" s="202">
        <f>IF(ISNUMBER(F23),Population!F23,"")</f>
        <v>109700</v>
      </c>
      <c r="AE23" s="202">
        <f>IF(ISNUMBER(G23),Population!G23,"")</f>
        <v>110100</v>
      </c>
      <c r="AF23" s="202">
        <f>IF(ISNUMBER(H23),Population!H23,"")</f>
        <v>110700</v>
      </c>
      <c r="AG23" s="95" t="s">
        <v>14</v>
      </c>
      <c r="AH23" s="225">
        <f t="shared" si="6"/>
        <v>523.03149606299212</v>
      </c>
      <c r="AI23" s="203">
        <f t="shared" si="7"/>
        <v>19</v>
      </c>
      <c r="AJ23" s="199"/>
      <c r="AK23" s="156"/>
      <c r="AL23" s="792">
        <f t="shared" si="8"/>
        <v>-0.31918386491557221</v>
      </c>
      <c r="AM23" s="792">
        <f t="shared" si="9"/>
        <v>7.0961074750258354E-2</v>
      </c>
      <c r="AN23" s="792">
        <f t="shared" si="10"/>
        <v>2.7018333869411385E-2</v>
      </c>
      <c r="AO23" s="792">
        <f t="shared" si="11"/>
        <v>-0.18321327904791732</v>
      </c>
      <c r="AP23" s="792">
        <f t="shared" si="12"/>
        <v>-0.10110443383595494</v>
      </c>
      <c r="AR23" s="973"/>
      <c r="AS23" s="973"/>
      <c r="AT23" s="973"/>
      <c r="AU23" s="973"/>
      <c r="AV23" s="973"/>
      <c r="AW23" s="199"/>
      <c r="AX23" s="973"/>
    </row>
    <row r="24" spans="1:50" s="89" customFormat="1" ht="13.5" customHeight="1" x14ac:dyDescent="0.2">
      <c r="A24" s="462">
        <f>VLOOKUP(B24,Sheet1!$AQ$4:$AR$25,2,FALSE)</f>
        <v>0</v>
      </c>
      <c r="B24" s="95" t="str">
        <f>Sheet1!$K$18</f>
        <v>Southampton</v>
      </c>
      <c r="C24" s="87"/>
      <c r="D24" s="96">
        <f>IF(Year1_Southampton Year1_CIN="","",Year1_Southampton Year1_CIN)</f>
        <v>1347</v>
      </c>
      <c r="E24" s="96">
        <f>IF(Year2_Southampton Year2_CIN="","",Year2_Southampton Year2_CIN)</f>
        <v>3444</v>
      </c>
      <c r="F24" s="96">
        <f>IF(Year3_Southampton Year3_CIN="","",Year3_Southampton Year3_CIN)</f>
        <v>2287</v>
      </c>
      <c r="G24" s="96">
        <f>IF(Year4_Southampton Year4_CIN="","",Year4_Southampton Year4_CIN)</f>
        <v>2394</v>
      </c>
      <c r="H24" s="97">
        <f>IF(Year5_Southampton Year5_CIN="","",Year5_Southampton Year5_CIN)</f>
        <v>2657</v>
      </c>
      <c r="I24" s="337">
        <f t="shared" si="2"/>
        <v>0.34437261508774875</v>
      </c>
      <c r="J24" s="98"/>
      <c r="K24" s="99">
        <f>IF(ISNUMBER(D24),D24/Population!D24*10000,NA())</f>
        <v>277.16049382716051</v>
      </c>
      <c r="L24" s="99">
        <f>IF(ISNUMBER(E24),E24/Population!E24*10000,NA())</f>
        <v>700.00000000000011</v>
      </c>
      <c r="M24" s="99">
        <f>IF(ISNUMBER(F24),F24/Population!F24*10000,NA())</f>
        <v>458.31663326653302</v>
      </c>
      <c r="N24" s="99">
        <f>IF(ISNUMBER(G24),G24/Population!G24*10000,NA())</f>
        <v>475.94433399602383</v>
      </c>
      <c r="O24" s="100">
        <f>IF(ISNUMBER(H24),H24/Population!H24*10000,NA())</f>
        <v>523.03149606299212</v>
      </c>
      <c r="P24" s="101">
        <f t="shared" si="3"/>
        <v>523.03149606299212</v>
      </c>
      <c r="Q24" s="885">
        <f t="shared" si="4"/>
        <v>19</v>
      </c>
      <c r="R24" s="69"/>
      <c r="S24" s="333">
        <f>IDACI!C23</f>
        <v>20.5</v>
      </c>
      <c r="T24" s="334">
        <f t="shared" si="0"/>
        <v>392.93064192757595</v>
      </c>
      <c r="U24" s="335">
        <f t="shared" si="5"/>
        <v>130.10085413541617</v>
      </c>
      <c r="V24" s="124"/>
      <c r="W24" s="140"/>
      <c r="X24" s="149"/>
      <c r="Y24" s="71" t="str">
        <f t="shared" si="1"/>
        <v>Southampton</v>
      </c>
      <c r="Z24" s="45">
        <f>IF(ISNUMBER($H24),IDACI!D23,0)</f>
        <v>44295</v>
      </c>
      <c r="AA24" s="45">
        <f>IF(ISNUMBER($H24),IDACI!E23,0)</f>
        <v>9080.4750000000004</v>
      </c>
      <c r="AB24" s="202">
        <f>IF(ISNUMBER(D24),Population!D24,"")</f>
        <v>48600</v>
      </c>
      <c r="AC24" s="202">
        <f>IF(ISNUMBER(E24),Population!E24,"")</f>
        <v>49200</v>
      </c>
      <c r="AD24" s="202">
        <f>IF(ISNUMBER(F24),Population!F24,"")</f>
        <v>49900</v>
      </c>
      <c r="AE24" s="202">
        <f>IF(ISNUMBER(G24),Population!G24,"")</f>
        <v>50300</v>
      </c>
      <c r="AF24" s="202">
        <f>IF(ISNUMBER(H24),Population!H24,"")</f>
        <v>50800</v>
      </c>
      <c r="AG24" s="95" t="s">
        <v>7</v>
      </c>
      <c r="AH24" s="225">
        <f t="shared" si="6"/>
        <v>226.49866361206566</v>
      </c>
      <c r="AI24" s="203">
        <f t="shared" si="7"/>
        <v>2</v>
      </c>
      <c r="AJ24" s="199"/>
      <c r="AK24" s="156"/>
      <c r="AL24" s="792">
        <f t="shared" si="8"/>
        <v>1.556792873051225</v>
      </c>
      <c r="AM24" s="792">
        <f t="shared" si="9"/>
        <v>-0.33594657375145182</v>
      </c>
      <c r="AN24" s="792">
        <f t="shared" si="10"/>
        <v>4.678618277219064E-2</v>
      </c>
      <c r="AO24" s="792">
        <f t="shared" si="11"/>
        <v>0.1098579782790309</v>
      </c>
      <c r="AP24" s="792">
        <f t="shared" si="12"/>
        <v>0.34437261508774875</v>
      </c>
      <c r="AR24" s="973"/>
      <c r="AS24" s="973"/>
      <c r="AT24" s="973"/>
      <c r="AU24" s="973"/>
      <c r="AV24" s="973"/>
      <c r="AW24" s="199"/>
      <c r="AX24" s="973"/>
    </row>
    <row r="25" spans="1:50" s="89" customFormat="1" ht="13.5" customHeight="1" x14ac:dyDescent="0.2">
      <c r="A25" s="462">
        <f>VLOOKUP(B25,Sheet1!$AQ$4:$AR$25,2,FALSE)</f>
        <v>0</v>
      </c>
      <c r="B25" s="95" t="str">
        <f>Sheet1!$K$19</f>
        <v>Surrey</v>
      </c>
      <c r="C25" s="87"/>
      <c r="D25" s="96">
        <f>IF(Year1_Surrey Year1_CIN="","",Year1_Surrey Year1_CIN)</f>
        <v>5735</v>
      </c>
      <c r="E25" s="96">
        <f>IF(Year2_Surrey Year2_CIN="","",Year2_Surrey Year2_CIN)</f>
        <v>6227</v>
      </c>
      <c r="F25" s="96">
        <f>IF(Year3_Surrey Year3_CIN="","",Year3_Surrey Year3_CIN)</f>
        <v>6125</v>
      </c>
      <c r="G25" s="96">
        <f>IF(Year4_Surrey Year4_CIN="","",Year4_Surrey Year4_CIN)</f>
        <v>7019</v>
      </c>
      <c r="H25" s="97">
        <f>IF(Year5_Surrey Year5_CIN="","",Year5_Surrey Year5_CIN)</f>
        <v>5932</v>
      </c>
      <c r="I25" s="337">
        <f t="shared" si="2"/>
        <v>1.5125638407443562E-2</v>
      </c>
      <c r="J25" s="98"/>
      <c r="K25" s="99">
        <f>IF(ISNUMBER(D25),D25/Population!D25*10000,NA())</f>
        <v>225.25530243519245</v>
      </c>
      <c r="L25" s="99">
        <f>IF(ISNUMBER(E25),E25/Population!E25*10000,NA())</f>
        <v>242.86271450858032</v>
      </c>
      <c r="M25" s="99">
        <f>IF(ISNUMBER(F25),F25/Population!F25*10000,NA())</f>
        <v>236.48648648648651</v>
      </c>
      <c r="N25" s="99">
        <f>IF(ISNUMBER(G25),G25/Population!G25*10000,NA())</f>
        <v>269.65040338071458</v>
      </c>
      <c r="O25" s="100">
        <f>IF(ISNUMBER(H25),H25/Population!H25*10000,NA())</f>
        <v>226.49866361206566</v>
      </c>
      <c r="P25" s="101">
        <f t="shared" si="3"/>
        <v>226.49866361206566</v>
      </c>
      <c r="Q25" s="885">
        <f t="shared" si="4"/>
        <v>2</v>
      </c>
      <c r="R25" s="69"/>
      <c r="S25" s="333">
        <f>IDACI!C24</f>
        <v>8.3000000000000007</v>
      </c>
      <c r="T25" s="334">
        <f t="shared" si="0"/>
        <v>264.98105679534808</v>
      </c>
      <c r="U25" s="335">
        <f t="shared" si="5"/>
        <v>-38.482393183282426</v>
      </c>
      <c r="V25" s="124"/>
      <c r="W25" s="140"/>
      <c r="X25" s="149"/>
      <c r="Y25" s="71" t="str">
        <f t="shared" si="1"/>
        <v>Surrey</v>
      </c>
      <c r="Z25" s="45">
        <f>IF(ISNUMBER($H25),IDACI!D24,0)</f>
        <v>228466</v>
      </c>
      <c r="AA25" s="45">
        <f>IF(ISNUMBER($H25),IDACI!E24,0)</f>
        <v>18962.678</v>
      </c>
      <c r="AB25" s="202">
        <f>IF(ISNUMBER(D25),Population!D25,"")</f>
        <v>254600</v>
      </c>
      <c r="AC25" s="202">
        <f>IF(ISNUMBER(E25),Population!E25,"")</f>
        <v>256400</v>
      </c>
      <c r="AD25" s="202">
        <f>IF(ISNUMBER(F25),Population!F25,"")</f>
        <v>259000</v>
      </c>
      <c r="AE25" s="202">
        <f>IF(ISNUMBER(G25),Population!G25,"")</f>
        <v>260300</v>
      </c>
      <c r="AF25" s="202">
        <f>IF(ISNUMBER(H25),Population!H25,"")</f>
        <v>261900</v>
      </c>
      <c r="AG25" s="95" t="s">
        <v>15</v>
      </c>
      <c r="AH25" s="225">
        <f t="shared" si="6"/>
        <v>299.15730337078651</v>
      </c>
      <c r="AI25" s="203">
        <f t="shared" si="7"/>
        <v>7</v>
      </c>
      <c r="AJ25" s="199"/>
      <c r="AK25" s="156"/>
      <c r="AL25" s="792">
        <f t="shared" si="8"/>
        <v>8.578901482127288E-2</v>
      </c>
      <c r="AM25" s="792">
        <f t="shared" si="9"/>
        <v>-1.6380279428296129E-2</v>
      </c>
      <c r="AN25" s="792">
        <f t="shared" si="10"/>
        <v>0.14595918367346938</v>
      </c>
      <c r="AO25" s="792">
        <f t="shared" si="11"/>
        <v>-0.1548653654366719</v>
      </c>
      <c r="AP25" s="792">
        <f t="shared" si="12"/>
        <v>1.5125638407443562E-2</v>
      </c>
      <c r="AR25" s="973"/>
      <c r="AS25" s="973"/>
      <c r="AT25" s="973"/>
      <c r="AU25" s="973"/>
      <c r="AV25" s="973"/>
      <c r="AW25" s="199"/>
      <c r="AX25" s="973"/>
    </row>
    <row r="26" spans="1:50" s="89" customFormat="1" ht="13.5" customHeight="1" x14ac:dyDescent="0.2">
      <c r="A26" s="462">
        <f>VLOOKUP(B26,Sheet1!$AQ$4:$AR$25,2,FALSE)</f>
        <v>0</v>
      </c>
      <c r="B26" s="95" t="str">
        <f>Sheet1!$K$20</f>
        <v>Swindon</v>
      </c>
      <c r="C26" s="87"/>
      <c r="D26" s="96">
        <f>IF(Year1_Swindon Year1_CIN="","",Year1_Swindon Year1_CIN)</f>
        <v>1879</v>
      </c>
      <c r="E26" s="96">
        <f>IF(Year2_Swindon Year2_CIN="","",Year2_Swindon Year2_CIN)</f>
        <v>1968</v>
      </c>
      <c r="F26" s="96">
        <f>IF(Year3_Swindon Year3_CIN="","",Year3_Swindon Year3_CIN)</f>
        <v>1919</v>
      </c>
      <c r="G26" s="96">
        <f>IF(Year4_Swindon Year4_CIN="","",Year4_Swindon Year4_CIN)</f>
        <v>2713</v>
      </c>
      <c r="H26" s="97">
        <f>IF(Year5_Swindon Year5_CIN="","",Year5_Swindon Year5_CIN)</f>
        <v>2277</v>
      </c>
      <c r="I26" s="337">
        <f t="shared" si="2"/>
        <v>6.8879176892002597E-2</v>
      </c>
      <c r="J26" s="98"/>
      <c r="K26" s="99">
        <f>IF(ISNUMBER(D26),D26/Population!D26*10000,NA())</f>
        <v>386.62551440329219</v>
      </c>
      <c r="L26" s="99">
        <f>IF(ISNUMBER(E26),E26/Population!E26*10000,NA())</f>
        <v>401.63265306122452</v>
      </c>
      <c r="M26" s="99">
        <f>IF(ISNUMBER(F26),F26/Population!F26*10000,NA())</f>
        <v>387.67676767676772</v>
      </c>
      <c r="N26" s="99">
        <f>IF(ISNUMBER(G26),G26/Population!G26*10000,NA())</f>
        <v>543.68737474949899</v>
      </c>
      <c r="O26" s="100">
        <f>IF(ISNUMBER(H26),H26/Population!H26*10000,NA())</f>
        <v>453.58565737051794</v>
      </c>
      <c r="P26" s="101">
        <f t="shared" si="3"/>
        <v>453.58565737051794</v>
      </c>
      <c r="Q26" s="882" t="str">
        <f t="shared" si="4"/>
        <v>--</v>
      </c>
      <c r="R26" s="69"/>
      <c r="S26" s="333">
        <f>IDACI!C25</f>
        <v>14.899999999999999</v>
      </c>
      <c r="T26" s="334">
        <f t="shared" si="0"/>
        <v>334.19968481770081</v>
      </c>
      <c r="U26" s="335">
        <f t="shared" si="5"/>
        <v>119.38597255281712</v>
      </c>
      <c r="V26" s="124"/>
      <c r="W26" s="140"/>
      <c r="X26" s="149"/>
      <c r="Y26" s="71" t="str">
        <f t="shared" si="1"/>
        <v>Swindon</v>
      </c>
      <c r="Z26" s="45">
        <f>IF(ISNUMBER($H26),IDACI!D25,0)</f>
        <v>43899</v>
      </c>
      <c r="AA26" s="45">
        <f>IF(ISNUMBER($H26),IDACI!E25,0)</f>
        <v>6540.951</v>
      </c>
      <c r="AB26" s="202">
        <f>IF(ISNUMBER(D26),Population!D26,"")</f>
        <v>48600</v>
      </c>
      <c r="AC26" s="202">
        <f>IF(ISNUMBER(E26),Population!E26,"")</f>
        <v>49000</v>
      </c>
      <c r="AD26" s="202">
        <f>IF(ISNUMBER(F26),Population!F26,"")</f>
        <v>49500</v>
      </c>
      <c r="AE26" s="202">
        <f>IF(ISNUMBER(G26),Population!G26,"")</f>
        <v>49900</v>
      </c>
      <c r="AF26" s="202">
        <f>IF(ISNUMBER(H26),Population!H26,"")</f>
        <v>50200</v>
      </c>
      <c r="AG26" s="95" t="s">
        <v>5</v>
      </c>
      <c r="AH26" s="225">
        <f t="shared" si="6"/>
        <v>268.9753863766457</v>
      </c>
      <c r="AI26" s="203">
        <f t="shared" si="7"/>
        <v>5</v>
      </c>
      <c r="AJ26" s="199"/>
      <c r="AK26" s="156"/>
      <c r="AL26" s="792">
        <f t="shared" si="8"/>
        <v>4.7365620010643962E-2</v>
      </c>
      <c r="AM26" s="792">
        <f t="shared" si="9"/>
        <v>-2.4898373983739838E-2</v>
      </c>
      <c r="AN26" s="792">
        <f t="shared" si="10"/>
        <v>0.41375716519020322</v>
      </c>
      <c r="AO26" s="792">
        <f t="shared" si="11"/>
        <v>-0.16070770364909695</v>
      </c>
      <c r="AP26" s="792">
        <f t="shared" si="12"/>
        <v>6.8879176892002597E-2</v>
      </c>
      <c r="AR26" s="973"/>
      <c r="AS26" s="973"/>
      <c r="AT26" s="973"/>
      <c r="AU26" s="973"/>
      <c r="AV26" s="973"/>
      <c r="AW26" s="199"/>
      <c r="AX26" s="973"/>
    </row>
    <row r="27" spans="1:50" s="89" customFormat="1" ht="13.5" customHeight="1" x14ac:dyDescent="0.2">
      <c r="A27" s="462">
        <f>VLOOKUP(B27,Sheet1!$AQ$4:$AR$25,2,FALSE)</f>
        <v>0</v>
      </c>
      <c r="B27" s="95" t="str">
        <f>Sheet1!$K$21</f>
        <v>Torbay</v>
      </c>
      <c r="C27" s="87"/>
      <c r="D27" s="96">
        <f>IF(Year1_Torbay Year1_CIN="","",Year1_Torbay Year1_CIN)</f>
        <v>1555</v>
      </c>
      <c r="E27" s="96">
        <f>IF(Year2_Torbay Year2_CIN="","",Year2_Torbay Year2_CIN)</f>
        <v>1180</v>
      </c>
      <c r="F27" s="96">
        <f>IF(Year3_Torbay Year3_CIN="","",Year3_Torbay Year3_CIN)</f>
        <v>1196</v>
      </c>
      <c r="G27" s="96">
        <f>IF(Year4_Torbay Year4_CIN="","",Year4_Torbay Year4_CIN)</f>
        <v>1159</v>
      </c>
      <c r="H27" s="97">
        <f>IF(Year5_Torbay Year5_CIN="","",Year5_Torbay Year5_CIN)</f>
        <v>1067</v>
      </c>
      <c r="I27" s="337">
        <f t="shared" si="2"/>
        <v>-8.4478365972890906E-2</v>
      </c>
      <c r="J27" s="98"/>
      <c r="K27" s="99">
        <f>IF(ISNUMBER(D27),D27/Population!D27*10000,NA())</f>
        <v>619.52191235059763</v>
      </c>
      <c r="L27" s="99">
        <f>IF(ISNUMBER(E27),E27/Population!E27*10000,NA())</f>
        <v>468.25396825396825</v>
      </c>
      <c r="M27" s="99">
        <f>IF(ISNUMBER(F27),F27/Population!F27*10000,NA())</f>
        <v>470.8661417322835</v>
      </c>
      <c r="N27" s="99">
        <f>IF(ISNUMBER(G27),G27/Population!G27*10000,NA())</f>
        <v>456.29921259842519</v>
      </c>
      <c r="O27" s="100">
        <f>IF(ISNUMBER(H27),H27/Population!H27*10000,NA())</f>
        <v>420.0787401574803</v>
      </c>
      <c r="P27" s="101">
        <f t="shared" si="3"/>
        <v>420.0787401574803</v>
      </c>
      <c r="Q27" s="882" t="str">
        <f t="shared" si="4"/>
        <v>--</v>
      </c>
      <c r="R27" s="69"/>
      <c r="S27" s="333">
        <f>IDACI!C26</f>
        <v>21.9</v>
      </c>
      <c r="T27" s="334">
        <f t="shared" si="0"/>
        <v>407.61338120504467</v>
      </c>
      <c r="U27" s="335">
        <f t="shared" si="5"/>
        <v>12.465358952435622</v>
      </c>
      <c r="V27" s="124"/>
      <c r="W27" s="140"/>
      <c r="X27" s="149"/>
      <c r="Y27" s="71" t="str">
        <f t="shared" si="1"/>
        <v>Torbay</v>
      </c>
      <c r="Z27" s="45">
        <f>IF(ISNUMBER($H27),IDACI!D26,0)</f>
        <v>22257</v>
      </c>
      <c r="AA27" s="45">
        <f>IF(ISNUMBER($H27),IDACI!E26,0)</f>
        <v>4874.2829999999994</v>
      </c>
      <c r="AB27" s="202">
        <f>IF(ISNUMBER(D27),Population!D27,"")</f>
        <v>25100</v>
      </c>
      <c r="AC27" s="202">
        <f>IF(ISNUMBER(E27),Population!E27,"")</f>
        <v>25200</v>
      </c>
      <c r="AD27" s="202">
        <f>IF(ISNUMBER(F27),Population!F27,"")</f>
        <v>25400</v>
      </c>
      <c r="AE27" s="202">
        <f>IF(ISNUMBER(G27),Population!G27,"")</f>
        <v>25400</v>
      </c>
      <c r="AF27" s="202">
        <f>IF(ISNUMBER(H27),Population!H27,"")</f>
        <v>25400</v>
      </c>
      <c r="AG27" s="95" t="s">
        <v>30</v>
      </c>
      <c r="AH27" s="225">
        <f t="shared" si="6"/>
        <v>213.00578034682081</v>
      </c>
      <c r="AI27" s="203">
        <f t="shared" si="7"/>
        <v>1</v>
      </c>
      <c r="AJ27" s="199"/>
      <c r="AK27" s="156"/>
      <c r="AL27" s="792">
        <f t="shared" si="8"/>
        <v>-0.24115755627009647</v>
      </c>
      <c r="AM27" s="792">
        <f t="shared" si="9"/>
        <v>1.3559322033898305E-2</v>
      </c>
      <c r="AN27" s="792">
        <f t="shared" si="10"/>
        <v>-3.0936454849498328E-2</v>
      </c>
      <c r="AO27" s="792">
        <f t="shared" si="11"/>
        <v>-7.9378774805867122E-2</v>
      </c>
      <c r="AP27" s="792">
        <f t="shared" si="12"/>
        <v>-8.4478365972890906E-2</v>
      </c>
      <c r="AR27" s="973"/>
      <c r="AS27" s="973"/>
      <c r="AT27" s="973"/>
      <c r="AU27" s="973"/>
      <c r="AV27" s="973"/>
      <c r="AW27" s="199"/>
      <c r="AX27" s="973"/>
    </row>
    <row r="28" spans="1:50" s="89" customFormat="1" ht="13.5" customHeight="1" x14ac:dyDescent="0.2">
      <c r="A28" s="462">
        <f>VLOOKUP(B28,Sheet1!$AQ$4:$AR$25,2,FALSE)</f>
        <v>0</v>
      </c>
      <c r="B28" s="95" t="str">
        <f>Sheet1!$K$22</f>
        <v>West Berkshire</v>
      </c>
      <c r="C28" s="87"/>
      <c r="D28" s="96">
        <f>IF(Year1_West_Berkshire Year1_CIN="","",Year1_West_Berkshire Year1_CIN)</f>
        <v>955</v>
      </c>
      <c r="E28" s="102">
        <f>IF(Year2_West_Berkshire Year2_CIN="","",Year2_West_Berkshire Year2_CIN)</f>
        <v>1054</v>
      </c>
      <c r="F28" s="96">
        <f>IF(Year3_West_Berkshire Year3_CIN="","",Year3_West_Berkshire Year3_CIN)</f>
        <v>984</v>
      </c>
      <c r="G28" s="96">
        <f>IF(Year4_West_Berkshire Year4_CIN="","",Year4_West_Berkshire Year4_CIN)</f>
        <v>1021</v>
      </c>
      <c r="H28" s="97">
        <f>IF(Year5_West_Berkshire Year5_CIN="","",Year5_West_Berkshire Year5_CIN)</f>
        <v>1065</v>
      </c>
      <c r="I28" s="337">
        <f t="shared" si="2"/>
        <v>2.9486972535074804E-2</v>
      </c>
      <c r="J28" s="98"/>
      <c r="K28" s="99">
        <f>IF(ISNUMBER(D28),D28/Population!D28*10000,NA())</f>
        <v>268.25842696629218</v>
      </c>
      <c r="L28" s="99">
        <f>IF(ISNUMBER(E28),E28/Population!E28*10000,NA())</f>
        <v>295.23809523809524</v>
      </c>
      <c r="M28" s="99">
        <f>IF(ISNUMBER(F28),F28/Population!F28*10000,NA())</f>
        <v>274.09470752089135</v>
      </c>
      <c r="N28" s="99">
        <f>IF(ISNUMBER(G28),G28/Population!G28*10000,NA())</f>
        <v>285.19553072625695</v>
      </c>
      <c r="O28" s="100">
        <f>IF(ISNUMBER(H28),H28/Population!H28*10000,NA())</f>
        <v>299.15730337078651</v>
      </c>
      <c r="P28" s="101">
        <f t="shared" si="3"/>
        <v>299.15730337078651</v>
      </c>
      <c r="Q28" s="885">
        <f t="shared" si="4"/>
        <v>7</v>
      </c>
      <c r="R28" s="69"/>
      <c r="S28" s="333">
        <f>IDACI!C27</f>
        <v>8.6999999999999993</v>
      </c>
      <c r="T28" s="334">
        <f t="shared" si="0"/>
        <v>269.1761251603391</v>
      </c>
      <c r="U28" s="335">
        <f t="shared" si="5"/>
        <v>29.98117821044741</v>
      </c>
      <c r="V28" s="124"/>
      <c r="W28" s="140"/>
      <c r="X28" s="149"/>
      <c r="Y28" s="71" t="str">
        <f t="shared" si="1"/>
        <v>West Berkshire</v>
      </c>
      <c r="Z28" s="45">
        <f>IF(ISNUMBER($H28),IDACI!D27,0)</f>
        <v>31625</v>
      </c>
      <c r="AA28" s="45">
        <f>IF(ISNUMBER($H28),IDACI!E27,0)</f>
        <v>2751.375</v>
      </c>
      <c r="AB28" s="202">
        <f>IF(ISNUMBER(D28),Population!D28,"")</f>
        <v>35600</v>
      </c>
      <c r="AC28" s="202">
        <f>IF(ISNUMBER(E28),Population!E28,"")</f>
        <v>35700</v>
      </c>
      <c r="AD28" s="202">
        <f>IF(ISNUMBER(F28),Population!F28,"")</f>
        <v>35900</v>
      </c>
      <c r="AE28" s="202">
        <f>IF(ISNUMBER(G28),Population!G28,"")</f>
        <v>35800</v>
      </c>
      <c r="AF28" s="202">
        <f>IF(ISNUMBER(H28),Population!H28,"")</f>
        <v>35600</v>
      </c>
      <c r="AG28" s="95" t="s">
        <v>16</v>
      </c>
      <c r="AH28" s="225">
        <f t="shared" si="6"/>
        <v>227.34177215189874</v>
      </c>
      <c r="AI28" s="203">
        <f t="shared" si="7"/>
        <v>3</v>
      </c>
      <c r="AJ28" s="199"/>
      <c r="AK28" s="156"/>
      <c r="AL28" s="792">
        <f t="shared" si="8"/>
        <v>0.10366492146596859</v>
      </c>
      <c r="AM28" s="792">
        <f t="shared" si="9"/>
        <v>-6.6413662239089177E-2</v>
      </c>
      <c r="AN28" s="792">
        <f t="shared" si="10"/>
        <v>3.7601626016260166E-2</v>
      </c>
      <c r="AO28" s="792">
        <f t="shared" si="11"/>
        <v>4.3095004897159644E-2</v>
      </c>
      <c r="AP28" s="792">
        <f t="shared" si="12"/>
        <v>2.9486972535074804E-2</v>
      </c>
      <c r="AR28" s="973"/>
      <c r="AS28" s="973"/>
      <c r="AT28" s="973"/>
      <c r="AU28" s="973"/>
      <c r="AV28" s="973"/>
      <c r="AW28" s="199"/>
      <c r="AX28" s="973"/>
    </row>
    <row r="29" spans="1:50" s="89" customFormat="1" ht="13.5" customHeight="1" x14ac:dyDescent="0.2">
      <c r="A29" s="462">
        <f>VLOOKUP(B29,Sheet1!$AQ$4:$AR$25,2,FALSE)</f>
        <v>0</v>
      </c>
      <c r="B29" s="95" t="str">
        <f>Sheet1!$K$23</f>
        <v>West Sussex</v>
      </c>
      <c r="C29" s="87"/>
      <c r="D29" s="96">
        <f>IF(Year1_West_Sussex Year1_CIN="","",Year1_West_Sussex Year1_CIN)</f>
        <v>4766</v>
      </c>
      <c r="E29" s="102">
        <f>IF(Year2_West_Sussex Year2_CIN="","",Year2_West_Sussex Year2_CIN)</f>
        <v>3877</v>
      </c>
      <c r="F29" s="96">
        <f>IF(Year3_West_Sussex Year3_CIN="","",Year3_West_Sussex Year3_CIN)</f>
        <v>4802</v>
      </c>
      <c r="G29" s="96">
        <f>IF(Year4_West_Sussex Year4_CIN="","",Year4_West_Sussex Year4_CIN)</f>
        <v>7233</v>
      </c>
      <c r="H29" s="97">
        <f>IF(Year5_West_Sussex Year5_CIN="","",Year5_West_Sussex Year5_CIN)</f>
        <v>4699</v>
      </c>
      <c r="I29" s="337">
        <f t="shared" si="2"/>
        <v>5.1991405763804871E-2</v>
      </c>
      <c r="J29" s="98"/>
      <c r="K29" s="99">
        <f>IF(ISNUMBER(D29),D29/Population!D29*10000,NA())</f>
        <v>282.34597156398104</v>
      </c>
      <c r="L29" s="99">
        <f>IF(ISNUMBER(E29),E29/Population!E29*10000,NA())</f>
        <v>227.52347417840377</v>
      </c>
      <c r="M29" s="99">
        <f>IF(ISNUMBER(F29),F29/Population!F29*10000,NA())</f>
        <v>279.51105937136208</v>
      </c>
      <c r="N29" s="99">
        <f>IF(ISNUMBER(G29),G29/Population!G29*10000,NA())</f>
        <v>417.36872475476054</v>
      </c>
      <c r="O29" s="100">
        <f>IF(ISNUMBER(H29),H29/Population!H29*10000,NA())</f>
        <v>268.9753863766457</v>
      </c>
      <c r="P29" s="101">
        <f t="shared" si="3"/>
        <v>268.9753863766457</v>
      </c>
      <c r="Q29" s="885">
        <f t="shared" si="4"/>
        <v>5</v>
      </c>
      <c r="R29" s="69"/>
      <c r="S29" s="333">
        <f>IDACI!C28</f>
        <v>11</v>
      </c>
      <c r="T29" s="334">
        <f t="shared" si="0"/>
        <v>293.29776825903787</v>
      </c>
      <c r="U29" s="335">
        <f t="shared" si="5"/>
        <v>-24.322381882392165</v>
      </c>
      <c r="V29" s="124"/>
      <c r="W29" s="140"/>
      <c r="X29" s="149"/>
      <c r="Y29" s="71" t="str">
        <f t="shared" si="1"/>
        <v>West Sussex</v>
      </c>
      <c r="Z29" s="45">
        <f>IF(ISNUMBER($H29),IDACI!D28,0)</f>
        <v>151487</v>
      </c>
      <c r="AA29" s="45">
        <f>IF(ISNUMBER($H29),IDACI!E28,0)</f>
        <v>16663.57</v>
      </c>
      <c r="AB29" s="202">
        <f>IF(ISNUMBER(D29),Population!D29,"")</f>
        <v>168800</v>
      </c>
      <c r="AC29" s="202">
        <f>IF(ISNUMBER(E29),Population!E29,"")</f>
        <v>170400</v>
      </c>
      <c r="AD29" s="202">
        <f>IF(ISNUMBER(F29),Population!F29,"")</f>
        <v>171800</v>
      </c>
      <c r="AE29" s="202">
        <f>IF(ISNUMBER(G29),Population!G29,"")</f>
        <v>173300</v>
      </c>
      <c r="AF29" s="202">
        <f>IF(ISNUMBER(H29),Population!H29,"")</f>
        <v>174700</v>
      </c>
      <c r="AG29" s="199"/>
      <c r="AH29" s="199"/>
      <c r="AI29" s="185"/>
      <c r="AJ29" s="199"/>
      <c r="AK29" s="156"/>
      <c r="AL29" s="792">
        <f t="shared" si="8"/>
        <v>-0.18652958455728075</v>
      </c>
      <c r="AM29" s="792">
        <f t="shared" si="9"/>
        <v>0.23858653598142893</v>
      </c>
      <c r="AN29" s="792">
        <f t="shared" si="10"/>
        <v>0.50624739691795084</v>
      </c>
      <c r="AO29" s="792">
        <f t="shared" si="11"/>
        <v>-0.35033872528687959</v>
      </c>
      <c r="AP29" s="792">
        <f t="shared" si="12"/>
        <v>5.1991405763804871E-2</v>
      </c>
      <c r="AR29" s="973"/>
      <c r="AS29" s="973"/>
      <c r="AT29" s="973"/>
      <c r="AU29" s="973"/>
      <c r="AV29" s="973"/>
      <c r="AW29" s="199"/>
      <c r="AX29" s="973"/>
    </row>
    <row r="30" spans="1:50" s="89" customFormat="1" ht="13.5" customHeight="1" x14ac:dyDescent="0.2">
      <c r="A30" s="462">
        <f>VLOOKUP(B30,Sheet1!$AQ$4:$AR$25,2,FALSE)</f>
        <v>0</v>
      </c>
      <c r="B30" s="95" t="str">
        <f>Sheet1!$K$24</f>
        <v>Windsor &amp; Maidenhead</v>
      </c>
      <c r="C30" s="87"/>
      <c r="D30" s="102">
        <f>IF(Year1_Windsor_Maidenhead Year1_CIN="","",Year1_Windsor_Maidenhead Year1_CIN)</f>
        <v>841</v>
      </c>
      <c r="E30" s="96">
        <f>IF(Year2_Windsor_Maidenhead Year2_CIN="","",Year2_Windsor_Maidenhead Year2_CIN)</f>
        <v>1013</v>
      </c>
      <c r="F30" s="96">
        <f>IF(Year3_Windsor_Maidenhead Year3_CIN="","",Year3_Windsor_Maidenhead Year3_CIN)</f>
        <v>959</v>
      </c>
      <c r="G30" s="96">
        <f>IF(Year4_Windsor_Maidenhead Year4_CIN="","",Year4_Windsor_Maidenhead Year4_CIN)</f>
        <v>767</v>
      </c>
      <c r="H30" s="97">
        <f>IF(Year5_Windsor_Maidenhead Year5_CIN="","",Year5_Windsor_Maidenhead Year5_CIN)</f>
        <v>737</v>
      </c>
      <c r="I30" s="337">
        <f t="shared" si="2"/>
        <v>-2.2027639490500139E-2</v>
      </c>
      <c r="J30" s="98"/>
      <c r="K30" s="99">
        <f>IF(ISNUMBER(D30),D30/Population!D30*10000,NA())</f>
        <v>251.79640718562877</v>
      </c>
      <c r="L30" s="99">
        <f>IF(ISNUMBER(E30),E30/Population!E30*10000,NA())</f>
        <v>300.593471810089</v>
      </c>
      <c r="M30" s="99">
        <f>IF(ISNUMBER(F30),F30/Population!F30*10000,NA())</f>
        <v>280.40935672514621</v>
      </c>
      <c r="N30" s="99">
        <f>IF(ISNUMBER(G30),G30/Population!G30*10000,NA())</f>
        <v>222.96511627906978</v>
      </c>
      <c r="O30" s="100">
        <f>IF(ISNUMBER(H30),H30/Population!H30*10000,NA())</f>
        <v>213.00578034682081</v>
      </c>
      <c r="P30" s="101">
        <f t="shared" si="3"/>
        <v>213.00578034682081</v>
      </c>
      <c r="Q30" s="885">
        <f t="shared" si="4"/>
        <v>1</v>
      </c>
      <c r="R30" s="69"/>
      <c r="S30" s="333">
        <f>IDACI!C29</f>
        <v>6.7</v>
      </c>
      <c r="T30" s="334">
        <f t="shared" si="0"/>
        <v>248.20078333538373</v>
      </c>
      <c r="U30" s="335">
        <f t="shared" si="5"/>
        <v>-35.195002988562919</v>
      </c>
      <c r="V30" s="124"/>
      <c r="W30" s="140"/>
      <c r="X30" s="149"/>
      <c r="Y30" s="71" t="str">
        <f t="shared" si="1"/>
        <v>Windsor &amp; Maidenhead</v>
      </c>
      <c r="Z30" s="45">
        <f>IF(ISNUMBER($H30),IDACI!D29,0)</f>
        <v>29792</v>
      </c>
      <c r="AA30" s="45">
        <f>IF(ISNUMBER($H30),IDACI!E29,0)</f>
        <v>1996.0640000000001</v>
      </c>
      <c r="AB30" s="202">
        <f>IF(ISNUMBER(D30),Population!D30,"")</f>
        <v>33400</v>
      </c>
      <c r="AC30" s="202">
        <f>IF(ISNUMBER(E30),Population!E30,"")</f>
        <v>33700</v>
      </c>
      <c r="AD30" s="202">
        <f>IF(ISNUMBER(F30),Population!F30,"")</f>
        <v>34200</v>
      </c>
      <c r="AE30" s="202">
        <f>IF(ISNUMBER(G30),Population!G30,"")</f>
        <v>34400</v>
      </c>
      <c r="AF30" s="202">
        <f>IF(ISNUMBER(H30),Population!H30,"")</f>
        <v>34600</v>
      </c>
      <c r="AG30" s="199"/>
      <c r="AH30" s="199"/>
      <c r="AI30" s="185"/>
      <c r="AJ30" s="199"/>
      <c r="AK30" s="156"/>
      <c r="AL30" s="792">
        <f t="shared" si="8"/>
        <v>0.20451843043995244</v>
      </c>
      <c r="AM30" s="792">
        <f t="shared" si="9"/>
        <v>-5.3307008884501482E-2</v>
      </c>
      <c r="AN30" s="792">
        <f t="shared" si="10"/>
        <v>-0.20020855057351408</v>
      </c>
      <c r="AO30" s="792">
        <f t="shared" si="11"/>
        <v>-3.911342894393742E-2</v>
      </c>
      <c r="AP30" s="792">
        <f t="shared" si="12"/>
        <v>-2.2027639490500139E-2</v>
      </c>
      <c r="AR30" s="973"/>
      <c r="AS30" s="973"/>
      <c r="AT30" s="973"/>
      <c r="AU30" s="973"/>
      <c r="AV30" s="973"/>
      <c r="AW30" s="199"/>
      <c r="AX30" s="973"/>
    </row>
    <row r="31" spans="1:50" s="89" customFormat="1" ht="13.5" customHeight="1" x14ac:dyDescent="0.2">
      <c r="A31" s="462">
        <f>VLOOKUP(B31,Sheet1!$AQ$4:$AR$25,2,FALSE)</f>
        <v>0</v>
      </c>
      <c r="B31" s="95" t="str">
        <f>Sheet1!$K$25</f>
        <v>Wokingham</v>
      </c>
      <c r="C31" s="87"/>
      <c r="D31" s="102">
        <f>IF(Year1_Wokingham Year1_CIN="","",Year1_Wokingham Year1_CIN)</f>
        <v>523</v>
      </c>
      <c r="E31" s="96">
        <f>IF(Year2_Wokingham Year2_CIN="","",Year2_Wokingham Year2_CIN)</f>
        <v>563</v>
      </c>
      <c r="F31" s="96">
        <f>IF(Year3_Wokingham Year3_CIN="","",Year3_Wokingham Year3_CIN)</f>
        <v>667</v>
      </c>
      <c r="G31" s="96">
        <f>IF(Year4_Wokingham Year4_CIN="","",Year4_Wokingham Year4_CIN)</f>
        <v>969</v>
      </c>
      <c r="H31" s="97">
        <f>IF(Year5_Wokingham Year5_CIN="","",Year5_Wokingham Year5_CIN)</f>
        <v>898</v>
      </c>
      <c r="I31" s="337">
        <f t="shared" si="2"/>
        <v>0.16017718102348849</v>
      </c>
      <c r="J31" s="98"/>
      <c r="K31" s="99">
        <f>IF(ISNUMBER(D31),D31/Population!D31*10000,NA())</f>
        <v>141.73441734417344</v>
      </c>
      <c r="L31" s="99">
        <f>IF(ISNUMBER(E31),E31/Population!E31*10000,NA())</f>
        <v>150.93833780160858</v>
      </c>
      <c r="M31" s="99">
        <f>IF(ISNUMBER(F31),F31/Population!F31*10000,NA())</f>
        <v>175.52631578947367</v>
      </c>
      <c r="N31" s="99">
        <f>IF(ISNUMBER(G31),G31/Population!G31*10000,NA())</f>
        <v>250.3875968992248</v>
      </c>
      <c r="O31" s="100">
        <f>IF(ISNUMBER(H31),H31/Population!H31*10000,NA())</f>
        <v>227.34177215189874</v>
      </c>
      <c r="P31" s="101">
        <f t="shared" si="3"/>
        <v>227.34177215189874</v>
      </c>
      <c r="Q31" s="885">
        <f t="shared" si="4"/>
        <v>3</v>
      </c>
      <c r="R31" s="69"/>
      <c r="S31" s="333">
        <f>IDACI!C30</f>
        <v>5.6000000000000005</v>
      </c>
      <c r="T31" s="334">
        <f t="shared" si="0"/>
        <v>236.6643453316583</v>
      </c>
      <c r="U31" s="335">
        <f t="shared" si="5"/>
        <v>-9.3225731797595586</v>
      </c>
      <c r="V31" s="124"/>
      <c r="W31" s="140"/>
      <c r="X31" s="149"/>
      <c r="Y31" s="71" t="str">
        <f t="shared" si="1"/>
        <v>Wokingham</v>
      </c>
      <c r="Z31" s="45">
        <f>IF(ISNUMBER($H31),IDACI!D30,0)</f>
        <v>33327</v>
      </c>
      <c r="AA31" s="45">
        <f>IF(ISNUMBER($H31),IDACI!E30,0)</f>
        <v>1866.3120000000004</v>
      </c>
      <c r="AB31" s="202">
        <f>IF(ISNUMBER(D31),Population!D31,"")</f>
        <v>36900</v>
      </c>
      <c r="AC31" s="202">
        <f>IF(ISNUMBER(E31),Population!E31,"")</f>
        <v>37300</v>
      </c>
      <c r="AD31" s="202">
        <f>IF(ISNUMBER(F31),Population!F31,"")</f>
        <v>38000</v>
      </c>
      <c r="AE31" s="202">
        <f>IF(ISNUMBER(G31),Population!G31,"")</f>
        <v>38700</v>
      </c>
      <c r="AF31" s="202">
        <f>IF(ISNUMBER(H31),Population!H31,"")</f>
        <v>39500</v>
      </c>
      <c r="AG31" s="199"/>
      <c r="AH31" s="199"/>
      <c r="AI31" s="185"/>
      <c r="AJ31" s="199"/>
      <c r="AK31" s="156"/>
      <c r="AL31" s="792">
        <f t="shared" si="8"/>
        <v>7.6481835564053538E-2</v>
      </c>
      <c r="AM31" s="792">
        <f t="shared" si="9"/>
        <v>0.1847246891651865</v>
      </c>
      <c r="AN31" s="792">
        <f t="shared" si="10"/>
        <v>0.45277361319340331</v>
      </c>
      <c r="AO31" s="792">
        <f t="shared" si="11"/>
        <v>-7.3271413828689375E-2</v>
      </c>
      <c r="AP31" s="792">
        <f t="shared" si="12"/>
        <v>0.16017718102348849</v>
      </c>
      <c r="AR31" s="973"/>
      <c r="AS31" s="973"/>
      <c r="AT31" s="973"/>
      <c r="AU31" s="973"/>
      <c r="AV31" s="973"/>
      <c r="AW31" s="199"/>
      <c r="AX31" s="973"/>
    </row>
    <row r="32" spans="1:50" s="89" customFormat="1" ht="13.5" customHeight="1" x14ac:dyDescent="0.2">
      <c r="A32" s="123"/>
      <c r="B32" s="131" t="str">
        <f>Sheet1!$K$26</f>
        <v>South East</v>
      </c>
      <c r="C32" s="87"/>
      <c r="D32" s="132">
        <f>IF(Year1_SouthEast Year1_CIN="","",Year1_SouthEast Year1_CIN)</f>
        <v>53900</v>
      </c>
      <c r="E32" s="132">
        <f>IF(Year2_SouthEast Year2_CIN="","",Year2_SouthEast Year2_CIN)</f>
        <v>58110</v>
      </c>
      <c r="F32" s="132">
        <f>IF(Year3_SouthEast Year3_CIN="","",Year3_SouthEast Year3_CIN)</f>
        <v>58470</v>
      </c>
      <c r="G32" s="132">
        <f>IF(Year4_SouthEast Year4_CIN="","",Year4_SouthEast Year4_CIN)</f>
        <v>61720</v>
      </c>
      <c r="H32" s="133">
        <f>IF(Year5_SouthEast Year5_CIN="","",Year5_SouthEast Year5_CIN)</f>
        <v>59470</v>
      </c>
      <c r="I32" s="350">
        <f t="shared" si="2"/>
        <v>1.8853431233819218E-2</v>
      </c>
      <c r="J32" s="98"/>
      <c r="K32" s="134">
        <f>IF(ISNUMBER(D32),D32/AB32*10000,NA())</f>
        <v>283.02877546733879</v>
      </c>
      <c r="L32" s="134">
        <f>IF(ISNUMBER(E32),E32/AC32*10000,NA())</f>
        <v>302.95605025806788</v>
      </c>
      <c r="M32" s="134">
        <f>IF(ISNUMBER(F32),F32/AD32*10000,NA())</f>
        <v>302.46753918576377</v>
      </c>
      <c r="N32" s="134">
        <f>IF(ISNUMBER(G32),G32/AE32*10000,NA())</f>
        <v>317.50604454961672</v>
      </c>
      <c r="O32" s="135">
        <f>IF(ISNUMBER(H32),H32/AF32*10000,NA())</f>
        <v>303.82139572902832</v>
      </c>
      <c r="P32" s="101">
        <f t="shared" si="3"/>
        <v>303.82139572902832</v>
      </c>
      <c r="Q32" s="883" t="str">
        <f t="shared" si="4"/>
        <v>--</v>
      </c>
      <c r="R32" s="69"/>
      <c r="S32" s="331">
        <f>AA32/Z32*100</f>
        <v>12.371268250968637</v>
      </c>
      <c r="T32" s="134">
        <f t="shared" si="0"/>
        <v>307.67917840792575</v>
      </c>
      <c r="U32" s="336">
        <f t="shared" si="5"/>
        <v>-3.8577826788974221</v>
      </c>
      <c r="V32" s="124"/>
      <c r="W32" s="140"/>
      <c r="X32" s="149"/>
      <c r="Y32" s="71" t="str">
        <f t="shared" si="1"/>
        <v>South East</v>
      </c>
      <c r="Z32" s="45">
        <f>SUM(Z24:Z25,Z10:Z22,Z28:Z31)</f>
        <v>1704978</v>
      </c>
      <c r="AA32" s="45">
        <f>SUM(AA24:AA25,AA10:AA22,AA28:AA31)</f>
        <v>210927.40200000003</v>
      </c>
      <c r="AB32" s="202">
        <f>SUM(AB10:AB22,AB24:AB25,AB28:AB31)</f>
        <v>1904400</v>
      </c>
      <c r="AC32" s="202">
        <f t="shared" ref="AC32:AF32" si="13">SUM(AC10:AC22,AC24:AC25,AC28:AC31)</f>
        <v>1918100</v>
      </c>
      <c r="AD32" s="202">
        <f t="shared" si="13"/>
        <v>1933100</v>
      </c>
      <c r="AE32" s="202">
        <f t="shared" si="13"/>
        <v>1943900</v>
      </c>
      <c r="AF32" s="202">
        <f t="shared" si="13"/>
        <v>1957400</v>
      </c>
      <c r="AG32" s="199"/>
      <c r="AH32" s="199"/>
      <c r="AI32" s="185"/>
      <c r="AJ32" s="199"/>
      <c r="AK32" s="156"/>
      <c r="AL32" s="974">
        <f>IF(ISERROR((L32-K32)/K32),"x",(L32-K32)/K32)</f>
        <v>7.0407239538895119E-2</v>
      </c>
      <c r="AM32" s="974">
        <f t="shared" ref="AM32:AO32" si="14">IF(ISERROR((M32-L32)/L32),"x",(M32-L32)/L32)</f>
        <v>-1.6124816516718413E-3</v>
      </c>
      <c r="AN32" s="974">
        <f t="shared" si="14"/>
        <v>4.9719402631886671E-2</v>
      </c>
      <c r="AO32" s="974">
        <f t="shared" si="14"/>
        <v>-4.3100435583833085E-2</v>
      </c>
      <c r="AP32" s="792">
        <f t="shared" si="12"/>
        <v>1.8853431233819218E-2</v>
      </c>
      <c r="AR32" s="973"/>
      <c r="AS32" s="973"/>
      <c r="AT32" s="973"/>
      <c r="AU32" s="973"/>
      <c r="AV32" s="973"/>
      <c r="AW32" s="199"/>
      <c r="AX32" s="973"/>
    </row>
    <row r="33" spans="1:50" s="89" customFormat="1" ht="13.5" customHeight="1" x14ac:dyDescent="0.2">
      <c r="A33" s="286"/>
      <c r="B33" s="318" t="str">
        <f>Sheet1!$K$27</f>
        <v>England</v>
      </c>
      <c r="C33" s="87"/>
      <c r="D33" s="319">
        <f>IF(Year1_England Year1_CIN="","",Year1_England Year1_CIN)</f>
        <v>391000</v>
      </c>
      <c r="E33" s="319">
        <f>IF(Year2_England Year2_CIN="","",Year2_England Year2_CIN)</f>
        <v>394400</v>
      </c>
      <c r="F33" s="319">
        <f>IF(Year3_England Year3_CIN="","",Year3_England Year3_CIN)</f>
        <v>389430</v>
      </c>
      <c r="G33" s="319">
        <f>IF(Year4_England Year4_CIN="","",Year4_England Year4_CIN)</f>
        <v>404710</v>
      </c>
      <c r="H33" s="320">
        <f>IF(Year5_England Year5_CIN="","",Year5_England Year5_CIN)</f>
        <v>399510</v>
      </c>
      <c r="I33" s="351">
        <f t="shared" si="2"/>
        <v>5.6205897837317224E-3</v>
      </c>
      <c r="J33" s="98"/>
      <c r="K33" s="321">
        <f>IF(ISNUMBER(D33),D33/Population!D33*10000,NA())</f>
        <v>337.31031686465315</v>
      </c>
      <c r="L33" s="321">
        <f>IF(ISNUMBER(E33),E33/Population!E33*10000,NA())</f>
        <v>337.73195523167698</v>
      </c>
      <c r="M33" s="321">
        <f>IF(ISNUMBER(F33),F33/Population!F33*10000,NA())</f>
        <v>330.43706990912409</v>
      </c>
      <c r="N33" s="321">
        <f>IF(ISNUMBER(G33),G33/Population!G33*10000,NA())</f>
        <v>341.03817308502573</v>
      </c>
      <c r="O33" s="322">
        <f>IF(ISNUMBER(H33),H33/Population!H33*10000,NA())</f>
        <v>334.18934970638912</v>
      </c>
      <c r="P33" s="727"/>
      <c r="Q33" s="884" t="str">
        <f t="shared" si="4"/>
        <v>--</v>
      </c>
      <c r="R33" s="69"/>
      <c r="S33" s="332">
        <f>IDACI!C32</f>
        <v>17.084413405029373</v>
      </c>
      <c r="T33" s="321">
        <f t="shared" si="0"/>
        <v>357.10909374645377</v>
      </c>
      <c r="U33" s="598">
        <f t="shared" si="5"/>
        <v>-22.919744040064643</v>
      </c>
      <c r="V33" s="124"/>
      <c r="W33" s="140"/>
      <c r="X33" s="149"/>
      <c r="Y33" s="71" t="str">
        <f t="shared" si="1"/>
        <v>England</v>
      </c>
      <c r="Z33" s="45">
        <f>IF(H33&gt;0,IDACI!D32,0)</f>
        <v>10405050</v>
      </c>
      <c r="AA33" s="45">
        <f>IF(H33&gt;0,IDACI!E32,0)</f>
        <v>1777641.7570000088</v>
      </c>
      <c r="AB33" s="202">
        <f>IF(ISNUMBER(D33),Population!D33,"")</f>
        <v>11591700</v>
      </c>
      <c r="AC33" s="202">
        <f>IF(ISNUMBER(E33),Population!E33,"")</f>
        <v>11677900</v>
      </c>
      <c r="AD33" s="202">
        <f>IF(ISNUMBER(F33),Population!F33,"")</f>
        <v>11785300</v>
      </c>
      <c r="AE33" s="202">
        <f>IF(ISNUMBER(G33),Population!G33,"")</f>
        <v>11867000</v>
      </c>
      <c r="AF33" s="202">
        <f>IF(ISNUMBER(H33),Population!H33,"")</f>
        <v>11954600</v>
      </c>
      <c r="AG33" s="199"/>
      <c r="AH33" s="199"/>
      <c r="AI33" s="185"/>
      <c r="AJ33" s="199"/>
      <c r="AK33" s="156"/>
      <c r="AL33" s="792">
        <f t="shared" si="8"/>
        <v>8.6956521739130436E-3</v>
      </c>
      <c r="AM33" s="792">
        <f t="shared" si="9"/>
        <v>-1.2601419878296147E-2</v>
      </c>
      <c r="AN33" s="792">
        <f t="shared" si="10"/>
        <v>3.9236833320494054E-2</v>
      </c>
      <c r="AO33" s="792">
        <f t="shared" si="11"/>
        <v>-1.2848706481184058E-2</v>
      </c>
      <c r="AP33" s="792">
        <f>AVERAGE(AL33:AO33)</f>
        <v>5.6205897837317224E-3</v>
      </c>
      <c r="AR33" s="973"/>
      <c r="AS33" s="973"/>
      <c r="AT33" s="973"/>
      <c r="AU33" s="973"/>
      <c r="AV33" s="973"/>
      <c r="AW33" s="199"/>
      <c r="AX33" s="973"/>
    </row>
    <row r="34" spans="1:50" s="83" customFormat="1" ht="13.5" customHeight="1" x14ac:dyDescent="0.2">
      <c r="A34" s="120"/>
      <c r="B34" s="125" t="s">
        <v>90</v>
      </c>
      <c r="C34" s="63"/>
      <c r="D34" s="63"/>
      <c r="E34" s="63"/>
      <c r="F34" s="63"/>
      <c r="G34" s="63"/>
      <c r="H34" s="63"/>
      <c r="I34" s="63"/>
      <c r="J34" s="63"/>
      <c r="K34" s="63"/>
      <c r="L34" s="63"/>
      <c r="M34" s="63"/>
      <c r="N34" s="63"/>
      <c r="O34" s="63"/>
      <c r="P34" s="63"/>
      <c r="Q34" s="137" t="s">
        <v>109</v>
      </c>
      <c r="S34" s="63"/>
      <c r="T34" s="63"/>
      <c r="U34" s="63"/>
      <c r="V34" s="119"/>
      <c r="W34" s="138"/>
      <c r="X34" s="147"/>
      <c r="Y34" s="82"/>
      <c r="Z34" s="179"/>
      <c r="AA34" s="179"/>
      <c r="AB34" s="179"/>
      <c r="AC34" s="179"/>
      <c r="AD34" s="179"/>
      <c r="AE34" s="179"/>
      <c r="AF34" s="179"/>
      <c r="AG34" s="179"/>
      <c r="AH34" s="179"/>
      <c r="AJ34" s="179"/>
      <c r="AK34" s="157"/>
    </row>
    <row r="35" spans="1:50" s="83" customFormat="1" ht="25.5" customHeight="1" x14ac:dyDescent="0.2">
      <c r="A35" s="120"/>
      <c r="B35" s="1425"/>
      <c r="C35" s="1426"/>
      <c r="D35" s="1426"/>
      <c r="E35" s="1426"/>
      <c r="F35" s="1426"/>
      <c r="G35" s="1426"/>
      <c r="H35" s="1426"/>
      <c r="I35" s="1426"/>
      <c r="J35" s="1426"/>
      <c r="K35" s="1426"/>
      <c r="L35" s="1426"/>
      <c r="M35" s="1426"/>
      <c r="N35" s="1426"/>
      <c r="O35" s="1426"/>
      <c r="P35" s="1426"/>
      <c r="Q35" s="1426"/>
      <c r="R35" s="1426"/>
      <c r="S35" s="1426"/>
      <c r="T35" s="1426"/>
      <c r="U35" s="1427"/>
      <c r="V35" s="119"/>
      <c r="W35" s="138"/>
      <c r="X35" s="147"/>
      <c r="Y35" s="82"/>
      <c r="Z35" s="179"/>
      <c r="AA35" s="179"/>
      <c r="AB35" s="179"/>
      <c r="AC35" s="179"/>
      <c r="AD35" s="179"/>
      <c r="AE35" s="179"/>
      <c r="AF35" s="179"/>
      <c r="AG35" s="179"/>
      <c r="AH35" s="179"/>
      <c r="AJ35" s="179"/>
      <c r="AK35" s="153"/>
      <c r="AL35" s="76"/>
      <c r="AM35" s="76"/>
      <c r="AN35" s="76"/>
      <c r="AO35" s="76"/>
      <c r="AP35" s="76"/>
      <c r="AQ35" s="76"/>
      <c r="AR35" s="76"/>
    </row>
    <row r="36" spans="1:50" s="83" customFormat="1" ht="7.5" customHeight="1" x14ac:dyDescent="0.2">
      <c r="A36" s="120"/>
      <c r="B36" s="18"/>
      <c r="C36" s="18"/>
      <c r="D36" s="17"/>
      <c r="E36" s="17"/>
      <c r="F36" s="17"/>
      <c r="G36" s="17"/>
      <c r="H36" s="17"/>
      <c r="I36" s="17"/>
      <c r="J36" s="13"/>
      <c r="K36" s="19"/>
      <c r="L36" s="19"/>
      <c r="M36" s="19"/>
      <c r="N36" s="19"/>
      <c r="O36" s="19"/>
      <c r="P36" s="19"/>
      <c r="Q36" s="19"/>
      <c r="R36" s="19"/>
      <c r="S36" s="19"/>
      <c r="T36" s="19"/>
      <c r="U36" s="20"/>
      <c r="V36" s="119"/>
      <c r="W36" s="138"/>
      <c r="X36" s="147"/>
      <c r="Z36" s="185"/>
      <c r="AJ36" s="179"/>
      <c r="AK36" s="153"/>
      <c r="AL36" s="76"/>
      <c r="AM36" s="76"/>
      <c r="AN36" s="76"/>
      <c r="AO36" s="76"/>
      <c r="AP36" s="76"/>
      <c r="AQ36" s="76"/>
      <c r="AR36" s="76"/>
    </row>
    <row r="37" spans="1:50"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1"/>
      <c r="V37" s="1422"/>
      <c r="W37" s="138"/>
      <c r="X37" s="147"/>
      <c r="Z37" s="185"/>
      <c r="AK37" s="157"/>
      <c r="AM37" s="83">
        <f>COLUMNS($B$4:K$4)</f>
        <v>10</v>
      </c>
      <c r="AN37" s="83">
        <f>COLUMNS($B$4:L$4)</f>
        <v>11</v>
      </c>
      <c r="AO37" s="83">
        <f>COLUMNS($B$4:M$4)</f>
        <v>12</v>
      </c>
      <c r="AP37" s="83">
        <f>COLUMNS($B$4:N$4)</f>
        <v>13</v>
      </c>
      <c r="AQ37" s="83">
        <f>COLUMNS($B$4:O$4)</f>
        <v>14</v>
      </c>
      <c r="AR37" s="83">
        <f>COLUMNS($B$4:S$4)</f>
        <v>18</v>
      </c>
    </row>
    <row r="38" spans="1:50"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0"/>
      <c r="J38" s="1429"/>
      <c r="K38" s="1429"/>
      <c r="L38" s="1429"/>
      <c r="M38" s="1429"/>
      <c r="N38" s="1429"/>
      <c r="O38" s="1429"/>
      <c r="P38" s="1431"/>
      <c r="Q38" s="1429"/>
      <c r="R38" s="1429"/>
      <c r="S38" s="1429"/>
      <c r="T38" s="1430"/>
      <c r="U38" s="1429"/>
      <c r="V38" s="1432"/>
      <c r="W38" s="138"/>
      <c r="X38" s="147"/>
      <c r="Z38" s="185"/>
      <c r="AJ38" s="179"/>
      <c r="AK38" s="156"/>
      <c r="AL38" s="89"/>
      <c r="AM38" s="1567" t="s">
        <v>89</v>
      </c>
      <c r="AN38" s="1568"/>
      <c r="AO38" s="1568"/>
      <c r="AP38" s="1568"/>
      <c r="AQ38" s="1569"/>
      <c r="AR38" s="1570" t="s">
        <v>95</v>
      </c>
    </row>
    <row r="39" spans="1:50" s="83" customFormat="1" ht="11.25" customHeight="1" x14ac:dyDescent="0.2">
      <c r="A39" s="114"/>
      <c r="B39" s="115"/>
      <c r="C39" s="115"/>
      <c r="D39" s="115"/>
      <c r="E39" s="115"/>
      <c r="F39" s="115"/>
      <c r="G39" s="115"/>
      <c r="H39" s="115"/>
      <c r="I39" s="115"/>
      <c r="J39" s="116"/>
      <c r="K39" s="115"/>
      <c r="L39" s="115"/>
      <c r="M39" s="115"/>
      <c r="N39" s="115"/>
      <c r="O39" s="115"/>
      <c r="P39" s="115"/>
      <c r="Q39" s="115"/>
      <c r="R39" s="115"/>
      <c r="S39" s="115"/>
      <c r="T39" s="115"/>
      <c r="U39" s="115"/>
      <c r="V39" s="117"/>
      <c r="W39" s="138"/>
      <c r="X39" s="146" t="s">
        <v>102</v>
      </c>
      <c r="Y39" s="192"/>
      <c r="Z39" s="192"/>
      <c r="AA39" s="192"/>
      <c r="AB39" s="192"/>
      <c r="AC39" s="192"/>
      <c r="AJ39" s="179"/>
      <c r="AK39" s="156"/>
      <c r="AL39" s="89"/>
      <c r="AM39" s="730" t="str">
        <f>Sheet1!$D$25</f>
        <v>2014-15</v>
      </c>
      <c r="AN39" s="730" t="str">
        <f>Sheet1!$E$25</f>
        <v>2015-16</v>
      </c>
      <c r="AO39" s="730" t="str">
        <f>Sheet1!$F$25</f>
        <v>2016-17</v>
      </c>
      <c r="AP39" s="730" t="str">
        <f>Sheet1!$G$25</f>
        <v>2017-18</v>
      </c>
      <c r="AQ39" s="730" t="str">
        <f>Sheet1!$H$25</f>
        <v>2018-19</v>
      </c>
      <c r="AR39" s="1571"/>
    </row>
    <row r="40" spans="1:50" s="83" customFormat="1" ht="3.75" customHeight="1" x14ac:dyDescent="0.25">
      <c r="A40" s="118"/>
      <c r="B40" s="9"/>
      <c r="C40" s="9"/>
      <c r="D40" s="9"/>
      <c r="E40" s="9"/>
      <c r="F40" s="9"/>
      <c r="G40" s="9"/>
      <c r="H40" s="9"/>
      <c r="I40" s="9"/>
      <c r="J40" s="13"/>
      <c r="K40" s="9"/>
      <c r="L40" s="9"/>
      <c r="M40" s="9"/>
      <c r="N40" s="9"/>
      <c r="O40" s="9"/>
      <c r="P40" s="9"/>
      <c r="Q40" s="9"/>
      <c r="R40" s="9"/>
      <c r="S40" s="9"/>
      <c r="T40" s="9"/>
      <c r="U40" s="9"/>
      <c r="V40" s="119"/>
      <c r="W40" s="138"/>
      <c r="X40" s="288"/>
      <c r="AD40" s="1188" t="s">
        <v>1002</v>
      </c>
      <c r="AK40" s="156"/>
      <c r="AL40" s="89"/>
      <c r="AM40" s="730" t="e">
        <f>Sheet1!$D$26</f>
        <v>#N/A</v>
      </c>
      <c r="AN40" s="730" t="e">
        <f>Sheet1!$E$26</f>
        <v>#N/A</v>
      </c>
      <c r="AO40" s="730" t="e">
        <f>Sheet1!$F$26</f>
        <v>#N/A</v>
      </c>
      <c r="AP40" s="730" t="e">
        <f>Sheet1!$G$26</f>
        <v>#N/A</v>
      </c>
      <c r="AQ40" s="730" t="e">
        <f>Sheet1!$H$26</f>
        <v>#N/A</v>
      </c>
      <c r="AR40" s="1572"/>
    </row>
    <row r="41" spans="1:50" s="83" customFormat="1" ht="14.25" customHeight="1" x14ac:dyDescent="0.2">
      <c r="A41" s="120"/>
      <c r="B41" s="9"/>
      <c r="C41" s="9"/>
      <c r="D41" s="9"/>
      <c r="E41" s="9"/>
      <c r="F41" s="9"/>
      <c r="G41" s="9"/>
      <c r="H41" s="9"/>
      <c r="I41" s="9"/>
      <c r="J41" s="13"/>
      <c r="K41" s="9"/>
      <c r="L41" s="9"/>
      <c r="M41" s="9"/>
      <c r="N41" s="9"/>
      <c r="O41" s="9"/>
      <c r="P41" s="9"/>
      <c r="Q41" s="9"/>
      <c r="R41" s="9"/>
      <c r="S41" s="9"/>
      <c r="T41" s="9"/>
      <c r="U41" s="9"/>
      <c r="V41" s="119"/>
      <c r="W41" s="138"/>
      <c r="X41" s="288"/>
      <c r="Y41" s="44" t="s">
        <v>72</v>
      </c>
      <c r="Z41" s="44" t="s">
        <v>70</v>
      </c>
      <c r="AA41" s="44" t="s">
        <v>71</v>
      </c>
      <c r="AB41" s="1061">
        <v>5</v>
      </c>
      <c r="AC41" s="212">
        <f>(AB41*Z42)+AA42</f>
        <v>221.00047064552328</v>
      </c>
      <c r="AD41" s="203">
        <f>ROUND(ChartLabels!$AA10,3)</f>
        <v>0.60299999999999998</v>
      </c>
      <c r="AJ41" s="560" t="b">
        <v>1</v>
      </c>
      <c r="AK41" s="156" t="s">
        <v>0</v>
      </c>
      <c r="AL41" s="89" t="str">
        <f t="shared" ref="AL41:AL64" si="15">IF(AJ41=TRUE,B10,"")</f>
        <v>Bracknell Forest</v>
      </c>
      <c r="AM41" s="143">
        <f t="shared" ref="AM41:AQ50" si="16">VLOOKUP($AL41,$B$10:$O$33,AM$37,FALSE)</f>
        <v>269.06474820143887</v>
      </c>
      <c r="AN41" s="143">
        <f t="shared" si="16"/>
        <v>297.51773049645391</v>
      </c>
      <c r="AO41" s="143">
        <f t="shared" si="16"/>
        <v>347.87234042553189</v>
      </c>
      <c r="AP41" s="143">
        <f t="shared" si="16"/>
        <v>353.38078291814946</v>
      </c>
      <c r="AQ41" s="143">
        <f t="shared" si="16"/>
        <v>368.55123674911658</v>
      </c>
      <c r="AR41" s="144">
        <f>VLOOKUP(AL41,$B$10:$U$33,$AR$37,FALSE)</f>
        <v>8.9</v>
      </c>
    </row>
    <row r="42" spans="1:50" s="83" customFormat="1" ht="14.25" customHeight="1" x14ac:dyDescent="0.2">
      <c r="A42" s="120"/>
      <c r="B42" s="9"/>
      <c r="C42" s="9"/>
      <c r="D42" s="9"/>
      <c r="E42" s="9"/>
      <c r="F42" s="9"/>
      <c r="G42" s="9"/>
      <c r="H42" s="9"/>
      <c r="I42" s="9"/>
      <c r="J42" s="13"/>
      <c r="K42" s="9"/>
      <c r="L42" s="9"/>
      <c r="M42" s="9"/>
      <c r="N42" s="9"/>
      <c r="O42" s="9"/>
      <c r="P42" s="9"/>
      <c r="Q42" s="9"/>
      <c r="R42" s="9"/>
      <c r="S42" s="9"/>
      <c r="T42" s="9"/>
      <c r="U42" s="9"/>
      <c r="V42" s="119"/>
      <c r="W42" s="138"/>
      <c r="X42" s="288"/>
      <c r="Y42" s="208" t="str">
        <f>"Y= "&amp;Z42&amp;"x + "&amp;AA42</f>
        <v>Y= 13.8322485022265x + 151.839228134391</v>
      </c>
      <c r="Z42" s="712">
        <f>ChartLabels!$Y10</f>
        <v>13.832248502226497</v>
      </c>
      <c r="AA42" s="712">
        <f>ChartLabels!$Z10</f>
        <v>151.83922813439079</v>
      </c>
      <c r="AB42" s="211">
        <v>35</v>
      </c>
      <c r="AC42" s="212">
        <f>(AB42*Z42)+AA42</f>
        <v>635.96792571231822</v>
      </c>
      <c r="AD42" s="1187" t="str">
        <f>AD40&amp;" = "&amp;AD41</f>
        <v>r² = 0.603</v>
      </c>
      <c r="AJ42" s="560" t="b">
        <v>1</v>
      </c>
      <c r="AK42" s="156" t="s">
        <v>31</v>
      </c>
      <c r="AL42" s="89" t="str">
        <f t="shared" si="15"/>
        <v>Brighton &amp; Hove</v>
      </c>
      <c r="AM42" s="143">
        <f t="shared" si="16"/>
        <v>485.29411764705884</v>
      </c>
      <c r="AN42" s="143">
        <f t="shared" si="16"/>
        <v>458.3984375</v>
      </c>
      <c r="AO42" s="143">
        <f t="shared" si="16"/>
        <v>422.22222222222223</v>
      </c>
      <c r="AP42" s="143">
        <f t="shared" si="16"/>
        <v>426.47058823529414</v>
      </c>
      <c r="AQ42" s="143">
        <f t="shared" si="16"/>
        <v>399.80392156862746</v>
      </c>
      <c r="AR42" s="144">
        <f t="shared" ref="AR42:AR64" si="17">VLOOKUP(AL42,$B$10:$U$33,$AR$37,FALSE)</f>
        <v>15.299999999999999</v>
      </c>
    </row>
    <row r="43" spans="1:50" ht="14.25" customHeight="1" x14ac:dyDescent="0.2">
      <c r="A43" s="120"/>
      <c r="B43" s="9"/>
      <c r="C43" s="9"/>
      <c r="D43" s="9"/>
      <c r="E43" s="9"/>
      <c r="F43" s="9"/>
      <c r="G43" s="9"/>
      <c r="H43" s="9"/>
      <c r="I43" s="9"/>
      <c r="J43" s="13"/>
      <c r="K43" s="9"/>
      <c r="L43" s="9"/>
      <c r="M43" s="9"/>
      <c r="N43" s="9"/>
      <c r="O43" s="9"/>
      <c r="P43" s="9"/>
      <c r="Q43" s="9"/>
      <c r="R43" s="9"/>
      <c r="S43" s="9"/>
      <c r="T43" s="9"/>
      <c r="U43" s="9"/>
      <c r="V43" s="119"/>
      <c r="W43" s="138"/>
      <c r="X43" s="288"/>
      <c r="Y43" s="44" t="str">
        <f>"National Trend "&amp;Sheet1!$B$8</f>
        <v>National Trend 2019</v>
      </c>
      <c r="Z43" s="205" t="s">
        <v>70</v>
      </c>
      <c r="AA43" s="44" t="s">
        <v>71</v>
      </c>
      <c r="AB43" s="1061">
        <v>5</v>
      </c>
      <c r="AC43" s="207">
        <f>((AB43*Z44)+AA44)/$Y$2</f>
        <v>230.37174278417166</v>
      </c>
      <c r="AD43" s="714" t="str">
        <f>"r² = "&amp;ROUND(AD44,3)</f>
        <v>r² = 0.352</v>
      </c>
      <c r="AJ43" s="560" t="b">
        <v>1</v>
      </c>
      <c r="AK43" s="156" t="s">
        <v>8</v>
      </c>
      <c r="AL43" s="89" t="str">
        <f t="shared" si="15"/>
        <v>Buckinghamshire</v>
      </c>
      <c r="AM43" s="143">
        <f t="shared" si="16"/>
        <v>227.33389402859547</v>
      </c>
      <c r="AN43" s="143">
        <f t="shared" si="16"/>
        <v>218.49087893864015</v>
      </c>
      <c r="AO43" s="143">
        <f t="shared" si="16"/>
        <v>275.20458265139115</v>
      </c>
      <c r="AP43" s="143">
        <f t="shared" si="16"/>
        <v>301.70593013809912</v>
      </c>
      <c r="AQ43" s="143">
        <f t="shared" si="16"/>
        <v>268.54384553499597</v>
      </c>
      <c r="AR43" s="144">
        <f t="shared" si="17"/>
        <v>8.5</v>
      </c>
      <c r="AS43" s="83"/>
      <c r="AT43" s="83"/>
      <c r="AU43" s="83"/>
      <c r="AV43" s="83"/>
      <c r="AW43" s="83"/>
      <c r="AX43" s="83"/>
    </row>
    <row r="44" spans="1:50" ht="14.25" customHeight="1" x14ac:dyDescent="0.2">
      <c r="A44" s="120"/>
      <c r="B44" s="9"/>
      <c r="C44" s="9"/>
      <c r="D44" s="9"/>
      <c r="E44" s="9"/>
      <c r="F44" s="9"/>
      <c r="G44" s="9"/>
      <c r="H44" s="9"/>
      <c r="I44" s="9"/>
      <c r="J44" s="13"/>
      <c r="K44" s="14"/>
      <c r="L44" s="14"/>
      <c r="M44" s="14"/>
      <c r="N44" s="14"/>
      <c r="O44" s="15"/>
      <c r="P44" s="15"/>
      <c r="Q44" s="15"/>
      <c r="R44" s="15"/>
      <c r="S44" s="15"/>
      <c r="T44" s="15"/>
      <c r="U44" s="15"/>
      <c r="V44" s="119"/>
      <c r="W44" s="138"/>
      <c r="X44" s="288"/>
      <c r="Y44" s="208" t="str">
        <f>"Y= "&amp;Z44&amp;"x + "&amp;AA44</f>
        <v>Y= 10.4876709124777x + 177.933388221783</v>
      </c>
      <c r="Z44" s="715">
        <f>Sheet1!G7</f>
        <v>10.487670912477695</v>
      </c>
      <c r="AA44" s="716">
        <f>Sheet1!G8</f>
        <v>177.93338822178319</v>
      </c>
      <c r="AB44" s="211">
        <v>35</v>
      </c>
      <c r="AC44" s="212">
        <f>((AB44*Z44)+AA44)/$Y$2</f>
        <v>545.00187015850247</v>
      </c>
      <c r="AD44" s="83">
        <f>Sheet1!G9</f>
        <v>0.35187090777725144</v>
      </c>
      <c r="AJ44" s="560" t="b">
        <v>1</v>
      </c>
      <c r="AK44" s="156" t="s">
        <v>4</v>
      </c>
      <c r="AL44" s="89" t="str">
        <f t="shared" si="15"/>
        <v>East Sussex</v>
      </c>
      <c r="AM44" s="143">
        <f t="shared" si="16"/>
        <v>317.93168880455408</v>
      </c>
      <c r="AN44" s="143">
        <f t="shared" si="16"/>
        <v>283.19169027384328</v>
      </c>
      <c r="AO44" s="143">
        <f t="shared" si="16"/>
        <v>296.50613786591123</v>
      </c>
      <c r="AP44" s="143">
        <f t="shared" si="16"/>
        <v>295.66037735849056</v>
      </c>
      <c r="AQ44" s="143">
        <f t="shared" si="16"/>
        <v>294.64285714285711</v>
      </c>
      <c r="AR44" s="144">
        <f t="shared" si="17"/>
        <v>16.100000000000001</v>
      </c>
      <c r="AS44" s="341"/>
      <c r="AT44" s="341"/>
      <c r="AU44" s="341"/>
      <c r="AV44" s="341"/>
      <c r="AW44" s="341"/>
      <c r="AX44" s="83"/>
    </row>
    <row r="45" spans="1:50" s="78" customFormat="1" ht="14.25" customHeight="1" x14ac:dyDescent="0.2">
      <c r="A45" s="121"/>
      <c r="B45" s="220"/>
      <c r="C45" s="220"/>
      <c r="D45" s="221"/>
      <c r="E45" s="221"/>
      <c r="F45" s="221"/>
      <c r="G45" s="221"/>
      <c r="H45" s="221"/>
      <c r="I45" s="221"/>
      <c r="J45" s="16"/>
      <c r="K45" s="9"/>
      <c r="L45" s="9"/>
      <c r="M45" s="9"/>
      <c r="N45" s="9"/>
      <c r="O45" s="9"/>
      <c r="P45" s="9"/>
      <c r="Q45" s="9"/>
      <c r="R45" s="9"/>
      <c r="S45" s="9"/>
      <c r="T45" s="9"/>
      <c r="U45" s="9"/>
      <c r="V45" s="122"/>
      <c r="W45" s="139"/>
      <c r="X45" s="289"/>
      <c r="AD45" s="83"/>
      <c r="AE45" s="83"/>
      <c r="AF45" s="83"/>
      <c r="AG45" s="83"/>
      <c r="AH45" s="83"/>
      <c r="AI45" s="83"/>
      <c r="AJ45" s="560" t="b">
        <v>1</v>
      </c>
      <c r="AK45" s="156" t="s">
        <v>6</v>
      </c>
      <c r="AL45" s="89" t="str">
        <f t="shared" si="15"/>
        <v>Hampshire</v>
      </c>
      <c r="AM45" s="143">
        <f t="shared" si="16"/>
        <v>277.72646536412077</v>
      </c>
      <c r="AN45" s="143">
        <f t="shared" si="16"/>
        <v>309.7552323518978</v>
      </c>
      <c r="AO45" s="143">
        <f t="shared" si="16"/>
        <v>308.09759547383311</v>
      </c>
      <c r="AP45" s="143">
        <f t="shared" si="16"/>
        <v>292.44617013766327</v>
      </c>
      <c r="AQ45" s="143">
        <f t="shared" si="16"/>
        <v>302.28873239436621</v>
      </c>
      <c r="AR45" s="144">
        <f t="shared" si="17"/>
        <v>10.100000000000001</v>
      </c>
      <c r="AS45" s="341"/>
      <c r="AT45" s="341"/>
      <c r="AU45" s="341"/>
      <c r="AV45" s="341"/>
      <c r="AW45" s="341"/>
    </row>
    <row r="46" spans="1:50" ht="14.25" customHeight="1" x14ac:dyDescent="0.2">
      <c r="A46" s="120"/>
      <c r="B46" s="221"/>
      <c r="C46" s="221"/>
      <c r="D46" s="221"/>
      <c r="E46" s="221"/>
      <c r="F46" s="221"/>
      <c r="G46" s="221"/>
      <c r="H46" s="221"/>
      <c r="I46" s="221"/>
      <c r="J46" s="13"/>
      <c r="K46" s="15"/>
      <c r="L46" s="15"/>
      <c r="M46" s="15"/>
      <c r="N46" s="15"/>
      <c r="O46" s="9"/>
      <c r="P46" s="9"/>
      <c r="Q46" s="9"/>
      <c r="R46" s="9"/>
      <c r="S46" s="9"/>
      <c r="T46" s="9"/>
      <c r="U46" s="9"/>
      <c r="V46" s="119"/>
      <c r="W46" s="138"/>
      <c r="X46" s="288"/>
      <c r="AJ46" s="560" t="b">
        <v>1</v>
      </c>
      <c r="AK46" s="156" t="s">
        <v>1</v>
      </c>
      <c r="AL46" s="89" t="str">
        <f t="shared" si="15"/>
        <v>Isle of Wight</v>
      </c>
      <c r="AM46" s="143">
        <f t="shared" si="16"/>
        <v>428.23529411764707</v>
      </c>
      <c r="AN46" s="143">
        <f t="shared" si="16"/>
        <v>514.62450592885375</v>
      </c>
      <c r="AO46" s="143">
        <f t="shared" si="16"/>
        <v>494.84126984126982</v>
      </c>
      <c r="AP46" s="143">
        <f t="shared" si="16"/>
        <v>490.03984063745014</v>
      </c>
      <c r="AQ46" s="143">
        <f t="shared" si="16"/>
        <v>473.09236947791163</v>
      </c>
      <c r="AR46" s="144">
        <f t="shared" si="17"/>
        <v>18</v>
      </c>
      <c r="AS46" s="341"/>
      <c r="AT46" s="341"/>
      <c r="AU46" s="341"/>
      <c r="AV46" s="341"/>
      <c r="AW46" s="341"/>
    </row>
    <row r="47" spans="1:50" ht="14.25" customHeight="1" x14ac:dyDescent="0.2">
      <c r="A47" s="120"/>
      <c r="B47" s="221"/>
      <c r="C47" s="221"/>
      <c r="D47" s="221"/>
      <c r="E47" s="221"/>
      <c r="F47" s="221"/>
      <c r="G47" s="221"/>
      <c r="H47" s="221"/>
      <c r="I47" s="221"/>
      <c r="J47" s="13"/>
      <c r="K47" s="15"/>
      <c r="L47" s="15"/>
      <c r="M47" s="15"/>
      <c r="N47" s="15"/>
      <c r="O47" s="9"/>
      <c r="P47" s="9"/>
      <c r="Q47" s="9"/>
      <c r="R47" s="9"/>
      <c r="S47" s="9"/>
      <c r="T47" s="9"/>
      <c r="U47" s="9"/>
      <c r="V47" s="119"/>
      <c r="W47" s="138"/>
      <c r="X47" s="288"/>
      <c r="AD47" s="204"/>
      <c r="AJ47" s="560" t="b">
        <v>1</v>
      </c>
      <c r="AK47" s="156" t="s">
        <v>9</v>
      </c>
      <c r="AL47" s="89" t="str">
        <f t="shared" si="15"/>
        <v>Kent</v>
      </c>
      <c r="AM47" s="143">
        <f t="shared" si="16"/>
        <v>279.68321657021016</v>
      </c>
      <c r="AN47" s="143">
        <f t="shared" si="16"/>
        <v>281.17433414043586</v>
      </c>
      <c r="AO47" s="143">
        <f t="shared" si="16"/>
        <v>300.45045045045043</v>
      </c>
      <c r="AP47" s="143">
        <f t="shared" si="16"/>
        <v>298.09580481999404</v>
      </c>
      <c r="AQ47" s="143">
        <f t="shared" si="16"/>
        <v>304.91032049397239</v>
      </c>
      <c r="AR47" s="144">
        <f t="shared" si="17"/>
        <v>15.8</v>
      </c>
      <c r="AS47" s="341"/>
      <c r="AT47" s="341"/>
      <c r="AU47" s="341"/>
      <c r="AV47" s="341"/>
      <c r="AW47" s="341"/>
    </row>
    <row r="48" spans="1:50" ht="14.25" customHeight="1" x14ac:dyDescent="0.2">
      <c r="A48" s="120"/>
      <c r="B48" s="58"/>
      <c r="C48" s="58"/>
      <c r="D48" s="58"/>
      <c r="E48" s="58"/>
      <c r="F48" s="58"/>
      <c r="G48" s="58"/>
      <c r="H48" s="58"/>
      <c r="I48" s="58"/>
      <c r="J48" s="13"/>
      <c r="K48" s="15"/>
      <c r="L48" s="15"/>
      <c r="M48" s="15"/>
      <c r="N48" s="15"/>
      <c r="O48" s="9"/>
      <c r="P48" s="9"/>
      <c r="Q48" s="9"/>
      <c r="R48" s="9"/>
      <c r="S48" s="9"/>
      <c r="T48" s="9"/>
      <c r="U48" s="9"/>
      <c r="V48" s="119"/>
      <c r="W48" s="138"/>
      <c r="X48" s="288"/>
      <c r="AD48" s="179"/>
      <c r="AJ48" s="560" t="b">
        <v>1</v>
      </c>
      <c r="AK48" s="156" t="s">
        <v>2</v>
      </c>
      <c r="AL48" s="89" t="str">
        <f t="shared" si="15"/>
        <v>Medway</v>
      </c>
      <c r="AM48" s="143">
        <f t="shared" si="16"/>
        <v>407.03999999999996</v>
      </c>
      <c r="AN48" s="143">
        <f t="shared" si="16"/>
        <v>414.24050632911394</v>
      </c>
      <c r="AO48" s="143">
        <f t="shared" si="16"/>
        <v>278.80690737833595</v>
      </c>
      <c r="AP48" s="143">
        <f t="shared" si="16"/>
        <v>304.38184663536776</v>
      </c>
      <c r="AQ48" s="143">
        <f t="shared" si="16"/>
        <v>375.31055900621118</v>
      </c>
      <c r="AR48" s="144">
        <f t="shared" si="17"/>
        <v>18.899999999999999</v>
      </c>
      <c r="AS48" s="341"/>
      <c r="AT48" s="341"/>
      <c r="AU48" s="341"/>
      <c r="AV48" s="341"/>
      <c r="AW48" s="341"/>
    </row>
    <row r="49" spans="1:49" ht="14.25" customHeight="1" x14ac:dyDescent="0.2">
      <c r="A49" s="120"/>
      <c r="B49" s="58"/>
      <c r="C49" s="58"/>
      <c r="D49" s="68"/>
      <c r="E49" s="69"/>
      <c r="F49" s="68"/>
      <c r="G49" s="69"/>
      <c r="H49" s="69"/>
      <c r="I49" s="69"/>
      <c r="J49" s="13"/>
      <c r="K49" s="15"/>
      <c r="L49" s="15"/>
      <c r="M49" s="15"/>
      <c r="N49" s="15"/>
      <c r="O49" s="9"/>
      <c r="P49" s="9"/>
      <c r="Q49" s="9"/>
      <c r="R49" s="9"/>
      <c r="S49" s="9"/>
      <c r="T49" s="9"/>
      <c r="U49" s="9"/>
      <c r="V49" s="119"/>
      <c r="W49" s="138"/>
      <c r="X49" s="288"/>
      <c r="AJ49" s="560" t="b">
        <v>1</v>
      </c>
      <c r="AK49" s="156" t="s">
        <v>10</v>
      </c>
      <c r="AL49" s="89" t="str">
        <f t="shared" si="15"/>
        <v>Milton Keynes</v>
      </c>
      <c r="AM49" s="143">
        <f t="shared" si="16"/>
        <v>242.94478527607362</v>
      </c>
      <c r="AN49" s="143">
        <f t="shared" si="16"/>
        <v>261.72465960665659</v>
      </c>
      <c r="AO49" s="143">
        <f t="shared" si="16"/>
        <v>301.78837555886736</v>
      </c>
      <c r="AP49" s="143">
        <f t="shared" si="16"/>
        <v>277.21893491124263</v>
      </c>
      <c r="AQ49" s="143">
        <f t="shared" si="16"/>
        <v>315.66617862371885</v>
      </c>
      <c r="AR49" s="144">
        <f t="shared" si="17"/>
        <v>15</v>
      </c>
      <c r="AS49" s="341"/>
      <c r="AT49" s="341"/>
      <c r="AU49" s="341"/>
      <c r="AV49" s="341"/>
      <c r="AW49" s="341"/>
    </row>
    <row r="50" spans="1:49" ht="14.25" customHeight="1" x14ac:dyDescent="0.2">
      <c r="A50" s="120"/>
      <c r="B50" s="58"/>
      <c r="C50" s="58"/>
      <c r="D50" s="61"/>
      <c r="E50" s="61"/>
      <c r="F50" s="61"/>
      <c r="G50" s="61"/>
      <c r="H50" s="61"/>
      <c r="I50" s="61"/>
      <c r="J50" s="13"/>
      <c r="K50" s="15"/>
      <c r="L50" s="15"/>
      <c r="M50" s="15"/>
      <c r="N50" s="15"/>
      <c r="O50" s="9"/>
      <c r="P50" s="9"/>
      <c r="Q50" s="9"/>
      <c r="R50" s="9"/>
      <c r="S50" s="9"/>
      <c r="T50" s="9"/>
      <c r="U50" s="9"/>
      <c r="V50" s="119"/>
      <c r="W50" s="138"/>
      <c r="X50" s="288"/>
      <c r="AJ50" s="560" t="b">
        <v>1</v>
      </c>
      <c r="AK50" s="156" t="s">
        <v>11</v>
      </c>
      <c r="AL50" s="89" t="str">
        <f t="shared" si="15"/>
        <v>Oxfordshire</v>
      </c>
      <c r="AM50" s="143">
        <f t="shared" si="16"/>
        <v>277.40793201133147</v>
      </c>
      <c r="AN50" s="143">
        <f t="shared" si="16"/>
        <v>326.93935119887163</v>
      </c>
      <c r="AO50" s="143">
        <f t="shared" si="16"/>
        <v>336.4590622813156</v>
      </c>
      <c r="AP50" s="143">
        <f t="shared" si="16"/>
        <v>299.37238493723851</v>
      </c>
      <c r="AQ50" s="143">
        <f t="shared" si="16"/>
        <v>311.53314917127068</v>
      </c>
      <c r="AR50" s="144">
        <f t="shared" si="17"/>
        <v>10.100000000000001</v>
      </c>
      <c r="AS50" s="341"/>
      <c r="AT50" s="341"/>
      <c r="AU50" s="341"/>
      <c r="AV50" s="341"/>
      <c r="AW50" s="341"/>
    </row>
    <row r="51" spans="1:49" ht="14.25" customHeight="1" x14ac:dyDescent="0.2">
      <c r="A51" s="120"/>
      <c r="B51" s="356"/>
      <c r="C51" s="356"/>
      <c r="D51" s="58"/>
      <c r="E51" s="58"/>
      <c r="F51" s="58"/>
      <c r="G51" s="58"/>
      <c r="H51" s="58"/>
      <c r="I51" s="58"/>
      <c r="J51" s="13"/>
      <c r="K51" s="15"/>
      <c r="L51" s="15"/>
      <c r="M51" s="15"/>
      <c r="N51" s="15"/>
      <c r="O51" s="9"/>
      <c r="P51" s="9"/>
      <c r="Q51" s="9"/>
      <c r="R51" s="9"/>
      <c r="S51" s="9"/>
      <c r="T51" s="9"/>
      <c r="U51" s="9"/>
      <c r="V51" s="119"/>
      <c r="W51" s="138"/>
      <c r="X51" s="288"/>
      <c r="AJ51" s="560" t="b">
        <v>1</v>
      </c>
      <c r="AK51" s="156" t="s">
        <v>12</v>
      </c>
      <c r="AL51" s="89" t="str">
        <f t="shared" si="15"/>
        <v>Portsmouth</v>
      </c>
      <c r="AM51" s="143">
        <f t="shared" ref="AM51:AQ64" si="18">VLOOKUP($AL51,$B$10:$O$33,AM$37,FALSE)</f>
        <v>330.87557603686639</v>
      </c>
      <c r="AN51" s="143">
        <f t="shared" si="18"/>
        <v>303.88127853881281</v>
      </c>
      <c r="AO51" s="143">
        <f t="shared" si="18"/>
        <v>325.45454545454544</v>
      </c>
      <c r="AP51" s="143">
        <f t="shared" si="18"/>
        <v>395.47511312217199</v>
      </c>
      <c r="AQ51" s="143">
        <f t="shared" si="18"/>
        <v>373.86363636363632</v>
      </c>
      <c r="AR51" s="144">
        <f t="shared" si="17"/>
        <v>20.200000000000003</v>
      </c>
      <c r="AS51" s="341"/>
      <c r="AT51" s="341"/>
      <c r="AU51" s="341"/>
      <c r="AV51" s="341"/>
      <c r="AW51" s="341"/>
    </row>
    <row r="52" spans="1:49" ht="14.25" customHeight="1" x14ac:dyDescent="0.2">
      <c r="A52" s="120"/>
      <c r="B52" s="356"/>
      <c r="C52" s="356"/>
      <c r="D52" s="58"/>
      <c r="E52" s="58"/>
      <c r="F52" s="58"/>
      <c r="G52" s="58"/>
      <c r="H52" s="58"/>
      <c r="I52" s="58"/>
      <c r="J52" s="13"/>
      <c r="K52" s="15"/>
      <c r="L52" s="15"/>
      <c r="M52" s="15"/>
      <c r="N52" s="15"/>
      <c r="O52" s="9"/>
      <c r="P52" s="9"/>
      <c r="Q52" s="9"/>
      <c r="R52" s="9"/>
      <c r="S52" s="9"/>
      <c r="T52" s="9"/>
      <c r="U52" s="9"/>
      <c r="V52" s="119"/>
      <c r="W52" s="138"/>
      <c r="X52" s="288"/>
      <c r="AJ52" s="560" t="b">
        <v>1</v>
      </c>
      <c r="AK52" s="156" t="s">
        <v>3</v>
      </c>
      <c r="AL52" s="89" t="str">
        <f t="shared" si="15"/>
        <v>Reading</v>
      </c>
      <c r="AM52" s="143">
        <f t="shared" si="18"/>
        <v>388.30083565459609</v>
      </c>
      <c r="AN52" s="143">
        <f t="shared" si="18"/>
        <v>513.46153846153845</v>
      </c>
      <c r="AO52" s="143">
        <f t="shared" si="18"/>
        <v>486.61202185792348</v>
      </c>
      <c r="AP52" s="143">
        <f t="shared" si="18"/>
        <v>453.63881401617249</v>
      </c>
      <c r="AQ52" s="143">
        <f t="shared" si="18"/>
        <v>440.70080862533695</v>
      </c>
      <c r="AR52" s="144">
        <f t="shared" si="17"/>
        <v>16</v>
      </c>
      <c r="AS52" s="341"/>
      <c r="AT52" s="341"/>
      <c r="AU52" s="341"/>
      <c r="AV52" s="341"/>
      <c r="AW52" s="341"/>
    </row>
    <row r="53" spans="1:49" ht="14.25" customHeight="1" x14ac:dyDescent="0.2">
      <c r="A53" s="120"/>
      <c r="B53" s="356"/>
      <c r="C53" s="356"/>
      <c r="D53" s="58"/>
      <c r="E53" s="58"/>
      <c r="F53" s="58"/>
      <c r="G53" s="58"/>
      <c r="H53" s="58"/>
      <c r="I53" s="58"/>
      <c r="J53" s="13"/>
      <c r="K53" s="15"/>
      <c r="L53" s="15"/>
      <c r="M53" s="15"/>
      <c r="N53" s="15"/>
      <c r="O53" s="9"/>
      <c r="P53" s="9"/>
      <c r="Q53" s="9"/>
      <c r="R53" s="9"/>
      <c r="S53" s="9"/>
      <c r="T53" s="9"/>
      <c r="U53" s="9"/>
      <c r="V53" s="119"/>
      <c r="W53" s="138"/>
      <c r="X53" s="288"/>
      <c r="AJ53" s="560" t="b">
        <v>1</v>
      </c>
      <c r="AK53" s="156" t="s">
        <v>13</v>
      </c>
      <c r="AL53" s="89" t="str">
        <f t="shared" si="15"/>
        <v>Slough</v>
      </c>
      <c r="AM53" s="143">
        <f t="shared" si="18"/>
        <v>363.40852130325811</v>
      </c>
      <c r="AN53" s="143">
        <f t="shared" si="18"/>
        <v>394.33497536945811</v>
      </c>
      <c r="AO53" s="143">
        <f t="shared" si="18"/>
        <v>292.75362318840575</v>
      </c>
      <c r="AP53" s="143">
        <f t="shared" si="18"/>
        <v>289.81042654028437</v>
      </c>
      <c r="AQ53" s="143">
        <f t="shared" si="18"/>
        <v>333.95784543325527</v>
      </c>
      <c r="AR53" s="144">
        <f t="shared" si="17"/>
        <v>14.7</v>
      </c>
      <c r="AS53" s="341"/>
      <c r="AT53" s="341"/>
      <c r="AU53" s="341"/>
      <c r="AV53" s="341"/>
      <c r="AW53" s="341"/>
    </row>
    <row r="54" spans="1:49" ht="14.25" customHeight="1" x14ac:dyDescent="0.2">
      <c r="A54" s="120"/>
      <c r="B54" s="356"/>
      <c r="C54" s="356"/>
      <c r="D54" s="58"/>
      <c r="E54" s="58"/>
      <c r="F54" s="58"/>
      <c r="G54" s="58"/>
      <c r="H54" s="58"/>
      <c r="I54" s="58"/>
      <c r="J54" s="13"/>
      <c r="K54" s="15"/>
      <c r="L54" s="15"/>
      <c r="M54" s="15"/>
      <c r="N54" s="15"/>
      <c r="O54" s="9"/>
      <c r="P54" s="9"/>
      <c r="Q54" s="9"/>
      <c r="R54" s="9"/>
      <c r="S54" s="9"/>
      <c r="T54" s="9"/>
      <c r="U54" s="9"/>
      <c r="V54" s="119"/>
      <c r="W54" s="138"/>
      <c r="X54" s="288"/>
      <c r="AJ54" s="560" t="b">
        <v>1</v>
      </c>
      <c r="AK54" s="156" t="s">
        <v>93</v>
      </c>
      <c r="AL54" s="89" t="str">
        <f t="shared" si="15"/>
        <v>Somerset</v>
      </c>
      <c r="AM54" s="143">
        <f t="shared" si="18"/>
        <v>391.55188246097339</v>
      </c>
      <c r="AN54" s="143">
        <f t="shared" si="18"/>
        <v>265.84249084249086</v>
      </c>
      <c r="AO54" s="143">
        <f t="shared" si="18"/>
        <v>283.40929808568825</v>
      </c>
      <c r="AP54" s="143">
        <f t="shared" si="18"/>
        <v>290.00908265213445</v>
      </c>
      <c r="AQ54" s="143">
        <f t="shared" si="18"/>
        <v>235.59168925022584</v>
      </c>
      <c r="AR54" s="144">
        <f t="shared" si="17"/>
        <v>13.600000000000001</v>
      </c>
      <c r="AS54" s="341"/>
      <c r="AT54" s="341"/>
      <c r="AU54" s="341"/>
      <c r="AV54" s="341"/>
      <c r="AW54" s="341"/>
    </row>
    <row r="55" spans="1:49" ht="14.25" customHeight="1" x14ac:dyDescent="0.2">
      <c r="A55" s="120"/>
      <c r="B55" s="356"/>
      <c r="C55" s="356"/>
      <c r="D55" s="58"/>
      <c r="E55" s="58"/>
      <c r="F55" s="58"/>
      <c r="G55" s="58"/>
      <c r="H55" s="58"/>
      <c r="I55" s="58"/>
      <c r="J55" s="13"/>
      <c r="K55" s="15"/>
      <c r="L55" s="15"/>
      <c r="M55" s="15"/>
      <c r="N55" s="15"/>
      <c r="O55" s="9"/>
      <c r="P55" s="9"/>
      <c r="Q55" s="9"/>
      <c r="R55" s="9"/>
      <c r="S55" s="9"/>
      <c r="T55" s="9"/>
      <c r="U55" s="9"/>
      <c r="V55" s="119"/>
      <c r="W55" s="138"/>
      <c r="X55" s="288"/>
      <c r="AJ55" s="560" t="b">
        <v>1</v>
      </c>
      <c r="AK55" s="156" t="s">
        <v>14</v>
      </c>
      <c r="AL55" s="89" t="str">
        <f t="shared" si="15"/>
        <v>Southampton</v>
      </c>
      <c r="AM55" s="143">
        <f t="shared" si="18"/>
        <v>277.16049382716051</v>
      </c>
      <c r="AN55" s="143">
        <f t="shared" si="18"/>
        <v>700.00000000000011</v>
      </c>
      <c r="AO55" s="143">
        <f t="shared" si="18"/>
        <v>458.31663326653302</v>
      </c>
      <c r="AP55" s="143">
        <f t="shared" si="18"/>
        <v>475.94433399602383</v>
      </c>
      <c r="AQ55" s="143">
        <f t="shared" si="18"/>
        <v>523.03149606299212</v>
      </c>
      <c r="AR55" s="144">
        <f t="shared" si="17"/>
        <v>20.5</v>
      </c>
      <c r="AS55" s="341"/>
      <c r="AT55" s="341"/>
      <c r="AU55" s="341"/>
      <c r="AV55" s="341"/>
      <c r="AW55" s="341"/>
    </row>
    <row r="56" spans="1:49" ht="14.25" customHeight="1" x14ac:dyDescent="0.2">
      <c r="A56" s="120"/>
      <c r="B56" s="356"/>
      <c r="C56" s="356"/>
      <c r="D56" s="58"/>
      <c r="E56" s="58"/>
      <c r="F56" s="58"/>
      <c r="G56" s="58"/>
      <c r="H56" s="58"/>
      <c r="I56" s="58"/>
      <c r="J56" s="13"/>
      <c r="K56" s="15"/>
      <c r="L56" s="15"/>
      <c r="M56" s="15"/>
      <c r="N56" s="15"/>
      <c r="O56" s="9"/>
      <c r="P56" s="9"/>
      <c r="Q56" s="9"/>
      <c r="R56" s="9"/>
      <c r="S56" s="9"/>
      <c r="T56" s="9"/>
      <c r="U56" s="9"/>
      <c r="V56" s="119"/>
      <c r="W56" s="138"/>
      <c r="X56" s="288"/>
      <c r="AJ56" s="560" t="b">
        <v>1</v>
      </c>
      <c r="AK56" s="156" t="s">
        <v>7</v>
      </c>
      <c r="AL56" s="89" t="str">
        <f t="shared" si="15"/>
        <v>Surrey</v>
      </c>
      <c r="AM56" s="143">
        <f t="shared" si="18"/>
        <v>225.25530243519245</v>
      </c>
      <c r="AN56" s="143">
        <f t="shared" si="18"/>
        <v>242.86271450858032</v>
      </c>
      <c r="AO56" s="143">
        <f t="shared" si="18"/>
        <v>236.48648648648651</v>
      </c>
      <c r="AP56" s="143">
        <f t="shared" si="18"/>
        <v>269.65040338071458</v>
      </c>
      <c r="AQ56" s="143">
        <f t="shared" si="18"/>
        <v>226.49866361206566</v>
      </c>
      <c r="AR56" s="144">
        <f t="shared" si="17"/>
        <v>8.3000000000000007</v>
      </c>
      <c r="AS56" s="341"/>
      <c r="AT56" s="341"/>
      <c r="AU56" s="341"/>
      <c r="AV56" s="341"/>
      <c r="AW56" s="341"/>
    </row>
    <row r="57" spans="1:49" ht="14.25" customHeight="1" x14ac:dyDescent="0.2">
      <c r="A57" s="271"/>
      <c r="B57" s="356"/>
      <c r="C57" s="356"/>
      <c r="D57" s="58"/>
      <c r="E57" s="58"/>
      <c r="F57" s="58"/>
      <c r="G57" s="58"/>
      <c r="H57" s="58"/>
      <c r="I57" s="58"/>
      <c r="J57" s="13"/>
      <c r="K57" s="15"/>
      <c r="L57" s="15"/>
      <c r="M57" s="15"/>
      <c r="N57" s="15"/>
      <c r="O57" s="9"/>
      <c r="P57" s="9"/>
      <c r="Q57" s="9"/>
      <c r="R57" s="9"/>
      <c r="S57" s="9"/>
      <c r="T57" s="9"/>
      <c r="U57" s="9"/>
      <c r="V57" s="119"/>
      <c r="W57" s="138"/>
      <c r="X57" s="288"/>
      <c r="AJ57" s="560" t="b">
        <v>1</v>
      </c>
      <c r="AK57" s="156" t="s">
        <v>114</v>
      </c>
      <c r="AL57" s="89" t="str">
        <f t="shared" si="15"/>
        <v>Swindon</v>
      </c>
      <c r="AM57" s="143">
        <f t="shared" si="18"/>
        <v>386.62551440329219</v>
      </c>
      <c r="AN57" s="143">
        <f t="shared" si="18"/>
        <v>401.63265306122452</v>
      </c>
      <c r="AO57" s="143">
        <f t="shared" si="18"/>
        <v>387.67676767676772</v>
      </c>
      <c r="AP57" s="143">
        <f t="shared" si="18"/>
        <v>543.68737474949899</v>
      </c>
      <c r="AQ57" s="143">
        <f t="shared" si="18"/>
        <v>453.58565737051794</v>
      </c>
      <c r="AR57" s="144">
        <f t="shared" si="17"/>
        <v>14.899999999999999</v>
      </c>
      <c r="AS57" s="341"/>
      <c r="AT57" s="341"/>
      <c r="AU57" s="341"/>
      <c r="AV57" s="341"/>
      <c r="AW57" s="341"/>
    </row>
    <row r="58" spans="1:49" ht="14.25" customHeight="1" x14ac:dyDescent="0.2">
      <c r="A58" s="271"/>
      <c r="B58" s="356"/>
      <c r="C58" s="356"/>
      <c r="D58" s="58"/>
      <c r="E58" s="58"/>
      <c r="F58" s="58"/>
      <c r="G58" s="58"/>
      <c r="H58" s="58"/>
      <c r="I58" s="58"/>
      <c r="J58" s="13"/>
      <c r="K58" s="15"/>
      <c r="L58" s="15"/>
      <c r="M58" s="15"/>
      <c r="N58" s="15"/>
      <c r="O58" s="9"/>
      <c r="P58" s="9"/>
      <c r="Q58" s="9"/>
      <c r="R58" s="9"/>
      <c r="S58" s="9"/>
      <c r="T58" s="9"/>
      <c r="U58" s="9"/>
      <c r="V58" s="119"/>
      <c r="W58" s="138"/>
      <c r="X58" s="288"/>
      <c r="AJ58" s="560" t="b">
        <v>1</v>
      </c>
      <c r="AK58" s="156" t="s">
        <v>115</v>
      </c>
      <c r="AL58" s="89" t="str">
        <f t="shared" si="15"/>
        <v>Torbay</v>
      </c>
      <c r="AM58" s="143">
        <f t="shared" si="18"/>
        <v>619.52191235059763</v>
      </c>
      <c r="AN58" s="143">
        <f t="shared" si="18"/>
        <v>468.25396825396825</v>
      </c>
      <c r="AO58" s="143">
        <f t="shared" si="18"/>
        <v>470.8661417322835</v>
      </c>
      <c r="AP58" s="143">
        <f t="shared" si="18"/>
        <v>456.29921259842519</v>
      </c>
      <c r="AQ58" s="143">
        <f t="shared" si="18"/>
        <v>420.0787401574803</v>
      </c>
      <c r="AR58" s="144">
        <f t="shared" si="17"/>
        <v>21.9</v>
      </c>
      <c r="AS58" s="341"/>
      <c r="AT58" s="341"/>
      <c r="AU58" s="341"/>
      <c r="AV58" s="341"/>
      <c r="AW58" s="341"/>
    </row>
    <row r="59" spans="1:49" ht="14.25" customHeight="1" x14ac:dyDescent="0.2">
      <c r="A59" s="120"/>
      <c r="B59" s="356"/>
      <c r="C59" s="356"/>
      <c r="D59" s="58"/>
      <c r="E59" s="58"/>
      <c r="F59" s="58"/>
      <c r="G59" s="58"/>
      <c r="H59" s="58"/>
      <c r="I59" s="58"/>
      <c r="J59" s="13"/>
      <c r="K59" s="15"/>
      <c r="L59" s="15"/>
      <c r="M59" s="15"/>
      <c r="N59" s="15"/>
      <c r="O59" s="9"/>
      <c r="P59" s="9"/>
      <c r="Q59" s="9"/>
      <c r="R59" s="9"/>
      <c r="S59" s="9"/>
      <c r="T59" s="9"/>
      <c r="U59" s="9"/>
      <c r="V59" s="119"/>
      <c r="W59" s="138"/>
      <c r="X59" s="288"/>
      <c r="AJ59" s="560" t="b">
        <v>1</v>
      </c>
      <c r="AK59" s="156" t="s">
        <v>15</v>
      </c>
      <c r="AL59" s="89" t="str">
        <f t="shared" si="15"/>
        <v>West Berkshire</v>
      </c>
      <c r="AM59" s="143">
        <f t="shared" si="18"/>
        <v>268.25842696629218</v>
      </c>
      <c r="AN59" s="143">
        <f t="shared" si="18"/>
        <v>295.23809523809524</v>
      </c>
      <c r="AO59" s="143">
        <f t="shared" si="18"/>
        <v>274.09470752089135</v>
      </c>
      <c r="AP59" s="143">
        <f t="shared" si="18"/>
        <v>285.19553072625695</v>
      </c>
      <c r="AQ59" s="143">
        <f t="shared" si="18"/>
        <v>299.15730337078651</v>
      </c>
      <c r="AR59" s="144">
        <f t="shared" si="17"/>
        <v>8.6999999999999993</v>
      </c>
      <c r="AS59" s="341"/>
      <c r="AT59" s="341"/>
      <c r="AU59" s="341"/>
      <c r="AV59" s="341"/>
      <c r="AW59" s="341"/>
    </row>
    <row r="60" spans="1:49" ht="14.25" customHeight="1" x14ac:dyDescent="0.2">
      <c r="A60" s="120"/>
      <c r="B60" s="356"/>
      <c r="C60" s="356"/>
      <c r="D60" s="58"/>
      <c r="E60" s="58"/>
      <c r="F60" s="58"/>
      <c r="G60" s="58"/>
      <c r="H60" s="58"/>
      <c r="I60" s="58"/>
      <c r="J60" s="13"/>
      <c r="K60" s="15"/>
      <c r="L60" s="15"/>
      <c r="M60" s="15"/>
      <c r="N60" s="15"/>
      <c r="O60" s="9"/>
      <c r="P60" s="9"/>
      <c r="Q60" s="9"/>
      <c r="R60" s="9"/>
      <c r="S60" s="9"/>
      <c r="T60" s="9"/>
      <c r="U60" s="9"/>
      <c r="V60" s="119"/>
      <c r="W60" s="138"/>
      <c r="X60" s="288"/>
      <c r="AJ60" s="560" t="b">
        <v>1</v>
      </c>
      <c r="AK60" s="156" t="s">
        <v>5</v>
      </c>
      <c r="AL60" s="89" t="str">
        <f t="shared" si="15"/>
        <v>West Sussex</v>
      </c>
      <c r="AM60" s="143">
        <f t="shared" si="18"/>
        <v>282.34597156398104</v>
      </c>
      <c r="AN60" s="143">
        <f t="shared" si="18"/>
        <v>227.52347417840377</v>
      </c>
      <c r="AO60" s="143">
        <f t="shared" si="18"/>
        <v>279.51105937136208</v>
      </c>
      <c r="AP60" s="143">
        <f t="shared" si="18"/>
        <v>417.36872475476054</v>
      </c>
      <c r="AQ60" s="143">
        <f t="shared" si="18"/>
        <v>268.9753863766457</v>
      </c>
      <c r="AR60" s="144">
        <f t="shared" si="17"/>
        <v>11</v>
      </c>
      <c r="AS60" s="341"/>
      <c r="AT60" s="341"/>
      <c r="AU60" s="341"/>
      <c r="AV60" s="341"/>
      <c r="AW60" s="341"/>
    </row>
    <row r="61" spans="1:49" s="83" customFormat="1" ht="14.25" customHeight="1" x14ac:dyDescent="0.2">
      <c r="A61" s="120"/>
      <c r="B61" s="356"/>
      <c r="C61" s="356"/>
      <c r="D61" s="58"/>
      <c r="E61" s="58"/>
      <c r="F61" s="58"/>
      <c r="G61" s="58"/>
      <c r="H61" s="58"/>
      <c r="I61" s="58"/>
      <c r="J61" s="13"/>
      <c r="K61" s="15"/>
      <c r="L61" s="15"/>
      <c r="M61" s="15"/>
      <c r="N61" s="15"/>
      <c r="O61" s="9"/>
      <c r="P61" s="9"/>
      <c r="Q61" s="9"/>
      <c r="R61" s="9"/>
      <c r="S61" s="9"/>
      <c r="T61" s="9"/>
      <c r="U61" s="9"/>
      <c r="V61" s="119"/>
      <c r="W61" s="138"/>
      <c r="X61" s="288"/>
      <c r="AJ61" s="560" t="b">
        <v>1</v>
      </c>
      <c r="AK61" s="156" t="s">
        <v>30</v>
      </c>
      <c r="AL61" s="89" t="str">
        <f t="shared" si="15"/>
        <v>Windsor &amp; Maidenhead</v>
      </c>
      <c r="AM61" s="143">
        <f t="shared" si="18"/>
        <v>251.79640718562877</v>
      </c>
      <c r="AN61" s="143">
        <f t="shared" si="18"/>
        <v>300.593471810089</v>
      </c>
      <c r="AO61" s="143">
        <f t="shared" si="18"/>
        <v>280.40935672514621</v>
      </c>
      <c r="AP61" s="143">
        <f t="shared" si="18"/>
        <v>222.96511627906978</v>
      </c>
      <c r="AQ61" s="143">
        <f t="shared" si="18"/>
        <v>213.00578034682081</v>
      </c>
      <c r="AR61" s="144">
        <f t="shared" si="17"/>
        <v>6.7</v>
      </c>
      <c r="AS61" s="341"/>
      <c r="AT61" s="341"/>
      <c r="AU61" s="341"/>
      <c r="AV61" s="341"/>
      <c r="AW61" s="341"/>
    </row>
    <row r="62" spans="1:49" s="83" customFormat="1" ht="14.25" customHeight="1" x14ac:dyDescent="0.2">
      <c r="A62" s="120"/>
      <c r="B62" s="356"/>
      <c r="C62" s="356"/>
      <c r="D62" s="58"/>
      <c r="E62" s="58"/>
      <c r="F62" s="58"/>
      <c r="G62" s="58"/>
      <c r="H62" s="58"/>
      <c r="I62" s="58"/>
      <c r="J62" s="13"/>
      <c r="K62" s="15"/>
      <c r="L62" s="15"/>
      <c r="M62" s="15"/>
      <c r="N62" s="15"/>
      <c r="O62" s="9"/>
      <c r="P62" s="9"/>
      <c r="Q62" s="9"/>
      <c r="R62" s="9"/>
      <c r="S62" s="9"/>
      <c r="T62" s="9"/>
      <c r="U62" s="9"/>
      <c r="V62" s="119"/>
      <c r="W62" s="138"/>
      <c r="X62" s="288"/>
      <c r="AJ62" s="560" t="b">
        <v>1</v>
      </c>
      <c r="AK62" s="156" t="s">
        <v>16</v>
      </c>
      <c r="AL62" s="89" t="str">
        <f t="shared" si="15"/>
        <v>Wokingham</v>
      </c>
      <c r="AM62" s="143">
        <f t="shared" si="18"/>
        <v>141.73441734417344</v>
      </c>
      <c r="AN62" s="143">
        <f t="shared" si="18"/>
        <v>150.93833780160858</v>
      </c>
      <c r="AO62" s="143">
        <f t="shared" si="18"/>
        <v>175.52631578947367</v>
      </c>
      <c r="AP62" s="143">
        <f t="shared" si="18"/>
        <v>250.3875968992248</v>
      </c>
      <c r="AQ62" s="143">
        <f t="shared" si="18"/>
        <v>227.34177215189874</v>
      </c>
      <c r="AR62" s="144">
        <f t="shared" si="17"/>
        <v>5.6000000000000005</v>
      </c>
      <c r="AS62" s="341"/>
      <c r="AT62" s="341"/>
      <c r="AU62" s="341"/>
      <c r="AV62" s="341"/>
      <c r="AW62" s="341"/>
    </row>
    <row r="63" spans="1:49" s="83" customFormat="1" ht="14.25" customHeight="1" x14ac:dyDescent="0.2">
      <c r="A63" s="120"/>
      <c r="B63" s="356"/>
      <c r="C63" s="356"/>
      <c r="D63" s="58"/>
      <c r="E63" s="58"/>
      <c r="F63" s="58"/>
      <c r="G63" s="58"/>
      <c r="H63" s="58"/>
      <c r="I63" s="58"/>
      <c r="J63" s="13"/>
      <c r="K63" s="15"/>
      <c r="L63" s="15"/>
      <c r="M63" s="15"/>
      <c r="N63" s="15"/>
      <c r="O63" s="9"/>
      <c r="P63" s="9"/>
      <c r="Q63" s="9"/>
      <c r="R63" s="9"/>
      <c r="S63" s="9"/>
      <c r="T63" s="9"/>
      <c r="U63" s="9"/>
      <c r="V63" s="119"/>
      <c r="W63" s="138"/>
      <c r="X63" s="288"/>
      <c r="AJ63" s="560" t="b">
        <v>1</v>
      </c>
      <c r="AK63" s="156" t="s">
        <v>74</v>
      </c>
      <c r="AL63" s="89" t="str">
        <f t="shared" si="15"/>
        <v>South East</v>
      </c>
      <c r="AM63" s="143">
        <f t="shared" si="18"/>
        <v>283.02877546733879</v>
      </c>
      <c r="AN63" s="143">
        <f t="shared" si="18"/>
        <v>302.95605025806788</v>
      </c>
      <c r="AO63" s="143">
        <f t="shared" si="18"/>
        <v>302.46753918576377</v>
      </c>
      <c r="AP63" s="143">
        <f t="shared" si="18"/>
        <v>317.50604454961672</v>
      </c>
      <c r="AQ63" s="143">
        <f t="shared" si="18"/>
        <v>303.82139572902832</v>
      </c>
      <c r="AR63" s="144">
        <f t="shared" si="17"/>
        <v>12.371268250968637</v>
      </c>
      <c r="AS63" s="341"/>
      <c r="AT63" s="341"/>
      <c r="AU63" s="341"/>
      <c r="AV63" s="341"/>
      <c r="AW63" s="341"/>
    </row>
    <row r="64" spans="1:49" s="83" customFormat="1" ht="14.25" customHeight="1" x14ac:dyDescent="0.2">
      <c r="A64" s="120"/>
      <c r="B64" s="356"/>
      <c r="C64" s="356"/>
      <c r="D64" s="58"/>
      <c r="E64" s="58"/>
      <c r="F64" s="58"/>
      <c r="G64" s="58"/>
      <c r="H64" s="58"/>
      <c r="I64" s="58"/>
      <c r="J64" s="13"/>
      <c r="K64" s="9"/>
      <c r="L64" s="112"/>
      <c r="M64" s="1468" t="s">
        <v>72</v>
      </c>
      <c r="N64" s="1450"/>
      <c r="O64" s="1450"/>
      <c r="P64" s="1469"/>
      <c r="Q64" s="869"/>
      <c r="R64" s="1462" t="s">
        <v>101</v>
      </c>
      <c r="S64" s="1463"/>
      <c r="T64" s="1463"/>
      <c r="U64" s="1470"/>
      <c r="V64" s="119"/>
      <c r="W64" s="138"/>
      <c r="X64" s="288"/>
      <c r="AJ64" s="560" t="b">
        <v>1</v>
      </c>
      <c r="AK64" s="156" t="s">
        <v>126</v>
      </c>
      <c r="AL64" s="89" t="str">
        <f t="shared" si="15"/>
        <v>England</v>
      </c>
      <c r="AM64" s="143">
        <f t="shared" si="18"/>
        <v>337.31031686465315</v>
      </c>
      <c r="AN64" s="143">
        <f t="shared" si="18"/>
        <v>337.73195523167698</v>
      </c>
      <c r="AO64" s="143">
        <f t="shared" si="18"/>
        <v>330.43706990912409</v>
      </c>
      <c r="AP64" s="143">
        <f t="shared" si="18"/>
        <v>341.03817308502573</v>
      </c>
      <c r="AQ64" s="143">
        <f t="shared" si="18"/>
        <v>334.18934970638912</v>
      </c>
      <c r="AR64" s="144">
        <f t="shared" si="17"/>
        <v>17.084413405029373</v>
      </c>
      <c r="AS64" s="341"/>
      <c r="AT64" s="341"/>
      <c r="AU64" s="341"/>
      <c r="AV64" s="341"/>
      <c r="AW64" s="341"/>
    </row>
    <row r="65" spans="1:49" s="83" customFormat="1" ht="14.25" customHeight="1" x14ac:dyDescent="0.2">
      <c r="A65" s="120"/>
      <c r="B65" s="356"/>
      <c r="C65" s="356"/>
      <c r="D65" s="58"/>
      <c r="E65" s="58"/>
      <c r="F65" s="58"/>
      <c r="G65" s="58"/>
      <c r="H65" s="58"/>
      <c r="I65" s="58"/>
      <c r="J65" s="13"/>
      <c r="K65" s="9"/>
      <c r="L65" s="113"/>
      <c r="M65" s="1462" t="str">
        <f>AA4</f>
        <v>Selected LA- (none)</v>
      </c>
      <c r="N65" s="1463"/>
      <c r="O65" s="1463"/>
      <c r="P65" s="1463"/>
      <c r="Q65" s="112"/>
      <c r="R65" s="1466" t="s">
        <v>184</v>
      </c>
      <c r="S65" s="1466"/>
      <c r="T65" s="1466"/>
      <c r="U65" s="1467"/>
      <c r="V65" s="119"/>
      <c r="W65" s="138"/>
      <c r="X65" s="147"/>
      <c r="AK65" s="157"/>
      <c r="AL65" s="76" t="str">
        <f>AA4</f>
        <v>Selected LA- (none)</v>
      </c>
      <c r="AM65" s="145" t="e">
        <f>VLOOKUP($Z4,$B$10:$O$32,AM$37,FALSE)</f>
        <v>#N/A</v>
      </c>
      <c r="AN65" s="145" t="e">
        <f>VLOOKUP($Z4,$B$10:$O$32,AN$37,FALSE)</f>
        <v>#N/A</v>
      </c>
      <c r="AO65" s="145" t="e">
        <f>VLOOKUP($Z4,$B$10:$O$32,AO$37,FALSE)</f>
        <v>#N/A</v>
      </c>
      <c r="AP65" s="145" t="e">
        <f>VLOOKUP($Z4,$B$10:$O$32,AP$37,FALSE)</f>
        <v>#N/A</v>
      </c>
      <c r="AQ65" s="145" t="e">
        <f>VLOOKUP($Z4,$B$10:$O$32,AQ$37,FALSE)</f>
        <v>#N/A</v>
      </c>
      <c r="AR65" s="144" t="e">
        <f>VLOOKUP($Z$4,$B$10:$U$33,$AR$37,FALSE)</f>
        <v>#N/A</v>
      </c>
      <c r="AS65" s="167"/>
      <c r="AT65" s="167"/>
      <c r="AU65" s="167"/>
      <c r="AV65" s="167"/>
      <c r="AW65" s="167"/>
    </row>
    <row r="66" spans="1:49" s="83" customFormat="1" ht="42" customHeight="1" x14ac:dyDescent="0.2">
      <c r="A66" s="120"/>
      <c r="B66" s="356"/>
      <c r="C66" s="356"/>
      <c r="D66" s="58"/>
      <c r="E66" s="58"/>
      <c r="F66" s="58"/>
      <c r="G66" s="58"/>
      <c r="H66" s="58"/>
      <c r="I66" s="58"/>
      <c r="J66" s="13"/>
      <c r="K66" s="9"/>
      <c r="L66" s="9"/>
      <c r="M66" s="9"/>
      <c r="N66" s="9"/>
      <c r="O66" s="9"/>
      <c r="P66" s="9"/>
      <c r="Q66" s="9"/>
      <c r="R66" s="9"/>
      <c r="S66" s="9"/>
      <c r="T66" s="9"/>
      <c r="U66" s="9"/>
      <c r="V66" s="119"/>
      <c r="W66" s="138"/>
      <c r="X66" s="147"/>
      <c r="AK66" s="157"/>
    </row>
    <row r="67" spans="1:49" s="89" customFormat="1" ht="42" customHeight="1" x14ac:dyDescent="0.2">
      <c r="A67" s="123"/>
      <c r="B67" s="111"/>
      <c r="C67" s="111"/>
      <c r="D67" s="111"/>
      <c r="E67" s="111"/>
      <c r="F67" s="111"/>
      <c r="G67" s="111"/>
      <c r="H67" s="111"/>
      <c r="I67" s="111"/>
      <c r="J67" s="98"/>
      <c r="K67" s="87"/>
      <c r="L67" s="87"/>
      <c r="M67" s="87"/>
      <c r="N67" s="87"/>
      <c r="O67" s="87"/>
      <c r="P67" s="87"/>
      <c r="Q67" s="87"/>
      <c r="R67" s="87"/>
      <c r="S67" s="87"/>
      <c r="T67" s="87"/>
      <c r="U67" s="87"/>
      <c r="V67" s="124"/>
      <c r="W67" s="140"/>
      <c r="X67" s="149"/>
      <c r="AE67" s="185"/>
      <c r="AF67" s="185"/>
      <c r="AG67" s="185"/>
      <c r="AH67" s="185"/>
      <c r="AI67" s="185"/>
      <c r="AJ67" s="199"/>
      <c r="AK67" s="156"/>
    </row>
    <row r="68" spans="1:49" s="89" customFormat="1" ht="42" customHeight="1" x14ac:dyDescent="0.2">
      <c r="A68" s="123"/>
      <c r="B68" s="111"/>
      <c r="C68" s="111"/>
      <c r="D68" s="111"/>
      <c r="E68" s="111"/>
      <c r="F68" s="111"/>
      <c r="G68" s="111"/>
      <c r="H68" s="111"/>
      <c r="I68" s="111"/>
      <c r="J68" s="98"/>
      <c r="K68" s="87"/>
      <c r="L68" s="87"/>
      <c r="M68" s="87"/>
      <c r="N68" s="87"/>
      <c r="O68" s="87"/>
      <c r="P68" s="87"/>
      <c r="Q68" s="87"/>
      <c r="R68" s="87"/>
      <c r="S68" s="87"/>
      <c r="T68" s="87"/>
      <c r="U68" s="87"/>
      <c r="V68" s="124"/>
      <c r="W68" s="140"/>
      <c r="X68" s="364"/>
      <c r="AE68" s="185"/>
      <c r="AF68" s="185"/>
      <c r="AG68" s="185"/>
      <c r="AH68" s="185"/>
      <c r="AI68" s="185"/>
      <c r="AJ68" s="199"/>
      <c r="AK68" s="156"/>
    </row>
    <row r="69" spans="1:49" ht="7.5" customHeight="1" x14ac:dyDescent="0.2">
      <c r="A69" s="120"/>
      <c r="B69" s="18"/>
      <c r="C69" s="18"/>
      <c r="D69" s="17"/>
      <c r="E69" s="17"/>
      <c r="F69" s="17"/>
      <c r="G69" s="17"/>
      <c r="H69" s="17"/>
      <c r="I69" s="17"/>
      <c r="J69" s="13"/>
      <c r="K69" s="19"/>
      <c r="L69" s="19"/>
      <c r="M69" s="19"/>
      <c r="N69" s="19"/>
      <c r="O69" s="19"/>
      <c r="P69" s="19"/>
      <c r="Q69" s="19"/>
      <c r="R69" s="19"/>
      <c r="S69" s="19"/>
      <c r="T69" s="19"/>
      <c r="U69" s="20"/>
      <c r="V69" s="119"/>
      <c r="W69" s="138"/>
      <c r="X69" s="147"/>
      <c r="Y69" s="89"/>
      <c r="Z69" s="89"/>
      <c r="AA69" s="89"/>
      <c r="AB69" s="89"/>
      <c r="AC69" s="89"/>
      <c r="AJ69" s="179"/>
      <c r="AK69" s="153"/>
    </row>
    <row r="70" spans="1:49"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1"/>
      <c r="V70" s="1422"/>
      <c r="W70" s="138"/>
      <c r="X70" s="147"/>
      <c r="Y70" s="89"/>
      <c r="Z70" s="89"/>
      <c r="AA70" s="89"/>
      <c r="AB70" s="89"/>
      <c r="AC70" s="89"/>
      <c r="AJ70" s="179"/>
      <c r="AK70" s="153"/>
    </row>
    <row r="71" spans="1:49"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0"/>
      <c r="J71" s="1429"/>
      <c r="K71" s="1429"/>
      <c r="L71" s="1429"/>
      <c r="M71" s="1429"/>
      <c r="N71" s="1429"/>
      <c r="O71" s="1429"/>
      <c r="P71" s="1431"/>
      <c r="Q71" s="1429"/>
      <c r="R71" s="1429"/>
      <c r="S71" s="1429"/>
      <c r="T71" s="1430"/>
      <c r="U71" s="1429"/>
      <c r="V71" s="1432"/>
      <c r="W71" s="138"/>
      <c r="X71" s="147"/>
      <c r="Y71" s="89"/>
      <c r="Z71" s="89"/>
      <c r="AA71" s="89"/>
      <c r="AB71" s="89"/>
      <c r="AC71" s="89"/>
      <c r="AJ71" s="179"/>
      <c r="AK71" s="153"/>
    </row>
    <row r="72" spans="1:49" ht="11.25" customHeight="1" x14ac:dyDescent="0.2">
      <c r="A72" s="114"/>
      <c r="B72" s="115"/>
      <c r="C72" s="115"/>
      <c r="D72" s="115"/>
      <c r="E72" s="115"/>
      <c r="F72" s="115"/>
      <c r="G72" s="115"/>
      <c r="H72" s="115"/>
      <c r="I72" s="115"/>
      <c r="J72" s="116"/>
      <c r="K72" s="115"/>
      <c r="L72" s="115"/>
      <c r="M72" s="115"/>
      <c r="N72" s="115"/>
      <c r="O72" s="115"/>
      <c r="P72" s="115"/>
      <c r="Q72" s="115"/>
      <c r="R72" s="115"/>
      <c r="S72" s="115"/>
      <c r="T72" s="115"/>
      <c r="U72" s="115"/>
      <c r="V72" s="117"/>
      <c r="W72" s="138"/>
      <c r="X72" s="147"/>
      <c r="Y72" s="89"/>
      <c r="Z72" s="89"/>
      <c r="AA72" s="89"/>
      <c r="AB72" s="89"/>
      <c r="AC72" s="89"/>
      <c r="AJ72" s="179"/>
      <c r="AK72" s="153"/>
    </row>
    <row r="73" spans="1:49" s="78" customFormat="1" ht="15" customHeight="1" x14ac:dyDescent="0.2">
      <c r="A73" s="121"/>
      <c r="B73" s="59"/>
      <c r="C73" s="355"/>
      <c r="D73" s="355"/>
      <c r="E73" s="355"/>
      <c r="F73" s="355"/>
      <c r="G73" s="355"/>
      <c r="H73" s="355"/>
      <c r="I73" s="355"/>
      <c r="J73" s="69"/>
      <c r="K73" s="69"/>
      <c r="L73" s="69"/>
      <c r="M73" s="69"/>
      <c r="N73" s="352"/>
      <c r="O73" s="69"/>
      <c r="P73" s="69"/>
      <c r="Q73" s="69"/>
      <c r="R73" s="69"/>
      <c r="S73" s="69"/>
      <c r="T73" s="69"/>
      <c r="U73" s="69"/>
      <c r="V73" s="122"/>
      <c r="W73" s="139"/>
      <c r="X73" s="148"/>
      <c r="Y73" s="89"/>
      <c r="Z73" s="89"/>
      <c r="AA73" s="89"/>
      <c r="AB73" s="89"/>
      <c r="AC73" s="89"/>
      <c r="AD73" s="183"/>
      <c r="AE73" s="183"/>
      <c r="AF73" s="183"/>
      <c r="AG73" s="183"/>
      <c r="AH73" s="183"/>
      <c r="AI73" s="183"/>
      <c r="AJ73" s="183"/>
      <c r="AK73" s="154"/>
    </row>
    <row r="74" spans="1:49" ht="13.5" customHeight="1" x14ac:dyDescent="0.2">
      <c r="A74" s="120"/>
      <c r="B74" s="355"/>
      <c r="C74" s="355"/>
      <c r="D74" s="355"/>
      <c r="E74" s="355"/>
      <c r="F74" s="355"/>
      <c r="G74" s="355"/>
      <c r="H74" s="355"/>
      <c r="I74" s="355"/>
      <c r="J74" s="69"/>
      <c r="K74" s="69"/>
      <c r="L74" s="69"/>
      <c r="M74" s="69"/>
      <c r="N74" s="352"/>
      <c r="O74" s="69"/>
      <c r="P74" s="69"/>
      <c r="Q74" s="69"/>
      <c r="R74" s="10"/>
      <c r="S74" s="69"/>
      <c r="T74" s="69"/>
      <c r="U74" s="69"/>
      <c r="V74" s="119"/>
      <c r="W74" s="138"/>
      <c r="X74" s="147"/>
      <c r="Y74" s="183"/>
      <c r="Z74" s="183"/>
      <c r="AA74" s="191"/>
      <c r="AB74" s="191"/>
      <c r="AC74" s="192"/>
      <c r="AD74" s="192"/>
      <c r="AJ74" s="179"/>
      <c r="AK74" s="153"/>
    </row>
    <row r="75" spans="1:49" s="89" customFormat="1" ht="12" customHeight="1" x14ac:dyDescent="0.2">
      <c r="A75" s="123"/>
      <c r="B75" s="355"/>
      <c r="C75" s="355"/>
      <c r="D75" s="355"/>
      <c r="E75" s="355"/>
      <c r="F75" s="355"/>
      <c r="G75" s="355"/>
      <c r="H75" s="355"/>
      <c r="I75" s="98"/>
      <c r="J75" s="98"/>
      <c r="K75" s="61"/>
      <c r="L75" s="61"/>
      <c r="M75" s="61"/>
      <c r="N75" s="61"/>
      <c r="O75" s="61"/>
      <c r="P75" s="61"/>
      <c r="Q75" s="358"/>
      <c r="R75" s="358"/>
      <c r="S75" s="155"/>
      <c r="T75" s="155"/>
      <c r="U75" s="359"/>
      <c r="V75" s="124"/>
      <c r="W75" s="140"/>
      <c r="X75" s="149"/>
      <c r="Y75" s="183"/>
      <c r="Z75" s="183"/>
      <c r="AA75" s="191"/>
      <c r="AB75" s="191"/>
      <c r="AC75" s="192"/>
      <c r="AD75" s="192"/>
      <c r="AE75" s="194"/>
      <c r="AF75" s="185"/>
      <c r="AG75" s="185"/>
      <c r="AH75" s="185"/>
      <c r="AI75" s="185"/>
      <c r="AJ75" s="199"/>
      <c r="AK75" s="156"/>
    </row>
    <row r="76" spans="1:49" s="89" customFormat="1" ht="24" customHeight="1" x14ac:dyDescent="0.2">
      <c r="A76" s="123"/>
      <c r="B76" s="355"/>
      <c r="C76" s="355"/>
      <c r="D76" s="355"/>
      <c r="E76" s="355"/>
      <c r="F76" s="355"/>
      <c r="G76" s="355"/>
      <c r="H76" s="355"/>
      <c r="I76" s="98"/>
      <c r="J76" s="98"/>
      <c r="K76" s="162"/>
      <c r="L76" s="162"/>
      <c r="M76" s="162"/>
      <c r="N76" s="162"/>
      <c r="O76" s="162"/>
      <c r="P76" s="162"/>
      <c r="Q76" s="162"/>
      <c r="R76" s="163"/>
      <c r="S76" s="155"/>
      <c r="T76" s="155"/>
      <c r="U76" s="162"/>
      <c r="V76" s="124"/>
      <c r="W76" s="140"/>
      <c r="X76" s="149"/>
      <c r="Z76" s="346" t="s">
        <v>129</v>
      </c>
      <c r="AA76" s="347" t="s">
        <v>130</v>
      </c>
      <c r="AB76" s="191"/>
      <c r="AC76" s="192"/>
      <c r="AD76" s="192"/>
      <c r="AE76" s="194"/>
      <c r="AF76" s="185"/>
      <c r="AG76" s="185"/>
      <c r="AH76" s="185"/>
      <c r="AI76" s="185"/>
      <c r="AJ76" s="199"/>
      <c r="AK76" s="156"/>
    </row>
    <row r="77" spans="1:49" s="89" customFormat="1" ht="12.75" customHeight="1" x14ac:dyDescent="0.2">
      <c r="A77" s="123"/>
      <c r="B77" s="355"/>
      <c r="C77" s="355"/>
      <c r="D77" s="355"/>
      <c r="E77" s="355"/>
      <c r="F77" s="355"/>
      <c r="G77" s="355"/>
      <c r="H77" s="355"/>
      <c r="I77" s="98"/>
      <c r="J77" s="98"/>
      <c r="K77" s="162"/>
      <c r="L77" s="162"/>
      <c r="M77" s="162"/>
      <c r="N77" s="162"/>
      <c r="O77" s="162"/>
      <c r="P77" s="162"/>
      <c r="Q77" s="162"/>
      <c r="R77" s="163"/>
      <c r="S77" s="155"/>
      <c r="T77" s="155"/>
      <c r="U77" s="162"/>
      <c r="V77" s="124"/>
      <c r="W77" s="140"/>
      <c r="X77" s="149"/>
      <c r="Y77" s="348" t="str">
        <f>B10</f>
        <v>Bracknell Forest</v>
      </c>
      <c r="Z77" s="349" t="e">
        <f>IF(Y77=$Z$4,I10,#N/A)</f>
        <v>#N/A</v>
      </c>
      <c r="AA77" s="349" t="e">
        <f>IF(Y77=$Z$4,U10,#N/A)</f>
        <v>#N/A</v>
      </c>
      <c r="AB77" s="191"/>
      <c r="AC77" s="192"/>
      <c r="AD77" s="192"/>
      <c r="AE77" s="194"/>
      <c r="AF77" s="185"/>
      <c r="AG77" s="185"/>
      <c r="AH77" s="185"/>
      <c r="AI77" s="185"/>
      <c r="AJ77" s="199"/>
      <c r="AK77" s="156"/>
    </row>
    <row r="78" spans="1:49" s="89" customFormat="1" ht="12.75" customHeight="1" x14ac:dyDescent="0.2">
      <c r="A78" s="123"/>
      <c r="B78" s="355"/>
      <c r="C78" s="355"/>
      <c r="D78" s="355"/>
      <c r="E78" s="355"/>
      <c r="F78" s="355"/>
      <c r="G78" s="355"/>
      <c r="H78" s="355"/>
      <c r="I78" s="98"/>
      <c r="J78" s="98"/>
      <c r="K78" s="162"/>
      <c r="L78" s="162"/>
      <c r="M78" s="162"/>
      <c r="N78" s="162"/>
      <c r="O78" s="162"/>
      <c r="P78" s="162"/>
      <c r="Q78" s="162"/>
      <c r="R78" s="163"/>
      <c r="S78" s="155"/>
      <c r="T78" s="155"/>
      <c r="U78" s="162"/>
      <c r="V78" s="124"/>
      <c r="W78" s="140"/>
      <c r="X78" s="149"/>
      <c r="Y78" s="348" t="str">
        <f t="shared" ref="Y78:Y98" si="19">B11</f>
        <v>Brighton &amp; Hove</v>
      </c>
      <c r="Z78" s="349" t="e">
        <f t="shared" ref="Z78:Z100" si="20">IF(Y78=$Z$4,I11,#N/A)</f>
        <v>#N/A</v>
      </c>
      <c r="AA78" s="349" t="e">
        <f t="shared" ref="AA78:AA100" si="21">IF(Y78=$Z$4,U11,#N/A)</f>
        <v>#N/A</v>
      </c>
      <c r="AB78" s="191"/>
      <c r="AC78" s="192"/>
      <c r="AD78" s="192"/>
      <c r="AE78" s="194"/>
      <c r="AF78" s="185"/>
      <c r="AG78" s="185"/>
      <c r="AH78" s="185"/>
      <c r="AI78" s="185"/>
      <c r="AJ78" s="199"/>
      <c r="AK78" s="156"/>
    </row>
    <row r="79" spans="1:49" s="89" customFormat="1" ht="12.75" customHeight="1" x14ac:dyDescent="0.2">
      <c r="A79" s="123"/>
      <c r="B79" s="355"/>
      <c r="C79" s="355"/>
      <c r="D79" s="355"/>
      <c r="E79" s="355"/>
      <c r="F79" s="355"/>
      <c r="G79" s="355"/>
      <c r="H79" s="355"/>
      <c r="I79" s="98"/>
      <c r="J79" s="98"/>
      <c r="K79" s="162"/>
      <c r="L79" s="162"/>
      <c r="M79" s="162"/>
      <c r="N79" s="162"/>
      <c r="O79" s="162"/>
      <c r="P79" s="162"/>
      <c r="Q79" s="162"/>
      <c r="R79" s="163"/>
      <c r="S79" s="155"/>
      <c r="T79" s="155"/>
      <c r="U79" s="162"/>
      <c r="V79" s="124"/>
      <c r="W79" s="140"/>
      <c r="X79" s="149"/>
      <c r="Y79" s="348" t="str">
        <f t="shared" si="19"/>
        <v>Buckinghamshire</v>
      </c>
      <c r="Z79" s="349" t="e">
        <f t="shared" si="20"/>
        <v>#N/A</v>
      </c>
      <c r="AA79" s="349" t="e">
        <f t="shared" si="21"/>
        <v>#N/A</v>
      </c>
      <c r="AB79" s="191"/>
      <c r="AC79" s="192"/>
      <c r="AD79" s="192"/>
      <c r="AE79" s="194"/>
      <c r="AF79" s="185"/>
      <c r="AG79" s="185"/>
      <c r="AH79" s="185"/>
      <c r="AI79" s="185"/>
      <c r="AJ79" s="199"/>
      <c r="AK79" s="156"/>
    </row>
    <row r="80" spans="1:49" s="89" customFormat="1" ht="12.75" customHeight="1" x14ac:dyDescent="0.2">
      <c r="A80" s="123"/>
      <c r="B80" s="355"/>
      <c r="C80" s="355"/>
      <c r="D80" s="355"/>
      <c r="E80" s="355"/>
      <c r="F80" s="355"/>
      <c r="G80" s="355"/>
      <c r="H80" s="355"/>
      <c r="I80" s="98"/>
      <c r="J80" s="98"/>
      <c r="K80" s="162"/>
      <c r="L80" s="162"/>
      <c r="M80" s="162"/>
      <c r="N80" s="162"/>
      <c r="O80" s="162"/>
      <c r="P80" s="162"/>
      <c r="Q80" s="162"/>
      <c r="R80" s="163"/>
      <c r="S80" s="155"/>
      <c r="T80" s="155"/>
      <c r="U80" s="162"/>
      <c r="V80" s="124"/>
      <c r="W80" s="140"/>
      <c r="X80" s="149"/>
      <c r="Y80" s="348" t="str">
        <f t="shared" si="19"/>
        <v>East Sussex</v>
      </c>
      <c r="Z80" s="349" t="e">
        <f t="shared" si="20"/>
        <v>#N/A</v>
      </c>
      <c r="AA80" s="349" t="e">
        <f t="shared" si="21"/>
        <v>#N/A</v>
      </c>
      <c r="AB80" s="191"/>
      <c r="AC80" s="192"/>
      <c r="AD80" s="192"/>
      <c r="AE80" s="194"/>
      <c r="AF80" s="185"/>
      <c r="AG80" s="185"/>
      <c r="AH80" s="185"/>
      <c r="AI80" s="185"/>
      <c r="AJ80" s="199"/>
      <c r="AK80" s="156"/>
    </row>
    <row r="81" spans="1:45" s="89" customFormat="1" ht="12.75" customHeight="1" x14ac:dyDescent="0.2">
      <c r="A81" s="123"/>
      <c r="B81" s="355"/>
      <c r="C81" s="355"/>
      <c r="D81" s="355"/>
      <c r="E81" s="355"/>
      <c r="F81" s="355"/>
      <c r="G81" s="355"/>
      <c r="H81" s="355"/>
      <c r="I81" s="98"/>
      <c r="J81" s="98"/>
      <c r="K81" s="162"/>
      <c r="L81" s="162"/>
      <c r="M81" s="162"/>
      <c r="N81" s="162"/>
      <c r="O81" s="162"/>
      <c r="P81" s="162"/>
      <c r="Q81" s="162"/>
      <c r="R81" s="163"/>
      <c r="S81" s="155"/>
      <c r="T81" s="155"/>
      <c r="U81" s="162"/>
      <c r="V81" s="124"/>
      <c r="W81" s="140"/>
      <c r="X81" s="149"/>
      <c r="Y81" s="348" t="str">
        <f t="shared" si="19"/>
        <v>Hampshire</v>
      </c>
      <c r="Z81" s="349" t="e">
        <f t="shared" si="20"/>
        <v>#N/A</v>
      </c>
      <c r="AA81" s="349" t="e">
        <f t="shared" si="21"/>
        <v>#N/A</v>
      </c>
      <c r="AB81" s="191"/>
      <c r="AC81" s="192"/>
      <c r="AD81" s="192"/>
      <c r="AE81" s="194"/>
      <c r="AF81" s="185"/>
      <c r="AG81" s="185"/>
      <c r="AH81" s="185"/>
      <c r="AI81" s="185"/>
      <c r="AJ81" s="199"/>
      <c r="AK81" s="156"/>
      <c r="AS81" s="89" t="s">
        <v>103</v>
      </c>
    </row>
    <row r="82" spans="1:45" s="89" customFormat="1" ht="12.75" customHeight="1" x14ac:dyDescent="0.2">
      <c r="A82" s="123"/>
      <c r="B82" s="355"/>
      <c r="C82" s="355"/>
      <c r="D82" s="355"/>
      <c r="E82" s="355"/>
      <c r="F82" s="355"/>
      <c r="G82" s="355"/>
      <c r="H82" s="355"/>
      <c r="I82" s="98"/>
      <c r="J82" s="98"/>
      <c r="K82" s="162"/>
      <c r="L82" s="162"/>
      <c r="M82" s="162"/>
      <c r="N82" s="162"/>
      <c r="O82" s="162"/>
      <c r="P82" s="162"/>
      <c r="Q82" s="162"/>
      <c r="R82" s="163"/>
      <c r="S82" s="155"/>
      <c r="T82" s="155"/>
      <c r="U82" s="162"/>
      <c r="V82" s="124"/>
      <c r="W82" s="140"/>
      <c r="X82" s="149"/>
      <c r="Y82" s="348" t="str">
        <f t="shared" si="19"/>
        <v>Isle of Wight</v>
      </c>
      <c r="Z82" s="349" t="e">
        <f t="shared" si="20"/>
        <v>#N/A</v>
      </c>
      <c r="AA82" s="349" t="e">
        <f t="shared" si="21"/>
        <v>#N/A</v>
      </c>
      <c r="AB82" s="191"/>
      <c r="AC82" s="192"/>
      <c r="AD82" s="192"/>
      <c r="AE82" s="194"/>
      <c r="AF82" s="185"/>
      <c r="AG82" s="185"/>
      <c r="AH82" s="185"/>
      <c r="AI82" s="185"/>
      <c r="AJ82" s="199"/>
      <c r="AK82" s="156"/>
    </row>
    <row r="83" spans="1:45" s="89" customFormat="1" ht="12.75" customHeight="1" x14ac:dyDescent="0.2">
      <c r="A83" s="123"/>
      <c r="B83" s="355"/>
      <c r="C83" s="355"/>
      <c r="D83" s="355"/>
      <c r="E83" s="355"/>
      <c r="F83" s="355"/>
      <c r="G83" s="355"/>
      <c r="H83" s="355"/>
      <c r="I83" s="98"/>
      <c r="J83" s="98"/>
      <c r="K83" s="162"/>
      <c r="L83" s="162"/>
      <c r="M83" s="162"/>
      <c r="N83" s="162"/>
      <c r="O83" s="162"/>
      <c r="P83" s="162"/>
      <c r="Q83" s="162"/>
      <c r="R83" s="163"/>
      <c r="S83" s="155"/>
      <c r="T83" s="155"/>
      <c r="U83" s="162"/>
      <c r="V83" s="124"/>
      <c r="W83" s="140"/>
      <c r="X83" s="149"/>
      <c r="Y83" s="348" t="str">
        <f t="shared" si="19"/>
        <v>Kent</v>
      </c>
      <c r="Z83" s="349" t="e">
        <f t="shared" si="20"/>
        <v>#N/A</v>
      </c>
      <c r="AA83" s="349" t="e">
        <f t="shared" si="21"/>
        <v>#N/A</v>
      </c>
      <c r="AB83" s="191"/>
      <c r="AC83" s="192"/>
      <c r="AD83" s="192"/>
      <c r="AE83" s="194"/>
      <c r="AF83" s="185"/>
      <c r="AG83" s="185"/>
      <c r="AH83" s="185"/>
      <c r="AI83" s="185"/>
      <c r="AJ83" s="199"/>
      <c r="AK83" s="156"/>
    </row>
    <row r="84" spans="1:45" s="89" customFormat="1" ht="12.75" customHeight="1" x14ac:dyDescent="0.2">
      <c r="A84" s="123"/>
      <c r="B84" s="355"/>
      <c r="C84" s="355"/>
      <c r="D84" s="355"/>
      <c r="E84" s="355"/>
      <c r="F84" s="355"/>
      <c r="G84" s="355"/>
      <c r="H84" s="355"/>
      <c r="I84" s="98"/>
      <c r="J84" s="98"/>
      <c r="K84" s="162"/>
      <c r="L84" s="162"/>
      <c r="M84" s="162"/>
      <c r="N84" s="162"/>
      <c r="O84" s="162"/>
      <c r="P84" s="162"/>
      <c r="Q84" s="162"/>
      <c r="R84" s="163"/>
      <c r="S84" s="155"/>
      <c r="T84" s="155"/>
      <c r="U84" s="162"/>
      <c r="V84" s="124"/>
      <c r="W84" s="140"/>
      <c r="X84" s="149"/>
      <c r="Y84" s="348" t="str">
        <f t="shared" si="19"/>
        <v>Medway</v>
      </c>
      <c r="Z84" s="349" t="e">
        <f t="shared" si="20"/>
        <v>#N/A</v>
      </c>
      <c r="AA84" s="349" t="e">
        <f t="shared" si="21"/>
        <v>#N/A</v>
      </c>
      <c r="AB84" s="191"/>
      <c r="AC84" s="192"/>
      <c r="AD84" s="192"/>
      <c r="AE84" s="194"/>
      <c r="AF84" s="185"/>
      <c r="AG84" s="185"/>
      <c r="AH84" s="185"/>
      <c r="AI84" s="185"/>
      <c r="AJ84" s="199"/>
      <c r="AK84" s="156"/>
    </row>
    <row r="85" spans="1:45" s="89" customFormat="1" ht="12.75" customHeight="1" x14ac:dyDescent="0.2">
      <c r="A85" s="123"/>
      <c r="B85" s="355"/>
      <c r="C85" s="355"/>
      <c r="D85" s="355"/>
      <c r="E85" s="355"/>
      <c r="F85" s="355"/>
      <c r="G85" s="355"/>
      <c r="H85" s="355"/>
      <c r="I85" s="98"/>
      <c r="J85" s="98"/>
      <c r="K85" s="162"/>
      <c r="L85" s="162"/>
      <c r="M85" s="162"/>
      <c r="N85" s="162"/>
      <c r="O85" s="162"/>
      <c r="P85" s="162"/>
      <c r="Q85" s="162"/>
      <c r="R85" s="163"/>
      <c r="S85" s="155"/>
      <c r="T85" s="155"/>
      <c r="U85" s="162"/>
      <c r="V85" s="124"/>
      <c r="W85" s="140"/>
      <c r="X85" s="149"/>
      <c r="Y85" s="348" t="str">
        <f t="shared" si="19"/>
        <v>Milton Keynes</v>
      </c>
      <c r="Z85" s="349" t="e">
        <f t="shared" si="20"/>
        <v>#N/A</v>
      </c>
      <c r="AA85" s="349" t="e">
        <f t="shared" si="21"/>
        <v>#N/A</v>
      </c>
      <c r="AB85" s="191"/>
      <c r="AC85" s="192"/>
      <c r="AD85" s="192"/>
      <c r="AE85" s="194"/>
      <c r="AF85" s="185"/>
      <c r="AG85" s="185"/>
      <c r="AH85" s="185"/>
      <c r="AI85" s="185"/>
      <c r="AJ85" s="199"/>
      <c r="AK85" s="156"/>
    </row>
    <row r="86" spans="1:45" s="89" customFormat="1" ht="12.75" customHeight="1" x14ac:dyDescent="0.2">
      <c r="A86" s="123"/>
      <c r="B86" s="355"/>
      <c r="C86" s="355"/>
      <c r="D86" s="355"/>
      <c r="E86" s="355"/>
      <c r="F86" s="355"/>
      <c r="G86" s="355"/>
      <c r="H86" s="355"/>
      <c r="I86" s="98"/>
      <c r="J86" s="98"/>
      <c r="K86" s="162"/>
      <c r="L86" s="162"/>
      <c r="M86" s="162"/>
      <c r="N86" s="162"/>
      <c r="O86" s="162"/>
      <c r="P86" s="162"/>
      <c r="Q86" s="162"/>
      <c r="R86" s="163"/>
      <c r="S86" s="155"/>
      <c r="T86" s="155"/>
      <c r="U86" s="162"/>
      <c r="V86" s="124"/>
      <c r="W86" s="140"/>
      <c r="X86" s="149"/>
      <c r="Y86" s="348" t="str">
        <f t="shared" si="19"/>
        <v>Oxfordshire</v>
      </c>
      <c r="Z86" s="349" t="e">
        <f t="shared" si="20"/>
        <v>#N/A</v>
      </c>
      <c r="AA86" s="349" t="e">
        <f t="shared" si="21"/>
        <v>#N/A</v>
      </c>
      <c r="AB86" s="191"/>
      <c r="AC86" s="192"/>
      <c r="AD86" s="192"/>
      <c r="AE86" s="194"/>
      <c r="AF86" s="185"/>
      <c r="AG86" s="185"/>
      <c r="AH86" s="185"/>
      <c r="AI86" s="185"/>
      <c r="AJ86" s="199"/>
      <c r="AK86" s="156"/>
    </row>
    <row r="87" spans="1:45" s="89" customFormat="1" ht="12.75" customHeight="1" x14ac:dyDescent="0.2">
      <c r="A87" s="123"/>
      <c r="B87" s="355"/>
      <c r="C87" s="355"/>
      <c r="D87" s="355"/>
      <c r="E87" s="355"/>
      <c r="F87" s="355"/>
      <c r="G87" s="355"/>
      <c r="H87" s="355"/>
      <c r="I87" s="98"/>
      <c r="J87" s="98"/>
      <c r="K87" s="162"/>
      <c r="L87" s="162"/>
      <c r="M87" s="162"/>
      <c r="N87" s="162"/>
      <c r="O87" s="162"/>
      <c r="P87" s="162"/>
      <c r="Q87" s="162"/>
      <c r="R87" s="163"/>
      <c r="S87" s="155"/>
      <c r="T87" s="155"/>
      <c r="U87" s="162"/>
      <c r="V87" s="124"/>
      <c r="W87" s="140"/>
      <c r="X87" s="149"/>
      <c r="Y87" s="348" t="str">
        <f t="shared" si="19"/>
        <v>Portsmouth</v>
      </c>
      <c r="Z87" s="349" t="e">
        <f t="shared" si="20"/>
        <v>#N/A</v>
      </c>
      <c r="AA87" s="349" t="e">
        <f t="shared" si="21"/>
        <v>#N/A</v>
      </c>
      <c r="AB87" s="191"/>
      <c r="AC87" s="192"/>
      <c r="AD87" s="192"/>
      <c r="AE87" s="194"/>
      <c r="AF87" s="185"/>
      <c r="AG87" s="185"/>
      <c r="AH87" s="185"/>
      <c r="AI87" s="185"/>
      <c r="AJ87" s="199"/>
      <c r="AK87" s="156"/>
    </row>
    <row r="88" spans="1:45" s="89" customFormat="1" ht="12.75" customHeight="1" x14ac:dyDescent="0.2">
      <c r="A88" s="123"/>
      <c r="B88" s="355"/>
      <c r="C88" s="355"/>
      <c r="D88" s="355"/>
      <c r="E88" s="355"/>
      <c r="F88" s="355"/>
      <c r="G88" s="355"/>
      <c r="H88" s="355"/>
      <c r="I88" s="98"/>
      <c r="J88" s="98"/>
      <c r="K88" s="162"/>
      <c r="L88" s="162"/>
      <c r="M88" s="162"/>
      <c r="N88" s="162"/>
      <c r="O88" s="162"/>
      <c r="P88" s="162"/>
      <c r="Q88" s="162"/>
      <c r="R88" s="163"/>
      <c r="S88" s="155"/>
      <c r="T88" s="155"/>
      <c r="U88" s="162"/>
      <c r="V88" s="124"/>
      <c r="W88" s="140"/>
      <c r="X88" s="149"/>
      <c r="Y88" s="348" t="str">
        <f t="shared" si="19"/>
        <v>Reading</v>
      </c>
      <c r="Z88" s="349" t="e">
        <f t="shared" si="20"/>
        <v>#N/A</v>
      </c>
      <c r="AA88" s="349" t="e">
        <f t="shared" si="21"/>
        <v>#N/A</v>
      </c>
      <c r="AB88" s="191"/>
      <c r="AC88" s="192"/>
      <c r="AD88" s="192"/>
      <c r="AE88" s="194"/>
      <c r="AF88" s="185"/>
      <c r="AG88" s="185"/>
      <c r="AH88" s="185"/>
      <c r="AI88" s="185"/>
      <c r="AJ88" s="199"/>
      <c r="AK88" s="156"/>
    </row>
    <row r="89" spans="1:45" s="89" customFormat="1" ht="12.75" customHeight="1" x14ac:dyDescent="0.2">
      <c r="A89" s="123"/>
      <c r="B89" s="355"/>
      <c r="C89" s="355"/>
      <c r="D89" s="355"/>
      <c r="E89" s="355"/>
      <c r="F89" s="355"/>
      <c r="G89" s="355"/>
      <c r="H89" s="355"/>
      <c r="I89" s="98"/>
      <c r="J89" s="98"/>
      <c r="K89" s="162"/>
      <c r="L89" s="162"/>
      <c r="M89" s="162"/>
      <c r="N89" s="162"/>
      <c r="O89" s="162"/>
      <c r="P89" s="162"/>
      <c r="Q89" s="162"/>
      <c r="R89" s="163"/>
      <c r="S89" s="155"/>
      <c r="T89" s="155"/>
      <c r="U89" s="162"/>
      <c r="V89" s="124"/>
      <c r="W89" s="140"/>
      <c r="X89" s="149"/>
      <c r="Y89" s="348" t="str">
        <f t="shared" si="19"/>
        <v>Slough</v>
      </c>
      <c r="Z89" s="349" t="e">
        <f t="shared" si="20"/>
        <v>#N/A</v>
      </c>
      <c r="AA89" s="349" t="e">
        <f t="shared" si="21"/>
        <v>#N/A</v>
      </c>
      <c r="AB89" s="191"/>
      <c r="AC89" s="192"/>
      <c r="AD89" s="192"/>
      <c r="AE89" s="194"/>
      <c r="AF89" s="185"/>
      <c r="AG89" s="185"/>
      <c r="AH89" s="185"/>
      <c r="AI89" s="185"/>
      <c r="AJ89" s="199"/>
      <c r="AK89" s="156"/>
    </row>
    <row r="90" spans="1:45" s="89" customFormat="1" ht="12.75" customHeight="1" x14ac:dyDescent="0.2">
      <c r="A90" s="123"/>
      <c r="B90" s="355"/>
      <c r="C90" s="355"/>
      <c r="D90" s="355"/>
      <c r="E90" s="355"/>
      <c r="F90" s="355"/>
      <c r="G90" s="355"/>
      <c r="H90" s="355"/>
      <c r="I90" s="98"/>
      <c r="J90" s="98"/>
      <c r="K90" s="162"/>
      <c r="L90" s="162"/>
      <c r="M90" s="162"/>
      <c r="N90" s="162"/>
      <c r="O90" s="162"/>
      <c r="P90" s="162"/>
      <c r="Q90" s="162"/>
      <c r="R90" s="163"/>
      <c r="S90" s="155"/>
      <c r="T90" s="155"/>
      <c r="U90" s="162"/>
      <c r="V90" s="124"/>
      <c r="W90" s="140"/>
      <c r="X90" s="149"/>
      <c r="Y90" s="348" t="str">
        <f t="shared" si="19"/>
        <v>Somerset</v>
      </c>
      <c r="Z90" s="349" t="e">
        <f t="shared" si="20"/>
        <v>#N/A</v>
      </c>
      <c r="AA90" s="349" t="e">
        <f t="shared" si="21"/>
        <v>#N/A</v>
      </c>
      <c r="AB90" s="191"/>
      <c r="AC90" s="192"/>
      <c r="AD90" s="192"/>
      <c r="AE90" s="194"/>
      <c r="AF90" s="185"/>
      <c r="AG90" s="185"/>
      <c r="AH90" s="185"/>
      <c r="AI90" s="185"/>
      <c r="AJ90" s="199"/>
      <c r="AK90" s="156"/>
    </row>
    <row r="91" spans="1:45" s="89" customFormat="1" ht="12.75" customHeight="1" x14ac:dyDescent="0.2">
      <c r="A91" s="123"/>
      <c r="B91" s="355"/>
      <c r="C91" s="355"/>
      <c r="D91" s="355"/>
      <c r="E91" s="355"/>
      <c r="F91" s="355"/>
      <c r="G91" s="355"/>
      <c r="H91" s="355"/>
      <c r="I91" s="98"/>
      <c r="J91" s="98"/>
      <c r="K91" s="162"/>
      <c r="L91" s="162"/>
      <c r="M91" s="162"/>
      <c r="N91" s="162"/>
      <c r="O91" s="162"/>
      <c r="P91" s="162"/>
      <c r="Q91" s="162"/>
      <c r="R91" s="163"/>
      <c r="S91" s="155"/>
      <c r="T91" s="155"/>
      <c r="U91" s="162"/>
      <c r="V91" s="124"/>
      <c r="W91" s="140"/>
      <c r="X91" s="149"/>
      <c r="Y91" s="348" t="str">
        <f t="shared" si="19"/>
        <v>Southampton</v>
      </c>
      <c r="Z91" s="349" t="e">
        <f t="shared" si="20"/>
        <v>#N/A</v>
      </c>
      <c r="AA91" s="349" t="e">
        <f t="shared" si="21"/>
        <v>#N/A</v>
      </c>
      <c r="AB91" s="191"/>
      <c r="AC91" s="192"/>
      <c r="AD91" s="192"/>
      <c r="AE91" s="194"/>
      <c r="AF91" s="185"/>
      <c r="AG91" s="185"/>
      <c r="AH91" s="185"/>
      <c r="AI91" s="185"/>
      <c r="AJ91" s="199"/>
      <c r="AK91" s="156"/>
    </row>
    <row r="92" spans="1:45" s="89" customFormat="1" ht="12.75" customHeight="1" x14ac:dyDescent="0.2">
      <c r="A92" s="286"/>
      <c r="B92" s="355"/>
      <c r="C92" s="355"/>
      <c r="D92" s="355"/>
      <c r="E92" s="355"/>
      <c r="F92" s="355"/>
      <c r="G92" s="355"/>
      <c r="H92" s="355"/>
      <c r="I92" s="98"/>
      <c r="J92" s="98"/>
      <c r="K92" s="162"/>
      <c r="L92" s="162"/>
      <c r="M92" s="162"/>
      <c r="N92" s="162"/>
      <c r="O92" s="162"/>
      <c r="P92" s="162"/>
      <c r="Q92" s="162"/>
      <c r="R92" s="163"/>
      <c r="S92" s="155"/>
      <c r="T92" s="155"/>
      <c r="U92" s="162"/>
      <c r="V92" s="124"/>
      <c r="W92" s="140"/>
      <c r="X92" s="149"/>
      <c r="Y92" s="348" t="str">
        <f t="shared" si="19"/>
        <v>Surrey</v>
      </c>
      <c r="Z92" s="349" t="e">
        <f t="shared" si="20"/>
        <v>#N/A</v>
      </c>
      <c r="AA92" s="349" t="e">
        <f t="shared" si="21"/>
        <v>#N/A</v>
      </c>
      <c r="AB92" s="191"/>
      <c r="AC92" s="192"/>
      <c r="AD92" s="192"/>
      <c r="AE92" s="194"/>
      <c r="AF92" s="185"/>
      <c r="AG92" s="185"/>
      <c r="AH92" s="185"/>
      <c r="AI92" s="185"/>
      <c r="AJ92" s="199"/>
      <c r="AK92" s="156"/>
    </row>
    <row r="93" spans="1:45" s="89" customFormat="1" ht="12.75" customHeight="1" x14ac:dyDescent="0.2">
      <c r="A93" s="286"/>
      <c r="B93" s="355"/>
      <c r="C93" s="355"/>
      <c r="D93" s="355"/>
      <c r="E93" s="355"/>
      <c r="F93" s="355"/>
      <c r="G93" s="355"/>
      <c r="H93" s="355"/>
      <c r="I93" s="98"/>
      <c r="J93" s="98"/>
      <c r="K93" s="162"/>
      <c r="L93" s="162"/>
      <c r="M93" s="162"/>
      <c r="N93" s="162"/>
      <c r="O93" s="162"/>
      <c r="P93" s="162"/>
      <c r="Q93" s="162"/>
      <c r="R93" s="163"/>
      <c r="S93" s="155"/>
      <c r="T93" s="155"/>
      <c r="U93" s="162"/>
      <c r="V93" s="124"/>
      <c r="W93" s="140"/>
      <c r="X93" s="149"/>
      <c r="Y93" s="348" t="str">
        <f t="shared" si="19"/>
        <v>Swindon</v>
      </c>
      <c r="Z93" s="349" t="e">
        <f t="shared" si="20"/>
        <v>#N/A</v>
      </c>
      <c r="AA93" s="349" t="e">
        <f t="shared" si="21"/>
        <v>#N/A</v>
      </c>
      <c r="AB93" s="191"/>
      <c r="AC93" s="192"/>
      <c r="AD93" s="192"/>
      <c r="AE93" s="194"/>
      <c r="AF93" s="185"/>
      <c r="AG93" s="185"/>
      <c r="AH93" s="185"/>
      <c r="AI93" s="185"/>
      <c r="AJ93" s="199"/>
      <c r="AK93" s="156"/>
    </row>
    <row r="94" spans="1:45" s="89" customFormat="1" ht="12.75" customHeight="1" x14ac:dyDescent="0.2">
      <c r="A94" s="123"/>
      <c r="B94" s="355"/>
      <c r="C94" s="355"/>
      <c r="D94" s="355"/>
      <c r="E94" s="355"/>
      <c r="F94" s="355"/>
      <c r="G94" s="355"/>
      <c r="H94" s="355"/>
      <c r="I94" s="98"/>
      <c r="J94" s="98"/>
      <c r="K94" s="162"/>
      <c r="L94" s="162"/>
      <c r="M94" s="162"/>
      <c r="N94" s="162"/>
      <c r="O94" s="162"/>
      <c r="P94" s="162"/>
      <c r="Q94" s="162"/>
      <c r="R94" s="163"/>
      <c r="S94" s="155"/>
      <c r="T94" s="155"/>
      <c r="U94" s="162"/>
      <c r="V94" s="124"/>
      <c r="W94" s="140"/>
      <c r="X94" s="149"/>
      <c r="Y94" s="348" t="str">
        <f t="shared" si="19"/>
        <v>Torbay</v>
      </c>
      <c r="Z94" s="349" t="e">
        <f t="shared" si="20"/>
        <v>#N/A</v>
      </c>
      <c r="AA94" s="349" t="e">
        <f t="shared" si="21"/>
        <v>#N/A</v>
      </c>
      <c r="AB94" s="191"/>
      <c r="AC94" s="192"/>
      <c r="AD94" s="192"/>
      <c r="AE94" s="194"/>
      <c r="AF94" s="199"/>
      <c r="AG94" s="185"/>
      <c r="AH94" s="185"/>
      <c r="AI94" s="185"/>
      <c r="AJ94" s="199"/>
      <c r="AK94" s="156"/>
    </row>
    <row r="95" spans="1:45" s="89" customFormat="1" ht="12.75" customHeight="1" x14ac:dyDescent="0.2">
      <c r="A95" s="123"/>
      <c r="B95" s="355"/>
      <c r="C95" s="355"/>
      <c r="D95" s="355"/>
      <c r="E95" s="355"/>
      <c r="F95" s="355"/>
      <c r="G95" s="355"/>
      <c r="H95" s="355"/>
      <c r="I95" s="98"/>
      <c r="J95" s="98"/>
      <c r="K95" s="162"/>
      <c r="L95" s="162"/>
      <c r="M95" s="162"/>
      <c r="N95" s="162"/>
      <c r="O95" s="162"/>
      <c r="P95" s="162"/>
      <c r="Q95" s="162"/>
      <c r="R95" s="163"/>
      <c r="S95" s="155"/>
      <c r="T95" s="155"/>
      <c r="U95" s="162"/>
      <c r="V95" s="124"/>
      <c r="W95" s="140"/>
      <c r="X95" s="149"/>
      <c r="Y95" s="348" t="str">
        <f t="shared" si="19"/>
        <v>West Berkshire</v>
      </c>
      <c r="Z95" s="349" t="e">
        <f t="shared" si="20"/>
        <v>#N/A</v>
      </c>
      <c r="AA95" s="349" t="e">
        <f t="shared" si="21"/>
        <v>#N/A</v>
      </c>
      <c r="AB95" s="191"/>
      <c r="AC95" s="192"/>
      <c r="AD95" s="192"/>
      <c r="AE95" s="194"/>
      <c r="AF95" s="199"/>
      <c r="AG95" s="185"/>
      <c r="AH95" s="185"/>
      <c r="AI95" s="185"/>
      <c r="AJ95" s="199"/>
      <c r="AK95" s="156"/>
    </row>
    <row r="96" spans="1:45" s="89" customFormat="1" ht="12.75" customHeight="1" x14ac:dyDescent="0.2">
      <c r="A96" s="123"/>
      <c r="B96" s="355"/>
      <c r="C96" s="355"/>
      <c r="D96" s="355"/>
      <c r="E96" s="355"/>
      <c r="F96" s="355"/>
      <c r="G96" s="355"/>
      <c r="H96" s="355"/>
      <c r="I96" s="98"/>
      <c r="J96" s="98"/>
      <c r="K96" s="162"/>
      <c r="L96" s="162"/>
      <c r="M96" s="162"/>
      <c r="N96" s="162"/>
      <c r="O96" s="162"/>
      <c r="P96" s="162"/>
      <c r="Q96" s="162"/>
      <c r="R96" s="163"/>
      <c r="S96" s="155"/>
      <c r="T96" s="155"/>
      <c r="U96" s="162"/>
      <c r="V96" s="124"/>
      <c r="W96" s="140"/>
      <c r="X96" s="149"/>
      <c r="Y96" s="348" t="str">
        <f t="shared" si="19"/>
        <v>West Sussex</v>
      </c>
      <c r="Z96" s="349" t="e">
        <f t="shared" si="20"/>
        <v>#N/A</v>
      </c>
      <c r="AA96" s="349" t="e">
        <f t="shared" si="21"/>
        <v>#N/A</v>
      </c>
      <c r="AB96" s="191"/>
      <c r="AC96" s="192"/>
      <c r="AD96" s="192"/>
      <c r="AE96" s="194"/>
      <c r="AF96" s="199"/>
      <c r="AG96" s="199"/>
      <c r="AH96" s="199"/>
      <c r="AI96" s="185"/>
      <c r="AJ96" s="199"/>
      <c r="AK96" s="156"/>
    </row>
    <row r="97" spans="1:46" s="89" customFormat="1" ht="12.75" customHeight="1" x14ac:dyDescent="0.2">
      <c r="A97" s="123"/>
      <c r="B97" s="355"/>
      <c r="C97" s="355"/>
      <c r="D97" s="355"/>
      <c r="E97" s="355"/>
      <c r="F97" s="355"/>
      <c r="G97" s="355"/>
      <c r="H97" s="355"/>
      <c r="I97" s="98"/>
      <c r="J97" s="98"/>
      <c r="K97" s="162"/>
      <c r="L97" s="162"/>
      <c r="M97" s="162"/>
      <c r="N97" s="162"/>
      <c r="O97" s="162"/>
      <c r="P97" s="162"/>
      <c r="Q97" s="162"/>
      <c r="R97" s="163"/>
      <c r="S97" s="155"/>
      <c r="T97" s="155"/>
      <c r="U97" s="162"/>
      <c r="V97" s="124"/>
      <c r="W97" s="140"/>
      <c r="X97" s="149"/>
      <c r="Y97" s="348" t="str">
        <f t="shared" si="19"/>
        <v>Windsor &amp; Maidenhead</v>
      </c>
      <c r="Z97" s="349" t="e">
        <f t="shared" si="20"/>
        <v>#N/A</v>
      </c>
      <c r="AA97" s="349" t="e">
        <f t="shared" si="21"/>
        <v>#N/A</v>
      </c>
      <c r="AB97" s="191"/>
      <c r="AC97" s="192"/>
      <c r="AD97" s="192"/>
      <c r="AE97" s="194"/>
      <c r="AF97" s="199"/>
      <c r="AG97" s="199"/>
      <c r="AH97" s="199"/>
      <c r="AI97" s="185"/>
      <c r="AJ97" s="199"/>
      <c r="AK97" s="156"/>
    </row>
    <row r="98" spans="1:46" s="89" customFormat="1" ht="12.75" customHeight="1" x14ac:dyDescent="0.2">
      <c r="A98" s="123"/>
      <c r="B98" s="355"/>
      <c r="C98" s="355"/>
      <c r="D98" s="355"/>
      <c r="E98" s="355"/>
      <c r="F98" s="355"/>
      <c r="G98" s="355"/>
      <c r="H98" s="355"/>
      <c r="I98" s="98"/>
      <c r="J98" s="98"/>
      <c r="K98" s="164"/>
      <c r="L98" s="164"/>
      <c r="M98" s="164"/>
      <c r="N98" s="164"/>
      <c r="O98" s="164"/>
      <c r="P98" s="164"/>
      <c r="Q98" s="164"/>
      <c r="R98" s="165"/>
      <c r="S98" s="155"/>
      <c r="T98" s="155"/>
      <c r="U98" s="166"/>
      <c r="V98" s="124"/>
      <c r="W98" s="140"/>
      <c r="X98" s="149"/>
      <c r="Y98" s="348" t="str">
        <f t="shared" si="19"/>
        <v>Wokingham</v>
      </c>
      <c r="Z98" s="349" t="e">
        <f t="shared" si="20"/>
        <v>#N/A</v>
      </c>
      <c r="AA98" s="349" t="e">
        <f t="shared" si="21"/>
        <v>#N/A</v>
      </c>
      <c r="AB98" s="191"/>
      <c r="AC98" s="192"/>
      <c r="AD98" s="192"/>
      <c r="AE98" s="194"/>
      <c r="AF98" s="199"/>
      <c r="AG98" s="199"/>
      <c r="AH98" s="199"/>
      <c r="AI98" s="185"/>
      <c r="AJ98" s="199"/>
      <c r="AK98" s="156"/>
    </row>
    <row r="99" spans="1:46" s="89" customFormat="1" ht="12.75" customHeight="1" x14ac:dyDescent="0.2">
      <c r="A99" s="123"/>
      <c r="B99" s="355"/>
      <c r="C99" s="355"/>
      <c r="D99" s="355"/>
      <c r="E99" s="355"/>
      <c r="F99" s="355"/>
      <c r="G99" s="355"/>
      <c r="H99" s="355"/>
      <c r="I99" s="98"/>
      <c r="J99" s="98"/>
      <c r="K99" s="164"/>
      <c r="L99" s="164"/>
      <c r="M99" s="164"/>
      <c r="N99" s="164"/>
      <c r="O99" s="164"/>
      <c r="P99" s="164"/>
      <c r="Q99" s="164"/>
      <c r="R99" s="165"/>
      <c r="S99" s="155"/>
      <c r="T99" s="155"/>
      <c r="U99" s="166"/>
      <c r="V99" s="124"/>
      <c r="W99" s="140"/>
      <c r="X99" s="149"/>
      <c r="Y99" s="348" t="str">
        <f>B32</f>
        <v>South East</v>
      </c>
      <c r="Z99" s="349" t="e">
        <f t="shared" si="20"/>
        <v>#N/A</v>
      </c>
      <c r="AA99" s="349" t="e">
        <f t="shared" si="21"/>
        <v>#N/A</v>
      </c>
      <c r="AB99" s="191"/>
      <c r="AC99" s="192"/>
      <c r="AD99" s="192"/>
      <c r="AE99" s="194"/>
      <c r="AF99" s="199"/>
      <c r="AG99" s="199"/>
      <c r="AH99" s="199"/>
      <c r="AI99" s="185"/>
      <c r="AJ99" s="199"/>
      <c r="AK99" s="156"/>
    </row>
    <row r="100" spans="1:46" s="89" customFormat="1" ht="11.25" customHeight="1" x14ac:dyDescent="0.2">
      <c r="A100" s="286"/>
      <c r="B100" s="355"/>
      <c r="C100" s="355"/>
      <c r="D100" s="355"/>
      <c r="E100" s="355"/>
      <c r="F100" s="355"/>
      <c r="G100" s="355"/>
      <c r="H100" s="355"/>
      <c r="I100" s="98"/>
      <c r="J100" s="98"/>
      <c r="K100" s="164"/>
      <c r="L100" s="164"/>
      <c r="M100" s="164"/>
      <c r="N100" s="164"/>
      <c r="O100" s="164"/>
      <c r="P100" s="164"/>
      <c r="Q100" s="164"/>
      <c r="R100" s="165"/>
      <c r="S100" s="155"/>
      <c r="T100" s="155"/>
      <c r="U100" s="166"/>
      <c r="V100" s="124"/>
      <c r="W100" s="140"/>
      <c r="X100" s="149"/>
      <c r="Y100" s="348" t="str">
        <f>B33</f>
        <v>England</v>
      </c>
      <c r="Z100" s="349" t="e">
        <f t="shared" si="20"/>
        <v>#N/A</v>
      </c>
      <c r="AA100" s="349" t="e">
        <f t="shared" si="21"/>
        <v>#N/A</v>
      </c>
      <c r="AB100" s="191"/>
      <c r="AC100" s="192"/>
      <c r="AD100" s="192"/>
      <c r="AE100" s="194"/>
      <c r="AF100" s="199"/>
      <c r="AG100" s="199"/>
      <c r="AH100" s="199"/>
      <c r="AI100" s="185"/>
      <c r="AJ100" s="199"/>
      <c r="AK100" s="156"/>
    </row>
    <row r="101" spans="1:46" s="83" customFormat="1" ht="42" customHeight="1" x14ac:dyDescent="0.2">
      <c r="A101" s="213"/>
      <c r="B101" s="355"/>
      <c r="C101" s="355"/>
      <c r="D101" s="355"/>
      <c r="E101" s="355"/>
      <c r="F101" s="355"/>
      <c r="G101" s="355"/>
      <c r="H101" s="355"/>
      <c r="I101" s="362"/>
      <c r="J101" s="168"/>
      <c r="K101" s="168"/>
      <c r="L101" s="168"/>
      <c r="M101" s="168"/>
      <c r="N101" s="168"/>
      <c r="O101" s="168"/>
      <c r="P101" s="168"/>
      <c r="Q101" s="168"/>
      <c r="R101" s="137"/>
      <c r="S101" s="168"/>
      <c r="T101" s="168"/>
      <c r="U101" s="168"/>
      <c r="V101" s="119"/>
      <c r="W101" s="138"/>
      <c r="X101" s="147"/>
      <c r="AD101" s="192"/>
      <c r="AE101" s="194"/>
      <c r="AF101" s="179"/>
      <c r="AG101" s="179"/>
      <c r="AH101" s="179"/>
      <c r="AJ101" s="179"/>
      <c r="AK101" s="157"/>
    </row>
    <row r="102" spans="1:46" s="83" customFormat="1" ht="42" customHeight="1" x14ac:dyDescent="0.2">
      <c r="A102" s="213"/>
      <c r="B102" s="355"/>
      <c r="C102" s="355"/>
      <c r="D102" s="355"/>
      <c r="E102" s="355"/>
      <c r="F102" s="355"/>
      <c r="G102" s="355"/>
      <c r="H102" s="355"/>
      <c r="I102" s="362"/>
      <c r="J102" s="168"/>
      <c r="K102" s="168"/>
      <c r="L102" s="168"/>
      <c r="M102" s="168"/>
      <c r="N102" s="168"/>
      <c r="O102" s="168"/>
      <c r="P102" s="168"/>
      <c r="Q102" s="168"/>
      <c r="R102" s="137"/>
      <c r="S102" s="168"/>
      <c r="T102" s="168"/>
      <c r="U102" s="168"/>
      <c r="V102" s="119"/>
      <c r="W102" s="138"/>
      <c r="X102" s="147"/>
      <c r="Z102" s="185"/>
      <c r="AE102" s="194"/>
      <c r="AF102" s="179"/>
      <c r="AG102" s="179"/>
      <c r="AH102" s="179"/>
      <c r="AJ102" s="179"/>
      <c r="AK102" s="157"/>
    </row>
    <row r="103" spans="1:46" s="83" customFormat="1" ht="33" customHeight="1" x14ac:dyDescent="0.2">
      <c r="A103" s="213"/>
      <c r="B103" s="362"/>
      <c r="C103" s="362"/>
      <c r="D103" s="362"/>
      <c r="E103" s="362"/>
      <c r="F103" s="362"/>
      <c r="G103" s="362"/>
      <c r="H103" s="362"/>
      <c r="I103" s="362"/>
      <c r="J103" s="168"/>
      <c r="K103" s="168"/>
      <c r="L103" s="168"/>
      <c r="M103" s="168"/>
      <c r="N103" s="168"/>
      <c r="O103" s="168"/>
      <c r="P103" s="168"/>
      <c r="Q103" s="168"/>
      <c r="R103" s="137"/>
      <c r="S103" s="168"/>
      <c r="T103" s="168"/>
      <c r="U103" s="168"/>
      <c r="V103" s="119"/>
      <c r="W103" s="138"/>
      <c r="X103" s="147"/>
      <c r="Z103" s="185"/>
      <c r="AE103" s="194"/>
      <c r="AF103" s="179"/>
      <c r="AG103" s="179"/>
      <c r="AH103" s="179"/>
      <c r="AJ103" s="179"/>
      <c r="AK103" s="157"/>
    </row>
    <row r="104" spans="1:46" s="83" customFormat="1" ht="7.5" customHeight="1" x14ac:dyDescent="0.2">
      <c r="A104" s="120"/>
      <c r="B104" s="18"/>
      <c r="C104" s="18"/>
      <c r="D104" s="17"/>
      <c r="E104" s="17"/>
      <c r="F104" s="17"/>
      <c r="G104" s="17"/>
      <c r="H104" s="17"/>
      <c r="I104" s="17"/>
      <c r="J104" s="13"/>
      <c r="K104" s="19"/>
      <c r="L104" s="19"/>
      <c r="M104" s="19"/>
      <c r="N104" s="19"/>
      <c r="O104" s="19"/>
      <c r="P104" s="19"/>
      <c r="Q104" s="19"/>
      <c r="R104" s="19"/>
      <c r="S104" s="19"/>
      <c r="T104" s="19"/>
      <c r="U104" s="20"/>
      <c r="V104" s="119"/>
      <c r="W104" s="138"/>
      <c r="X104" s="147"/>
      <c r="Z104" s="185"/>
      <c r="AJ104" s="179"/>
      <c r="AK104" s="153"/>
      <c r="AL104" s="76"/>
      <c r="AM104" s="76"/>
      <c r="AN104" s="76"/>
      <c r="AO104" s="76"/>
      <c r="AP104" s="76"/>
      <c r="AQ104" s="76"/>
      <c r="AR104" s="76"/>
    </row>
    <row r="105" spans="1:46" s="83" customFormat="1" ht="15" customHeight="1" x14ac:dyDescent="0.2">
      <c r="A105" s="1399"/>
      <c r="B105" s="1421"/>
      <c r="C105" s="1421"/>
      <c r="D105" s="1421"/>
      <c r="E105" s="1421"/>
      <c r="F105" s="1421"/>
      <c r="G105" s="1421"/>
      <c r="H105" s="1421"/>
      <c r="I105" s="1421"/>
      <c r="J105" s="1421"/>
      <c r="K105" s="1421"/>
      <c r="L105" s="1421"/>
      <c r="M105" s="1421"/>
      <c r="N105" s="1421"/>
      <c r="O105" s="1421"/>
      <c r="P105" s="1421"/>
      <c r="Q105" s="1421"/>
      <c r="R105" s="1421"/>
      <c r="S105" s="1421"/>
      <c r="T105" s="1421"/>
      <c r="U105" s="1421"/>
      <c r="V105" s="1422"/>
      <c r="W105" s="138"/>
      <c r="X105" s="147"/>
      <c r="Y105" s="183"/>
      <c r="Z105" s="183"/>
      <c r="AK105" s="157"/>
      <c r="AT105" s="76"/>
    </row>
    <row r="106" spans="1:46" s="83" customFormat="1" ht="11.25" customHeight="1" x14ac:dyDescent="0.2">
      <c r="A106" s="1428" t="str">
        <f>Home!$A$40</f>
        <v>LA's provide quarterly data on the condition that it is used by the benchmarking group for internal reporting only. Please DO NOT share other LA's data with any external partners or the public</v>
      </c>
      <c r="B106" s="1429"/>
      <c r="C106" s="1429"/>
      <c r="D106" s="1429"/>
      <c r="E106" s="1429"/>
      <c r="F106" s="1429"/>
      <c r="G106" s="1429"/>
      <c r="H106" s="1429"/>
      <c r="I106" s="1430"/>
      <c r="J106" s="1429"/>
      <c r="K106" s="1429"/>
      <c r="L106" s="1429"/>
      <c r="M106" s="1429"/>
      <c r="N106" s="1429"/>
      <c r="O106" s="1429"/>
      <c r="P106" s="1431"/>
      <c r="Q106" s="1429"/>
      <c r="R106" s="1429"/>
      <c r="S106" s="1429"/>
      <c r="T106" s="1430"/>
      <c r="U106" s="1429"/>
      <c r="V106" s="1432"/>
      <c r="W106" s="138"/>
      <c r="X106" s="147"/>
      <c r="Y106" s="183"/>
      <c r="Z106" s="183"/>
      <c r="AJ106" s="179"/>
      <c r="AK106" s="156"/>
      <c r="AL106" s="89"/>
      <c r="AT106" s="76"/>
    </row>
    <row r="107" spans="1:46" ht="11.25" customHeight="1" x14ac:dyDescent="0.2">
      <c r="A107" s="141"/>
      <c r="B107" s="1109"/>
      <c r="C107" s="9"/>
      <c r="D107" s="9"/>
      <c r="E107" s="9"/>
      <c r="F107" s="9"/>
      <c r="G107" s="9"/>
      <c r="H107" s="9"/>
      <c r="I107" s="9"/>
      <c r="J107" s="13"/>
      <c r="K107" s="9"/>
      <c r="L107" s="9"/>
      <c r="M107" s="9"/>
      <c r="N107" s="9"/>
      <c r="O107" s="9"/>
      <c r="P107" s="9"/>
      <c r="Q107" s="9"/>
      <c r="R107" s="9"/>
      <c r="S107" s="9"/>
      <c r="T107" s="9"/>
      <c r="U107" s="11"/>
      <c r="V107" s="11"/>
      <c r="W107" s="1311"/>
      <c r="X107" s="12"/>
      <c r="Y107" s="12"/>
      <c r="Z107" s="12"/>
      <c r="AA107" s="12"/>
      <c r="AB107" s="12"/>
      <c r="AC107" s="241"/>
      <c r="AF107" s="84"/>
      <c r="AI107" s="179"/>
      <c r="AJ107" s="179"/>
      <c r="AK107" s="153"/>
      <c r="AM107" s="83"/>
      <c r="AN107" s="83"/>
      <c r="AO107" s="83"/>
      <c r="AP107" s="83"/>
      <c r="AQ107" s="83"/>
      <c r="AR107" s="83"/>
    </row>
    <row r="108" spans="1:46" ht="11.25" customHeight="1" x14ac:dyDescent="0.2">
      <c r="A108" s="141"/>
      <c r="B108" s="1109"/>
      <c r="C108" s="9"/>
      <c r="D108" s="9"/>
      <c r="E108" s="9"/>
      <c r="F108" s="9"/>
      <c r="G108" s="9"/>
      <c r="H108" s="9"/>
      <c r="I108" s="9"/>
      <c r="J108" s="13"/>
      <c r="K108" s="9"/>
      <c r="L108" s="9"/>
      <c r="M108" s="9"/>
      <c r="N108" s="9"/>
      <c r="O108" s="9"/>
      <c r="P108" s="9"/>
      <c r="Q108" s="9"/>
      <c r="R108" s="9"/>
      <c r="S108" s="9"/>
      <c r="T108" s="9"/>
      <c r="U108" s="11"/>
      <c r="V108" s="11"/>
      <c r="W108" s="11"/>
      <c r="X108" s="12"/>
      <c r="Y108" s="12"/>
      <c r="Z108" s="12"/>
      <c r="AA108" s="12"/>
      <c r="AB108" s="12"/>
      <c r="AC108" s="241"/>
      <c r="AF108" s="84"/>
      <c r="AI108" s="179"/>
      <c r="AJ108" s="179"/>
      <c r="AK108" s="153"/>
      <c r="AM108" s="83"/>
      <c r="AN108" s="83"/>
      <c r="AO108" s="83"/>
      <c r="AP108" s="83"/>
      <c r="AQ108" s="83"/>
      <c r="AR108" s="83"/>
    </row>
    <row r="109" spans="1:46" ht="11.25" customHeight="1" x14ac:dyDescent="0.2">
      <c r="A109" s="141"/>
      <c r="B109" s="1367" t="s">
        <v>82</v>
      </c>
      <c r="C109" s="15"/>
      <c r="D109" s="1306"/>
      <c r="E109" s="1306"/>
      <c r="F109" s="9"/>
      <c r="G109" s="9"/>
      <c r="H109" s="9"/>
      <c r="I109" s="9"/>
      <c r="J109" s="13"/>
      <c r="K109" s="9"/>
      <c r="L109" s="9"/>
      <c r="M109" s="9"/>
      <c r="N109" s="9"/>
      <c r="O109" s="9"/>
      <c r="P109" s="9"/>
      <c r="Q109" s="9"/>
      <c r="R109" s="9"/>
      <c r="S109" s="9"/>
      <c r="T109" s="9"/>
      <c r="U109" s="11"/>
      <c r="V109" s="11"/>
      <c r="W109" s="11"/>
      <c r="X109" s="12"/>
      <c r="Y109" s="12"/>
      <c r="Z109" s="12"/>
      <c r="AA109" s="12"/>
      <c r="AB109" s="12"/>
      <c r="AC109" s="241"/>
      <c r="AF109" s="84"/>
      <c r="AI109" s="179"/>
      <c r="AJ109" s="179"/>
      <c r="AK109" s="153"/>
      <c r="AM109" s="83"/>
      <c r="AN109" s="83"/>
      <c r="AO109" s="83"/>
      <c r="AP109" s="83"/>
      <c r="AQ109" s="83"/>
      <c r="AR109" s="83"/>
    </row>
    <row r="110" spans="1:46" ht="11.25" customHeight="1" x14ac:dyDescent="0.2">
      <c r="A110" s="141"/>
      <c r="B110" s="1368"/>
      <c r="C110" s="9"/>
      <c r="D110" s="1306"/>
      <c r="E110" s="1306"/>
      <c r="F110" s="9"/>
      <c r="G110" s="9"/>
      <c r="H110" s="9"/>
      <c r="I110" s="9"/>
      <c r="J110" s="13"/>
      <c r="K110" s="9"/>
      <c r="L110" s="9"/>
      <c r="M110" s="9"/>
      <c r="N110" s="9"/>
      <c r="O110" s="9"/>
      <c r="P110" s="9"/>
      <c r="Q110" s="9"/>
      <c r="R110" s="9"/>
      <c r="S110" s="9"/>
      <c r="T110" s="9"/>
      <c r="U110" s="11"/>
      <c r="V110" s="11"/>
      <c r="W110" s="11"/>
      <c r="X110" s="12"/>
      <c r="Y110" s="12"/>
      <c r="Z110" s="12"/>
      <c r="AA110" s="12"/>
      <c r="AB110" s="12"/>
      <c r="AC110" s="241"/>
      <c r="AF110" s="84"/>
      <c r="AI110" s="179"/>
      <c r="AJ110" s="179"/>
      <c r="AK110" s="153"/>
    </row>
    <row r="111" spans="1:46" ht="11.25" customHeight="1" x14ac:dyDescent="0.2">
      <c r="A111" s="141"/>
      <c r="B111" s="1366" t="s">
        <v>806</v>
      </c>
      <c r="C111" s="1366"/>
      <c r="D111" s="1366"/>
      <c r="E111" s="1366"/>
      <c r="F111" s="9"/>
      <c r="G111" s="9"/>
      <c r="H111" s="9"/>
      <c r="I111" s="9"/>
      <c r="J111" s="13"/>
      <c r="K111" s="9"/>
      <c r="L111" s="9"/>
      <c r="M111" s="9"/>
      <c r="N111" s="9"/>
      <c r="O111" s="9"/>
      <c r="P111" s="9"/>
      <c r="Q111" s="9"/>
      <c r="R111" s="9"/>
      <c r="S111" s="9"/>
      <c r="T111" s="9"/>
      <c r="U111" s="11"/>
      <c r="V111" s="11"/>
      <c r="W111" s="11"/>
      <c r="X111" s="12"/>
      <c r="Y111" s="12"/>
      <c r="Z111" s="12"/>
      <c r="AA111" s="12"/>
      <c r="AB111" s="12"/>
      <c r="AC111" s="241"/>
      <c r="AF111" s="84"/>
      <c r="AI111" s="179"/>
      <c r="AJ111" s="179"/>
      <c r="AK111" s="153"/>
    </row>
    <row r="112" spans="1:46" ht="11.25" customHeight="1" x14ac:dyDescent="0.2">
      <c r="A112" s="141"/>
      <c r="B112" s="1366"/>
      <c r="C112" s="1366"/>
      <c r="D112" s="1366"/>
      <c r="E112" s="1366"/>
      <c r="F112" s="9"/>
      <c r="G112" s="9"/>
      <c r="H112" s="9"/>
      <c r="I112" s="9"/>
      <c r="J112" s="13"/>
      <c r="K112" s="9"/>
      <c r="L112" s="9"/>
      <c r="M112" s="9"/>
      <c r="N112" s="9"/>
      <c r="O112" s="9"/>
      <c r="P112" s="9"/>
      <c r="Q112" s="9"/>
      <c r="R112" s="9"/>
      <c r="S112" s="9"/>
      <c r="T112" s="9"/>
      <c r="U112" s="11"/>
      <c r="V112" s="11"/>
      <c r="W112" s="11"/>
      <c r="X112" s="12"/>
      <c r="Y112" s="12"/>
      <c r="Z112" s="12"/>
      <c r="AA112" s="12"/>
      <c r="AB112" s="12"/>
      <c r="AC112" s="241"/>
      <c r="AF112" s="84"/>
      <c r="AI112" s="183"/>
      <c r="AJ112" s="183"/>
      <c r="AK112" s="153"/>
    </row>
    <row r="113" spans="1:39" s="78" customFormat="1" ht="11.25" customHeight="1" x14ac:dyDescent="0.2">
      <c r="A113" s="141"/>
      <c r="B113" s="1366" t="s">
        <v>81</v>
      </c>
      <c r="C113" s="1366"/>
      <c r="D113" s="1366"/>
      <c r="E113" s="1366"/>
      <c r="F113" s="9"/>
      <c r="G113" s="9"/>
      <c r="H113" s="9"/>
      <c r="I113" s="9"/>
      <c r="J113" s="13"/>
      <c r="K113" s="9"/>
      <c r="L113" s="9"/>
      <c r="M113" s="9"/>
      <c r="N113" s="9"/>
      <c r="O113" s="9"/>
      <c r="P113" s="9"/>
      <c r="Q113" s="9"/>
      <c r="R113" s="9"/>
      <c r="S113" s="9"/>
      <c r="T113" s="9"/>
      <c r="U113" s="11"/>
      <c r="V113" s="11"/>
      <c r="W113" s="11"/>
      <c r="X113" s="12"/>
      <c r="Y113" s="12"/>
      <c r="Z113" s="12"/>
      <c r="AA113" s="12"/>
      <c r="AB113" s="12"/>
      <c r="AC113" s="241"/>
      <c r="AD113" s="83"/>
      <c r="AE113" s="83"/>
      <c r="AF113" s="84"/>
      <c r="AG113" s="83"/>
      <c r="AH113" s="83"/>
      <c r="AI113" s="179"/>
      <c r="AJ113" s="179"/>
      <c r="AK113" s="153"/>
      <c r="AL113" s="76"/>
      <c r="AM113" s="76"/>
    </row>
    <row r="114" spans="1:39" ht="11.25" customHeight="1" x14ac:dyDescent="0.2">
      <c r="A114" s="141"/>
      <c r="B114" s="1366"/>
      <c r="C114" s="1366"/>
      <c r="D114" s="1366"/>
      <c r="E114" s="1366"/>
      <c r="F114" s="9"/>
      <c r="G114" s="9"/>
      <c r="H114" s="9"/>
      <c r="I114" s="9"/>
      <c r="J114" s="13"/>
      <c r="K114" s="9"/>
      <c r="L114" s="9"/>
      <c r="M114" s="9"/>
      <c r="N114" s="9"/>
      <c r="O114" s="9"/>
      <c r="P114" s="9"/>
      <c r="Q114" s="9"/>
      <c r="R114" s="9"/>
      <c r="S114" s="9"/>
      <c r="T114" s="9"/>
      <c r="U114" s="11"/>
      <c r="V114" s="11"/>
      <c r="W114" s="11"/>
      <c r="X114" s="12"/>
      <c r="Y114" s="12"/>
      <c r="Z114" s="12"/>
      <c r="AA114" s="12"/>
      <c r="AB114" s="12"/>
      <c r="AC114" s="241"/>
      <c r="AF114" s="84"/>
      <c r="AI114" s="179"/>
      <c r="AJ114" s="179"/>
      <c r="AK114" s="153"/>
    </row>
    <row r="115" spans="1:39" ht="11.25" customHeight="1" x14ac:dyDescent="0.2">
      <c r="A115" s="141"/>
      <c r="B115" s="1366" t="s">
        <v>78</v>
      </c>
      <c r="C115" s="1366"/>
      <c r="D115" s="1366"/>
      <c r="E115" s="1366"/>
      <c r="F115" s="9"/>
      <c r="G115" s="9"/>
      <c r="H115" s="9"/>
      <c r="I115" s="9"/>
      <c r="J115" s="13"/>
      <c r="K115" s="9"/>
      <c r="L115" s="9"/>
      <c r="M115" s="9"/>
      <c r="N115" s="9"/>
      <c r="O115" s="9"/>
      <c r="P115" s="9"/>
      <c r="Q115" s="9"/>
      <c r="R115" s="9"/>
      <c r="S115" s="9"/>
      <c r="T115" s="9"/>
      <c r="U115" s="11"/>
      <c r="V115" s="11"/>
      <c r="W115" s="11"/>
      <c r="X115" s="12"/>
      <c r="Y115" s="12"/>
      <c r="Z115" s="12"/>
      <c r="AA115" s="12"/>
      <c r="AB115" s="12"/>
      <c r="AC115" s="241"/>
      <c r="AF115" s="84"/>
      <c r="AI115" s="179"/>
      <c r="AJ115" s="179"/>
      <c r="AK115" s="153"/>
    </row>
    <row r="116" spans="1:39" ht="11.25" customHeight="1" x14ac:dyDescent="0.2">
      <c r="A116" s="141"/>
      <c r="B116" s="1366"/>
      <c r="C116" s="1366"/>
      <c r="D116" s="1366"/>
      <c r="E116" s="1366"/>
      <c r="F116" s="9"/>
      <c r="G116" s="9"/>
      <c r="H116" s="9"/>
      <c r="I116" s="9"/>
      <c r="J116" s="13"/>
      <c r="K116" s="9"/>
      <c r="L116" s="9"/>
      <c r="M116" s="9"/>
      <c r="N116" s="9"/>
      <c r="O116" s="9"/>
      <c r="P116" s="9"/>
      <c r="Q116" s="9"/>
      <c r="R116" s="9"/>
      <c r="S116" s="9"/>
      <c r="T116" s="9"/>
      <c r="U116" s="11"/>
      <c r="V116" s="11"/>
      <c r="W116" s="11"/>
      <c r="X116" s="12"/>
      <c r="Y116" s="12"/>
      <c r="Z116" s="12"/>
      <c r="AA116" s="12"/>
      <c r="AB116" s="12"/>
      <c r="AC116" s="241"/>
      <c r="AF116" s="84"/>
      <c r="AI116" s="179"/>
      <c r="AJ116" s="179"/>
      <c r="AK116" s="153"/>
    </row>
    <row r="117" spans="1:39" ht="11.25" customHeight="1" x14ac:dyDescent="0.2">
      <c r="A117" s="141"/>
      <c r="B117" s="1366" t="s">
        <v>17</v>
      </c>
      <c r="C117" s="1366"/>
      <c r="D117" s="1366"/>
      <c r="E117" s="1366"/>
      <c r="F117" s="9"/>
      <c r="G117" s="9"/>
      <c r="H117" s="9"/>
      <c r="I117" s="9"/>
      <c r="J117" s="13"/>
      <c r="K117" s="9"/>
      <c r="L117" s="9"/>
      <c r="M117" s="9"/>
      <c r="N117" s="9"/>
      <c r="O117" s="9"/>
      <c r="P117" s="9"/>
      <c r="Q117" s="9"/>
      <c r="R117" s="9"/>
      <c r="S117" s="9"/>
      <c r="T117" s="9"/>
      <c r="U117" s="11"/>
      <c r="V117" s="11"/>
      <c r="W117" s="11"/>
      <c r="X117" s="12"/>
      <c r="Y117" s="12"/>
      <c r="Z117" s="12"/>
      <c r="AA117" s="12"/>
      <c r="AB117" s="12"/>
      <c r="AC117" s="241"/>
      <c r="AF117" s="84"/>
      <c r="AI117" s="179"/>
      <c r="AJ117" s="179"/>
      <c r="AK117" s="153"/>
    </row>
    <row r="118" spans="1:39" ht="11.25" customHeight="1" x14ac:dyDescent="0.2">
      <c r="A118" s="141"/>
      <c r="B118" s="1366"/>
      <c r="C118" s="1366"/>
      <c r="D118" s="1366"/>
      <c r="E118" s="1366"/>
      <c r="F118" s="9"/>
      <c r="G118" s="9"/>
      <c r="H118" s="9"/>
      <c r="I118" s="9"/>
      <c r="J118" s="13"/>
      <c r="K118" s="9"/>
      <c r="L118" s="9"/>
      <c r="M118" s="9"/>
      <c r="N118" s="9"/>
      <c r="O118" s="9"/>
      <c r="P118" s="9"/>
      <c r="Q118" s="9"/>
      <c r="R118" s="9"/>
      <c r="S118" s="9"/>
      <c r="T118" s="9"/>
      <c r="U118" s="11"/>
      <c r="V118" s="11"/>
      <c r="W118" s="11"/>
      <c r="X118" s="12"/>
      <c r="Y118" s="12"/>
      <c r="Z118" s="12"/>
      <c r="AA118" s="12"/>
      <c r="AB118" s="12"/>
      <c r="AC118" s="241"/>
      <c r="AF118" s="84"/>
      <c r="AI118" s="179"/>
      <c r="AJ118" s="179"/>
      <c r="AK118" s="153"/>
    </row>
    <row r="119" spans="1:39" ht="11.25" customHeight="1" x14ac:dyDescent="0.2">
      <c r="A119" s="141"/>
      <c r="B119" s="1366" t="s">
        <v>80</v>
      </c>
      <c r="C119" s="1366"/>
      <c r="D119" s="1366"/>
      <c r="E119" s="1366"/>
      <c r="F119" s="9"/>
      <c r="G119" s="9"/>
      <c r="H119" s="9"/>
      <c r="I119" s="9"/>
      <c r="J119" s="13"/>
      <c r="K119" s="9"/>
      <c r="L119" s="9"/>
      <c r="M119" s="9"/>
      <c r="N119" s="9"/>
      <c r="O119" s="9"/>
      <c r="P119" s="9"/>
      <c r="Q119" s="9"/>
      <c r="R119" s="9"/>
      <c r="S119" s="9"/>
      <c r="T119" s="9"/>
      <c r="U119" s="11"/>
      <c r="V119" s="11"/>
      <c r="W119" s="11"/>
      <c r="X119" s="12"/>
      <c r="Y119" s="12"/>
      <c r="Z119" s="12"/>
      <c r="AA119" s="12"/>
      <c r="AB119" s="12"/>
      <c r="AC119" s="241"/>
      <c r="AF119" s="84"/>
      <c r="AI119" s="179"/>
      <c r="AJ119" s="179"/>
      <c r="AK119" s="153"/>
    </row>
    <row r="120" spans="1:39" ht="11.25" customHeight="1" x14ac:dyDescent="0.2">
      <c r="A120" s="141"/>
      <c r="B120" s="1366"/>
      <c r="C120" s="1366"/>
      <c r="D120" s="1366"/>
      <c r="E120" s="1366"/>
      <c r="F120" s="9"/>
      <c r="G120" s="9"/>
      <c r="H120" s="9"/>
      <c r="I120" s="9"/>
      <c r="J120" s="13"/>
      <c r="K120" s="9"/>
      <c r="L120" s="9"/>
      <c r="M120" s="9"/>
      <c r="N120" s="9"/>
      <c r="O120" s="9"/>
      <c r="P120" s="9"/>
      <c r="Q120" s="9"/>
      <c r="R120" s="9"/>
      <c r="S120" s="9"/>
      <c r="T120" s="9"/>
      <c r="U120" s="11"/>
      <c r="V120" s="11"/>
      <c r="W120" s="11"/>
      <c r="X120" s="12"/>
      <c r="Y120" s="12"/>
      <c r="Z120" s="12"/>
      <c r="AA120" s="12"/>
      <c r="AB120" s="12"/>
      <c r="AC120" s="241"/>
      <c r="AF120" s="84"/>
      <c r="AI120" s="179"/>
      <c r="AJ120" s="179"/>
      <c r="AK120" s="153"/>
    </row>
    <row r="121" spans="1:39" ht="11.25" customHeight="1" x14ac:dyDescent="0.2">
      <c r="A121" s="141"/>
      <c r="B121" s="1366" t="s">
        <v>69</v>
      </c>
      <c r="C121" s="1366"/>
      <c r="D121" s="1366"/>
      <c r="E121" s="1366"/>
      <c r="F121" s="9"/>
      <c r="G121" s="9"/>
      <c r="H121" s="9"/>
      <c r="I121" s="9"/>
      <c r="J121" s="13"/>
      <c r="K121" s="9"/>
      <c r="L121" s="9"/>
      <c r="M121" s="9"/>
      <c r="N121" s="9"/>
      <c r="O121" s="9"/>
      <c r="P121" s="9"/>
      <c r="Q121" s="9"/>
      <c r="R121" s="9"/>
      <c r="S121" s="9"/>
      <c r="T121" s="9"/>
      <c r="U121" s="11"/>
      <c r="V121" s="11"/>
      <c r="W121" s="11"/>
      <c r="X121" s="12"/>
      <c r="Y121" s="12"/>
      <c r="Z121" s="12"/>
      <c r="AA121" s="12"/>
      <c r="AB121" s="12"/>
      <c r="AC121" s="241"/>
      <c r="AF121" s="84"/>
      <c r="AI121" s="179"/>
      <c r="AJ121" s="179"/>
      <c r="AK121" s="153"/>
    </row>
    <row r="122" spans="1:39" ht="11.25" customHeight="1" x14ac:dyDescent="0.2">
      <c r="A122" s="141"/>
      <c r="B122" s="1366"/>
      <c r="C122" s="1366"/>
      <c r="D122" s="1366"/>
      <c r="E122" s="1366"/>
      <c r="F122" s="9"/>
      <c r="G122" s="9"/>
      <c r="H122" s="9"/>
      <c r="I122" s="9"/>
      <c r="J122" s="13"/>
      <c r="K122" s="9"/>
      <c r="L122" s="9"/>
      <c r="M122" s="9"/>
      <c r="N122" s="9"/>
      <c r="O122" s="9"/>
      <c r="P122" s="9"/>
      <c r="Q122" s="9"/>
      <c r="R122" s="9"/>
      <c r="S122" s="9"/>
      <c r="T122" s="9"/>
      <c r="U122" s="11"/>
      <c r="V122" s="11"/>
      <c r="W122" s="11"/>
      <c r="X122" s="12"/>
      <c r="Y122" s="12"/>
      <c r="Z122" s="12"/>
      <c r="AA122" s="12"/>
      <c r="AB122" s="12"/>
      <c r="AC122" s="241"/>
      <c r="AF122" s="84"/>
      <c r="AI122" s="179"/>
      <c r="AJ122" s="179"/>
      <c r="AK122" s="153"/>
    </row>
    <row r="123" spans="1:39" ht="11.25" customHeight="1" x14ac:dyDescent="0.2">
      <c r="A123" s="141"/>
      <c r="B123" s="1366" t="s">
        <v>24</v>
      </c>
      <c r="C123" s="1366"/>
      <c r="D123" s="1366"/>
      <c r="E123" s="1366"/>
      <c r="F123" s="9"/>
      <c r="G123" s="9"/>
      <c r="H123" s="9"/>
      <c r="I123" s="9"/>
      <c r="J123" s="13"/>
      <c r="K123" s="9"/>
      <c r="L123" s="9"/>
      <c r="M123" s="9"/>
      <c r="N123" s="9"/>
      <c r="O123" s="9"/>
      <c r="P123" s="9"/>
      <c r="Q123" s="9"/>
      <c r="R123" s="9"/>
      <c r="S123" s="9"/>
      <c r="T123" s="9"/>
      <c r="U123" s="11"/>
      <c r="V123" s="11"/>
      <c r="W123" s="11"/>
      <c r="X123" s="12"/>
      <c r="Y123" s="12"/>
      <c r="Z123" s="12"/>
      <c r="AA123" s="12"/>
      <c r="AB123" s="12"/>
      <c r="AC123" s="241"/>
      <c r="AF123" s="84"/>
      <c r="AI123" s="179"/>
      <c r="AJ123" s="179"/>
      <c r="AK123" s="153"/>
    </row>
    <row r="124" spans="1:39" ht="11.25" customHeight="1" x14ac:dyDescent="0.2">
      <c r="A124" s="141"/>
      <c r="B124" s="1366"/>
      <c r="C124" s="1366"/>
      <c r="D124" s="1366"/>
      <c r="E124" s="1366"/>
      <c r="F124" s="9"/>
      <c r="G124" s="9"/>
      <c r="H124" s="9"/>
      <c r="I124" s="9"/>
      <c r="J124" s="13"/>
      <c r="K124" s="9"/>
      <c r="L124" s="9"/>
      <c r="M124" s="9"/>
      <c r="N124" s="9"/>
      <c r="O124" s="9"/>
      <c r="P124" s="9"/>
      <c r="Q124" s="9"/>
      <c r="R124" s="9"/>
      <c r="S124" s="9"/>
      <c r="T124" s="9"/>
      <c r="U124" s="11"/>
      <c r="V124" s="11"/>
      <c r="W124" s="11"/>
      <c r="X124" s="12"/>
      <c r="Y124" s="12"/>
      <c r="Z124" s="12"/>
      <c r="AA124" s="12"/>
      <c r="AB124" s="12"/>
      <c r="AC124" s="241"/>
      <c r="AF124" s="84"/>
      <c r="AI124" s="179"/>
      <c r="AJ124" s="179"/>
      <c r="AK124" s="153"/>
    </row>
    <row r="125" spans="1:39" ht="11.25" customHeight="1" x14ac:dyDescent="0.2">
      <c r="A125" s="141"/>
      <c r="B125" s="1366" t="s">
        <v>22</v>
      </c>
      <c r="C125" s="1366"/>
      <c r="D125" s="1366"/>
      <c r="E125" s="1366"/>
      <c r="F125" s="9"/>
      <c r="G125" s="9"/>
      <c r="H125" s="9"/>
      <c r="I125" s="9"/>
      <c r="J125" s="13"/>
      <c r="K125" s="9"/>
      <c r="L125" s="9"/>
      <c r="M125" s="9"/>
      <c r="N125" s="9"/>
      <c r="O125" s="9"/>
      <c r="P125" s="9"/>
      <c r="Q125" s="9"/>
      <c r="R125" s="9"/>
      <c r="S125" s="9"/>
      <c r="T125" s="9"/>
      <c r="U125" s="11"/>
      <c r="V125" s="11"/>
      <c r="W125" s="11"/>
      <c r="X125" s="12"/>
      <c r="Y125" s="12"/>
      <c r="Z125" s="12"/>
      <c r="AA125" s="12"/>
      <c r="AB125" s="12"/>
      <c r="AC125" s="241"/>
      <c r="AF125" s="84"/>
      <c r="AI125" s="179"/>
      <c r="AJ125" s="179"/>
      <c r="AK125" s="153"/>
    </row>
    <row r="126" spans="1:39" ht="11.25" customHeight="1" x14ac:dyDescent="0.2">
      <c r="A126" s="141"/>
      <c r="B126" s="1366"/>
      <c r="C126" s="1366"/>
      <c r="D126" s="1366"/>
      <c r="E126" s="1366"/>
      <c r="F126" s="9"/>
      <c r="G126" s="9"/>
      <c r="H126" s="9"/>
      <c r="I126" s="9"/>
      <c r="J126" s="13"/>
      <c r="K126" s="9"/>
      <c r="L126" s="9"/>
      <c r="M126" s="9"/>
      <c r="N126" s="9"/>
      <c r="O126" s="9"/>
      <c r="P126" s="9"/>
      <c r="Q126" s="9"/>
      <c r="R126" s="9"/>
      <c r="S126" s="9"/>
      <c r="T126" s="9"/>
      <c r="U126" s="11"/>
      <c r="V126" s="11"/>
      <c r="W126" s="11"/>
      <c r="X126" s="12"/>
      <c r="Y126" s="12"/>
      <c r="Z126" s="12"/>
      <c r="AA126" s="12"/>
      <c r="AB126" s="12"/>
      <c r="AC126" s="241"/>
      <c r="AF126" s="84"/>
      <c r="AI126" s="179"/>
      <c r="AJ126" s="179"/>
      <c r="AK126" s="153"/>
    </row>
    <row r="127" spans="1:39" ht="11.25" customHeight="1" x14ac:dyDescent="0.2">
      <c r="A127" s="141"/>
      <c r="B127" s="1366" t="s">
        <v>25</v>
      </c>
      <c r="C127" s="1366"/>
      <c r="D127" s="1366"/>
      <c r="E127" s="1366"/>
      <c r="F127" s="9"/>
      <c r="G127" s="9"/>
      <c r="H127" s="9"/>
      <c r="I127" s="9"/>
      <c r="J127" s="13"/>
      <c r="K127" s="9"/>
      <c r="L127" s="9"/>
      <c r="M127" s="9"/>
      <c r="N127" s="9"/>
      <c r="O127" s="9"/>
      <c r="P127" s="9"/>
      <c r="Q127" s="9"/>
      <c r="R127" s="9"/>
      <c r="S127" s="9"/>
      <c r="T127" s="9"/>
      <c r="U127" s="11"/>
      <c r="V127" s="11"/>
      <c r="W127" s="11"/>
      <c r="X127" s="12"/>
      <c r="Y127" s="12"/>
      <c r="Z127" s="12"/>
      <c r="AA127" s="12"/>
      <c r="AB127" s="12"/>
      <c r="AC127" s="241"/>
      <c r="AF127" s="84"/>
      <c r="AI127" s="179"/>
      <c r="AJ127" s="179"/>
      <c r="AK127" s="153"/>
    </row>
    <row r="128" spans="1:39" ht="11.25" customHeight="1" x14ac:dyDescent="0.2">
      <c r="A128" s="141"/>
      <c r="B128" s="1366"/>
      <c r="C128" s="1366"/>
      <c r="D128" s="1366"/>
      <c r="E128" s="1366"/>
      <c r="F128" s="9"/>
      <c r="G128" s="9"/>
      <c r="H128" s="9"/>
      <c r="I128" s="9"/>
      <c r="J128" s="13"/>
      <c r="K128" s="9"/>
      <c r="L128" s="9"/>
      <c r="M128" s="9"/>
      <c r="N128" s="9"/>
      <c r="O128" s="9"/>
      <c r="P128" s="9"/>
      <c r="Q128" s="9"/>
      <c r="R128" s="9"/>
      <c r="S128" s="9"/>
      <c r="T128" s="9"/>
      <c r="U128" s="11"/>
      <c r="V128" s="11"/>
      <c r="W128" s="11"/>
      <c r="X128" s="12"/>
      <c r="Y128" s="12"/>
      <c r="Z128" s="12"/>
      <c r="AA128" s="12"/>
      <c r="AB128" s="12"/>
      <c r="AC128" s="241"/>
      <c r="AF128" s="84"/>
      <c r="AI128" s="179"/>
      <c r="AJ128" s="179"/>
      <c r="AK128" s="153"/>
    </row>
    <row r="129" spans="1:37" ht="11.25" customHeight="1" x14ac:dyDescent="0.2">
      <c r="A129" s="141"/>
      <c r="B129" s="1366" t="s">
        <v>18</v>
      </c>
      <c r="C129" s="1366"/>
      <c r="D129" s="1366"/>
      <c r="E129" s="1366"/>
      <c r="F129" s="9"/>
      <c r="G129" s="9"/>
      <c r="H129" s="9"/>
      <c r="I129" s="9"/>
      <c r="J129" s="13"/>
      <c r="K129" s="9"/>
      <c r="L129" s="9"/>
      <c r="M129" s="9"/>
      <c r="N129" s="9"/>
      <c r="O129" s="9"/>
      <c r="P129" s="9"/>
      <c r="Q129" s="9"/>
      <c r="R129" s="9"/>
      <c r="S129" s="9"/>
      <c r="T129" s="9"/>
      <c r="U129" s="11"/>
      <c r="V129" s="11"/>
      <c r="W129" s="11"/>
      <c r="X129" s="12"/>
      <c r="Y129" s="12"/>
      <c r="Z129" s="12"/>
      <c r="AA129" s="12"/>
      <c r="AB129" s="12"/>
      <c r="AC129" s="241"/>
      <c r="AF129" s="84"/>
      <c r="AI129" s="179"/>
      <c r="AJ129" s="179"/>
      <c r="AK129" s="153"/>
    </row>
    <row r="130" spans="1:37" ht="11.25" customHeight="1" x14ac:dyDescent="0.2">
      <c r="A130" s="141"/>
      <c r="B130" s="1366"/>
      <c r="C130" s="1366"/>
      <c r="D130" s="1366"/>
      <c r="E130" s="1366"/>
      <c r="F130" s="9"/>
      <c r="G130" s="9"/>
      <c r="H130" s="9"/>
      <c r="I130" s="9"/>
      <c r="J130" s="13"/>
      <c r="K130" s="9"/>
      <c r="L130" s="9"/>
      <c r="M130" s="9"/>
      <c r="N130" s="9"/>
      <c r="O130" s="9"/>
      <c r="P130" s="9"/>
      <c r="Q130" s="9"/>
      <c r="R130" s="9"/>
      <c r="S130" s="9"/>
      <c r="T130" s="9"/>
      <c r="U130" s="11"/>
      <c r="V130" s="11"/>
      <c r="W130" s="11"/>
      <c r="X130" s="12"/>
      <c r="Y130" s="12"/>
      <c r="Z130" s="12"/>
      <c r="AA130" s="12"/>
      <c r="AB130" s="12"/>
      <c r="AC130" s="241"/>
      <c r="AF130" s="84"/>
      <c r="AI130" s="179"/>
      <c r="AJ130" s="179"/>
      <c r="AK130" s="153"/>
    </row>
    <row r="131" spans="1:37" ht="11.25" customHeight="1" x14ac:dyDescent="0.2">
      <c r="A131" s="141"/>
      <c r="B131" s="1366" t="s">
        <v>19</v>
      </c>
      <c r="C131" s="1366"/>
      <c r="D131" s="1366"/>
      <c r="E131" s="1366"/>
      <c r="F131" s="1366"/>
      <c r="G131" s="9"/>
      <c r="H131" s="9"/>
      <c r="I131" s="9"/>
      <c r="J131" s="13"/>
      <c r="K131" s="9"/>
      <c r="L131" s="9"/>
      <c r="M131" s="9"/>
      <c r="N131" s="9"/>
      <c r="O131" s="9"/>
      <c r="P131" s="9"/>
      <c r="Q131" s="9"/>
      <c r="R131" s="9"/>
      <c r="S131" s="9"/>
      <c r="T131" s="9"/>
      <c r="U131" s="11"/>
      <c r="V131" s="11"/>
      <c r="W131" s="11"/>
      <c r="X131" s="12"/>
      <c r="Y131" s="12"/>
      <c r="Z131" s="12"/>
      <c r="AA131" s="12"/>
      <c r="AB131" s="12"/>
      <c r="AC131" s="241"/>
      <c r="AF131" s="84"/>
      <c r="AI131" s="179"/>
      <c r="AJ131" s="179"/>
      <c r="AK131" s="153"/>
    </row>
    <row r="132" spans="1:37" ht="11.25" customHeight="1" x14ac:dyDescent="0.2">
      <c r="A132" s="141"/>
      <c r="B132" s="1366"/>
      <c r="C132" s="1366"/>
      <c r="D132" s="1366"/>
      <c r="E132" s="1366"/>
      <c r="F132" s="1366"/>
      <c r="G132" s="9"/>
      <c r="H132" s="9"/>
      <c r="I132" s="9"/>
      <c r="J132" s="13"/>
      <c r="K132" s="9"/>
      <c r="L132" s="9"/>
      <c r="M132" s="9"/>
      <c r="N132" s="9"/>
      <c r="O132" s="9"/>
      <c r="P132" s="9"/>
      <c r="Q132" s="9"/>
      <c r="R132" s="9"/>
      <c r="S132" s="9"/>
      <c r="T132" s="9"/>
      <c r="U132" s="11"/>
      <c r="V132" s="11"/>
      <c r="W132" s="11"/>
      <c r="X132" s="12"/>
      <c r="Y132" s="12"/>
      <c r="Z132" s="12"/>
      <c r="AA132" s="12"/>
      <c r="AB132" s="12"/>
      <c r="AC132" s="241"/>
      <c r="AF132" s="84"/>
      <c r="AI132" s="179"/>
      <c r="AJ132" s="179"/>
      <c r="AK132" s="153"/>
    </row>
    <row r="133" spans="1:37" ht="11.25" customHeight="1" x14ac:dyDescent="0.2">
      <c r="A133" s="141"/>
      <c r="B133" s="1366" t="s">
        <v>20</v>
      </c>
      <c r="C133" s="1366"/>
      <c r="D133" s="1366"/>
      <c r="E133" s="1366"/>
      <c r="F133" s="9"/>
      <c r="G133" s="9"/>
      <c r="H133" s="9"/>
      <c r="I133" s="9"/>
      <c r="J133" s="13"/>
      <c r="K133" s="9"/>
      <c r="L133" s="9"/>
      <c r="M133" s="9"/>
      <c r="N133" s="9"/>
      <c r="O133" s="9"/>
      <c r="P133" s="9"/>
      <c r="Q133" s="9"/>
      <c r="R133" s="9"/>
      <c r="S133" s="9"/>
      <c r="T133" s="9"/>
      <c r="U133" s="11"/>
      <c r="V133" s="11"/>
      <c r="W133" s="11"/>
      <c r="X133" s="12"/>
      <c r="Y133" s="12"/>
      <c r="Z133" s="12"/>
      <c r="AA133" s="12"/>
      <c r="AB133" s="12"/>
      <c r="AC133" s="241"/>
      <c r="AF133" s="84"/>
      <c r="AI133" s="179"/>
      <c r="AJ133" s="179"/>
      <c r="AK133" s="153"/>
    </row>
    <row r="134" spans="1:37" ht="11.25" customHeight="1" x14ac:dyDescent="0.2">
      <c r="A134" s="141"/>
      <c r="B134" s="1366"/>
      <c r="C134" s="1366"/>
      <c r="D134" s="1366"/>
      <c r="E134" s="1366"/>
      <c r="F134" s="9"/>
      <c r="G134" s="9"/>
      <c r="H134" s="9"/>
      <c r="I134" s="9"/>
      <c r="J134" s="13"/>
      <c r="K134" s="9"/>
      <c r="L134" s="9"/>
      <c r="M134" s="9"/>
      <c r="N134" s="9"/>
      <c r="O134" s="9"/>
      <c r="P134" s="9"/>
      <c r="Q134" s="9"/>
      <c r="R134" s="9"/>
      <c r="S134" s="9"/>
      <c r="T134" s="9"/>
      <c r="U134" s="11"/>
      <c r="V134" s="11"/>
      <c r="W134" s="11"/>
      <c r="X134" s="12"/>
      <c r="Y134" s="12"/>
      <c r="Z134" s="12"/>
      <c r="AA134" s="12"/>
      <c r="AB134" s="12"/>
      <c r="AC134" s="241"/>
      <c r="AF134" s="84"/>
      <c r="AI134" s="179"/>
      <c r="AJ134" s="179"/>
      <c r="AK134" s="153"/>
    </row>
    <row r="135" spans="1:37" ht="11.25" customHeight="1" x14ac:dyDescent="0.2">
      <c r="A135" s="141"/>
      <c r="B135" s="1366" t="s">
        <v>26</v>
      </c>
      <c r="C135" s="1366"/>
      <c r="D135" s="1366"/>
      <c r="E135" s="1366"/>
      <c r="F135" s="9"/>
      <c r="G135" s="9"/>
      <c r="H135" s="9"/>
      <c r="I135" s="9"/>
      <c r="J135" s="13"/>
      <c r="K135" s="9"/>
      <c r="L135" s="9"/>
      <c r="M135" s="9"/>
      <c r="N135" s="9"/>
      <c r="O135" s="9"/>
      <c r="P135" s="9"/>
      <c r="Q135" s="9"/>
      <c r="R135" s="9"/>
      <c r="S135" s="9"/>
      <c r="T135" s="9"/>
      <c r="U135" s="11"/>
      <c r="V135" s="11"/>
      <c r="W135" s="11"/>
      <c r="X135" s="12"/>
      <c r="Y135" s="12"/>
      <c r="Z135" s="12"/>
      <c r="AA135" s="12"/>
      <c r="AB135" s="12"/>
      <c r="AC135" s="241"/>
      <c r="AF135" s="84"/>
      <c r="AI135" s="179"/>
      <c r="AJ135" s="179"/>
      <c r="AK135" s="153"/>
    </row>
    <row r="136" spans="1:37" ht="11.25" customHeight="1" x14ac:dyDescent="0.2">
      <c r="A136" s="141"/>
      <c r="B136" s="1366"/>
      <c r="C136" s="1366"/>
      <c r="D136" s="1366"/>
      <c r="E136" s="1366"/>
      <c r="F136" s="9"/>
      <c r="G136" s="9"/>
      <c r="H136" s="9"/>
      <c r="I136" s="9"/>
      <c r="J136" s="13"/>
      <c r="K136" s="9"/>
      <c r="L136" s="9"/>
      <c r="M136" s="9"/>
      <c r="N136" s="9"/>
      <c r="O136" s="9"/>
      <c r="P136" s="9"/>
      <c r="Q136" s="9"/>
      <c r="R136" s="9"/>
      <c r="S136" s="9"/>
      <c r="T136" s="9"/>
      <c r="U136" s="11"/>
      <c r="V136" s="11"/>
      <c r="W136" s="11"/>
      <c r="X136" s="12"/>
      <c r="Y136" s="12"/>
      <c r="Z136" s="12"/>
      <c r="AA136" s="12"/>
      <c r="AB136" s="12"/>
      <c r="AC136" s="241"/>
      <c r="AF136" s="84"/>
      <c r="AI136" s="179"/>
      <c r="AJ136" s="179"/>
      <c r="AK136" s="153"/>
    </row>
    <row r="137" spans="1:37" ht="11.25" customHeight="1" x14ac:dyDescent="0.2">
      <c r="A137" s="141"/>
      <c r="B137" s="1366" t="s">
        <v>21</v>
      </c>
      <c r="C137" s="1366"/>
      <c r="D137" s="1366"/>
      <c r="E137" s="1366"/>
      <c r="F137" s="9"/>
      <c r="G137" s="9"/>
      <c r="H137" s="9"/>
      <c r="I137" s="9"/>
      <c r="J137" s="13"/>
      <c r="K137" s="9"/>
      <c r="L137" s="9"/>
      <c r="M137" s="9"/>
      <c r="N137" s="9"/>
      <c r="O137" s="9"/>
      <c r="P137" s="9"/>
      <c r="Q137" s="9"/>
      <c r="R137" s="9"/>
      <c r="S137" s="9"/>
      <c r="T137" s="9"/>
      <c r="U137" s="11"/>
      <c r="V137" s="11"/>
      <c r="W137" s="11"/>
      <c r="X137" s="12"/>
      <c r="Y137" s="12"/>
      <c r="Z137" s="12"/>
      <c r="AA137" s="12"/>
      <c r="AB137" s="12"/>
      <c r="AC137" s="241"/>
      <c r="AF137" s="84"/>
      <c r="AI137" s="179"/>
      <c r="AJ137" s="179"/>
      <c r="AK137" s="153"/>
    </row>
    <row r="138" spans="1:37" ht="11.25" customHeight="1" x14ac:dyDescent="0.2">
      <c r="A138" s="141"/>
      <c r="B138" s="1366"/>
      <c r="C138" s="1366"/>
      <c r="D138" s="1366"/>
      <c r="E138" s="1366"/>
      <c r="F138" s="9"/>
      <c r="G138" s="9"/>
      <c r="H138" s="9"/>
      <c r="I138" s="9"/>
      <c r="J138" s="13"/>
      <c r="K138" s="9"/>
      <c r="L138" s="9"/>
      <c r="M138" s="9"/>
      <c r="N138" s="9"/>
      <c r="O138" s="9"/>
      <c r="P138" s="9"/>
      <c r="Q138" s="9"/>
      <c r="R138" s="9"/>
      <c r="S138" s="9"/>
      <c r="T138" s="9"/>
      <c r="U138" s="11"/>
      <c r="V138" s="11"/>
      <c r="W138" s="11"/>
      <c r="X138" s="12"/>
      <c r="Y138" s="12"/>
      <c r="Z138" s="12"/>
      <c r="AA138" s="12"/>
      <c r="AB138" s="12"/>
      <c r="AC138" s="241"/>
      <c r="AF138" s="84"/>
      <c r="AI138" s="179"/>
      <c r="AJ138" s="179"/>
      <c r="AK138" s="153"/>
    </row>
    <row r="139" spans="1:37" ht="11.25" customHeight="1" x14ac:dyDescent="0.2">
      <c r="A139" s="141"/>
      <c r="B139" s="1366" t="s">
        <v>930</v>
      </c>
      <c r="C139" s="1366"/>
      <c r="D139" s="1366"/>
      <c r="E139" s="1366"/>
      <c r="F139" s="1366"/>
      <c r="G139" s="9"/>
      <c r="H139" s="9"/>
      <c r="I139" s="9"/>
      <c r="J139" s="13"/>
      <c r="K139" s="9"/>
      <c r="L139" s="9"/>
      <c r="M139" s="9"/>
      <c r="N139" s="9"/>
      <c r="O139" s="9"/>
      <c r="P139" s="9"/>
      <c r="Q139" s="9"/>
      <c r="R139" s="9"/>
      <c r="S139" s="9"/>
      <c r="T139" s="9"/>
      <c r="U139" s="11"/>
      <c r="V139" s="11"/>
      <c r="W139" s="11"/>
      <c r="X139" s="12"/>
      <c r="Y139" s="12"/>
      <c r="Z139" s="12"/>
      <c r="AA139" s="12"/>
      <c r="AB139" s="12"/>
      <c r="AC139" s="241"/>
      <c r="AF139" s="84"/>
      <c r="AI139" s="179"/>
      <c r="AJ139" s="179"/>
      <c r="AK139" s="153"/>
    </row>
    <row r="140" spans="1:37" ht="11.25" customHeight="1" x14ac:dyDescent="0.2">
      <c r="A140" s="141"/>
      <c r="B140" s="1366"/>
      <c r="C140" s="1366"/>
      <c r="D140" s="1366"/>
      <c r="E140" s="1366"/>
      <c r="F140" s="1366"/>
      <c r="G140" s="9"/>
      <c r="H140" s="9"/>
      <c r="I140" s="9"/>
      <c r="J140" s="13"/>
      <c r="K140" s="9"/>
      <c r="L140" s="9"/>
      <c r="M140" s="9"/>
      <c r="N140" s="9"/>
      <c r="O140" s="9"/>
      <c r="P140" s="9"/>
      <c r="Q140" s="9"/>
      <c r="R140" s="9"/>
      <c r="S140" s="9"/>
      <c r="T140" s="9"/>
      <c r="U140" s="11"/>
      <c r="V140" s="11"/>
      <c r="W140" s="11"/>
      <c r="X140" s="12"/>
      <c r="Y140" s="12"/>
      <c r="Z140" s="12"/>
      <c r="AA140" s="12"/>
      <c r="AB140" s="12"/>
      <c r="AC140" s="241"/>
      <c r="AF140" s="84"/>
      <c r="AI140" s="179"/>
      <c r="AJ140" s="179"/>
      <c r="AK140" s="153"/>
    </row>
    <row r="141" spans="1:37" ht="11.25" customHeight="1" x14ac:dyDescent="0.2">
      <c r="A141" s="141"/>
      <c r="B141" s="1366" t="s">
        <v>680</v>
      </c>
      <c r="C141" s="1366"/>
      <c r="D141" s="1366"/>
      <c r="E141" s="1366"/>
      <c r="F141" s="9"/>
      <c r="G141" s="9"/>
      <c r="H141" s="9"/>
      <c r="I141" s="9"/>
      <c r="J141" s="13"/>
      <c r="K141" s="9"/>
      <c r="L141" s="9"/>
      <c r="M141" s="9"/>
      <c r="N141" s="9"/>
      <c r="O141" s="9"/>
      <c r="P141" s="9"/>
      <c r="Q141" s="9"/>
      <c r="R141" s="9"/>
      <c r="S141" s="9"/>
      <c r="T141" s="9"/>
      <c r="U141" s="11"/>
      <c r="V141" s="11"/>
      <c r="W141" s="11"/>
      <c r="X141" s="12"/>
      <c r="Y141" s="12"/>
      <c r="Z141" s="12"/>
      <c r="AA141" s="12"/>
      <c r="AB141" s="12"/>
      <c r="AC141" s="241"/>
      <c r="AF141" s="84"/>
      <c r="AI141" s="179"/>
      <c r="AJ141" s="179"/>
      <c r="AK141" s="153"/>
    </row>
    <row r="142" spans="1:37" ht="11.25" customHeight="1" x14ac:dyDescent="0.2">
      <c r="A142" s="141"/>
      <c r="B142" s="1366"/>
      <c r="C142" s="1366"/>
      <c r="D142" s="1366"/>
      <c r="E142" s="1366"/>
      <c r="F142" s="9"/>
      <c r="G142" s="9"/>
      <c r="H142" s="9"/>
      <c r="I142" s="9"/>
      <c r="J142" s="13"/>
      <c r="K142" s="9"/>
      <c r="L142" s="9"/>
      <c r="M142" s="9"/>
      <c r="N142" s="9"/>
      <c r="O142" s="9"/>
      <c r="P142" s="9"/>
      <c r="Q142" s="9"/>
      <c r="R142" s="9"/>
      <c r="S142" s="9"/>
      <c r="T142" s="9"/>
      <c r="U142" s="11"/>
      <c r="V142" s="11"/>
      <c r="W142" s="11"/>
      <c r="X142" s="12"/>
      <c r="Y142" s="12"/>
      <c r="Z142" s="12"/>
      <c r="AA142" s="12"/>
      <c r="AB142" s="12"/>
      <c r="AC142" s="241"/>
      <c r="AF142" s="84"/>
      <c r="AI142" s="179"/>
      <c r="AJ142" s="179"/>
      <c r="AK142" s="153"/>
    </row>
    <row r="143" spans="1:37" ht="11.25" customHeight="1" x14ac:dyDescent="0.2">
      <c r="A143" s="141"/>
      <c r="B143" s="1366" t="s">
        <v>32</v>
      </c>
      <c r="C143" s="1366"/>
      <c r="D143" s="1366"/>
      <c r="E143" s="1366"/>
      <c r="F143" s="9"/>
      <c r="G143" s="9"/>
      <c r="H143" s="9"/>
      <c r="I143" s="9"/>
      <c r="J143" s="13"/>
      <c r="K143" s="9"/>
      <c r="L143" s="9"/>
      <c r="M143" s="9"/>
      <c r="N143" s="9"/>
      <c r="O143" s="9"/>
      <c r="P143" s="9"/>
      <c r="Q143" s="9"/>
      <c r="R143" s="9"/>
      <c r="S143" s="9"/>
      <c r="T143" s="9"/>
      <c r="U143" s="11"/>
      <c r="V143" s="11"/>
      <c r="W143" s="11"/>
      <c r="X143" s="12"/>
      <c r="Y143" s="12"/>
      <c r="Z143" s="12"/>
      <c r="AA143" s="12"/>
      <c r="AB143" s="12"/>
      <c r="AC143" s="241"/>
      <c r="AF143" s="84"/>
      <c r="AI143" s="179"/>
      <c r="AJ143" s="179"/>
      <c r="AK143" s="153"/>
    </row>
    <row r="144" spans="1:37" ht="11.25" customHeight="1" x14ac:dyDescent="0.2">
      <c r="A144" s="141"/>
      <c r="B144" s="1366"/>
      <c r="C144" s="1366"/>
      <c r="D144" s="1366"/>
      <c r="E144" s="1366"/>
      <c r="F144" s="9"/>
      <c r="G144" s="9"/>
      <c r="H144" s="9"/>
      <c r="I144" s="9"/>
      <c r="J144" s="13"/>
      <c r="K144" s="9"/>
      <c r="L144" s="9"/>
      <c r="M144" s="9"/>
      <c r="N144" s="9"/>
      <c r="O144" s="9"/>
      <c r="P144" s="9"/>
      <c r="Q144" s="9"/>
      <c r="R144" s="9"/>
      <c r="S144" s="9"/>
      <c r="T144" s="9"/>
      <c r="U144" s="11"/>
      <c r="V144" s="11"/>
      <c r="W144" s="11"/>
      <c r="X144" s="12"/>
      <c r="Y144" s="12"/>
      <c r="Z144" s="12"/>
      <c r="AA144" s="12"/>
      <c r="AB144" s="12"/>
      <c r="AC144" s="241"/>
      <c r="AF144" s="84"/>
      <c r="AI144" s="179"/>
      <c r="AJ144" s="179"/>
      <c r="AK144" s="153"/>
    </row>
    <row r="145" spans="1:47" ht="11.25" customHeight="1" x14ac:dyDescent="0.2">
      <c r="A145" s="248"/>
      <c r="B145" s="1110"/>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1307"/>
      <c r="AF145" s="84"/>
      <c r="AI145" s="179"/>
      <c r="AJ145" s="179"/>
      <c r="AK145" s="242"/>
    </row>
    <row r="146" spans="1:47" ht="11.25" customHeight="1" x14ac:dyDescent="0.2">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F146" s="84"/>
      <c r="AI146" s="179"/>
      <c r="AJ146" s="179"/>
    </row>
    <row r="147" spans="1:47" ht="18.75" customHeight="1" x14ac:dyDescent="0.2">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F147" s="84"/>
      <c r="AI147" s="179"/>
      <c r="AJ147" s="179"/>
    </row>
    <row r="148" spans="1:47" s="82" customFormat="1" ht="11.25" customHeight="1" x14ac:dyDescent="0.2">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83"/>
      <c r="AE148" s="83"/>
      <c r="AF148" s="84"/>
      <c r="AG148" s="83"/>
      <c r="AH148" s="83"/>
      <c r="AI148" s="179"/>
      <c r="AJ148" s="179"/>
      <c r="AL148" s="76"/>
      <c r="AM148" s="76"/>
      <c r="AN148" s="76"/>
      <c r="AO148" s="76"/>
      <c r="AP148" s="76"/>
      <c r="AQ148" s="76"/>
      <c r="AR148" s="76"/>
      <c r="AS148" s="76"/>
      <c r="AT148" s="76"/>
      <c r="AU148" s="76"/>
    </row>
    <row r="149" spans="1:47" ht="11.25" customHeight="1" x14ac:dyDescent="0.2">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F149" s="84"/>
      <c r="AI149" s="179"/>
      <c r="AJ149" s="179"/>
    </row>
    <row r="150" spans="1:47" ht="11.25" customHeight="1" x14ac:dyDescent="0.2">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F150" s="84"/>
      <c r="AI150" s="179"/>
      <c r="AJ150" s="179"/>
    </row>
    <row r="151" spans="1:47" ht="11.25" customHeight="1" x14ac:dyDescent="0.2">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F151" s="84"/>
      <c r="AI151" s="179"/>
      <c r="AJ151" s="179"/>
    </row>
    <row r="152" spans="1:47" ht="11.25" customHeight="1" x14ac:dyDescent="0.2">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F152" s="84"/>
      <c r="AI152" s="179"/>
      <c r="AJ152" s="179"/>
    </row>
    <row r="153" spans="1:47" ht="11.25" customHeight="1" x14ac:dyDescent="0.2">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F153" s="84"/>
      <c r="AI153" s="179"/>
      <c r="AJ153" s="179"/>
    </row>
    <row r="154" spans="1:47" ht="11.25" customHeight="1" x14ac:dyDescent="0.2">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F154" s="84"/>
      <c r="AI154" s="179"/>
      <c r="AJ154" s="179"/>
    </row>
    <row r="155" spans="1:47" ht="11.25" customHeight="1" x14ac:dyDescent="0.2">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F155" s="84"/>
      <c r="AI155" s="179"/>
      <c r="AJ155" s="179"/>
    </row>
    <row r="156" spans="1:47" ht="11.25" customHeight="1" x14ac:dyDescent="0.2">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F156" s="84"/>
      <c r="AI156" s="179"/>
      <c r="AJ156" s="179"/>
    </row>
    <row r="157" spans="1:47" ht="11.25" customHeight="1" x14ac:dyDescent="0.2">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F157" s="84"/>
      <c r="AI157" s="179"/>
      <c r="AJ157" s="179"/>
    </row>
    <row r="158" spans="1:47" ht="11.25" customHeight="1" x14ac:dyDescent="0.2">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F158" s="84"/>
      <c r="AI158" s="179"/>
      <c r="AJ158" s="179"/>
    </row>
    <row r="159" spans="1:47" ht="11.25" customHeight="1" x14ac:dyDescent="0.2">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F159" s="84"/>
      <c r="AI159" s="179"/>
      <c r="AJ159" s="179"/>
    </row>
    <row r="160" spans="1:47" ht="11.25" customHeight="1" x14ac:dyDescent="0.2">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F160" s="84"/>
      <c r="AI160" s="179"/>
      <c r="AJ160" s="179"/>
    </row>
    <row r="161" spans="1:36" ht="11.25" customHeight="1" x14ac:dyDescent="0.2">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F161" s="84"/>
      <c r="AI161" s="179"/>
      <c r="AJ161" s="179"/>
    </row>
    <row r="162" spans="1:36" ht="11.25" customHeight="1" x14ac:dyDescent="0.2">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F162" s="84"/>
      <c r="AI162" s="179"/>
      <c r="AJ162" s="179"/>
    </row>
    <row r="163" spans="1:36" ht="11.25" customHeight="1" x14ac:dyDescent="0.2">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197"/>
      <c r="AE163" s="197"/>
      <c r="AF163" s="1132"/>
      <c r="AG163" s="197"/>
      <c r="AH163" s="197"/>
      <c r="AI163" s="198"/>
      <c r="AJ163" s="198"/>
    </row>
    <row r="274" spans="38:38" ht="11.25" customHeight="1" x14ac:dyDescent="0.2">
      <c r="AL274" s="76" t="b">
        <v>1</v>
      </c>
    </row>
  </sheetData>
  <sheetProtection sheet="1" objects="1" scenarios="1"/>
  <mergeCells count="42">
    <mergeCell ref="AM38:AQ38"/>
    <mergeCell ref="AR38:AR40"/>
    <mergeCell ref="B141:E142"/>
    <mergeCell ref="B143:E144"/>
    <mergeCell ref="B139:F140"/>
    <mergeCell ref="B109:B110"/>
    <mergeCell ref="B111:E112"/>
    <mergeCell ref="B113:E114"/>
    <mergeCell ref="B115:E116"/>
    <mergeCell ref="B117:E118"/>
    <mergeCell ref="B119:E120"/>
    <mergeCell ref="B121:E122"/>
    <mergeCell ref="B123:E124"/>
    <mergeCell ref="B125:E126"/>
    <mergeCell ref="B127:E128"/>
    <mergeCell ref="B129:E130"/>
    <mergeCell ref="Z8:Z9"/>
    <mergeCell ref="A106:V106"/>
    <mergeCell ref="A105:V105"/>
    <mergeCell ref="AA8:AA9"/>
    <mergeCell ref="A70:V70"/>
    <mergeCell ref="A71:V71"/>
    <mergeCell ref="R64:U64"/>
    <mergeCell ref="R65:U65"/>
    <mergeCell ref="B35:U35"/>
    <mergeCell ref="A37:V37"/>
    <mergeCell ref="A38:V38"/>
    <mergeCell ref="B7:B9"/>
    <mergeCell ref="D7:H7"/>
    <mergeCell ref="I7:I9"/>
    <mergeCell ref="Q7:Q9"/>
    <mergeCell ref="S7:U8"/>
    <mergeCell ref="B133:E134"/>
    <mergeCell ref="B135:E136"/>
    <mergeCell ref="B137:E138"/>
    <mergeCell ref="B131:F132"/>
    <mergeCell ref="B5:N6"/>
    <mergeCell ref="M64:P64"/>
    <mergeCell ref="M65:P65"/>
    <mergeCell ref="K7:P7"/>
    <mergeCell ref="O8:P8"/>
    <mergeCell ref="O9:P9"/>
  </mergeCells>
  <conditionalFormatting sqref="B10:B31 K10:O31 B51:C66 D10:H31">
    <cfRule type="containsErrors" dxfId="508" priority="42">
      <formula>ISERROR(B10)</formula>
    </cfRule>
  </conditionalFormatting>
  <conditionalFormatting sqref="S10:T33">
    <cfRule type="containsErrors" dxfId="507" priority="36">
      <formula>ISERROR(S10)</formula>
    </cfRule>
  </conditionalFormatting>
  <conditionalFormatting sqref="A10:A31">
    <cfRule type="cellIs" dxfId="506" priority="35" operator="equal">
      <formula>0</formula>
    </cfRule>
  </conditionalFormatting>
  <conditionalFormatting sqref="B10:B31 K10:O31 Q10:Q31 D10:I31 P10:P32 S10:U31 B51:C66">
    <cfRule type="expression" dxfId="505" priority="41">
      <formula>$B10=$Z$4</formula>
    </cfRule>
  </conditionalFormatting>
  <conditionalFormatting sqref="A10:A32">
    <cfRule type="containsErrors" dxfId="504" priority="34">
      <formula>ISERROR(A10)</formula>
    </cfRule>
  </conditionalFormatting>
  <conditionalFormatting sqref="AG10:AH28">
    <cfRule type="containsErrors" dxfId="503" priority="33">
      <formula>ISERROR(AG10)</formula>
    </cfRule>
  </conditionalFormatting>
  <conditionalFormatting sqref="AG10:AH21 AH11:AH28">
    <cfRule type="expression" dxfId="502" priority="32">
      <formula>$B10=$X$4</formula>
    </cfRule>
  </conditionalFormatting>
  <conditionalFormatting sqref="I10:I31">
    <cfRule type="containsErrors" dxfId="501" priority="43">
      <formula>ISERROR(I10)</formula>
    </cfRule>
  </conditionalFormatting>
  <conditionalFormatting sqref="A38">
    <cfRule type="cellIs" dxfId="500" priority="28" operator="equal">
      <formula>0</formula>
    </cfRule>
    <cfRule type="containsErrors" dxfId="499" priority="29">
      <formula>ISERROR(A38)</formula>
    </cfRule>
  </conditionalFormatting>
  <conditionalFormatting sqref="A71">
    <cfRule type="cellIs" dxfId="498" priority="26" operator="equal">
      <formula>0</formula>
    </cfRule>
    <cfRule type="containsErrors" dxfId="497" priority="27">
      <formula>ISERROR(A71)</formula>
    </cfRule>
  </conditionalFormatting>
  <conditionalFormatting sqref="A106">
    <cfRule type="cellIs" dxfId="496" priority="24" operator="equal">
      <formula>0</formula>
    </cfRule>
    <cfRule type="containsErrors" dxfId="495" priority="25">
      <formula>ISERROR(A106)</formula>
    </cfRule>
  </conditionalFormatting>
  <conditionalFormatting sqref="D8:H8">
    <cfRule type="containsErrors" dxfId="494" priority="21">
      <formula>ISERROR(D8)</formula>
    </cfRule>
  </conditionalFormatting>
  <conditionalFormatting sqref="D9:H9">
    <cfRule type="containsErrors" dxfId="493" priority="23">
      <formula>ISERROR(D9)</formula>
    </cfRule>
  </conditionalFormatting>
  <conditionalFormatting sqref="K8:O8">
    <cfRule type="containsErrors" dxfId="492" priority="20">
      <formula>ISERROR(K8)</formula>
    </cfRule>
  </conditionalFormatting>
  <conditionalFormatting sqref="K9:O9">
    <cfRule type="containsErrors" dxfId="491" priority="44">
      <formula>ISERROR(K9)</formula>
    </cfRule>
  </conditionalFormatting>
  <conditionalFormatting sqref="Y3">
    <cfRule type="containsErrors" dxfId="490" priority="17">
      <formula>ISERROR(Y3)</formula>
    </cfRule>
  </conditionalFormatting>
  <conditionalFormatting sqref="Y2">
    <cfRule type="containsErrors" dxfId="489" priority="16">
      <formula>ISERROR(Y2)</formula>
    </cfRule>
  </conditionalFormatting>
  <conditionalFormatting sqref="P33">
    <cfRule type="containsErrors" dxfId="488" priority="15">
      <formula>ISERROR(P33)</formula>
    </cfRule>
  </conditionalFormatting>
  <conditionalFormatting sqref="P32">
    <cfRule type="containsErrors" dxfId="487" priority="13">
      <formula>ISERROR(P32)</formula>
    </cfRule>
  </conditionalFormatting>
  <conditionalFormatting sqref="P10:P32">
    <cfRule type="containsErrors" dxfId="486" priority="11">
      <formula>ISERROR(P10)</formula>
    </cfRule>
    <cfRule type="dataBar" priority="12">
      <dataBar showValue="0">
        <cfvo type="min"/>
        <cfvo type="max"/>
        <color theme="9"/>
      </dataBar>
      <extLst>
        <ext xmlns:x14="http://schemas.microsoft.com/office/spreadsheetml/2009/9/main" uri="{B025F937-C7B1-47D3-B67F-A62EFF666E3E}">
          <x14:id>{D0FCE642-09EC-4527-A4A0-6215318E3759}</x14:id>
        </ext>
      </extLst>
    </cfRule>
  </conditionalFormatting>
  <conditionalFormatting sqref="U10:U31">
    <cfRule type="containsErrors" dxfId="485" priority="10">
      <formula>ISERROR(U10)</formula>
    </cfRule>
  </conditionalFormatting>
  <conditionalFormatting sqref="U32">
    <cfRule type="containsErrors" dxfId="484" priority="8">
      <formula>ISERROR(U32)</formula>
    </cfRule>
  </conditionalFormatting>
  <conditionalFormatting sqref="U33">
    <cfRule type="containsErrors" dxfId="483" priority="7">
      <formula>ISERROR(U33)</formula>
    </cfRule>
  </conditionalFormatting>
  <conditionalFormatting sqref="AB9:AF9">
    <cfRule type="cellIs" dxfId="482" priority="6" stopIfTrue="1" operator="equal">
      <formula>0</formula>
    </cfRule>
  </conditionalFormatting>
  <conditionalFormatting sqref="D33:I33 K33:O33">
    <cfRule type="containsErrors" dxfId="481" priority="5">
      <formula>ISERROR(D33)</formula>
    </cfRule>
  </conditionalFormatting>
  <conditionalFormatting sqref="Q10:Q31">
    <cfRule type="containsErrors" dxfId="480" priority="4">
      <formula>ISERROR(Q10)</formula>
    </cfRule>
  </conditionalFormatting>
  <conditionalFormatting sqref="Z3:AD3">
    <cfRule type="containsErrors" dxfId="479" priority="3">
      <formula>ISERROR(Z3)</formula>
    </cfRule>
  </conditionalFormatting>
  <conditionalFormatting sqref="Z2:AD2">
    <cfRule type="containsErrors" dxfId="478" priority="2">
      <formula>ISERROR(Z2)</formula>
    </cfRule>
  </conditionalFormatting>
  <conditionalFormatting sqref="AM40:AQ40">
    <cfRule type="cellIs" dxfId="477" priority="1" stopIfTrue="1" operator="equal">
      <formula>0</formula>
    </cfRule>
  </conditionalFormatting>
  <hyperlinks>
    <hyperlink ref="B113:B114" location="Coverage!A1" display="Participating LA's" xr:uid="{F871C8FC-3424-48AE-8FE9-16D0C94FB174}"/>
    <hyperlink ref="B115:B116" location="IDACI!A1" display="IDACI" xr:uid="{5A6ACE66-9E21-443E-AE82-364EA767A91F}"/>
    <hyperlink ref="B143:B144" location="Adoption!A1" display="Adoption" xr:uid="{078CECFA-2DD4-45DB-9E7D-45E55FF817B9}"/>
    <hyperlink ref="B137:B138" location="'Looked After Children'!A1" display="Looked After Children" xr:uid="{B3FB07FD-A861-4E92-B039-E0C6745B3826}"/>
    <hyperlink ref="B135:B136" location="'Court Applications'!A1" display="Court Applications" xr:uid="{0BA285CB-C7F7-4355-820C-2D4E2A2AFC44}"/>
    <hyperlink ref="B133:B134" location="'Child Protection Plans'!A1" display="Child Protection Plans" xr:uid="{76C139AB-D0EA-4729-A040-8912EE0B0E64}"/>
    <hyperlink ref="B131:B132" location="'Initial CP Conferences'!A1" display="Initial Child Protection Conferences" xr:uid="{254CF600-5EDC-404C-A1F9-2DEDC98B82E9}"/>
    <hyperlink ref="B129:B130" location="'Section 47 Enquiries'!A1" display="Section 47 Enquiries" xr:uid="{EBCD8EDC-5EA2-4F5A-B34D-3442FA0D284F}"/>
    <hyperlink ref="B127:B128" location="'Children in Need'!A1" display="Children in Need" xr:uid="{3C04854C-0F88-474A-9CF2-4D580CD242F6}"/>
    <hyperlink ref="B125:B126" location="Assessments!A1" display="Assessments" xr:uid="{A209F999-1D43-4A4D-955B-AB301051E812}"/>
    <hyperlink ref="B123:B124" location="'Re-referrals'!A1" display="Re-referrals" xr:uid="{AE9551AF-AD5F-4AFD-AE83-26EEDE56F1AF}"/>
    <hyperlink ref="B121:B122" location="Referral_Source!A1" display="Referral Source" xr:uid="{37C1D8A3-64EF-4460-B0C1-25C0792C3694}"/>
    <hyperlink ref="B119:B120" location="Referrals!A1" display="Referrals" xr:uid="{299F0A61-518B-4B72-93D3-8B8C00C79A15}"/>
    <hyperlink ref="B117:B118" location="Population!A1" display="Population" xr:uid="{88C41E3C-6BA9-4DFA-9D70-0BCEA62D35F8}"/>
    <hyperlink ref="B115:C116" location="IDACI!A1" display="IDACI" xr:uid="{FD6128CA-DF76-409D-A60C-55991C082086}"/>
    <hyperlink ref="B111:B112" location="Coverage!A1" display="Participating LA's" xr:uid="{820D4923-C0B3-4D6F-8992-CB7E5B8C3852}"/>
    <hyperlink ref="B111:C112" location="Indicators!A1" display="Indicators" xr:uid="{5C1D0A90-D92B-4C54-8DE7-3E297E6D7B62}"/>
    <hyperlink ref="B141:B142" location="'Looked After Children'!A1" display="Looked After Children" xr:uid="{3BEFB982-9172-4538-8E3E-5905934787AD}"/>
    <hyperlink ref="B139:B140" location="'Court Applications'!A1" display="Court Applications" xr:uid="{4D3F33FF-D868-4231-A7C3-A37836CB3809}"/>
    <hyperlink ref="B139:C140" location="New_Ceased_LAC!A1" display="New/ Ceased Looked After Children" xr:uid="{85CCFB68-30FA-49D8-94BE-C77451569CDA}"/>
    <hyperlink ref="B141:C142" location="Care_Leavers!A1" display="Care Leavers" xr:uid="{6B7A9C2D-11D7-405C-B066-20867D5C95C4}"/>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8" max="18" man="1"/>
    <brk id="71" max="20"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6257" r:id="rId4" name="Check Box 1">
              <controlPr defaultSize="0" autoFill="0" autoLine="0" autoPict="0" macro="[0]!CheckBox1_Click" altText="">
                <anchor>
                  <from>
                    <xdr:col>23</xdr:col>
                    <xdr:colOff>76200</xdr:colOff>
                    <xdr:row>39</xdr:row>
                    <xdr:rowOff>28575</xdr:rowOff>
                  </from>
                  <to>
                    <xdr:col>36</xdr:col>
                    <xdr:colOff>47625</xdr:colOff>
                    <xdr:row>41</xdr:row>
                    <xdr:rowOff>9525</xdr:rowOff>
                  </to>
                </anchor>
              </controlPr>
            </control>
          </mc:Choice>
        </mc:AlternateContent>
        <mc:AlternateContent xmlns:mc="http://schemas.openxmlformats.org/markup-compatibility/2006">
          <mc:Choice Requires="x14">
            <control shapeId="96258" r:id="rId5" name="Check Box 2">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96259" r:id="rId6" name="Check Box 3">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96260" r:id="rId7" name="Check Box 4">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96261" r:id="rId8" name="Check Box 5">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96262" r:id="rId9" name="Check Box 6">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96263" r:id="rId10" name="Check Box 7">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96264" r:id="rId11" name="Check Box 8">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96265" r:id="rId12" name="Check Box 9">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96266" r:id="rId13" name="Check Box 10">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96267" r:id="rId14" name="Check Box 11">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96268" r:id="rId15" name="Check Box 12">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96269" r:id="rId16" name="Check Box 13">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96270" r:id="rId17" name="Check Box 14">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96271" r:id="rId18" name="Check Box 15">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96272" r:id="rId19" name="Check Box 16">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96273" r:id="rId20" name="Check Box 17">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96274" r:id="rId21" name="Check Box 18">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96275" r:id="rId22" name="Check Box 19">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96276" r:id="rId23" name="Check Box 20">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96277" r:id="rId24" name="Check Box 21">
              <controlPr defaultSize="0" autoFill="0" autoLine="0" autoPict="0" macro="[0]!CheckBox1_Click" altText="">
                <anchor>
                  <from>
                    <xdr:col>23</xdr:col>
                    <xdr:colOff>76200</xdr:colOff>
                    <xdr:row>61</xdr:row>
                    <xdr:rowOff>152400</xdr:rowOff>
                  </from>
                  <to>
                    <xdr:col>36</xdr:col>
                    <xdr:colOff>47625</xdr:colOff>
                    <xdr:row>63</xdr:row>
                    <xdr:rowOff>9525</xdr:rowOff>
                  </to>
                </anchor>
              </controlPr>
            </control>
          </mc:Choice>
        </mc:AlternateContent>
        <mc:AlternateContent xmlns:mc="http://schemas.openxmlformats.org/markup-compatibility/2006">
          <mc:Choice Requires="x14">
            <control shapeId="96278" r:id="rId25" name="Check Box 22">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96279" r:id="rId26" name="Check Box 23">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96280" r:id="rId27" name="Check Box 24">
              <controlPr defaultSize="0" autoFill="0" autoLine="0" autoPict="0" macro="[0]!CheckBox1_Click" altText="">
                <anchor>
                  <from>
                    <xdr:col>23</xdr:col>
                    <xdr:colOff>76200</xdr:colOff>
                    <xdr:row>62</xdr:row>
                    <xdr:rowOff>152400</xdr:rowOff>
                  </from>
                  <to>
                    <xdr:col>36</xdr:col>
                    <xdr:colOff>47625</xdr:colOff>
                    <xdr:row>64</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0FCE642-09EC-4527-A4A0-6215318E3759}">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44">
    <tabColor rgb="FFFFC000"/>
  </sheetPr>
  <dimension ref="A1:AZ274"/>
  <sheetViews>
    <sheetView showRowColHeaders="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8" width="6.85546875" style="76" customWidth="1"/>
    <col min="9" max="9" width="7.42578125" style="76" customWidth="1"/>
    <col min="10" max="10" width="1.42578125" style="90" customWidth="1"/>
    <col min="11" max="15" width="6.85546875" style="76" customWidth="1"/>
    <col min="16" max="16" width="7.140625" style="76" customWidth="1"/>
    <col min="17" max="17" width="7.42578125" style="76" customWidth="1"/>
    <col min="18" max="18" width="1.42578125" style="76" customWidth="1"/>
    <col min="19" max="19" width="5.7109375" style="76" customWidth="1"/>
    <col min="20" max="20" width="8.28515625" style="76" customWidth="1"/>
    <col min="21" max="21" width="7.7109375" style="76" customWidth="1"/>
    <col min="22" max="22" width="2.140625" style="76" customWidth="1"/>
    <col min="23" max="23" width="6.42578125" style="82" customWidth="1"/>
    <col min="24" max="24" width="4.85546875" style="82" customWidth="1"/>
    <col min="25" max="25" width="17.5703125" style="83" hidden="1" customWidth="1"/>
    <col min="26" max="26" width="19.42578125" style="83" hidden="1" customWidth="1"/>
    <col min="27" max="27" width="19.85546875" style="83" hidden="1" customWidth="1"/>
    <col min="28" max="29" width="16.5703125" style="83" hidden="1" customWidth="1"/>
    <col min="30" max="31" width="8.5703125" style="83" hidden="1" customWidth="1"/>
    <col min="32" max="32" width="6.42578125" style="83" hidden="1" customWidth="1"/>
    <col min="33" max="33" width="17" style="83" hidden="1" customWidth="1"/>
    <col min="34" max="34" width="5.5703125" style="83" hidden="1" customWidth="1"/>
    <col min="35" max="35" width="10.42578125" style="83" hidden="1" customWidth="1"/>
    <col min="36" max="36" width="5.5703125" style="76" hidden="1" customWidth="1"/>
    <col min="37" max="37" width="31.5703125" style="76" customWidth="1"/>
    <col min="38" max="38" width="17" style="76" hidden="1" customWidth="1"/>
    <col min="39" max="43" width="13.5703125" style="76" hidden="1" customWidth="1"/>
    <col min="44" max="45" width="9.140625" style="76" hidden="1" customWidth="1"/>
    <col min="46" max="53" width="9.140625" style="76" customWidth="1"/>
    <col min="54" max="16384" width="9.140625" style="76"/>
  </cols>
  <sheetData>
    <row r="1" spans="1:52" ht="18.75" customHeight="1" thickBot="1" x14ac:dyDescent="0.25">
      <c r="A1" s="114"/>
      <c r="B1" s="115"/>
      <c r="C1" s="115"/>
      <c r="D1" s="115"/>
      <c r="E1" s="115"/>
      <c r="F1" s="115"/>
      <c r="G1" s="115"/>
      <c r="H1" s="115"/>
      <c r="I1" s="115"/>
      <c r="J1" s="116"/>
      <c r="K1" s="115"/>
      <c r="L1" s="115"/>
      <c r="M1" s="115"/>
      <c r="N1" s="115"/>
      <c r="O1" s="115"/>
      <c r="P1" s="115"/>
      <c r="Q1" s="115"/>
      <c r="R1" s="115"/>
      <c r="S1" s="115"/>
      <c r="T1" s="115"/>
      <c r="U1" s="115"/>
      <c r="V1" s="117"/>
      <c r="W1" s="268"/>
      <c r="X1" s="151"/>
      <c r="Y1" s="175"/>
      <c r="Z1" s="891" t="str">
        <f>IF(Sheet1!$C$3="Annual"," the year ending 31st March"," the quarter")</f>
        <v xml:space="preserve"> the year ending 31st March</v>
      </c>
      <c r="AA1" s="175"/>
      <c r="AB1" s="175"/>
      <c r="AC1" s="175"/>
      <c r="AD1" s="175"/>
      <c r="AE1" s="175"/>
      <c r="AF1" s="175"/>
      <c r="AG1" s="175"/>
      <c r="AH1" s="175"/>
      <c r="AI1" s="175"/>
      <c r="AJ1" s="176"/>
      <c r="AK1" s="152"/>
    </row>
    <row r="2" spans="1:52" ht="18.75" customHeight="1" x14ac:dyDescent="0.2">
      <c r="A2" s="120"/>
      <c r="B2" s="130" t="s">
        <v>18</v>
      </c>
      <c r="C2" s="9"/>
      <c r="D2" s="9"/>
      <c r="E2" s="9"/>
      <c r="F2" s="9"/>
      <c r="G2" s="9"/>
      <c r="H2" s="9"/>
      <c r="I2" s="9"/>
      <c r="J2" s="13"/>
      <c r="K2" s="9"/>
      <c r="L2" s="9"/>
      <c r="M2" s="9"/>
      <c r="N2" s="9"/>
      <c r="O2" s="9"/>
      <c r="P2" s="9"/>
      <c r="Q2" s="9"/>
      <c r="R2" s="9"/>
      <c r="S2" s="9"/>
      <c r="T2" s="9"/>
      <c r="U2" s="9"/>
      <c r="V2" s="119"/>
      <c r="W2" s="157"/>
      <c r="X2" s="147"/>
      <c r="Y2" s="800">
        <f>IF(Sheet1!$C$3="Annual",1,4)</f>
        <v>1</v>
      </c>
      <c r="Z2" s="760" t="str">
        <f>IF(Sheet1!$C$3="Annual","",Sheet1!$D$26)</f>
        <v/>
      </c>
      <c r="AA2" s="761" t="str">
        <f>IF(Sheet1!$C$3="Annual","",Sheet1!$E$26)</f>
        <v/>
      </c>
      <c r="AB2" s="761" t="str">
        <f>IF(Sheet1!$C$3="Annual","",Sheet1!$F$26)</f>
        <v/>
      </c>
      <c r="AC2" s="761" t="str">
        <f>IF(Sheet1!$C$3="Annual","",Sheet1!$G$26)</f>
        <v/>
      </c>
      <c r="AD2" s="762" t="str">
        <f>IF(Sheet1!$C$3="Annual","",Sheet1!$H$26)</f>
        <v/>
      </c>
      <c r="AJ2" s="179"/>
      <c r="AK2" s="153"/>
    </row>
    <row r="3" spans="1:52" ht="18.75" customHeight="1" thickBot="1" x14ac:dyDescent="0.25">
      <c r="A3" s="126"/>
      <c r="B3" s="127"/>
      <c r="C3" s="127"/>
      <c r="D3" s="127"/>
      <c r="E3" s="127"/>
      <c r="F3" s="127"/>
      <c r="G3" s="127"/>
      <c r="H3" s="127"/>
      <c r="I3" s="260"/>
      <c r="J3" s="128"/>
      <c r="K3" s="127"/>
      <c r="L3" s="127"/>
      <c r="M3" s="127"/>
      <c r="N3" s="127"/>
      <c r="O3" s="127"/>
      <c r="P3" s="528"/>
      <c r="Q3" s="127"/>
      <c r="R3" s="127"/>
      <c r="S3" s="127"/>
      <c r="T3" s="260"/>
      <c r="U3" s="127"/>
      <c r="V3" s="129"/>
      <c r="W3" s="157"/>
      <c r="X3" s="147"/>
      <c r="Y3" s="763"/>
      <c r="Z3" s="763" t="str">
        <f>Sheet1!$D$25</f>
        <v>2014-15</v>
      </c>
      <c r="AA3" s="764" t="str">
        <f>Sheet1!$E$25</f>
        <v>2015-16</v>
      </c>
      <c r="AB3" s="764" t="str">
        <f>Sheet1!$F$25</f>
        <v>2016-17</v>
      </c>
      <c r="AC3" s="764" t="str">
        <f>Sheet1!$G$25</f>
        <v>2017-18</v>
      </c>
      <c r="AD3" s="765" t="str">
        <f>Sheet1!$H$25</f>
        <v>2018-19</v>
      </c>
      <c r="AJ3" s="179"/>
      <c r="AK3" s="153"/>
    </row>
    <row r="4" spans="1:52" ht="11.25" customHeight="1" x14ac:dyDescent="0.2">
      <c r="A4" s="114"/>
      <c r="B4" s="115"/>
      <c r="C4" s="115"/>
      <c r="D4" s="115"/>
      <c r="E4" s="115"/>
      <c r="F4" s="115"/>
      <c r="G4" s="115"/>
      <c r="H4" s="115"/>
      <c r="I4" s="115"/>
      <c r="J4" s="116"/>
      <c r="K4" s="115"/>
      <c r="L4" s="115"/>
      <c r="M4" s="115"/>
      <c r="N4" s="115"/>
      <c r="O4" s="115"/>
      <c r="P4" s="115"/>
      <c r="Q4" s="115"/>
      <c r="R4" s="115"/>
      <c r="S4" s="115"/>
      <c r="T4" s="115"/>
      <c r="U4" s="115"/>
      <c r="V4" s="117"/>
      <c r="W4" s="138"/>
      <c r="X4" s="147"/>
      <c r="Z4" s="181" t="str">
        <f>Home!$D$10</f>
        <v>(none)</v>
      </c>
      <c r="AA4" s="43" t="str">
        <f>"Selected LA- "&amp;Z4</f>
        <v>Selected LA- (none)</v>
      </c>
      <c r="AJ4" s="179"/>
      <c r="AK4" s="153"/>
    </row>
    <row r="5" spans="1:52" s="78" customFormat="1" ht="15" customHeight="1" x14ac:dyDescent="0.2">
      <c r="A5" s="121"/>
      <c r="B5" s="1435" t="str">
        <f>"Children subject to Section 47 Enquiries which started in"&amp;Z1</f>
        <v>Children subject to Section 47 Enquiries which started in the year ending 31st March</v>
      </c>
      <c r="C5" s="1318"/>
      <c r="D5" s="1318"/>
      <c r="E5" s="1318"/>
      <c r="F5" s="1318"/>
      <c r="G5" s="1318"/>
      <c r="H5" s="1318"/>
      <c r="I5" s="1318"/>
      <c r="J5" s="1318"/>
      <c r="K5" s="1318"/>
      <c r="L5" s="1318"/>
      <c r="M5" s="1318"/>
      <c r="N5" s="1318"/>
      <c r="O5" s="858"/>
      <c r="P5" s="858"/>
      <c r="Q5" s="858"/>
      <c r="R5" s="69"/>
      <c r="S5" s="69"/>
      <c r="T5" s="69"/>
      <c r="U5" s="69"/>
      <c r="V5" s="122"/>
      <c r="W5" s="139"/>
      <c r="X5" s="148"/>
      <c r="Y5" s="83"/>
      <c r="Z5" s="183"/>
      <c r="AA5" s="183"/>
      <c r="AB5" s="183"/>
      <c r="AC5" s="183"/>
      <c r="AD5" s="183"/>
      <c r="AE5" s="183"/>
      <c r="AF5" s="183"/>
      <c r="AG5" s="183"/>
      <c r="AH5" s="183"/>
      <c r="AI5" s="183"/>
      <c r="AJ5" s="183"/>
      <c r="AK5" s="154"/>
      <c r="AL5" s="183" t="str">
        <f>CONCATENATE($I$7,"in Number of "&amp;$B2)</f>
        <v>Average Annual Change in Number of Section 47 Enquiries</v>
      </c>
      <c r="AQ5" s="76"/>
      <c r="AR5" s="76"/>
      <c r="AS5" s="76"/>
      <c r="AT5" s="76"/>
      <c r="AU5" s="76"/>
      <c r="AV5" s="76"/>
      <c r="AW5" s="76"/>
      <c r="AX5" s="76"/>
      <c r="AY5" s="76"/>
      <c r="AZ5" s="76"/>
    </row>
    <row r="6" spans="1:52" ht="13.5" customHeight="1" x14ac:dyDescent="0.2">
      <c r="A6" s="120"/>
      <c r="B6" s="1318"/>
      <c r="C6" s="1318"/>
      <c r="D6" s="1318"/>
      <c r="E6" s="1318"/>
      <c r="F6" s="1318"/>
      <c r="G6" s="1318"/>
      <c r="H6" s="1318"/>
      <c r="I6" s="1318"/>
      <c r="J6" s="1318"/>
      <c r="K6" s="1318"/>
      <c r="L6" s="1318"/>
      <c r="M6" s="1318"/>
      <c r="N6" s="1318"/>
      <c r="O6" s="858"/>
      <c r="P6" s="858"/>
      <c r="Q6" s="858"/>
      <c r="R6" s="69"/>
      <c r="S6" s="69"/>
      <c r="T6" s="69"/>
      <c r="U6" s="69"/>
      <c r="V6" s="119"/>
      <c r="W6" s="138"/>
      <c r="X6" s="147"/>
      <c r="Z6" s="185"/>
      <c r="AJ6" s="179"/>
      <c r="AK6" s="153"/>
    </row>
    <row r="7" spans="1:52" s="89" customFormat="1" ht="12.75" customHeight="1" x14ac:dyDescent="0.2">
      <c r="A7" s="123"/>
      <c r="B7" s="1449" t="s">
        <v>190</v>
      </c>
      <c r="C7" s="87"/>
      <c r="D7" s="1545" t="s">
        <v>88</v>
      </c>
      <c r="E7" s="1557"/>
      <c r="F7" s="1557"/>
      <c r="G7" s="1557"/>
      <c r="H7" s="1558"/>
      <c r="I7" s="1439" t="str">
        <f>"Average "&amp;Sheet1!C3&amp;" Change "</f>
        <v xml:space="preserve">Average Annual Change </v>
      </c>
      <c r="J7" s="98"/>
      <c r="K7" s="1562" t="s">
        <v>89</v>
      </c>
      <c r="L7" s="1563"/>
      <c r="M7" s="1563"/>
      <c r="N7" s="1563"/>
      <c r="O7" s="1563"/>
      <c r="P7" s="1563"/>
      <c r="Q7" s="1446" t="str">
        <f>IF(ISNA(O9),"SE Rank "&amp;O8,"SE Rank "&amp;O9)</f>
        <v>SE Rank 2018-19</v>
      </c>
      <c r="R7" s="69"/>
      <c r="S7" s="1451" t="str">
        <f>"Distance from Expected "&amp;Sheet1!$B$8</f>
        <v>Distance from Expected 2019</v>
      </c>
      <c r="T7" s="1452"/>
      <c r="U7" s="1453"/>
      <c r="V7" s="124"/>
      <c r="W7" s="140"/>
      <c r="X7" s="149"/>
      <c r="Y7" s="199"/>
      <c r="Z7" s="199"/>
      <c r="AB7" s="200" t="s">
        <v>79</v>
      </c>
      <c r="AC7" s="185"/>
      <c r="AD7" s="185"/>
      <c r="AE7" s="194"/>
      <c r="AF7" s="194"/>
      <c r="AG7" s="201" t="s">
        <v>92</v>
      </c>
      <c r="AH7" s="185"/>
      <c r="AI7" s="185"/>
      <c r="AJ7" s="199"/>
      <c r="AK7" s="156"/>
      <c r="AL7" s="550"/>
      <c r="AM7" s="550"/>
      <c r="AN7" s="550"/>
      <c r="AO7" s="550"/>
      <c r="AP7" s="550"/>
      <c r="AQ7" s="76"/>
      <c r="AR7" s="76"/>
      <c r="AS7" s="76"/>
      <c r="AT7" s="76"/>
      <c r="AU7" s="76"/>
      <c r="AV7" s="76"/>
      <c r="AW7" s="76"/>
      <c r="AX7" s="76"/>
      <c r="AY7" s="76"/>
      <c r="AZ7" s="76"/>
    </row>
    <row r="8" spans="1:52" s="89" customFormat="1" ht="12.75" customHeight="1" x14ac:dyDescent="0.2">
      <c r="A8" s="286"/>
      <c r="B8" s="1449"/>
      <c r="C8" s="87"/>
      <c r="D8" s="755" t="str">
        <f>Sheet1!$D$25</f>
        <v>2014-15</v>
      </c>
      <c r="E8" s="756" t="str">
        <f>Sheet1!$E$25</f>
        <v>2015-16</v>
      </c>
      <c r="F8" s="756" t="str">
        <f>Sheet1!$F$25</f>
        <v>2016-17</v>
      </c>
      <c r="G8" s="756" t="str">
        <f>Sheet1!$G$25</f>
        <v>2017-18</v>
      </c>
      <c r="H8" s="757" t="str">
        <f>Sheet1!$H$25</f>
        <v>2018-19</v>
      </c>
      <c r="I8" s="1440"/>
      <c r="J8" s="98"/>
      <c r="K8" s="768" t="str">
        <f>Sheet1!$D$25</f>
        <v>2014-15</v>
      </c>
      <c r="L8" s="769" t="str">
        <f>Sheet1!$E$25</f>
        <v>2015-16</v>
      </c>
      <c r="M8" s="769" t="str">
        <f>Sheet1!$F$25</f>
        <v>2016-17</v>
      </c>
      <c r="N8" s="769" t="str">
        <f>Sheet1!$G$25</f>
        <v>2017-18</v>
      </c>
      <c r="O8" s="1457" t="str">
        <f>Sheet1!$H$25</f>
        <v>2018-19</v>
      </c>
      <c r="P8" s="1458"/>
      <c r="Q8" s="1447"/>
      <c r="R8" s="69"/>
      <c r="S8" s="1454"/>
      <c r="T8" s="1455"/>
      <c r="U8" s="1456"/>
      <c r="V8" s="124"/>
      <c r="W8" s="140"/>
      <c r="X8" s="149"/>
      <c r="Y8" s="199"/>
      <c r="Z8" s="1423" t="s">
        <v>76</v>
      </c>
      <c r="AA8" s="1423" t="s">
        <v>77</v>
      </c>
      <c r="AB8" s="730" t="str">
        <f>Sheet1!$D$25</f>
        <v>2014-15</v>
      </c>
      <c r="AC8" s="730" t="str">
        <f>Sheet1!$E$25</f>
        <v>2015-16</v>
      </c>
      <c r="AD8" s="730" t="str">
        <f>Sheet1!$F$25</f>
        <v>2016-17</v>
      </c>
      <c r="AE8" s="730" t="str">
        <f>Sheet1!$G$25</f>
        <v>2017-18</v>
      </c>
      <c r="AF8" s="730" t="str">
        <f>Sheet1!$H$25</f>
        <v>2018-19</v>
      </c>
      <c r="AG8" s="201"/>
      <c r="AH8" s="185"/>
      <c r="AI8" s="185"/>
      <c r="AJ8" s="199"/>
      <c r="AK8" s="156"/>
      <c r="AL8" s="860"/>
      <c r="AM8" s="860"/>
      <c r="AN8" s="860"/>
      <c r="AO8" s="860"/>
      <c r="AP8" s="860"/>
      <c r="AQ8" s="76"/>
      <c r="AR8" s="76"/>
      <c r="AS8" s="76"/>
      <c r="AT8" s="76"/>
      <c r="AU8" s="76"/>
      <c r="AV8" s="76"/>
      <c r="AW8" s="76"/>
      <c r="AX8" s="76"/>
      <c r="AY8" s="76"/>
      <c r="AZ8" s="76"/>
    </row>
    <row r="9" spans="1:52" s="89" customFormat="1" ht="12.75" customHeight="1" x14ac:dyDescent="0.2">
      <c r="A9" s="123"/>
      <c r="B9" s="1450"/>
      <c r="C9" s="87"/>
      <c r="D9" s="758" t="e">
        <f>Sheet1!$D$26</f>
        <v>#N/A</v>
      </c>
      <c r="E9" s="758" t="e">
        <f>Sheet1!$E$26</f>
        <v>#N/A</v>
      </c>
      <c r="F9" s="758" t="e">
        <f>Sheet1!$F$26</f>
        <v>#N/A</v>
      </c>
      <c r="G9" s="758" t="e">
        <f>Sheet1!$G$26</f>
        <v>#N/A</v>
      </c>
      <c r="H9" s="759" t="e">
        <f>Sheet1!$H$26</f>
        <v>#N/A</v>
      </c>
      <c r="I9" s="1441"/>
      <c r="J9" s="98"/>
      <c r="K9" s="758" t="e">
        <f>Sheet1!$D$26</f>
        <v>#N/A</v>
      </c>
      <c r="L9" s="758" t="e">
        <f>Sheet1!$E$26</f>
        <v>#N/A</v>
      </c>
      <c r="M9" s="758" t="e">
        <f>Sheet1!$F$26</f>
        <v>#N/A</v>
      </c>
      <c r="N9" s="758" t="e">
        <f>Sheet1!$G$26</f>
        <v>#N/A</v>
      </c>
      <c r="O9" s="1433" t="e">
        <f>Sheet1!$H$26</f>
        <v>#N/A</v>
      </c>
      <c r="P9" s="1434"/>
      <c r="Q9" s="1448"/>
      <c r="R9" s="69"/>
      <c r="S9" s="856" t="s">
        <v>78</v>
      </c>
      <c r="T9" s="794" t="s">
        <v>127</v>
      </c>
      <c r="U9" s="795" t="s">
        <v>128</v>
      </c>
      <c r="V9" s="124"/>
      <c r="W9" s="140"/>
      <c r="X9" s="149"/>
      <c r="Y9" s="199"/>
      <c r="Z9" s="1424"/>
      <c r="AA9" s="1424"/>
      <c r="AB9" s="730" t="e">
        <f>Sheet1!$D$26</f>
        <v>#N/A</v>
      </c>
      <c r="AC9" s="730" t="e">
        <f>Sheet1!$E$26</f>
        <v>#N/A</v>
      </c>
      <c r="AD9" s="730" t="e">
        <f>Sheet1!$F$26</f>
        <v>#N/A</v>
      </c>
      <c r="AE9" s="730" t="e">
        <f>Sheet1!$G$26</f>
        <v>#N/A</v>
      </c>
      <c r="AF9" s="730" t="e">
        <f>Sheet1!$H$26</f>
        <v>#N/A</v>
      </c>
      <c r="AG9" s="185"/>
      <c r="AH9" s="185">
        <f>COLUMNS($B$4:O$4)</f>
        <v>14</v>
      </c>
      <c r="AI9" s="185"/>
      <c r="AJ9" s="199"/>
      <c r="AK9" s="156"/>
      <c r="AL9" s="863" t="s">
        <v>686</v>
      </c>
      <c r="AM9" s="863" t="s">
        <v>687</v>
      </c>
      <c r="AN9" s="863" t="s">
        <v>688</v>
      </c>
      <c r="AO9" s="863" t="s">
        <v>689</v>
      </c>
      <c r="AP9" s="863" t="s">
        <v>690</v>
      </c>
      <c r="AQ9" s="76"/>
      <c r="AR9" s="76"/>
      <c r="AS9" s="76"/>
      <c r="AT9" s="76"/>
      <c r="AU9" s="76"/>
      <c r="AV9" s="76"/>
      <c r="AW9" s="76"/>
      <c r="AX9" s="76"/>
      <c r="AY9" s="76"/>
      <c r="AZ9" s="76"/>
    </row>
    <row r="10" spans="1:52" s="89" customFormat="1" ht="13.5" customHeight="1" x14ac:dyDescent="0.2">
      <c r="A10" s="462">
        <f>VLOOKUP(B10,Sheet1!$AQ$4:$AR$25,2,FALSE)</f>
        <v>0</v>
      </c>
      <c r="B10" s="95" t="str">
        <f>Sheet1!$K$4</f>
        <v>Bracknell Forest</v>
      </c>
      <c r="C10" s="87"/>
      <c r="D10" s="96">
        <f>IF(Year1_Bracknell_Forest Year1_CIN_Section47="","",Year1_Bracknell_Forest Year1_CIN_Section47)</f>
        <v>421</v>
      </c>
      <c r="E10" s="96">
        <f>IF(Year2_Bracknell_Forest Year2_CIN_Section47="","",Year2_Bracknell_Forest Year2_CIN_Section47)</f>
        <v>394</v>
      </c>
      <c r="F10" s="96">
        <f>IF(Year3_Bracknell_Forest Year3_CIN_Section47="","",Year3_Bracknell_Forest Year3_CIN_Section47)</f>
        <v>560</v>
      </c>
      <c r="G10" s="96">
        <f>IF(Year4_Bracknell_Forest Year4_CIN_Section47="","",Year4_Bracknell_Forest Year4_CIN_Section47)</f>
        <v>632</v>
      </c>
      <c r="H10" s="97">
        <f>IF(Year5_Bracknell_Forest Year5_CIN_Section47="","",Year5_Bracknell_Forest Year5_CIN_Section47)</f>
        <v>702</v>
      </c>
      <c r="I10" s="337">
        <f>AP10</f>
        <v>0.14912942564238774</v>
      </c>
      <c r="J10" s="98"/>
      <c r="K10" s="99">
        <f>IF(ISNUMBER(D10),D10/Population!D10*10000,NA())</f>
        <v>151.43884892086331</v>
      </c>
      <c r="L10" s="99">
        <f>IF(ISNUMBER(E10),E10/Population!E10*10000,NA())</f>
        <v>139.71631205673759</v>
      </c>
      <c r="M10" s="99">
        <f>IF(ISNUMBER(F10),F10/Population!F10*10000,NA())</f>
        <v>198.58156028368796</v>
      </c>
      <c r="N10" s="99">
        <f>IF(ISNUMBER(G10),G10/Population!G10*10000,NA())</f>
        <v>224.91103202846975</v>
      </c>
      <c r="O10" s="100">
        <f>IF(ISNUMBER(H10),H10/Population!H10*10000,NA())</f>
        <v>248.0565371024735</v>
      </c>
      <c r="P10" s="101">
        <f>IF(ISNUMBER(O10),O10,"")</f>
        <v>248.0565371024735</v>
      </c>
      <c r="Q10" s="770">
        <f t="shared" ref="Q10:Q33" si="0">IF(ISNA(VLOOKUP(B10,$AG$10:$AI$28,3,FALSE)),"--",IF(ISNUMBER(H10),VLOOKUP(B10,$AG$10:$AI$28,3,FALSE),NA()))</f>
        <v>15</v>
      </c>
      <c r="R10" s="69"/>
      <c r="S10" s="333">
        <f>IDACI!C9</f>
        <v>8.9</v>
      </c>
      <c r="T10" s="334">
        <f t="shared" ref="T10:T33" si="1">((S10*$Z$44)+$AA$44)/$Y$2</f>
        <v>112.58415491790639</v>
      </c>
      <c r="U10" s="335">
        <f>O10-T10</f>
        <v>135.4723821845671</v>
      </c>
      <c r="V10" s="124"/>
      <c r="W10" s="140"/>
      <c r="X10" s="149"/>
      <c r="Y10" s="71" t="str">
        <f t="shared" ref="Y10:Y33" si="2">B10</f>
        <v>Bracknell Forest</v>
      </c>
      <c r="Z10" s="45">
        <f>IF(ISNUMBER($H10),IDACI!D9,0)</f>
        <v>24849</v>
      </c>
      <c r="AA10" s="45">
        <f>IF(ISNUMBER($H10),IDACI!E9,0)</f>
        <v>2211.5610000000001</v>
      </c>
      <c r="AB10" s="202">
        <f>IF(ISNUMBER(D10),Population!D10,"")</f>
        <v>27800</v>
      </c>
      <c r="AC10" s="202">
        <f>IF(ISNUMBER(E10),Population!E10,"")</f>
        <v>28200</v>
      </c>
      <c r="AD10" s="202">
        <f>IF(ISNUMBER(F10),Population!F10,"")</f>
        <v>28200</v>
      </c>
      <c r="AE10" s="202">
        <f>IF(ISNUMBER(G10),Population!G10,"")</f>
        <v>28100</v>
      </c>
      <c r="AF10" s="202">
        <f>IF(ISNUMBER(H10),Population!H10,"")</f>
        <v>28300</v>
      </c>
      <c r="AG10" s="95" t="str">
        <f>B10</f>
        <v>Bracknell Forest</v>
      </c>
      <c r="AH10" s="225">
        <f>IFERROR(VLOOKUP(AG10,$B$10:$O$31,$AH$9,FALSE),"")</f>
        <v>248.0565371024735</v>
      </c>
      <c r="AI10" s="203">
        <f>RANK(AH10,$AH$10:$AH$28,1)</f>
        <v>15</v>
      </c>
      <c r="AJ10" s="199"/>
      <c r="AK10" s="156"/>
      <c r="AL10" s="792">
        <f>IF(ISERROR((E10-D10)/D10),"x",(E10-D10)/D10)</f>
        <v>-6.413301662707839E-2</v>
      </c>
      <c r="AM10" s="792">
        <f>IF(ISERROR((F10-E10)/E10),"x",(F10-E10)/E10)</f>
        <v>0.42131979695431471</v>
      </c>
      <c r="AN10" s="792">
        <f>IF(ISERROR((G10-F10)/F10),"x",(G10-F10)/F10)</f>
        <v>0.12857142857142856</v>
      </c>
      <c r="AO10" s="792">
        <f>IF(ISERROR((H10-G10)/G10),"x",(H10-G10)/G10)</f>
        <v>0.11075949367088607</v>
      </c>
      <c r="AP10" s="792">
        <f>AVERAGE(AL10:AO10)</f>
        <v>0.14912942564238774</v>
      </c>
      <c r="AQ10" s="76"/>
      <c r="AR10" s="76"/>
      <c r="AS10" s="76"/>
      <c r="AT10" s="76"/>
      <c r="AU10" s="76"/>
      <c r="AV10" s="76"/>
      <c r="AW10" s="76"/>
      <c r="AX10" s="76"/>
      <c r="AY10" s="76"/>
      <c r="AZ10" s="76"/>
    </row>
    <row r="11" spans="1:52" s="89" customFormat="1" ht="13.5" customHeight="1" x14ac:dyDescent="0.2">
      <c r="A11" s="462">
        <f>VLOOKUP(B11,Sheet1!$AQ$4:$AR$25,2,FALSE)</f>
        <v>0</v>
      </c>
      <c r="B11" s="95" t="str">
        <f>Sheet1!$K$5</f>
        <v>Brighton &amp; Hove</v>
      </c>
      <c r="C11" s="87"/>
      <c r="D11" s="96">
        <f>IF(Year1_Brighton_Hove Year1_CIN_Section47="","",Year1_Brighton_Hove Year1_CIN_Section47)</f>
        <v>1038</v>
      </c>
      <c r="E11" s="96">
        <f>IF(Year2_Brighton_Hove Year2_CIN_Section47="","",Year2_Brighton_Hove Year2_CIN_Section47)</f>
        <v>1143</v>
      </c>
      <c r="F11" s="96">
        <f>IF(Year3_Brighton_Hove Year3_CIN_Section47="","",Year3_Brighton_Hove Year3_CIN_Section47)</f>
        <v>863</v>
      </c>
      <c r="G11" s="96">
        <f>IF(Year4_Brighton_Hove Year4_CIN_Section47="","",Year4_Brighton_Hove Year4_CIN_Section47)</f>
        <v>879</v>
      </c>
      <c r="H11" s="97">
        <f>IF(Year5_Brighton_Hove Year5_CIN_Section47="","",Year5_Brighton_Hove Year5_CIN_Section47)</f>
        <v>778</v>
      </c>
      <c r="I11" s="337">
        <f t="shared" ref="I11:I33" si="3">AP11</f>
        <v>-6.004415796052405E-2</v>
      </c>
      <c r="J11" s="98"/>
      <c r="K11" s="99">
        <f>IF(ISNUMBER(D11),D11/Population!D11*10000,NA())</f>
        <v>203.52941176470588</v>
      </c>
      <c r="L11" s="99">
        <f>IF(ISNUMBER(E11),E11/Population!E11*10000,NA())</f>
        <v>223.2421875</v>
      </c>
      <c r="M11" s="99">
        <f>IF(ISNUMBER(F11),F11/Population!F11*10000,NA())</f>
        <v>168.22612085769981</v>
      </c>
      <c r="N11" s="99">
        <f>IF(ISNUMBER(G11),G11/Population!G11*10000,NA())</f>
        <v>172.35294117647061</v>
      </c>
      <c r="O11" s="100">
        <f>IF(ISNUMBER(H11),H11/Population!H11*10000,NA())</f>
        <v>152.54901960784315</v>
      </c>
      <c r="P11" s="101">
        <f t="shared" ref="P11:P32" si="4">IF(ISNUMBER(O11),O11,"")</f>
        <v>152.54901960784315</v>
      </c>
      <c r="Q11" s="770">
        <f t="shared" si="0"/>
        <v>6</v>
      </c>
      <c r="R11" s="69"/>
      <c r="S11" s="333">
        <f>IDACI!C10</f>
        <v>15.299999999999999</v>
      </c>
      <c r="T11" s="334">
        <f t="shared" si="1"/>
        <v>162.18701143892736</v>
      </c>
      <c r="U11" s="335">
        <f t="shared" ref="U11:U33" si="5">O11-T11</f>
        <v>-9.6379918310842072</v>
      </c>
      <c r="V11" s="124"/>
      <c r="W11" s="140"/>
      <c r="X11" s="149"/>
      <c r="Y11" s="71" t="str">
        <f t="shared" si="2"/>
        <v>Brighton &amp; Hove</v>
      </c>
      <c r="Z11" s="45">
        <f>IF(ISNUMBER($H11),IDACI!D10,0)</f>
        <v>45576</v>
      </c>
      <c r="AA11" s="45">
        <f>IF(ISNUMBER($H11),IDACI!E10,0)</f>
        <v>6973.1279999999997</v>
      </c>
      <c r="AB11" s="202">
        <f>IF(ISNUMBER(D11),Population!D11,"")</f>
        <v>51000</v>
      </c>
      <c r="AC11" s="202">
        <f>IF(ISNUMBER(E11),Population!E11,"")</f>
        <v>51200</v>
      </c>
      <c r="AD11" s="202">
        <f>IF(ISNUMBER(F11),Population!F11,"")</f>
        <v>51300</v>
      </c>
      <c r="AE11" s="202">
        <f>IF(ISNUMBER(G11),Population!G11,"")</f>
        <v>51000</v>
      </c>
      <c r="AF11" s="202">
        <f>IF(ISNUMBER(H11),Population!H11,"")</f>
        <v>51000</v>
      </c>
      <c r="AG11" s="95" t="s">
        <v>31</v>
      </c>
      <c r="AH11" s="225">
        <f t="shared" ref="AH11:AH28" si="6">IFERROR(VLOOKUP(AG11,$B$10:$O$31,$AH$9,FALSE),"")</f>
        <v>152.54901960784315</v>
      </c>
      <c r="AI11" s="203">
        <f t="shared" ref="AI11:AI28" si="7">RANK(AH11,$AH$10:$AH$28,1)</f>
        <v>6</v>
      </c>
      <c r="AJ11" s="199"/>
      <c r="AK11" s="156"/>
      <c r="AL11" s="792">
        <f t="shared" ref="AL11:AO33" si="8">IF(ISERROR((E11-D11)/D11),"x",(E11-D11)/D11)</f>
        <v>0.10115606936416185</v>
      </c>
      <c r="AM11" s="792">
        <f t="shared" si="8"/>
        <v>-0.24496937882764655</v>
      </c>
      <c r="AN11" s="792">
        <f t="shared" si="8"/>
        <v>1.8539976825028968E-2</v>
      </c>
      <c r="AO11" s="792">
        <f t="shared" si="8"/>
        <v>-0.11490329920364049</v>
      </c>
      <c r="AP11" s="792">
        <f t="shared" ref="AP11:AP31" si="9">AVERAGE(AL11:AO11)</f>
        <v>-6.004415796052405E-2</v>
      </c>
      <c r="AQ11" s="76"/>
      <c r="AR11" s="76"/>
      <c r="AS11" s="76"/>
      <c r="AT11" s="76"/>
      <c r="AU11" s="76"/>
      <c r="AV11" s="76"/>
      <c r="AW11" s="76"/>
      <c r="AX11" s="76"/>
      <c r="AY11" s="76"/>
      <c r="AZ11" s="76"/>
    </row>
    <row r="12" spans="1:52" s="89" customFormat="1" ht="13.5" customHeight="1" x14ac:dyDescent="0.2">
      <c r="A12" s="462">
        <f>VLOOKUP(B12,Sheet1!$AQ$4:$AR$25,2,FALSE)</f>
        <v>0</v>
      </c>
      <c r="B12" s="95" t="str">
        <f>Sheet1!$K$6</f>
        <v>Buckinghamshire</v>
      </c>
      <c r="C12" s="87"/>
      <c r="D12" s="96">
        <f>IF(Year1_Buckinghamshire Year1_CIN_Section47="","",Year1_Buckinghamshire Year1_CIN_Section47)</f>
        <v>1758</v>
      </c>
      <c r="E12" s="96">
        <f>IF(Year2_Buckinghamshire Year2_CIN_Section47="","",Year2_Buckinghamshire Year2_CIN_Section47)</f>
        <v>1924</v>
      </c>
      <c r="F12" s="96">
        <f>IF(Year3_Buckinghamshire Year3_CIN_Section47="","",Year3_Buckinghamshire Year3_CIN_Section47)</f>
        <v>2576</v>
      </c>
      <c r="G12" s="96">
        <f>IF(Year4_Buckinghamshire Year4_CIN_Section47="","",Year4_Buckinghamshire Year4_CIN_Section47)</f>
        <v>2472</v>
      </c>
      <c r="H12" s="97">
        <f>IF(Year5_Buckinghamshire Year5_CIN_Section47="","",Year5_Buckinghamshire Year5_CIN_Section47)</f>
        <v>2174</v>
      </c>
      <c r="I12" s="337">
        <f t="shared" si="3"/>
        <v>6.809499744039238E-2</v>
      </c>
      <c r="J12" s="98"/>
      <c r="K12" s="99">
        <f>IF(ISNUMBER(D12),D12/Population!D12*10000,NA())</f>
        <v>147.85534062237173</v>
      </c>
      <c r="L12" s="99">
        <f>IF(ISNUMBER(E12),E12/Population!E12*10000,NA())</f>
        <v>159.53565505804312</v>
      </c>
      <c r="M12" s="99">
        <f>IF(ISNUMBER(F12),F12/Population!F12*10000,NA())</f>
        <v>210.80196399345337</v>
      </c>
      <c r="N12" s="99">
        <f>IF(ISNUMBER(G12),G12/Population!G12*10000,NA())</f>
        <v>200.81234768480911</v>
      </c>
      <c r="O12" s="100">
        <f>IF(ISNUMBER(H12),H12/Population!H12*10000,NA())</f>
        <v>174.89943684633951</v>
      </c>
      <c r="P12" s="101">
        <f t="shared" si="4"/>
        <v>174.89943684633951</v>
      </c>
      <c r="Q12" s="770">
        <f t="shared" si="0"/>
        <v>11</v>
      </c>
      <c r="R12" s="69"/>
      <c r="S12" s="333">
        <f>IDACI!C11</f>
        <v>8.5</v>
      </c>
      <c r="T12" s="334">
        <f t="shared" si="1"/>
        <v>109.48397638534257</v>
      </c>
      <c r="U12" s="335">
        <f t="shared" si="5"/>
        <v>65.41546046099694</v>
      </c>
      <c r="V12" s="124"/>
      <c r="W12" s="140"/>
      <c r="X12" s="149"/>
      <c r="Y12" s="71" t="str">
        <f t="shared" si="2"/>
        <v>Buckinghamshire</v>
      </c>
      <c r="Z12" s="45">
        <f>IF(ISNUMBER($H12),IDACI!D11,0)</f>
        <v>107385</v>
      </c>
      <c r="AA12" s="45">
        <f>IF(ISNUMBER($H12),IDACI!E11,0)</f>
        <v>9127.7250000000004</v>
      </c>
      <c r="AB12" s="202">
        <f>IF(ISNUMBER(D12),Population!D12,"")</f>
        <v>118900</v>
      </c>
      <c r="AC12" s="202">
        <f>IF(ISNUMBER(E12),Population!E12,"")</f>
        <v>120600</v>
      </c>
      <c r="AD12" s="202">
        <f>IF(ISNUMBER(F12),Population!F12,"")</f>
        <v>122200</v>
      </c>
      <c r="AE12" s="202">
        <f>IF(ISNUMBER(G12),Population!G12,"")</f>
        <v>123100</v>
      </c>
      <c r="AF12" s="202">
        <f>IF(ISNUMBER(H12),Population!H12,"")</f>
        <v>124300</v>
      </c>
      <c r="AG12" s="95" t="s">
        <v>8</v>
      </c>
      <c r="AH12" s="225">
        <f t="shared" si="6"/>
        <v>174.89943684633951</v>
      </c>
      <c r="AI12" s="203">
        <f t="shared" si="7"/>
        <v>11</v>
      </c>
      <c r="AJ12" s="199"/>
      <c r="AK12" s="156"/>
      <c r="AL12" s="792">
        <f t="shared" si="8"/>
        <v>9.4425483503981791E-2</v>
      </c>
      <c r="AM12" s="792">
        <f t="shared" si="8"/>
        <v>0.3388773388773389</v>
      </c>
      <c r="AN12" s="792">
        <f t="shared" si="8"/>
        <v>-4.0372670807453416E-2</v>
      </c>
      <c r="AO12" s="792">
        <f t="shared" si="8"/>
        <v>-0.12055016181229773</v>
      </c>
      <c r="AP12" s="792">
        <f t="shared" si="9"/>
        <v>6.809499744039238E-2</v>
      </c>
      <c r="AQ12" s="76"/>
      <c r="AR12" s="76"/>
      <c r="AS12" s="76"/>
      <c r="AT12" s="76"/>
      <c r="AU12" s="76"/>
      <c r="AV12" s="76"/>
      <c r="AW12" s="76"/>
      <c r="AX12" s="76"/>
      <c r="AY12" s="76"/>
      <c r="AZ12" s="76"/>
    </row>
    <row r="13" spans="1:52" s="89" customFormat="1" ht="13.5" customHeight="1" x14ac:dyDescent="0.2">
      <c r="A13" s="462">
        <f>VLOOKUP(B13,Sheet1!$AQ$4:$AR$25,2,FALSE)</f>
        <v>0</v>
      </c>
      <c r="B13" s="95" t="str">
        <f>Sheet1!$K$7</f>
        <v>East Sussex</v>
      </c>
      <c r="C13" s="87"/>
      <c r="D13" s="96">
        <f>IF(Year1_East_Sussex Year1_CIN_Section47="","",Year1_East_Sussex Year1_CIN_Section47)</f>
        <v>995</v>
      </c>
      <c r="E13" s="102">
        <f>IF(Year2_East_Sussex Year2_CIN_Section47="","",Year2_East_Sussex Year2_CIN_Section47)</f>
        <v>868</v>
      </c>
      <c r="F13" s="96">
        <f>IF(Year3_East_Sussex Year3_CIN_Section47="","",Year3_East_Sussex Year3_CIN_Section47)</f>
        <v>1127</v>
      </c>
      <c r="G13" s="96">
        <f>IF(Year4_East_Sussex Year4_CIN_Section47="","",Year4_East_Sussex Year4_CIN_Section47)</f>
        <v>1334</v>
      </c>
      <c r="H13" s="97">
        <f>IF(Year5_East_Sussex Year5_CIN_Section47="","",Year5_East_Sussex Year5_CIN_Section47)</f>
        <v>1329</v>
      </c>
      <c r="I13" s="337">
        <f t="shared" si="3"/>
        <v>8.7668562317535823E-2</v>
      </c>
      <c r="J13" s="98"/>
      <c r="K13" s="99">
        <f>IF(ISNUMBER(D13),D13/Population!D13*10000,NA())</f>
        <v>94.402277039848187</v>
      </c>
      <c r="L13" s="99">
        <f>IF(ISNUMBER(E13),E13/Population!E13*10000,NA())</f>
        <v>81.964117091595838</v>
      </c>
      <c r="M13" s="99">
        <f>IF(ISNUMBER(F13),F13/Population!F13*10000,NA())</f>
        <v>106.42115203021719</v>
      </c>
      <c r="N13" s="99">
        <f>IF(ISNUMBER(G13),G13/Population!G13*10000,NA())</f>
        <v>125.84905660377359</v>
      </c>
      <c r="O13" s="100">
        <f>IF(ISNUMBER(H13),H13/Population!H13*10000,NA())</f>
        <v>124.90601503759399</v>
      </c>
      <c r="P13" s="101">
        <f t="shared" si="4"/>
        <v>124.90601503759399</v>
      </c>
      <c r="Q13" s="770">
        <f t="shared" si="0"/>
        <v>2</v>
      </c>
      <c r="R13" s="69"/>
      <c r="S13" s="333">
        <f>IDACI!C12</f>
        <v>16.100000000000001</v>
      </c>
      <c r="T13" s="334">
        <f t="shared" si="1"/>
        <v>168.38736850405502</v>
      </c>
      <c r="U13" s="335">
        <f t="shared" si="5"/>
        <v>-43.48135346646103</v>
      </c>
      <c r="V13" s="124"/>
      <c r="W13" s="140"/>
      <c r="X13" s="149"/>
      <c r="Y13" s="71" t="str">
        <f t="shared" si="2"/>
        <v>East Sussex</v>
      </c>
      <c r="Z13" s="45">
        <f>IF(ISNUMBER($H13),IDACI!D12,0)</f>
        <v>93130</v>
      </c>
      <c r="AA13" s="45">
        <f>IF(ISNUMBER($H13),IDACI!E12,0)</f>
        <v>14993.93</v>
      </c>
      <c r="AB13" s="202">
        <f>IF(ISNUMBER(D13),Population!D13,"")</f>
        <v>105400</v>
      </c>
      <c r="AC13" s="202">
        <f>IF(ISNUMBER(E13),Population!E13,"")</f>
        <v>105900</v>
      </c>
      <c r="AD13" s="202">
        <f>IF(ISNUMBER(F13),Population!F13,"")</f>
        <v>105900</v>
      </c>
      <c r="AE13" s="202">
        <f>IF(ISNUMBER(G13),Population!G13,"")</f>
        <v>106000</v>
      </c>
      <c r="AF13" s="202">
        <f>IF(ISNUMBER(H13),Population!H13,"")</f>
        <v>106400</v>
      </c>
      <c r="AG13" s="95" t="s">
        <v>4</v>
      </c>
      <c r="AH13" s="225">
        <f t="shared" si="6"/>
        <v>124.90601503759399</v>
      </c>
      <c r="AI13" s="203">
        <f t="shared" si="7"/>
        <v>2</v>
      </c>
      <c r="AJ13" s="199"/>
      <c r="AK13" s="156"/>
      <c r="AL13" s="792">
        <f t="shared" si="8"/>
        <v>-0.12763819095477386</v>
      </c>
      <c r="AM13" s="792">
        <f t="shared" si="8"/>
        <v>0.29838709677419356</v>
      </c>
      <c r="AN13" s="792">
        <f t="shared" si="8"/>
        <v>0.18367346938775511</v>
      </c>
      <c r="AO13" s="792">
        <f t="shared" si="8"/>
        <v>-3.7481259370314842E-3</v>
      </c>
      <c r="AP13" s="792">
        <f t="shared" si="9"/>
        <v>8.7668562317535823E-2</v>
      </c>
      <c r="AQ13" s="76"/>
      <c r="AR13" s="76"/>
      <c r="AS13" s="76"/>
      <c r="AT13" s="76"/>
      <c r="AU13" s="76"/>
      <c r="AV13" s="76"/>
      <c r="AW13" s="76"/>
      <c r="AX13" s="76"/>
      <c r="AY13" s="76"/>
      <c r="AZ13" s="76"/>
    </row>
    <row r="14" spans="1:52" s="89" customFormat="1" ht="13.5" customHeight="1" x14ac:dyDescent="0.2">
      <c r="A14" s="462">
        <f>VLOOKUP(B14,Sheet1!$AQ$4:$AR$25,2,FALSE)</f>
        <v>0</v>
      </c>
      <c r="B14" s="95" t="str">
        <f>Sheet1!$K$8</f>
        <v>Hampshire</v>
      </c>
      <c r="C14" s="87"/>
      <c r="D14" s="96">
        <f>IF(Year1_Hampshire Year1_CIN_Section47="","",Year1_Hampshire Year1_CIN_Section47)</f>
        <v>4623</v>
      </c>
      <c r="E14" s="96">
        <f>IF(Year2_Hampshire Year2_CIN_Section47="","",Year2_Hampshire Year2_CIN_Section47)</f>
        <v>4182</v>
      </c>
      <c r="F14" s="103">
        <f>IF(Year3_Hampshire Year3_CIN_Section47="","",Year3_Hampshire Year3_CIN_Section47)</f>
        <v>4211</v>
      </c>
      <c r="G14" s="103">
        <f>IF(Year4_Hampshire Year4_CIN_Section47="","",Year4_Hampshire Year4_CIN_Section47)</f>
        <v>3844</v>
      </c>
      <c r="H14" s="97">
        <f>IF(Year5_Hampshire Year5_CIN_Section47="","",Year5_Hampshire Year5_CIN_Section47)</f>
        <v>4317</v>
      </c>
      <c r="I14" s="337">
        <f t="shared" si="3"/>
        <v>-1.3140477257620371E-2</v>
      </c>
      <c r="J14" s="98"/>
      <c r="K14" s="99">
        <f>IF(ISNUMBER(D14),D14/Population!D14*10000,NA())</f>
        <v>164.22735346358792</v>
      </c>
      <c r="L14" s="99">
        <f>IF(ISNUMBER(E14),E14/Population!E14*10000,NA())</f>
        <v>148.35047889322453</v>
      </c>
      <c r="M14" s="99">
        <f>IF(ISNUMBER(F14),F14/Population!F14*10000,NA())</f>
        <v>148.90381895332391</v>
      </c>
      <c r="N14" s="99">
        <f>IF(ISNUMBER(G14),G14/Population!G14*10000,NA())</f>
        <v>135.68655135898342</v>
      </c>
      <c r="O14" s="100">
        <f>IF(ISNUMBER(H14),H14/Population!H14*10000,NA())</f>
        <v>152.00704225352112</v>
      </c>
      <c r="P14" s="101">
        <f t="shared" si="4"/>
        <v>152.00704225352112</v>
      </c>
      <c r="Q14" s="770">
        <f t="shared" si="0"/>
        <v>5</v>
      </c>
      <c r="R14" s="69"/>
      <c r="S14" s="333">
        <f>IDACI!C13</f>
        <v>10.100000000000001</v>
      </c>
      <c r="T14" s="334">
        <f t="shared" si="1"/>
        <v>121.88469051559782</v>
      </c>
      <c r="U14" s="335">
        <f t="shared" si="5"/>
        <v>30.122351737923296</v>
      </c>
      <c r="V14" s="124"/>
      <c r="W14" s="140"/>
      <c r="X14" s="149"/>
      <c r="Y14" s="71" t="str">
        <f t="shared" si="2"/>
        <v>Hampshire</v>
      </c>
      <c r="Z14" s="45">
        <f>IF(ISNUMBER($H14),IDACI!D13,0)</f>
        <v>249483</v>
      </c>
      <c r="AA14" s="45">
        <f>IF(ISNUMBER($H14),IDACI!E13,0)</f>
        <v>25197.783000000007</v>
      </c>
      <c r="AB14" s="202">
        <f>IF(ISNUMBER(D14),Population!D14,"")</f>
        <v>281500</v>
      </c>
      <c r="AC14" s="202">
        <f>IF(ISNUMBER(E14),Population!E14,"")</f>
        <v>281900</v>
      </c>
      <c r="AD14" s="202">
        <f>IF(ISNUMBER(F14),Population!F14,"")</f>
        <v>282800</v>
      </c>
      <c r="AE14" s="202">
        <f>IF(ISNUMBER(G14),Population!G14,"")</f>
        <v>283300</v>
      </c>
      <c r="AF14" s="202">
        <f>IF(ISNUMBER(H14),Population!H14,"")</f>
        <v>284000</v>
      </c>
      <c r="AG14" s="95" t="s">
        <v>6</v>
      </c>
      <c r="AH14" s="225">
        <f t="shared" si="6"/>
        <v>152.00704225352112</v>
      </c>
      <c r="AI14" s="203">
        <f t="shared" si="7"/>
        <v>5</v>
      </c>
      <c r="AJ14" s="199"/>
      <c r="AK14" s="156"/>
      <c r="AL14" s="792">
        <f t="shared" si="8"/>
        <v>-9.5392602206359506E-2</v>
      </c>
      <c r="AM14" s="792">
        <f t="shared" si="8"/>
        <v>6.9344811095169772E-3</v>
      </c>
      <c r="AN14" s="792">
        <f t="shared" si="8"/>
        <v>-8.7152695321776302E-2</v>
      </c>
      <c r="AO14" s="792">
        <f t="shared" si="8"/>
        <v>0.12304890738813735</v>
      </c>
      <c r="AP14" s="792">
        <f t="shared" si="9"/>
        <v>-1.3140477257620371E-2</v>
      </c>
      <c r="AQ14" s="76"/>
      <c r="AR14" s="76"/>
      <c r="AS14" s="76"/>
      <c r="AT14" s="76"/>
      <c r="AU14" s="76"/>
      <c r="AV14" s="76"/>
      <c r="AW14" s="76"/>
      <c r="AX14" s="76"/>
      <c r="AY14" s="76"/>
      <c r="AZ14" s="76"/>
    </row>
    <row r="15" spans="1:52" s="89" customFormat="1" ht="13.5" customHeight="1" x14ac:dyDescent="0.2">
      <c r="A15" s="462">
        <f>VLOOKUP(B15,Sheet1!$AQ$4:$AR$25,2,FALSE)</f>
        <v>0</v>
      </c>
      <c r="B15" s="95" t="str">
        <f>Sheet1!$K$9</f>
        <v>Isle of Wight</v>
      </c>
      <c r="C15" s="87"/>
      <c r="D15" s="96">
        <f>IF(Year1_Isle_of_Wight Year1_CIN_Section47="","",Year1_Isle_of_Wight Year1_CIN_Section47)</f>
        <v>730</v>
      </c>
      <c r="E15" s="96">
        <f>IF(Year2_Isle_of_Wight Year2_CIN_Section47="","",Year2_Isle_of_Wight Year2_CIN_Section47)</f>
        <v>676</v>
      </c>
      <c r="F15" s="96">
        <f>IF(Year3_Isle_of_Wight Year3_CIN_Section47="","",Year3_Isle_of_Wight Year3_CIN_Section47)</f>
        <v>549</v>
      </c>
      <c r="G15" s="96">
        <f>IF(Year4_Isle_of_Wight Year4_CIN_Section47="","",Year4_Isle_of_Wight Year4_CIN_Section47)</f>
        <v>557</v>
      </c>
      <c r="H15" s="97">
        <f>IF(Year5_Isle_of_Wight Year5_CIN_Section47="","",Year5_Isle_of_Wight Year5_CIN_Section47)</f>
        <v>501</v>
      </c>
      <c r="I15" s="337">
        <f t="shared" si="3"/>
        <v>-8.6952268966922042E-2</v>
      </c>
      <c r="J15" s="98"/>
      <c r="K15" s="99">
        <f>IF(ISNUMBER(D15),D15/Population!D15*10000,NA())</f>
        <v>286.2745098039216</v>
      </c>
      <c r="L15" s="99">
        <f>IF(ISNUMBER(E15),E15/Population!E15*10000,NA())</f>
        <v>267.19367588932806</v>
      </c>
      <c r="M15" s="99">
        <f>IF(ISNUMBER(F15),F15/Population!F15*10000,NA())</f>
        <v>217.85714285714286</v>
      </c>
      <c r="N15" s="99">
        <f>IF(ISNUMBER(G15),G15/Population!G15*10000,NA())</f>
        <v>221.91235059760956</v>
      </c>
      <c r="O15" s="100">
        <f>IF(ISNUMBER(H15),H15/Population!H15*10000,NA())</f>
        <v>201.20481927710844</v>
      </c>
      <c r="P15" s="101">
        <f t="shared" si="4"/>
        <v>201.20481927710844</v>
      </c>
      <c r="Q15" s="770">
        <f t="shared" si="0"/>
        <v>13</v>
      </c>
      <c r="R15" s="69"/>
      <c r="S15" s="333">
        <f>IDACI!C14</f>
        <v>18</v>
      </c>
      <c r="T15" s="334">
        <f t="shared" si="1"/>
        <v>183.11321653373312</v>
      </c>
      <c r="U15" s="335">
        <f t="shared" si="5"/>
        <v>18.091602743375319</v>
      </c>
      <c r="V15" s="124"/>
      <c r="W15" s="140"/>
      <c r="X15" s="149"/>
      <c r="Y15" s="71" t="str">
        <f t="shared" si="2"/>
        <v>Isle of Wight</v>
      </c>
      <c r="Z15" s="45">
        <f>IF(ISNUMBER($H15),IDACI!D14,0)</f>
        <v>22123</v>
      </c>
      <c r="AA15" s="45">
        <f>IF(ISNUMBER($H15),IDACI!E14,0)</f>
        <v>3982.14</v>
      </c>
      <c r="AB15" s="202">
        <f>IF(ISNUMBER(D15),Population!D15,"")</f>
        <v>25500</v>
      </c>
      <c r="AC15" s="202">
        <f>IF(ISNUMBER(E15),Population!E15,"")</f>
        <v>25300</v>
      </c>
      <c r="AD15" s="202">
        <f>IF(ISNUMBER(F15),Population!F15,"")</f>
        <v>25200</v>
      </c>
      <c r="AE15" s="202">
        <f>IF(ISNUMBER(G15),Population!G15,"")</f>
        <v>25100</v>
      </c>
      <c r="AF15" s="202">
        <f>IF(ISNUMBER(H15),Population!H15,"")</f>
        <v>24900</v>
      </c>
      <c r="AG15" s="95" t="s">
        <v>1</v>
      </c>
      <c r="AH15" s="225">
        <f t="shared" si="6"/>
        <v>201.20481927710844</v>
      </c>
      <c r="AI15" s="203">
        <f t="shared" si="7"/>
        <v>13</v>
      </c>
      <c r="AJ15" s="199"/>
      <c r="AK15" s="156"/>
      <c r="AL15" s="792">
        <f t="shared" si="8"/>
        <v>-7.3972602739726029E-2</v>
      </c>
      <c r="AM15" s="792">
        <f t="shared" si="8"/>
        <v>-0.18786982248520709</v>
      </c>
      <c r="AN15" s="792">
        <f t="shared" si="8"/>
        <v>1.4571948998178506E-2</v>
      </c>
      <c r="AO15" s="792">
        <f t="shared" si="8"/>
        <v>-0.10053859964093358</v>
      </c>
      <c r="AP15" s="792">
        <f t="shared" si="9"/>
        <v>-8.6952268966922042E-2</v>
      </c>
      <c r="AQ15" s="76"/>
      <c r="AR15" s="76"/>
      <c r="AS15" s="76"/>
      <c r="AT15" s="76"/>
      <c r="AU15" s="76"/>
      <c r="AV15" s="76"/>
      <c r="AW15" s="76"/>
      <c r="AX15" s="76"/>
      <c r="AY15" s="76"/>
      <c r="AZ15" s="76"/>
    </row>
    <row r="16" spans="1:52" s="89" customFormat="1" ht="13.5" customHeight="1" x14ac:dyDescent="0.2">
      <c r="A16" s="462">
        <f>VLOOKUP(B16,Sheet1!$AQ$4:$AR$25,2,FALSE)</f>
        <v>0</v>
      </c>
      <c r="B16" s="95" t="str">
        <f>Sheet1!$K$10</f>
        <v>Kent</v>
      </c>
      <c r="C16" s="87"/>
      <c r="D16" s="96">
        <f>IF(Year1_Kent Year1_CIN_Section47="","",Year1_Kent Year1_CIN_Section47)</f>
        <v>4367</v>
      </c>
      <c r="E16" s="96">
        <f>IF(Year2_Kent Year2_CIN_Section47="","",Year2_Kent Year2_CIN_Section47)</f>
        <v>4760</v>
      </c>
      <c r="F16" s="96">
        <f>IF(Year3_Kent Year3_CIN_Section47="","",Year3_Kent Year3_CIN_Section47)</f>
        <v>4893</v>
      </c>
      <c r="G16" s="96">
        <f>IF(Year4_Kent Year4_CIN_Section47="","",Year4_Kent Year4_CIN_Section47)</f>
        <v>6259</v>
      </c>
      <c r="H16" s="97">
        <f>IF(Year5_Kent Year5_CIN_Section47="","",Year5_Kent Year5_CIN_Section47)</f>
        <v>6015</v>
      </c>
      <c r="I16" s="337">
        <f t="shared" si="3"/>
        <v>8.9531193551380839E-2</v>
      </c>
      <c r="J16" s="98"/>
      <c r="K16" s="99">
        <f>IF(ISNUMBER(D16),D16/Population!D16*10000,NA())</f>
        <v>133.01858056655499</v>
      </c>
      <c r="L16" s="99">
        <f>IF(ISNUMBER(E16),E16/Population!E16*10000,NA())</f>
        <v>144.06779661016949</v>
      </c>
      <c r="M16" s="99">
        <f>IF(ISNUMBER(F16),F16/Population!F16*10000,NA())</f>
        <v>146.93693693693695</v>
      </c>
      <c r="N16" s="99">
        <f>IF(ISNUMBER(G16),G16/Population!G16*10000,NA())</f>
        <v>186.22433799464446</v>
      </c>
      <c r="O16" s="100">
        <f>IF(ISNUMBER(H16),H16/Population!H16*10000,NA())</f>
        <v>176.85974713319612</v>
      </c>
      <c r="P16" s="101">
        <f t="shared" si="4"/>
        <v>176.85974713319612</v>
      </c>
      <c r="Q16" s="770">
        <f t="shared" si="0"/>
        <v>12</v>
      </c>
      <c r="R16" s="69"/>
      <c r="S16" s="333">
        <f>IDACI!C15</f>
        <v>15.8</v>
      </c>
      <c r="T16" s="334">
        <f t="shared" si="1"/>
        <v>166.06223460463215</v>
      </c>
      <c r="U16" s="335">
        <f t="shared" si="5"/>
        <v>10.797512528563971</v>
      </c>
      <c r="V16" s="124"/>
      <c r="W16" s="140"/>
      <c r="X16" s="149"/>
      <c r="Y16" s="71" t="str">
        <f t="shared" si="2"/>
        <v>Kent</v>
      </c>
      <c r="Z16" s="45">
        <f>IF(ISNUMBER($H16),IDACI!D15,0)</f>
        <v>291866</v>
      </c>
      <c r="AA16" s="45">
        <f>IF(ISNUMBER($H16),IDACI!E15,0)</f>
        <v>46114.828000000001</v>
      </c>
      <c r="AB16" s="202">
        <f>IF(ISNUMBER(D16),Population!D16,"")</f>
        <v>328300</v>
      </c>
      <c r="AC16" s="202">
        <f>IF(ISNUMBER(E16),Population!E16,"")</f>
        <v>330400</v>
      </c>
      <c r="AD16" s="202">
        <f>IF(ISNUMBER(F16),Population!F16,"")</f>
        <v>333000</v>
      </c>
      <c r="AE16" s="202">
        <f>IF(ISNUMBER(G16),Population!G16,"")</f>
        <v>336100</v>
      </c>
      <c r="AF16" s="202">
        <f>IF(ISNUMBER(H16),Population!H16,"")</f>
        <v>340100</v>
      </c>
      <c r="AG16" s="95" t="s">
        <v>9</v>
      </c>
      <c r="AH16" s="225">
        <f t="shared" si="6"/>
        <v>176.85974713319612</v>
      </c>
      <c r="AI16" s="203">
        <f t="shared" si="7"/>
        <v>12</v>
      </c>
      <c r="AJ16" s="199"/>
      <c r="AK16" s="156"/>
      <c r="AL16" s="792">
        <f t="shared" si="8"/>
        <v>8.9993130295397294E-2</v>
      </c>
      <c r="AM16" s="792">
        <f t="shared" si="8"/>
        <v>2.7941176470588237E-2</v>
      </c>
      <c r="AN16" s="792">
        <f t="shared" si="8"/>
        <v>0.27917433067647662</v>
      </c>
      <c r="AO16" s="792">
        <f t="shared" si="8"/>
        <v>-3.8983863236938809E-2</v>
      </c>
      <c r="AP16" s="792">
        <f t="shared" si="9"/>
        <v>8.9531193551380839E-2</v>
      </c>
      <c r="AQ16" s="76"/>
      <c r="AR16" s="76"/>
      <c r="AS16" s="76"/>
      <c r="AT16" s="76"/>
      <c r="AU16" s="76"/>
      <c r="AV16" s="76"/>
      <c r="AW16" s="76"/>
      <c r="AX16" s="76"/>
      <c r="AY16" s="76"/>
      <c r="AZ16" s="76"/>
    </row>
    <row r="17" spans="1:52" s="89" customFormat="1" ht="13.5" customHeight="1" x14ac:dyDescent="0.2">
      <c r="A17" s="462">
        <f>VLOOKUP(B17,Sheet1!$AQ$4:$AR$25,2,FALSE)</f>
        <v>0</v>
      </c>
      <c r="B17" s="95" t="str">
        <f>Sheet1!$K$11</f>
        <v>Medway</v>
      </c>
      <c r="C17" s="87"/>
      <c r="D17" s="96">
        <f>IF(Year1_Medway Year1_CIN_Section47="","",Year1_Medway Year1_CIN_Section47)</f>
        <v>1514</v>
      </c>
      <c r="E17" s="290">
        <f>IF(Year2_Medway Year2_CIN_Section47="","",Year2_Medway Year2_CIN_Section47)</f>
        <v>1631</v>
      </c>
      <c r="F17" s="290">
        <f>IF(Year3_Medway Year3_CIN_Section47="","",Year3_Medway Year3_CIN_Section47)</f>
        <v>1072</v>
      </c>
      <c r="G17" s="290">
        <f>IF(Year4_Medway Year4_CIN_Section47="","",Year4_Medway Year4_CIN_Section47)</f>
        <v>1181</v>
      </c>
      <c r="H17" s="291">
        <f>IF(Year5_Medway Year5_CIN_Section47="","",Year5_Medway Year5_CIN_Section47)</f>
        <v>1509</v>
      </c>
      <c r="I17" s="337">
        <f t="shared" si="3"/>
        <v>2.8488513569366915E-2</v>
      </c>
      <c r="J17" s="98"/>
      <c r="K17" s="99">
        <f>IF(ISNUMBER(D17),D17/Population!D17*10000,NA())</f>
        <v>242.23999999999998</v>
      </c>
      <c r="L17" s="99">
        <f>IF(ISNUMBER(E17),E17/Population!E17*10000,NA())</f>
        <v>258.06962025316454</v>
      </c>
      <c r="M17" s="99">
        <f>IF(ISNUMBER(F17),F17/Population!F17*10000,NA())</f>
        <v>168.2888540031397</v>
      </c>
      <c r="N17" s="99">
        <f>IF(ISNUMBER(G17),G17/Population!G17*10000,NA())</f>
        <v>184.82003129890452</v>
      </c>
      <c r="O17" s="100">
        <f>IF(ISNUMBER(H17),H17/Population!H17*10000,NA())</f>
        <v>234.31677018633542</v>
      </c>
      <c r="P17" s="101">
        <f t="shared" si="4"/>
        <v>234.31677018633542</v>
      </c>
      <c r="Q17" s="770">
        <f t="shared" si="0"/>
        <v>14</v>
      </c>
      <c r="R17" s="69"/>
      <c r="S17" s="333">
        <f>IDACI!C16</f>
        <v>18.899999999999999</v>
      </c>
      <c r="T17" s="334">
        <f t="shared" si="1"/>
        <v>190.08861823200169</v>
      </c>
      <c r="U17" s="335">
        <f t="shared" si="5"/>
        <v>44.228151954333725</v>
      </c>
      <c r="V17" s="124"/>
      <c r="W17" s="140"/>
      <c r="X17" s="149"/>
      <c r="Y17" s="71" t="str">
        <f t="shared" si="2"/>
        <v>Medway</v>
      </c>
      <c r="Z17" s="45">
        <f>IF(ISNUMBER($H17),IDACI!D16,0)</f>
        <v>55993</v>
      </c>
      <c r="AA17" s="45">
        <f>IF(ISNUMBER($H17),IDACI!E16,0)</f>
        <v>10582.676999999998</v>
      </c>
      <c r="AB17" s="202">
        <f>IF(ISNUMBER(D17),Population!D17,"")</f>
        <v>62500</v>
      </c>
      <c r="AC17" s="202">
        <f>IF(ISNUMBER(E17),Population!E17,"")</f>
        <v>63200</v>
      </c>
      <c r="AD17" s="202">
        <f>IF(ISNUMBER(F17),Population!F17,"")</f>
        <v>63700</v>
      </c>
      <c r="AE17" s="202">
        <f>IF(ISNUMBER(G17),Population!G17,"")</f>
        <v>63900</v>
      </c>
      <c r="AF17" s="202">
        <f>IF(ISNUMBER(H17),Population!H17,"")</f>
        <v>64400</v>
      </c>
      <c r="AG17" s="95" t="s">
        <v>2</v>
      </c>
      <c r="AH17" s="225">
        <f t="shared" si="6"/>
        <v>234.31677018633542</v>
      </c>
      <c r="AI17" s="203">
        <f t="shared" si="7"/>
        <v>14</v>
      </c>
      <c r="AJ17" s="199"/>
      <c r="AK17" s="156"/>
      <c r="AL17" s="792">
        <f t="shared" si="8"/>
        <v>7.7278731836195505E-2</v>
      </c>
      <c r="AM17" s="792">
        <f t="shared" si="8"/>
        <v>-0.34273451870018395</v>
      </c>
      <c r="AN17" s="792">
        <f t="shared" si="8"/>
        <v>0.10167910447761194</v>
      </c>
      <c r="AO17" s="792">
        <f t="shared" si="8"/>
        <v>0.27773073666384418</v>
      </c>
      <c r="AP17" s="792">
        <f t="shared" si="9"/>
        <v>2.8488513569366915E-2</v>
      </c>
      <c r="AQ17" s="76"/>
      <c r="AR17" s="76"/>
      <c r="AS17" s="76"/>
      <c r="AT17" s="76"/>
      <c r="AU17" s="76"/>
      <c r="AV17" s="76"/>
      <c r="AW17" s="76"/>
      <c r="AX17" s="76"/>
      <c r="AY17" s="76"/>
      <c r="AZ17" s="76"/>
    </row>
    <row r="18" spans="1:52" s="89" customFormat="1" ht="13.5" customHeight="1" x14ac:dyDescent="0.2">
      <c r="A18" s="462">
        <f>VLOOKUP(B18,Sheet1!$AQ$4:$AR$25,2,FALSE)</f>
        <v>0</v>
      </c>
      <c r="B18" s="95" t="str">
        <f>Sheet1!$K$12</f>
        <v>Milton Keynes</v>
      </c>
      <c r="C18" s="87"/>
      <c r="D18" s="96">
        <f>IF(Year1_Milton_Keynes Year1_CIN_Section47="","",Year1_Milton_Keynes Year1_CIN_Section47)</f>
        <v>557</v>
      </c>
      <c r="E18" s="96">
        <f>IF(Year2_Milton_Keynes Year2_CIN_Section47="","",Year2_Milton_Keynes Year2_CIN_Section47)</f>
        <v>569</v>
      </c>
      <c r="F18" s="96">
        <f>IF(Year3_Milton_Keynes Year3_CIN_Section47="","",Year3_Milton_Keynes Year3_CIN_Section47)</f>
        <v>776</v>
      </c>
      <c r="G18" s="96">
        <f>IF(Year4_Milton_Keynes Year4_CIN_Section47="","",Year4_Milton_Keynes Year4_CIN_Section47)</f>
        <v>558</v>
      </c>
      <c r="H18" s="97">
        <f>IF(Year5_Milton_Keynes Year5_CIN_Section47="","",Year5_Milton_Keynes Year5_CIN_Section47)</f>
        <v>603</v>
      </c>
      <c r="I18" s="337">
        <f t="shared" si="3"/>
        <v>4.6264361360945402E-2</v>
      </c>
      <c r="J18" s="98"/>
      <c r="K18" s="99">
        <f>IF(ISNUMBER(D18),D18/Population!D18*10000,NA())</f>
        <v>85.429447852760731</v>
      </c>
      <c r="L18" s="99">
        <f>IF(ISNUMBER(E18),E18/Population!E18*10000,NA())</f>
        <v>86.081694402420567</v>
      </c>
      <c r="M18" s="99">
        <f>IF(ISNUMBER(F18),F18/Population!F18*10000,NA())</f>
        <v>115.64828614008943</v>
      </c>
      <c r="N18" s="99">
        <f>IF(ISNUMBER(G18),G18/Population!G18*10000,NA())</f>
        <v>82.544378698224847</v>
      </c>
      <c r="O18" s="100">
        <f>IF(ISNUMBER(H18),H18/Population!H18*10000,NA())</f>
        <v>88.286969253294288</v>
      </c>
      <c r="P18" s="101">
        <f t="shared" si="4"/>
        <v>88.286969253294288</v>
      </c>
      <c r="Q18" s="770">
        <f t="shared" si="0"/>
        <v>1</v>
      </c>
      <c r="R18" s="69"/>
      <c r="S18" s="333">
        <f>IDACI!C17</f>
        <v>15</v>
      </c>
      <c r="T18" s="334">
        <f t="shared" si="1"/>
        <v>159.86187753950452</v>
      </c>
      <c r="U18" s="335">
        <f t="shared" si="5"/>
        <v>-71.574908286210231</v>
      </c>
      <c r="V18" s="124"/>
      <c r="W18" s="140"/>
      <c r="X18" s="149"/>
      <c r="Y18" s="71" t="str">
        <f t="shared" si="2"/>
        <v>Milton Keynes</v>
      </c>
      <c r="Z18" s="45">
        <f>IF(ISNUMBER($H18),IDACI!D17,0)</f>
        <v>59903</v>
      </c>
      <c r="AA18" s="45">
        <f>IF(ISNUMBER($H18),IDACI!E17,0)</f>
        <v>8985.4499999999989</v>
      </c>
      <c r="AB18" s="202">
        <f>IF(ISNUMBER(D18),Population!D18,"")</f>
        <v>65200</v>
      </c>
      <c r="AC18" s="202">
        <f>IF(ISNUMBER(E18),Population!E18,"")</f>
        <v>66100</v>
      </c>
      <c r="AD18" s="202">
        <f>IF(ISNUMBER(F18),Population!F18,"")</f>
        <v>67100</v>
      </c>
      <c r="AE18" s="202">
        <f>IF(ISNUMBER(G18),Population!G18,"")</f>
        <v>67600</v>
      </c>
      <c r="AF18" s="202">
        <f>IF(ISNUMBER(H18),Population!H18,"")</f>
        <v>68300</v>
      </c>
      <c r="AG18" s="95" t="s">
        <v>10</v>
      </c>
      <c r="AH18" s="225">
        <f t="shared" si="6"/>
        <v>88.286969253294288</v>
      </c>
      <c r="AI18" s="203">
        <f t="shared" si="7"/>
        <v>1</v>
      </c>
      <c r="AJ18" s="199"/>
      <c r="AK18" s="156"/>
      <c r="AL18" s="792">
        <f t="shared" si="8"/>
        <v>2.1543985637342909E-2</v>
      </c>
      <c r="AM18" s="792">
        <f t="shared" si="8"/>
        <v>0.36379613356766255</v>
      </c>
      <c r="AN18" s="792">
        <f t="shared" si="8"/>
        <v>-0.28092783505154639</v>
      </c>
      <c r="AO18" s="792">
        <f t="shared" si="8"/>
        <v>8.0645161290322578E-2</v>
      </c>
      <c r="AP18" s="792">
        <f t="shared" si="9"/>
        <v>4.6264361360945402E-2</v>
      </c>
      <c r="AQ18" s="76"/>
      <c r="AR18" s="76"/>
      <c r="AS18" s="76"/>
      <c r="AT18" s="76"/>
      <c r="AU18" s="76"/>
      <c r="AV18" s="76"/>
      <c r="AW18" s="76"/>
      <c r="AX18" s="76"/>
      <c r="AY18" s="76"/>
      <c r="AZ18" s="76"/>
    </row>
    <row r="19" spans="1:52" s="89" customFormat="1" ht="13.5" customHeight="1" x14ac:dyDescent="0.2">
      <c r="A19" s="462">
        <f>VLOOKUP(B19,Sheet1!$AQ$4:$AR$25,2,FALSE)</f>
        <v>0</v>
      </c>
      <c r="B19" s="95" t="str">
        <f>Sheet1!$K$13</f>
        <v>Oxfordshire</v>
      </c>
      <c r="C19" s="87"/>
      <c r="D19" s="96">
        <f>IF(Year1_Oxfordshire Year1_CIN_Section47="","",Year1_Oxfordshire Year1_CIN_Section47)</f>
        <v>1577</v>
      </c>
      <c r="E19" s="96">
        <f>IF(Year2_Oxfordshire Year2_CIN_Section47="","",Year2_Oxfordshire Year2_CIN_Section47)</f>
        <v>1864</v>
      </c>
      <c r="F19" s="96">
        <f>IF(Year3_Oxfordshire Year3_CIN_Section47="","",Year3_Oxfordshire Year3_CIN_Section47)</f>
        <v>1926</v>
      </c>
      <c r="G19" s="96">
        <f>IF(Year4_Oxfordshire Year4_CIN_Section47="","",Year4_Oxfordshire Year4_CIN_Section47)</f>
        <v>1805</v>
      </c>
      <c r="H19" s="97">
        <f>IF(Year5_Oxfordshire Year5_CIN_Section47="","",Year5_Oxfordshire Year5_CIN_Section47)</f>
        <v>1873</v>
      </c>
      <c r="I19" s="337">
        <f t="shared" si="3"/>
        <v>4.7525387100886669E-2</v>
      </c>
      <c r="J19" s="98"/>
      <c r="K19" s="99">
        <f>IF(ISNUMBER(D19),D19/Population!D19*10000,NA())</f>
        <v>111.68555240793202</v>
      </c>
      <c r="L19" s="99">
        <f>IF(ISNUMBER(E19),E19/Population!E19*10000,NA())</f>
        <v>131.45275035260931</v>
      </c>
      <c r="M19" s="99">
        <f>IF(ISNUMBER(F19),F19/Population!F19*10000,NA())</f>
        <v>134.77956613016096</v>
      </c>
      <c r="N19" s="99">
        <f>IF(ISNUMBER(G19),G19/Population!G19*10000,NA())</f>
        <v>125.87168758716875</v>
      </c>
      <c r="O19" s="100">
        <f>IF(ISNUMBER(H19),H19/Population!H19*10000,NA())</f>
        <v>129.35082872928177</v>
      </c>
      <c r="P19" s="101">
        <f t="shared" si="4"/>
        <v>129.35082872928177</v>
      </c>
      <c r="Q19" s="770">
        <f t="shared" si="0"/>
        <v>3</v>
      </c>
      <c r="R19" s="69"/>
      <c r="S19" s="333">
        <f>IDACI!C18</f>
        <v>10.100000000000001</v>
      </c>
      <c r="T19" s="334">
        <f t="shared" si="1"/>
        <v>121.88469051559782</v>
      </c>
      <c r="U19" s="335">
        <f t="shared" si="5"/>
        <v>7.4661382136839478</v>
      </c>
      <c r="V19" s="124"/>
      <c r="W19" s="140"/>
      <c r="X19" s="149"/>
      <c r="Y19" s="71" t="str">
        <f t="shared" si="2"/>
        <v>Oxfordshire</v>
      </c>
      <c r="Z19" s="45">
        <f>IF(ISNUMBER($H19),IDACI!D18,0)</f>
        <v>126119</v>
      </c>
      <c r="AA19" s="45">
        <f>IF(ISNUMBER($H19),IDACI!E18,0)</f>
        <v>12738.019000000002</v>
      </c>
      <c r="AB19" s="202">
        <f>IF(ISNUMBER(D19),Population!D19,"")</f>
        <v>141200</v>
      </c>
      <c r="AC19" s="202">
        <f>IF(ISNUMBER(E19),Population!E19,"")</f>
        <v>141800</v>
      </c>
      <c r="AD19" s="202">
        <f>IF(ISNUMBER(F19),Population!F19,"")</f>
        <v>142900</v>
      </c>
      <c r="AE19" s="202">
        <f>IF(ISNUMBER(G19),Population!G19,"")</f>
        <v>143400</v>
      </c>
      <c r="AF19" s="202">
        <f>IF(ISNUMBER(H19),Population!H19,"")</f>
        <v>144800</v>
      </c>
      <c r="AG19" s="95" t="s">
        <v>11</v>
      </c>
      <c r="AH19" s="225">
        <f t="shared" si="6"/>
        <v>129.35082872928177</v>
      </c>
      <c r="AI19" s="203">
        <f t="shared" si="7"/>
        <v>3</v>
      </c>
      <c r="AJ19" s="199"/>
      <c r="AK19" s="156"/>
      <c r="AL19" s="792">
        <f t="shared" si="8"/>
        <v>0.18199112238427395</v>
      </c>
      <c r="AM19" s="792">
        <f t="shared" si="8"/>
        <v>3.3261802575107295E-2</v>
      </c>
      <c r="AN19" s="792">
        <f t="shared" si="8"/>
        <v>-6.2824506749740397E-2</v>
      </c>
      <c r="AO19" s="792">
        <f t="shared" si="8"/>
        <v>3.7673130193905814E-2</v>
      </c>
      <c r="AP19" s="792">
        <f t="shared" si="9"/>
        <v>4.7525387100886669E-2</v>
      </c>
      <c r="AQ19" s="76"/>
      <c r="AR19" s="76"/>
      <c r="AS19" s="76"/>
      <c r="AT19" s="76"/>
      <c r="AU19" s="76"/>
      <c r="AV19" s="76"/>
      <c r="AW19" s="76"/>
      <c r="AX19" s="76"/>
      <c r="AY19" s="76"/>
      <c r="AZ19" s="76"/>
    </row>
    <row r="20" spans="1:52" s="89" customFormat="1" ht="13.5" customHeight="1" x14ac:dyDescent="0.2">
      <c r="A20" s="462">
        <f>VLOOKUP(B20,Sheet1!$AQ$4:$AR$25,2,FALSE)</f>
        <v>0</v>
      </c>
      <c r="B20" s="95" t="str">
        <f>Sheet1!$K$14</f>
        <v>Portsmouth</v>
      </c>
      <c r="C20" s="87"/>
      <c r="D20" s="96">
        <f>IF(Year1_Portsmouth Year1_CIN_Section47="","",Year1_Portsmouth Year1_CIN_Section47)</f>
        <v>1079</v>
      </c>
      <c r="E20" s="96">
        <f>IF(Year2_Portsmouth Year2_CIN_Section47="","",Year2_Portsmouth Year2_CIN_Section47)</f>
        <v>1148</v>
      </c>
      <c r="F20" s="96">
        <f>IF(Year3_Portsmouth Year3_CIN_Section47="","",Year3_Portsmouth Year3_CIN_Section47)</f>
        <v>1240</v>
      </c>
      <c r="G20" s="96">
        <f>IF(Year4_Portsmouth Year4_CIN_Section47="","",Year4_Portsmouth Year4_CIN_Section47)</f>
        <v>1025</v>
      </c>
      <c r="H20" s="97">
        <f>IF(Year5_Portsmouth Year5_CIN_Section47="","",Year5_Portsmouth Year5_CIN_Section47)</f>
        <v>1313</v>
      </c>
      <c r="I20" s="337">
        <f t="shared" si="3"/>
        <v>6.2918996474220515E-2</v>
      </c>
      <c r="J20" s="98"/>
      <c r="K20" s="99">
        <f>IF(ISNUMBER(D20),D20/Population!D20*10000,NA())</f>
        <v>248.61751152073734</v>
      </c>
      <c r="L20" s="99">
        <f>IF(ISNUMBER(E20),E20/Population!E20*10000,NA())</f>
        <v>262.10045662100458</v>
      </c>
      <c r="M20" s="99">
        <f>IF(ISNUMBER(F20),F20/Population!F20*10000,NA())</f>
        <v>281.81818181818181</v>
      </c>
      <c r="N20" s="99">
        <f>IF(ISNUMBER(G20),G20/Population!G20*10000,NA())</f>
        <v>231.90045248868779</v>
      </c>
      <c r="O20" s="100">
        <f>IF(ISNUMBER(H20),H20/Population!H20*10000,NA())</f>
        <v>298.40909090909093</v>
      </c>
      <c r="P20" s="101">
        <f t="shared" si="4"/>
        <v>298.40909090909093</v>
      </c>
      <c r="Q20" s="770">
        <f t="shared" si="0"/>
        <v>18</v>
      </c>
      <c r="R20" s="69"/>
      <c r="S20" s="333">
        <f>IDACI!C19</f>
        <v>20.200000000000003</v>
      </c>
      <c r="T20" s="334">
        <f t="shared" si="1"/>
        <v>200.16419846283409</v>
      </c>
      <c r="U20" s="335">
        <f t="shared" si="5"/>
        <v>98.244892446256841</v>
      </c>
      <c r="V20" s="124"/>
      <c r="W20" s="140"/>
      <c r="X20" s="149"/>
      <c r="Y20" s="71" t="str">
        <f t="shared" si="2"/>
        <v>Portsmouth</v>
      </c>
      <c r="Z20" s="45">
        <f>IF(ISNUMBER($H20),IDACI!D19,0)</f>
        <v>39325</v>
      </c>
      <c r="AA20" s="45">
        <f>IF(ISNUMBER($H20),IDACI!E19,0)</f>
        <v>7943.6500000000015</v>
      </c>
      <c r="AB20" s="202">
        <f>IF(ISNUMBER(D20),Population!D20,"")</f>
        <v>43400</v>
      </c>
      <c r="AC20" s="202">
        <f>IF(ISNUMBER(E20),Population!E20,"")</f>
        <v>43800</v>
      </c>
      <c r="AD20" s="202">
        <f>IF(ISNUMBER(F20),Population!F20,"")</f>
        <v>44000</v>
      </c>
      <c r="AE20" s="202">
        <f>IF(ISNUMBER(G20),Population!G20,"")</f>
        <v>44200</v>
      </c>
      <c r="AF20" s="202">
        <f>IF(ISNUMBER(H20),Population!H20,"")</f>
        <v>44000</v>
      </c>
      <c r="AG20" s="95" t="s">
        <v>12</v>
      </c>
      <c r="AH20" s="225">
        <f t="shared" si="6"/>
        <v>298.40909090909093</v>
      </c>
      <c r="AI20" s="203">
        <f t="shared" si="7"/>
        <v>18</v>
      </c>
      <c r="AJ20" s="199"/>
      <c r="AK20" s="156"/>
      <c r="AL20" s="792">
        <f t="shared" si="8"/>
        <v>6.39481000926784E-2</v>
      </c>
      <c r="AM20" s="792">
        <f t="shared" si="8"/>
        <v>8.0139372822299645E-2</v>
      </c>
      <c r="AN20" s="792">
        <f t="shared" si="8"/>
        <v>-0.17338709677419356</v>
      </c>
      <c r="AO20" s="792">
        <f t="shared" si="8"/>
        <v>0.28097560975609759</v>
      </c>
      <c r="AP20" s="792">
        <f t="shared" si="9"/>
        <v>6.2918996474220515E-2</v>
      </c>
      <c r="AQ20" s="76"/>
      <c r="AR20" s="76"/>
      <c r="AS20" s="76"/>
      <c r="AT20" s="76"/>
      <c r="AU20" s="76"/>
      <c r="AV20" s="76"/>
      <c r="AW20" s="76"/>
      <c r="AX20" s="76"/>
      <c r="AY20" s="76"/>
      <c r="AZ20" s="76"/>
    </row>
    <row r="21" spans="1:52" s="89" customFormat="1" ht="13.5" customHeight="1" x14ac:dyDescent="0.2">
      <c r="A21" s="462">
        <f>VLOOKUP(B21,Sheet1!$AQ$4:$AR$25,2,FALSE)</f>
        <v>0</v>
      </c>
      <c r="B21" s="95" t="str">
        <f>Sheet1!$K$15</f>
        <v>Reading</v>
      </c>
      <c r="C21" s="87"/>
      <c r="D21" s="96">
        <f>IF(Year1_Reading Year1_CIN_Section47="","",Year1_Reading Year1_CIN_Section47)</f>
        <v>579</v>
      </c>
      <c r="E21" s="96">
        <f>IF(Year2_Reading Year2_CIN_Section47="","",Year2_Reading Year2_CIN_Section47)</f>
        <v>973</v>
      </c>
      <c r="F21" s="96">
        <f>IF(Year3_Reading Year3_CIN_Section47="","",Year3_Reading Year3_CIN_Section47)</f>
        <v>1090</v>
      </c>
      <c r="G21" s="96">
        <f>IF(Year4_Reading Year4_CIN_Section47="","",Year4_Reading Year4_CIN_Section47)</f>
        <v>840</v>
      </c>
      <c r="H21" s="97">
        <f>IF(Year5_Reading Year5_CIN_Section47="","",Year5_Reading Year5_CIN_Section47)</f>
        <v>1031</v>
      </c>
      <c r="I21" s="337">
        <f t="shared" si="3"/>
        <v>0.19968835160787771</v>
      </c>
      <c r="J21" s="98"/>
      <c r="K21" s="99">
        <f>IF(ISNUMBER(D21),D21/Population!D21*10000,NA())</f>
        <v>161.28133704735376</v>
      </c>
      <c r="L21" s="99">
        <f>IF(ISNUMBER(E21),E21/Population!E21*10000,NA())</f>
        <v>267.30769230769232</v>
      </c>
      <c r="M21" s="99">
        <f>IF(ISNUMBER(F21),F21/Population!F21*10000,NA())</f>
        <v>297.8142076502732</v>
      </c>
      <c r="N21" s="99">
        <f>IF(ISNUMBER(G21),G21/Population!G21*10000,NA())</f>
        <v>226.41509433962261</v>
      </c>
      <c r="O21" s="100">
        <f>IF(ISNUMBER(H21),H21/Population!H21*10000,NA())</f>
        <v>277.89757412398922</v>
      </c>
      <c r="P21" s="101">
        <f t="shared" si="4"/>
        <v>277.89757412398922</v>
      </c>
      <c r="Q21" s="770">
        <f t="shared" si="0"/>
        <v>17</v>
      </c>
      <c r="R21" s="69"/>
      <c r="S21" s="333">
        <f>IDACI!C20</f>
        <v>16</v>
      </c>
      <c r="T21" s="334">
        <f t="shared" si="1"/>
        <v>167.61232387091405</v>
      </c>
      <c r="U21" s="335">
        <f t="shared" si="5"/>
        <v>110.28525025307516</v>
      </c>
      <c r="V21" s="124"/>
      <c r="W21" s="140"/>
      <c r="X21" s="149"/>
      <c r="Y21" s="71" t="str">
        <f t="shared" si="2"/>
        <v>Reading</v>
      </c>
      <c r="Z21" s="45">
        <f>IF(ISNUMBER($H21),IDACI!D20,0)</f>
        <v>33203</v>
      </c>
      <c r="AA21" s="45">
        <f>IF(ISNUMBER($H21),IDACI!E20,0)</f>
        <v>5312.4800000000005</v>
      </c>
      <c r="AB21" s="202">
        <f>IF(ISNUMBER(D21),Population!D21,"")</f>
        <v>35900</v>
      </c>
      <c r="AC21" s="202">
        <f>IF(ISNUMBER(E21),Population!E21,"")</f>
        <v>36400</v>
      </c>
      <c r="AD21" s="202">
        <f>IF(ISNUMBER(F21),Population!F21,"")</f>
        <v>36600</v>
      </c>
      <c r="AE21" s="202">
        <f>IF(ISNUMBER(G21),Population!G21,"")</f>
        <v>37100</v>
      </c>
      <c r="AF21" s="202">
        <f>IF(ISNUMBER(H21),Population!H21,"")</f>
        <v>37100</v>
      </c>
      <c r="AG21" s="95" t="s">
        <v>3</v>
      </c>
      <c r="AH21" s="225">
        <f t="shared" si="6"/>
        <v>277.89757412398922</v>
      </c>
      <c r="AI21" s="203">
        <f t="shared" si="7"/>
        <v>17</v>
      </c>
      <c r="AJ21" s="199"/>
      <c r="AK21" s="156"/>
      <c r="AL21" s="792">
        <f t="shared" si="8"/>
        <v>0.6804835924006909</v>
      </c>
      <c r="AM21" s="792">
        <f t="shared" si="8"/>
        <v>0.12024665981500514</v>
      </c>
      <c r="AN21" s="792">
        <f t="shared" si="8"/>
        <v>-0.22935779816513763</v>
      </c>
      <c r="AO21" s="792">
        <f t="shared" si="8"/>
        <v>0.22738095238095238</v>
      </c>
      <c r="AP21" s="792">
        <f t="shared" si="9"/>
        <v>0.19968835160787771</v>
      </c>
      <c r="AQ21" s="76"/>
      <c r="AR21" s="76"/>
      <c r="AS21" s="76"/>
      <c r="AT21" s="76"/>
      <c r="AU21" s="76"/>
      <c r="AV21" s="76"/>
      <c r="AW21" s="76"/>
      <c r="AX21" s="76"/>
      <c r="AY21" s="76"/>
      <c r="AZ21" s="76"/>
    </row>
    <row r="22" spans="1:52" s="89" customFormat="1" ht="13.5" customHeight="1" x14ac:dyDescent="0.2">
      <c r="A22" s="462">
        <f>VLOOKUP(B22,Sheet1!$AQ$4:$AR$25,2,FALSE)</f>
        <v>0</v>
      </c>
      <c r="B22" s="95" t="str">
        <f>Sheet1!$K$16</f>
        <v>Slough</v>
      </c>
      <c r="C22" s="87"/>
      <c r="D22" s="96">
        <f>IF(Year1_Slough Year1_CIN_Section47="","",Year1_Slough Year1_CIN_Section47)</f>
        <v>939</v>
      </c>
      <c r="E22" s="96">
        <f>IF(Year2_Slough Year2_CIN_Section47="","",Year2_Slough Year2_CIN_Section47)</f>
        <v>900</v>
      </c>
      <c r="F22" s="96">
        <f>IF(Year3_Slough Year3_CIN_Section47="","",Year3_Slough Year3_CIN_Section47)</f>
        <v>876</v>
      </c>
      <c r="G22" s="96">
        <f>IF(Year4_Slough Year4_CIN_Section47="","",Year4_Slough Year4_CIN_Section47)</f>
        <v>708</v>
      </c>
      <c r="H22" s="97">
        <f>IF(Year5_Slough Year5_CIN_Section47="","",Year5_Slough Year5_CIN_Section47)</f>
        <v>1064</v>
      </c>
      <c r="I22" s="337">
        <f t="shared" si="3"/>
        <v>6.0710955961677179E-2</v>
      </c>
      <c r="J22" s="98"/>
      <c r="K22" s="99">
        <f>IF(ISNUMBER(D22),D22/Population!D22*10000,NA())</f>
        <v>235.33834586466165</v>
      </c>
      <c r="L22" s="99">
        <f>IF(ISNUMBER(E22),E22/Population!E22*10000,NA())</f>
        <v>221.67487684729065</v>
      </c>
      <c r="M22" s="99">
        <f>IF(ISNUMBER(F22),F22/Population!F22*10000,NA())</f>
        <v>211.59420289855072</v>
      </c>
      <c r="N22" s="99">
        <f>IF(ISNUMBER(G22),G22/Population!G22*10000,NA())</f>
        <v>167.77251184834122</v>
      </c>
      <c r="O22" s="100">
        <f>IF(ISNUMBER(H22),H22/Population!H22*10000,NA())</f>
        <v>249.18032786885249</v>
      </c>
      <c r="P22" s="101">
        <f t="shared" si="4"/>
        <v>249.18032786885249</v>
      </c>
      <c r="Q22" s="770">
        <f t="shared" si="0"/>
        <v>16</v>
      </c>
      <c r="R22" s="69"/>
      <c r="S22" s="333">
        <f>IDACI!C21</f>
        <v>14.7</v>
      </c>
      <c r="T22" s="334">
        <f t="shared" si="1"/>
        <v>157.53674364008165</v>
      </c>
      <c r="U22" s="335">
        <f t="shared" si="5"/>
        <v>91.643584228770834</v>
      </c>
      <c r="V22" s="124"/>
      <c r="W22" s="140"/>
      <c r="X22" s="149"/>
      <c r="Y22" s="71" t="str">
        <f t="shared" si="2"/>
        <v>Slough</v>
      </c>
      <c r="Z22" s="45">
        <f>IF(ISNUMBER($H22),IDACI!D21,0)</f>
        <v>37031</v>
      </c>
      <c r="AA22" s="45">
        <f>IF(ISNUMBER($H22),IDACI!E21,0)</f>
        <v>5443.5569999999998</v>
      </c>
      <c r="AB22" s="202">
        <f>IF(ISNUMBER(D22),Population!D22,"")</f>
        <v>39900</v>
      </c>
      <c r="AC22" s="202">
        <f>IF(ISNUMBER(E22),Population!E22,"")</f>
        <v>40600</v>
      </c>
      <c r="AD22" s="202">
        <f>IF(ISNUMBER(F22),Population!F22,"")</f>
        <v>41400</v>
      </c>
      <c r="AE22" s="202">
        <f>IF(ISNUMBER(G22),Population!G22,"")</f>
        <v>42200</v>
      </c>
      <c r="AF22" s="202">
        <f>IF(ISNUMBER(H22),Population!H22,"")</f>
        <v>42700</v>
      </c>
      <c r="AG22" s="95" t="s">
        <v>13</v>
      </c>
      <c r="AH22" s="225">
        <f t="shared" si="6"/>
        <v>249.18032786885249</v>
      </c>
      <c r="AI22" s="203">
        <f t="shared" si="7"/>
        <v>16</v>
      </c>
      <c r="AJ22" s="199"/>
      <c r="AK22" s="156"/>
      <c r="AL22" s="792">
        <f t="shared" si="8"/>
        <v>-4.1533546325878593E-2</v>
      </c>
      <c r="AM22" s="792">
        <f t="shared" si="8"/>
        <v>-2.6666666666666668E-2</v>
      </c>
      <c r="AN22" s="792">
        <f t="shared" si="8"/>
        <v>-0.19178082191780821</v>
      </c>
      <c r="AO22" s="792">
        <f t="shared" si="8"/>
        <v>0.50282485875706218</v>
      </c>
      <c r="AP22" s="792">
        <f t="shared" si="9"/>
        <v>6.0710955961677179E-2</v>
      </c>
      <c r="AQ22" s="76"/>
      <c r="AR22" s="76"/>
      <c r="AS22" s="76"/>
      <c r="AT22" s="76"/>
      <c r="AU22" s="76"/>
      <c r="AV22" s="76"/>
      <c r="AW22" s="76"/>
      <c r="AX22" s="76"/>
      <c r="AY22" s="76"/>
      <c r="AZ22" s="76"/>
    </row>
    <row r="23" spans="1:52" s="89" customFormat="1" ht="13.5" customHeight="1" x14ac:dyDescent="0.2">
      <c r="A23" s="462">
        <f>VLOOKUP(B23,Sheet1!$AQ$4:$AR$25,2,FALSE)</f>
        <v>0</v>
      </c>
      <c r="B23" s="95" t="str">
        <f>Sheet1!$K$17</f>
        <v>Somerset</v>
      </c>
      <c r="C23" s="87"/>
      <c r="D23" s="96">
        <f>IF(Year1_Somerset Year1_CIN_Section47="","",Year1_Somerset Year1_CIN_Section47)</f>
        <v>2041</v>
      </c>
      <c r="E23" s="96">
        <f>IF(Year2_Somerset Year2_CIN_Section47="","",Year2_Somerset Year2_CIN_Section47)</f>
        <v>1297</v>
      </c>
      <c r="F23" s="96">
        <f>IF(Year3_Somerset Year3_CIN_Section47="","",Year3_Somerset Year3_CIN_Section47)</f>
        <v>1577</v>
      </c>
      <c r="G23" s="96">
        <f>IF(Year4_Somerset Year4_CIN_Section47="","",Year4_Somerset Year4_CIN_Section47)</f>
        <v>1529</v>
      </c>
      <c r="H23" s="97">
        <f>IF(Year5_Somerset Year5_CIN_Section47="","",Year5_Somerset Year5_CIN_Section47)</f>
        <v>1221</v>
      </c>
      <c r="I23" s="337">
        <f t="shared" si="3"/>
        <v>-9.5130193657315607E-2</v>
      </c>
      <c r="J23" s="98"/>
      <c r="K23" s="99">
        <f>IF(ISNUMBER(D23),D23/Population!D23*10000,NA())</f>
        <v>187.41965105601469</v>
      </c>
      <c r="L23" s="99">
        <f>IF(ISNUMBER(E23),E23/Population!E23*10000,NA())</f>
        <v>118.77289377289378</v>
      </c>
      <c r="M23" s="99">
        <f>IF(ISNUMBER(F23),F23/Population!F23*10000,NA())</f>
        <v>143.75569735642662</v>
      </c>
      <c r="N23" s="99">
        <f>IF(ISNUMBER(G23),G23/Population!G23*10000,NA())</f>
        <v>138.87375113533153</v>
      </c>
      <c r="O23" s="100">
        <f>IF(ISNUMBER(H23),H23/Population!H23*10000,NA())</f>
        <v>110.29810298102981</v>
      </c>
      <c r="P23" s="101">
        <f t="shared" si="4"/>
        <v>110.29810298102981</v>
      </c>
      <c r="Q23" s="766" t="str">
        <f t="shared" si="0"/>
        <v>--</v>
      </c>
      <c r="R23" s="69"/>
      <c r="S23" s="333">
        <f>IDACI!C22</f>
        <v>13.600000000000001</v>
      </c>
      <c r="T23" s="334">
        <f t="shared" si="1"/>
        <v>149.01125267553118</v>
      </c>
      <c r="U23" s="335">
        <f t="shared" si="5"/>
        <v>-38.713149694501368</v>
      </c>
      <c r="V23" s="124"/>
      <c r="W23" s="140"/>
      <c r="X23" s="149"/>
      <c r="Y23" s="71" t="str">
        <f t="shared" si="2"/>
        <v>Somerset</v>
      </c>
      <c r="Z23" s="45">
        <f>IF(ISNUMBER($H23),IDACI!D22,0)</f>
        <v>95875</v>
      </c>
      <c r="AA23" s="45">
        <f>IF(ISNUMBER($H23),IDACI!E22,0)</f>
        <v>13039.000000000002</v>
      </c>
      <c r="AB23" s="202">
        <f>IF(ISNUMBER(D23),Population!D23,"")</f>
        <v>108900</v>
      </c>
      <c r="AC23" s="202">
        <f>IF(ISNUMBER(E23),Population!E23,"")</f>
        <v>109200</v>
      </c>
      <c r="AD23" s="202">
        <f>IF(ISNUMBER(F23),Population!F23,"")</f>
        <v>109700</v>
      </c>
      <c r="AE23" s="202">
        <f>IF(ISNUMBER(G23),Population!G23,"")</f>
        <v>110100</v>
      </c>
      <c r="AF23" s="202">
        <f>IF(ISNUMBER(H23),Population!H23,"")</f>
        <v>110700</v>
      </c>
      <c r="AG23" s="95" t="s">
        <v>14</v>
      </c>
      <c r="AH23" s="225">
        <f t="shared" si="6"/>
        <v>337.20472440944877</v>
      </c>
      <c r="AI23" s="203">
        <f t="shared" si="7"/>
        <v>19</v>
      </c>
      <c r="AJ23" s="199"/>
      <c r="AK23" s="156"/>
      <c r="AL23" s="792">
        <f t="shared" si="8"/>
        <v>-0.36452719255267024</v>
      </c>
      <c r="AM23" s="792">
        <f t="shared" si="8"/>
        <v>0.2158828064764842</v>
      </c>
      <c r="AN23" s="792">
        <f t="shared" si="8"/>
        <v>-3.0437539632213063E-2</v>
      </c>
      <c r="AO23" s="792">
        <f t="shared" si="8"/>
        <v>-0.20143884892086331</v>
      </c>
      <c r="AP23" s="792">
        <f t="shared" si="9"/>
        <v>-9.5130193657315607E-2</v>
      </c>
      <c r="AQ23" s="76"/>
      <c r="AR23" s="76"/>
      <c r="AS23" s="76"/>
      <c r="AT23" s="76"/>
      <c r="AU23" s="76"/>
      <c r="AV23" s="76"/>
      <c r="AW23" s="76"/>
      <c r="AX23" s="76"/>
      <c r="AY23" s="76"/>
      <c r="AZ23" s="76"/>
    </row>
    <row r="24" spans="1:52" s="89" customFormat="1" ht="13.5" customHeight="1" x14ac:dyDescent="0.2">
      <c r="A24" s="462">
        <f>VLOOKUP(B24,Sheet1!$AQ$4:$AR$25,2,FALSE)</f>
        <v>0</v>
      </c>
      <c r="B24" s="95" t="str">
        <f>Sheet1!$K$18</f>
        <v>Southampton</v>
      </c>
      <c r="C24" s="87"/>
      <c r="D24" s="96">
        <f>IF(Year1_Southampton Year1_CIN_Section47="","",Year1_Southampton Year1_CIN_Section47)</f>
        <v>2120</v>
      </c>
      <c r="E24" s="96">
        <f>IF(Year2_Southampton Year2_CIN_Section47="","",Year2_Southampton Year2_CIN_Section47)</f>
        <v>1888</v>
      </c>
      <c r="F24" s="96">
        <f>IF(Year3_Southampton Year3_CIN_Section47="","",Year3_Southampton Year3_CIN_Section47)</f>
        <v>1352</v>
      </c>
      <c r="G24" s="96">
        <f>IF(Year4_Southampton Year4_CIN_Section47="","",Year4_Southampton Year4_CIN_Section47)</f>
        <v>1692</v>
      </c>
      <c r="H24" s="97">
        <f>IF(Year5_Southampton Year5_CIN_Section47="","",Year5_Southampton Year5_CIN_Section47)</f>
        <v>1713</v>
      </c>
      <c r="I24" s="337">
        <f t="shared" si="3"/>
        <v>-3.2360407472584451E-2</v>
      </c>
      <c r="J24" s="98"/>
      <c r="K24" s="99">
        <f>IF(ISNUMBER(D24),D24/Population!D24*10000,NA())</f>
        <v>436.21399176954736</v>
      </c>
      <c r="L24" s="99">
        <f>IF(ISNUMBER(E24),E24/Population!E24*10000,NA())</f>
        <v>383.73983739837399</v>
      </c>
      <c r="M24" s="99">
        <f>IF(ISNUMBER(F24),F24/Population!F24*10000,NA())</f>
        <v>270.9418837675351</v>
      </c>
      <c r="N24" s="99">
        <f>IF(ISNUMBER(G24),G24/Population!G24*10000,NA())</f>
        <v>336.38170974155071</v>
      </c>
      <c r="O24" s="100">
        <f>IF(ISNUMBER(H24),H24/Population!H24*10000,NA())</f>
        <v>337.20472440944877</v>
      </c>
      <c r="P24" s="101">
        <f t="shared" si="4"/>
        <v>337.20472440944877</v>
      </c>
      <c r="Q24" s="770">
        <f t="shared" si="0"/>
        <v>19</v>
      </c>
      <c r="R24" s="69"/>
      <c r="S24" s="333">
        <f>IDACI!C23</f>
        <v>20.5</v>
      </c>
      <c r="T24" s="334">
        <f t="shared" si="1"/>
        <v>202.48933236225693</v>
      </c>
      <c r="U24" s="335">
        <f t="shared" si="5"/>
        <v>134.71539204719184</v>
      </c>
      <c r="V24" s="124"/>
      <c r="W24" s="140"/>
      <c r="X24" s="149"/>
      <c r="Y24" s="71" t="str">
        <f t="shared" si="2"/>
        <v>Southampton</v>
      </c>
      <c r="Z24" s="45">
        <f>IF(ISNUMBER($H24),IDACI!D23,0)</f>
        <v>44295</v>
      </c>
      <c r="AA24" s="45">
        <f>IF(ISNUMBER($H24),IDACI!E23,0)</f>
        <v>9080.4750000000004</v>
      </c>
      <c r="AB24" s="202">
        <f>IF(ISNUMBER(D24),Population!D24,"")</f>
        <v>48600</v>
      </c>
      <c r="AC24" s="202">
        <f>IF(ISNUMBER(E24),Population!E24,"")</f>
        <v>49200</v>
      </c>
      <c r="AD24" s="202">
        <f>IF(ISNUMBER(F24),Population!F24,"")</f>
        <v>49900</v>
      </c>
      <c r="AE24" s="202">
        <f>IF(ISNUMBER(G24),Population!G24,"")</f>
        <v>50300</v>
      </c>
      <c r="AF24" s="202">
        <f>IF(ISNUMBER(H24),Population!H24,"")</f>
        <v>50800</v>
      </c>
      <c r="AG24" s="95" t="s">
        <v>7</v>
      </c>
      <c r="AH24" s="225">
        <f t="shared" si="6"/>
        <v>158.03741886216113</v>
      </c>
      <c r="AI24" s="203">
        <f t="shared" si="7"/>
        <v>8</v>
      </c>
      <c r="AJ24" s="199"/>
      <c r="AK24" s="156"/>
      <c r="AL24" s="792">
        <f t="shared" si="8"/>
        <v>-0.10943396226415095</v>
      </c>
      <c r="AM24" s="792">
        <f t="shared" si="8"/>
        <v>-0.28389830508474578</v>
      </c>
      <c r="AN24" s="792">
        <f t="shared" si="8"/>
        <v>0.25147928994082841</v>
      </c>
      <c r="AO24" s="792">
        <f t="shared" si="8"/>
        <v>1.2411347517730497E-2</v>
      </c>
      <c r="AP24" s="792">
        <f t="shared" si="9"/>
        <v>-3.2360407472584451E-2</v>
      </c>
      <c r="AQ24" s="76"/>
      <c r="AR24" s="76"/>
      <c r="AS24" s="76"/>
      <c r="AT24" s="76"/>
      <c r="AU24" s="76"/>
      <c r="AV24" s="76"/>
      <c r="AW24" s="76"/>
      <c r="AX24" s="76"/>
      <c r="AY24" s="76"/>
      <c r="AZ24" s="76"/>
    </row>
    <row r="25" spans="1:52" s="89" customFormat="1" ht="13.5" customHeight="1" x14ac:dyDescent="0.2">
      <c r="A25" s="462">
        <f>VLOOKUP(B25,Sheet1!$AQ$4:$AR$25,2,FALSE)</f>
        <v>0</v>
      </c>
      <c r="B25" s="95" t="str">
        <f>Sheet1!$K$19</f>
        <v>Surrey</v>
      </c>
      <c r="C25" s="87"/>
      <c r="D25" s="96">
        <f>IF(Year1_Surrey Year1_CIN_Section47="","",Year1_Surrey Year1_CIN_Section47)</f>
        <v>3248</v>
      </c>
      <c r="E25" s="96">
        <f>IF(Year2_Surrey Year2_CIN_Section47="","",Year2_Surrey Year2_CIN_Section47)</f>
        <v>4489</v>
      </c>
      <c r="F25" s="96">
        <f>IF(Year3_Surrey Year3_CIN_Section47="","",Year3_Surrey Year3_CIN_Section47)</f>
        <v>4268</v>
      </c>
      <c r="G25" s="96">
        <f>IF(Year4_Surrey Year4_CIN_Section47="","",Year4_Surrey Year4_CIN_Section47)</f>
        <v>4165</v>
      </c>
      <c r="H25" s="97">
        <f>IF(Year5_Surrey Year5_CIN_Section47="","",Year5_Surrey Year5_CIN_Section47)</f>
        <v>4139</v>
      </c>
      <c r="I25" s="337">
        <f t="shared" si="3"/>
        <v>7.5618561427745035E-2</v>
      </c>
      <c r="J25" s="98"/>
      <c r="K25" s="99">
        <f>IF(ISNUMBER(D25),D25/Population!D25*10000,NA())</f>
        <v>127.57266300078554</v>
      </c>
      <c r="L25" s="99">
        <f>IF(ISNUMBER(E25),E25/Population!E25*10000,NA())</f>
        <v>175.07800312012478</v>
      </c>
      <c r="M25" s="99">
        <f>IF(ISNUMBER(F25),F25/Population!F25*10000,NA())</f>
        <v>164.78764478764478</v>
      </c>
      <c r="N25" s="99">
        <f>IF(ISNUMBER(G25),G25/Population!G25*10000,NA())</f>
        <v>160.00768344218207</v>
      </c>
      <c r="O25" s="100">
        <f>IF(ISNUMBER(H25),H25/Population!H25*10000,NA())</f>
        <v>158.03741886216113</v>
      </c>
      <c r="P25" s="101">
        <f t="shared" si="4"/>
        <v>158.03741886216113</v>
      </c>
      <c r="Q25" s="770">
        <f t="shared" si="0"/>
        <v>8</v>
      </c>
      <c r="R25" s="69"/>
      <c r="S25" s="333">
        <f>IDACI!C24</f>
        <v>8.3000000000000007</v>
      </c>
      <c r="T25" s="334">
        <f t="shared" si="1"/>
        <v>107.93388711906067</v>
      </c>
      <c r="U25" s="335">
        <f t="shared" si="5"/>
        <v>50.103531743100461</v>
      </c>
      <c r="V25" s="124"/>
      <c r="W25" s="140"/>
      <c r="X25" s="149"/>
      <c r="Y25" s="71" t="str">
        <f t="shared" si="2"/>
        <v>Surrey</v>
      </c>
      <c r="Z25" s="45">
        <f>IF(ISNUMBER($H25),IDACI!D24,0)</f>
        <v>228466</v>
      </c>
      <c r="AA25" s="45">
        <f>IF(ISNUMBER($H25),IDACI!E24,0)</f>
        <v>18962.678</v>
      </c>
      <c r="AB25" s="202">
        <f>IF(ISNUMBER(D25),Population!D25,"")</f>
        <v>254600</v>
      </c>
      <c r="AC25" s="202">
        <f>IF(ISNUMBER(E25),Population!E25,"")</f>
        <v>256400</v>
      </c>
      <c r="AD25" s="202">
        <f>IF(ISNUMBER(F25),Population!F25,"")</f>
        <v>259000</v>
      </c>
      <c r="AE25" s="202">
        <f>IF(ISNUMBER(G25),Population!G25,"")</f>
        <v>260300</v>
      </c>
      <c r="AF25" s="202">
        <f>IF(ISNUMBER(H25),Population!H25,"")</f>
        <v>261900</v>
      </c>
      <c r="AG25" s="95" t="s">
        <v>15</v>
      </c>
      <c r="AH25" s="225">
        <f t="shared" si="6"/>
        <v>156.17977528089887</v>
      </c>
      <c r="AI25" s="203">
        <f t="shared" si="7"/>
        <v>7</v>
      </c>
      <c r="AJ25" s="199"/>
      <c r="AK25" s="156"/>
      <c r="AL25" s="792">
        <f t="shared" si="8"/>
        <v>0.38208128078817732</v>
      </c>
      <c r="AM25" s="792">
        <f t="shared" si="8"/>
        <v>-4.9231454666963687E-2</v>
      </c>
      <c r="AN25" s="792">
        <f t="shared" si="8"/>
        <v>-2.4133083411433928E-2</v>
      </c>
      <c r="AO25" s="792">
        <f t="shared" si="8"/>
        <v>-6.2424969987995198E-3</v>
      </c>
      <c r="AP25" s="792">
        <f t="shared" si="9"/>
        <v>7.5618561427745035E-2</v>
      </c>
      <c r="AQ25" s="76"/>
      <c r="AR25" s="76"/>
      <c r="AS25" s="76"/>
      <c r="AT25" s="76"/>
      <c r="AU25" s="76"/>
      <c r="AV25" s="76"/>
      <c r="AW25" s="76"/>
      <c r="AX25" s="76"/>
      <c r="AY25" s="76"/>
      <c r="AZ25" s="76"/>
    </row>
    <row r="26" spans="1:52" s="89" customFormat="1" ht="13.5" customHeight="1" x14ac:dyDescent="0.2">
      <c r="A26" s="462">
        <f>VLOOKUP(B26,Sheet1!$AQ$4:$AR$25,2,FALSE)</f>
        <v>0</v>
      </c>
      <c r="B26" s="95" t="str">
        <f>Sheet1!$K$20</f>
        <v>Swindon</v>
      </c>
      <c r="C26" s="87"/>
      <c r="D26" s="96">
        <f>IF(Year1_Swindon Year1_CIN_Section47="","",Year1_Swindon Year1_CIN_Section47)</f>
        <v>581</v>
      </c>
      <c r="E26" s="96">
        <f>IF(Year2_Swindon Year2_CIN_Section47="","",Year2_Swindon Year2_CIN_Section47)</f>
        <v>766</v>
      </c>
      <c r="F26" s="96">
        <f>IF(Year3_Swindon Year3_CIN_Section47="","",Year3_Swindon Year3_CIN_Section47)</f>
        <v>918</v>
      </c>
      <c r="G26" s="96">
        <f>IF(Year4_Swindon Year4_CIN_Section47="","",Year4_Swindon Year4_CIN_Section47)</f>
        <v>1014</v>
      </c>
      <c r="H26" s="97">
        <f>IF(Year5_Swindon Year5_CIN_Section47="","",Year5_Swindon Year5_CIN_Section47)</f>
        <v>1058</v>
      </c>
      <c r="I26" s="337">
        <f t="shared" si="3"/>
        <v>0.16620440298274872</v>
      </c>
      <c r="J26" s="98"/>
      <c r="K26" s="99">
        <f>IF(ISNUMBER(D26),D26/Population!D26*10000,NA())</f>
        <v>119.54732510288066</v>
      </c>
      <c r="L26" s="99">
        <f>IF(ISNUMBER(E26),E26/Population!E26*10000,NA())</f>
        <v>156.32653061224491</v>
      </c>
      <c r="M26" s="99">
        <f>IF(ISNUMBER(F26),F26/Population!F26*10000,NA())</f>
        <v>185.45454545454547</v>
      </c>
      <c r="N26" s="99">
        <f>IF(ISNUMBER(G26),G26/Population!G26*10000,NA())</f>
        <v>203.20641282565131</v>
      </c>
      <c r="O26" s="100">
        <f>IF(ISNUMBER(H26),H26/Population!H26*10000,NA())</f>
        <v>210.75697211155378</v>
      </c>
      <c r="P26" s="101">
        <f t="shared" si="4"/>
        <v>210.75697211155378</v>
      </c>
      <c r="Q26" s="766" t="str">
        <f t="shared" si="0"/>
        <v>--</v>
      </c>
      <c r="R26" s="69"/>
      <c r="S26" s="333">
        <f>IDACI!C25</f>
        <v>14.899999999999999</v>
      </c>
      <c r="T26" s="334">
        <f t="shared" si="1"/>
        <v>159.08683290636355</v>
      </c>
      <c r="U26" s="335">
        <f t="shared" si="5"/>
        <v>51.670139205190225</v>
      </c>
      <c r="V26" s="124"/>
      <c r="W26" s="140"/>
      <c r="X26" s="149"/>
      <c r="Y26" s="71" t="str">
        <f t="shared" si="2"/>
        <v>Swindon</v>
      </c>
      <c r="Z26" s="45">
        <f>IF(ISNUMBER($H26),IDACI!D25,0)</f>
        <v>43899</v>
      </c>
      <c r="AA26" s="45">
        <f>IF(ISNUMBER($H26),IDACI!E25,0)</f>
        <v>6540.951</v>
      </c>
      <c r="AB26" s="202">
        <f>IF(ISNUMBER(D26),Population!D26,"")</f>
        <v>48600</v>
      </c>
      <c r="AC26" s="202">
        <f>IF(ISNUMBER(E26),Population!E26,"")</f>
        <v>49000</v>
      </c>
      <c r="AD26" s="202">
        <f>IF(ISNUMBER(F26),Population!F26,"")</f>
        <v>49500</v>
      </c>
      <c r="AE26" s="202">
        <f>IF(ISNUMBER(G26),Population!G26,"")</f>
        <v>49900</v>
      </c>
      <c r="AF26" s="202">
        <f>IF(ISNUMBER(H26),Population!H26,"")</f>
        <v>50200</v>
      </c>
      <c r="AG26" s="95" t="s">
        <v>5</v>
      </c>
      <c r="AH26" s="225">
        <f t="shared" si="6"/>
        <v>165.65540927303948</v>
      </c>
      <c r="AI26" s="203">
        <f t="shared" si="7"/>
        <v>9</v>
      </c>
      <c r="AJ26" s="199"/>
      <c r="AK26" s="156"/>
      <c r="AL26" s="792">
        <f t="shared" si="8"/>
        <v>0.31841652323580033</v>
      </c>
      <c r="AM26" s="792">
        <f t="shared" si="8"/>
        <v>0.19843342036553524</v>
      </c>
      <c r="AN26" s="792">
        <f t="shared" si="8"/>
        <v>0.10457516339869281</v>
      </c>
      <c r="AO26" s="792">
        <f t="shared" si="8"/>
        <v>4.3392504930966469E-2</v>
      </c>
      <c r="AP26" s="792">
        <f t="shared" si="9"/>
        <v>0.16620440298274872</v>
      </c>
      <c r="AQ26" s="76"/>
      <c r="AR26" s="76"/>
      <c r="AS26" s="76"/>
      <c r="AT26" s="76"/>
      <c r="AU26" s="76"/>
      <c r="AV26" s="76"/>
      <c r="AW26" s="76"/>
      <c r="AX26" s="76"/>
      <c r="AY26" s="76"/>
      <c r="AZ26" s="76"/>
    </row>
    <row r="27" spans="1:52" s="89" customFormat="1" ht="13.5" customHeight="1" x14ac:dyDescent="0.2">
      <c r="A27" s="462">
        <f>VLOOKUP(B27,Sheet1!$AQ$4:$AR$25,2,FALSE)</f>
        <v>0</v>
      </c>
      <c r="B27" s="95" t="str">
        <f>Sheet1!$K$21</f>
        <v>Torbay</v>
      </c>
      <c r="C27" s="87"/>
      <c r="D27" s="96">
        <f>IF(Year1_Torbay Year1_CIN_Section47="","",Year1_Torbay Year1_CIN_Section47)</f>
        <v>689</v>
      </c>
      <c r="E27" s="96">
        <f>IF(Year2_Torbay Year2_CIN_Section47="","",Year2_Torbay Year2_CIN_Section47)</f>
        <v>789</v>
      </c>
      <c r="F27" s="96">
        <f>IF(Year3_Torbay Year3_CIN_Section47="","",Year3_Torbay Year3_CIN_Section47)</f>
        <v>760</v>
      </c>
      <c r="G27" s="96">
        <f>IF(Year4_Torbay Year4_CIN_Section47="","",Year4_Torbay Year4_CIN_Section47)</f>
        <v>692</v>
      </c>
      <c r="H27" s="97">
        <f>IF(Year5_Torbay Year5_CIN_Section47="","",Year5_Torbay Year5_CIN_Section47)</f>
        <v>776</v>
      </c>
      <c r="I27" s="337">
        <f t="shared" si="3"/>
        <v>3.5074023362033246E-2</v>
      </c>
      <c r="J27" s="98"/>
      <c r="K27" s="99">
        <f>IF(ISNUMBER(D27),D27/Population!D27*10000,NA())</f>
        <v>274.50199203187248</v>
      </c>
      <c r="L27" s="99">
        <f>IF(ISNUMBER(E27),E27/Population!E27*10000,NA())</f>
        <v>313.09523809523807</v>
      </c>
      <c r="M27" s="99">
        <f>IF(ISNUMBER(F27),F27/Population!F27*10000,NA())</f>
        <v>299.21259842519686</v>
      </c>
      <c r="N27" s="99">
        <f>IF(ISNUMBER(G27),G27/Population!G27*10000,NA())</f>
        <v>272.44094488188978</v>
      </c>
      <c r="O27" s="100">
        <f>IF(ISNUMBER(H27),H27/Population!H27*10000,NA())</f>
        <v>305.51181102362204</v>
      </c>
      <c r="P27" s="101">
        <f t="shared" si="4"/>
        <v>305.51181102362204</v>
      </c>
      <c r="Q27" s="766" t="str">
        <f t="shared" si="0"/>
        <v>--</v>
      </c>
      <c r="R27" s="69"/>
      <c r="S27" s="333">
        <f>IDACI!C26</f>
        <v>21.9</v>
      </c>
      <c r="T27" s="334">
        <f t="shared" si="1"/>
        <v>213.33995722623027</v>
      </c>
      <c r="U27" s="335">
        <f t="shared" si="5"/>
        <v>92.171853797391776</v>
      </c>
      <c r="V27" s="124"/>
      <c r="W27" s="140"/>
      <c r="X27" s="149"/>
      <c r="Y27" s="71" t="str">
        <f t="shared" si="2"/>
        <v>Torbay</v>
      </c>
      <c r="Z27" s="45">
        <f>IF(ISNUMBER($H27),IDACI!D26,0)</f>
        <v>22257</v>
      </c>
      <c r="AA27" s="45">
        <f>IF(ISNUMBER($H27),IDACI!E26,0)</f>
        <v>4874.2829999999994</v>
      </c>
      <c r="AB27" s="202">
        <f>IF(ISNUMBER(D27),Population!D27,"")</f>
        <v>25100</v>
      </c>
      <c r="AC27" s="202">
        <f>IF(ISNUMBER(E27),Population!E27,"")</f>
        <v>25200</v>
      </c>
      <c r="AD27" s="202">
        <f>IF(ISNUMBER(F27),Population!F27,"")</f>
        <v>25400</v>
      </c>
      <c r="AE27" s="202">
        <f>IF(ISNUMBER(G27),Population!G27,"")</f>
        <v>25400</v>
      </c>
      <c r="AF27" s="202">
        <f>IF(ISNUMBER(H27),Population!H27,"")</f>
        <v>25400</v>
      </c>
      <c r="AG27" s="95" t="s">
        <v>30</v>
      </c>
      <c r="AH27" s="225">
        <f t="shared" si="6"/>
        <v>150.86705202312137</v>
      </c>
      <c r="AI27" s="203">
        <f t="shared" si="7"/>
        <v>4</v>
      </c>
      <c r="AJ27" s="199"/>
      <c r="AK27" s="156"/>
      <c r="AL27" s="792">
        <f t="shared" si="8"/>
        <v>0.14513788098693758</v>
      </c>
      <c r="AM27" s="792">
        <f t="shared" si="8"/>
        <v>-3.6755386565272496E-2</v>
      </c>
      <c r="AN27" s="792">
        <f t="shared" si="8"/>
        <v>-8.9473684210526316E-2</v>
      </c>
      <c r="AO27" s="792">
        <f t="shared" si="8"/>
        <v>0.12138728323699421</v>
      </c>
      <c r="AP27" s="792">
        <f t="shared" si="9"/>
        <v>3.5074023362033246E-2</v>
      </c>
      <c r="AQ27" s="76"/>
      <c r="AR27" s="76"/>
      <c r="AS27" s="76"/>
      <c r="AT27" s="76"/>
      <c r="AU27" s="76"/>
      <c r="AV27" s="76"/>
      <c r="AW27" s="76"/>
      <c r="AX27" s="76"/>
      <c r="AY27" s="76"/>
      <c r="AZ27" s="76"/>
    </row>
    <row r="28" spans="1:52" s="89" customFormat="1" ht="13.5" customHeight="1" x14ac:dyDescent="0.2">
      <c r="A28" s="462">
        <f>VLOOKUP(B28,Sheet1!$AQ$4:$AR$25,2,FALSE)</f>
        <v>0</v>
      </c>
      <c r="B28" s="95" t="str">
        <f>Sheet1!$K$22</f>
        <v>West Berkshire</v>
      </c>
      <c r="C28" s="87"/>
      <c r="D28" s="96">
        <f>IF(Year1_West_Berkshire Year1_CIN_Section47="","",Year1_West_Berkshire Year1_CIN_Section47)</f>
        <v>496</v>
      </c>
      <c r="E28" s="102">
        <f>IF(Year2_West_Berkshire Year2_CIN_Section47="","",Year2_West_Berkshire Year2_CIN_Section47)</f>
        <v>644</v>
      </c>
      <c r="F28" s="96">
        <f>IF(Year3_West_Berkshire Year3_CIN_Section47="","",Year3_West_Berkshire Year3_CIN_Section47)</f>
        <v>553</v>
      </c>
      <c r="G28" s="96">
        <f>IF(Year4_West_Berkshire Year4_CIN_Section47="","",Year4_West_Berkshire Year4_CIN_Section47)</f>
        <v>621</v>
      </c>
      <c r="H28" s="97">
        <f>IF(Year5_West_Berkshire Year5_CIN_Section47="","",Year5_West_Berkshire Year5_CIN_Section47)</f>
        <v>556</v>
      </c>
      <c r="I28" s="337">
        <f t="shared" si="3"/>
        <v>4.3844625905626849E-2</v>
      </c>
      <c r="J28" s="98"/>
      <c r="K28" s="99">
        <f>IF(ISNUMBER(D28),D28/Population!D28*10000,NA())</f>
        <v>139.32584269662922</v>
      </c>
      <c r="L28" s="99">
        <f>IF(ISNUMBER(E28),E28/Population!E28*10000,NA())</f>
        <v>180.39215686274511</v>
      </c>
      <c r="M28" s="99">
        <f>IF(ISNUMBER(F28),F28/Population!F28*10000,NA())</f>
        <v>154.03899721448468</v>
      </c>
      <c r="N28" s="99">
        <f>IF(ISNUMBER(G28),G28/Population!G28*10000,NA())</f>
        <v>173.46368715083798</v>
      </c>
      <c r="O28" s="100">
        <f>IF(ISNUMBER(H28),H28/Population!H28*10000,NA())</f>
        <v>156.17977528089887</v>
      </c>
      <c r="P28" s="101">
        <f t="shared" si="4"/>
        <v>156.17977528089887</v>
      </c>
      <c r="Q28" s="770">
        <f t="shared" si="0"/>
        <v>7</v>
      </c>
      <c r="R28" s="69"/>
      <c r="S28" s="333">
        <f>IDACI!C27</f>
        <v>8.6999999999999993</v>
      </c>
      <c r="T28" s="334">
        <f t="shared" si="1"/>
        <v>111.03406565162447</v>
      </c>
      <c r="U28" s="335">
        <f t="shared" si="5"/>
        <v>45.145709629274393</v>
      </c>
      <c r="V28" s="124"/>
      <c r="W28" s="140"/>
      <c r="X28" s="149"/>
      <c r="Y28" s="71" t="str">
        <f t="shared" si="2"/>
        <v>West Berkshire</v>
      </c>
      <c r="Z28" s="45">
        <f>IF(ISNUMBER($H28),IDACI!D27,0)</f>
        <v>31625</v>
      </c>
      <c r="AA28" s="45">
        <f>IF(ISNUMBER($H28),IDACI!E27,0)</f>
        <v>2751.375</v>
      </c>
      <c r="AB28" s="202">
        <f>IF(ISNUMBER(D28),Population!D28,"")</f>
        <v>35600</v>
      </c>
      <c r="AC28" s="202">
        <f>IF(ISNUMBER(E28),Population!E28,"")</f>
        <v>35700</v>
      </c>
      <c r="AD28" s="202">
        <f>IF(ISNUMBER(F28),Population!F28,"")</f>
        <v>35900</v>
      </c>
      <c r="AE28" s="202">
        <f>IF(ISNUMBER(G28),Population!G28,"")</f>
        <v>35800</v>
      </c>
      <c r="AF28" s="202">
        <f>IF(ISNUMBER(H28),Population!H28,"")</f>
        <v>35600</v>
      </c>
      <c r="AG28" s="95" t="s">
        <v>16</v>
      </c>
      <c r="AH28" s="225">
        <f t="shared" si="6"/>
        <v>165.82278481012659</v>
      </c>
      <c r="AI28" s="203">
        <f t="shared" si="7"/>
        <v>10</v>
      </c>
      <c r="AJ28" s="199"/>
      <c r="AK28" s="156"/>
      <c r="AL28" s="792">
        <f t="shared" si="8"/>
        <v>0.29838709677419356</v>
      </c>
      <c r="AM28" s="792">
        <f t="shared" si="8"/>
        <v>-0.14130434782608695</v>
      </c>
      <c r="AN28" s="792">
        <f t="shared" si="8"/>
        <v>0.12296564195298372</v>
      </c>
      <c r="AO28" s="792">
        <f t="shared" si="8"/>
        <v>-0.10466988727858294</v>
      </c>
      <c r="AP28" s="792">
        <f t="shared" si="9"/>
        <v>4.3844625905626849E-2</v>
      </c>
      <c r="AQ28" s="76"/>
      <c r="AR28" s="76"/>
      <c r="AS28" s="76"/>
      <c r="AT28" s="76"/>
      <c r="AU28" s="76"/>
      <c r="AV28" s="76"/>
      <c r="AW28" s="76"/>
      <c r="AX28" s="76"/>
      <c r="AY28" s="76"/>
      <c r="AZ28" s="76"/>
    </row>
    <row r="29" spans="1:52" s="89" customFormat="1" ht="13.5" customHeight="1" x14ac:dyDescent="0.2">
      <c r="A29" s="462">
        <f>VLOOKUP(B29,Sheet1!$AQ$4:$AR$25,2,FALSE)</f>
        <v>0</v>
      </c>
      <c r="B29" s="95" t="str">
        <f>Sheet1!$K$23</f>
        <v>West Sussex</v>
      </c>
      <c r="C29" s="87"/>
      <c r="D29" s="96">
        <f>IF(Year1_West_Sussex Year1_CIN_Section47="","",Year1_West_Sussex Year1_CIN_Section47)</f>
        <v>1978</v>
      </c>
      <c r="E29" s="102">
        <f>IF(Year2_West_Sussex Year2_CIN_Section47="","",Year2_West_Sussex Year2_CIN_Section47)</f>
        <v>1805</v>
      </c>
      <c r="F29" s="96">
        <f>IF(Year3_West_Sussex Year3_CIN_Section47="","",Year3_West_Sussex Year3_CIN_Section47)</f>
        <v>2169</v>
      </c>
      <c r="G29" s="96">
        <f>IF(Year4_West_Sussex Year4_CIN_Section47="","",Year4_West_Sussex Year4_CIN_Section47)</f>
        <v>3003</v>
      </c>
      <c r="H29" s="97">
        <f>IF(Year5_West_Sussex Year5_CIN_Section47="","",Year5_West_Sussex Year5_CIN_Section47)</f>
        <v>2894</v>
      </c>
      <c r="I29" s="337">
        <f t="shared" si="3"/>
        <v>0.11560298024263654</v>
      </c>
      <c r="J29" s="98"/>
      <c r="K29" s="99">
        <f>IF(ISNUMBER(D29),D29/Population!D29*10000,NA())</f>
        <v>117.18009478672987</v>
      </c>
      <c r="L29" s="99">
        <f>IF(ISNUMBER(E29),E29/Population!E29*10000,NA())</f>
        <v>105.92723004694835</v>
      </c>
      <c r="M29" s="99">
        <f>IF(ISNUMBER(F29),F29/Population!F29*10000,NA())</f>
        <v>126.25145518044236</v>
      </c>
      <c r="N29" s="99">
        <f>IF(ISNUMBER(G29),G29/Population!G29*10000,NA())</f>
        <v>173.28332371609926</v>
      </c>
      <c r="O29" s="100">
        <f>IF(ISNUMBER(H29),H29/Population!H29*10000,NA())</f>
        <v>165.65540927303948</v>
      </c>
      <c r="P29" s="101">
        <f t="shared" si="4"/>
        <v>165.65540927303948</v>
      </c>
      <c r="Q29" s="770">
        <f t="shared" si="0"/>
        <v>9</v>
      </c>
      <c r="R29" s="69"/>
      <c r="S29" s="333">
        <f>IDACI!C28</f>
        <v>11</v>
      </c>
      <c r="T29" s="334">
        <f t="shared" si="1"/>
        <v>128.86009221386638</v>
      </c>
      <c r="U29" s="335">
        <f t="shared" si="5"/>
        <v>36.795317059173101</v>
      </c>
      <c r="V29" s="124"/>
      <c r="W29" s="140"/>
      <c r="X29" s="149"/>
      <c r="Y29" s="71" t="str">
        <f t="shared" si="2"/>
        <v>West Sussex</v>
      </c>
      <c r="Z29" s="45">
        <f>IF(ISNUMBER($H29),IDACI!D28,0)</f>
        <v>151487</v>
      </c>
      <c r="AA29" s="45">
        <f>IF(ISNUMBER($H29),IDACI!E28,0)</f>
        <v>16663.57</v>
      </c>
      <c r="AB29" s="202">
        <f>IF(ISNUMBER(D29),Population!D29,"")</f>
        <v>168800</v>
      </c>
      <c r="AC29" s="202">
        <f>IF(ISNUMBER(E29),Population!E29,"")</f>
        <v>170400</v>
      </c>
      <c r="AD29" s="202">
        <f>IF(ISNUMBER(F29),Population!F29,"")</f>
        <v>171800</v>
      </c>
      <c r="AE29" s="202">
        <f>IF(ISNUMBER(G29),Population!G29,"")</f>
        <v>173300</v>
      </c>
      <c r="AF29" s="202">
        <f>IF(ISNUMBER(H29),Population!H29,"")</f>
        <v>174700</v>
      </c>
      <c r="AG29" s="199"/>
      <c r="AH29" s="199"/>
      <c r="AI29" s="185"/>
      <c r="AJ29" s="199"/>
      <c r="AK29" s="156"/>
      <c r="AL29" s="792">
        <f t="shared" si="8"/>
        <v>-8.7462082912032363E-2</v>
      </c>
      <c r="AM29" s="792">
        <f t="shared" si="8"/>
        <v>0.20166204986149586</v>
      </c>
      <c r="AN29" s="792">
        <f t="shared" si="8"/>
        <v>0.38450899031811897</v>
      </c>
      <c r="AO29" s="792">
        <f t="shared" si="8"/>
        <v>-3.6297036297036296E-2</v>
      </c>
      <c r="AP29" s="792">
        <f t="shared" si="9"/>
        <v>0.11560298024263654</v>
      </c>
      <c r="AQ29" s="76"/>
      <c r="AR29" s="76"/>
      <c r="AS29" s="76"/>
      <c r="AT29" s="76"/>
      <c r="AU29" s="76"/>
      <c r="AV29" s="76"/>
      <c r="AW29" s="76"/>
      <c r="AX29" s="76"/>
      <c r="AY29" s="76"/>
      <c r="AZ29" s="76"/>
    </row>
    <row r="30" spans="1:52" s="89" customFormat="1" ht="13.5" customHeight="1" x14ac:dyDescent="0.2">
      <c r="A30" s="462">
        <f>VLOOKUP(B30,Sheet1!$AQ$4:$AR$25,2,FALSE)</f>
        <v>0</v>
      </c>
      <c r="B30" s="95" t="str">
        <f>Sheet1!$K$24</f>
        <v>Windsor &amp; Maidenhead</v>
      </c>
      <c r="C30" s="87"/>
      <c r="D30" s="102">
        <f>IF(Year1_Windsor_Maidenhead Year1_CIN_Section47="","",Year1_Windsor_Maidenhead Year1_CIN_Section47)</f>
        <v>325</v>
      </c>
      <c r="E30" s="96">
        <f>IF(Year2_Windsor_Maidenhead Year2_CIN_Section47="","",Year2_Windsor_Maidenhead Year2_CIN_Section47)</f>
        <v>437</v>
      </c>
      <c r="F30" s="96">
        <f>IF(Year3_Windsor_Maidenhead Year3_CIN_Section47="","",Year3_Windsor_Maidenhead Year3_CIN_Section47)</f>
        <v>457</v>
      </c>
      <c r="G30" s="96">
        <f>IF(Year4_Windsor_Maidenhead Year4_CIN_Section47="","",Year4_Windsor_Maidenhead Year4_CIN_Section47)</f>
        <v>350</v>
      </c>
      <c r="H30" s="97">
        <f>IF(Year5_Windsor_Maidenhead Year5_CIN_Section47="","",Year5_Windsor_Maidenhead Year5_CIN_Section47)</f>
        <v>522</v>
      </c>
      <c r="I30" s="337">
        <f t="shared" si="3"/>
        <v>0.1619187197592277</v>
      </c>
      <c r="J30" s="98"/>
      <c r="K30" s="99">
        <f>IF(ISNUMBER(D30),D30/Population!D30*10000,NA())</f>
        <v>97.305389221556894</v>
      </c>
      <c r="L30" s="99">
        <f>IF(ISNUMBER(E30),E30/Population!E30*10000,NA())</f>
        <v>129.67359050445106</v>
      </c>
      <c r="M30" s="99">
        <f>IF(ISNUMBER(F30),F30/Population!F30*10000,NA())</f>
        <v>133.62573099415204</v>
      </c>
      <c r="N30" s="99">
        <f>IF(ISNUMBER(G30),G30/Population!G30*10000,NA())</f>
        <v>101.74418604651163</v>
      </c>
      <c r="O30" s="100">
        <f>IF(ISNUMBER(H30),H30/Population!H30*10000,NA())</f>
        <v>150.86705202312137</v>
      </c>
      <c r="P30" s="101">
        <f t="shared" si="4"/>
        <v>150.86705202312137</v>
      </c>
      <c r="Q30" s="770">
        <f t="shared" si="0"/>
        <v>4</v>
      </c>
      <c r="R30" s="69"/>
      <c r="S30" s="333">
        <f>IDACI!C29</f>
        <v>6.7</v>
      </c>
      <c r="T30" s="334">
        <f t="shared" si="1"/>
        <v>95.533172988805418</v>
      </c>
      <c r="U30" s="335">
        <f t="shared" si="5"/>
        <v>55.333879034315956</v>
      </c>
      <c r="V30" s="124"/>
      <c r="W30" s="140"/>
      <c r="X30" s="149"/>
      <c r="Y30" s="71" t="str">
        <f t="shared" si="2"/>
        <v>Windsor &amp; Maidenhead</v>
      </c>
      <c r="Z30" s="45">
        <f>IF(ISNUMBER($H30),IDACI!D29,0)</f>
        <v>29792</v>
      </c>
      <c r="AA30" s="45">
        <f>IF(ISNUMBER($H30),IDACI!E29,0)</f>
        <v>1996.0640000000001</v>
      </c>
      <c r="AB30" s="202">
        <f>IF(ISNUMBER(D30),Population!D30,"")</f>
        <v>33400</v>
      </c>
      <c r="AC30" s="202">
        <f>IF(ISNUMBER(E30),Population!E30,"")</f>
        <v>33700</v>
      </c>
      <c r="AD30" s="202">
        <f>IF(ISNUMBER(F30),Population!F30,"")</f>
        <v>34200</v>
      </c>
      <c r="AE30" s="202">
        <f>IF(ISNUMBER(G30),Population!G30,"")</f>
        <v>34400</v>
      </c>
      <c r="AF30" s="202">
        <f>IF(ISNUMBER(H30),Population!H30,"")</f>
        <v>34600</v>
      </c>
      <c r="AG30" s="199"/>
      <c r="AH30" s="199"/>
      <c r="AI30" s="185"/>
      <c r="AJ30" s="199"/>
      <c r="AK30" s="156"/>
      <c r="AL30" s="792">
        <f t="shared" si="8"/>
        <v>0.3446153846153846</v>
      </c>
      <c r="AM30" s="792">
        <f t="shared" si="8"/>
        <v>4.5766590389016017E-2</v>
      </c>
      <c r="AN30" s="792">
        <f t="shared" si="8"/>
        <v>-0.23413566739606126</v>
      </c>
      <c r="AO30" s="792">
        <f t="shared" si="8"/>
        <v>0.49142857142857144</v>
      </c>
      <c r="AP30" s="792">
        <f t="shared" si="9"/>
        <v>0.1619187197592277</v>
      </c>
      <c r="AQ30" s="76"/>
      <c r="AR30" s="76"/>
      <c r="AS30" s="76"/>
      <c r="AT30" s="76"/>
      <c r="AU30" s="76"/>
      <c r="AV30" s="76"/>
      <c r="AW30" s="76"/>
      <c r="AX30" s="76"/>
      <c r="AY30" s="76"/>
      <c r="AZ30" s="76"/>
    </row>
    <row r="31" spans="1:52" s="89" customFormat="1" ht="13.5" customHeight="1" x14ac:dyDescent="0.2">
      <c r="A31" s="462">
        <f>VLOOKUP(B31,Sheet1!$AQ$4:$AR$25,2,FALSE)</f>
        <v>0</v>
      </c>
      <c r="B31" s="95" t="str">
        <f>Sheet1!$K$25</f>
        <v>Wokingham</v>
      </c>
      <c r="C31" s="87"/>
      <c r="D31" s="102">
        <f>IF(Year1_Wokingham Year1_CIN_Section47="","",Year1_Wokingham Year1_CIN_Section47)</f>
        <v>253</v>
      </c>
      <c r="E31" s="96">
        <f>IF(Year2_Wokingham Year2_CIN_Section47="","",Year2_Wokingham Year2_CIN_Section47)</f>
        <v>346</v>
      </c>
      <c r="F31" s="96">
        <f>IF(Year3_Wokingham Year3_CIN_Section47="","",Year3_Wokingham Year3_CIN_Section47)</f>
        <v>263</v>
      </c>
      <c r="G31" s="96">
        <f>IF(Year4_Wokingham Year4_CIN_Section47="","",Year4_Wokingham Year4_CIN_Section47)</f>
        <v>471</v>
      </c>
      <c r="H31" s="97">
        <f>IF(Year5_Wokingham Year5_CIN_Section47="","",Year5_Wokingham Year5_CIN_Section47)</f>
        <v>655</v>
      </c>
      <c r="I31" s="337">
        <f t="shared" si="3"/>
        <v>0.32730930963880844</v>
      </c>
      <c r="J31" s="98"/>
      <c r="K31" s="99">
        <f>IF(ISNUMBER(D31),D31/Population!D31*10000,NA())</f>
        <v>68.563685636856377</v>
      </c>
      <c r="L31" s="99">
        <f>IF(ISNUMBER(E31),E31/Population!E31*10000,NA())</f>
        <v>92.761394101876675</v>
      </c>
      <c r="M31" s="99">
        <f>IF(ISNUMBER(F31),F31/Population!F31*10000,NA())</f>
        <v>69.21052631578948</v>
      </c>
      <c r="N31" s="99">
        <f>IF(ISNUMBER(G31),G31/Population!G31*10000,NA())</f>
        <v>121.70542635658914</v>
      </c>
      <c r="O31" s="100">
        <f>IF(ISNUMBER(H31),H31/Population!H31*10000,NA())</f>
        <v>165.82278481012659</v>
      </c>
      <c r="P31" s="101">
        <f t="shared" si="4"/>
        <v>165.82278481012659</v>
      </c>
      <c r="Q31" s="770">
        <f t="shared" si="0"/>
        <v>10</v>
      </c>
      <c r="R31" s="69"/>
      <c r="S31" s="333">
        <f>IDACI!C30</f>
        <v>5.6000000000000005</v>
      </c>
      <c r="T31" s="334">
        <f t="shared" si="1"/>
        <v>87.007682024254933</v>
      </c>
      <c r="U31" s="335">
        <f t="shared" si="5"/>
        <v>78.815102785871659</v>
      </c>
      <c r="V31" s="124"/>
      <c r="W31" s="140"/>
      <c r="X31" s="149"/>
      <c r="Y31" s="71" t="str">
        <f t="shared" si="2"/>
        <v>Wokingham</v>
      </c>
      <c r="Z31" s="45">
        <f>IF(ISNUMBER($H31),IDACI!D30,0)</f>
        <v>33327</v>
      </c>
      <c r="AA31" s="45">
        <f>IF(ISNUMBER($H31),IDACI!E30,0)</f>
        <v>1866.3120000000004</v>
      </c>
      <c r="AB31" s="202">
        <f>IF(ISNUMBER(D31),Population!D31,"")</f>
        <v>36900</v>
      </c>
      <c r="AC31" s="202">
        <f>IF(ISNUMBER(E31),Population!E31,"")</f>
        <v>37300</v>
      </c>
      <c r="AD31" s="202">
        <f>IF(ISNUMBER(F31),Population!F31,"")</f>
        <v>38000</v>
      </c>
      <c r="AE31" s="202">
        <f>IF(ISNUMBER(G31),Population!G31,"")</f>
        <v>38700</v>
      </c>
      <c r="AF31" s="202">
        <f>IF(ISNUMBER(H31),Population!H31,"")</f>
        <v>39500</v>
      </c>
      <c r="AG31" s="199"/>
      <c r="AH31" s="199"/>
      <c r="AI31" s="185"/>
      <c r="AJ31" s="199"/>
      <c r="AK31" s="156"/>
      <c r="AL31" s="792">
        <f t="shared" si="8"/>
        <v>0.3675889328063241</v>
      </c>
      <c r="AM31" s="792">
        <f t="shared" si="8"/>
        <v>-0.23988439306358381</v>
      </c>
      <c r="AN31" s="792">
        <f t="shared" si="8"/>
        <v>0.79087452471482889</v>
      </c>
      <c r="AO31" s="792">
        <f t="shared" si="8"/>
        <v>0.39065817409766457</v>
      </c>
      <c r="AP31" s="792">
        <f t="shared" si="9"/>
        <v>0.32730930963880844</v>
      </c>
      <c r="AQ31" s="76"/>
      <c r="AR31" s="76"/>
      <c r="AS31" s="76"/>
      <c r="AT31" s="76"/>
      <c r="AU31" s="76"/>
      <c r="AV31" s="76"/>
      <c r="AW31" s="76"/>
      <c r="AX31" s="76"/>
      <c r="AY31" s="76"/>
      <c r="AZ31" s="76"/>
    </row>
    <row r="32" spans="1:52" s="89" customFormat="1" ht="13.5" customHeight="1" x14ac:dyDescent="0.2">
      <c r="A32" s="123"/>
      <c r="B32" s="131" t="str">
        <f>Sheet1!$K$26</f>
        <v>South East</v>
      </c>
      <c r="C32" s="87"/>
      <c r="D32" s="132">
        <f>IF(Year1_SouthEast Year1_CIN_Section47="","",Year1_SouthEast Year1_CIN_Section47)</f>
        <v>28600</v>
      </c>
      <c r="E32" s="132">
        <f>IF(Year2_SouthEast Year2_CIN_Section47="","",Year2_SouthEast Year2_CIN_Section47)</f>
        <v>30640</v>
      </c>
      <c r="F32" s="132">
        <f>IF(Year3_SouthEast Year3_CIN_Section47="","",Year3_SouthEast Year3_CIN_Section47)</f>
        <v>30820</v>
      </c>
      <c r="G32" s="132">
        <f>IF(Year4_SouthEast Year4_CIN_Section47="","",Year4_SouthEast Year4_CIN_Section47)</f>
        <v>32400</v>
      </c>
      <c r="H32" s="133">
        <f>IF(Year5_SouthEast Year5_CIN_Section47="","",Year5_SouthEast Year5_CIN_Section47)</f>
        <v>33690</v>
      </c>
      <c r="I32" s="350">
        <f t="shared" si="3"/>
        <v>3.4953578557712979E-2</v>
      </c>
      <c r="J32" s="98"/>
      <c r="K32" s="134">
        <f>IF(ISNUMBER(D32),D32/AB32*10000,NA())</f>
        <v>150.17853392144508</v>
      </c>
      <c r="L32" s="134">
        <f>IF(ISNUMBER(E32),E32/AC32*10000,NA())</f>
        <v>159.74141077107555</v>
      </c>
      <c r="M32" s="134">
        <f>IF(ISNUMBER(F32),F32/AD32*10000,NA())</f>
        <v>159.4330350214681</v>
      </c>
      <c r="N32" s="134">
        <f>IF(ISNUMBER(G32),G32/AE32*10000,NA())</f>
        <v>166.67524049591029</v>
      </c>
      <c r="O32" s="135">
        <f>IF(ISNUMBER(H32),H32/AF32*10000,NA())</f>
        <v>172.11607234086031</v>
      </c>
      <c r="P32" s="101">
        <f t="shared" si="4"/>
        <v>172.11607234086031</v>
      </c>
      <c r="Q32" s="136" t="str">
        <f t="shared" si="0"/>
        <v>--</v>
      </c>
      <c r="R32" s="69"/>
      <c r="S32" s="331">
        <f>AA32/Z32*100</f>
        <v>12.371268250968637</v>
      </c>
      <c r="T32" s="331">
        <f t="shared" si="1"/>
        <v>139.48803319896462</v>
      </c>
      <c r="U32" s="336">
        <f t="shared" si="5"/>
        <v>32.628039141895698</v>
      </c>
      <c r="V32" s="124"/>
      <c r="W32" s="140"/>
      <c r="X32" s="149"/>
      <c r="Y32" s="71" t="str">
        <f t="shared" si="2"/>
        <v>South East</v>
      </c>
      <c r="Z32" s="45">
        <f>SUM(Z24:Z25,Z10:Z22,Z28:Z31)</f>
        <v>1704978</v>
      </c>
      <c r="AA32" s="45">
        <f>SUM(AA24:AA25,AA10:AA22,AA28:AA31)</f>
        <v>210927.40200000003</v>
      </c>
      <c r="AB32" s="202">
        <f>SUM(AB10:AB22,AB24:AB25,AB28:AB31)</f>
        <v>1904400</v>
      </c>
      <c r="AC32" s="202">
        <f t="shared" ref="AC32:AF32" si="10">SUM(AC10:AC22,AC24:AC25,AC28:AC31)</f>
        <v>1918100</v>
      </c>
      <c r="AD32" s="202">
        <f t="shared" si="10"/>
        <v>1933100</v>
      </c>
      <c r="AE32" s="202">
        <f t="shared" si="10"/>
        <v>1943900</v>
      </c>
      <c r="AF32" s="202">
        <f t="shared" si="10"/>
        <v>1957400</v>
      </c>
      <c r="AG32" s="199"/>
      <c r="AH32" s="199"/>
      <c r="AI32" s="185"/>
      <c r="AJ32" s="199"/>
      <c r="AK32" s="156"/>
      <c r="AL32" s="974">
        <f>IF(ISERROR((L32-K32)/K32),"x",(L32-K32)/K32)</f>
        <v>6.3676722630896035E-2</v>
      </c>
      <c r="AM32" s="974">
        <f t="shared" ref="AM32:AN32" si="11">IF(ISERROR((M32-L32)/L32),"x",(M32-L32)/L32)</f>
        <v>-1.9304684246803177E-3</v>
      </c>
      <c r="AN32" s="974">
        <f t="shared" si="11"/>
        <v>4.5424748224023988E-2</v>
      </c>
      <c r="AO32" s="974">
        <f>IF(ISERROR((O32-N32)/N32),"x",(O32-N32)/N32)</f>
        <v>3.2643311800612203E-2</v>
      </c>
      <c r="AP32" s="792">
        <f>AVERAGE(AL32:AO32)</f>
        <v>3.4953578557712979E-2</v>
      </c>
      <c r="AQ32" s="76"/>
      <c r="AR32" s="76"/>
      <c r="AS32" s="76"/>
      <c r="AT32" s="76"/>
      <c r="AU32" s="76"/>
      <c r="AV32" s="76"/>
      <c r="AW32" s="76"/>
      <c r="AX32" s="76"/>
      <c r="AY32" s="76"/>
      <c r="AZ32" s="76"/>
    </row>
    <row r="33" spans="1:52" s="89" customFormat="1" ht="13.5" customHeight="1" x14ac:dyDescent="0.2">
      <c r="A33" s="286"/>
      <c r="B33" s="318" t="str">
        <f>Sheet1!$K$27</f>
        <v>England</v>
      </c>
      <c r="C33" s="87"/>
      <c r="D33" s="319">
        <f>IF(Year1_England Year1_CIN_Section47="","",Year1_England Year1_CIN_Section47)</f>
        <v>160150</v>
      </c>
      <c r="E33" s="319">
        <f>IF(Year2_England Year2_CIN_Section47="","",Year2_England Year2_CIN_Section47)</f>
        <v>172290</v>
      </c>
      <c r="F33" s="319">
        <f>IF(Year3_England Year3_CIN_Section47="","",Year3_England Year3_CIN_Section47)</f>
        <v>185450</v>
      </c>
      <c r="G33" s="319">
        <f>IF(Year4_England Year4_CIN_Section47="","",Year4_England Year4_CIN_Section47)</f>
        <v>198090</v>
      </c>
      <c r="H33" s="320">
        <f>IF(Year5_England Year5_CIN_Section47="","",Year5_England Year5_CIN_Section47)</f>
        <v>201170</v>
      </c>
      <c r="I33" s="351">
        <f t="shared" si="3"/>
        <v>5.8973449512901753E-2</v>
      </c>
      <c r="J33" s="98"/>
      <c r="K33" s="321">
        <f>IF(ISNUMBER(D33),D33/Population!D33*10000,NA())</f>
        <v>138.15920011732533</v>
      </c>
      <c r="L33" s="321">
        <f>IF(ISNUMBER(E33),E33/Population!E33*10000,NA())</f>
        <v>147.5350876441826</v>
      </c>
      <c r="M33" s="321">
        <f>IF(ISNUMBER(F33),F33/Population!F33*10000,NA())</f>
        <v>157.35704649011907</v>
      </c>
      <c r="N33" s="321">
        <f>IF(ISNUMBER(G33),G33/Population!G33*10000,NA())</f>
        <v>166.92508637397827</v>
      </c>
      <c r="O33" s="599">
        <f>IF(ISNUMBER(H33),H33/Population!H33*10000,NA())</f>
        <v>168.278319642648</v>
      </c>
      <c r="P33" s="727"/>
      <c r="Q33" s="796" t="str">
        <f t="shared" si="0"/>
        <v>--</v>
      </c>
      <c r="R33" s="69"/>
      <c r="S33" s="332">
        <f>IDACI!C32</f>
        <v>17.084413405029373</v>
      </c>
      <c r="T33" s="332">
        <f t="shared" si="1"/>
        <v>176.01701176765528</v>
      </c>
      <c r="U33" s="598">
        <f t="shared" si="5"/>
        <v>-7.738692125007276</v>
      </c>
      <c r="V33" s="124"/>
      <c r="W33" s="140"/>
      <c r="X33" s="149"/>
      <c r="Y33" s="71" t="str">
        <f t="shared" si="2"/>
        <v>England</v>
      </c>
      <c r="Z33" s="45">
        <f>IF(H33&gt;0,IDACI!D32,0)</f>
        <v>10405050</v>
      </c>
      <c r="AA33" s="45">
        <f>IF(H33&gt;0,IDACI!E32,0)</f>
        <v>1777641.7570000088</v>
      </c>
      <c r="AB33" s="202">
        <f>IF(ISNUMBER(D33),Population!D33,"")</f>
        <v>11591700</v>
      </c>
      <c r="AC33" s="202">
        <f>IF(ISNUMBER(E33),Population!E33,"")</f>
        <v>11677900</v>
      </c>
      <c r="AD33" s="202">
        <f>IF(ISNUMBER(F33),Population!F33,"")</f>
        <v>11785300</v>
      </c>
      <c r="AE33" s="202">
        <f>IF(ISNUMBER(G33),Population!G33,"")</f>
        <v>11867000</v>
      </c>
      <c r="AF33" s="202">
        <f>IF(ISNUMBER(H33),Population!H33,"")</f>
        <v>11954600</v>
      </c>
      <c r="AG33" s="199"/>
      <c r="AH33" s="199"/>
      <c r="AI33" s="185"/>
      <c r="AJ33" s="199"/>
      <c r="AK33" s="156"/>
      <c r="AL33" s="792">
        <f t="shared" si="8"/>
        <v>7.5803933812051208E-2</v>
      </c>
      <c r="AM33" s="792">
        <f t="shared" si="8"/>
        <v>7.6382842881188698E-2</v>
      </c>
      <c r="AN33" s="792">
        <f t="shared" si="8"/>
        <v>6.8158533297384735E-2</v>
      </c>
      <c r="AO33" s="792">
        <f t="shared" si="8"/>
        <v>1.5548488060982382E-2</v>
      </c>
      <c r="AP33" s="792">
        <f>AVERAGE(AL33:AO33)</f>
        <v>5.8973449512901753E-2</v>
      </c>
      <c r="AQ33" s="76"/>
      <c r="AR33" s="76"/>
      <c r="AS33" s="76"/>
      <c r="AT33" s="76"/>
      <c r="AU33" s="76"/>
      <c r="AV33" s="76"/>
      <c r="AW33" s="76"/>
      <c r="AX33" s="76"/>
      <c r="AY33" s="76"/>
      <c r="AZ33" s="76"/>
    </row>
    <row r="34" spans="1:52" s="83" customFormat="1" ht="13.5" customHeight="1" x14ac:dyDescent="0.2">
      <c r="A34" s="120"/>
      <c r="B34" s="125" t="s">
        <v>90</v>
      </c>
      <c r="C34" s="63"/>
      <c r="D34" s="63"/>
      <c r="E34" s="63"/>
      <c r="F34" s="63"/>
      <c r="G34" s="63"/>
      <c r="H34" s="63"/>
      <c r="I34" s="63"/>
      <c r="J34" s="63"/>
      <c r="K34" s="63"/>
      <c r="L34" s="63"/>
      <c r="M34" s="63"/>
      <c r="N34" s="63"/>
      <c r="O34" s="63"/>
      <c r="P34" s="63"/>
      <c r="Q34" s="137" t="s">
        <v>109</v>
      </c>
      <c r="S34" s="63"/>
      <c r="T34" s="63"/>
      <c r="U34" s="63"/>
      <c r="V34" s="119"/>
      <c r="W34" s="138"/>
      <c r="X34" s="147"/>
      <c r="Y34" s="82"/>
      <c r="Z34" s="179"/>
      <c r="AA34" s="179"/>
      <c r="AB34" s="179"/>
      <c r="AC34" s="179"/>
      <c r="AD34" s="179"/>
      <c r="AE34" s="179"/>
      <c r="AF34" s="179"/>
      <c r="AG34" s="179"/>
      <c r="AH34" s="179"/>
      <c r="AJ34" s="179"/>
      <c r="AK34" s="157"/>
      <c r="AQ34" s="76"/>
      <c r="AR34" s="76"/>
      <c r="AS34" s="76"/>
      <c r="AT34" s="76"/>
      <c r="AU34" s="76"/>
      <c r="AV34" s="76"/>
      <c r="AW34" s="76"/>
      <c r="AX34" s="76"/>
      <c r="AY34" s="76"/>
      <c r="AZ34" s="76"/>
    </row>
    <row r="35" spans="1:52" s="83" customFormat="1" ht="25.5" customHeight="1" x14ac:dyDescent="0.2">
      <c r="A35" s="120"/>
      <c r="B35" s="1425" t="s">
        <v>761</v>
      </c>
      <c r="C35" s="1426"/>
      <c r="D35" s="1426"/>
      <c r="E35" s="1426"/>
      <c r="F35" s="1426"/>
      <c r="G35" s="1426"/>
      <c r="H35" s="1426"/>
      <c r="I35" s="1426"/>
      <c r="J35" s="1426"/>
      <c r="K35" s="1426"/>
      <c r="L35" s="1426"/>
      <c r="M35" s="1426"/>
      <c r="N35" s="1426"/>
      <c r="O35" s="1426"/>
      <c r="P35" s="1426"/>
      <c r="Q35" s="1426"/>
      <c r="R35" s="1426"/>
      <c r="S35" s="1426"/>
      <c r="T35" s="1426"/>
      <c r="U35" s="1427"/>
      <c r="V35" s="119"/>
      <c r="W35" s="138"/>
      <c r="X35" s="147"/>
      <c r="Y35" s="82"/>
      <c r="Z35" s="179"/>
      <c r="AA35" s="179"/>
      <c r="AB35" s="179"/>
      <c r="AC35" s="179"/>
      <c r="AD35" s="179"/>
      <c r="AE35" s="179"/>
      <c r="AF35" s="179"/>
      <c r="AG35" s="179"/>
      <c r="AH35" s="179"/>
      <c r="AJ35" s="179"/>
      <c r="AK35" s="153"/>
      <c r="AL35" s="76"/>
      <c r="AM35" s="76"/>
      <c r="AN35" s="76"/>
      <c r="AO35" s="76"/>
      <c r="AP35" s="76"/>
      <c r="AQ35" s="76"/>
      <c r="AR35" s="76"/>
    </row>
    <row r="36" spans="1:52" s="83" customFormat="1" ht="7.5" customHeight="1" x14ac:dyDescent="0.2">
      <c r="A36" s="120"/>
      <c r="B36" s="18"/>
      <c r="C36" s="18"/>
      <c r="D36" s="17"/>
      <c r="E36" s="17"/>
      <c r="F36" s="17"/>
      <c r="G36" s="17"/>
      <c r="H36" s="17"/>
      <c r="I36" s="17"/>
      <c r="J36" s="13"/>
      <c r="K36" s="19"/>
      <c r="L36" s="19"/>
      <c r="M36" s="19"/>
      <c r="N36" s="19"/>
      <c r="O36" s="19"/>
      <c r="P36" s="19"/>
      <c r="Q36" s="19"/>
      <c r="R36" s="19"/>
      <c r="S36" s="19"/>
      <c r="T36" s="19"/>
      <c r="U36" s="20"/>
      <c r="V36" s="119"/>
      <c r="W36" s="138"/>
      <c r="X36" s="147"/>
      <c r="Z36" s="185"/>
      <c r="AJ36" s="179"/>
      <c r="AK36" s="153"/>
      <c r="AL36" s="76"/>
      <c r="AM36" s="76"/>
      <c r="AN36" s="76"/>
      <c r="AO36" s="76"/>
      <c r="AP36" s="76"/>
      <c r="AQ36" s="76"/>
      <c r="AR36" s="76"/>
    </row>
    <row r="37" spans="1:52"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1"/>
      <c r="V37" s="1422"/>
      <c r="W37" s="138"/>
      <c r="X37" s="147"/>
      <c r="Z37" s="185"/>
      <c r="AK37" s="157"/>
      <c r="AM37" s="83">
        <f>COLUMNS($B$4:K$4)</f>
        <v>10</v>
      </c>
      <c r="AN37" s="83">
        <f>COLUMNS($B$4:L$4)</f>
        <v>11</v>
      </c>
      <c r="AO37" s="83">
        <f>COLUMNS($B$4:M$4)</f>
        <v>12</v>
      </c>
      <c r="AP37" s="83">
        <f>COLUMNS($B$4:N$4)</f>
        <v>13</v>
      </c>
      <c r="AQ37" s="83">
        <f>COLUMNS($B$4:O$4)</f>
        <v>14</v>
      </c>
      <c r="AR37" s="83">
        <f>COLUMNS($B$4:S$4)</f>
        <v>18</v>
      </c>
    </row>
    <row r="38" spans="1:52"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0"/>
      <c r="J38" s="1429"/>
      <c r="K38" s="1429"/>
      <c r="L38" s="1429"/>
      <c r="M38" s="1429"/>
      <c r="N38" s="1429"/>
      <c r="O38" s="1429"/>
      <c r="P38" s="1431"/>
      <c r="Q38" s="1429"/>
      <c r="R38" s="1429"/>
      <c r="S38" s="1429"/>
      <c r="T38" s="1430"/>
      <c r="U38" s="1429"/>
      <c r="V38" s="1432"/>
      <c r="W38" s="138"/>
      <c r="X38" s="147"/>
      <c r="Z38" s="185"/>
      <c r="AJ38" s="179"/>
      <c r="AK38" s="156"/>
      <c r="AL38" s="89"/>
      <c r="AM38" s="1465" t="s">
        <v>89</v>
      </c>
      <c r="AN38" s="1465"/>
      <c r="AO38" s="1465"/>
      <c r="AP38" s="1465"/>
      <c r="AQ38" s="1465"/>
      <c r="AR38" s="1465" t="s">
        <v>95</v>
      </c>
    </row>
    <row r="39" spans="1:52" s="83" customFormat="1" ht="11.25" customHeight="1" x14ac:dyDescent="0.2">
      <c r="A39" s="114"/>
      <c r="B39" s="115"/>
      <c r="C39" s="115"/>
      <c r="D39" s="115"/>
      <c r="E39" s="115"/>
      <c r="F39" s="115"/>
      <c r="G39" s="115"/>
      <c r="H39" s="115"/>
      <c r="I39" s="115"/>
      <c r="J39" s="116"/>
      <c r="K39" s="115"/>
      <c r="L39" s="115"/>
      <c r="M39" s="115"/>
      <c r="N39" s="115"/>
      <c r="O39" s="115"/>
      <c r="P39" s="115"/>
      <c r="Q39" s="115"/>
      <c r="R39" s="115"/>
      <c r="S39" s="115"/>
      <c r="T39" s="115"/>
      <c r="U39" s="115"/>
      <c r="V39" s="117"/>
      <c r="W39" s="138"/>
      <c r="X39" s="146" t="s">
        <v>102</v>
      </c>
      <c r="Y39" s="192"/>
      <c r="Z39" s="192"/>
      <c r="AA39" s="192"/>
      <c r="AB39" s="192"/>
      <c r="AC39" s="192"/>
      <c r="AJ39" s="179"/>
      <c r="AK39" s="156"/>
      <c r="AL39" s="89"/>
      <c r="AM39" s="360" t="s">
        <v>668</v>
      </c>
      <c r="AN39" s="360" t="s">
        <v>669</v>
      </c>
      <c r="AO39" s="360" t="s">
        <v>670</v>
      </c>
      <c r="AP39" s="360" t="s">
        <v>671</v>
      </c>
      <c r="AQ39" s="360" t="s">
        <v>668</v>
      </c>
      <c r="AR39" s="1465"/>
    </row>
    <row r="40" spans="1:52" s="83" customFormat="1" ht="3.75" customHeight="1" x14ac:dyDescent="0.25">
      <c r="A40" s="118"/>
      <c r="B40" s="9"/>
      <c r="C40" s="9"/>
      <c r="D40" s="9"/>
      <c r="E40" s="9"/>
      <c r="F40" s="9"/>
      <c r="G40" s="9"/>
      <c r="H40" s="9"/>
      <c r="I40" s="9"/>
      <c r="J40" s="13"/>
      <c r="K40" s="9"/>
      <c r="L40" s="9"/>
      <c r="M40" s="9"/>
      <c r="N40" s="9"/>
      <c r="O40" s="9"/>
      <c r="P40" s="9"/>
      <c r="Q40" s="9"/>
      <c r="R40" s="9"/>
      <c r="S40" s="9"/>
      <c r="T40" s="9"/>
      <c r="U40" s="9"/>
      <c r="V40" s="119"/>
      <c r="W40" s="138"/>
      <c r="X40" s="288"/>
      <c r="AD40" s="1188" t="s">
        <v>1002</v>
      </c>
      <c r="AK40" s="156"/>
      <c r="AL40" s="89"/>
      <c r="AM40" s="360" t="s">
        <v>194</v>
      </c>
      <c r="AN40" s="360" t="s">
        <v>194</v>
      </c>
      <c r="AO40" s="360" t="s">
        <v>194</v>
      </c>
      <c r="AP40" s="360" t="s">
        <v>667</v>
      </c>
      <c r="AQ40" s="360" t="s">
        <v>667</v>
      </c>
      <c r="AR40" s="1465"/>
    </row>
    <row r="41" spans="1:52" s="83" customFormat="1" ht="14.25" customHeight="1" x14ac:dyDescent="0.2">
      <c r="A41" s="120"/>
      <c r="B41" s="9"/>
      <c r="C41" s="9"/>
      <c r="D41" s="9"/>
      <c r="E41" s="9"/>
      <c r="F41" s="9"/>
      <c r="G41" s="9"/>
      <c r="H41" s="9"/>
      <c r="I41" s="9"/>
      <c r="J41" s="13"/>
      <c r="K41" s="9"/>
      <c r="L41" s="9"/>
      <c r="M41" s="9"/>
      <c r="N41" s="9"/>
      <c r="O41" s="9"/>
      <c r="P41" s="9"/>
      <c r="Q41" s="9"/>
      <c r="R41" s="9"/>
      <c r="S41" s="9"/>
      <c r="T41" s="9"/>
      <c r="U41" s="9"/>
      <c r="V41" s="119"/>
      <c r="W41" s="138"/>
      <c r="X41" s="288"/>
      <c r="Y41" s="44" t="s">
        <v>72</v>
      </c>
      <c r="Z41" s="44" t="s">
        <v>70</v>
      </c>
      <c r="AA41" s="44" t="s">
        <v>71</v>
      </c>
      <c r="AB41" s="1061">
        <v>5</v>
      </c>
      <c r="AC41" s="212">
        <f>(AB41*Z42)+AA42</f>
        <v>132.5985769762475</v>
      </c>
      <c r="AD41" s="203">
        <f>ROUND(ChartLabels!$AA11,3)</f>
        <v>0.28000000000000003</v>
      </c>
      <c r="AJ41" s="560" t="b">
        <v>1</v>
      </c>
      <c r="AK41" s="156" t="s">
        <v>0</v>
      </c>
      <c r="AL41" s="89" t="str">
        <f t="shared" ref="AL41:AL64" si="12">IF(AJ41=TRUE,B10,"")</f>
        <v>Bracknell Forest</v>
      </c>
      <c r="AM41" s="143">
        <f t="shared" ref="AM41:AQ50" si="13">VLOOKUP($AL41,$B$10:$O$33,AM$37,FALSE)</f>
        <v>151.43884892086331</v>
      </c>
      <c r="AN41" s="143">
        <f t="shared" si="13"/>
        <v>139.71631205673759</v>
      </c>
      <c r="AO41" s="143">
        <f t="shared" si="13"/>
        <v>198.58156028368796</v>
      </c>
      <c r="AP41" s="143">
        <f t="shared" si="13"/>
        <v>224.91103202846975</v>
      </c>
      <c r="AQ41" s="143">
        <f t="shared" si="13"/>
        <v>248.0565371024735</v>
      </c>
      <c r="AR41" s="144">
        <f>VLOOKUP(AL41,$B$10:$U$33,$AR$37,FALSE)</f>
        <v>8.9</v>
      </c>
    </row>
    <row r="42" spans="1:52" s="83" customFormat="1" ht="14.25" customHeight="1" x14ac:dyDescent="0.2">
      <c r="A42" s="120"/>
      <c r="B42" s="9"/>
      <c r="C42" s="9"/>
      <c r="D42" s="9"/>
      <c r="E42" s="9"/>
      <c r="F42" s="9"/>
      <c r="G42" s="9"/>
      <c r="H42" s="9"/>
      <c r="I42" s="9"/>
      <c r="J42" s="13"/>
      <c r="K42" s="9"/>
      <c r="L42" s="9"/>
      <c r="M42" s="9"/>
      <c r="N42" s="9"/>
      <c r="O42" s="9"/>
      <c r="P42" s="9"/>
      <c r="Q42" s="9"/>
      <c r="R42" s="9"/>
      <c r="S42" s="9"/>
      <c r="T42" s="9"/>
      <c r="U42" s="9"/>
      <c r="V42" s="119"/>
      <c r="W42" s="138"/>
      <c r="X42" s="288"/>
      <c r="Y42" s="208" t="str">
        <f>"Y= "&amp;Z42&amp;"x + "&amp;AA42</f>
        <v>Y= 7.31628670429605x + 96.0171434547673</v>
      </c>
      <c r="Z42" s="712">
        <f>ChartLabels!$Y11</f>
        <v>7.3162867042960498</v>
      </c>
      <c r="AA42" s="712">
        <f>ChartLabels!$Z11</f>
        <v>96.017143454767265</v>
      </c>
      <c r="AB42" s="211">
        <v>35</v>
      </c>
      <c r="AC42" s="212">
        <f>(AB42*Z42)+AA42</f>
        <v>352.087178105129</v>
      </c>
      <c r="AD42" s="1187" t="str">
        <f>AD40&amp;" = "&amp;AD41</f>
        <v>r² = 0.28</v>
      </c>
      <c r="AJ42" s="560" t="b">
        <v>1</v>
      </c>
      <c r="AK42" s="156" t="s">
        <v>31</v>
      </c>
      <c r="AL42" s="89" t="str">
        <f t="shared" si="12"/>
        <v>Brighton &amp; Hove</v>
      </c>
      <c r="AM42" s="143">
        <f t="shared" si="13"/>
        <v>203.52941176470588</v>
      </c>
      <c r="AN42" s="143">
        <f t="shared" si="13"/>
        <v>223.2421875</v>
      </c>
      <c r="AO42" s="143">
        <f t="shared" si="13"/>
        <v>168.22612085769981</v>
      </c>
      <c r="AP42" s="143">
        <f t="shared" si="13"/>
        <v>172.35294117647061</v>
      </c>
      <c r="AQ42" s="143">
        <f t="shared" si="13"/>
        <v>152.54901960784315</v>
      </c>
      <c r="AR42" s="144">
        <f t="shared" ref="AR42:AR64" si="14">VLOOKUP(AL42,$B$10:$U$33,$AR$37,FALSE)</f>
        <v>15.299999999999999</v>
      </c>
    </row>
    <row r="43" spans="1:52" ht="14.25" customHeight="1" x14ac:dyDescent="0.2">
      <c r="A43" s="120"/>
      <c r="B43" s="9"/>
      <c r="C43" s="9"/>
      <c r="D43" s="9"/>
      <c r="E43" s="9"/>
      <c r="F43" s="9"/>
      <c r="G43" s="9"/>
      <c r="H43" s="9"/>
      <c r="I43" s="9"/>
      <c r="J43" s="13"/>
      <c r="K43" s="9"/>
      <c r="L43" s="9"/>
      <c r="M43" s="9"/>
      <c r="N43" s="9"/>
      <c r="O43" s="9"/>
      <c r="P43" s="9"/>
      <c r="Q43" s="9"/>
      <c r="R43" s="9"/>
      <c r="S43" s="9"/>
      <c r="T43" s="9"/>
      <c r="U43" s="9"/>
      <c r="V43" s="119"/>
      <c r="W43" s="138"/>
      <c r="X43" s="288"/>
      <c r="Y43" s="44" t="str">
        <f>"National Trend "&amp;Sheet1!$B$8</f>
        <v>National Trend 2019</v>
      </c>
      <c r="Z43" s="205" t="s">
        <v>70</v>
      </c>
      <c r="AA43" s="44" t="s">
        <v>71</v>
      </c>
      <c r="AB43" s="1061">
        <v>5</v>
      </c>
      <c r="AC43" s="207">
        <f>((AB43*Z44)+AA44)/$Y$2</f>
        <v>82.357414225409215</v>
      </c>
      <c r="AD43" s="714" t="str">
        <f>"r² = "&amp;ROUND(AD44,3)</f>
        <v>r² = 0.365</v>
      </c>
      <c r="AJ43" s="560" t="b">
        <v>1</v>
      </c>
      <c r="AK43" s="156" t="s">
        <v>8</v>
      </c>
      <c r="AL43" s="89" t="str">
        <f t="shared" si="12"/>
        <v>Buckinghamshire</v>
      </c>
      <c r="AM43" s="143">
        <f t="shared" si="13"/>
        <v>147.85534062237173</v>
      </c>
      <c r="AN43" s="143">
        <f t="shared" si="13"/>
        <v>159.53565505804312</v>
      </c>
      <c r="AO43" s="143">
        <f t="shared" si="13"/>
        <v>210.80196399345337</v>
      </c>
      <c r="AP43" s="143">
        <f t="shared" si="13"/>
        <v>200.81234768480911</v>
      </c>
      <c r="AQ43" s="143">
        <f t="shared" si="13"/>
        <v>174.89943684633951</v>
      </c>
      <c r="AR43" s="144">
        <f t="shared" si="14"/>
        <v>8.5</v>
      </c>
      <c r="AS43" s="83"/>
      <c r="AT43" s="83"/>
      <c r="AU43" s="83"/>
      <c r="AV43" s="83"/>
      <c r="AW43" s="83"/>
      <c r="AX43" s="83"/>
    </row>
    <row r="44" spans="1:52" ht="14.25" customHeight="1" x14ac:dyDescent="0.2">
      <c r="A44" s="120"/>
      <c r="B44" s="9"/>
      <c r="C44" s="9"/>
      <c r="D44" s="9"/>
      <c r="E44" s="9"/>
      <c r="F44" s="9"/>
      <c r="G44" s="9"/>
      <c r="H44" s="9"/>
      <c r="I44" s="9"/>
      <c r="J44" s="13"/>
      <c r="K44" s="14"/>
      <c r="L44" s="14"/>
      <c r="M44" s="14"/>
      <c r="N44" s="14"/>
      <c r="O44" s="15"/>
      <c r="P44" s="15"/>
      <c r="Q44" s="15"/>
      <c r="R44" s="15"/>
      <c r="S44" s="15"/>
      <c r="T44" s="15"/>
      <c r="U44" s="15"/>
      <c r="V44" s="119"/>
      <c r="W44" s="138"/>
      <c r="X44" s="288"/>
      <c r="Y44" s="208" t="str">
        <f>"Y= "&amp;Z44&amp;"x + "&amp;AA44</f>
        <v>Y= 7.75044633140953x + 43.6051825683616</v>
      </c>
      <c r="Z44" s="712">
        <f>Sheet1!H7</f>
        <v>7.7504463314095311</v>
      </c>
      <c r="AA44" s="713">
        <f>Sheet1!H8</f>
        <v>43.605182568361556</v>
      </c>
      <c r="AB44" s="211">
        <v>35</v>
      </c>
      <c r="AC44" s="212">
        <f>((AB44*Z44)+AA44)/$Y$2</f>
        <v>314.87080416769516</v>
      </c>
      <c r="AD44" s="83">
        <f>Sheet1!H9</f>
        <v>0.36452908895063618</v>
      </c>
      <c r="AJ44" s="560" t="b">
        <v>1</v>
      </c>
      <c r="AK44" s="156" t="s">
        <v>4</v>
      </c>
      <c r="AL44" s="89" t="str">
        <f t="shared" si="12"/>
        <v>East Sussex</v>
      </c>
      <c r="AM44" s="143">
        <f t="shared" si="13"/>
        <v>94.402277039848187</v>
      </c>
      <c r="AN44" s="143">
        <f t="shared" si="13"/>
        <v>81.964117091595838</v>
      </c>
      <c r="AO44" s="143">
        <f t="shared" si="13"/>
        <v>106.42115203021719</v>
      </c>
      <c r="AP44" s="143">
        <f t="shared" si="13"/>
        <v>125.84905660377359</v>
      </c>
      <c r="AQ44" s="143">
        <f t="shared" si="13"/>
        <v>124.90601503759399</v>
      </c>
      <c r="AR44" s="144">
        <f t="shared" si="14"/>
        <v>16.100000000000001</v>
      </c>
      <c r="AS44" s="83"/>
      <c r="AT44" s="83"/>
      <c r="AU44" s="83"/>
      <c r="AV44" s="83"/>
      <c r="AW44" s="83"/>
      <c r="AX44" s="83"/>
    </row>
    <row r="45" spans="1:52" s="78" customFormat="1" ht="14.25" customHeight="1" x14ac:dyDescent="0.2">
      <c r="A45" s="121"/>
      <c r="B45" s="220"/>
      <c r="C45" s="220"/>
      <c r="D45" s="221"/>
      <c r="E45" s="221"/>
      <c r="F45" s="221"/>
      <c r="G45" s="221"/>
      <c r="H45" s="221"/>
      <c r="I45" s="221"/>
      <c r="J45" s="16"/>
      <c r="K45" s="9"/>
      <c r="L45" s="9"/>
      <c r="M45" s="9"/>
      <c r="N45" s="9"/>
      <c r="O45" s="9"/>
      <c r="P45" s="9"/>
      <c r="Q45" s="9"/>
      <c r="R45" s="9"/>
      <c r="S45" s="9"/>
      <c r="T45" s="9"/>
      <c r="U45" s="9"/>
      <c r="V45" s="122"/>
      <c r="W45" s="139"/>
      <c r="X45" s="289"/>
      <c r="AD45" s="83"/>
      <c r="AE45" s="83"/>
      <c r="AF45" s="83"/>
      <c r="AG45" s="83"/>
      <c r="AH45" s="83"/>
      <c r="AI45" s="83"/>
      <c r="AJ45" s="560" t="b">
        <v>1</v>
      </c>
      <c r="AK45" s="156" t="s">
        <v>6</v>
      </c>
      <c r="AL45" s="89" t="str">
        <f t="shared" si="12"/>
        <v>Hampshire</v>
      </c>
      <c r="AM45" s="143">
        <f t="shared" si="13"/>
        <v>164.22735346358792</v>
      </c>
      <c r="AN45" s="143">
        <f t="shared" si="13"/>
        <v>148.35047889322453</v>
      </c>
      <c r="AO45" s="143">
        <f t="shared" si="13"/>
        <v>148.90381895332391</v>
      </c>
      <c r="AP45" s="143">
        <f t="shared" si="13"/>
        <v>135.68655135898342</v>
      </c>
      <c r="AQ45" s="143">
        <f t="shared" si="13"/>
        <v>152.00704225352112</v>
      </c>
      <c r="AR45" s="144">
        <f t="shared" si="14"/>
        <v>10.100000000000001</v>
      </c>
      <c r="AS45" s="83"/>
      <c r="AT45" s="83"/>
      <c r="AU45" s="83"/>
      <c r="AV45" s="83"/>
      <c r="AW45" s="83"/>
    </row>
    <row r="46" spans="1:52" ht="14.25" customHeight="1" x14ac:dyDescent="0.2">
      <c r="A46" s="120"/>
      <c r="B46" s="221"/>
      <c r="C46" s="221"/>
      <c r="D46" s="221"/>
      <c r="E46" s="221"/>
      <c r="F46" s="221"/>
      <c r="G46" s="221"/>
      <c r="H46" s="221"/>
      <c r="I46" s="221"/>
      <c r="J46" s="13"/>
      <c r="K46" s="15"/>
      <c r="L46" s="15"/>
      <c r="M46" s="15"/>
      <c r="N46" s="15"/>
      <c r="O46" s="9"/>
      <c r="P46" s="9"/>
      <c r="Q46" s="9"/>
      <c r="R46" s="9"/>
      <c r="S46" s="9"/>
      <c r="T46" s="9"/>
      <c r="U46" s="9"/>
      <c r="V46" s="119"/>
      <c r="W46" s="138"/>
      <c r="X46" s="288"/>
      <c r="AJ46" s="560" t="b">
        <v>1</v>
      </c>
      <c r="AK46" s="156" t="s">
        <v>1</v>
      </c>
      <c r="AL46" s="89" t="str">
        <f t="shared" si="12"/>
        <v>Isle of Wight</v>
      </c>
      <c r="AM46" s="143">
        <f t="shared" si="13"/>
        <v>286.2745098039216</v>
      </c>
      <c r="AN46" s="143">
        <f t="shared" si="13"/>
        <v>267.19367588932806</v>
      </c>
      <c r="AO46" s="143">
        <f t="shared" si="13"/>
        <v>217.85714285714286</v>
      </c>
      <c r="AP46" s="143">
        <f t="shared" si="13"/>
        <v>221.91235059760956</v>
      </c>
      <c r="AQ46" s="143">
        <f t="shared" si="13"/>
        <v>201.20481927710844</v>
      </c>
      <c r="AR46" s="144">
        <f t="shared" si="14"/>
        <v>18</v>
      </c>
      <c r="AS46" s="83"/>
      <c r="AT46" s="83"/>
      <c r="AU46" s="83"/>
      <c r="AV46" s="83"/>
      <c r="AW46" s="83"/>
    </row>
    <row r="47" spans="1:52" ht="14.25" customHeight="1" x14ac:dyDescent="0.2">
      <c r="A47" s="120"/>
      <c r="B47" s="221"/>
      <c r="C47" s="221"/>
      <c r="D47" s="221"/>
      <c r="E47" s="221"/>
      <c r="F47" s="221"/>
      <c r="G47" s="221"/>
      <c r="H47" s="221"/>
      <c r="I47" s="221"/>
      <c r="J47" s="13"/>
      <c r="K47" s="15"/>
      <c r="L47" s="15"/>
      <c r="M47" s="15"/>
      <c r="N47" s="15"/>
      <c r="O47" s="9"/>
      <c r="P47" s="9"/>
      <c r="Q47" s="9"/>
      <c r="R47" s="9"/>
      <c r="S47" s="9"/>
      <c r="T47" s="9"/>
      <c r="U47" s="9"/>
      <c r="V47" s="119"/>
      <c r="W47" s="138"/>
      <c r="X47" s="288"/>
      <c r="AD47" s="204"/>
      <c r="AJ47" s="560" t="b">
        <v>1</v>
      </c>
      <c r="AK47" s="156" t="s">
        <v>9</v>
      </c>
      <c r="AL47" s="89" t="str">
        <f t="shared" si="12"/>
        <v>Kent</v>
      </c>
      <c r="AM47" s="143">
        <f t="shared" si="13"/>
        <v>133.01858056655499</v>
      </c>
      <c r="AN47" s="143">
        <f t="shared" si="13"/>
        <v>144.06779661016949</v>
      </c>
      <c r="AO47" s="143">
        <f t="shared" si="13"/>
        <v>146.93693693693695</v>
      </c>
      <c r="AP47" s="143">
        <f t="shared" si="13"/>
        <v>186.22433799464446</v>
      </c>
      <c r="AQ47" s="143">
        <f t="shared" si="13"/>
        <v>176.85974713319612</v>
      </c>
      <c r="AR47" s="144">
        <f t="shared" si="14"/>
        <v>15.8</v>
      </c>
      <c r="AS47" s="83"/>
      <c r="AT47" s="83"/>
      <c r="AU47" s="83"/>
      <c r="AV47" s="83"/>
      <c r="AW47" s="83"/>
    </row>
    <row r="48" spans="1:52" ht="14.25" customHeight="1" x14ac:dyDescent="0.2">
      <c r="A48" s="120"/>
      <c r="B48" s="58"/>
      <c r="C48" s="58"/>
      <c r="D48" s="58"/>
      <c r="E48" s="58"/>
      <c r="F48" s="58"/>
      <c r="G48" s="58"/>
      <c r="H48" s="58"/>
      <c r="I48" s="58"/>
      <c r="J48" s="13"/>
      <c r="K48" s="15"/>
      <c r="L48" s="15"/>
      <c r="M48" s="15"/>
      <c r="N48" s="15"/>
      <c r="O48" s="9"/>
      <c r="P48" s="9"/>
      <c r="Q48" s="9"/>
      <c r="R48" s="9"/>
      <c r="S48" s="9"/>
      <c r="T48" s="9"/>
      <c r="U48" s="9"/>
      <c r="V48" s="119"/>
      <c r="W48" s="138"/>
      <c r="X48" s="288"/>
      <c r="AD48" s="179"/>
      <c r="AJ48" s="560" t="b">
        <v>1</v>
      </c>
      <c r="AK48" s="156" t="s">
        <v>2</v>
      </c>
      <c r="AL48" s="89" t="str">
        <f t="shared" si="12"/>
        <v>Medway</v>
      </c>
      <c r="AM48" s="143">
        <f t="shared" si="13"/>
        <v>242.23999999999998</v>
      </c>
      <c r="AN48" s="143">
        <f t="shared" si="13"/>
        <v>258.06962025316454</v>
      </c>
      <c r="AO48" s="143">
        <f t="shared" si="13"/>
        <v>168.2888540031397</v>
      </c>
      <c r="AP48" s="143">
        <f t="shared" si="13"/>
        <v>184.82003129890452</v>
      </c>
      <c r="AQ48" s="143">
        <f t="shared" si="13"/>
        <v>234.31677018633542</v>
      </c>
      <c r="AR48" s="144">
        <f t="shared" si="14"/>
        <v>18.899999999999999</v>
      </c>
      <c r="AS48" s="83"/>
      <c r="AT48" s="83"/>
      <c r="AU48" s="83"/>
      <c r="AV48" s="83"/>
      <c r="AW48" s="83"/>
    </row>
    <row r="49" spans="1:49" ht="14.25" customHeight="1" x14ac:dyDescent="0.2">
      <c r="A49" s="120"/>
      <c r="B49" s="58"/>
      <c r="C49" s="58"/>
      <c r="D49" s="68"/>
      <c r="E49" s="69"/>
      <c r="F49" s="68"/>
      <c r="G49" s="69"/>
      <c r="H49" s="69"/>
      <c r="I49" s="69"/>
      <c r="J49" s="13"/>
      <c r="K49" s="15"/>
      <c r="L49" s="15"/>
      <c r="M49" s="15"/>
      <c r="N49" s="15"/>
      <c r="O49" s="9"/>
      <c r="P49" s="9"/>
      <c r="Q49" s="9"/>
      <c r="R49" s="9"/>
      <c r="S49" s="9"/>
      <c r="T49" s="9"/>
      <c r="U49" s="9"/>
      <c r="V49" s="119"/>
      <c r="W49" s="138"/>
      <c r="X49" s="288"/>
      <c r="AJ49" s="560" t="b">
        <v>1</v>
      </c>
      <c r="AK49" s="156" t="s">
        <v>10</v>
      </c>
      <c r="AL49" s="89" t="str">
        <f t="shared" si="12"/>
        <v>Milton Keynes</v>
      </c>
      <c r="AM49" s="143">
        <f t="shared" si="13"/>
        <v>85.429447852760731</v>
      </c>
      <c r="AN49" s="143">
        <f t="shared" si="13"/>
        <v>86.081694402420567</v>
      </c>
      <c r="AO49" s="143">
        <f t="shared" si="13"/>
        <v>115.64828614008943</v>
      </c>
      <c r="AP49" s="143">
        <f t="shared" si="13"/>
        <v>82.544378698224847</v>
      </c>
      <c r="AQ49" s="143">
        <f t="shared" si="13"/>
        <v>88.286969253294288</v>
      </c>
      <c r="AR49" s="144">
        <f t="shared" si="14"/>
        <v>15</v>
      </c>
      <c r="AS49" s="83"/>
      <c r="AT49" s="83"/>
      <c r="AU49" s="83"/>
      <c r="AV49" s="83"/>
      <c r="AW49" s="83"/>
    </row>
    <row r="50" spans="1:49" ht="14.25" customHeight="1" x14ac:dyDescent="0.2">
      <c r="A50" s="120"/>
      <c r="B50" s="58"/>
      <c r="C50" s="58"/>
      <c r="D50" s="61"/>
      <c r="E50" s="61"/>
      <c r="F50" s="61"/>
      <c r="G50" s="61"/>
      <c r="H50" s="61"/>
      <c r="I50" s="61"/>
      <c r="J50" s="13"/>
      <c r="K50" s="15"/>
      <c r="L50" s="15"/>
      <c r="M50" s="15"/>
      <c r="N50" s="15"/>
      <c r="O50" s="9"/>
      <c r="P50" s="9"/>
      <c r="Q50" s="9"/>
      <c r="R50" s="9"/>
      <c r="S50" s="9"/>
      <c r="T50" s="9"/>
      <c r="U50" s="9"/>
      <c r="V50" s="119"/>
      <c r="W50" s="138"/>
      <c r="X50" s="288"/>
      <c r="AJ50" s="560" t="b">
        <v>1</v>
      </c>
      <c r="AK50" s="156" t="s">
        <v>11</v>
      </c>
      <c r="AL50" s="89" t="str">
        <f t="shared" si="12"/>
        <v>Oxfordshire</v>
      </c>
      <c r="AM50" s="143">
        <f t="shared" si="13"/>
        <v>111.68555240793202</v>
      </c>
      <c r="AN50" s="143">
        <f t="shared" si="13"/>
        <v>131.45275035260931</v>
      </c>
      <c r="AO50" s="143">
        <f t="shared" si="13"/>
        <v>134.77956613016096</v>
      </c>
      <c r="AP50" s="143">
        <f t="shared" si="13"/>
        <v>125.87168758716875</v>
      </c>
      <c r="AQ50" s="143">
        <f t="shared" si="13"/>
        <v>129.35082872928177</v>
      </c>
      <c r="AR50" s="144">
        <f t="shared" si="14"/>
        <v>10.100000000000001</v>
      </c>
      <c r="AS50" s="83"/>
      <c r="AT50" s="83"/>
      <c r="AU50" s="83"/>
      <c r="AV50" s="83"/>
      <c r="AW50" s="83"/>
    </row>
    <row r="51" spans="1:49" ht="14.25" customHeight="1" x14ac:dyDescent="0.2">
      <c r="A51" s="120"/>
      <c r="B51" s="356"/>
      <c r="C51" s="356"/>
      <c r="D51" s="58"/>
      <c r="E51" s="58"/>
      <c r="F51" s="58"/>
      <c r="G51" s="58"/>
      <c r="H51" s="58"/>
      <c r="I51" s="58"/>
      <c r="J51" s="13"/>
      <c r="K51" s="15"/>
      <c r="L51" s="15"/>
      <c r="M51" s="15"/>
      <c r="N51" s="15"/>
      <c r="O51" s="9"/>
      <c r="P51" s="9"/>
      <c r="Q51" s="9"/>
      <c r="R51" s="9"/>
      <c r="S51" s="9"/>
      <c r="T51" s="9"/>
      <c r="U51" s="9"/>
      <c r="V51" s="119"/>
      <c r="W51" s="138"/>
      <c r="X51" s="288"/>
      <c r="AJ51" s="560" t="b">
        <v>1</v>
      </c>
      <c r="AK51" s="156" t="s">
        <v>12</v>
      </c>
      <c r="AL51" s="89" t="str">
        <f t="shared" si="12"/>
        <v>Portsmouth</v>
      </c>
      <c r="AM51" s="143">
        <f t="shared" ref="AM51:AQ64" si="15">VLOOKUP($AL51,$B$10:$O$33,AM$37,FALSE)</f>
        <v>248.61751152073734</v>
      </c>
      <c r="AN51" s="143">
        <f t="shared" si="15"/>
        <v>262.10045662100458</v>
      </c>
      <c r="AO51" s="143">
        <f t="shared" si="15"/>
        <v>281.81818181818181</v>
      </c>
      <c r="AP51" s="143">
        <f t="shared" si="15"/>
        <v>231.90045248868779</v>
      </c>
      <c r="AQ51" s="143">
        <f t="shared" si="15"/>
        <v>298.40909090909093</v>
      </c>
      <c r="AR51" s="144">
        <f t="shared" si="14"/>
        <v>20.200000000000003</v>
      </c>
      <c r="AS51" s="83"/>
      <c r="AT51" s="83"/>
      <c r="AU51" s="83"/>
      <c r="AV51" s="83"/>
      <c r="AW51" s="83"/>
    </row>
    <row r="52" spans="1:49" ht="14.25" customHeight="1" x14ac:dyDescent="0.2">
      <c r="A52" s="120"/>
      <c r="B52" s="356"/>
      <c r="C52" s="356"/>
      <c r="D52" s="58"/>
      <c r="E52" s="58"/>
      <c r="F52" s="58"/>
      <c r="G52" s="58"/>
      <c r="H52" s="58"/>
      <c r="I52" s="58"/>
      <c r="J52" s="13"/>
      <c r="K52" s="15"/>
      <c r="L52" s="15"/>
      <c r="M52" s="15"/>
      <c r="N52" s="15"/>
      <c r="O52" s="9"/>
      <c r="P52" s="9"/>
      <c r="Q52" s="9"/>
      <c r="R52" s="9"/>
      <c r="S52" s="9"/>
      <c r="T52" s="9"/>
      <c r="U52" s="9"/>
      <c r="V52" s="119"/>
      <c r="W52" s="138"/>
      <c r="X52" s="288"/>
      <c r="AJ52" s="560" t="b">
        <v>1</v>
      </c>
      <c r="AK52" s="156" t="s">
        <v>3</v>
      </c>
      <c r="AL52" s="89" t="str">
        <f t="shared" si="12"/>
        <v>Reading</v>
      </c>
      <c r="AM52" s="143">
        <f t="shared" si="15"/>
        <v>161.28133704735376</v>
      </c>
      <c r="AN52" s="143">
        <f t="shared" si="15"/>
        <v>267.30769230769232</v>
      </c>
      <c r="AO52" s="143">
        <f t="shared" si="15"/>
        <v>297.8142076502732</v>
      </c>
      <c r="AP52" s="143">
        <f t="shared" si="15"/>
        <v>226.41509433962261</v>
      </c>
      <c r="AQ52" s="143">
        <f t="shared" si="15"/>
        <v>277.89757412398922</v>
      </c>
      <c r="AR52" s="144">
        <f t="shared" si="14"/>
        <v>16</v>
      </c>
      <c r="AS52" s="83"/>
      <c r="AT52" s="83"/>
      <c r="AU52" s="83"/>
      <c r="AV52" s="83"/>
      <c r="AW52" s="83"/>
    </row>
    <row r="53" spans="1:49" ht="14.25" customHeight="1" x14ac:dyDescent="0.2">
      <c r="A53" s="120"/>
      <c r="B53" s="356"/>
      <c r="C53" s="356"/>
      <c r="D53" s="58"/>
      <c r="E53" s="58"/>
      <c r="F53" s="58"/>
      <c r="G53" s="58"/>
      <c r="H53" s="58"/>
      <c r="I53" s="58"/>
      <c r="J53" s="13"/>
      <c r="K53" s="15"/>
      <c r="L53" s="15"/>
      <c r="M53" s="15"/>
      <c r="N53" s="15"/>
      <c r="O53" s="9"/>
      <c r="P53" s="9"/>
      <c r="Q53" s="9"/>
      <c r="R53" s="9"/>
      <c r="S53" s="9"/>
      <c r="T53" s="9"/>
      <c r="U53" s="9"/>
      <c r="V53" s="119"/>
      <c r="W53" s="138"/>
      <c r="X53" s="288"/>
      <c r="AJ53" s="560" t="b">
        <v>1</v>
      </c>
      <c r="AK53" s="156" t="s">
        <v>13</v>
      </c>
      <c r="AL53" s="89" t="str">
        <f t="shared" si="12"/>
        <v>Slough</v>
      </c>
      <c r="AM53" s="143">
        <f t="shared" si="15"/>
        <v>235.33834586466165</v>
      </c>
      <c r="AN53" s="143">
        <f t="shared" si="15"/>
        <v>221.67487684729065</v>
      </c>
      <c r="AO53" s="143">
        <f t="shared" si="15"/>
        <v>211.59420289855072</v>
      </c>
      <c r="AP53" s="143">
        <f t="shared" si="15"/>
        <v>167.77251184834122</v>
      </c>
      <c r="AQ53" s="143">
        <f t="shared" si="15"/>
        <v>249.18032786885249</v>
      </c>
      <c r="AR53" s="144">
        <f t="shared" si="14"/>
        <v>14.7</v>
      </c>
      <c r="AS53" s="83"/>
      <c r="AT53" s="83"/>
      <c r="AU53" s="83"/>
      <c r="AV53" s="83"/>
      <c r="AW53" s="83"/>
    </row>
    <row r="54" spans="1:49" ht="14.25" customHeight="1" x14ac:dyDescent="0.2">
      <c r="A54" s="120"/>
      <c r="B54" s="356"/>
      <c r="C54" s="356"/>
      <c r="D54" s="58"/>
      <c r="E54" s="58"/>
      <c r="F54" s="58"/>
      <c r="G54" s="58"/>
      <c r="H54" s="58"/>
      <c r="I54" s="58"/>
      <c r="J54" s="13"/>
      <c r="K54" s="15"/>
      <c r="L54" s="15"/>
      <c r="M54" s="15"/>
      <c r="N54" s="15"/>
      <c r="O54" s="9"/>
      <c r="P54" s="9"/>
      <c r="Q54" s="9"/>
      <c r="R54" s="9"/>
      <c r="S54" s="9"/>
      <c r="T54" s="9"/>
      <c r="U54" s="9"/>
      <c r="V54" s="119"/>
      <c r="W54" s="138"/>
      <c r="X54" s="288"/>
      <c r="AJ54" s="560" t="b">
        <v>1</v>
      </c>
      <c r="AK54" s="156" t="s">
        <v>93</v>
      </c>
      <c r="AL54" s="89" t="str">
        <f t="shared" si="12"/>
        <v>Somerset</v>
      </c>
      <c r="AM54" s="143">
        <f t="shared" si="15"/>
        <v>187.41965105601469</v>
      </c>
      <c r="AN54" s="143">
        <f t="shared" si="15"/>
        <v>118.77289377289378</v>
      </c>
      <c r="AO54" s="143">
        <f t="shared" si="15"/>
        <v>143.75569735642662</v>
      </c>
      <c r="AP54" s="143">
        <f t="shared" si="15"/>
        <v>138.87375113533153</v>
      </c>
      <c r="AQ54" s="143">
        <f t="shared" si="15"/>
        <v>110.29810298102981</v>
      </c>
      <c r="AR54" s="144">
        <f t="shared" si="14"/>
        <v>13.600000000000001</v>
      </c>
      <c r="AS54" s="83"/>
      <c r="AT54" s="83"/>
      <c r="AU54" s="83"/>
      <c r="AV54" s="83"/>
      <c r="AW54" s="83"/>
    </row>
    <row r="55" spans="1:49" ht="14.25" customHeight="1" x14ac:dyDescent="0.2">
      <c r="A55" s="120"/>
      <c r="B55" s="356"/>
      <c r="C55" s="356"/>
      <c r="D55" s="58"/>
      <c r="E55" s="58"/>
      <c r="F55" s="58"/>
      <c r="G55" s="58"/>
      <c r="H55" s="58"/>
      <c r="I55" s="58"/>
      <c r="J55" s="13"/>
      <c r="K55" s="15"/>
      <c r="L55" s="15"/>
      <c r="M55" s="15"/>
      <c r="N55" s="15"/>
      <c r="O55" s="9"/>
      <c r="P55" s="9"/>
      <c r="Q55" s="9"/>
      <c r="R55" s="9"/>
      <c r="S55" s="9"/>
      <c r="T55" s="9"/>
      <c r="U55" s="9"/>
      <c r="V55" s="119"/>
      <c r="W55" s="138"/>
      <c r="X55" s="288"/>
      <c r="AJ55" s="560" t="b">
        <v>1</v>
      </c>
      <c r="AK55" s="156" t="s">
        <v>14</v>
      </c>
      <c r="AL55" s="89" t="str">
        <f t="shared" si="12"/>
        <v>Southampton</v>
      </c>
      <c r="AM55" s="143">
        <f t="shared" si="15"/>
        <v>436.21399176954736</v>
      </c>
      <c r="AN55" s="143">
        <f t="shared" si="15"/>
        <v>383.73983739837399</v>
      </c>
      <c r="AO55" s="143">
        <f t="shared" si="15"/>
        <v>270.9418837675351</v>
      </c>
      <c r="AP55" s="143">
        <f t="shared" si="15"/>
        <v>336.38170974155071</v>
      </c>
      <c r="AQ55" s="143">
        <f t="shared" si="15"/>
        <v>337.20472440944877</v>
      </c>
      <c r="AR55" s="144">
        <f t="shared" si="14"/>
        <v>20.5</v>
      </c>
      <c r="AS55" s="83"/>
      <c r="AT55" s="83"/>
      <c r="AU55" s="83"/>
      <c r="AV55" s="83"/>
      <c r="AW55" s="83"/>
    </row>
    <row r="56" spans="1:49" ht="14.25" customHeight="1" x14ac:dyDescent="0.2">
      <c r="A56" s="120"/>
      <c r="B56" s="356"/>
      <c r="C56" s="356"/>
      <c r="D56" s="58"/>
      <c r="E56" s="58"/>
      <c r="F56" s="58"/>
      <c r="G56" s="58"/>
      <c r="H56" s="58"/>
      <c r="I56" s="58"/>
      <c r="J56" s="13"/>
      <c r="K56" s="15"/>
      <c r="L56" s="15"/>
      <c r="M56" s="15"/>
      <c r="N56" s="15"/>
      <c r="O56" s="9"/>
      <c r="P56" s="9"/>
      <c r="Q56" s="9"/>
      <c r="R56" s="9"/>
      <c r="S56" s="9"/>
      <c r="T56" s="9"/>
      <c r="U56" s="9"/>
      <c r="V56" s="119"/>
      <c r="W56" s="138"/>
      <c r="X56" s="288"/>
      <c r="AJ56" s="560" t="b">
        <v>1</v>
      </c>
      <c r="AK56" s="156" t="s">
        <v>7</v>
      </c>
      <c r="AL56" s="89" t="str">
        <f t="shared" si="12"/>
        <v>Surrey</v>
      </c>
      <c r="AM56" s="143">
        <f t="shared" si="15"/>
        <v>127.57266300078554</v>
      </c>
      <c r="AN56" s="143">
        <f t="shared" si="15"/>
        <v>175.07800312012478</v>
      </c>
      <c r="AO56" s="143">
        <f t="shared" si="15"/>
        <v>164.78764478764478</v>
      </c>
      <c r="AP56" s="143">
        <f t="shared" si="15"/>
        <v>160.00768344218207</v>
      </c>
      <c r="AQ56" s="143">
        <f t="shared" si="15"/>
        <v>158.03741886216113</v>
      </c>
      <c r="AR56" s="144">
        <f t="shared" si="14"/>
        <v>8.3000000000000007</v>
      </c>
      <c r="AS56" s="83"/>
      <c r="AT56" s="83"/>
      <c r="AU56" s="83"/>
      <c r="AV56" s="83"/>
      <c r="AW56" s="83"/>
    </row>
    <row r="57" spans="1:49" ht="14.25" customHeight="1" x14ac:dyDescent="0.2">
      <c r="A57" s="271"/>
      <c r="B57" s="356"/>
      <c r="C57" s="356"/>
      <c r="D57" s="58"/>
      <c r="E57" s="58"/>
      <c r="F57" s="58"/>
      <c r="G57" s="58"/>
      <c r="H57" s="58"/>
      <c r="I57" s="58"/>
      <c r="J57" s="13"/>
      <c r="K57" s="15"/>
      <c r="L57" s="15"/>
      <c r="M57" s="15"/>
      <c r="N57" s="15"/>
      <c r="O57" s="9"/>
      <c r="P57" s="9"/>
      <c r="Q57" s="9"/>
      <c r="R57" s="9"/>
      <c r="S57" s="9"/>
      <c r="T57" s="9"/>
      <c r="U57" s="9"/>
      <c r="V57" s="119"/>
      <c r="W57" s="138"/>
      <c r="X57" s="288"/>
      <c r="AJ57" s="560" t="b">
        <v>1</v>
      </c>
      <c r="AK57" s="156" t="s">
        <v>114</v>
      </c>
      <c r="AL57" s="89" t="str">
        <f t="shared" si="12"/>
        <v>Swindon</v>
      </c>
      <c r="AM57" s="143">
        <f t="shared" si="15"/>
        <v>119.54732510288066</v>
      </c>
      <c r="AN57" s="143">
        <f t="shared" si="15"/>
        <v>156.32653061224491</v>
      </c>
      <c r="AO57" s="143">
        <f t="shared" si="15"/>
        <v>185.45454545454547</v>
      </c>
      <c r="AP57" s="143">
        <f t="shared" si="15"/>
        <v>203.20641282565131</v>
      </c>
      <c r="AQ57" s="143">
        <f t="shared" si="15"/>
        <v>210.75697211155378</v>
      </c>
      <c r="AR57" s="144">
        <f t="shared" si="14"/>
        <v>14.899999999999999</v>
      </c>
      <c r="AS57" s="83"/>
      <c r="AT57" s="83"/>
      <c r="AU57" s="83"/>
      <c r="AV57" s="83"/>
      <c r="AW57" s="83"/>
    </row>
    <row r="58" spans="1:49" ht="14.25" customHeight="1" x14ac:dyDescent="0.2">
      <c r="A58" s="271"/>
      <c r="B58" s="356"/>
      <c r="C58" s="356"/>
      <c r="D58" s="58"/>
      <c r="E58" s="58"/>
      <c r="F58" s="58"/>
      <c r="G58" s="58"/>
      <c r="H58" s="58"/>
      <c r="I58" s="58"/>
      <c r="J58" s="13"/>
      <c r="K58" s="15"/>
      <c r="L58" s="15"/>
      <c r="M58" s="15"/>
      <c r="N58" s="15"/>
      <c r="O58" s="9"/>
      <c r="P58" s="9"/>
      <c r="Q58" s="9"/>
      <c r="R58" s="9"/>
      <c r="S58" s="9"/>
      <c r="T58" s="9"/>
      <c r="U58" s="9"/>
      <c r="V58" s="119"/>
      <c r="W58" s="138"/>
      <c r="X58" s="288"/>
      <c r="AJ58" s="560" t="b">
        <v>1</v>
      </c>
      <c r="AK58" s="156" t="s">
        <v>115</v>
      </c>
      <c r="AL58" s="89" t="str">
        <f t="shared" si="12"/>
        <v>Torbay</v>
      </c>
      <c r="AM58" s="143">
        <f t="shared" si="15"/>
        <v>274.50199203187248</v>
      </c>
      <c r="AN58" s="143">
        <f t="shared" si="15"/>
        <v>313.09523809523807</v>
      </c>
      <c r="AO58" s="143">
        <f t="shared" si="15"/>
        <v>299.21259842519686</v>
      </c>
      <c r="AP58" s="143">
        <f t="shared" si="15"/>
        <v>272.44094488188978</v>
      </c>
      <c r="AQ58" s="143">
        <f t="shared" si="15"/>
        <v>305.51181102362204</v>
      </c>
      <c r="AR58" s="144">
        <f t="shared" si="14"/>
        <v>21.9</v>
      </c>
      <c r="AS58" s="83"/>
      <c r="AT58" s="83"/>
      <c r="AU58" s="83"/>
      <c r="AV58" s="83"/>
      <c r="AW58" s="83"/>
    </row>
    <row r="59" spans="1:49" ht="14.25" customHeight="1" x14ac:dyDescent="0.2">
      <c r="A59" s="120"/>
      <c r="B59" s="356"/>
      <c r="C59" s="356"/>
      <c r="D59" s="58"/>
      <c r="E59" s="58"/>
      <c r="F59" s="58"/>
      <c r="G59" s="58"/>
      <c r="H59" s="58"/>
      <c r="I59" s="58"/>
      <c r="J59" s="13"/>
      <c r="K59" s="15"/>
      <c r="L59" s="15"/>
      <c r="M59" s="15"/>
      <c r="N59" s="15"/>
      <c r="O59" s="9"/>
      <c r="P59" s="9"/>
      <c r="Q59" s="9"/>
      <c r="R59" s="9"/>
      <c r="S59" s="9"/>
      <c r="T59" s="9"/>
      <c r="U59" s="9"/>
      <c r="V59" s="119"/>
      <c r="W59" s="138"/>
      <c r="X59" s="288"/>
      <c r="AJ59" s="560" t="b">
        <v>1</v>
      </c>
      <c r="AK59" s="156" t="s">
        <v>15</v>
      </c>
      <c r="AL59" s="89" t="str">
        <f t="shared" si="12"/>
        <v>West Berkshire</v>
      </c>
      <c r="AM59" s="143">
        <f t="shared" si="15"/>
        <v>139.32584269662922</v>
      </c>
      <c r="AN59" s="143">
        <f t="shared" si="15"/>
        <v>180.39215686274511</v>
      </c>
      <c r="AO59" s="143">
        <f t="shared" si="15"/>
        <v>154.03899721448468</v>
      </c>
      <c r="AP59" s="143">
        <f t="shared" si="15"/>
        <v>173.46368715083798</v>
      </c>
      <c r="AQ59" s="143">
        <f t="shared" si="15"/>
        <v>156.17977528089887</v>
      </c>
      <c r="AR59" s="144">
        <f t="shared" si="14"/>
        <v>8.6999999999999993</v>
      </c>
      <c r="AS59" s="83"/>
      <c r="AT59" s="83"/>
      <c r="AU59" s="83"/>
      <c r="AV59" s="83"/>
      <c r="AW59" s="83"/>
    </row>
    <row r="60" spans="1:49" ht="14.25" customHeight="1" x14ac:dyDescent="0.2">
      <c r="A60" s="120"/>
      <c r="B60" s="356"/>
      <c r="C60" s="356"/>
      <c r="D60" s="58"/>
      <c r="E60" s="58"/>
      <c r="F60" s="58"/>
      <c r="G60" s="58"/>
      <c r="H60" s="58"/>
      <c r="I60" s="58"/>
      <c r="J60" s="13"/>
      <c r="K60" s="15"/>
      <c r="L60" s="15"/>
      <c r="M60" s="15"/>
      <c r="N60" s="15"/>
      <c r="O60" s="9"/>
      <c r="P60" s="9"/>
      <c r="Q60" s="9"/>
      <c r="R60" s="9"/>
      <c r="S60" s="9"/>
      <c r="T60" s="9"/>
      <c r="U60" s="9"/>
      <c r="V60" s="119"/>
      <c r="W60" s="138"/>
      <c r="X60" s="288"/>
      <c r="AJ60" s="560" t="b">
        <v>1</v>
      </c>
      <c r="AK60" s="156" t="s">
        <v>5</v>
      </c>
      <c r="AL60" s="89" t="str">
        <f t="shared" si="12"/>
        <v>West Sussex</v>
      </c>
      <c r="AM60" s="143">
        <f t="shared" si="15"/>
        <v>117.18009478672987</v>
      </c>
      <c r="AN60" s="143">
        <f t="shared" si="15"/>
        <v>105.92723004694835</v>
      </c>
      <c r="AO60" s="143">
        <f t="shared" si="15"/>
        <v>126.25145518044236</v>
      </c>
      <c r="AP60" s="143">
        <f t="shared" si="15"/>
        <v>173.28332371609926</v>
      </c>
      <c r="AQ60" s="143">
        <f t="shared" si="15"/>
        <v>165.65540927303948</v>
      </c>
      <c r="AR60" s="144">
        <f t="shared" si="14"/>
        <v>11</v>
      </c>
      <c r="AS60" s="83"/>
      <c r="AT60" s="83"/>
      <c r="AU60" s="83"/>
      <c r="AV60" s="83"/>
      <c r="AW60" s="83"/>
    </row>
    <row r="61" spans="1:49" s="83" customFormat="1" ht="14.25" customHeight="1" x14ac:dyDescent="0.2">
      <c r="A61" s="120"/>
      <c r="B61" s="356"/>
      <c r="C61" s="356"/>
      <c r="D61" s="58"/>
      <c r="E61" s="58"/>
      <c r="F61" s="58"/>
      <c r="G61" s="58"/>
      <c r="H61" s="58"/>
      <c r="I61" s="58"/>
      <c r="J61" s="13"/>
      <c r="K61" s="15"/>
      <c r="L61" s="15"/>
      <c r="M61" s="15"/>
      <c r="N61" s="15"/>
      <c r="O61" s="9"/>
      <c r="P61" s="9"/>
      <c r="Q61" s="9"/>
      <c r="R61" s="9"/>
      <c r="S61" s="9"/>
      <c r="T61" s="9"/>
      <c r="U61" s="9"/>
      <c r="V61" s="119"/>
      <c r="W61" s="138"/>
      <c r="X61" s="288"/>
      <c r="AJ61" s="560" t="b">
        <v>1</v>
      </c>
      <c r="AK61" s="156" t="s">
        <v>30</v>
      </c>
      <c r="AL61" s="89" t="str">
        <f t="shared" si="12"/>
        <v>Windsor &amp; Maidenhead</v>
      </c>
      <c r="AM61" s="143">
        <f t="shared" si="15"/>
        <v>97.305389221556894</v>
      </c>
      <c r="AN61" s="143">
        <f t="shared" si="15"/>
        <v>129.67359050445106</v>
      </c>
      <c r="AO61" s="143">
        <f t="shared" si="15"/>
        <v>133.62573099415204</v>
      </c>
      <c r="AP61" s="143">
        <f t="shared" si="15"/>
        <v>101.74418604651163</v>
      </c>
      <c r="AQ61" s="143">
        <f t="shared" si="15"/>
        <v>150.86705202312137</v>
      </c>
      <c r="AR61" s="144">
        <f t="shared" si="14"/>
        <v>6.7</v>
      </c>
    </row>
    <row r="62" spans="1:49" s="83" customFormat="1" ht="14.25" customHeight="1" x14ac:dyDescent="0.2">
      <c r="A62" s="120"/>
      <c r="B62" s="356"/>
      <c r="C62" s="356"/>
      <c r="D62" s="58"/>
      <c r="E62" s="58"/>
      <c r="F62" s="58"/>
      <c r="G62" s="58"/>
      <c r="H62" s="58"/>
      <c r="I62" s="58"/>
      <c r="J62" s="13"/>
      <c r="K62" s="15"/>
      <c r="L62" s="15"/>
      <c r="M62" s="15"/>
      <c r="N62" s="15"/>
      <c r="O62" s="9"/>
      <c r="P62" s="9"/>
      <c r="Q62" s="9"/>
      <c r="R62" s="9"/>
      <c r="S62" s="9"/>
      <c r="T62" s="9"/>
      <c r="U62" s="9"/>
      <c r="V62" s="119"/>
      <c r="W62" s="138"/>
      <c r="X62" s="288"/>
      <c r="AJ62" s="560" t="b">
        <v>1</v>
      </c>
      <c r="AK62" s="156" t="s">
        <v>16</v>
      </c>
      <c r="AL62" s="89" t="str">
        <f t="shared" si="12"/>
        <v>Wokingham</v>
      </c>
      <c r="AM62" s="143">
        <f t="shared" si="15"/>
        <v>68.563685636856377</v>
      </c>
      <c r="AN62" s="143">
        <f t="shared" si="15"/>
        <v>92.761394101876675</v>
      </c>
      <c r="AO62" s="143">
        <f t="shared" si="15"/>
        <v>69.21052631578948</v>
      </c>
      <c r="AP62" s="143">
        <f t="shared" si="15"/>
        <v>121.70542635658914</v>
      </c>
      <c r="AQ62" s="143">
        <f t="shared" si="15"/>
        <v>165.82278481012659</v>
      </c>
      <c r="AR62" s="144">
        <f t="shared" si="14"/>
        <v>5.6000000000000005</v>
      </c>
    </row>
    <row r="63" spans="1:49" s="83" customFormat="1" ht="14.25" customHeight="1" x14ac:dyDescent="0.2">
      <c r="A63" s="120"/>
      <c r="B63" s="356"/>
      <c r="C63" s="356"/>
      <c r="D63" s="58"/>
      <c r="E63" s="58"/>
      <c r="F63" s="58"/>
      <c r="G63" s="58"/>
      <c r="H63" s="58"/>
      <c r="I63" s="58"/>
      <c r="J63" s="13"/>
      <c r="K63" s="15"/>
      <c r="L63" s="15"/>
      <c r="M63" s="15"/>
      <c r="N63" s="15"/>
      <c r="O63" s="9"/>
      <c r="P63" s="9"/>
      <c r="Q63" s="9"/>
      <c r="R63" s="9"/>
      <c r="S63" s="9"/>
      <c r="T63" s="9"/>
      <c r="U63" s="9"/>
      <c r="V63" s="119"/>
      <c r="W63" s="138"/>
      <c r="X63" s="288"/>
      <c r="AJ63" s="560" t="b">
        <v>1</v>
      </c>
      <c r="AK63" s="156" t="s">
        <v>74</v>
      </c>
      <c r="AL63" s="89" t="str">
        <f t="shared" si="12"/>
        <v>South East</v>
      </c>
      <c r="AM63" s="143">
        <f t="shared" si="15"/>
        <v>150.17853392144508</v>
      </c>
      <c r="AN63" s="143">
        <f t="shared" si="15"/>
        <v>159.74141077107555</v>
      </c>
      <c r="AO63" s="143">
        <f t="shared" si="15"/>
        <v>159.4330350214681</v>
      </c>
      <c r="AP63" s="143">
        <f t="shared" si="15"/>
        <v>166.67524049591029</v>
      </c>
      <c r="AQ63" s="143">
        <f t="shared" si="15"/>
        <v>172.11607234086031</v>
      </c>
      <c r="AR63" s="144">
        <f t="shared" si="14"/>
        <v>12.371268250968637</v>
      </c>
    </row>
    <row r="64" spans="1:49" s="83" customFormat="1" ht="14.25" customHeight="1" x14ac:dyDescent="0.2">
      <c r="A64" s="120"/>
      <c r="B64" s="356"/>
      <c r="C64" s="356"/>
      <c r="D64" s="58"/>
      <c r="E64" s="58"/>
      <c r="F64" s="58"/>
      <c r="G64" s="58"/>
      <c r="H64" s="58"/>
      <c r="I64" s="58"/>
      <c r="J64" s="13"/>
      <c r="K64" s="9"/>
      <c r="L64" s="112"/>
      <c r="M64" s="1468" t="s">
        <v>72</v>
      </c>
      <c r="N64" s="1450"/>
      <c r="O64" s="1450"/>
      <c r="P64" s="1469"/>
      <c r="Q64" s="869"/>
      <c r="R64" s="1462" t="s">
        <v>101</v>
      </c>
      <c r="S64" s="1463"/>
      <c r="T64" s="1463"/>
      <c r="U64" s="1470"/>
      <c r="V64" s="119"/>
      <c r="W64" s="138"/>
      <c r="X64" s="288"/>
      <c r="AJ64" s="560" t="b">
        <v>1</v>
      </c>
      <c r="AK64" s="156" t="s">
        <v>126</v>
      </c>
      <c r="AL64" s="89" t="str">
        <f t="shared" si="12"/>
        <v>England</v>
      </c>
      <c r="AM64" s="143">
        <f t="shared" si="15"/>
        <v>138.15920011732533</v>
      </c>
      <c r="AN64" s="143">
        <f t="shared" si="15"/>
        <v>147.5350876441826</v>
      </c>
      <c r="AO64" s="143">
        <f t="shared" si="15"/>
        <v>157.35704649011907</v>
      </c>
      <c r="AP64" s="143">
        <f t="shared" si="15"/>
        <v>166.92508637397827</v>
      </c>
      <c r="AQ64" s="143">
        <f t="shared" si="15"/>
        <v>168.278319642648</v>
      </c>
      <c r="AR64" s="144">
        <f t="shared" si="14"/>
        <v>17.084413405029373</v>
      </c>
    </row>
    <row r="65" spans="1:49" s="83" customFormat="1" ht="14.25" customHeight="1" x14ac:dyDescent="0.2">
      <c r="A65" s="120"/>
      <c r="B65" s="356"/>
      <c r="C65" s="356"/>
      <c r="D65" s="58"/>
      <c r="E65" s="58"/>
      <c r="F65" s="58"/>
      <c r="G65" s="58"/>
      <c r="H65" s="58"/>
      <c r="I65" s="58"/>
      <c r="J65" s="13"/>
      <c r="K65" s="9"/>
      <c r="L65" s="113"/>
      <c r="M65" s="1462" t="str">
        <f>AA4</f>
        <v>Selected LA- (none)</v>
      </c>
      <c r="N65" s="1463"/>
      <c r="O65" s="1463"/>
      <c r="P65" s="1463"/>
      <c r="Q65" s="112"/>
      <c r="R65" s="1466" t="s">
        <v>184</v>
      </c>
      <c r="S65" s="1466"/>
      <c r="T65" s="1466"/>
      <c r="U65" s="1467"/>
      <c r="V65" s="119"/>
      <c r="W65" s="138"/>
      <c r="X65" s="147"/>
      <c r="AK65" s="157"/>
      <c r="AL65" s="76" t="str">
        <f>AA4</f>
        <v>Selected LA- (none)</v>
      </c>
      <c r="AM65" s="145" t="e">
        <f>VLOOKUP($Z4,$B$10:$O$32,AM$37,FALSE)</f>
        <v>#N/A</v>
      </c>
      <c r="AN65" s="145" t="e">
        <f>VLOOKUP($Z4,$B$10:$O$32,AN$37,FALSE)</f>
        <v>#N/A</v>
      </c>
      <c r="AO65" s="145" t="e">
        <f>VLOOKUP($Z4,$B$10:$O$32,AO$37,FALSE)</f>
        <v>#N/A</v>
      </c>
      <c r="AP65" s="145" t="e">
        <f>VLOOKUP($Z4,$B$10:$O$32,AP$37,FALSE)</f>
        <v>#N/A</v>
      </c>
      <c r="AQ65" s="145" t="e">
        <f>VLOOKUP($Z4,$B$10:$O$32,AQ$37,FALSE)</f>
        <v>#N/A</v>
      </c>
      <c r="AR65" s="144" t="e">
        <f>VLOOKUP(Z4,$B$10:$U$33,$AR$37,FALSE)</f>
        <v>#N/A</v>
      </c>
    </row>
    <row r="66" spans="1:49" s="83" customFormat="1" ht="42" customHeight="1" x14ac:dyDescent="0.2">
      <c r="A66" s="120"/>
      <c r="B66" s="356"/>
      <c r="C66" s="356"/>
      <c r="D66" s="58"/>
      <c r="E66" s="58"/>
      <c r="F66" s="58"/>
      <c r="G66" s="58"/>
      <c r="H66" s="58"/>
      <c r="I66" s="58"/>
      <c r="J66" s="13"/>
      <c r="K66" s="9"/>
      <c r="L66" s="9"/>
      <c r="M66" s="9"/>
      <c r="N66" s="9"/>
      <c r="O66" s="9"/>
      <c r="P66" s="9"/>
      <c r="Q66" s="9"/>
      <c r="R66" s="9"/>
      <c r="S66" s="9"/>
      <c r="T66" s="9"/>
      <c r="U66" s="9"/>
      <c r="V66" s="119"/>
      <c r="W66" s="138"/>
      <c r="X66" s="147"/>
      <c r="AK66" s="157"/>
    </row>
    <row r="67" spans="1:49" s="89" customFormat="1" ht="41.25" customHeight="1" x14ac:dyDescent="0.2">
      <c r="A67" s="123"/>
      <c r="B67" s="111"/>
      <c r="C67" s="111"/>
      <c r="D67" s="111"/>
      <c r="E67" s="111"/>
      <c r="F67" s="111"/>
      <c r="G67" s="111"/>
      <c r="H67" s="111"/>
      <c r="I67" s="111"/>
      <c r="J67" s="98"/>
      <c r="K67" s="87"/>
      <c r="L67" s="87"/>
      <c r="M67" s="87"/>
      <c r="N67" s="87"/>
      <c r="O67" s="87"/>
      <c r="P67" s="87"/>
      <c r="Q67" s="87"/>
      <c r="R67" s="87"/>
      <c r="S67" s="87"/>
      <c r="T67" s="87"/>
      <c r="U67" s="87"/>
      <c r="V67" s="124"/>
      <c r="W67" s="140"/>
      <c r="X67" s="149"/>
      <c r="AE67" s="185"/>
      <c r="AF67" s="185"/>
      <c r="AG67" s="185"/>
      <c r="AH67" s="185"/>
      <c r="AI67" s="185"/>
      <c r="AJ67" s="199"/>
      <c r="AK67" s="156"/>
      <c r="AS67" s="83"/>
      <c r="AT67" s="83"/>
      <c r="AU67" s="83"/>
      <c r="AV67" s="83"/>
      <c r="AW67" s="83"/>
    </row>
    <row r="68" spans="1:49" s="89" customFormat="1" ht="42.75" customHeight="1" x14ac:dyDescent="0.2">
      <c r="A68" s="123"/>
      <c r="B68" s="111"/>
      <c r="C68" s="111"/>
      <c r="D68" s="111"/>
      <c r="E68" s="111"/>
      <c r="F68" s="111"/>
      <c r="G68" s="111"/>
      <c r="H68" s="111"/>
      <c r="I68" s="111"/>
      <c r="J68" s="98"/>
      <c r="K68" s="87"/>
      <c r="L68" s="87"/>
      <c r="M68" s="87"/>
      <c r="N68" s="87"/>
      <c r="O68" s="87"/>
      <c r="P68" s="87"/>
      <c r="Q68" s="87"/>
      <c r="R68" s="87"/>
      <c r="S68" s="87"/>
      <c r="T68" s="87"/>
      <c r="U68" s="87"/>
      <c r="V68" s="124"/>
      <c r="W68" s="140"/>
      <c r="X68" s="149"/>
      <c r="AE68" s="185"/>
      <c r="AF68" s="185"/>
      <c r="AG68" s="185"/>
      <c r="AH68" s="185"/>
      <c r="AI68" s="185"/>
      <c r="AJ68" s="199"/>
      <c r="AK68" s="156"/>
    </row>
    <row r="69" spans="1:49" ht="7.5" customHeight="1" x14ac:dyDescent="0.2">
      <c r="A69" s="120"/>
      <c r="B69" s="18"/>
      <c r="C69" s="18"/>
      <c r="D69" s="17"/>
      <c r="E69" s="17"/>
      <c r="F69" s="17"/>
      <c r="G69" s="17"/>
      <c r="H69" s="17"/>
      <c r="I69" s="17"/>
      <c r="J69" s="13"/>
      <c r="K69" s="19"/>
      <c r="L69" s="19"/>
      <c r="M69" s="19"/>
      <c r="N69" s="19"/>
      <c r="O69" s="19"/>
      <c r="P69" s="19"/>
      <c r="Q69" s="19"/>
      <c r="R69" s="19"/>
      <c r="S69" s="19"/>
      <c r="T69" s="19"/>
      <c r="U69" s="20"/>
      <c r="V69" s="119"/>
      <c r="W69" s="138"/>
      <c r="X69" s="147"/>
      <c r="Y69" s="89"/>
      <c r="Z69" s="89"/>
      <c r="AA69" s="89"/>
      <c r="AB69" s="89"/>
      <c r="AC69" s="89"/>
      <c r="AD69" s="89"/>
      <c r="AJ69" s="179"/>
      <c r="AK69" s="153"/>
    </row>
    <row r="70" spans="1:49"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1"/>
      <c r="V70" s="1422"/>
      <c r="W70" s="138"/>
      <c r="X70" s="147"/>
      <c r="Y70" s="89"/>
      <c r="Z70" s="89"/>
      <c r="AA70" s="89"/>
      <c r="AB70" s="89"/>
      <c r="AC70" s="89"/>
      <c r="AD70" s="89"/>
      <c r="AJ70" s="179"/>
      <c r="AK70" s="153"/>
    </row>
    <row r="71" spans="1:49"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0"/>
      <c r="J71" s="1429"/>
      <c r="K71" s="1429"/>
      <c r="L71" s="1429"/>
      <c r="M71" s="1429"/>
      <c r="N71" s="1429"/>
      <c r="O71" s="1429"/>
      <c r="P71" s="1431"/>
      <c r="Q71" s="1429"/>
      <c r="R71" s="1429"/>
      <c r="S71" s="1429"/>
      <c r="T71" s="1430"/>
      <c r="U71" s="1429"/>
      <c r="V71" s="1432"/>
      <c r="W71" s="138"/>
      <c r="X71" s="147"/>
      <c r="Y71" s="89"/>
      <c r="Z71" s="89"/>
      <c r="AA71" s="89"/>
      <c r="AB71" s="89"/>
      <c r="AC71" s="89"/>
      <c r="AD71" s="89"/>
      <c r="AJ71" s="179"/>
      <c r="AK71" s="153"/>
    </row>
    <row r="72" spans="1:49" ht="11.25" customHeight="1" x14ac:dyDescent="0.2">
      <c r="A72" s="114"/>
      <c r="B72" s="115"/>
      <c r="C72" s="115"/>
      <c r="D72" s="115"/>
      <c r="E72" s="115"/>
      <c r="F72" s="115"/>
      <c r="G72" s="115"/>
      <c r="H72" s="115"/>
      <c r="I72" s="115"/>
      <c r="J72" s="116"/>
      <c r="K72" s="115"/>
      <c r="L72" s="115"/>
      <c r="M72" s="115"/>
      <c r="N72" s="115"/>
      <c r="O72" s="115"/>
      <c r="P72" s="115"/>
      <c r="Q72" s="115"/>
      <c r="R72" s="115"/>
      <c r="S72" s="115"/>
      <c r="T72" s="115"/>
      <c r="U72" s="115"/>
      <c r="V72" s="117"/>
      <c r="W72" s="138"/>
      <c r="X72" s="147"/>
      <c r="Y72" s="183"/>
      <c r="Z72" s="183"/>
      <c r="AA72" s="183"/>
      <c r="AJ72" s="179"/>
      <c r="AK72" s="153"/>
    </row>
    <row r="73" spans="1:49" s="78" customFormat="1" ht="15" customHeight="1" x14ac:dyDescent="0.2">
      <c r="A73" s="121"/>
      <c r="B73" s="59"/>
      <c r="C73" s="355"/>
      <c r="D73" s="355"/>
      <c r="E73" s="355"/>
      <c r="F73" s="355"/>
      <c r="G73" s="355"/>
      <c r="H73" s="355"/>
      <c r="I73" s="355"/>
      <c r="J73" s="69"/>
      <c r="K73" s="69"/>
      <c r="L73" s="69"/>
      <c r="M73" s="69"/>
      <c r="N73" s="352"/>
      <c r="O73" s="69"/>
      <c r="P73" s="69"/>
      <c r="Q73" s="69"/>
      <c r="R73" s="69"/>
      <c r="S73" s="69"/>
      <c r="T73" s="69"/>
      <c r="U73" s="69"/>
      <c r="V73" s="122"/>
      <c r="W73" s="139"/>
      <c r="X73" s="148"/>
      <c r="Y73" s="183"/>
      <c r="Z73" s="183"/>
      <c r="AA73" s="183"/>
      <c r="AB73" s="183"/>
      <c r="AC73" s="183"/>
      <c r="AD73" s="183"/>
      <c r="AE73" s="183"/>
      <c r="AF73" s="183"/>
      <c r="AG73" s="183"/>
      <c r="AH73" s="183"/>
      <c r="AI73" s="183"/>
      <c r="AJ73" s="183"/>
      <c r="AK73" s="154"/>
    </row>
    <row r="74" spans="1:49" ht="13.5" customHeight="1" x14ac:dyDescent="0.2">
      <c r="A74" s="120"/>
      <c r="B74" s="355"/>
      <c r="C74" s="355"/>
      <c r="D74" s="355"/>
      <c r="E74" s="355"/>
      <c r="F74" s="355"/>
      <c r="G74" s="355"/>
      <c r="H74" s="355"/>
      <c r="I74" s="355"/>
      <c r="J74" s="69"/>
      <c r="K74" s="69"/>
      <c r="L74" s="69"/>
      <c r="M74" s="69"/>
      <c r="N74" s="352"/>
      <c r="O74" s="69"/>
      <c r="P74" s="69"/>
      <c r="Q74" s="69"/>
      <c r="R74" s="10"/>
      <c r="S74" s="69"/>
      <c r="T74" s="69"/>
      <c r="U74" s="69"/>
      <c r="V74" s="119"/>
      <c r="W74" s="138"/>
      <c r="X74" s="147"/>
      <c r="Y74" s="183"/>
      <c r="Z74" s="183"/>
      <c r="AA74" s="191"/>
      <c r="AB74" s="191"/>
      <c r="AC74" s="192"/>
      <c r="AD74" s="192"/>
      <c r="AJ74" s="179"/>
      <c r="AK74" s="153"/>
    </row>
    <row r="75" spans="1:49" s="89" customFormat="1" ht="12" customHeight="1" x14ac:dyDescent="0.2">
      <c r="A75" s="123"/>
      <c r="B75" s="355"/>
      <c r="C75" s="355"/>
      <c r="D75" s="355"/>
      <c r="E75" s="355"/>
      <c r="F75" s="355"/>
      <c r="G75" s="355"/>
      <c r="H75" s="355"/>
      <c r="I75" s="98"/>
      <c r="J75" s="98"/>
      <c r="K75" s="61"/>
      <c r="L75" s="61"/>
      <c r="M75" s="61"/>
      <c r="N75" s="61"/>
      <c r="O75" s="61"/>
      <c r="P75" s="61"/>
      <c r="Q75" s="358"/>
      <c r="R75" s="358"/>
      <c r="S75" s="155"/>
      <c r="T75" s="155"/>
      <c r="U75" s="359"/>
      <c r="V75" s="124"/>
      <c r="W75" s="140"/>
      <c r="X75" s="149"/>
      <c r="Y75" s="183"/>
      <c r="Z75" s="183"/>
      <c r="AA75" s="191"/>
      <c r="AB75" s="191"/>
      <c r="AC75" s="192"/>
      <c r="AD75" s="192"/>
      <c r="AE75" s="194"/>
      <c r="AF75" s="185"/>
      <c r="AG75" s="185"/>
      <c r="AH75" s="185"/>
      <c r="AI75" s="185"/>
      <c r="AJ75" s="199"/>
      <c r="AK75" s="156"/>
    </row>
    <row r="76" spans="1:49" s="89" customFormat="1" ht="24" customHeight="1" x14ac:dyDescent="0.2">
      <c r="A76" s="123"/>
      <c r="B76" s="355"/>
      <c r="C76" s="355"/>
      <c r="D76" s="355"/>
      <c r="E76" s="355"/>
      <c r="F76" s="355"/>
      <c r="G76" s="355"/>
      <c r="H76" s="355"/>
      <c r="I76" s="98"/>
      <c r="J76" s="98"/>
      <c r="K76" s="162"/>
      <c r="L76" s="162"/>
      <c r="M76" s="162"/>
      <c r="N76" s="162"/>
      <c r="O76" s="162"/>
      <c r="P76" s="162"/>
      <c r="Q76" s="162"/>
      <c r="R76" s="163"/>
      <c r="S76" s="155"/>
      <c r="T76" s="155"/>
      <c r="U76" s="162"/>
      <c r="V76" s="124"/>
      <c r="W76" s="140"/>
      <c r="X76" s="149"/>
      <c r="Z76" s="346" t="s">
        <v>129</v>
      </c>
      <c r="AA76" s="347" t="s">
        <v>130</v>
      </c>
      <c r="AB76" s="191"/>
      <c r="AC76" s="192"/>
      <c r="AD76" s="192"/>
      <c r="AE76" s="194"/>
      <c r="AF76" s="185"/>
      <c r="AG76" s="185"/>
      <c r="AH76" s="185"/>
      <c r="AI76" s="185"/>
      <c r="AJ76" s="199"/>
      <c r="AK76" s="156"/>
    </row>
    <row r="77" spans="1:49" s="89" customFormat="1" ht="12.75" customHeight="1" x14ac:dyDescent="0.2">
      <c r="A77" s="123"/>
      <c r="B77" s="355"/>
      <c r="C77" s="355"/>
      <c r="D77" s="355"/>
      <c r="E77" s="355"/>
      <c r="F77" s="355"/>
      <c r="G77" s="355"/>
      <c r="H77" s="355"/>
      <c r="I77" s="98"/>
      <c r="J77" s="98"/>
      <c r="K77" s="162"/>
      <c r="L77" s="162"/>
      <c r="M77" s="162"/>
      <c r="N77" s="162"/>
      <c r="O77" s="162"/>
      <c r="P77" s="162"/>
      <c r="Q77" s="162"/>
      <c r="R77" s="163"/>
      <c r="S77" s="155"/>
      <c r="T77" s="155"/>
      <c r="U77" s="162"/>
      <c r="V77" s="124"/>
      <c r="W77" s="140"/>
      <c r="X77" s="149"/>
      <c r="Y77" s="348" t="str">
        <f t="shared" ref="Y77:Y100" si="16">B10</f>
        <v>Bracknell Forest</v>
      </c>
      <c r="Z77" s="349" t="e">
        <f t="shared" ref="Z77:Z100" si="17">IF(Y77=$Z$4,I10,#N/A)</f>
        <v>#N/A</v>
      </c>
      <c r="AA77" s="349" t="e">
        <f>IF(Y77=$Z$4,U10,#N/A)</f>
        <v>#N/A</v>
      </c>
      <c r="AB77" s="191"/>
      <c r="AC77" s="192"/>
      <c r="AD77" s="192"/>
      <c r="AE77" s="194"/>
      <c r="AF77" s="185"/>
      <c r="AG77" s="185"/>
      <c r="AH77" s="185"/>
      <c r="AI77" s="185"/>
      <c r="AJ77" s="199"/>
      <c r="AK77" s="156"/>
    </row>
    <row r="78" spans="1:49" s="89" customFormat="1" ht="12.75" customHeight="1" x14ac:dyDescent="0.2">
      <c r="A78" s="123"/>
      <c r="B78" s="355"/>
      <c r="C78" s="355"/>
      <c r="D78" s="355"/>
      <c r="E78" s="355"/>
      <c r="F78" s="355"/>
      <c r="G78" s="355"/>
      <c r="H78" s="355"/>
      <c r="I78" s="98"/>
      <c r="J78" s="98"/>
      <c r="K78" s="162"/>
      <c r="L78" s="162"/>
      <c r="M78" s="162"/>
      <c r="N78" s="162"/>
      <c r="O78" s="162"/>
      <c r="P78" s="162"/>
      <c r="Q78" s="162"/>
      <c r="R78" s="163"/>
      <c r="S78" s="155"/>
      <c r="T78" s="155"/>
      <c r="U78" s="162"/>
      <c r="V78" s="124"/>
      <c r="W78" s="140"/>
      <c r="X78" s="149"/>
      <c r="Y78" s="348" t="str">
        <f t="shared" si="16"/>
        <v>Brighton &amp; Hove</v>
      </c>
      <c r="Z78" s="349" t="e">
        <f t="shared" si="17"/>
        <v>#N/A</v>
      </c>
      <c r="AA78" s="349" t="e">
        <f t="shared" ref="AA78:AA100" si="18">IF(Y78=$Z$4,U11,#N/A)</f>
        <v>#N/A</v>
      </c>
      <c r="AB78" s="191"/>
      <c r="AC78" s="192"/>
      <c r="AD78" s="192"/>
      <c r="AE78" s="194"/>
      <c r="AF78" s="185"/>
      <c r="AG78" s="185"/>
      <c r="AH78" s="185"/>
      <c r="AI78" s="185"/>
      <c r="AJ78" s="199"/>
      <c r="AK78" s="156"/>
    </row>
    <row r="79" spans="1:49" s="89" customFormat="1" ht="12.75" customHeight="1" x14ac:dyDescent="0.2">
      <c r="A79" s="123"/>
      <c r="B79" s="355"/>
      <c r="C79" s="355"/>
      <c r="D79" s="355"/>
      <c r="E79" s="355"/>
      <c r="F79" s="355"/>
      <c r="G79" s="355"/>
      <c r="H79" s="355"/>
      <c r="I79" s="98"/>
      <c r="J79" s="98"/>
      <c r="K79" s="162"/>
      <c r="L79" s="162"/>
      <c r="M79" s="162"/>
      <c r="N79" s="162"/>
      <c r="O79" s="162"/>
      <c r="P79" s="162"/>
      <c r="Q79" s="162"/>
      <c r="R79" s="163"/>
      <c r="S79" s="155"/>
      <c r="T79" s="155"/>
      <c r="U79" s="162"/>
      <c r="V79" s="124"/>
      <c r="W79" s="140"/>
      <c r="X79" s="149"/>
      <c r="Y79" s="348" t="str">
        <f t="shared" si="16"/>
        <v>Buckinghamshire</v>
      </c>
      <c r="Z79" s="349" t="e">
        <f t="shared" si="17"/>
        <v>#N/A</v>
      </c>
      <c r="AA79" s="349" t="e">
        <f t="shared" si="18"/>
        <v>#N/A</v>
      </c>
      <c r="AB79" s="191"/>
      <c r="AC79" s="192"/>
      <c r="AD79" s="192"/>
      <c r="AE79" s="194"/>
      <c r="AF79" s="185"/>
      <c r="AG79" s="185"/>
      <c r="AH79" s="185"/>
      <c r="AI79" s="185"/>
      <c r="AJ79" s="199"/>
      <c r="AK79" s="156"/>
    </row>
    <row r="80" spans="1:49" s="89" customFormat="1" ht="12.75" customHeight="1" x14ac:dyDescent="0.2">
      <c r="A80" s="123"/>
      <c r="B80" s="355"/>
      <c r="C80" s="355"/>
      <c r="D80" s="355"/>
      <c r="E80" s="355"/>
      <c r="F80" s="355"/>
      <c r="G80" s="355"/>
      <c r="H80" s="355"/>
      <c r="I80" s="98"/>
      <c r="J80" s="98"/>
      <c r="K80" s="162"/>
      <c r="L80" s="162"/>
      <c r="M80" s="162"/>
      <c r="N80" s="162"/>
      <c r="O80" s="162"/>
      <c r="P80" s="162"/>
      <c r="Q80" s="162"/>
      <c r="R80" s="163"/>
      <c r="S80" s="155"/>
      <c r="T80" s="155"/>
      <c r="U80" s="162"/>
      <c r="V80" s="124"/>
      <c r="W80" s="140"/>
      <c r="X80" s="149"/>
      <c r="Y80" s="348" t="str">
        <f t="shared" si="16"/>
        <v>East Sussex</v>
      </c>
      <c r="Z80" s="349" t="e">
        <f t="shared" si="17"/>
        <v>#N/A</v>
      </c>
      <c r="AA80" s="349" t="e">
        <f t="shared" si="18"/>
        <v>#N/A</v>
      </c>
      <c r="AB80" s="191"/>
      <c r="AC80" s="192"/>
      <c r="AD80" s="192"/>
      <c r="AE80" s="194"/>
      <c r="AF80" s="185"/>
      <c r="AG80" s="185"/>
      <c r="AH80" s="185"/>
      <c r="AI80" s="185"/>
      <c r="AJ80" s="199"/>
      <c r="AK80" s="156"/>
    </row>
    <row r="81" spans="1:45" s="89" customFormat="1" ht="12.75" customHeight="1" x14ac:dyDescent="0.2">
      <c r="A81" s="123"/>
      <c r="B81" s="355"/>
      <c r="C81" s="355"/>
      <c r="D81" s="355"/>
      <c r="E81" s="355"/>
      <c r="F81" s="355"/>
      <c r="G81" s="355"/>
      <c r="H81" s="355"/>
      <c r="I81" s="98"/>
      <c r="J81" s="98"/>
      <c r="K81" s="162"/>
      <c r="L81" s="162"/>
      <c r="M81" s="162"/>
      <c r="N81" s="162"/>
      <c r="O81" s="162"/>
      <c r="P81" s="162"/>
      <c r="Q81" s="162"/>
      <c r="R81" s="163"/>
      <c r="S81" s="155"/>
      <c r="T81" s="155"/>
      <c r="U81" s="162"/>
      <c r="V81" s="124"/>
      <c r="W81" s="140"/>
      <c r="X81" s="149"/>
      <c r="Y81" s="348" t="str">
        <f t="shared" si="16"/>
        <v>Hampshire</v>
      </c>
      <c r="Z81" s="349" t="e">
        <f t="shared" si="17"/>
        <v>#N/A</v>
      </c>
      <c r="AA81" s="349" t="e">
        <f t="shared" si="18"/>
        <v>#N/A</v>
      </c>
      <c r="AB81" s="191"/>
      <c r="AC81" s="192"/>
      <c r="AD81" s="192"/>
      <c r="AE81" s="194"/>
      <c r="AF81" s="185"/>
      <c r="AG81" s="185"/>
      <c r="AH81" s="185"/>
      <c r="AI81" s="185"/>
      <c r="AJ81" s="199"/>
      <c r="AK81" s="156"/>
      <c r="AS81" s="89" t="s">
        <v>103</v>
      </c>
    </row>
    <row r="82" spans="1:45" s="89" customFormat="1" ht="12.75" customHeight="1" x14ac:dyDescent="0.2">
      <c r="A82" s="123"/>
      <c r="B82" s="355"/>
      <c r="C82" s="355"/>
      <c r="D82" s="355"/>
      <c r="E82" s="355"/>
      <c r="F82" s="355"/>
      <c r="G82" s="355"/>
      <c r="H82" s="355"/>
      <c r="I82" s="98"/>
      <c r="J82" s="98"/>
      <c r="K82" s="162"/>
      <c r="L82" s="162"/>
      <c r="M82" s="162"/>
      <c r="N82" s="162"/>
      <c r="O82" s="162"/>
      <c r="P82" s="162"/>
      <c r="Q82" s="162"/>
      <c r="R82" s="163"/>
      <c r="S82" s="155"/>
      <c r="T82" s="155"/>
      <c r="U82" s="162"/>
      <c r="V82" s="124"/>
      <c r="W82" s="140"/>
      <c r="X82" s="149"/>
      <c r="Y82" s="348" t="str">
        <f t="shared" si="16"/>
        <v>Isle of Wight</v>
      </c>
      <c r="Z82" s="349" t="e">
        <f t="shared" si="17"/>
        <v>#N/A</v>
      </c>
      <c r="AA82" s="349" t="e">
        <f t="shared" si="18"/>
        <v>#N/A</v>
      </c>
      <c r="AB82" s="191"/>
      <c r="AC82" s="192"/>
      <c r="AD82" s="192"/>
      <c r="AE82" s="194"/>
      <c r="AF82" s="185"/>
      <c r="AG82" s="185"/>
      <c r="AH82" s="185"/>
      <c r="AI82" s="185"/>
      <c r="AJ82" s="199"/>
      <c r="AK82" s="156"/>
    </row>
    <row r="83" spans="1:45" s="89" customFormat="1" ht="12.75" customHeight="1" x14ac:dyDescent="0.2">
      <c r="A83" s="123"/>
      <c r="B83" s="355"/>
      <c r="C83" s="355"/>
      <c r="D83" s="355"/>
      <c r="E83" s="355"/>
      <c r="F83" s="355"/>
      <c r="G83" s="355"/>
      <c r="H83" s="355"/>
      <c r="I83" s="98"/>
      <c r="J83" s="98"/>
      <c r="K83" s="162"/>
      <c r="L83" s="162"/>
      <c r="M83" s="162"/>
      <c r="N83" s="162"/>
      <c r="O83" s="162"/>
      <c r="P83" s="162"/>
      <c r="Q83" s="162"/>
      <c r="R83" s="163"/>
      <c r="S83" s="155"/>
      <c r="T83" s="155"/>
      <c r="U83" s="162"/>
      <c r="V83" s="124"/>
      <c r="W83" s="140"/>
      <c r="X83" s="149"/>
      <c r="Y83" s="348" t="str">
        <f t="shared" si="16"/>
        <v>Kent</v>
      </c>
      <c r="Z83" s="349" t="e">
        <f t="shared" si="17"/>
        <v>#N/A</v>
      </c>
      <c r="AA83" s="349" t="e">
        <f t="shared" si="18"/>
        <v>#N/A</v>
      </c>
      <c r="AB83" s="191"/>
      <c r="AC83" s="192"/>
      <c r="AD83" s="192"/>
      <c r="AE83" s="194"/>
      <c r="AF83" s="185"/>
      <c r="AG83" s="185"/>
      <c r="AH83" s="185"/>
      <c r="AI83" s="185"/>
      <c r="AJ83" s="199"/>
      <c r="AK83" s="156"/>
    </row>
    <row r="84" spans="1:45" s="89" customFormat="1" ht="12.75" customHeight="1" x14ac:dyDescent="0.2">
      <c r="A84" s="123"/>
      <c r="B84" s="355"/>
      <c r="C84" s="355"/>
      <c r="D84" s="355"/>
      <c r="E84" s="355"/>
      <c r="F84" s="355"/>
      <c r="G84" s="355"/>
      <c r="H84" s="355"/>
      <c r="I84" s="98"/>
      <c r="J84" s="98"/>
      <c r="K84" s="162"/>
      <c r="L84" s="162"/>
      <c r="M84" s="162"/>
      <c r="N84" s="162"/>
      <c r="O84" s="162"/>
      <c r="P84" s="162"/>
      <c r="Q84" s="162"/>
      <c r="R84" s="163"/>
      <c r="S84" s="155"/>
      <c r="T84" s="155"/>
      <c r="U84" s="162"/>
      <c r="V84" s="124"/>
      <c r="W84" s="140"/>
      <c r="X84" s="149"/>
      <c r="Y84" s="348" t="str">
        <f t="shared" si="16"/>
        <v>Medway</v>
      </c>
      <c r="Z84" s="349" t="e">
        <f t="shared" si="17"/>
        <v>#N/A</v>
      </c>
      <c r="AA84" s="349" t="e">
        <f t="shared" si="18"/>
        <v>#N/A</v>
      </c>
      <c r="AB84" s="191"/>
      <c r="AC84" s="192"/>
      <c r="AD84" s="192"/>
      <c r="AE84" s="194"/>
      <c r="AF84" s="185"/>
      <c r="AG84" s="185"/>
      <c r="AH84" s="185"/>
      <c r="AI84" s="185"/>
      <c r="AJ84" s="199"/>
      <c r="AK84" s="156"/>
    </row>
    <row r="85" spans="1:45" s="89" customFormat="1" ht="12.75" customHeight="1" x14ac:dyDescent="0.2">
      <c r="A85" s="123"/>
      <c r="B85" s="355"/>
      <c r="C85" s="355"/>
      <c r="D85" s="355"/>
      <c r="E85" s="355"/>
      <c r="F85" s="355"/>
      <c r="G85" s="355"/>
      <c r="H85" s="355"/>
      <c r="I85" s="98"/>
      <c r="J85" s="98"/>
      <c r="K85" s="162"/>
      <c r="L85" s="162"/>
      <c r="M85" s="162"/>
      <c r="N85" s="162"/>
      <c r="O85" s="162"/>
      <c r="P85" s="162"/>
      <c r="Q85" s="162"/>
      <c r="R85" s="163"/>
      <c r="S85" s="155"/>
      <c r="T85" s="155"/>
      <c r="U85" s="162"/>
      <c r="V85" s="124"/>
      <c r="W85" s="140"/>
      <c r="X85" s="149"/>
      <c r="Y85" s="348" t="str">
        <f t="shared" si="16"/>
        <v>Milton Keynes</v>
      </c>
      <c r="Z85" s="349" t="e">
        <f t="shared" si="17"/>
        <v>#N/A</v>
      </c>
      <c r="AA85" s="349" t="e">
        <f t="shared" si="18"/>
        <v>#N/A</v>
      </c>
      <c r="AB85" s="191"/>
      <c r="AC85" s="192"/>
      <c r="AD85" s="192"/>
      <c r="AE85" s="194"/>
      <c r="AF85" s="185"/>
      <c r="AG85" s="185"/>
      <c r="AH85" s="185"/>
      <c r="AI85" s="185"/>
      <c r="AJ85" s="199"/>
      <c r="AK85" s="156"/>
    </row>
    <row r="86" spans="1:45" s="89" customFormat="1" ht="12.75" customHeight="1" x14ac:dyDescent="0.2">
      <c r="A86" s="123"/>
      <c r="B86" s="355"/>
      <c r="C86" s="355"/>
      <c r="D86" s="355"/>
      <c r="E86" s="355"/>
      <c r="F86" s="355"/>
      <c r="G86" s="355"/>
      <c r="H86" s="355"/>
      <c r="I86" s="98"/>
      <c r="J86" s="98"/>
      <c r="K86" s="162"/>
      <c r="L86" s="162"/>
      <c r="M86" s="162"/>
      <c r="N86" s="162"/>
      <c r="O86" s="162"/>
      <c r="P86" s="162"/>
      <c r="Q86" s="162"/>
      <c r="R86" s="163"/>
      <c r="S86" s="155"/>
      <c r="T86" s="155"/>
      <c r="U86" s="162"/>
      <c r="V86" s="124"/>
      <c r="W86" s="140"/>
      <c r="X86" s="149"/>
      <c r="Y86" s="348" t="str">
        <f t="shared" si="16"/>
        <v>Oxfordshire</v>
      </c>
      <c r="Z86" s="349" t="e">
        <f t="shared" si="17"/>
        <v>#N/A</v>
      </c>
      <c r="AA86" s="349" t="e">
        <f t="shared" si="18"/>
        <v>#N/A</v>
      </c>
      <c r="AB86" s="191"/>
      <c r="AC86" s="192"/>
      <c r="AD86" s="192"/>
      <c r="AE86" s="194"/>
      <c r="AF86" s="185"/>
      <c r="AG86" s="185"/>
      <c r="AH86" s="185"/>
      <c r="AI86" s="185"/>
      <c r="AJ86" s="199"/>
      <c r="AK86" s="156"/>
    </row>
    <row r="87" spans="1:45" s="89" customFormat="1" ht="12.75" customHeight="1" x14ac:dyDescent="0.2">
      <c r="A87" s="123"/>
      <c r="B87" s="355"/>
      <c r="C87" s="355"/>
      <c r="D87" s="355"/>
      <c r="E87" s="355"/>
      <c r="F87" s="355"/>
      <c r="G87" s="355"/>
      <c r="H87" s="355"/>
      <c r="I87" s="98"/>
      <c r="J87" s="98"/>
      <c r="K87" s="162"/>
      <c r="L87" s="162"/>
      <c r="M87" s="162"/>
      <c r="N87" s="162"/>
      <c r="O87" s="162"/>
      <c r="P87" s="162"/>
      <c r="Q87" s="162"/>
      <c r="R87" s="163"/>
      <c r="S87" s="155"/>
      <c r="T87" s="155"/>
      <c r="U87" s="162"/>
      <c r="V87" s="124"/>
      <c r="W87" s="140"/>
      <c r="X87" s="149"/>
      <c r="Y87" s="348" t="str">
        <f t="shared" si="16"/>
        <v>Portsmouth</v>
      </c>
      <c r="Z87" s="349" t="e">
        <f t="shared" si="17"/>
        <v>#N/A</v>
      </c>
      <c r="AA87" s="349" t="e">
        <f t="shared" si="18"/>
        <v>#N/A</v>
      </c>
      <c r="AB87" s="191"/>
      <c r="AC87" s="192"/>
      <c r="AD87" s="192"/>
      <c r="AE87" s="194"/>
      <c r="AF87" s="185"/>
      <c r="AG87" s="185"/>
      <c r="AH87" s="185"/>
      <c r="AI87" s="185"/>
      <c r="AJ87" s="199"/>
      <c r="AK87" s="156"/>
    </row>
    <row r="88" spans="1:45" s="89" customFormat="1" ht="12.75" customHeight="1" x14ac:dyDescent="0.2">
      <c r="A88" s="123"/>
      <c r="B88" s="355"/>
      <c r="C88" s="355"/>
      <c r="D88" s="355"/>
      <c r="E88" s="355"/>
      <c r="F88" s="355"/>
      <c r="G88" s="355"/>
      <c r="H88" s="355"/>
      <c r="I88" s="98"/>
      <c r="J88" s="98"/>
      <c r="K88" s="162"/>
      <c r="L88" s="162"/>
      <c r="M88" s="162"/>
      <c r="N88" s="162"/>
      <c r="O88" s="162"/>
      <c r="P88" s="162"/>
      <c r="Q88" s="162"/>
      <c r="R88" s="163"/>
      <c r="S88" s="155"/>
      <c r="T88" s="155"/>
      <c r="U88" s="162"/>
      <c r="V88" s="124"/>
      <c r="W88" s="140"/>
      <c r="X88" s="149"/>
      <c r="Y88" s="348" t="str">
        <f t="shared" si="16"/>
        <v>Reading</v>
      </c>
      <c r="Z88" s="349" t="e">
        <f t="shared" si="17"/>
        <v>#N/A</v>
      </c>
      <c r="AA88" s="349" t="e">
        <f t="shared" si="18"/>
        <v>#N/A</v>
      </c>
      <c r="AB88" s="191"/>
      <c r="AC88" s="192"/>
      <c r="AD88" s="192"/>
      <c r="AE88" s="194"/>
      <c r="AF88" s="185"/>
      <c r="AG88" s="185"/>
      <c r="AH88" s="185"/>
      <c r="AI88" s="185"/>
      <c r="AJ88" s="199"/>
      <c r="AK88" s="156"/>
    </row>
    <row r="89" spans="1:45" s="89" customFormat="1" ht="12.75" customHeight="1" x14ac:dyDescent="0.2">
      <c r="A89" s="123"/>
      <c r="B89" s="355"/>
      <c r="C89" s="355"/>
      <c r="D89" s="355"/>
      <c r="E89" s="355"/>
      <c r="F89" s="355"/>
      <c r="G89" s="355"/>
      <c r="H89" s="355"/>
      <c r="I89" s="98"/>
      <c r="J89" s="98"/>
      <c r="K89" s="162"/>
      <c r="L89" s="162"/>
      <c r="M89" s="162"/>
      <c r="N89" s="162"/>
      <c r="O89" s="162"/>
      <c r="P89" s="162"/>
      <c r="Q89" s="162"/>
      <c r="R89" s="163"/>
      <c r="S89" s="155"/>
      <c r="T89" s="155"/>
      <c r="U89" s="162"/>
      <c r="V89" s="124"/>
      <c r="W89" s="140"/>
      <c r="X89" s="149"/>
      <c r="Y89" s="348" t="str">
        <f t="shared" si="16"/>
        <v>Slough</v>
      </c>
      <c r="Z89" s="349" t="e">
        <f t="shared" si="17"/>
        <v>#N/A</v>
      </c>
      <c r="AA89" s="349" t="e">
        <f t="shared" si="18"/>
        <v>#N/A</v>
      </c>
      <c r="AB89" s="191"/>
      <c r="AC89" s="192"/>
      <c r="AD89" s="192"/>
      <c r="AE89" s="194"/>
      <c r="AF89" s="185"/>
      <c r="AG89" s="185"/>
      <c r="AH89" s="185"/>
      <c r="AI89" s="185"/>
      <c r="AJ89" s="199"/>
      <c r="AK89" s="156"/>
    </row>
    <row r="90" spans="1:45" s="89" customFormat="1" ht="12.75" customHeight="1" x14ac:dyDescent="0.2">
      <c r="A90" s="123"/>
      <c r="B90" s="355"/>
      <c r="C90" s="355"/>
      <c r="D90" s="355"/>
      <c r="E90" s="355"/>
      <c r="F90" s="355"/>
      <c r="G90" s="355"/>
      <c r="H90" s="355"/>
      <c r="I90" s="98"/>
      <c r="J90" s="98"/>
      <c r="K90" s="162"/>
      <c r="L90" s="162"/>
      <c r="M90" s="162"/>
      <c r="N90" s="162"/>
      <c r="O90" s="162"/>
      <c r="P90" s="162"/>
      <c r="Q90" s="162"/>
      <c r="R90" s="163"/>
      <c r="S90" s="155"/>
      <c r="T90" s="155"/>
      <c r="U90" s="162"/>
      <c r="V90" s="124"/>
      <c r="W90" s="140"/>
      <c r="X90" s="149"/>
      <c r="Y90" s="348" t="str">
        <f t="shared" si="16"/>
        <v>Somerset</v>
      </c>
      <c r="Z90" s="349" t="e">
        <f t="shared" si="17"/>
        <v>#N/A</v>
      </c>
      <c r="AA90" s="349" t="e">
        <f t="shared" si="18"/>
        <v>#N/A</v>
      </c>
      <c r="AB90" s="191"/>
      <c r="AC90" s="192"/>
      <c r="AD90" s="192"/>
      <c r="AE90" s="194"/>
      <c r="AF90" s="185"/>
      <c r="AG90" s="185"/>
      <c r="AH90" s="185"/>
      <c r="AI90" s="185"/>
      <c r="AJ90" s="199"/>
      <c r="AK90" s="156"/>
    </row>
    <row r="91" spans="1:45" s="89" customFormat="1" ht="12.75" customHeight="1" x14ac:dyDescent="0.2">
      <c r="A91" s="123"/>
      <c r="B91" s="355"/>
      <c r="C91" s="355"/>
      <c r="D91" s="355"/>
      <c r="E91" s="355"/>
      <c r="F91" s="355"/>
      <c r="G91" s="355"/>
      <c r="H91" s="355"/>
      <c r="I91" s="98"/>
      <c r="J91" s="98"/>
      <c r="K91" s="162"/>
      <c r="L91" s="162"/>
      <c r="M91" s="162"/>
      <c r="N91" s="162"/>
      <c r="O91" s="162"/>
      <c r="P91" s="162"/>
      <c r="Q91" s="162"/>
      <c r="R91" s="163"/>
      <c r="S91" s="155"/>
      <c r="T91" s="155"/>
      <c r="U91" s="162"/>
      <c r="V91" s="124"/>
      <c r="W91" s="140"/>
      <c r="X91" s="149"/>
      <c r="Y91" s="348" t="str">
        <f t="shared" si="16"/>
        <v>Southampton</v>
      </c>
      <c r="Z91" s="349" t="e">
        <f t="shared" si="17"/>
        <v>#N/A</v>
      </c>
      <c r="AA91" s="349" t="e">
        <f t="shared" si="18"/>
        <v>#N/A</v>
      </c>
      <c r="AB91" s="191"/>
      <c r="AC91" s="192"/>
      <c r="AD91" s="192"/>
      <c r="AE91" s="194"/>
      <c r="AF91" s="185"/>
      <c r="AG91" s="185"/>
      <c r="AH91" s="185"/>
      <c r="AI91" s="185"/>
      <c r="AJ91" s="199"/>
      <c r="AK91" s="156"/>
    </row>
    <row r="92" spans="1:45" s="89" customFormat="1" ht="12.75" customHeight="1" x14ac:dyDescent="0.2">
      <c r="A92" s="286"/>
      <c r="B92" s="355"/>
      <c r="C92" s="355"/>
      <c r="D92" s="355"/>
      <c r="E92" s="355"/>
      <c r="F92" s="355"/>
      <c r="G92" s="355"/>
      <c r="H92" s="355"/>
      <c r="I92" s="98"/>
      <c r="J92" s="98"/>
      <c r="K92" s="162"/>
      <c r="L92" s="162"/>
      <c r="M92" s="162"/>
      <c r="N92" s="162"/>
      <c r="O92" s="162"/>
      <c r="P92" s="162"/>
      <c r="Q92" s="162"/>
      <c r="R92" s="163"/>
      <c r="S92" s="155"/>
      <c r="T92" s="155"/>
      <c r="U92" s="162"/>
      <c r="V92" s="124"/>
      <c r="W92" s="140"/>
      <c r="X92" s="149"/>
      <c r="Y92" s="348" t="str">
        <f t="shared" si="16"/>
        <v>Surrey</v>
      </c>
      <c r="Z92" s="349" t="e">
        <f t="shared" si="17"/>
        <v>#N/A</v>
      </c>
      <c r="AA92" s="349" t="e">
        <f t="shared" si="18"/>
        <v>#N/A</v>
      </c>
      <c r="AB92" s="191"/>
      <c r="AC92" s="192"/>
      <c r="AD92" s="192"/>
      <c r="AE92" s="194"/>
      <c r="AF92" s="185"/>
      <c r="AG92" s="185"/>
      <c r="AH92" s="185"/>
      <c r="AI92" s="185"/>
      <c r="AJ92" s="199"/>
      <c r="AK92" s="156"/>
    </row>
    <row r="93" spans="1:45" s="89" customFormat="1" ht="12.75" customHeight="1" x14ac:dyDescent="0.2">
      <c r="A93" s="286"/>
      <c r="B93" s="355"/>
      <c r="C93" s="355"/>
      <c r="D93" s="355"/>
      <c r="E93" s="355"/>
      <c r="F93" s="355"/>
      <c r="G93" s="355"/>
      <c r="H93" s="355"/>
      <c r="I93" s="98"/>
      <c r="J93" s="98"/>
      <c r="K93" s="162"/>
      <c r="L93" s="162"/>
      <c r="M93" s="162"/>
      <c r="N93" s="162"/>
      <c r="O93" s="162"/>
      <c r="P93" s="162"/>
      <c r="Q93" s="162"/>
      <c r="R93" s="163"/>
      <c r="S93" s="155"/>
      <c r="T93" s="155"/>
      <c r="U93" s="162"/>
      <c r="V93" s="124"/>
      <c r="W93" s="140"/>
      <c r="X93" s="149"/>
      <c r="Y93" s="348" t="str">
        <f t="shared" si="16"/>
        <v>Swindon</v>
      </c>
      <c r="Z93" s="349" t="e">
        <f t="shared" si="17"/>
        <v>#N/A</v>
      </c>
      <c r="AA93" s="349" t="e">
        <f t="shared" si="18"/>
        <v>#N/A</v>
      </c>
      <c r="AB93" s="191"/>
      <c r="AC93" s="192"/>
      <c r="AD93" s="192"/>
      <c r="AE93" s="194"/>
      <c r="AF93" s="185"/>
      <c r="AG93" s="185"/>
      <c r="AH93" s="185"/>
      <c r="AI93" s="185"/>
      <c r="AJ93" s="199"/>
      <c r="AK93" s="156"/>
    </row>
    <row r="94" spans="1:45" s="89" customFormat="1" ht="12.75" customHeight="1" x14ac:dyDescent="0.2">
      <c r="A94" s="123"/>
      <c r="B94" s="355"/>
      <c r="C94" s="355"/>
      <c r="D94" s="355"/>
      <c r="E94" s="355"/>
      <c r="F94" s="355"/>
      <c r="G94" s="355"/>
      <c r="H94" s="355"/>
      <c r="I94" s="98"/>
      <c r="J94" s="98"/>
      <c r="K94" s="162"/>
      <c r="L94" s="162"/>
      <c r="M94" s="162"/>
      <c r="N94" s="162"/>
      <c r="O94" s="162"/>
      <c r="P94" s="162"/>
      <c r="Q94" s="162"/>
      <c r="R94" s="163"/>
      <c r="S94" s="155"/>
      <c r="T94" s="155"/>
      <c r="U94" s="162"/>
      <c r="V94" s="124"/>
      <c r="W94" s="140"/>
      <c r="X94" s="149"/>
      <c r="Y94" s="348" t="str">
        <f t="shared" si="16"/>
        <v>Torbay</v>
      </c>
      <c r="Z94" s="349" t="e">
        <f t="shared" si="17"/>
        <v>#N/A</v>
      </c>
      <c r="AA94" s="349" t="e">
        <f t="shared" si="18"/>
        <v>#N/A</v>
      </c>
      <c r="AB94" s="191"/>
      <c r="AC94" s="192"/>
      <c r="AD94" s="192"/>
      <c r="AE94" s="194"/>
      <c r="AF94" s="199"/>
      <c r="AG94" s="185"/>
      <c r="AH94" s="185"/>
      <c r="AI94" s="185"/>
      <c r="AJ94" s="199"/>
      <c r="AK94" s="156"/>
    </row>
    <row r="95" spans="1:45" s="89" customFormat="1" ht="12.75" customHeight="1" x14ac:dyDescent="0.2">
      <c r="A95" s="123"/>
      <c r="B95" s="355"/>
      <c r="C95" s="355"/>
      <c r="D95" s="355"/>
      <c r="E95" s="355"/>
      <c r="F95" s="355"/>
      <c r="G95" s="355"/>
      <c r="H95" s="355"/>
      <c r="I95" s="98"/>
      <c r="J95" s="98"/>
      <c r="K95" s="162"/>
      <c r="L95" s="162"/>
      <c r="M95" s="162"/>
      <c r="N95" s="162"/>
      <c r="O95" s="162"/>
      <c r="P95" s="162"/>
      <c r="Q95" s="162"/>
      <c r="R95" s="163"/>
      <c r="S95" s="155"/>
      <c r="T95" s="155"/>
      <c r="U95" s="162"/>
      <c r="V95" s="124"/>
      <c r="W95" s="140"/>
      <c r="X95" s="149"/>
      <c r="Y95" s="348" t="str">
        <f t="shared" si="16"/>
        <v>West Berkshire</v>
      </c>
      <c r="Z95" s="349" t="e">
        <f t="shared" si="17"/>
        <v>#N/A</v>
      </c>
      <c r="AA95" s="349" t="e">
        <f t="shared" si="18"/>
        <v>#N/A</v>
      </c>
      <c r="AB95" s="191"/>
      <c r="AC95" s="192"/>
      <c r="AD95" s="192"/>
      <c r="AE95" s="194"/>
      <c r="AF95" s="199"/>
      <c r="AG95" s="185"/>
      <c r="AH95" s="185"/>
      <c r="AI95" s="185"/>
      <c r="AJ95" s="199"/>
      <c r="AK95" s="156"/>
    </row>
    <row r="96" spans="1:45" s="89" customFormat="1" ht="12.75" customHeight="1" x14ac:dyDescent="0.2">
      <c r="A96" s="123"/>
      <c r="B96" s="355"/>
      <c r="C96" s="355"/>
      <c r="D96" s="355"/>
      <c r="E96" s="355"/>
      <c r="F96" s="355"/>
      <c r="G96" s="355"/>
      <c r="H96" s="355"/>
      <c r="I96" s="98"/>
      <c r="J96" s="98"/>
      <c r="K96" s="162"/>
      <c r="L96" s="162"/>
      <c r="M96" s="162"/>
      <c r="N96" s="162"/>
      <c r="O96" s="162"/>
      <c r="P96" s="162"/>
      <c r="Q96" s="162"/>
      <c r="R96" s="163"/>
      <c r="S96" s="155"/>
      <c r="T96" s="155"/>
      <c r="U96" s="162"/>
      <c r="V96" s="124"/>
      <c r="W96" s="140"/>
      <c r="X96" s="149"/>
      <c r="Y96" s="348" t="str">
        <f t="shared" si="16"/>
        <v>West Sussex</v>
      </c>
      <c r="Z96" s="349" t="e">
        <f t="shared" si="17"/>
        <v>#N/A</v>
      </c>
      <c r="AA96" s="349" t="e">
        <f t="shared" si="18"/>
        <v>#N/A</v>
      </c>
      <c r="AB96" s="191"/>
      <c r="AC96" s="192"/>
      <c r="AD96" s="192"/>
      <c r="AE96" s="194"/>
      <c r="AF96" s="199"/>
      <c r="AG96" s="199"/>
      <c r="AH96" s="199"/>
      <c r="AI96" s="185"/>
      <c r="AJ96" s="199"/>
      <c r="AK96" s="156"/>
    </row>
    <row r="97" spans="1:46" s="89" customFormat="1" ht="12.75" customHeight="1" x14ac:dyDescent="0.2">
      <c r="A97" s="123"/>
      <c r="B97" s="355"/>
      <c r="C97" s="355"/>
      <c r="D97" s="355"/>
      <c r="E97" s="355"/>
      <c r="F97" s="355"/>
      <c r="G97" s="355"/>
      <c r="H97" s="355"/>
      <c r="I97" s="98"/>
      <c r="J97" s="98"/>
      <c r="K97" s="162"/>
      <c r="L97" s="162"/>
      <c r="M97" s="162"/>
      <c r="N97" s="162"/>
      <c r="O97" s="162"/>
      <c r="P97" s="162"/>
      <c r="Q97" s="162"/>
      <c r="R97" s="163"/>
      <c r="S97" s="155"/>
      <c r="T97" s="155"/>
      <c r="U97" s="162"/>
      <c r="V97" s="124"/>
      <c r="W97" s="140"/>
      <c r="X97" s="149"/>
      <c r="Y97" s="348" t="str">
        <f t="shared" si="16"/>
        <v>Windsor &amp; Maidenhead</v>
      </c>
      <c r="Z97" s="349" t="e">
        <f t="shared" si="17"/>
        <v>#N/A</v>
      </c>
      <c r="AA97" s="349" t="e">
        <f t="shared" si="18"/>
        <v>#N/A</v>
      </c>
      <c r="AB97" s="191"/>
      <c r="AC97" s="192"/>
      <c r="AD97" s="192"/>
      <c r="AE97" s="194"/>
      <c r="AF97" s="199"/>
      <c r="AG97" s="199"/>
      <c r="AH97" s="199"/>
      <c r="AI97" s="185"/>
      <c r="AJ97" s="199"/>
      <c r="AK97" s="156"/>
    </row>
    <row r="98" spans="1:46" s="89" customFormat="1" ht="12.75" customHeight="1" x14ac:dyDescent="0.2">
      <c r="A98" s="123"/>
      <c r="B98" s="355"/>
      <c r="C98" s="355"/>
      <c r="D98" s="355"/>
      <c r="E98" s="355"/>
      <c r="F98" s="355"/>
      <c r="G98" s="355"/>
      <c r="H98" s="355"/>
      <c r="I98" s="98"/>
      <c r="J98" s="98"/>
      <c r="K98" s="164"/>
      <c r="L98" s="164"/>
      <c r="M98" s="164"/>
      <c r="N98" s="164"/>
      <c r="O98" s="164"/>
      <c r="P98" s="164"/>
      <c r="Q98" s="164"/>
      <c r="R98" s="165"/>
      <c r="S98" s="155"/>
      <c r="T98" s="155"/>
      <c r="U98" s="166"/>
      <c r="V98" s="124"/>
      <c r="W98" s="140"/>
      <c r="X98" s="149"/>
      <c r="Y98" s="348" t="str">
        <f t="shared" si="16"/>
        <v>Wokingham</v>
      </c>
      <c r="Z98" s="349" t="e">
        <f t="shared" si="17"/>
        <v>#N/A</v>
      </c>
      <c r="AA98" s="349" t="e">
        <f t="shared" si="18"/>
        <v>#N/A</v>
      </c>
      <c r="AB98" s="191"/>
      <c r="AC98" s="192"/>
      <c r="AD98" s="192"/>
      <c r="AE98" s="194"/>
      <c r="AF98" s="199"/>
      <c r="AG98" s="199"/>
      <c r="AH98" s="199"/>
      <c r="AI98" s="185"/>
      <c r="AJ98" s="199"/>
      <c r="AK98" s="156"/>
    </row>
    <row r="99" spans="1:46" s="89" customFormat="1" ht="12.75" customHeight="1" x14ac:dyDescent="0.2">
      <c r="A99" s="123"/>
      <c r="B99" s="355"/>
      <c r="C99" s="355"/>
      <c r="D99" s="355"/>
      <c r="E99" s="355"/>
      <c r="F99" s="355"/>
      <c r="G99" s="355"/>
      <c r="H99" s="355"/>
      <c r="I99" s="98"/>
      <c r="J99" s="98"/>
      <c r="K99" s="164"/>
      <c r="L99" s="164"/>
      <c r="M99" s="164"/>
      <c r="N99" s="164"/>
      <c r="O99" s="164"/>
      <c r="P99" s="164"/>
      <c r="Q99" s="164"/>
      <c r="R99" s="165"/>
      <c r="S99" s="155"/>
      <c r="T99" s="155"/>
      <c r="U99" s="166"/>
      <c r="V99" s="124"/>
      <c r="W99" s="140"/>
      <c r="X99" s="149"/>
      <c r="Y99" s="348" t="str">
        <f t="shared" si="16"/>
        <v>South East</v>
      </c>
      <c r="Z99" s="349" t="e">
        <f t="shared" si="17"/>
        <v>#N/A</v>
      </c>
      <c r="AA99" s="349" t="e">
        <f t="shared" si="18"/>
        <v>#N/A</v>
      </c>
      <c r="AB99" s="191"/>
      <c r="AC99" s="192"/>
      <c r="AD99" s="192"/>
      <c r="AE99" s="194"/>
      <c r="AF99" s="199"/>
      <c r="AG99" s="199"/>
      <c r="AH99" s="199"/>
      <c r="AI99" s="185"/>
      <c r="AJ99" s="199"/>
      <c r="AK99" s="156"/>
    </row>
    <row r="100" spans="1:46" s="89" customFormat="1" ht="11.25" customHeight="1" x14ac:dyDescent="0.2">
      <c r="A100" s="286"/>
      <c r="B100" s="355"/>
      <c r="C100" s="355"/>
      <c r="D100" s="355"/>
      <c r="E100" s="355"/>
      <c r="F100" s="355"/>
      <c r="G100" s="355"/>
      <c r="H100" s="355"/>
      <c r="I100" s="98"/>
      <c r="J100" s="98"/>
      <c r="K100" s="164"/>
      <c r="L100" s="164"/>
      <c r="M100" s="164"/>
      <c r="N100" s="164"/>
      <c r="O100" s="164"/>
      <c r="P100" s="164"/>
      <c r="Q100" s="164"/>
      <c r="R100" s="165"/>
      <c r="S100" s="155"/>
      <c r="T100" s="155"/>
      <c r="U100" s="166"/>
      <c r="V100" s="124"/>
      <c r="W100" s="140"/>
      <c r="X100" s="149"/>
      <c r="Y100" s="348" t="str">
        <f t="shared" si="16"/>
        <v>England</v>
      </c>
      <c r="Z100" s="349" t="e">
        <f t="shared" si="17"/>
        <v>#N/A</v>
      </c>
      <c r="AA100" s="349" t="e">
        <f t="shared" si="18"/>
        <v>#N/A</v>
      </c>
      <c r="AB100" s="191"/>
      <c r="AC100" s="192"/>
      <c r="AD100" s="192"/>
      <c r="AE100" s="194"/>
      <c r="AF100" s="199"/>
      <c r="AG100" s="199"/>
      <c r="AH100" s="199"/>
      <c r="AI100" s="185"/>
      <c r="AJ100" s="199"/>
      <c r="AK100" s="156"/>
    </row>
    <row r="101" spans="1:46" s="83" customFormat="1" ht="42" customHeight="1" x14ac:dyDescent="0.2">
      <c r="A101" s="213"/>
      <c r="B101" s="355"/>
      <c r="C101" s="355"/>
      <c r="D101" s="355"/>
      <c r="E101" s="355"/>
      <c r="F101" s="355"/>
      <c r="G101" s="355"/>
      <c r="H101" s="355"/>
      <c r="I101" s="362"/>
      <c r="J101" s="168"/>
      <c r="K101" s="168"/>
      <c r="L101" s="168"/>
      <c r="M101" s="168"/>
      <c r="N101" s="168"/>
      <c r="O101" s="168"/>
      <c r="P101" s="168"/>
      <c r="Q101" s="168"/>
      <c r="R101" s="137"/>
      <c r="S101" s="168"/>
      <c r="T101" s="168"/>
      <c r="U101" s="168"/>
      <c r="V101" s="119"/>
      <c r="W101" s="138"/>
      <c r="X101" s="147"/>
      <c r="AD101" s="192"/>
      <c r="AE101" s="194"/>
      <c r="AF101" s="179"/>
      <c r="AG101" s="179"/>
      <c r="AH101" s="179"/>
      <c r="AJ101" s="179"/>
      <c r="AK101" s="157"/>
    </row>
    <row r="102" spans="1:46" s="83" customFormat="1" ht="42" customHeight="1" x14ac:dyDescent="0.2">
      <c r="A102" s="213"/>
      <c r="B102" s="355"/>
      <c r="C102" s="355"/>
      <c r="D102" s="355"/>
      <c r="E102" s="355"/>
      <c r="F102" s="355"/>
      <c r="G102" s="355"/>
      <c r="H102" s="355"/>
      <c r="I102" s="362"/>
      <c r="J102" s="168"/>
      <c r="K102" s="168"/>
      <c r="L102" s="168"/>
      <c r="M102" s="168"/>
      <c r="N102" s="168"/>
      <c r="O102" s="168"/>
      <c r="P102" s="168"/>
      <c r="Q102" s="168"/>
      <c r="R102" s="137"/>
      <c r="S102" s="168"/>
      <c r="T102" s="168"/>
      <c r="U102" s="168"/>
      <c r="V102" s="119"/>
      <c r="W102" s="138"/>
      <c r="X102" s="147"/>
      <c r="Z102" s="185"/>
      <c r="AE102" s="194"/>
      <c r="AF102" s="179"/>
      <c r="AG102" s="179"/>
      <c r="AH102" s="179"/>
      <c r="AJ102" s="179"/>
      <c r="AK102" s="157"/>
    </row>
    <row r="103" spans="1:46" s="83" customFormat="1" ht="33" customHeight="1" x14ac:dyDescent="0.2">
      <c r="A103" s="213"/>
      <c r="B103" s="362"/>
      <c r="C103" s="362"/>
      <c r="D103" s="362"/>
      <c r="E103" s="362"/>
      <c r="F103" s="362"/>
      <c r="G103" s="362"/>
      <c r="H103" s="362"/>
      <c r="I103" s="362"/>
      <c r="J103" s="168"/>
      <c r="K103" s="168"/>
      <c r="L103" s="168"/>
      <c r="M103" s="168"/>
      <c r="N103" s="168"/>
      <c r="O103" s="168"/>
      <c r="P103" s="168"/>
      <c r="Q103" s="168"/>
      <c r="R103" s="137"/>
      <c r="S103" s="168"/>
      <c r="T103" s="168"/>
      <c r="U103" s="168"/>
      <c r="V103" s="119"/>
      <c r="W103" s="138"/>
      <c r="X103" s="147"/>
      <c r="Z103" s="185"/>
      <c r="AE103" s="194"/>
      <c r="AF103" s="179"/>
      <c r="AG103" s="179"/>
      <c r="AH103" s="179"/>
      <c r="AJ103" s="179"/>
      <c r="AK103" s="157"/>
    </row>
    <row r="104" spans="1:46" s="83" customFormat="1" ht="7.5" customHeight="1" x14ac:dyDescent="0.2">
      <c r="A104" s="120"/>
      <c r="B104" s="18"/>
      <c r="C104" s="18"/>
      <c r="D104" s="17"/>
      <c r="E104" s="17"/>
      <c r="F104" s="17"/>
      <c r="G104" s="17"/>
      <c r="H104" s="17"/>
      <c r="I104" s="17"/>
      <c r="J104" s="13"/>
      <c r="K104" s="19"/>
      <c r="L104" s="19"/>
      <c r="M104" s="19"/>
      <c r="N104" s="19"/>
      <c r="O104" s="19"/>
      <c r="P104" s="19"/>
      <c r="Q104" s="19"/>
      <c r="R104" s="19"/>
      <c r="S104" s="19"/>
      <c r="T104" s="19"/>
      <c r="U104" s="20"/>
      <c r="V104" s="119"/>
      <c r="W104" s="138"/>
      <c r="X104" s="147"/>
      <c r="Z104" s="185"/>
      <c r="AJ104" s="179"/>
      <c r="AK104" s="153"/>
      <c r="AL104" s="76"/>
      <c r="AM104" s="76"/>
      <c r="AN104" s="76"/>
      <c r="AO104" s="76"/>
      <c r="AP104" s="76"/>
      <c r="AQ104" s="76"/>
      <c r="AR104" s="76"/>
    </row>
    <row r="105" spans="1:46" s="83" customFormat="1" ht="15" customHeight="1" x14ac:dyDescent="0.2">
      <c r="A105" s="1399"/>
      <c r="B105" s="1421"/>
      <c r="C105" s="1421"/>
      <c r="D105" s="1421"/>
      <c r="E105" s="1421"/>
      <c r="F105" s="1421"/>
      <c r="G105" s="1421"/>
      <c r="H105" s="1421"/>
      <c r="I105" s="1421"/>
      <c r="J105" s="1421"/>
      <c r="K105" s="1421"/>
      <c r="L105" s="1421"/>
      <c r="M105" s="1421"/>
      <c r="N105" s="1421"/>
      <c r="O105" s="1421"/>
      <c r="P105" s="1421"/>
      <c r="Q105" s="1421"/>
      <c r="R105" s="1421"/>
      <c r="S105" s="1421"/>
      <c r="T105" s="1421"/>
      <c r="U105" s="1421"/>
      <c r="V105" s="1422"/>
      <c r="W105" s="138"/>
      <c r="X105" s="147"/>
      <c r="Y105" s="183"/>
      <c r="Z105" s="183"/>
      <c r="AK105" s="157"/>
      <c r="AT105" s="76"/>
    </row>
    <row r="106" spans="1:46" s="83" customFormat="1" ht="11.25" customHeight="1" x14ac:dyDescent="0.2">
      <c r="A106" s="1428" t="str">
        <f>Home!$A$40</f>
        <v>LA's provide quarterly data on the condition that it is used by the benchmarking group for internal reporting only. Please DO NOT share other LA's data with any external partners or the public</v>
      </c>
      <c r="B106" s="1429"/>
      <c r="C106" s="1429"/>
      <c r="D106" s="1429"/>
      <c r="E106" s="1429"/>
      <c r="F106" s="1429"/>
      <c r="G106" s="1429"/>
      <c r="H106" s="1429"/>
      <c r="I106" s="1430"/>
      <c r="J106" s="1429"/>
      <c r="K106" s="1429"/>
      <c r="L106" s="1429"/>
      <c r="M106" s="1429"/>
      <c r="N106" s="1429"/>
      <c r="O106" s="1429"/>
      <c r="P106" s="1431"/>
      <c r="Q106" s="1429"/>
      <c r="R106" s="1429"/>
      <c r="S106" s="1429"/>
      <c r="T106" s="1430"/>
      <c r="U106" s="1429"/>
      <c r="V106" s="1432"/>
      <c r="W106" s="138"/>
      <c r="X106" s="147"/>
      <c r="Y106" s="183"/>
      <c r="Z106" s="183"/>
      <c r="AJ106" s="179"/>
      <c r="AK106" s="156"/>
      <c r="AL106" s="89"/>
      <c r="AT106" s="76"/>
    </row>
    <row r="107" spans="1:46" ht="11.25" customHeight="1" x14ac:dyDescent="0.2">
      <c r="A107" s="141"/>
      <c r="B107" s="1109"/>
      <c r="C107" s="9"/>
      <c r="D107" s="9"/>
      <c r="E107" s="9"/>
      <c r="F107" s="9"/>
      <c r="G107" s="9"/>
      <c r="H107" s="9"/>
      <c r="I107" s="9"/>
      <c r="J107" s="13"/>
      <c r="K107" s="9"/>
      <c r="L107" s="9"/>
      <c r="M107" s="9"/>
      <c r="N107" s="9"/>
      <c r="O107" s="9"/>
      <c r="P107" s="9"/>
      <c r="Q107" s="9"/>
      <c r="R107" s="9"/>
      <c r="S107" s="9"/>
      <c r="T107" s="9"/>
      <c r="U107" s="11"/>
      <c r="V107" s="11"/>
      <c r="W107" s="1311"/>
      <c r="X107" s="12"/>
      <c r="Y107" s="12"/>
      <c r="Z107" s="12"/>
      <c r="AA107" s="12"/>
      <c r="AB107" s="12"/>
      <c r="AC107" s="241"/>
      <c r="AF107" s="84"/>
      <c r="AI107" s="179"/>
      <c r="AJ107" s="179"/>
      <c r="AK107" s="153"/>
      <c r="AM107" s="83"/>
      <c r="AN107" s="83"/>
      <c r="AO107" s="83"/>
      <c r="AP107" s="83"/>
      <c r="AQ107" s="83"/>
      <c r="AR107" s="83"/>
    </row>
    <row r="108" spans="1:46" ht="11.25" customHeight="1" x14ac:dyDescent="0.2">
      <c r="A108" s="141"/>
      <c r="B108" s="1109"/>
      <c r="C108" s="9"/>
      <c r="D108" s="9"/>
      <c r="E108" s="9"/>
      <c r="F108" s="9"/>
      <c r="G108" s="9"/>
      <c r="H108" s="9"/>
      <c r="I108" s="9"/>
      <c r="J108" s="13"/>
      <c r="K108" s="9"/>
      <c r="L108" s="9"/>
      <c r="M108" s="9"/>
      <c r="N108" s="9"/>
      <c r="O108" s="9"/>
      <c r="P108" s="9"/>
      <c r="Q108" s="9"/>
      <c r="R108" s="9"/>
      <c r="S108" s="9"/>
      <c r="T108" s="9"/>
      <c r="U108" s="11"/>
      <c r="V108" s="11"/>
      <c r="W108" s="11"/>
      <c r="X108" s="12"/>
      <c r="Y108" s="12"/>
      <c r="Z108" s="12"/>
      <c r="AA108" s="12"/>
      <c r="AB108" s="12"/>
      <c r="AC108" s="241"/>
      <c r="AF108" s="84"/>
      <c r="AI108" s="179"/>
      <c r="AJ108" s="179"/>
      <c r="AK108" s="153"/>
      <c r="AM108" s="83"/>
      <c r="AN108" s="83"/>
      <c r="AO108" s="83"/>
      <c r="AP108" s="83"/>
      <c r="AQ108" s="83"/>
      <c r="AR108" s="83"/>
    </row>
    <row r="109" spans="1:46" ht="11.25" customHeight="1" x14ac:dyDescent="0.2">
      <c r="A109" s="141"/>
      <c r="B109" s="1367" t="s">
        <v>82</v>
      </c>
      <c r="C109" s="15"/>
      <c r="D109" s="1306"/>
      <c r="E109" s="1306"/>
      <c r="F109" s="9"/>
      <c r="G109" s="9"/>
      <c r="H109" s="9"/>
      <c r="I109" s="9"/>
      <c r="J109" s="13"/>
      <c r="K109" s="9"/>
      <c r="L109" s="9"/>
      <c r="M109" s="9"/>
      <c r="N109" s="9"/>
      <c r="O109" s="9"/>
      <c r="P109" s="9"/>
      <c r="Q109" s="9"/>
      <c r="R109" s="9"/>
      <c r="S109" s="9"/>
      <c r="T109" s="9"/>
      <c r="U109" s="11"/>
      <c r="V109" s="11"/>
      <c r="W109" s="11"/>
      <c r="X109" s="12"/>
      <c r="Y109" s="12"/>
      <c r="Z109" s="12"/>
      <c r="AA109" s="12"/>
      <c r="AB109" s="12"/>
      <c r="AC109" s="241"/>
      <c r="AF109" s="84"/>
      <c r="AI109" s="179"/>
      <c r="AJ109" s="179"/>
      <c r="AK109" s="153"/>
      <c r="AM109" s="83"/>
      <c r="AN109" s="83"/>
      <c r="AO109" s="83"/>
      <c r="AP109" s="83"/>
      <c r="AQ109" s="83"/>
      <c r="AR109" s="83"/>
    </row>
    <row r="110" spans="1:46" ht="11.25" customHeight="1" x14ac:dyDescent="0.2">
      <c r="A110" s="141"/>
      <c r="B110" s="1368"/>
      <c r="C110" s="9"/>
      <c r="D110" s="1306"/>
      <c r="E110" s="1306"/>
      <c r="F110" s="9"/>
      <c r="G110" s="9"/>
      <c r="H110" s="9"/>
      <c r="I110" s="9"/>
      <c r="J110" s="13"/>
      <c r="K110" s="9"/>
      <c r="L110" s="9"/>
      <c r="M110" s="9"/>
      <c r="N110" s="9"/>
      <c r="O110" s="9"/>
      <c r="P110" s="9"/>
      <c r="Q110" s="9"/>
      <c r="R110" s="9"/>
      <c r="S110" s="9"/>
      <c r="T110" s="9"/>
      <c r="U110" s="11"/>
      <c r="V110" s="11"/>
      <c r="W110" s="11"/>
      <c r="X110" s="12"/>
      <c r="Y110" s="12"/>
      <c r="Z110" s="12"/>
      <c r="AA110" s="12"/>
      <c r="AB110" s="12"/>
      <c r="AC110" s="241"/>
      <c r="AF110" s="84"/>
      <c r="AI110" s="179"/>
      <c r="AJ110" s="179"/>
      <c r="AK110" s="153"/>
    </row>
    <row r="111" spans="1:46" ht="11.25" customHeight="1" x14ac:dyDescent="0.2">
      <c r="A111" s="141"/>
      <c r="B111" s="1366" t="s">
        <v>806</v>
      </c>
      <c r="C111" s="1366"/>
      <c r="D111" s="1366"/>
      <c r="E111" s="1366"/>
      <c r="F111" s="9"/>
      <c r="G111" s="9"/>
      <c r="H111" s="9"/>
      <c r="I111" s="9"/>
      <c r="J111" s="13"/>
      <c r="K111" s="9"/>
      <c r="L111" s="9"/>
      <c r="M111" s="9"/>
      <c r="N111" s="9"/>
      <c r="O111" s="9"/>
      <c r="P111" s="9"/>
      <c r="Q111" s="9"/>
      <c r="R111" s="9"/>
      <c r="S111" s="9"/>
      <c r="T111" s="9"/>
      <c r="U111" s="11"/>
      <c r="V111" s="11"/>
      <c r="W111" s="11"/>
      <c r="X111" s="12"/>
      <c r="Y111" s="12"/>
      <c r="Z111" s="12"/>
      <c r="AA111" s="12"/>
      <c r="AB111" s="12"/>
      <c r="AC111" s="241"/>
      <c r="AF111" s="84"/>
      <c r="AI111" s="179"/>
      <c r="AJ111" s="179"/>
      <c r="AK111" s="153"/>
    </row>
    <row r="112" spans="1:46" ht="11.25" customHeight="1" x14ac:dyDescent="0.2">
      <c r="A112" s="141"/>
      <c r="B112" s="1366"/>
      <c r="C112" s="1366"/>
      <c r="D112" s="1366"/>
      <c r="E112" s="1366"/>
      <c r="F112" s="9"/>
      <c r="G112" s="9"/>
      <c r="H112" s="9"/>
      <c r="I112" s="9"/>
      <c r="J112" s="13"/>
      <c r="K112" s="9"/>
      <c r="L112" s="9"/>
      <c r="M112" s="9"/>
      <c r="N112" s="9"/>
      <c r="O112" s="9"/>
      <c r="P112" s="9"/>
      <c r="Q112" s="9"/>
      <c r="R112" s="9"/>
      <c r="S112" s="9"/>
      <c r="T112" s="9"/>
      <c r="U112" s="11"/>
      <c r="V112" s="11"/>
      <c r="W112" s="11"/>
      <c r="X112" s="12"/>
      <c r="Y112" s="12"/>
      <c r="Z112" s="12"/>
      <c r="AA112" s="12"/>
      <c r="AB112" s="12"/>
      <c r="AC112" s="241"/>
      <c r="AF112" s="84"/>
      <c r="AI112" s="183"/>
      <c r="AJ112" s="183"/>
      <c r="AK112" s="154"/>
    </row>
    <row r="113" spans="1:38" s="78" customFormat="1" ht="11.25" customHeight="1" x14ac:dyDescent="0.2">
      <c r="A113" s="141"/>
      <c r="B113" s="1366" t="s">
        <v>81</v>
      </c>
      <c r="C113" s="1366"/>
      <c r="D113" s="1366"/>
      <c r="E113" s="1366"/>
      <c r="F113" s="9"/>
      <c r="G113" s="9"/>
      <c r="H113" s="9"/>
      <c r="I113" s="9"/>
      <c r="J113" s="13"/>
      <c r="K113" s="9"/>
      <c r="L113" s="9"/>
      <c r="M113" s="9"/>
      <c r="N113" s="9"/>
      <c r="O113" s="9"/>
      <c r="P113" s="9"/>
      <c r="Q113" s="9"/>
      <c r="R113" s="9"/>
      <c r="S113" s="9"/>
      <c r="T113" s="9"/>
      <c r="U113" s="11"/>
      <c r="V113" s="11"/>
      <c r="W113" s="11"/>
      <c r="X113" s="12"/>
      <c r="Y113" s="12"/>
      <c r="Z113" s="12"/>
      <c r="AA113" s="12"/>
      <c r="AB113" s="12"/>
      <c r="AC113" s="241"/>
      <c r="AD113" s="83"/>
      <c r="AE113" s="83"/>
      <c r="AF113" s="84"/>
      <c r="AG113" s="83"/>
      <c r="AH113" s="83"/>
      <c r="AI113" s="179"/>
      <c r="AJ113" s="179"/>
      <c r="AK113" s="153"/>
    </row>
    <row r="114" spans="1:38" ht="11.25" customHeight="1" x14ac:dyDescent="0.2">
      <c r="A114" s="141"/>
      <c r="B114" s="1366"/>
      <c r="C114" s="1366"/>
      <c r="D114" s="1366"/>
      <c r="E114" s="1366"/>
      <c r="F114" s="9"/>
      <c r="G114" s="9"/>
      <c r="H114" s="9"/>
      <c r="I114" s="9"/>
      <c r="J114" s="13"/>
      <c r="K114" s="9"/>
      <c r="L114" s="9"/>
      <c r="M114" s="9"/>
      <c r="N114" s="9"/>
      <c r="O114" s="9"/>
      <c r="P114" s="9"/>
      <c r="Q114" s="9"/>
      <c r="R114" s="9"/>
      <c r="S114" s="9"/>
      <c r="T114" s="9"/>
      <c r="U114" s="11"/>
      <c r="V114" s="11"/>
      <c r="W114" s="11"/>
      <c r="X114" s="12"/>
      <c r="Y114" s="12"/>
      <c r="Z114" s="12"/>
      <c r="AA114" s="12"/>
      <c r="AB114" s="12"/>
      <c r="AC114" s="241"/>
      <c r="AF114" s="84"/>
      <c r="AI114" s="179"/>
      <c r="AJ114" s="179"/>
      <c r="AK114" s="153"/>
    </row>
    <row r="115" spans="1:38" ht="11.25" customHeight="1" x14ac:dyDescent="0.2">
      <c r="A115" s="141"/>
      <c r="B115" s="1366" t="s">
        <v>78</v>
      </c>
      <c r="C115" s="1366"/>
      <c r="D115" s="1366"/>
      <c r="E115" s="1366"/>
      <c r="F115" s="9"/>
      <c r="G115" s="9"/>
      <c r="H115" s="9"/>
      <c r="I115" s="9"/>
      <c r="J115" s="13"/>
      <c r="K115" s="9"/>
      <c r="L115" s="9"/>
      <c r="M115" s="9"/>
      <c r="N115" s="9"/>
      <c r="O115" s="9"/>
      <c r="P115" s="9"/>
      <c r="Q115" s="9"/>
      <c r="R115" s="9"/>
      <c r="S115" s="9"/>
      <c r="T115" s="9"/>
      <c r="U115" s="11"/>
      <c r="V115" s="11"/>
      <c r="W115" s="11"/>
      <c r="X115" s="12"/>
      <c r="Y115" s="12"/>
      <c r="Z115" s="12"/>
      <c r="AA115" s="12"/>
      <c r="AB115" s="12"/>
      <c r="AC115" s="241"/>
      <c r="AF115" s="84"/>
      <c r="AI115" s="179"/>
      <c r="AJ115" s="179"/>
      <c r="AK115" s="153"/>
    </row>
    <row r="116" spans="1:38" ht="11.25" customHeight="1" x14ac:dyDescent="0.2">
      <c r="A116" s="141"/>
      <c r="B116" s="1366"/>
      <c r="C116" s="1366"/>
      <c r="D116" s="1366"/>
      <c r="E116" s="1366"/>
      <c r="F116" s="9"/>
      <c r="G116" s="9"/>
      <c r="H116" s="9"/>
      <c r="I116" s="9"/>
      <c r="J116" s="13"/>
      <c r="K116" s="9"/>
      <c r="L116" s="9"/>
      <c r="M116" s="9"/>
      <c r="N116" s="9"/>
      <c r="O116" s="9"/>
      <c r="P116" s="9"/>
      <c r="Q116" s="9"/>
      <c r="R116" s="9"/>
      <c r="S116" s="9"/>
      <c r="T116" s="9"/>
      <c r="U116" s="11"/>
      <c r="V116" s="11"/>
      <c r="W116" s="11"/>
      <c r="X116" s="12"/>
      <c r="Y116" s="12"/>
      <c r="Z116" s="12"/>
      <c r="AA116" s="12"/>
      <c r="AB116" s="12"/>
      <c r="AC116" s="241"/>
      <c r="AF116" s="84"/>
      <c r="AI116" s="179"/>
      <c r="AJ116" s="179"/>
      <c r="AK116" s="153"/>
    </row>
    <row r="117" spans="1:38" ht="11.25" customHeight="1" x14ac:dyDescent="0.2">
      <c r="A117" s="141"/>
      <c r="B117" s="1366" t="s">
        <v>17</v>
      </c>
      <c r="C117" s="1366"/>
      <c r="D117" s="1366"/>
      <c r="E117" s="1366"/>
      <c r="F117" s="9"/>
      <c r="G117" s="9"/>
      <c r="H117" s="9"/>
      <c r="I117" s="9"/>
      <c r="J117" s="13"/>
      <c r="K117" s="9"/>
      <c r="L117" s="9"/>
      <c r="M117" s="9"/>
      <c r="N117" s="9"/>
      <c r="O117" s="9"/>
      <c r="P117" s="9"/>
      <c r="Q117" s="9"/>
      <c r="R117" s="9"/>
      <c r="S117" s="9"/>
      <c r="T117" s="9"/>
      <c r="U117" s="11"/>
      <c r="V117" s="11"/>
      <c r="W117" s="11"/>
      <c r="X117" s="12"/>
      <c r="Y117" s="12"/>
      <c r="Z117" s="12"/>
      <c r="AA117" s="12"/>
      <c r="AB117" s="12"/>
      <c r="AC117" s="241"/>
      <c r="AF117" s="84"/>
      <c r="AI117" s="179"/>
      <c r="AJ117" s="179"/>
      <c r="AK117" s="153"/>
      <c r="AL117" s="153"/>
    </row>
    <row r="118" spans="1:38" ht="11.25" customHeight="1" x14ac:dyDescent="0.2">
      <c r="A118" s="141"/>
      <c r="B118" s="1366"/>
      <c r="C118" s="1366"/>
      <c r="D118" s="1366"/>
      <c r="E118" s="1366"/>
      <c r="F118" s="9"/>
      <c r="G118" s="9"/>
      <c r="H118" s="9"/>
      <c r="I118" s="9"/>
      <c r="J118" s="13"/>
      <c r="K118" s="9"/>
      <c r="L118" s="9"/>
      <c r="M118" s="9"/>
      <c r="N118" s="9"/>
      <c r="O118" s="9"/>
      <c r="P118" s="9"/>
      <c r="Q118" s="9"/>
      <c r="R118" s="9"/>
      <c r="S118" s="9"/>
      <c r="T118" s="9"/>
      <c r="U118" s="11"/>
      <c r="V118" s="11"/>
      <c r="W118" s="11"/>
      <c r="X118" s="12"/>
      <c r="Y118" s="12"/>
      <c r="Z118" s="12"/>
      <c r="AA118" s="12"/>
      <c r="AB118" s="12"/>
      <c r="AC118" s="241"/>
      <c r="AF118" s="84"/>
      <c r="AI118" s="179"/>
      <c r="AJ118" s="179"/>
      <c r="AK118" s="153"/>
      <c r="AL118" s="153"/>
    </row>
    <row r="119" spans="1:38" ht="11.25" customHeight="1" x14ac:dyDescent="0.2">
      <c r="A119" s="141"/>
      <c r="B119" s="1366" t="s">
        <v>80</v>
      </c>
      <c r="C119" s="1366"/>
      <c r="D119" s="1366"/>
      <c r="E119" s="1366"/>
      <c r="F119" s="9"/>
      <c r="G119" s="9"/>
      <c r="H119" s="9"/>
      <c r="I119" s="9"/>
      <c r="J119" s="13"/>
      <c r="K119" s="9"/>
      <c r="L119" s="9"/>
      <c r="M119" s="9"/>
      <c r="N119" s="9"/>
      <c r="O119" s="9"/>
      <c r="P119" s="9"/>
      <c r="Q119" s="9"/>
      <c r="R119" s="9"/>
      <c r="S119" s="9"/>
      <c r="T119" s="9"/>
      <c r="U119" s="11"/>
      <c r="V119" s="11"/>
      <c r="W119" s="11"/>
      <c r="X119" s="12"/>
      <c r="Y119" s="12"/>
      <c r="Z119" s="12"/>
      <c r="AA119" s="12"/>
      <c r="AB119" s="12"/>
      <c r="AC119" s="241"/>
      <c r="AF119" s="84"/>
      <c r="AI119" s="179"/>
      <c r="AJ119" s="179"/>
      <c r="AK119" s="153"/>
      <c r="AL119" s="153"/>
    </row>
    <row r="120" spans="1:38" ht="11.25" customHeight="1" x14ac:dyDescent="0.2">
      <c r="A120" s="141"/>
      <c r="B120" s="1366"/>
      <c r="C120" s="1366"/>
      <c r="D120" s="1366"/>
      <c r="E120" s="1366"/>
      <c r="F120" s="9"/>
      <c r="G120" s="9"/>
      <c r="H120" s="9"/>
      <c r="I120" s="9"/>
      <c r="J120" s="13"/>
      <c r="K120" s="9"/>
      <c r="L120" s="9"/>
      <c r="M120" s="9"/>
      <c r="N120" s="9"/>
      <c r="O120" s="9"/>
      <c r="P120" s="9"/>
      <c r="Q120" s="9"/>
      <c r="R120" s="9"/>
      <c r="S120" s="9"/>
      <c r="T120" s="9"/>
      <c r="U120" s="11"/>
      <c r="V120" s="11"/>
      <c r="W120" s="11"/>
      <c r="X120" s="12"/>
      <c r="Y120" s="12"/>
      <c r="Z120" s="12"/>
      <c r="AA120" s="12"/>
      <c r="AB120" s="12"/>
      <c r="AC120" s="241"/>
      <c r="AF120" s="84"/>
      <c r="AI120" s="179"/>
      <c r="AJ120" s="179"/>
      <c r="AK120" s="153"/>
      <c r="AL120" s="153"/>
    </row>
    <row r="121" spans="1:38" ht="11.25" customHeight="1" x14ac:dyDescent="0.2">
      <c r="A121" s="141"/>
      <c r="B121" s="1366" t="s">
        <v>69</v>
      </c>
      <c r="C121" s="1366"/>
      <c r="D121" s="1366"/>
      <c r="E121" s="1366"/>
      <c r="F121" s="9"/>
      <c r="G121" s="9"/>
      <c r="H121" s="9"/>
      <c r="I121" s="9"/>
      <c r="J121" s="13"/>
      <c r="K121" s="9"/>
      <c r="L121" s="9"/>
      <c r="M121" s="9"/>
      <c r="N121" s="9"/>
      <c r="O121" s="9"/>
      <c r="P121" s="9"/>
      <c r="Q121" s="9"/>
      <c r="R121" s="9"/>
      <c r="S121" s="9"/>
      <c r="T121" s="9"/>
      <c r="U121" s="11"/>
      <c r="V121" s="11"/>
      <c r="W121" s="11"/>
      <c r="X121" s="12"/>
      <c r="Y121" s="12"/>
      <c r="Z121" s="12"/>
      <c r="AA121" s="12"/>
      <c r="AB121" s="12"/>
      <c r="AC121" s="241"/>
      <c r="AF121" s="84"/>
      <c r="AI121" s="179"/>
      <c r="AJ121" s="179"/>
      <c r="AK121" s="153"/>
      <c r="AL121" s="153"/>
    </row>
    <row r="122" spans="1:38" ht="11.25" customHeight="1" x14ac:dyDescent="0.2">
      <c r="A122" s="141"/>
      <c r="B122" s="1366"/>
      <c r="C122" s="1366"/>
      <c r="D122" s="1366"/>
      <c r="E122" s="1366"/>
      <c r="F122" s="9"/>
      <c r="G122" s="9"/>
      <c r="H122" s="9"/>
      <c r="I122" s="9"/>
      <c r="J122" s="13"/>
      <c r="K122" s="9"/>
      <c r="L122" s="9"/>
      <c r="M122" s="9"/>
      <c r="N122" s="9"/>
      <c r="O122" s="9"/>
      <c r="P122" s="9"/>
      <c r="Q122" s="9"/>
      <c r="R122" s="9"/>
      <c r="S122" s="9"/>
      <c r="T122" s="9"/>
      <c r="U122" s="11"/>
      <c r="V122" s="11"/>
      <c r="W122" s="11"/>
      <c r="X122" s="12"/>
      <c r="Y122" s="12"/>
      <c r="Z122" s="12"/>
      <c r="AA122" s="12"/>
      <c r="AB122" s="12"/>
      <c r="AC122" s="241"/>
      <c r="AF122" s="84"/>
      <c r="AI122" s="179"/>
      <c r="AJ122" s="179"/>
      <c r="AK122" s="153"/>
      <c r="AL122" s="153"/>
    </row>
    <row r="123" spans="1:38" ht="11.25" customHeight="1" x14ac:dyDescent="0.2">
      <c r="A123" s="141"/>
      <c r="B123" s="1366" t="s">
        <v>24</v>
      </c>
      <c r="C123" s="1366"/>
      <c r="D123" s="1366"/>
      <c r="E123" s="1366"/>
      <c r="F123" s="9"/>
      <c r="G123" s="9"/>
      <c r="H123" s="9"/>
      <c r="I123" s="9"/>
      <c r="J123" s="13"/>
      <c r="K123" s="9"/>
      <c r="L123" s="9"/>
      <c r="M123" s="9"/>
      <c r="N123" s="9"/>
      <c r="O123" s="9"/>
      <c r="P123" s="9"/>
      <c r="Q123" s="9"/>
      <c r="R123" s="9"/>
      <c r="S123" s="9"/>
      <c r="T123" s="9"/>
      <c r="U123" s="11"/>
      <c r="V123" s="11"/>
      <c r="W123" s="11"/>
      <c r="X123" s="12"/>
      <c r="Y123" s="12"/>
      <c r="Z123" s="12"/>
      <c r="AA123" s="12"/>
      <c r="AB123" s="12"/>
      <c r="AC123" s="241"/>
      <c r="AF123" s="84"/>
      <c r="AI123" s="179"/>
      <c r="AJ123" s="179"/>
      <c r="AK123" s="153"/>
    </row>
    <row r="124" spans="1:38" ht="11.25" customHeight="1" x14ac:dyDescent="0.2">
      <c r="A124" s="141"/>
      <c r="B124" s="1366"/>
      <c r="C124" s="1366"/>
      <c r="D124" s="1366"/>
      <c r="E124" s="1366"/>
      <c r="F124" s="9"/>
      <c r="G124" s="9"/>
      <c r="H124" s="9"/>
      <c r="I124" s="9"/>
      <c r="J124" s="13"/>
      <c r="K124" s="9"/>
      <c r="L124" s="9"/>
      <c r="M124" s="9"/>
      <c r="N124" s="9"/>
      <c r="O124" s="9"/>
      <c r="P124" s="9"/>
      <c r="Q124" s="9"/>
      <c r="R124" s="9"/>
      <c r="S124" s="9"/>
      <c r="T124" s="9"/>
      <c r="U124" s="11"/>
      <c r="V124" s="11"/>
      <c r="W124" s="11"/>
      <c r="X124" s="12"/>
      <c r="Y124" s="12"/>
      <c r="Z124" s="12"/>
      <c r="AA124" s="12"/>
      <c r="AB124" s="12"/>
      <c r="AC124" s="241"/>
      <c r="AF124" s="84"/>
      <c r="AI124" s="179"/>
      <c r="AJ124" s="179"/>
      <c r="AK124" s="153"/>
    </row>
    <row r="125" spans="1:38" ht="11.25" customHeight="1" x14ac:dyDescent="0.2">
      <c r="A125" s="141"/>
      <c r="B125" s="1366" t="s">
        <v>22</v>
      </c>
      <c r="C125" s="1366"/>
      <c r="D125" s="1366"/>
      <c r="E125" s="1366"/>
      <c r="F125" s="9"/>
      <c r="G125" s="9"/>
      <c r="H125" s="9"/>
      <c r="I125" s="9"/>
      <c r="J125" s="13"/>
      <c r="K125" s="9"/>
      <c r="L125" s="9"/>
      <c r="M125" s="9"/>
      <c r="N125" s="9"/>
      <c r="O125" s="9"/>
      <c r="P125" s="9"/>
      <c r="Q125" s="9"/>
      <c r="R125" s="9"/>
      <c r="S125" s="9"/>
      <c r="T125" s="9"/>
      <c r="U125" s="11"/>
      <c r="V125" s="11"/>
      <c r="W125" s="11"/>
      <c r="X125" s="12"/>
      <c r="Y125" s="12"/>
      <c r="Z125" s="12"/>
      <c r="AA125" s="12"/>
      <c r="AB125" s="12"/>
      <c r="AC125" s="241"/>
      <c r="AF125" s="84"/>
      <c r="AI125" s="179"/>
      <c r="AJ125" s="179"/>
      <c r="AK125" s="153"/>
    </row>
    <row r="126" spans="1:38" ht="11.25" customHeight="1" x14ac:dyDescent="0.2">
      <c r="A126" s="141"/>
      <c r="B126" s="1366"/>
      <c r="C126" s="1366"/>
      <c r="D126" s="1366"/>
      <c r="E126" s="1366"/>
      <c r="F126" s="9"/>
      <c r="G126" s="9"/>
      <c r="H126" s="9"/>
      <c r="I126" s="9"/>
      <c r="J126" s="13"/>
      <c r="K126" s="9"/>
      <c r="L126" s="9"/>
      <c r="M126" s="9"/>
      <c r="N126" s="9"/>
      <c r="O126" s="9"/>
      <c r="P126" s="9"/>
      <c r="Q126" s="9"/>
      <c r="R126" s="9"/>
      <c r="S126" s="9"/>
      <c r="T126" s="9"/>
      <c r="U126" s="11"/>
      <c r="V126" s="11"/>
      <c r="W126" s="11"/>
      <c r="X126" s="12"/>
      <c r="Y126" s="12"/>
      <c r="Z126" s="12"/>
      <c r="AA126" s="12"/>
      <c r="AB126" s="12"/>
      <c r="AC126" s="241"/>
      <c r="AF126" s="84"/>
      <c r="AI126" s="179"/>
      <c r="AJ126" s="179"/>
      <c r="AK126" s="153"/>
    </row>
    <row r="127" spans="1:38" ht="11.25" customHeight="1" x14ac:dyDescent="0.2">
      <c r="A127" s="141"/>
      <c r="B127" s="1366" t="s">
        <v>25</v>
      </c>
      <c r="C127" s="1366"/>
      <c r="D127" s="1366"/>
      <c r="E127" s="1366"/>
      <c r="F127" s="9"/>
      <c r="G127" s="9"/>
      <c r="H127" s="9"/>
      <c r="I127" s="9"/>
      <c r="J127" s="13"/>
      <c r="K127" s="9"/>
      <c r="L127" s="9"/>
      <c r="M127" s="9"/>
      <c r="N127" s="9"/>
      <c r="O127" s="9"/>
      <c r="P127" s="9"/>
      <c r="Q127" s="9"/>
      <c r="R127" s="9"/>
      <c r="S127" s="9"/>
      <c r="T127" s="9"/>
      <c r="U127" s="11"/>
      <c r="V127" s="11"/>
      <c r="W127" s="11"/>
      <c r="X127" s="12"/>
      <c r="Y127" s="12"/>
      <c r="Z127" s="12"/>
      <c r="AA127" s="12"/>
      <c r="AB127" s="12"/>
      <c r="AC127" s="241"/>
      <c r="AF127" s="84"/>
      <c r="AI127" s="179"/>
      <c r="AJ127" s="179"/>
      <c r="AK127" s="153"/>
    </row>
    <row r="128" spans="1:38" ht="11.25" customHeight="1" x14ac:dyDescent="0.2">
      <c r="A128" s="141"/>
      <c r="B128" s="1366"/>
      <c r="C128" s="1366"/>
      <c r="D128" s="1366"/>
      <c r="E128" s="1366"/>
      <c r="F128" s="9"/>
      <c r="G128" s="9"/>
      <c r="H128" s="9"/>
      <c r="I128" s="9"/>
      <c r="J128" s="13"/>
      <c r="K128" s="9"/>
      <c r="L128" s="9"/>
      <c r="M128" s="9"/>
      <c r="N128" s="9"/>
      <c r="O128" s="9"/>
      <c r="P128" s="9"/>
      <c r="Q128" s="9"/>
      <c r="R128" s="9"/>
      <c r="S128" s="9"/>
      <c r="T128" s="9"/>
      <c r="U128" s="11"/>
      <c r="V128" s="11"/>
      <c r="W128" s="11"/>
      <c r="X128" s="12"/>
      <c r="Y128" s="12"/>
      <c r="Z128" s="12"/>
      <c r="AA128" s="12"/>
      <c r="AB128" s="12"/>
      <c r="AC128" s="241"/>
      <c r="AF128" s="84"/>
      <c r="AI128" s="179"/>
      <c r="AJ128" s="179"/>
      <c r="AK128" s="153"/>
    </row>
    <row r="129" spans="1:37" ht="11.25" customHeight="1" x14ac:dyDescent="0.2">
      <c r="A129" s="141"/>
      <c r="B129" s="1366" t="s">
        <v>18</v>
      </c>
      <c r="C129" s="1366"/>
      <c r="D129" s="1366"/>
      <c r="E129" s="1366"/>
      <c r="F129" s="9"/>
      <c r="G129" s="9"/>
      <c r="H129" s="9"/>
      <c r="I129" s="9"/>
      <c r="J129" s="13"/>
      <c r="K129" s="9"/>
      <c r="L129" s="9"/>
      <c r="M129" s="9"/>
      <c r="N129" s="9"/>
      <c r="O129" s="9"/>
      <c r="P129" s="9"/>
      <c r="Q129" s="9"/>
      <c r="R129" s="9"/>
      <c r="S129" s="9"/>
      <c r="T129" s="9"/>
      <c r="U129" s="11"/>
      <c r="V129" s="11"/>
      <c r="W129" s="11"/>
      <c r="X129" s="12"/>
      <c r="Y129" s="12"/>
      <c r="Z129" s="12"/>
      <c r="AA129" s="12"/>
      <c r="AB129" s="12"/>
      <c r="AC129" s="241"/>
      <c r="AF129" s="84"/>
      <c r="AI129" s="179"/>
      <c r="AJ129" s="179"/>
      <c r="AK129" s="153"/>
    </row>
    <row r="130" spans="1:37" ht="11.25" customHeight="1" x14ac:dyDescent="0.2">
      <c r="A130" s="141"/>
      <c r="B130" s="1366"/>
      <c r="C130" s="1366"/>
      <c r="D130" s="1366"/>
      <c r="E130" s="1366"/>
      <c r="F130" s="9"/>
      <c r="G130" s="9"/>
      <c r="H130" s="9"/>
      <c r="I130" s="9"/>
      <c r="J130" s="13"/>
      <c r="K130" s="9"/>
      <c r="L130" s="9"/>
      <c r="M130" s="9"/>
      <c r="N130" s="9"/>
      <c r="O130" s="9"/>
      <c r="P130" s="9"/>
      <c r="Q130" s="9"/>
      <c r="R130" s="9"/>
      <c r="S130" s="9"/>
      <c r="T130" s="9"/>
      <c r="U130" s="11"/>
      <c r="V130" s="11"/>
      <c r="W130" s="11"/>
      <c r="X130" s="12"/>
      <c r="Y130" s="12"/>
      <c r="Z130" s="12"/>
      <c r="AA130" s="12"/>
      <c r="AB130" s="12"/>
      <c r="AC130" s="241"/>
      <c r="AF130" s="84"/>
      <c r="AI130" s="179"/>
      <c r="AJ130" s="179"/>
      <c r="AK130" s="153"/>
    </row>
    <row r="131" spans="1:37" ht="11.25" customHeight="1" x14ac:dyDescent="0.2">
      <c r="A131" s="141"/>
      <c r="B131" s="1366" t="s">
        <v>19</v>
      </c>
      <c r="C131" s="1366"/>
      <c r="D131" s="1366"/>
      <c r="E131" s="1366"/>
      <c r="F131" s="1366"/>
      <c r="G131" s="9"/>
      <c r="H131" s="9"/>
      <c r="I131" s="9"/>
      <c r="J131" s="13"/>
      <c r="K131" s="9"/>
      <c r="L131" s="9"/>
      <c r="M131" s="9"/>
      <c r="N131" s="9"/>
      <c r="O131" s="9"/>
      <c r="P131" s="9"/>
      <c r="Q131" s="9"/>
      <c r="R131" s="9"/>
      <c r="S131" s="9"/>
      <c r="T131" s="9"/>
      <c r="U131" s="11"/>
      <c r="V131" s="11"/>
      <c r="W131" s="11"/>
      <c r="X131" s="12"/>
      <c r="Y131" s="12"/>
      <c r="Z131" s="12"/>
      <c r="AA131" s="12"/>
      <c r="AB131" s="12"/>
      <c r="AC131" s="241"/>
      <c r="AF131" s="84"/>
      <c r="AI131" s="179"/>
      <c r="AJ131" s="179"/>
      <c r="AK131" s="153"/>
    </row>
    <row r="132" spans="1:37" ht="11.25" customHeight="1" x14ac:dyDescent="0.2">
      <c r="A132" s="141"/>
      <c r="B132" s="1366"/>
      <c r="C132" s="1366"/>
      <c r="D132" s="1366"/>
      <c r="E132" s="1366"/>
      <c r="F132" s="1366"/>
      <c r="G132" s="9"/>
      <c r="H132" s="9"/>
      <c r="I132" s="9"/>
      <c r="J132" s="13"/>
      <c r="K132" s="9"/>
      <c r="L132" s="9"/>
      <c r="M132" s="9"/>
      <c r="N132" s="9"/>
      <c r="O132" s="9"/>
      <c r="P132" s="9"/>
      <c r="Q132" s="9"/>
      <c r="R132" s="9"/>
      <c r="S132" s="9"/>
      <c r="T132" s="9"/>
      <c r="U132" s="11"/>
      <c r="V132" s="11"/>
      <c r="W132" s="11"/>
      <c r="X132" s="12"/>
      <c r="Y132" s="12"/>
      <c r="Z132" s="12"/>
      <c r="AA132" s="12"/>
      <c r="AB132" s="12"/>
      <c r="AC132" s="241"/>
      <c r="AF132" s="84"/>
      <c r="AI132" s="179"/>
      <c r="AJ132" s="179"/>
      <c r="AK132" s="153"/>
    </row>
    <row r="133" spans="1:37" ht="11.25" customHeight="1" x14ac:dyDescent="0.2">
      <c r="A133" s="141"/>
      <c r="B133" s="1366" t="s">
        <v>20</v>
      </c>
      <c r="C133" s="1366"/>
      <c r="D133" s="1366"/>
      <c r="E133" s="1366"/>
      <c r="F133" s="9"/>
      <c r="G133" s="9"/>
      <c r="H133" s="9"/>
      <c r="I133" s="9"/>
      <c r="J133" s="13"/>
      <c r="K133" s="9"/>
      <c r="L133" s="9"/>
      <c r="M133" s="9"/>
      <c r="N133" s="9"/>
      <c r="O133" s="9"/>
      <c r="P133" s="9"/>
      <c r="Q133" s="9"/>
      <c r="R133" s="9"/>
      <c r="S133" s="9"/>
      <c r="T133" s="9"/>
      <c r="U133" s="11"/>
      <c r="V133" s="11"/>
      <c r="W133" s="11"/>
      <c r="X133" s="12"/>
      <c r="Y133" s="12"/>
      <c r="Z133" s="12"/>
      <c r="AA133" s="12"/>
      <c r="AB133" s="12"/>
      <c r="AC133" s="241"/>
      <c r="AF133" s="84"/>
      <c r="AI133" s="179"/>
      <c r="AJ133" s="179"/>
      <c r="AK133" s="153"/>
    </row>
    <row r="134" spans="1:37" ht="11.25" customHeight="1" x14ac:dyDescent="0.2">
      <c r="A134" s="141"/>
      <c r="B134" s="1366"/>
      <c r="C134" s="1366"/>
      <c r="D134" s="1366"/>
      <c r="E134" s="1366"/>
      <c r="F134" s="9"/>
      <c r="G134" s="9"/>
      <c r="H134" s="9"/>
      <c r="I134" s="9"/>
      <c r="J134" s="13"/>
      <c r="K134" s="9"/>
      <c r="L134" s="9"/>
      <c r="M134" s="9"/>
      <c r="N134" s="9"/>
      <c r="O134" s="9"/>
      <c r="P134" s="9"/>
      <c r="Q134" s="9"/>
      <c r="R134" s="9"/>
      <c r="S134" s="9"/>
      <c r="T134" s="9"/>
      <c r="U134" s="11"/>
      <c r="V134" s="11"/>
      <c r="W134" s="11"/>
      <c r="X134" s="12"/>
      <c r="Y134" s="12"/>
      <c r="Z134" s="12"/>
      <c r="AA134" s="12"/>
      <c r="AB134" s="12"/>
      <c r="AC134" s="241"/>
      <c r="AF134" s="84"/>
      <c r="AI134" s="179"/>
      <c r="AJ134" s="179"/>
      <c r="AK134" s="153"/>
    </row>
    <row r="135" spans="1:37" ht="11.25" customHeight="1" x14ac:dyDescent="0.2">
      <c r="A135" s="141"/>
      <c r="B135" s="1366" t="s">
        <v>26</v>
      </c>
      <c r="C135" s="1366"/>
      <c r="D135" s="1366"/>
      <c r="E135" s="1366"/>
      <c r="F135" s="9"/>
      <c r="G135" s="9"/>
      <c r="H135" s="9"/>
      <c r="I135" s="9"/>
      <c r="J135" s="13"/>
      <c r="K135" s="9"/>
      <c r="L135" s="9"/>
      <c r="M135" s="9"/>
      <c r="N135" s="9"/>
      <c r="O135" s="9"/>
      <c r="P135" s="9"/>
      <c r="Q135" s="9"/>
      <c r="R135" s="9"/>
      <c r="S135" s="9"/>
      <c r="T135" s="9"/>
      <c r="U135" s="11"/>
      <c r="V135" s="11"/>
      <c r="W135" s="11"/>
      <c r="X135" s="12"/>
      <c r="Y135" s="12"/>
      <c r="Z135" s="12"/>
      <c r="AA135" s="12"/>
      <c r="AB135" s="12"/>
      <c r="AC135" s="241"/>
      <c r="AF135" s="84"/>
      <c r="AI135" s="179"/>
      <c r="AJ135" s="179"/>
      <c r="AK135" s="153"/>
    </row>
    <row r="136" spans="1:37" ht="11.25" customHeight="1" x14ac:dyDescent="0.2">
      <c r="A136" s="141"/>
      <c r="B136" s="1366"/>
      <c r="C136" s="1366"/>
      <c r="D136" s="1366"/>
      <c r="E136" s="1366"/>
      <c r="F136" s="9"/>
      <c r="G136" s="9"/>
      <c r="H136" s="9"/>
      <c r="I136" s="9"/>
      <c r="J136" s="13"/>
      <c r="K136" s="9"/>
      <c r="L136" s="9"/>
      <c r="M136" s="9"/>
      <c r="N136" s="9"/>
      <c r="O136" s="9"/>
      <c r="P136" s="9"/>
      <c r="Q136" s="9"/>
      <c r="R136" s="9"/>
      <c r="S136" s="9"/>
      <c r="T136" s="9"/>
      <c r="U136" s="11"/>
      <c r="V136" s="11"/>
      <c r="W136" s="11"/>
      <c r="X136" s="12"/>
      <c r="Y136" s="12"/>
      <c r="Z136" s="12"/>
      <c r="AA136" s="12"/>
      <c r="AB136" s="12"/>
      <c r="AC136" s="241"/>
      <c r="AF136" s="84"/>
      <c r="AI136" s="179"/>
      <c r="AJ136" s="179"/>
      <c r="AK136" s="153"/>
    </row>
    <row r="137" spans="1:37" ht="11.25" customHeight="1" x14ac:dyDescent="0.2">
      <c r="A137" s="141"/>
      <c r="B137" s="1366" t="s">
        <v>21</v>
      </c>
      <c r="C137" s="1366"/>
      <c r="D137" s="1366"/>
      <c r="E137" s="1366"/>
      <c r="F137" s="9"/>
      <c r="G137" s="9"/>
      <c r="H137" s="9"/>
      <c r="I137" s="9"/>
      <c r="J137" s="13"/>
      <c r="K137" s="9"/>
      <c r="L137" s="9"/>
      <c r="M137" s="9"/>
      <c r="N137" s="9"/>
      <c r="O137" s="9"/>
      <c r="P137" s="9"/>
      <c r="Q137" s="9"/>
      <c r="R137" s="9"/>
      <c r="S137" s="9"/>
      <c r="T137" s="9"/>
      <c r="U137" s="11"/>
      <c r="V137" s="11"/>
      <c r="W137" s="11"/>
      <c r="X137" s="12"/>
      <c r="Y137" s="12"/>
      <c r="Z137" s="12"/>
      <c r="AA137" s="12"/>
      <c r="AB137" s="12"/>
      <c r="AC137" s="241"/>
      <c r="AF137" s="84"/>
      <c r="AI137" s="179"/>
      <c r="AJ137" s="179"/>
      <c r="AK137" s="153"/>
    </row>
    <row r="138" spans="1:37" ht="11.25" customHeight="1" x14ac:dyDescent="0.2">
      <c r="A138" s="141"/>
      <c r="B138" s="1366"/>
      <c r="C138" s="1366"/>
      <c r="D138" s="1366"/>
      <c r="E138" s="1366"/>
      <c r="F138" s="9"/>
      <c r="G138" s="9"/>
      <c r="H138" s="9"/>
      <c r="I138" s="9"/>
      <c r="J138" s="13"/>
      <c r="K138" s="9"/>
      <c r="L138" s="9"/>
      <c r="M138" s="9"/>
      <c r="N138" s="9"/>
      <c r="O138" s="9"/>
      <c r="P138" s="9"/>
      <c r="Q138" s="9"/>
      <c r="R138" s="9"/>
      <c r="S138" s="9"/>
      <c r="T138" s="9"/>
      <c r="U138" s="11"/>
      <c r="V138" s="11"/>
      <c r="W138" s="11"/>
      <c r="X138" s="12"/>
      <c r="Y138" s="12"/>
      <c r="Z138" s="12"/>
      <c r="AA138" s="12"/>
      <c r="AB138" s="12"/>
      <c r="AC138" s="241"/>
      <c r="AF138" s="84"/>
      <c r="AI138" s="179"/>
      <c r="AJ138" s="179"/>
      <c r="AK138" s="153"/>
    </row>
    <row r="139" spans="1:37" ht="11.25" customHeight="1" x14ac:dyDescent="0.2">
      <c r="A139" s="141"/>
      <c r="B139" s="1366" t="s">
        <v>930</v>
      </c>
      <c r="C139" s="1366"/>
      <c r="D139" s="1366"/>
      <c r="E139" s="1366"/>
      <c r="F139" s="1366"/>
      <c r="G139" s="9"/>
      <c r="H139" s="9"/>
      <c r="I139" s="9"/>
      <c r="J139" s="13"/>
      <c r="K139" s="9"/>
      <c r="L139" s="9"/>
      <c r="M139" s="9"/>
      <c r="N139" s="9"/>
      <c r="O139" s="9"/>
      <c r="P139" s="9"/>
      <c r="Q139" s="9"/>
      <c r="R139" s="9"/>
      <c r="S139" s="9"/>
      <c r="T139" s="9"/>
      <c r="U139" s="11"/>
      <c r="V139" s="11"/>
      <c r="W139" s="11"/>
      <c r="X139" s="12"/>
      <c r="Y139" s="12"/>
      <c r="Z139" s="12"/>
      <c r="AA139" s="12"/>
      <c r="AB139" s="12"/>
      <c r="AC139" s="241"/>
      <c r="AF139" s="84"/>
      <c r="AI139" s="179"/>
      <c r="AJ139" s="179"/>
      <c r="AK139" s="153"/>
    </row>
    <row r="140" spans="1:37" ht="11.25" customHeight="1" x14ac:dyDescent="0.2">
      <c r="A140" s="141"/>
      <c r="B140" s="1366"/>
      <c r="C140" s="1366"/>
      <c r="D140" s="1366"/>
      <c r="E140" s="1366"/>
      <c r="F140" s="1366"/>
      <c r="G140" s="9"/>
      <c r="H140" s="9"/>
      <c r="I140" s="9"/>
      <c r="J140" s="13"/>
      <c r="K140" s="9"/>
      <c r="L140" s="9"/>
      <c r="M140" s="9"/>
      <c r="N140" s="9"/>
      <c r="O140" s="9"/>
      <c r="P140" s="9"/>
      <c r="Q140" s="9"/>
      <c r="R140" s="9"/>
      <c r="S140" s="9"/>
      <c r="T140" s="9"/>
      <c r="U140" s="11"/>
      <c r="V140" s="11"/>
      <c r="W140" s="11"/>
      <c r="X140" s="12"/>
      <c r="Y140" s="12"/>
      <c r="Z140" s="12"/>
      <c r="AA140" s="12"/>
      <c r="AB140" s="12"/>
      <c r="AC140" s="241"/>
      <c r="AF140" s="84"/>
      <c r="AI140" s="179"/>
      <c r="AJ140" s="179"/>
      <c r="AK140" s="153"/>
    </row>
    <row r="141" spans="1:37" ht="11.25" customHeight="1" x14ac:dyDescent="0.2">
      <c r="A141" s="141"/>
      <c r="B141" s="1366" t="s">
        <v>680</v>
      </c>
      <c r="C141" s="1366"/>
      <c r="D141" s="1366"/>
      <c r="E141" s="1366"/>
      <c r="F141" s="9"/>
      <c r="G141" s="9"/>
      <c r="H141" s="9"/>
      <c r="I141" s="9"/>
      <c r="J141" s="13"/>
      <c r="K141" s="9"/>
      <c r="L141" s="9"/>
      <c r="M141" s="9"/>
      <c r="N141" s="9"/>
      <c r="O141" s="9"/>
      <c r="P141" s="9"/>
      <c r="Q141" s="9"/>
      <c r="R141" s="9"/>
      <c r="S141" s="9"/>
      <c r="T141" s="9"/>
      <c r="U141" s="11"/>
      <c r="V141" s="11"/>
      <c r="W141" s="11"/>
      <c r="X141" s="12"/>
      <c r="Y141" s="12"/>
      <c r="Z141" s="12"/>
      <c r="AA141" s="12"/>
      <c r="AB141" s="12"/>
      <c r="AC141" s="241"/>
      <c r="AF141" s="84"/>
      <c r="AI141" s="179"/>
      <c r="AJ141" s="179"/>
      <c r="AK141" s="153"/>
    </row>
    <row r="142" spans="1:37" ht="11.25" customHeight="1" x14ac:dyDescent="0.2">
      <c r="A142" s="141"/>
      <c r="B142" s="1366"/>
      <c r="C142" s="1366"/>
      <c r="D142" s="1366"/>
      <c r="E142" s="1366"/>
      <c r="F142" s="9"/>
      <c r="G142" s="9"/>
      <c r="H142" s="9"/>
      <c r="I142" s="9"/>
      <c r="J142" s="13"/>
      <c r="K142" s="9"/>
      <c r="L142" s="9"/>
      <c r="M142" s="9"/>
      <c r="N142" s="9"/>
      <c r="O142" s="9"/>
      <c r="P142" s="9"/>
      <c r="Q142" s="9"/>
      <c r="R142" s="9"/>
      <c r="S142" s="9"/>
      <c r="T142" s="9"/>
      <c r="U142" s="11"/>
      <c r="V142" s="11"/>
      <c r="W142" s="11"/>
      <c r="X142" s="12"/>
      <c r="Y142" s="12"/>
      <c r="Z142" s="12"/>
      <c r="AA142" s="12"/>
      <c r="AB142" s="12"/>
      <c r="AC142" s="241"/>
      <c r="AF142" s="84"/>
      <c r="AI142" s="179"/>
      <c r="AJ142" s="179"/>
      <c r="AK142" s="153"/>
    </row>
    <row r="143" spans="1:37" ht="11.25" customHeight="1" x14ac:dyDescent="0.2">
      <c r="A143" s="141"/>
      <c r="B143" s="1366" t="s">
        <v>32</v>
      </c>
      <c r="C143" s="1366"/>
      <c r="D143" s="1366"/>
      <c r="E143" s="1366"/>
      <c r="F143" s="9"/>
      <c r="G143" s="9"/>
      <c r="H143" s="9"/>
      <c r="I143" s="9"/>
      <c r="J143" s="13"/>
      <c r="K143" s="9"/>
      <c r="L143" s="9"/>
      <c r="M143" s="9"/>
      <c r="N143" s="9"/>
      <c r="O143" s="9"/>
      <c r="P143" s="9"/>
      <c r="Q143" s="9"/>
      <c r="R143" s="9"/>
      <c r="S143" s="9"/>
      <c r="T143" s="9"/>
      <c r="U143" s="11"/>
      <c r="V143" s="11"/>
      <c r="W143" s="11"/>
      <c r="X143" s="12"/>
      <c r="Y143" s="12"/>
      <c r="Z143" s="12"/>
      <c r="AA143" s="12"/>
      <c r="AB143" s="12"/>
      <c r="AC143" s="241"/>
      <c r="AF143" s="84"/>
      <c r="AI143" s="179"/>
      <c r="AJ143" s="179"/>
      <c r="AK143" s="153"/>
    </row>
    <row r="144" spans="1:37" ht="11.25" customHeight="1" x14ac:dyDescent="0.2">
      <c r="A144" s="141"/>
      <c r="B144" s="1366"/>
      <c r="C144" s="1366"/>
      <c r="D144" s="1366"/>
      <c r="E144" s="1366"/>
      <c r="F144" s="9"/>
      <c r="G144" s="9"/>
      <c r="H144" s="9"/>
      <c r="I144" s="9"/>
      <c r="J144" s="13"/>
      <c r="K144" s="9"/>
      <c r="L144" s="9"/>
      <c r="M144" s="9"/>
      <c r="N144" s="9"/>
      <c r="O144" s="9"/>
      <c r="P144" s="9"/>
      <c r="Q144" s="9"/>
      <c r="R144" s="9"/>
      <c r="S144" s="9"/>
      <c r="T144" s="9"/>
      <c r="U144" s="11"/>
      <c r="V144" s="11"/>
      <c r="W144" s="11"/>
      <c r="X144" s="12"/>
      <c r="Y144" s="12"/>
      <c r="Z144" s="12"/>
      <c r="AA144" s="12"/>
      <c r="AB144" s="12"/>
      <c r="AC144" s="241"/>
      <c r="AF144" s="84"/>
      <c r="AI144" s="179"/>
      <c r="AJ144" s="179"/>
      <c r="AK144" s="153"/>
    </row>
    <row r="145" spans="1:46" ht="11.25" customHeight="1" x14ac:dyDescent="0.2">
      <c r="A145" s="248"/>
      <c r="B145" s="1110"/>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1307"/>
      <c r="AF145" s="84"/>
      <c r="AI145" s="179"/>
      <c r="AJ145" s="179"/>
      <c r="AK145" s="242"/>
    </row>
    <row r="146" spans="1:46" ht="11.25" customHeight="1" x14ac:dyDescent="0.2">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F146" s="84"/>
      <c r="AI146" s="179"/>
      <c r="AJ146" s="179"/>
    </row>
    <row r="147" spans="1:46" ht="18.75" customHeight="1" x14ac:dyDescent="0.2">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F147" s="84"/>
      <c r="AI147" s="179"/>
      <c r="AJ147" s="179"/>
    </row>
    <row r="148" spans="1:46" s="82" customFormat="1" ht="11.25" customHeight="1" x14ac:dyDescent="0.2">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83"/>
      <c r="AE148" s="83"/>
      <c r="AF148" s="84"/>
      <c r="AG148" s="83"/>
      <c r="AH148" s="83"/>
      <c r="AI148" s="179"/>
      <c r="AJ148" s="179"/>
      <c r="AL148" s="76"/>
      <c r="AM148" s="76"/>
      <c r="AN148" s="76"/>
      <c r="AO148" s="76"/>
      <c r="AP148" s="76"/>
      <c r="AQ148" s="76"/>
      <c r="AR148" s="76"/>
      <c r="AS148" s="76"/>
      <c r="AT148" s="76"/>
    </row>
    <row r="149" spans="1:46" ht="11.25" customHeight="1" x14ac:dyDescent="0.2">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F149" s="84"/>
      <c r="AI149" s="179"/>
      <c r="AJ149" s="179"/>
    </row>
    <row r="150" spans="1:46" ht="11.25" customHeight="1" x14ac:dyDescent="0.2">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F150" s="84"/>
      <c r="AI150" s="179"/>
      <c r="AJ150" s="179"/>
    </row>
    <row r="151" spans="1:46" ht="11.25" customHeight="1" x14ac:dyDescent="0.2">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F151" s="84"/>
      <c r="AI151" s="179"/>
      <c r="AJ151" s="179"/>
    </row>
    <row r="152" spans="1:46" ht="11.25" customHeight="1" x14ac:dyDescent="0.2">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F152" s="84"/>
      <c r="AI152" s="179"/>
      <c r="AJ152" s="179"/>
    </row>
    <row r="153" spans="1:46" ht="11.25" customHeight="1" x14ac:dyDescent="0.2">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F153" s="84"/>
      <c r="AI153" s="179"/>
      <c r="AJ153" s="179"/>
    </row>
    <row r="154" spans="1:46" ht="11.25" customHeight="1" x14ac:dyDescent="0.2">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F154" s="84"/>
      <c r="AI154" s="179"/>
      <c r="AJ154" s="179"/>
    </row>
    <row r="155" spans="1:46" ht="11.25" customHeight="1" x14ac:dyDescent="0.2">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F155" s="84"/>
      <c r="AI155" s="179"/>
      <c r="AJ155" s="179"/>
    </row>
    <row r="156" spans="1:46" ht="11.25" customHeight="1" x14ac:dyDescent="0.2">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F156" s="84"/>
      <c r="AI156" s="179"/>
      <c r="AJ156" s="179"/>
    </row>
    <row r="157" spans="1:46" ht="11.25" customHeight="1" x14ac:dyDescent="0.2">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F157" s="84"/>
      <c r="AI157" s="179"/>
      <c r="AJ157" s="179"/>
    </row>
    <row r="158" spans="1:46" ht="11.25" customHeight="1" x14ac:dyDescent="0.2">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F158" s="84"/>
      <c r="AI158" s="179"/>
      <c r="AJ158" s="179"/>
    </row>
    <row r="159" spans="1:46" ht="11.25" customHeight="1" x14ac:dyDescent="0.2">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F159" s="84"/>
      <c r="AI159" s="179"/>
      <c r="AJ159" s="179"/>
    </row>
    <row r="160" spans="1:46" ht="11.25" customHeight="1" x14ac:dyDescent="0.2">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F160" s="84"/>
      <c r="AI160" s="179"/>
      <c r="AJ160" s="179"/>
    </row>
    <row r="161" spans="1:36" ht="11.25" customHeight="1" x14ac:dyDescent="0.2">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F161" s="84"/>
      <c r="AI161" s="179"/>
      <c r="AJ161" s="179"/>
    </row>
    <row r="162" spans="1:36" ht="11.25" customHeight="1" x14ac:dyDescent="0.2">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F162" s="84"/>
      <c r="AI162" s="179"/>
      <c r="AJ162" s="179"/>
    </row>
    <row r="163" spans="1:36" ht="11.25" customHeight="1" x14ac:dyDescent="0.2">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197"/>
      <c r="AE163" s="197"/>
      <c r="AF163" s="1132"/>
      <c r="AG163" s="197"/>
      <c r="AH163" s="197"/>
      <c r="AI163" s="198"/>
      <c r="AJ163" s="198"/>
    </row>
    <row r="274" spans="38:38" ht="11.25" customHeight="1" x14ac:dyDescent="0.2">
      <c r="AL274" s="76" t="b">
        <v>1</v>
      </c>
    </row>
  </sheetData>
  <sheetProtection sheet="1" objects="1" scenarios="1"/>
  <mergeCells count="42">
    <mergeCell ref="B143:E144"/>
    <mergeCell ref="B139:F140"/>
    <mergeCell ref="AR38:AR40"/>
    <mergeCell ref="AM38:AQ38"/>
    <mergeCell ref="B5:N6"/>
    <mergeCell ref="M64:P64"/>
    <mergeCell ref="M65:P65"/>
    <mergeCell ref="R65:U65"/>
    <mergeCell ref="R64:U64"/>
    <mergeCell ref="A38:V38"/>
    <mergeCell ref="B7:B9"/>
    <mergeCell ref="K7:P7"/>
    <mergeCell ref="S7:U8"/>
    <mergeCell ref="O8:P8"/>
    <mergeCell ref="O9:P9"/>
    <mergeCell ref="D7:H7"/>
    <mergeCell ref="B133:E134"/>
    <mergeCell ref="B131:F132"/>
    <mergeCell ref="B135:E136"/>
    <mergeCell ref="B137:E138"/>
    <mergeCell ref="B141:E142"/>
    <mergeCell ref="Z8:Z9"/>
    <mergeCell ref="AA8:AA9"/>
    <mergeCell ref="A70:V70"/>
    <mergeCell ref="Q7:Q9"/>
    <mergeCell ref="B129:E130"/>
    <mergeCell ref="I7:I9"/>
    <mergeCell ref="B113:E114"/>
    <mergeCell ref="B115:E116"/>
    <mergeCell ref="B117:E118"/>
    <mergeCell ref="B35:U35"/>
    <mergeCell ref="A37:V37"/>
    <mergeCell ref="A71:V71"/>
    <mergeCell ref="A105:V105"/>
    <mergeCell ref="A106:V106"/>
    <mergeCell ref="B109:B110"/>
    <mergeCell ref="B111:E112"/>
    <mergeCell ref="B119:E120"/>
    <mergeCell ref="B121:E122"/>
    <mergeCell ref="B123:E124"/>
    <mergeCell ref="B125:E126"/>
    <mergeCell ref="B127:E128"/>
  </mergeCells>
  <conditionalFormatting sqref="S10:S33">
    <cfRule type="cellIs" dxfId="476" priority="51" stopIfTrue="1" operator="equal">
      <formula>0</formula>
    </cfRule>
  </conditionalFormatting>
  <conditionalFormatting sqref="B10:B31 K10:O31 B51:C66 D10:H31">
    <cfRule type="containsErrors" dxfId="475" priority="53">
      <formula>ISERROR(B10)</formula>
    </cfRule>
  </conditionalFormatting>
  <conditionalFormatting sqref="S10:S33">
    <cfRule type="containsErrors" dxfId="474" priority="47">
      <formula>ISERROR(S10)</formula>
    </cfRule>
  </conditionalFormatting>
  <conditionalFormatting sqref="A10:A31">
    <cfRule type="containsErrors" dxfId="473" priority="41">
      <formula>ISERROR(A10)</formula>
    </cfRule>
    <cfRule type="cellIs" dxfId="472" priority="43" operator="equal">
      <formula>0</formula>
    </cfRule>
  </conditionalFormatting>
  <conditionalFormatting sqref="B10:B31 K10:O31 Q10:Q31 D10:I31 P10:P32 S10:U31 B51:C66">
    <cfRule type="expression" dxfId="471" priority="52">
      <formula>$B10=$Z$4</formula>
    </cfRule>
  </conditionalFormatting>
  <conditionalFormatting sqref="AG10:AH28">
    <cfRule type="containsErrors" dxfId="470" priority="40">
      <formula>ISERROR(AG10)</formula>
    </cfRule>
  </conditionalFormatting>
  <conditionalFormatting sqref="AG10:AH21 AH11:AH28">
    <cfRule type="expression" dxfId="469" priority="39">
      <formula>$B10=$X$4</formula>
    </cfRule>
  </conditionalFormatting>
  <conditionalFormatting sqref="I10:I31">
    <cfRule type="containsErrors" dxfId="468" priority="54">
      <formula>ISERROR(I10)</formula>
    </cfRule>
  </conditionalFormatting>
  <conditionalFormatting sqref="A38">
    <cfRule type="cellIs" dxfId="467" priority="35" operator="equal">
      <formula>0</formula>
    </cfRule>
    <cfRule type="containsErrors" dxfId="466" priority="36">
      <formula>ISERROR(A38)</formula>
    </cfRule>
  </conditionalFormatting>
  <conditionalFormatting sqref="A71">
    <cfRule type="cellIs" dxfId="465" priority="33" operator="equal">
      <formula>0</formula>
    </cfRule>
    <cfRule type="containsErrors" dxfId="464" priority="34">
      <formula>ISERROR(A71)</formula>
    </cfRule>
  </conditionalFormatting>
  <conditionalFormatting sqref="A106">
    <cfRule type="cellIs" dxfId="463" priority="31" operator="equal">
      <formula>0</formula>
    </cfRule>
    <cfRule type="containsErrors" dxfId="462" priority="32">
      <formula>ISERROR(A106)</formula>
    </cfRule>
  </conditionalFormatting>
  <conditionalFormatting sqref="Y3">
    <cfRule type="containsErrors" dxfId="461" priority="28">
      <formula>ISERROR(Y3)</formula>
    </cfRule>
  </conditionalFormatting>
  <conditionalFormatting sqref="Y2">
    <cfRule type="containsErrors" dxfId="460" priority="27">
      <formula>ISERROR(Y2)</formula>
    </cfRule>
  </conditionalFormatting>
  <conditionalFormatting sqref="D8:H8">
    <cfRule type="containsErrors" dxfId="459" priority="24">
      <formula>ISERROR(D8)</formula>
    </cfRule>
  </conditionalFormatting>
  <conditionalFormatting sqref="D9:H9">
    <cfRule type="containsErrors" dxfId="458" priority="26">
      <formula>ISERROR(D9)</formula>
    </cfRule>
  </conditionalFormatting>
  <conditionalFormatting sqref="K8:O8">
    <cfRule type="containsErrors" dxfId="457" priority="23">
      <formula>ISERROR(K8)</formula>
    </cfRule>
  </conditionalFormatting>
  <conditionalFormatting sqref="K9:O9">
    <cfRule type="containsErrors" dxfId="456" priority="55">
      <formula>ISERROR(K9)</formula>
    </cfRule>
  </conditionalFormatting>
  <conditionalFormatting sqref="P33">
    <cfRule type="containsErrors" dxfId="455" priority="22">
      <formula>ISERROR(P33)</formula>
    </cfRule>
  </conditionalFormatting>
  <conditionalFormatting sqref="P32">
    <cfRule type="containsErrors" dxfId="454" priority="20">
      <formula>ISERROR(P32)</formula>
    </cfRule>
  </conditionalFormatting>
  <conditionalFormatting sqref="P10:P32">
    <cfRule type="containsErrors" dxfId="453" priority="18">
      <formula>ISERROR(P10)</formula>
    </cfRule>
    <cfRule type="dataBar" priority="19">
      <dataBar showValue="0">
        <cfvo type="min"/>
        <cfvo type="max"/>
        <color theme="9"/>
      </dataBar>
      <extLst>
        <ext xmlns:x14="http://schemas.microsoft.com/office/spreadsheetml/2009/9/main" uri="{B025F937-C7B1-47D3-B67F-A62EFF666E3E}">
          <x14:id>{7F5F98AA-D30D-4BDE-8662-1A5A9D8ACEE6}</x14:id>
        </ext>
      </extLst>
    </cfRule>
  </conditionalFormatting>
  <conditionalFormatting sqref="AB9:AF9">
    <cfRule type="cellIs" dxfId="452" priority="13" stopIfTrue="1" operator="equal">
      <formula>0</formula>
    </cfRule>
  </conditionalFormatting>
  <conditionalFormatting sqref="Q10:Q31">
    <cfRule type="containsErrors" dxfId="451" priority="12">
      <formula>ISERROR(Q10)</formula>
    </cfRule>
  </conditionalFormatting>
  <conditionalFormatting sqref="D33:I33 K33:O33">
    <cfRule type="containsErrors" dxfId="450" priority="11">
      <formula>ISERROR(D33)</formula>
    </cfRule>
  </conditionalFormatting>
  <conditionalFormatting sqref="T10:T31">
    <cfRule type="containsErrors" dxfId="449" priority="10">
      <formula>ISERROR(T10)</formula>
    </cfRule>
  </conditionalFormatting>
  <conditionalFormatting sqref="T32">
    <cfRule type="containsErrors" dxfId="448" priority="8">
      <formula>ISERROR(T32)</formula>
    </cfRule>
  </conditionalFormatting>
  <conditionalFormatting sqref="T33">
    <cfRule type="containsErrors" dxfId="447" priority="7">
      <formula>ISERROR(T33)</formula>
    </cfRule>
  </conditionalFormatting>
  <conditionalFormatting sqref="U10:U31">
    <cfRule type="containsErrors" dxfId="446" priority="6">
      <formula>ISERROR(U10)</formula>
    </cfRule>
  </conditionalFormatting>
  <conditionalFormatting sqref="U32">
    <cfRule type="containsErrors" dxfId="445" priority="4">
      <formula>ISERROR(U32)</formula>
    </cfRule>
  </conditionalFormatting>
  <conditionalFormatting sqref="U33">
    <cfRule type="containsErrors" dxfId="444" priority="3">
      <formula>ISERROR(U33)</formula>
    </cfRule>
  </conditionalFormatting>
  <conditionalFormatting sqref="Z3:AD3">
    <cfRule type="containsErrors" dxfId="443" priority="2">
      <formula>ISERROR(Z3)</formula>
    </cfRule>
  </conditionalFormatting>
  <conditionalFormatting sqref="Z2:AD2">
    <cfRule type="containsErrors" dxfId="442" priority="1">
      <formula>ISERROR(Z2)</formula>
    </cfRule>
  </conditionalFormatting>
  <hyperlinks>
    <hyperlink ref="B113:B114" location="Coverage!A1" display="Participating LA's" xr:uid="{FBACC1AA-5563-4D6D-9DA5-0D55BDF8E082}"/>
    <hyperlink ref="B115:B116" location="IDACI!A1" display="IDACI" xr:uid="{2BD688C3-5474-4D26-B1CD-5829E5BC2A4A}"/>
    <hyperlink ref="B143:B144" location="Adoption!A1" display="Adoption" xr:uid="{1C3A235B-72F3-4135-B843-4DE28900ECEC}"/>
    <hyperlink ref="B137:B138" location="'Looked After Children'!A1" display="Looked After Children" xr:uid="{F78B26E6-F68B-417A-8BF8-1241A48BB29F}"/>
    <hyperlink ref="B135:B136" location="'Court Applications'!A1" display="Court Applications" xr:uid="{6DC4B2A2-05F3-4730-B710-BB2C53824F96}"/>
    <hyperlink ref="B133:B134" location="'Child Protection Plans'!A1" display="Child Protection Plans" xr:uid="{6FCF7D7D-7B31-4D86-AF13-8D074233C33D}"/>
    <hyperlink ref="B131:B132" location="'Initial CP Conferences'!A1" display="Initial Child Protection Conferences" xr:uid="{9CD0AD5D-1CD1-45DC-AB28-841A11106770}"/>
    <hyperlink ref="B129:B130" location="'Section 47 Enquiries'!A1" display="Section 47 Enquiries" xr:uid="{ED162F4F-C2A7-483E-9B85-22A0184F3009}"/>
    <hyperlink ref="B127:B128" location="'Children in Need'!A1" display="Children in Need" xr:uid="{F75938B9-DBB2-4D1F-80EB-21B921320D66}"/>
    <hyperlink ref="B125:B126" location="Assessments!A1" display="Assessments" xr:uid="{E62CE3EB-2054-49EC-9602-FC26D47C5F71}"/>
    <hyperlink ref="B123:B124" location="'Re-referrals'!A1" display="Re-referrals" xr:uid="{61B51172-33CF-41A4-A5F4-3F0687C6B8AF}"/>
    <hyperlink ref="B121:B122" location="Referral_Source!A1" display="Referral Source" xr:uid="{1C40B9A9-89E9-445D-8077-A94037678472}"/>
    <hyperlink ref="B119:B120" location="Referrals!A1" display="Referrals" xr:uid="{53D4A527-6D52-422C-8D5E-CD866D327163}"/>
    <hyperlink ref="B117:B118" location="Population!A1" display="Population" xr:uid="{E4F2DC84-FA14-44E9-8E0E-DFED10BF19C7}"/>
    <hyperlink ref="B115:C116" location="IDACI!A1" display="IDACI" xr:uid="{7A1CBE26-657F-47D1-B5FE-1A89C293CA04}"/>
    <hyperlink ref="B111:B112" location="Coverage!A1" display="Participating LA's" xr:uid="{456EFCA7-98E1-4CB3-9E35-F344D4AF6CB0}"/>
    <hyperlink ref="B111:C112" location="Indicators!A1" display="Indicators" xr:uid="{6534A5A5-C411-4F37-8CCF-1CB9E8CF7882}"/>
    <hyperlink ref="B141:B142" location="'Looked After Children'!A1" display="Looked After Children" xr:uid="{2E964678-0FCD-4B83-BC7A-7D3E6FAEFD89}"/>
    <hyperlink ref="B139:B140" location="'Court Applications'!A1" display="Court Applications" xr:uid="{E19C795E-DAE9-4346-9BD1-B577AA977F3C}"/>
    <hyperlink ref="B139:C140" location="New_Ceased_LAC!A1" display="New/ Ceased Looked After Children" xr:uid="{71B90715-00A7-488B-AD95-8064B38C3C78}"/>
    <hyperlink ref="B141:C142" location="Care_Leavers!A1" display="Care Leavers" xr:uid="{AC48ABCB-D093-4B60-9A7F-55290E3FD9DB}"/>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8" max="18" man="1"/>
    <brk id="71" max="20"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7281" r:id="rId4" name="Check Box 1">
              <controlPr defaultSize="0" autoFill="0" autoLine="0" autoPict="0" macro="[0]!CheckBox1_Click" altText="">
                <anchor>
                  <from>
                    <xdr:col>23</xdr:col>
                    <xdr:colOff>76200</xdr:colOff>
                    <xdr:row>39</xdr:row>
                    <xdr:rowOff>28575</xdr:rowOff>
                  </from>
                  <to>
                    <xdr:col>36</xdr:col>
                    <xdr:colOff>47625</xdr:colOff>
                    <xdr:row>41</xdr:row>
                    <xdr:rowOff>9525</xdr:rowOff>
                  </to>
                </anchor>
              </controlPr>
            </control>
          </mc:Choice>
        </mc:AlternateContent>
        <mc:AlternateContent xmlns:mc="http://schemas.openxmlformats.org/markup-compatibility/2006">
          <mc:Choice Requires="x14">
            <control shapeId="97282" r:id="rId5" name="Check Box 2">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97283" r:id="rId6" name="Check Box 3">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97284" r:id="rId7" name="Check Box 4">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97285" r:id="rId8" name="Check Box 5">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97286" r:id="rId9" name="Check Box 6">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97287" r:id="rId10" name="Check Box 7">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97288" r:id="rId11" name="Check Box 8">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97289" r:id="rId12" name="Check Box 9">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97290" r:id="rId13" name="Check Box 10">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97291" r:id="rId14" name="Check Box 11">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97292" r:id="rId15" name="Check Box 12">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97293" r:id="rId16" name="Check Box 13">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97294" r:id="rId17" name="Check Box 14">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97295" r:id="rId18" name="Check Box 15">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97296" r:id="rId19" name="Check Box 16">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97297" r:id="rId20" name="Check Box 17">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97298" r:id="rId21" name="Check Box 18">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97299" r:id="rId22" name="Check Box 19">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97300" r:id="rId23" name="Check Box 20">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97301" r:id="rId24" name="Check Box 21">
              <controlPr defaultSize="0" autoFill="0" autoLine="0" autoPict="0" macro="[0]!CheckBox1_Click" altText="">
                <anchor>
                  <from>
                    <xdr:col>23</xdr:col>
                    <xdr:colOff>76200</xdr:colOff>
                    <xdr:row>61</xdr:row>
                    <xdr:rowOff>152400</xdr:rowOff>
                  </from>
                  <to>
                    <xdr:col>36</xdr:col>
                    <xdr:colOff>47625</xdr:colOff>
                    <xdr:row>63</xdr:row>
                    <xdr:rowOff>9525</xdr:rowOff>
                  </to>
                </anchor>
              </controlPr>
            </control>
          </mc:Choice>
        </mc:AlternateContent>
        <mc:AlternateContent xmlns:mc="http://schemas.openxmlformats.org/markup-compatibility/2006">
          <mc:Choice Requires="x14">
            <control shapeId="97302" r:id="rId25" name="Check Box 22">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97303" r:id="rId26" name="Check Box 23">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97304" r:id="rId27" name="Check Box 24">
              <controlPr defaultSize="0" autoFill="0" autoLine="0" autoPict="0" macro="[0]!CheckBox1_Click" altText="">
                <anchor>
                  <from>
                    <xdr:col>23</xdr:col>
                    <xdr:colOff>76200</xdr:colOff>
                    <xdr:row>62</xdr:row>
                    <xdr:rowOff>152400</xdr:rowOff>
                  </from>
                  <to>
                    <xdr:col>36</xdr:col>
                    <xdr:colOff>47625</xdr:colOff>
                    <xdr:row>64</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7F5F98AA-D30D-4BDE-8662-1A5A9D8ACEE6}">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99FFCC"/>
    <pageSetUpPr fitToPage="1"/>
  </sheetPr>
  <dimension ref="A1:AO107"/>
  <sheetViews>
    <sheetView topLeftCell="A85" workbookViewId="0">
      <selection activeCell="E98" sqref="E98"/>
    </sheetView>
  </sheetViews>
  <sheetFormatPr defaultColWidth="9.140625" defaultRowHeight="12.75" x14ac:dyDescent="0.2"/>
  <cols>
    <col min="1" max="1" width="4.42578125" style="444" bestFit="1" customWidth="1"/>
    <col min="2" max="2" width="40.85546875" style="532" customWidth="1"/>
    <col min="3" max="17" width="5" style="533" customWidth="1"/>
    <col min="18" max="18" width="5.5703125" style="533" customWidth="1"/>
    <col min="19" max="24" width="5" style="533" customWidth="1"/>
    <col min="25" max="25" width="6" style="776" customWidth="1"/>
    <col min="26" max="26" width="6" style="444" customWidth="1"/>
    <col min="27" max="16384" width="9.140625" style="444"/>
  </cols>
  <sheetData>
    <row r="1" spans="1:26" s="530" customFormat="1" ht="67.5" customHeight="1" x14ac:dyDescent="0.2">
      <c r="A1" s="777" t="str">
        <f>IF(Sheet1!$C$3="Quarterly",Sheet1!$D$22&amp;" "&amp;Sheet1!$D$23,Sheet1!$D$20)</f>
        <v>2014-15</v>
      </c>
      <c r="B1" s="777"/>
      <c r="C1" s="1205" t="s">
        <v>1128</v>
      </c>
      <c r="D1" s="1205" t="s">
        <v>1129</v>
      </c>
      <c r="E1" s="1205" t="s">
        <v>1130</v>
      </c>
      <c r="F1" s="1205" t="s">
        <v>1131</v>
      </c>
      <c r="G1" s="1205" t="s">
        <v>1132</v>
      </c>
      <c r="H1" s="1205" t="s">
        <v>1133</v>
      </c>
      <c r="I1" s="1205" t="s">
        <v>1134</v>
      </c>
      <c r="J1" s="1205" t="s">
        <v>1135</v>
      </c>
      <c r="K1" s="1205" t="s">
        <v>1136</v>
      </c>
      <c r="L1" s="1205" t="s">
        <v>1137</v>
      </c>
      <c r="M1" s="1205" t="s">
        <v>1138</v>
      </c>
      <c r="N1" s="1205" t="s">
        <v>1139</v>
      </c>
      <c r="O1" s="1207" t="s">
        <v>1140</v>
      </c>
      <c r="P1" s="1205" t="s">
        <v>1141</v>
      </c>
      <c r="Q1" s="1205" t="s">
        <v>1142</v>
      </c>
      <c r="R1" s="1205" t="s">
        <v>1143</v>
      </c>
      <c r="S1" s="1207" t="s">
        <v>1144</v>
      </c>
      <c r="T1" s="1207" t="s">
        <v>1145</v>
      </c>
      <c r="U1" s="1205" t="s">
        <v>1146</v>
      </c>
      <c r="V1" s="1205" t="s">
        <v>1147</v>
      </c>
      <c r="W1" s="1205" t="s">
        <v>1148</v>
      </c>
      <c r="X1" s="1205" t="s">
        <v>1149</v>
      </c>
      <c r="Y1" s="583" t="s">
        <v>1150</v>
      </c>
      <c r="Z1" s="584" t="s">
        <v>1151</v>
      </c>
    </row>
    <row r="2" spans="1:26" s="531" customFormat="1" ht="13.5" x14ac:dyDescent="0.2">
      <c r="A2" s="595">
        <v>1</v>
      </c>
      <c r="B2" s="779" t="s">
        <v>1015</v>
      </c>
      <c r="C2" s="1231"/>
      <c r="D2" s="1231"/>
      <c r="E2" s="1231"/>
      <c r="F2" s="1231"/>
      <c r="G2" s="1231"/>
      <c r="H2" s="1231"/>
      <c r="I2" s="1231"/>
      <c r="J2" s="1231"/>
      <c r="K2" s="1231"/>
      <c r="L2" s="1231"/>
      <c r="M2" s="1231"/>
      <c r="N2" s="1231"/>
      <c r="O2" s="1231"/>
      <c r="P2" s="1231"/>
      <c r="Q2" s="1231"/>
      <c r="R2" s="1231"/>
      <c r="S2" s="1231"/>
      <c r="T2" s="1231"/>
      <c r="U2" s="1231"/>
      <c r="V2" s="1231"/>
      <c r="W2" s="1232"/>
      <c r="X2" s="1233"/>
      <c r="Y2" s="1234"/>
      <c r="Z2" s="1235"/>
    </row>
    <row r="3" spans="1:26" s="531" customFormat="1" ht="13.5" x14ac:dyDescent="0.2">
      <c r="A3" s="595">
        <v>2</v>
      </c>
      <c r="B3" s="779" t="s">
        <v>1016</v>
      </c>
      <c r="C3" s="1214"/>
      <c r="D3" s="1214"/>
      <c r="E3" s="1214"/>
      <c r="F3" s="1214"/>
      <c r="G3" s="1214"/>
      <c r="H3" s="1214"/>
      <c r="I3" s="1214"/>
      <c r="J3" s="1214"/>
      <c r="K3" s="1214"/>
      <c r="L3" s="1214"/>
      <c r="M3" s="1214"/>
      <c r="N3" s="1214"/>
      <c r="O3" s="1214"/>
      <c r="P3" s="1214"/>
      <c r="Q3" s="1214"/>
      <c r="R3" s="1214"/>
      <c r="S3" s="1214"/>
      <c r="T3" s="1214"/>
      <c r="U3" s="1214"/>
      <c r="V3" s="1214"/>
      <c r="W3" s="1214"/>
      <c r="X3" s="1236"/>
      <c r="Y3" s="1215"/>
      <c r="Z3" s="1216"/>
    </row>
    <row r="4" spans="1:26" s="531" customFormat="1" ht="13.5" x14ac:dyDescent="0.2">
      <c r="A4" s="595">
        <v>3</v>
      </c>
      <c r="B4" s="779" t="s">
        <v>1017</v>
      </c>
      <c r="C4" s="1214"/>
      <c r="D4" s="1214"/>
      <c r="E4" s="1214"/>
      <c r="F4" s="1214"/>
      <c r="G4" s="1214"/>
      <c r="H4" s="1214"/>
      <c r="I4" s="1214"/>
      <c r="J4" s="1214"/>
      <c r="K4" s="1214"/>
      <c r="L4" s="1214"/>
      <c r="M4" s="1214"/>
      <c r="N4" s="1214"/>
      <c r="O4" s="1214"/>
      <c r="P4" s="1214"/>
      <c r="Q4" s="1214"/>
      <c r="R4" s="1214"/>
      <c r="S4" s="1214"/>
      <c r="T4" s="1214"/>
      <c r="U4" s="1214"/>
      <c r="V4" s="1214"/>
      <c r="W4" s="1214"/>
      <c r="X4" s="1236"/>
      <c r="Y4" s="1215"/>
      <c r="Z4" s="1216"/>
    </row>
    <row r="5" spans="1:26" s="531" customFormat="1" ht="13.5" x14ac:dyDescent="0.2">
      <c r="A5" s="595">
        <v>4</v>
      </c>
      <c r="B5" s="779" t="s">
        <v>1018</v>
      </c>
      <c r="C5" s="1214"/>
      <c r="D5" s="1214"/>
      <c r="E5" s="1214"/>
      <c r="F5" s="1214"/>
      <c r="G5" s="1214"/>
      <c r="H5" s="1214"/>
      <c r="I5" s="1214"/>
      <c r="J5" s="1214"/>
      <c r="K5" s="1214"/>
      <c r="L5" s="1214"/>
      <c r="M5" s="1214"/>
      <c r="N5" s="1214"/>
      <c r="O5" s="1214"/>
      <c r="P5" s="1214"/>
      <c r="Q5" s="1214"/>
      <c r="R5" s="1214"/>
      <c r="S5" s="1214"/>
      <c r="T5" s="1214"/>
      <c r="U5" s="1214"/>
      <c r="V5" s="1214"/>
      <c r="W5" s="1214"/>
      <c r="X5" s="1236"/>
      <c r="Y5" s="1215"/>
      <c r="Z5" s="1216"/>
    </row>
    <row r="6" spans="1:26" s="531" customFormat="1" ht="13.5" x14ac:dyDescent="0.2">
      <c r="A6" s="595">
        <v>5</v>
      </c>
      <c r="B6" s="779" t="s">
        <v>1019</v>
      </c>
      <c r="C6" s="1214"/>
      <c r="D6" s="1214"/>
      <c r="E6" s="1214"/>
      <c r="F6" s="1214"/>
      <c r="G6" s="1214"/>
      <c r="H6" s="1214"/>
      <c r="I6" s="1214"/>
      <c r="J6" s="1214"/>
      <c r="K6" s="1214"/>
      <c r="L6" s="1214"/>
      <c r="M6" s="1214"/>
      <c r="N6" s="1217"/>
      <c r="O6" s="1214"/>
      <c r="P6" s="1214"/>
      <c r="Q6" s="1214"/>
      <c r="R6" s="1214"/>
      <c r="S6" s="1214"/>
      <c r="T6" s="1214"/>
      <c r="U6" s="1213"/>
      <c r="V6" s="1214"/>
      <c r="W6" s="1214"/>
      <c r="X6" s="1236"/>
      <c r="Y6" s="1215"/>
      <c r="Z6" s="1216"/>
    </row>
    <row r="7" spans="1:26" s="531" customFormat="1" ht="13.5" x14ac:dyDescent="0.2">
      <c r="A7" s="595">
        <v>6</v>
      </c>
      <c r="B7" s="779" t="s">
        <v>1020</v>
      </c>
      <c r="C7" s="1214"/>
      <c r="D7" s="1214"/>
      <c r="E7" s="1214"/>
      <c r="F7" s="1214"/>
      <c r="G7" s="1214"/>
      <c r="H7" s="1214"/>
      <c r="I7" s="1214"/>
      <c r="J7" s="1214"/>
      <c r="K7" s="1214"/>
      <c r="L7" s="1214"/>
      <c r="M7" s="1214"/>
      <c r="N7" s="1217"/>
      <c r="O7" s="1214"/>
      <c r="P7" s="1214"/>
      <c r="Q7" s="1214"/>
      <c r="R7" s="1214"/>
      <c r="S7" s="1214"/>
      <c r="T7" s="1214"/>
      <c r="U7" s="1213"/>
      <c r="V7" s="1214"/>
      <c r="W7" s="1214"/>
      <c r="X7" s="1236"/>
      <c r="Y7" s="1215"/>
      <c r="Z7" s="1216"/>
    </row>
    <row r="8" spans="1:26" s="531" customFormat="1" ht="22.5" x14ac:dyDescent="0.2">
      <c r="A8" s="1154">
        <v>7</v>
      </c>
      <c r="B8" s="780" t="s">
        <v>229</v>
      </c>
      <c r="C8" s="1237"/>
      <c r="D8" s="1237"/>
      <c r="E8" s="1237"/>
      <c r="F8" s="1237"/>
      <c r="G8" s="1237"/>
      <c r="H8" s="1237"/>
      <c r="I8" s="1237"/>
      <c r="J8" s="1237"/>
      <c r="K8" s="1237"/>
      <c r="L8" s="1237"/>
      <c r="M8" s="1237"/>
      <c r="N8" s="1237"/>
      <c r="O8" s="1237"/>
      <c r="P8" s="1237"/>
      <c r="Q8" s="1237"/>
      <c r="R8" s="1237"/>
      <c r="S8" s="1237"/>
      <c r="T8" s="1237"/>
      <c r="U8" s="1237"/>
      <c r="V8" s="1237"/>
      <c r="W8" s="1237"/>
      <c r="X8" s="1237"/>
      <c r="Y8" s="1237"/>
      <c r="Z8" s="780"/>
    </row>
    <row r="9" spans="1:26" s="531" customFormat="1" ht="13.5" x14ac:dyDescent="0.2">
      <c r="A9" s="595">
        <v>8</v>
      </c>
      <c r="B9" s="779" t="s">
        <v>1021</v>
      </c>
      <c r="C9" s="1214"/>
      <c r="D9" s="1214"/>
      <c r="E9" s="1214"/>
      <c r="F9" s="1214"/>
      <c r="G9" s="1214"/>
      <c r="H9" s="1214"/>
      <c r="I9" s="1214"/>
      <c r="J9" s="1214"/>
      <c r="K9" s="1214"/>
      <c r="L9" s="1214"/>
      <c r="M9" s="1214"/>
      <c r="N9" s="1217"/>
      <c r="O9" s="1214"/>
      <c r="P9" s="1214"/>
      <c r="Q9" s="1214"/>
      <c r="R9" s="1214"/>
      <c r="S9" s="1214"/>
      <c r="T9" s="1214"/>
      <c r="U9" s="1213"/>
      <c r="V9" s="1214"/>
      <c r="W9" s="1214"/>
      <c r="X9" s="1236"/>
      <c r="Y9" s="1215"/>
      <c r="Z9" s="1216"/>
    </row>
    <row r="10" spans="1:26" s="531" customFormat="1" x14ac:dyDescent="0.2">
      <c r="A10" s="892">
        <v>9</v>
      </c>
      <c r="B10" s="781" t="s">
        <v>1022</v>
      </c>
      <c r="C10" s="1214"/>
      <c r="D10" s="1214"/>
      <c r="E10" s="1214"/>
      <c r="F10" s="1214"/>
      <c r="G10" s="1214"/>
      <c r="H10" s="1214"/>
      <c r="I10" s="1214"/>
      <c r="J10" s="1214"/>
      <c r="K10" s="1214"/>
      <c r="L10" s="1214"/>
      <c r="M10" s="1214"/>
      <c r="N10" s="1217"/>
      <c r="O10" s="1214"/>
      <c r="P10" s="1214"/>
      <c r="Q10" s="1214"/>
      <c r="R10" s="1214"/>
      <c r="S10" s="1214"/>
      <c r="T10" s="1214"/>
      <c r="U10" s="1213"/>
      <c r="V10" s="1214"/>
      <c r="W10" s="1214"/>
      <c r="X10" s="1236"/>
      <c r="Y10" s="1215"/>
      <c r="Z10" s="1216"/>
    </row>
    <row r="11" spans="1:26" s="531" customFormat="1" ht="13.5" x14ac:dyDescent="0.2">
      <c r="A11" s="595">
        <v>10</v>
      </c>
      <c r="B11" s="779" t="s">
        <v>1023</v>
      </c>
      <c r="C11" s="1214"/>
      <c r="D11" s="1214"/>
      <c r="E11" s="1214"/>
      <c r="F11" s="1214"/>
      <c r="G11" s="1214"/>
      <c r="H11" s="1214"/>
      <c r="I11" s="1214"/>
      <c r="J11" s="1214"/>
      <c r="K11" s="1214"/>
      <c r="L11" s="1214"/>
      <c r="M11" s="1214"/>
      <c r="N11" s="1217"/>
      <c r="O11" s="1214"/>
      <c r="P11" s="1214"/>
      <c r="Q11" s="1214"/>
      <c r="R11" s="1214"/>
      <c r="S11" s="1214"/>
      <c r="T11" s="1214"/>
      <c r="U11" s="1213"/>
      <c r="V11" s="1214"/>
      <c r="W11" s="1214"/>
      <c r="X11" s="1236"/>
      <c r="Y11" s="1215"/>
      <c r="Z11" s="1216"/>
    </row>
    <row r="12" spans="1:26" s="531" customFormat="1" ht="13.5" x14ac:dyDescent="0.2">
      <c r="A12" s="595">
        <v>11</v>
      </c>
      <c r="B12" s="779" t="s">
        <v>1024</v>
      </c>
      <c r="C12" s="1166">
        <v>1060</v>
      </c>
      <c r="D12" s="1166">
        <v>7307</v>
      </c>
      <c r="E12" s="1166">
        <v>5129</v>
      </c>
      <c r="F12" s="1166">
        <v>3990</v>
      </c>
      <c r="G12" s="1166">
        <v>16749</v>
      </c>
      <c r="H12" s="1166">
        <v>2375</v>
      </c>
      <c r="I12" s="1166">
        <v>16529</v>
      </c>
      <c r="J12" s="1166">
        <v>3080</v>
      </c>
      <c r="K12" s="1166">
        <v>2569</v>
      </c>
      <c r="L12" s="1166">
        <v>5663</v>
      </c>
      <c r="M12" s="1166">
        <v>1921</v>
      </c>
      <c r="N12" s="1166">
        <v>1673</v>
      </c>
      <c r="O12" s="1166">
        <v>2282</v>
      </c>
      <c r="P12" s="1166">
        <v>5591</v>
      </c>
      <c r="Q12" s="1166">
        <v>6407</v>
      </c>
      <c r="R12" s="1166">
        <v>9979</v>
      </c>
      <c r="S12" s="1166">
        <v>2650</v>
      </c>
      <c r="T12" s="1166">
        <v>2134</v>
      </c>
      <c r="U12" s="1166">
        <v>1259</v>
      </c>
      <c r="V12" s="1166">
        <v>6917</v>
      </c>
      <c r="W12" s="1166">
        <v>1048</v>
      </c>
      <c r="X12" s="1238">
        <v>990</v>
      </c>
      <c r="Y12" s="1168">
        <v>96900</v>
      </c>
      <c r="Z12" s="586">
        <v>635600</v>
      </c>
    </row>
    <row r="13" spans="1:26" s="531" customFormat="1" ht="13.5" x14ac:dyDescent="0.2">
      <c r="A13" s="595">
        <v>12</v>
      </c>
      <c r="B13" s="779" t="s">
        <v>1025</v>
      </c>
      <c r="C13" s="1214"/>
      <c r="D13" s="1214"/>
      <c r="E13" s="1214"/>
      <c r="F13" s="1214"/>
      <c r="G13" s="1214"/>
      <c r="H13" s="1214"/>
      <c r="I13" s="1214"/>
      <c r="J13" s="1214"/>
      <c r="K13" s="1214"/>
      <c r="L13" s="1214"/>
      <c r="M13" s="1214"/>
      <c r="N13" s="1214"/>
      <c r="O13" s="1214"/>
      <c r="P13" s="1214"/>
      <c r="Q13" s="1214"/>
      <c r="R13" s="1214"/>
      <c r="S13" s="1214"/>
      <c r="T13" s="1214"/>
      <c r="U13" s="1214"/>
      <c r="V13" s="1214"/>
      <c r="W13" s="1214"/>
      <c r="X13" s="1236"/>
      <c r="Y13" s="1215"/>
      <c r="Z13" s="1216"/>
    </row>
    <row r="14" spans="1:26" s="531" customFormat="1" ht="13.5" x14ac:dyDescent="0.2">
      <c r="A14" s="595">
        <v>13</v>
      </c>
      <c r="B14" s="779" t="s">
        <v>1026</v>
      </c>
      <c r="C14" s="1166">
        <v>947</v>
      </c>
      <c r="D14" s="1166">
        <v>3567</v>
      </c>
      <c r="E14" s="1166">
        <v>4997</v>
      </c>
      <c r="F14" s="1166">
        <v>3761</v>
      </c>
      <c r="G14" s="1166">
        <v>15019</v>
      </c>
      <c r="H14" s="1166">
        <v>2042</v>
      </c>
      <c r="I14" s="1166">
        <v>11922</v>
      </c>
      <c r="J14" s="1166">
        <v>2935</v>
      </c>
      <c r="K14" s="1166">
        <v>2034</v>
      </c>
      <c r="L14" s="1166">
        <v>3974</v>
      </c>
      <c r="M14" s="1166">
        <v>1839</v>
      </c>
      <c r="N14" s="1166">
        <v>1329</v>
      </c>
      <c r="O14" s="1166">
        <v>2234</v>
      </c>
      <c r="P14" s="1166">
        <v>5517</v>
      </c>
      <c r="Q14" s="1166">
        <v>5641</v>
      </c>
      <c r="R14" s="1166">
        <v>9658</v>
      </c>
      <c r="S14" s="1166">
        <v>2524</v>
      </c>
      <c r="T14" s="1166">
        <v>1425</v>
      </c>
      <c r="U14" s="1166">
        <v>1259</v>
      </c>
      <c r="V14" s="1166">
        <v>6262</v>
      </c>
      <c r="W14" s="1166">
        <v>987</v>
      </c>
      <c r="X14" s="1238">
        <v>985</v>
      </c>
      <c r="Y14" s="1168">
        <v>81400</v>
      </c>
      <c r="Z14" s="586">
        <v>548100</v>
      </c>
    </row>
    <row r="15" spans="1:26" s="531" customFormat="1" ht="13.5" x14ac:dyDescent="0.2">
      <c r="A15" s="1154">
        <v>14</v>
      </c>
      <c r="B15" s="780" t="s">
        <v>230</v>
      </c>
      <c r="C15" s="1237"/>
      <c r="D15" s="1237"/>
      <c r="E15" s="1237"/>
      <c r="F15" s="1237"/>
      <c r="G15" s="1237"/>
      <c r="H15" s="1237"/>
      <c r="I15" s="1237"/>
      <c r="J15" s="1237"/>
      <c r="K15" s="1237"/>
      <c r="L15" s="1237"/>
      <c r="M15" s="1237"/>
      <c r="N15" s="1237"/>
      <c r="O15" s="1237"/>
      <c r="P15" s="1237"/>
      <c r="Q15" s="1237"/>
      <c r="R15" s="1237"/>
      <c r="S15" s="1237"/>
      <c r="T15" s="1237"/>
      <c r="U15" s="1237"/>
      <c r="V15" s="1237"/>
      <c r="W15" s="1237"/>
      <c r="X15" s="1237"/>
      <c r="Y15" s="1237"/>
      <c r="Z15" s="780"/>
    </row>
    <row r="16" spans="1:26" s="531" customFormat="1" ht="13.5" x14ac:dyDescent="0.2">
      <c r="A16" s="1152"/>
      <c r="B16" s="782" t="s">
        <v>1027</v>
      </c>
      <c r="C16" s="588">
        <v>132</v>
      </c>
      <c r="D16" s="1166">
        <v>454</v>
      </c>
      <c r="E16" s="1166">
        <v>483</v>
      </c>
      <c r="F16" s="1166">
        <v>307</v>
      </c>
      <c r="G16" s="1166">
        <v>1834</v>
      </c>
      <c r="H16" s="1166">
        <v>195</v>
      </c>
      <c r="I16" s="1166">
        <v>1889</v>
      </c>
      <c r="J16" s="1166">
        <v>353</v>
      </c>
      <c r="K16" s="1166">
        <v>252</v>
      </c>
      <c r="L16" s="1166">
        <v>546</v>
      </c>
      <c r="M16" s="1166">
        <v>140</v>
      </c>
      <c r="N16" s="1166">
        <v>18</v>
      </c>
      <c r="O16" s="1166">
        <v>153</v>
      </c>
      <c r="P16" s="1166">
        <v>582</v>
      </c>
      <c r="Q16" s="1166">
        <v>281</v>
      </c>
      <c r="R16" s="1166">
        <v>691</v>
      </c>
      <c r="S16" s="1166">
        <v>211</v>
      </c>
      <c r="T16" s="1166">
        <v>245</v>
      </c>
      <c r="U16" s="1166">
        <v>129</v>
      </c>
      <c r="V16" s="1166">
        <v>1425</v>
      </c>
      <c r="W16" s="1166">
        <v>83</v>
      </c>
      <c r="X16" s="1238">
        <v>337</v>
      </c>
      <c r="Y16" s="1168">
        <v>9700</v>
      </c>
      <c r="Z16" s="586"/>
    </row>
    <row r="17" spans="1:26" s="531" customFormat="1" ht="13.5" x14ac:dyDescent="0.2">
      <c r="A17" s="1152"/>
      <c r="B17" s="782" t="s">
        <v>1028</v>
      </c>
      <c r="C17" s="1213"/>
      <c r="D17" s="1214"/>
      <c r="E17" s="1214"/>
      <c r="F17" s="1214"/>
      <c r="G17" s="1214"/>
      <c r="H17" s="1214"/>
      <c r="I17" s="1214"/>
      <c r="J17" s="1214"/>
      <c r="K17" s="1214"/>
      <c r="L17" s="1214"/>
      <c r="M17" s="1214"/>
      <c r="N17" s="1214"/>
      <c r="O17" s="1214"/>
      <c r="P17" s="1214"/>
      <c r="Q17" s="1214"/>
      <c r="R17" s="1214"/>
      <c r="S17" s="1214"/>
      <c r="T17" s="1214"/>
      <c r="U17" s="1214"/>
      <c r="V17" s="1214"/>
      <c r="W17" s="1214"/>
      <c r="X17" s="1236"/>
      <c r="Y17" s="1215"/>
      <c r="Z17" s="586"/>
    </row>
    <row r="18" spans="1:26" s="531" customFormat="1" ht="13.5" x14ac:dyDescent="0.2">
      <c r="A18" s="1152"/>
      <c r="B18" s="782" t="s">
        <v>1029</v>
      </c>
      <c r="C18" s="1213"/>
      <c r="D18" s="1214"/>
      <c r="E18" s="1214"/>
      <c r="F18" s="1214"/>
      <c r="G18" s="1214"/>
      <c r="H18" s="1214"/>
      <c r="I18" s="1214"/>
      <c r="J18" s="1214"/>
      <c r="K18" s="1214"/>
      <c r="L18" s="1214"/>
      <c r="M18" s="1214"/>
      <c r="N18" s="1214"/>
      <c r="O18" s="1214"/>
      <c r="P18" s="1214"/>
      <c r="Q18" s="1214"/>
      <c r="R18" s="1214"/>
      <c r="S18" s="1214"/>
      <c r="T18" s="1214"/>
      <c r="U18" s="1214"/>
      <c r="V18" s="1214"/>
      <c r="W18" s="1214"/>
      <c r="X18" s="1236"/>
      <c r="Y18" s="1215"/>
      <c r="Z18" s="586"/>
    </row>
    <row r="19" spans="1:26" s="531" customFormat="1" ht="13.5" x14ac:dyDescent="0.2">
      <c r="A19" s="1152"/>
      <c r="B19" s="782" t="s">
        <v>1030</v>
      </c>
      <c r="C19" s="1213"/>
      <c r="D19" s="1214"/>
      <c r="E19" s="1214"/>
      <c r="F19" s="1214"/>
      <c r="G19" s="1214"/>
      <c r="H19" s="1214"/>
      <c r="I19" s="1214"/>
      <c r="J19" s="1214"/>
      <c r="K19" s="1214"/>
      <c r="L19" s="1214"/>
      <c r="M19" s="1214"/>
      <c r="N19" s="1214"/>
      <c r="O19" s="1214"/>
      <c r="P19" s="1214"/>
      <c r="Q19" s="1214"/>
      <c r="R19" s="1214"/>
      <c r="S19" s="1214"/>
      <c r="T19" s="1214"/>
      <c r="U19" s="1214"/>
      <c r="V19" s="1214"/>
      <c r="W19" s="1214"/>
      <c r="X19" s="1236"/>
      <c r="Y19" s="1215"/>
      <c r="Z19" s="586"/>
    </row>
    <row r="20" spans="1:26" s="531" customFormat="1" ht="13.5" x14ac:dyDescent="0.2">
      <c r="A20" s="1152"/>
      <c r="B20" s="782" t="s">
        <v>1031</v>
      </c>
      <c r="C20" s="588">
        <v>216</v>
      </c>
      <c r="D20" s="1166">
        <v>689</v>
      </c>
      <c r="E20" s="1166">
        <v>972</v>
      </c>
      <c r="F20" s="1166">
        <v>376</v>
      </c>
      <c r="G20" s="1166">
        <v>3631</v>
      </c>
      <c r="H20" s="1166">
        <v>664</v>
      </c>
      <c r="I20" s="1166">
        <v>2453</v>
      </c>
      <c r="J20" s="1166">
        <v>779</v>
      </c>
      <c r="K20" s="1166">
        <v>577</v>
      </c>
      <c r="L20" s="1166">
        <v>758</v>
      </c>
      <c r="M20" s="1166">
        <v>439</v>
      </c>
      <c r="N20" s="587" t="s">
        <v>73</v>
      </c>
      <c r="O20" s="1166">
        <v>477</v>
      </c>
      <c r="P20" s="1166">
        <v>1157</v>
      </c>
      <c r="Q20" s="1166">
        <v>1048</v>
      </c>
      <c r="R20" s="1166">
        <v>1741</v>
      </c>
      <c r="S20" s="1166">
        <v>497</v>
      </c>
      <c r="T20" s="1166">
        <v>316</v>
      </c>
      <c r="U20" s="588">
        <v>240</v>
      </c>
      <c r="V20" s="1166">
        <v>932</v>
      </c>
      <c r="W20" s="1166">
        <v>180</v>
      </c>
      <c r="X20" s="1238">
        <v>138</v>
      </c>
      <c r="Y20" s="1168">
        <v>16300</v>
      </c>
      <c r="Z20" s="586"/>
    </row>
    <row r="21" spans="1:26" s="531" customFormat="1" ht="13.5" x14ac:dyDescent="0.2">
      <c r="A21" s="1152"/>
      <c r="B21" s="782" t="s">
        <v>1032</v>
      </c>
      <c r="C21" s="588">
        <v>26</v>
      </c>
      <c r="D21" s="1166">
        <v>244</v>
      </c>
      <c r="E21" s="1166">
        <v>13</v>
      </c>
      <c r="F21" s="1166">
        <v>64</v>
      </c>
      <c r="G21" s="1166" t="s">
        <v>73</v>
      </c>
      <c r="H21" s="1166">
        <v>0</v>
      </c>
      <c r="I21" s="1166">
        <v>341</v>
      </c>
      <c r="J21" s="1166">
        <v>25</v>
      </c>
      <c r="K21" s="1166">
        <v>32</v>
      </c>
      <c r="L21" s="1166">
        <v>103</v>
      </c>
      <c r="M21" s="1166">
        <v>49</v>
      </c>
      <c r="N21" s="587">
        <v>29</v>
      </c>
      <c r="O21" s="1166">
        <v>11</v>
      </c>
      <c r="P21" s="1166">
        <v>117</v>
      </c>
      <c r="Q21" s="1166">
        <v>28</v>
      </c>
      <c r="R21" s="1166">
        <v>89</v>
      </c>
      <c r="S21" s="1166" t="s">
        <v>73</v>
      </c>
      <c r="T21" s="1166">
        <v>0</v>
      </c>
      <c r="U21" s="588">
        <v>20</v>
      </c>
      <c r="V21" s="1166">
        <v>0</v>
      </c>
      <c r="W21" s="1166">
        <v>7</v>
      </c>
      <c r="X21" s="1238">
        <v>45</v>
      </c>
      <c r="Y21" s="1168">
        <v>1100</v>
      </c>
      <c r="Z21" s="586"/>
    </row>
    <row r="22" spans="1:26" s="531" customFormat="1" ht="13.5" x14ac:dyDescent="0.2">
      <c r="A22" s="1152"/>
      <c r="B22" s="782" t="s">
        <v>1033</v>
      </c>
      <c r="C22" s="588">
        <v>108</v>
      </c>
      <c r="D22" s="1166">
        <v>669</v>
      </c>
      <c r="E22" s="1166">
        <v>719</v>
      </c>
      <c r="F22" s="1166">
        <v>405</v>
      </c>
      <c r="G22" s="1166">
        <v>2312</v>
      </c>
      <c r="H22" s="1166">
        <v>288</v>
      </c>
      <c r="I22" s="1166">
        <v>2656</v>
      </c>
      <c r="J22" s="1166">
        <v>346</v>
      </c>
      <c r="K22" s="1166">
        <v>283</v>
      </c>
      <c r="L22" s="1166">
        <v>1016</v>
      </c>
      <c r="M22" s="1166">
        <v>258</v>
      </c>
      <c r="N22" s="587">
        <v>45</v>
      </c>
      <c r="O22" s="1166">
        <v>266</v>
      </c>
      <c r="P22" s="1166">
        <v>1009</v>
      </c>
      <c r="Q22" s="1166">
        <v>732</v>
      </c>
      <c r="R22" s="1166">
        <v>1559</v>
      </c>
      <c r="S22" s="1166">
        <v>351</v>
      </c>
      <c r="T22" s="1166">
        <v>357</v>
      </c>
      <c r="U22" s="588">
        <v>119</v>
      </c>
      <c r="V22" s="1166">
        <v>791</v>
      </c>
      <c r="W22" s="1166">
        <v>142</v>
      </c>
      <c r="X22" s="1238">
        <v>66</v>
      </c>
      <c r="Y22" s="1168">
        <v>12800</v>
      </c>
      <c r="Z22" s="586"/>
    </row>
    <row r="23" spans="1:26" s="531" customFormat="1" ht="13.5" x14ac:dyDescent="0.2">
      <c r="A23" s="1152"/>
      <c r="B23" s="782" t="s">
        <v>1034</v>
      </c>
      <c r="C23" s="1213"/>
      <c r="D23" s="1214"/>
      <c r="E23" s="1214"/>
      <c r="F23" s="1214"/>
      <c r="G23" s="1214"/>
      <c r="H23" s="1214"/>
      <c r="I23" s="1214"/>
      <c r="J23" s="1214"/>
      <c r="K23" s="1214"/>
      <c r="L23" s="1214"/>
      <c r="M23" s="1214"/>
      <c r="N23" s="1217"/>
      <c r="O23" s="1214"/>
      <c r="P23" s="1214"/>
      <c r="Q23" s="1214"/>
      <c r="R23" s="1214"/>
      <c r="S23" s="1214"/>
      <c r="T23" s="1214"/>
      <c r="U23" s="1213"/>
      <c r="V23" s="1214"/>
      <c r="W23" s="1214"/>
      <c r="X23" s="1236"/>
      <c r="Y23" s="1215"/>
      <c r="Z23" s="586"/>
    </row>
    <row r="24" spans="1:26" s="531" customFormat="1" ht="13.5" x14ac:dyDescent="0.2">
      <c r="A24" s="1152"/>
      <c r="B24" s="782" t="s">
        <v>1035</v>
      </c>
      <c r="C24" s="1213"/>
      <c r="D24" s="1214"/>
      <c r="E24" s="1214"/>
      <c r="F24" s="1214"/>
      <c r="G24" s="1214"/>
      <c r="H24" s="1214"/>
      <c r="I24" s="1214"/>
      <c r="J24" s="1214"/>
      <c r="K24" s="1214"/>
      <c r="L24" s="1214"/>
      <c r="M24" s="1214"/>
      <c r="N24" s="1217"/>
      <c r="O24" s="1214"/>
      <c r="P24" s="1214"/>
      <c r="Q24" s="1214"/>
      <c r="R24" s="1214"/>
      <c r="S24" s="1214"/>
      <c r="T24" s="1214"/>
      <c r="U24" s="1213"/>
      <c r="V24" s="1214"/>
      <c r="W24" s="1214"/>
      <c r="X24" s="1236"/>
      <c r="Y24" s="1215"/>
      <c r="Z24" s="586"/>
    </row>
    <row r="25" spans="1:26" s="531" customFormat="1" ht="13.5" x14ac:dyDescent="0.2">
      <c r="A25" s="1152"/>
      <c r="B25" s="782" t="s">
        <v>1036</v>
      </c>
      <c r="C25" s="1213"/>
      <c r="D25" s="1214"/>
      <c r="E25" s="1214"/>
      <c r="F25" s="1214"/>
      <c r="G25" s="1214"/>
      <c r="H25" s="1214"/>
      <c r="I25" s="1214"/>
      <c r="J25" s="1214"/>
      <c r="K25" s="1214"/>
      <c r="L25" s="1214"/>
      <c r="M25" s="1214"/>
      <c r="N25" s="1217"/>
      <c r="O25" s="1214"/>
      <c r="P25" s="1214"/>
      <c r="Q25" s="1214"/>
      <c r="R25" s="1214"/>
      <c r="S25" s="1214"/>
      <c r="T25" s="1214"/>
      <c r="U25" s="1213"/>
      <c r="V25" s="1214"/>
      <c r="W25" s="1214"/>
      <c r="X25" s="1236"/>
      <c r="Y25" s="1215"/>
      <c r="Z25" s="586"/>
    </row>
    <row r="26" spans="1:26" s="531" customFormat="1" ht="13.5" x14ac:dyDescent="0.2">
      <c r="A26" s="1152"/>
      <c r="B26" s="782" t="s">
        <v>1037</v>
      </c>
      <c r="C26" s="1213"/>
      <c r="D26" s="1214"/>
      <c r="E26" s="1214"/>
      <c r="F26" s="1214"/>
      <c r="G26" s="1214"/>
      <c r="H26" s="1214"/>
      <c r="I26" s="1214"/>
      <c r="J26" s="1214"/>
      <c r="K26" s="1214"/>
      <c r="L26" s="1214"/>
      <c r="M26" s="1214"/>
      <c r="N26" s="1217"/>
      <c r="O26" s="1214"/>
      <c r="P26" s="1214"/>
      <c r="Q26" s="1214"/>
      <c r="R26" s="1214"/>
      <c r="S26" s="1214"/>
      <c r="T26" s="1214"/>
      <c r="U26" s="1213"/>
      <c r="V26" s="1214"/>
      <c r="W26" s="1214"/>
      <c r="X26" s="1236"/>
      <c r="Y26" s="1215"/>
      <c r="Z26" s="586"/>
    </row>
    <row r="27" spans="1:26" s="531" customFormat="1" ht="13.5" x14ac:dyDescent="0.2">
      <c r="A27" s="1152"/>
      <c r="B27" s="782" t="s">
        <v>1038</v>
      </c>
      <c r="C27" s="1213"/>
      <c r="D27" s="1214"/>
      <c r="E27" s="1214"/>
      <c r="F27" s="1214"/>
      <c r="G27" s="1214"/>
      <c r="H27" s="1214"/>
      <c r="I27" s="1214"/>
      <c r="J27" s="1214"/>
      <c r="K27" s="1214"/>
      <c r="L27" s="1214"/>
      <c r="M27" s="1214"/>
      <c r="N27" s="1217"/>
      <c r="O27" s="1214"/>
      <c r="P27" s="1214"/>
      <c r="Q27" s="1214"/>
      <c r="R27" s="1214"/>
      <c r="S27" s="1214"/>
      <c r="T27" s="1214"/>
      <c r="U27" s="1213"/>
      <c r="V27" s="1214"/>
      <c r="W27" s="1214"/>
      <c r="X27" s="1236"/>
      <c r="Y27" s="1215"/>
      <c r="Z27" s="586"/>
    </row>
    <row r="28" spans="1:26" s="531" customFormat="1" ht="13.5" x14ac:dyDescent="0.2">
      <c r="A28" s="1152"/>
      <c r="B28" s="782" t="s">
        <v>1039</v>
      </c>
      <c r="C28" s="588">
        <v>22</v>
      </c>
      <c r="D28" s="1166">
        <v>204</v>
      </c>
      <c r="E28" s="1166">
        <v>23</v>
      </c>
      <c r="F28" s="1166">
        <v>26</v>
      </c>
      <c r="G28" s="1166">
        <v>277</v>
      </c>
      <c r="H28" s="1166" t="s">
        <v>73</v>
      </c>
      <c r="I28" s="1166">
        <v>458</v>
      </c>
      <c r="J28" s="1166">
        <v>117</v>
      </c>
      <c r="K28" s="1166">
        <v>38</v>
      </c>
      <c r="L28" s="1166">
        <v>84</v>
      </c>
      <c r="M28" s="1166">
        <v>77</v>
      </c>
      <c r="N28" s="587">
        <v>11</v>
      </c>
      <c r="O28" s="1166">
        <v>20</v>
      </c>
      <c r="P28" s="1166">
        <v>80</v>
      </c>
      <c r="Q28" s="1166">
        <v>63</v>
      </c>
      <c r="R28" s="1166">
        <v>126</v>
      </c>
      <c r="S28" s="1166" t="s">
        <v>73</v>
      </c>
      <c r="T28" s="1166">
        <v>15</v>
      </c>
      <c r="U28" s="588">
        <v>36</v>
      </c>
      <c r="V28" s="1166">
        <v>112</v>
      </c>
      <c r="W28" s="1166" t="s">
        <v>73</v>
      </c>
      <c r="X28" s="1238">
        <v>10</v>
      </c>
      <c r="Y28" s="1168">
        <v>1700</v>
      </c>
      <c r="Z28" s="586"/>
    </row>
    <row r="29" spans="1:26" s="531" customFormat="1" ht="13.5" x14ac:dyDescent="0.2">
      <c r="A29" s="1152"/>
      <c r="B29" s="782" t="s">
        <v>1040</v>
      </c>
      <c r="C29" s="588">
        <v>183</v>
      </c>
      <c r="D29" s="1166">
        <v>642</v>
      </c>
      <c r="E29" s="1166">
        <v>1007</v>
      </c>
      <c r="F29" s="1166">
        <v>472</v>
      </c>
      <c r="G29" s="1166">
        <v>1447</v>
      </c>
      <c r="H29" s="1166">
        <v>196</v>
      </c>
      <c r="I29" s="1166">
        <v>1606</v>
      </c>
      <c r="J29" s="1166">
        <v>219</v>
      </c>
      <c r="K29" s="1166">
        <v>366</v>
      </c>
      <c r="L29" s="1166">
        <v>643</v>
      </c>
      <c r="M29" s="1166">
        <v>217</v>
      </c>
      <c r="N29" s="587">
        <v>33</v>
      </c>
      <c r="O29" s="1166">
        <v>498</v>
      </c>
      <c r="P29" s="1166">
        <v>794</v>
      </c>
      <c r="Q29" s="1166">
        <v>541</v>
      </c>
      <c r="R29" s="1166">
        <v>1062</v>
      </c>
      <c r="S29" s="1166">
        <v>220</v>
      </c>
      <c r="T29" s="1166">
        <v>314</v>
      </c>
      <c r="U29" s="588">
        <v>276</v>
      </c>
      <c r="V29" s="1166">
        <v>848</v>
      </c>
      <c r="W29" s="1166">
        <v>227</v>
      </c>
      <c r="X29" s="1238">
        <v>29</v>
      </c>
      <c r="Y29" s="1168">
        <v>10500</v>
      </c>
      <c r="Z29" s="586"/>
    </row>
    <row r="30" spans="1:26" s="531" customFormat="1" ht="13.5" x14ac:dyDescent="0.2">
      <c r="A30" s="1152"/>
      <c r="B30" s="782" t="s">
        <v>1041</v>
      </c>
      <c r="C30" s="1213"/>
      <c r="D30" s="1214"/>
      <c r="E30" s="1214"/>
      <c r="F30" s="1214"/>
      <c r="G30" s="1214"/>
      <c r="H30" s="1214"/>
      <c r="I30" s="1214"/>
      <c r="J30" s="1214"/>
      <c r="K30" s="1214"/>
      <c r="L30" s="1214"/>
      <c r="M30" s="1214"/>
      <c r="N30" s="1217"/>
      <c r="O30" s="1214"/>
      <c r="P30" s="1214"/>
      <c r="Q30" s="1214"/>
      <c r="R30" s="1214"/>
      <c r="S30" s="1214"/>
      <c r="T30" s="1214"/>
      <c r="U30" s="1213"/>
      <c r="V30" s="1214"/>
      <c r="W30" s="1214"/>
      <c r="X30" s="1236"/>
      <c r="Y30" s="1215"/>
      <c r="Z30" s="586"/>
    </row>
    <row r="31" spans="1:26" s="531" customFormat="1" ht="13.5" x14ac:dyDescent="0.2">
      <c r="A31" s="1152"/>
      <c r="B31" s="782" t="s">
        <v>1042</v>
      </c>
      <c r="C31" s="1213"/>
      <c r="D31" s="1214"/>
      <c r="E31" s="1214"/>
      <c r="F31" s="1214"/>
      <c r="G31" s="1214"/>
      <c r="H31" s="1214"/>
      <c r="I31" s="1214"/>
      <c r="J31" s="1214"/>
      <c r="K31" s="1214"/>
      <c r="L31" s="1214"/>
      <c r="M31" s="1214"/>
      <c r="N31" s="1217"/>
      <c r="O31" s="1214"/>
      <c r="P31" s="1214"/>
      <c r="Q31" s="1214"/>
      <c r="R31" s="1214"/>
      <c r="S31" s="1214"/>
      <c r="T31" s="1214"/>
      <c r="U31" s="1213"/>
      <c r="V31" s="1214"/>
      <c r="W31" s="1214"/>
      <c r="X31" s="1236"/>
      <c r="Y31" s="1215"/>
      <c r="Z31" s="586"/>
    </row>
    <row r="32" spans="1:26" s="531" customFormat="1" ht="13.5" x14ac:dyDescent="0.2">
      <c r="A32" s="1152"/>
      <c r="B32" s="782" t="s">
        <v>1043</v>
      </c>
      <c r="C32" s="588">
        <v>238</v>
      </c>
      <c r="D32" s="1166">
        <v>1763</v>
      </c>
      <c r="E32" s="1166">
        <v>1369</v>
      </c>
      <c r="F32" s="1166">
        <v>1039</v>
      </c>
      <c r="G32" s="1166">
        <v>4745</v>
      </c>
      <c r="H32" s="1166">
        <v>670</v>
      </c>
      <c r="I32" s="1166">
        <v>4037</v>
      </c>
      <c r="J32" s="1166">
        <v>794</v>
      </c>
      <c r="K32" s="1166">
        <v>713</v>
      </c>
      <c r="L32" s="1166">
        <v>1747</v>
      </c>
      <c r="M32" s="1166">
        <v>517</v>
      </c>
      <c r="N32" s="587">
        <v>113</v>
      </c>
      <c r="O32" s="1166">
        <v>642</v>
      </c>
      <c r="P32" s="1166">
        <v>1201</v>
      </c>
      <c r="Q32" s="1166">
        <v>1209</v>
      </c>
      <c r="R32" s="1166">
        <v>3420</v>
      </c>
      <c r="S32" s="1166">
        <v>833</v>
      </c>
      <c r="T32" s="1166">
        <v>550</v>
      </c>
      <c r="U32" s="588">
        <v>266</v>
      </c>
      <c r="V32" s="1166">
        <v>2323</v>
      </c>
      <c r="W32" s="1166">
        <v>270</v>
      </c>
      <c r="X32" s="1238">
        <v>329</v>
      </c>
      <c r="Y32" s="1168">
        <v>26200</v>
      </c>
      <c r="Z32" s="586"/>
    </row>
    <row r="33" spans="1:26" s="531" customFormat="1" ht="13.5" x14ac:dyDescent="0.2">
      <c r="A33" s="1152"/>
      <c r="B33" s="782" t="s">
        <v>1044</v>
      </c>
      <c r="C33" s="588">
        <v>24</v>
      </c>
      <c r="D33" s="1166">
        <v>210</v>
      </c>
      <c r="E33" s="1166">
        <v>114</v>
      </c>
      <c r="F33" s="1166">
        <v>123</v>
      </c>
      <c r="G33" s="1166">
        <v>496</v>
      </c>
      <c r="H33" s="1166">
        <v>45</v>
      </c>
      <c r="I33" s="1166">
        <v>1038</v>
      </c>
      <c r="J33" s="1166">
        <v>60</v>
      </c>
      <c r="K33" s="1166">
        <v>128</v>
      </c>
      <c r="L33" s="1166">
        <v>51</v>
      </c>
      <c r="M33" s="1166">
        <v>53</v>
      </c>
      <c r="N33" s="587">
        <v>33</v>
      </c>
      <c r="O33" s="1166">
        <v>56</v>
      </c>
      <c r="P33" s="1166">
        <v>129</v>
      </c>
      <c r="Q33" s="1166">
        <v>81</v>
      </c>
      <c r="R33" s="1166">
        <v>381</v>
      </c>
      <c r="S33" s="1166">
        <v>42</v>
      </c>
      <c r="T33" s="1166">
        <v>43</v>
      </c>
      <c r="U33" s="588">
        <v>35</v>
      </c>
      <c r="V33" s="1166">
        <v>259</v>
      </c>
      <c r="W33" s="1166">
        <v>8</v>
      </c>
      <c r="X33" s="1238">
        <v>0</v>
      </c>
      <c r="Y33" s="1168">
        <v>3200</v>
      </c>
      <c r="Z33" s="586"/>
    </row>
    <row r="34" spans="1:26" s="531" customFormat="1" ht="13.5" x14ac:dyDescent="0.2">
      <c r="A34" s="1152"/>
      <c r="B34" s="782" t="s">
        <v>1045</v>
      </c>
      <c r="C34" s="588">
        <v>103</v>
      </c>
      <c r="D34" s="1166">
        <v>582</v>
      </c>
      <c r="E34" s="1166">
        <v>255</v>
      </c>
      <c r="F34" s="1166">
        <v>318</v>
      </c>
      <c r="G34" s="1166">
        <v>1364</v>
      </c>
      <c r="H34" s="1166">
        <v>229</v>
      </c>
      <c r="I34" s="1166">
        <v>1546</v>
      </c>
      <c r="J34" s="1166">
        <v>211</v>
      </c>
      <c r="K34" s="1166">
        <v>105</v>
      </c>
      <c r="L34" s="1166">
        <v>382</v>
      </c>
      <c r="M34" s="1166">
        <v>157</v>
      </c>
      <c r="N34" s="587">
        <v>11</v>
      </c>
      <c r="O34" s="1166">
        <v>139</v>
      </c>
      <c r="P34" s="1166">
        <v>309</v>
      </c>
      <c r="Q34" s="1166">
        <v>350</v>
      </c>
      <c r="R34" s="1166">
        <v>736</v>
      </c>
      <c r="S34" s="1166">
        <v>173</v>
      </c>
      <c r="T34" s="1166">
        <v>197</v>
      </c>
      <c r="U34" s="588">
        <v>125</v>
      </c>
      <c r="V34" s="1166">
        <v>25</v>
      </c>
      <c r="W34" s="1166">
        <v>92</v>
      </c>
      <c r="X34" s="1238" t="s">
        <v>73</v>
      </c>
      <c r="Y34" s="1168">
        <v>6700</v>
      </c>
      <c r="Z34" s="586"/>
    </row>
    <row r="35" spans="1:26" s="531" customFormat="1" ht="13.5" x14ac:dyDescent="0.2">
      <c r="A35" s="1152"/>
      <c r="B35" s="782" t="s">
        <v>1046</v>
      </c>
      <c r="C35" s="588" t="s">
        <v>73</v>
      </c>
      <c r="D35" s="1166">
        <v>122</v>
      </c>
      <c r="E35" s="1166">
        <v>138</v>
      </c>
      <c r="F35" s="1166">
        <v>87</v>
      </c>
      <c r="G35" s="1166">
        <v>419</v>
      </c>
      <c r="H35" s="1166">
        <v>61</v>
      </c>
      <c r="I35" s="1166">
        <v>448</v>
      </c>
      <c r="J35" s="1166">
        <v>128</v>
      </c>
      <c r="K35" s="1166">
        <v>66</v>
      </c>
      <c r="L35" s="1166">
        <v>285</v>
      </c>
      <c r="M35" s="1166" t="s">
        <v>73</v>
      </c>
      <c r="N35" s="587" t="s">
        <v>73</v>
      </c>
      <c r="O35" s="1166">
        <v>20</v>
      </c>
      <c r="P35" s="1166">
        <v>213</v>
      </c>
      <c r="Q35" s="1166">
        <v>200</v>
      </c>
      <c r="R35" s="1166">
        <v>174</v>
      </c>
      <c r="S35" s="1166">
        <v>36</v>
      </c>
      <c r="T35" s="1166">
        <v>97</v>
      </c>
      <c r="U35" s="588">
        <v>13</v>
      </c>
      <c r="V35" s="1166">
        <v>0</v>
      </c>
      <c r="W35" s="1166">
        <v>34</v>
      </c>
      <c r="X35" s="1238">
        <v>32</v>
      </c>
      <c r="Y35" s="1168">
        <v>2200</v>
      </c>
      <c r="Z35" s="586"/>
    </row>
    <row r="36" spans="1:26" s="531" customFormat="1" ht="13.5" x14ac:dyDescent="0.2">
      <c r="A36" s="1152"/>
      <c r="B36" s="782" t="s">
        <v>1047</v>
      </c>
      <c r="C36" s="588" t="s">
        <v>73</v>
      </c>
      <c r="D36" s="1166">
        <v>1728</v>
      </c>
      <c r="E36" s="1166">
        <v>36</v>
      </c>
      <c r="F36" s="1166">
        <v>773</v>
      </c>
      <c r="G36" s="1166" t="s">
        <v>73</v>
      </c>
      <c r="H36" s="1166" t="s">
        <v>73</v>
      </c>
      <c r="I36" s="1166">
        <v>57</v>
      </c>
      <c r="J36" s="1166">
        <v>48</v>
      </c>
      <c r="K36" s="1166">
        <v>9</v>
      </c>
      <c r="L36" s="1166">
        <v>48</v>
      </c>
      <c r="M36" s="1166" t="s">
        <v>73</v>
      </c>
      <c r="N36" s="587">
        <v>1366</v>
      </c>
      <c r="O36" s="1166">
        <v>0</v>
      </c>
      <c r="P36" s="1166">
        <v>0</v>
      </c>
      <c r="Q36" s="1166">
        <v>1874</v>
      </c>
      <c r="R36" s="1166">
        <v>0</v>
      </c>
      <c r="S36" s="1166">
        <v>251</v>
      </c>
      <c r="T36" s="1166">
        <v>0</v>
      </c>
      <c r="U36" s="588">
        <v>0</v>
      </c>
      <c r="V36" s="1166">
        <v>202</v>
      </c>
      <c r="W36" s="1166" t="s">
        <v>73</v>
      </c>
      <c r="X36" s="1238" t="s">
        <v>73</v>
      </c>
      <c r="Y36" s="1168">
        <v>6400</v>
      </c>
      <c r="Z36" s="586"/>
    </row>
    <row r="37" spans="1:26" s="531" customFormat="1" ht="13.5" x14ac:dyDescent="0.2">
      <c r="A37" s="595">
        <v>15</v>
      </c>
      <c r="B37" s="783" t="s">
        <v>1048</v>
      </c>
      <c r="C37" s="589">
        <v>217.00000000000003</v>
      </c>
      <c r="D37" s="1166">
        <v>2648.9999999999991</v>
      </c>
      <c r="E37" s="1166">
        <v>1397.9999999999991</v>
      </c>
      <c r="F37" s="1166">
        <v>939.99999999999989</v>
      </c>
      <c r="G37" s="1166">
        <v>5324.9999999999991</v>
      </c>
      <c r="H37" s="1166">
        <v>820.99999999999977</v>
      </c>
      <c r="I37" s="1166">
        <v>4683</v>
      </c>
      <c r="J37" s="1166">
        <v>614.99999999999966</v>
      </c>
      <c r="K37" s="1166">
        <v>595.00000000000011</v>
      </c>
      <c r="L37" s="1166">
        <v>1377.0000000000002</v>
      </c>
      <c r="M37" s="1166">
        <v>379.9999999999996</v>
      </c>
      <c r="N37" s="590">
        <v>352.99999999999983</v>
      </c>
      <c r="O37" s="1166">
        <v>480.00000000000017</v>
      </c>
      <c r="P37" s="1166">
        <v>1507.9999999999977</v>
      </c>
      <c r="Q37" s="1166">
        <v>2214</v>
      </c>
      <c r="R37" s="1166">
        <v>2530.9999999999973</v>
      </c>
      <c r="S37" s="1166">
        <v>531.00000000000011</v>
      </c>
      <c r="T37" s="1166">
        <v>532</v>
      </c>
      <c r="U37" s="589">
        <v>303</v>
      </c>
      <c r="V37" s="1166">
        <v>1503.0000000000002</v>
      </c>
      <c r="W37" s="1166">
        <v>188.00000000000009</v>
      </c>
      <c r="X37" s="1238">
        <v>259.00000000000006</v>
      </c>
      <c r="Y37" s="1168">
        <v>26800</v>
      </c>
      <c r="Z37" s="586"/>
    </row>
    <row r="38" spans="1:26" s="531" customFormat="1" ht="13.5" x14ac:dyDescent="0.2">
      <c r="A38" s="595">
        <v>16</v>
      </c>
      <c r="B38" s="783" t="s">
        <v>1049</v>
      </c>
      <c r="C38" s="589">
        <v>986</v>
      </c>
      <c r="D38" s="1166">
        <v>2770</v>
      </c>
      <c r="E38" s="1166">
        <v>6180</v>
      </c>
      <c r="F38" s="1166">
        <v>2684</v>
      </c>
      <c r="G38" s="1166">
        <v>17096</v>
      </c>
      <c r="H38" s="1166">
        <v>2048</v>
      </c>
      <c r="I38" s="1166">
        <v>15802</v>
      </c>
      <c r="J38" s="1166">
        <v>3699</v>
      </c>
      <c r="K38" s="1166">
        <v>2000</v>
      </c>
      <c r="L38" s="1166">
        <v>3767</v>
      </c>
      <c r="M38" s="1166">
        <v>1453</v>
      </c>
      <c r="N38" s="590">
        <v>1197</v>
      </c>
      <c r="O38" s="1166">
        <v>1879</v>
      </c>
      <c r="P38" s="1166">
        <v>4524</v>
      </c>
      <c r="Q38" s="1166">
        <v>2109</v>
      </c>
      <c r="R38" s="1166">
        <v>8993</v>
      </c>
      <c r="S38" s="1166">
        <v>2649</v>
      </c>
      <c r="T38" s="1166">
        <v>1488</v>
      </c>
      <c r="U38" s="589">
        <v>887</v>
      </c>
      <c r="V38" s="1166">
        <v>5185</v>
      </c>
      <c r="W38" s="1166">
        <v>779</v>
      </c>
      <c r="X38" s="1238">
        <v>887</v>
      </c>
      <c r="Y38" s="1168">
        <v>80400</v>
      </c>
      <c r="Z38" s="586"/>
    </row>
    <row r="39" spans="1:26" s="531" customFormat="1" ht="22.5" x14ac:dyDescent="0.2">
      <c r="A39" s="1154">
        <v>17</v>
      </c>
      <c r="B39" s="780" t="s">
        <v>231</v>
      </c>
      <c r="C39" s="1237"/>
      <c r="D39" s="1237"/>
      <c r="E39" s="1237"/>
      <c r="F39" s="1237"/>
      <c r="G39" s="1237"/>
      <c r="H39" s="1237"/>
      <c r="I39" s="1237"/>
      <c r="J39" s="1237"/>
      <c r="K39" s="1237"/>
      <c r="L39" s="1237"/>
      <c r="M39" s="1237"/>
      <c r="N39" s="1237"/>
      <c r="O39" s="1237"/>
      <c r="P39" s="1237"/>
      <c r="Q39" s="1237"/>
      <c r="R39" s="1237"/>
      <c r="S39" s="1237"/>
      <c r="T39" s="1237"/>
      <c r="U39" s="1237"/>
      <c r="V39" s="1237"/>
      <c r="W39" s="1237"/>
      <c r="X39" s="1237"/>
      <c r="Y39" s="1237"/>
      <c r="Z39" s="1147"/>
    </row>
    <row r="40" spans="1:26" s="531" customFormat="1" ht="13.5" x14ac:dyDescent="0.2">
      <c r="A40" s="1153"/>
      <c r="B40" s="779" t="s">
        <v>1050</v>
      </c>
      <c r="C40" s="588">
        <v>414</v>
      </c>
      <c r="D40" s="1166">
        <v>180</v>
      </c>
      <c r="E40" s="1166">
        <v>1554</v>
      </c>
      <c r="F40" s="1167">
        <v>365</v>
      </c>
      <c r="G40" s="1166">
        <v>3554</v>
      </c>
      <c r="H40" s="1166">
        <v>306</v>
      </c>
      <c r="I40" s="1166">
        <v>2406</v>
      </c>
      <c r="J40" s="1166">
        <v>241</v>
      </c>
      <c r="K40" s="1166">
        <v>596</v>
      </c>
      <c r="L40" s="1166">
        <v>331</v>
      </c>
      <c r="M40" s="1166">
        <v>683</v>
      </c>
      <c r="N40" s="587">
        <v>286</v>
      </c>
      <c r="O40" s="1166">
        <v>602</v>
      </c>
      <c r="P40" s="1166">
        <v>3193</v>
      </c>
      <c r="Q40" s="1166">
        <v>679</v>
      </c>
      <c r="R40" s="1166">
        <v>584</v>
      </c>
      <c r="S40" s="1166">
        <v>745</v>
      </c>
      <c r="T40" s="1166">
        <v>619</v>
      </c>
      <c r="U40" s="588">
        <v>199</v>
      </c>
      <c r="V40" s="1166">
        <v>3155</v>
      </c>
      <c r="W40" s="1166">
        <v>67</v>
      </c>
      <c r="X40" s="1238">
        <v>530</v>
      </c>
      <c r="Y40" s="1168">
        <v>16730</v>
      </c>
      <c r="Z40" s="586">
        <v>120850</v>
      </c>
    </row>
    <row r="41" spans="1:26" s="531" customFormat="1" ht="13.5" x14ac:dyDescent="0.2">
      <c r="A41" s="1153"/>
      <c r="B41" s="779" t="s">
        <v>1051</v>
      </c>
      <c r="C41" s="588">
        <v>272</v>
      </c>
      <c r="D41" s="1166">
        <v>274</v>
      </c>
      <c r="E41" s="1166">
        <v>883</v>
      </c>
      <c r="F41" s="1167">
        <v>236</v>
      </c>
      <c r="G41" s="1166">
        <v>4676</v>
      </c>
      <c r="H41" s="1166">
        <v>596</v>
      </c>
      <c r="I41" s="1166">
        <v>1853</v>
      </c>
      <c r="J41" s="1166">
        <v>433</v>
      </c>
      <c r="K41" s="1166">
        <v>535</v>
      </c>
      <c r="L41" s="1166">
        <v>547</v>
      </c>
      <c r="M41" s="1166">
        <v>200</v>
      </c>
      <c r="N41" s="587">
        <v>257</v>
      </c>
      <c r="O41" s="1166">
        <v>225</v>
      </c>
      <c r="P41" s="1166">
        <v>303</v>
      </c>
      <c r="Q41" s="1166">
        <v>701</v>
      </c>
      <c r="R41" s="1166">
        <v>2137</v>
      </c>
      <c r="S41" s="1166">
        <v>336</v>
      </c>
      <c r="T41" s="1166">
        <v>195</v>
      </c>
      <c r="U41" s="588">
        <v>139</v>
      </c>
      <c r="V41" s="1166">
        <v>662</v>
      </c>
      <c r="W41" s="1166">
        <v>92</v>
      </c>
      <c r="X41" s="1238">
        <v>156</v>
      </c>
      <c r="Y41" s="1168">
        <v>14870</v>
      </c>
      <c r="Z41" s="586">
        <v>96070</v>
      </c>
    </row>
    <row r="42" spans="1:26" s="531" customFormat="1" ht="13.5" x14ac:dyDescent="0.2">
      <c r="A42" s="1153"/>
      <c r="B42" s="779" t="s">
        <v>1052</v>
      </c>
      <c r="C42" s="588">
        <v>154</v>
      </c>
      <c r="D42" s="1166">
        <v>325</v>
      </c>
      <c r="E42" s="1166">
        <v>1599</v>
      </c>
      <c r="F42" s="1167">
        <v>249</v>
      </c>
      <c r="G42" s="1166">
        <v>2712</v>
      </c>
      <c r="H42" s="1166">
        <v>354</v>
      </c>
      <c r="I42" s="1166">
        <v>2541</v>
      </c>
      <c r="J42" s="1166">
        <v>535</v>
      </c>
      <c r="K42" s="1166">
        <v>358</v>
      </c>
      <c r="L42" s="1166">
        <v>695</v>
      </c>
      <c r="M42" s="1166">
        <v>104</v>
      </c>
      <c r="N42" s="587">
        <v>197</v>
      </c>
      <c r="O42" s="1166">
        <v>206</v>
      </c>
      <c r="P42" s="1166">
        <v>368</v>
      </c>
      <c r="Q42" s="1166">
        <v>292</v>
      </c>
      <c r="R42" s="1166">
        <v>1588</v>
      </c>
      <c r="S42" s="1166">
        <v>252</v>
      </c>
      <c r="T42" s="1166">
        <v>121</v>
      </c>
      <c r="U42" s="588">
        <v>135</v>
      </c>
      <c r="V42" s="1166">
        <v>564</v>
      </c>
      <c r="W42" s="1166">
        <v>136</v>
      </c>
      <c r="X42" s="1238">
        <v>117</v>
      </c>
      <c r="Y42" s="1168">
        <v>12860</v>
      </c>
      <c r="Z42" s="586">
        <v>82440</v>
      </c>
    </row>
    <row r="43" spans="1:26" s="531" customFormat="1" ht="13.5" x14ac:dyDescent="0.2">
      <c r="A43" s="1153"/>
      <c r="B43" s="779" t="s">
        <v>1053</v>
      </c>
      <c r="C43" s="588">
        <v>129</v>
      </c>
      <c r="D43" s="1166">
        <v>692</v>
      </c>
      <c r="E43" s="1166">
        <v>1084</v>
      </c>
      <c r="F43" s="1167">
        <v>537</v>
      </c>
      <c r="G43" s="1166">
        <v>2633</v>
      </c>
      <c r="H43" s="1166">
        <v>337</v>
      </c>
      <c r="I43" s="1166">
        <v>7197</v>
      </c>
      <c r="J43" s="1166">
        <v>1579</v>
      </c>
      <c r="K43" s="1166">
        <v>430</v>
      </c>
      <c r="L43" s="1166">
        <v>1245</v>
      </c>
      <c r="M43" s="1166">
        <v>341</v>
      </c>
      <c r="N43" s="587">
        <v>263</v>
      </c>
      <c r="O43" s="1166">
        <v>729</v>
      </c>
      <c r="P43" s="1166">
        <v>339</v>
      </c>
      <c r="Q43" s="1239">
        <v>259</v>
      </c>
      <c r="R43" s="1166">
        <v>2350</v>
      </c>
      <c r="S43" s="1166">
        <v>391</v>
      </c>
      <c r="T43" s="1166">
        <v>129</v>
      </c>
      <c r="U43" s="588">
        <v>159</v>
      </c>
      <c r="V43" s="1166">
        <v>594</v>
      </c>
      <c r="W43" s="1166">
        <v>296</v>
      </c>
      <c r="X43" s="1238">
        <v>65</v>
      </c>
      <c r="Y43" s="1168">
        <v>20920</v>
      </c>
      <c r="Z43" s="586">
        <v>149550</v>
      </c>
    </row>
    <row r="44" spans="1:26" s="531" customFormat="1" ht="13.5" x14ac:dyDescent="0.2">
      <c r="A44" s="1153"/>
      <c r="B44" s="779" t="s">
        <v>1054</v>
      </c>
      <c r="C44" s="588">
        <v>9</v>
      </c>
      <c r="D44" s="1166">
        <v>1299</v>
      </c>
      <c r="E44" s="1166">
        <v>1060</v>
      </c>
      <c r="F44" s="1167">
        <v>1297</v>
      </c>
      <c r="G44" s="1166">
        <v>3521</v>
      </c>
      <c r="H44" s="1166">
        <v>391</v>
      </c>
      <c r="I44" s="1166">
        <v>1805</v>
      </c>
      <c r="J44" s="1166">
        <v>911</v>
      </c>
      <c r="K44" s="1166">
        <v>81</v>
      </c>
      <c r="L44" s="1166">
        <v>949</v>
      </c>
      <c r="M44" s="1166">
        <v>125</v>
      </c>
      <c r="N44" s="587">
        <v>194</v>
      </c>
      <c r="O44" s="1166">
        <v>117</v>
      </c>
      <c r="P44" s="1166">
        <v>321</v>
      </c>
      <c r="Q44" s="1239">
        <v>178</v>
      </c>
      <c r="R44" s="1166">
        <v>2334</v>
      </c>
      <c r="S44" s="1166">
        <v>925</v>
      </c>
      <c r="T44" s="1166">
        <v>424</v>
      </c>
      <c r="U44" s="588">
        <v>255</v>
      </c>
      <c r="V44" s="1166">
        <v>210</v>
      </c>
      <c r="W44" s="1166">
        <v>188</v>
      </c>
      <c r="X44" s="1238">
        <v>9</v>
      </c>
      <c r="Y44" s="1168">
        <v>15020</v>
      </c>
      <c r="Z44" s="586">
        <v>101900</v>
      </c>
    </row>
    <row r="45" spans="1:26" s="531" customFormat="1" ht="13.5" x14ac:dyDescent="0.2">
      <c r="A45" s="595">
        <v>18</v>
      </c>
      <c r="B45" s="783" t="s">
        <v>1055</v>
      </c>
      <c r="C45" s="1213"/>
      <c r="D45" s="1214"/>
      <c r="E45" s="1214"/>
      <c r="F45" s="1214"/>
      <c r="G45" s="1214"/>
      <c r="H45" s="1214"/>
      <c r="I45" s="1214"/>
      <c r="J45" s="1214"/>
      <c r="K45" s="1214"/>
      <c r="L45" s="1214"/>
      <c r="M45" s="1214"/>
      <c r="N45" s="1217"/>
      <c r="O45" s="1214"/>
      <c r="P45" s="1214"/>
      <c r="Q45" s="1214"/>
      <c r="R45" s="1214"/>
      <c r="S45" s="1214"/>
      <c r="T45" s="1214"/>
      <c r="U45" s="1213"/>
      <c r="V45" s="1214"/>
      <c r="W45" s="1214"/>
      <c r="X45" s="1236"/>
      <c r="Y45" s="1215"/>
      <c r="Z45" s="1216"/>
    </row>
    <row r="46" spans="1:26" s="531" customFormat="1" ht="13.5" x14ac:dyDescent="0.2">
      <c r="A46" s="595">
        <v>19</v>
      </c>
      <c r="B46" s="783" t="s">
        <v>1056</v>
      </c>
      <c r="C46" s="1213"/>
      <c r="D46" s="1214"/>
      <c r="E46" s="1214"/>
      <c r="F46" s="1214"/>
      <c r="G46" s="1214"/>
      <c r="H46" s="1214"/>
      <c r="I46" s="1214"/>
      <c r="J46" s="1214"/>
      <c r="K46" s="1214"/>
      <c r="L46" s="1214"/>
      <c r="M46" s="1214"/>
      <c r="N46" s="1217"/>
      <c r="O46" s="1214"/>
      <c r="P46" s="1214"/>
      <c r="Q46" s="1214"/>
      <c r="R46" s="1214"/>
      <c r="S46" s="1214"/>
      <c r="T46" s="1214"/>
      <c r="U46" s="1213"/>
      <c r="V46" s="1214"/>
      <c r="W46" s="1214"/>
      <c r="X46" s="1236"/>
      <c r="Y46" s="1215"/>
      <c r="Z46" s="1216"/>
    </row>
    <row r="47" spans="1:26" s="531" customFormat="1" ht="13.5" x14ac:dyDescent="0.2">
      <c r="A47" s="595">
        <v>20</v>
      </c>
      <c r="B47" s="783" t="s">
        <v>1057</v>
      </c>
      <c r="C47" s="589">
        <v>748</v>
      </c>
      <c r="D47" s="1166">
        <v>2475</v>
      </c>
      <c r="E47" s="1166">
        <v>2703</v>
      </c>
      <c r="F47" s="1166">
        <v>3351</v>
      </c>
      <c r="G47" s="1166">
        <v>7818</v>
      </c>
      <c r="H47" s="1166">
        <v>1092</v>
      </c>
      <c r="I47" s="1166">
        <v>9182</v>
      </c>
      <c r="J47" s="1166">
        <v>2544</v>
      </c>
      <c r="K47" s="1166">
        <v>1584</v>
      </c>
      <c r="L47" s="1166">
        <v>3917</v>
      </c>
      <c r="M47" s="1166">
        <v>1436</v>
      </c>
      <c r="N47" s="590">
        <v>1394</v>
      </c>
      <c r="O47" s="1166">
        <v>1450</v>
      </c>
      <c r="P47" s="1166">
        <v>4264</v>
      </c>
      <c r="Q47" s="1166">
        <v>1347</v>
      </c>
      <c r="R47" s="1166">
        <v>5735</v>
      </c>
      <c r="S47" s="1166">
        <v>1879</v>
      </c>
      <c r="T47" s="1166">
        <v>1555</v>
      </c>
      <c r="U47" s="589">
        <v>955</v>
      </c>
      <c r="V47" s="1166">
        <v>4766</v>
      </c>
      <c r="W47" s="1166">
        <v>841</v>
      </c>
      <c r="X47" s="1238">
        <v>523</v>
      </c>
      <c r="Y47" s="1168">
        <v>53900</v>
      </c>
      <c r="Z47" s="586">
        <v>391000</v>
      </c>
    </row>
    <row r="48" spans="1:26" s="531" customFormat="1" ht="13.5" x14ac:dyDescent="0.2">
      <c r="A48" s="595">
        <v>21</v>
      </c>
      <c r="B48" s="783" t="s">
        <v>1058</v>
      </c>
      <c r="C48" s="589">
        <v>421</v>
      </c>
      <c r="D48" s="1166">
        <v>1038</v>
      </c>
      <c r="E48" s="1166">
        <v>1758</v>
      </c>
      <c r="F48" s="1166">
        <v>995</v>
      </c>
      <c r="G48" s="1166">
        <v>4623</v>
      </c>
      <c r="H48" s="1166">
        <v>730</v>
      </c>
      <c r="I48" s="1166">
        <v>4367</v>
      </c>
      <c r="J48" s="1166">
        <v>1514</v>
      </c>
      <c r="K48" s="1166">
        <v>557</v>
      </c>
      <c r="L48" s="1166">
        <v>1577</v>
      </c>
      <c r="M48" s="1166">
        <v>1079</v>
      </c>
      <c r="N48" s="590">
        <v>579</v>
      </c>
      <c r="O48" s="1166">
        <v>939</v>
      </c>
      <c r="P48" s="1166">
        <v>2041</v>
      </c>
      <c r="Q48" s="1166">
        <v>2120</v>
      </c>
      <c r="R48" s="1166">
        <v>3248</v>
      </c>
      <c r="S48" s="1166">
        <v>581</v>
      </c>
      <c r="T48" s="1166">
        <v>689</v>
      </c>
      <c r="U48" s="589">
        <v>496</v>
      </c>
      <c r="V48" s="1166">
        <v>1978</v>
      </c>
      <c r="W48" s="1166">
        <v>325</v>
      </c>
      <c r="X48" s="1238">
        <v>253</v>
      </c>
      <c r="Y48" s="1168">
        <v>28600</v>
      </c>
      <c r="Z48" s="586">
        <v>160150</v>
      </c>
    </row>
    <row r="49" spans="1:26" s="531" customFormat="1" ht="13.5" x14ac:dyDescent="0.2">
      <c r="A49" s="595">
        <v>22</v>
      </c>
      <c r="B49" s="783" t="s">
        <v>1059</v>
      </c>
      <c r="C49" s="589">
        <v>163</v>
      </c>
      <c r="D49" s="1166">
        <v>472</v>
      </c>
      <c r="E49" s="1166">
        <v>511</v>
      </c>
      <c r="F49" s="1166">
        <v>625</v>
      </c>
      <c r="G49" s="1166">
        <v>2114</v>
      </c>
      <c r="H49" s="1166">
        <v>329</v>
      </c>
      <c r="I49" s="1166">
        <v>1798</v>
      </c>
      <c r="J49" s="1166">
        <v>606</v>
      </c>
      <c r="K49" s="1166">
        <v>118</v>
      </c>
      <c r="L49" s="1166">
        <v>721</v>
      </c>
      <c r="M49" s="1166">
        <v>287</v>
      </c>
      <c r="N49" s="590">
        <v>301</v>
      </c>
      <c r="O49" s="1166">
        <v>382</v>
      </c>
      <c r="P49" s="1166">
        <v>707</v>
      </c>
      <c r="Q49" s="1166">
        <v>495</v>
      </c>
      <c r="R49" s="1166">
        <v>1222</v>
      </c>
      <c r="S49" s="1166">
        <v>309</v>
      </c>
      <c r="T49" s="1166">
        <v>299</v>
      </c>
      <c r="U49" s="589">
        <v>207</v>
      </c>
      <c r="V49" s="1166">
        <v>869</v>
      </c>
      <c r="W49" s="1166">
        <v>93</v>
      </c>
      <c r="X49" s="1238">
        <v>69</v>
      </c>
      <c r="Y49" s="1168">
        <v>11380</v>
      </c>
      <c r="Z49" s="586">
        <v>71410</v>
      </c>
    </row>
    <row r="50" spans="1:26" s="531" customFormat="1" ht="13.5" x14ac:dyDescent="0.2">
      <c r="A50" s="595">
        <v>23</v>
      </c>
      <c r="B50" s="783" t="s">
        <v>1060</v>
      </c>
      <c r="C50" s="589">
        <v>92</v>
      </c>
      <c r="D50" s="1166">
        <v>283</v>
      </c>
      <c r="E50" s="1166">
        <v>221</v>
      </c>
      <c r="F50" s="1212">
        <v>425</v>
      </c>
      <c r="G50" s="1166">
        <v>1456</v>
      </c>
      <c r="H50" s="1166">
        <v>212</v>
      </c>
      <c r="I50" s="1166">
        <v>1410</v>
      </c>
      <c r="J50" s="1166">
        <v>358</v>
      </c>
      <c r="K50" s="1166">
        <v>115</v>
      </c>
      <c r="L50" s="1166">
        <v>539</v>
      </c>
      <c r="M50" s="1166">
        <v>194</v>
      </c>
      <c r="N50" s="590">
        <v>257</v>
      </c>
      <c r="O50" s="1166">
        <v>305</v>
      </c>
      <c r="P50" s="1166">
        <v>637</v>
      </c>
      <c r="Q50" s="1166">
        <v>351</v>
      </c>
      <c r="R50" s="1166">
        <v>653</v>
      </c>
      <c r="S50" s="1166">
        <v>215</v>
      </c>
      <c r="T50" s="1166">
        <v>137</v>
      </c>
      <c r="U50" s="589">
        <v>178</v>
      </c>
      <c r="V50" s="1166">
        <v>510</v>
      </c>
      <c r="W50" s="1166">
        <v>73</v>
      </c>
      <c r="X50" s="1238">
        <v>63</v>
      </c>
      <c r="Y50" s="1168">
        <v>7690</v>
      </c>
      <c r="Z50" s="586">
        <v>53370</v>
      </c>
    </row>
    <row r="51" spans="1:26" s="531" customFormat="1" ht="13.5" x14ac:dyDescent="0.2">
      <c r="A51" s="595" t="s">
        <v>482</v>
      </c>
      <c r="B51" s="783" t="s">
        <v>1061</v>
      </c>
      <c r="C51" s="589">
        <v>122</v>
      </c>
      <c r="D51" s="1166">
        <v>309</v>
      </c>
      <c r="E51" s="1166">
        <v>332</v>
      </c>
      <c r="F51" s="1166">
        <v>469</v>
      </c>
      <c r="G51" s="1166">
        <v>1354</v>
      </c>
      <c r="H51" s="1166">
        <v>254</v>
      </c>
      <c r="I51" s="1166">
        <v>1242</v>
      </c>
      <c r="J51" s="1166">
        <v>475</v>
      </c>
      <c r="K51" s="1166">
        <v>57</v>
      </c>
      <c r="L51" s="1166">
        <v>569</v>
      </c>
      <c r="M51" s="1166">
        <v>232</v>
      </c>
      <c r="N51" s="590">
        <v>204</v>
      </c>
      <c r="O51" s="1166">
        <v>112</v>
      </c>
      <c r="P51" s="1166">
        <v>522</v>
      </c>
      <c r="Q51" s="1166">
        <v>324</v>
      </c>
      <c r="R51" s="1166">
        <v>995</v>
      </c>
      <c r="S51" s="1166">
        <v>213</v>
      </c>
      <c r="T51" s="1166">
        <v>151</v>
      </c>
      <c r="U51" s="589">
        <v>126</v>
      </c>
      <c r="V51" s="1166">
        <v>502</v>
      </c>
      <c r="W51" s="1166">
        <v>64</v>
      </c>
      <c r="X51" s="1238">
        <v>48</v>
      </c>
      <c r="Y51" s="529">
        <v>7800</v>
      </c>
      <c r="Z51" s="586">
        <v>49700</v>
      </c>
    </row>
    <row r="52" spans="1:26" s="531" customFormat="1" ht="13.5" x14ac:dyDescent="0.2">
      <c r="A52" s="595" t="s">
        <v>484</v>
      </c>
      <c r="B52" s="779" t="s">
        <v>1062</v>
      </c>
      <c r="C52" s="589">
        <v>104</v>
      </c>
      <c r="D52" s="1166">
        <v>208</v>
      </c>
      <c r="E52" s="1166">
        <v>217</v>
      </c>
      <c r="F52" s="1166">
        <v>381</v>
      </c>
      <c r="G52" s="1166">
        <v>948</v>
      </c>
      <c r="H52" s="1166">
        <v>196</v>
      </c>
      <c r="I52" s="1166">
        <v>827</v>
      </c>
      <c r="J52" s="1166">
        <v>351</v>
      </c>
      <c r="K52" s="1166">
        <v>34</v>
      </c>
      <c r="L52" s="1166">
        <v>418</v>
      </c>
      <c r="M52" s="1166">
        <v>166</v>
      </c>
      <c r="N52" s="590">
        <v>134</v>
      </c>
      <c r="O52" s="1166">
        <v>75</v>
      </c>
      <c r="P52" s="1166">
        <v>331</v>
      </c>
      <c r="Q52" s="1166">
        <v>206</v>
      </c>
      <c r="R52" s="1166">
        <v>712</v>
      </c>
      <c r="S52" s="1166">
        <v>151</v>
      </c>
      <c r="T52" s="1166">
        <v>95</v>
      </c>
      <c r="U52" s="589">
        <v>95</v>
      </c>
      <c r="V52" s="1166">
        <v>353</v>
      </c>
      <c r="W52" s="1166">
        <v>51</v>
      </c>
      <c r="X52" s="1238">
        <v>34</v>
      </c>
      <c r="Y52" s="1168">
        <v>5500</v>
      </c>
      <c r="Z52" s="586">
        <v>34600</v>
      </c>
    </row>
    <row r="53" spans="1:26" s="531" customFormat="1" ht="13.5" x14ac:dyDescent="0.2">
      <c r="A53" s="595" t="s">
        <v>486</v>
      </c>
      <c r="B53" s="779" t="s">
        <v>1063</v>
      </c>
      <c r="C53" s="589">
        <v>104</v>
      </c>
      <c r="D53" s="1166">
        <v>208</v>
      </c>
      <c r="E53" s="1166">
        <v>171</v>
      </c>
      <c r="F53" s="1212">
        <v>378</v>
      </c>
      <c r="G53" s="1166">
        <v>818</v>
      </c>
      <c r="H53" s="1166">
        <v>174</v>
      </c>
      <c r="I53" s="1166">
        <v>822</v>
      </c>
      <c r="J53" s="1166">
        <v>338</v>
      </c>
      <c r="K53" s="1166">
        <v>34</v>
      </c>
      <c r="L53" s="1166">
        <v>399</v>
      </c>
      <c r="M53" s="1166">
        <v>165</v>
      </c>
      <c r="N53" s="590">
        <v>132</v>
      </c>
      <c r="O53" s="1166">
        <v>61</v>
      </c>
      <c r="P53" s="1166">
        <v>331</v>
      </c>
      <c r="Q53" s="1166">
        <v>151</v>
      </c>
      <c r="R53" s="1166">
        <v>606</v>
      </c>
      <c r="S53" s="1166">
        <v>141</v>
      </c>
      <c r="T53" s="1166">
        <v>92</v>
      </c>
      <c r="U53" s="589">
        <v>95</v>
      </c>
      <c r="V53" s="1166">
        <v>346</v>
      </c>
      <c r="W53" s="1166">
        <v>50</v>
      </c>
      <c r="X53" s="1238">
        <v>34</v>
      </c>
      <c r="Y53" s="1168">
        <v>5100</v>
      </c>
      <c r="Z53" s="586">
        <v>32600</v>
      </c>
    </row>
    <row r="54" spans="1:26" s="531" customFormat="1" ht="13.5" x14ac:dyDescent="0.2">
      <c r="A54" s="595" t="s">
        <v>488</v>
      </c>
      <c r="B54" s="779" t="s">
        <v>1064</v>
      </c>
      <c r="C54" s="1240"/>
      <c r="D54" s="1231"/>
      <c r="E54" s="1231"/>
      <c r="F54" s="1231"/>
      <c r="G54" s="1231"/>
      <c r="H54" s="1231"/>
      <c r="I54" s="1231"/>
      <c r="J54" s="1231"/>
      <c r="K54" s="1231"/>
      <c r="L54" s="1231"/>
      <c r="M54" s="1231"/>
      <c r="N54" s="1241"/>
      <c r="O54" s="1231"/>
      <c r="P54" s="1231"/>
      <c r="Q54" s="1231"/>
      <c r="R54" s="1231"/>
      <c r="S54" s="1231"/>
      <c r="T54" s="1231"/>
      <c r="U54" s="1240"/>
      <c r="V54" s="1231"/>
      <c r="W54" s="1231"/>
      <c r="X54" s="1242"/>
      <c r="Y54" s="1234"/>
      <c r="Z54" s="1232"/>
    </row>
    <row r="55" spans="1:26" s="531" customFormat="1" ht="13.5" x14ac:dyDescent="0.2">
      <c r="A55" s="595" t="s">
        <v>490</v>
      </c>
      <c r="B55" s="1243" t="s">
        <v>1065</v>
      </c>
      <c r="C55" s="1240"/>
      <c r="D55" s="1231"/>
      <c r="E55" s="1231"/>
      <c r="F55" s="1231"/>
      <c r="G55" s="1231"/>
      <c r="H55" s="1231"/>
      <c r="I55" s="1231"/>
      <c r="J55" s="1231"/>
      <c r="K55" s="1231"/>
      <c r="L55" s="1231"/>
      <c r="M55" s="1231"/>
      <c r="N55" s="1241"/>
      <c r="O55" s="1231"/>
      <c r="P55" s="1231"/>
      <c r="Q55" s="1231"/>
      <c r="R55" s="1231"/>
      <c r="S55" s="1231"/>
      <c r="T55" s="1231"/>
      <c r="U55" s="1240"/>
      <c r="V55" s="1231"/>
      <c r="W55" s="1231"/>
      <c r="X55" s="1242"/>
      <c r="Y55" s="1234"/>
      <c r="Z55" s="1232"/>
    </row>
    <row r="56" spans="1:26" s="531" customFormat="1" ht="13.5" x14ac:dyDescent="0.2">
      <c r="A56" s="595" t="s">
        <v>492</v>
      </c>
      <c r="B56" s="779" t="s">
        <v>1066</v>
      </c>
      <c r="C56" s="589">
        <v>130</v>
      </c>
      <c r="D56" s="1166">
        <v>349</v>
      </c>
      <c r="E56" s="1166">
        <v>354</v>
      </c>
      <c r="F56" s="1166">
        <v>686</v>
      </c>
      <c r="G56" s="1166">
        <v>1586</v>
      </c>
      <c r="H56" s="1166">
        <v>194</v>
      </c>
      <c r="I56" s="1166">
        <v>1562</v>
      </c>
      <c r="J56" s="1166">
        <v>422</v>
      </c>
      <c r="K56" s="1166">
        <v>73</v>
      </c>
      <c r="L56" s="1166">
        <v>569</v>
      </c>
      <c r="M56" s="1166">
        <v>256</v>
      </c>
      <c r="N56" s="590">
        <v>202</v>
      </c>
      <c r="O56" s="1166">
        <v>193</v>
      </c>
      <c r="P56" s="1166">
        <v>511</v>
      </c>
      <c r="Q56" s="1166">
        <v>171</v>
      </c>
      <c r="R56" s="1166">
        <v>996</v>
      </c>
      <c r="S56" s="1166">
        <v>263</v>
      </c>
      <c r="T56" s="1166">
        <v>252</v>
      </c>
      <c r="U56" s="589">
        <v>156</v>
      </c>
      <c r="V56" s="1166">
        <v>736</v>
      </c>
      <c r="W56" s="1166">
        <v>114</v>
      </c>
      <c r="X56" s="1238">
        <v>108</v>
      </c>
      <c r="Y56" s="1168">
        <v>8860</v>
      </c>
      <c r="Z56" s="586">
        <v>60400</v>
      </c>
    </row>
    <row r="57" spans="1:26" s="531" customFormat="1" ht="13.5" x14ac:dyDescent="0.2">
      <c r="A57" s="595" t="s">
        <v>494</v>
      </c>
      <c r="B57" s="779" t="s">
        <v>1067</v>
      </c>
      <c r="C57" s="589">
        <v>7</v>
      </c>
      <c r="D57" s="1166">
        <v>10</v>
      </c>
      <c r="E57" s="1166">
        <v>10</v>
      </c>
      <c r="F57" s="1166">
        <v>73</v>
      </c>
      <c r="G57" s="1166">
        <v>43</v>
      </c>
      <c r="H57" s="1166">
        <v>7</v>
      </c>
      <c r="I57" s="1166">
        <v>34</v>
      </c>
      <c r="J57" s="1166">
        <v>22</v>
      </c>
      <c r="K57" s="1166">
        <v>0</v>
      </c>
      <c r="L57" s="1166">
        <v>36</v>
      </c>
      <c r="M57" s="1166">
        <v>23</v>
      </c>
      <c r="N57" s="590">
        <v>14</v>
      </c>
      <c r="O57" s="1166" t="s">
        <v>73</v>
      </c>
      <c r="P57" s="1166">
        <v>17</v>
      </c>
      <c r="Q57" s="1166">
        <v>0</v>
      </c>
      <c r="R57" s="1166">
        <v>65</v>
      </c>
      <c r="S57" s="1166" t="s">
        <v>73</v>
      </c>
      <c r="T57" s="1166">
        <v>7</v>
      </c>
      <c r="U57" s="589" t="s">
        <v>73</v>
      </c>
      <c r="V57" s="1166">
        <v>17</v>
      </c>
      <c r="W57" s="1166" t="s">
        <v>73</v>
      </c>
      <c r="X57" s="1238" t="s">
        <v>73</v>
      </c>
      <c r="Y57" s="1168">
        <v>380</v>
      </c>
      <c r="Z57" s="586">
        <v>2250</v>
      </c>
    </row>
    <row r="58" spans="1:26" s="531" customFormat="1" ht="13.5" x14ac:dyDescent="0.2">
      <c r="A58" s="595" t="s">
        <v>232</v>
      </c>
      <c r="B58" s="779" t="s">
        <v>1068</v>
      </c>
      <c r="C58" s="589">
        <v>144</v>
      </c>
      <c r="D58" s="1166">
        <v>371</v>
      </c>
      <c r="E58" s="1166">
        <v>446</v>
      </c>
      <c r="F58" s="1166">
        <v>538</v>
      </c>
      <c r="G58" s="1166">
        <v>1838</v>
      </c>
      <c r="H58" s="1166">
        <v>285</v>
      </c>
      <c r="I58" s="1166">
        <v>1624</v>
      </c>
      <c r="J58" s="1166">
        <v>539</v>
      </c>
      <c r="K58" s="1166">
        <v>97</v>
      </c>
      <c r="L58" s="1166">
        <v>634</v>
      </c>
      <c r="M58" s="1166">
        <v>258</v>
      </c>
      <c r="N58" s="590">
        <v>252</v>
      </c>
      <c r="O58" s="1166">
        <v>173</v>
      </c>
      <c r="P58" s="1166">
        <v>622</v>
      </c>
      <c r="Q58" s="1166">
        <v>495</v>
      </c>
      <c r="R58" s="1166">
        <v>1064</v>
      </c>
      <c r="S58" s="1166">
        <v>266</v>
      </c>
      <c r="T58" s="1166">
        <v>233</v>
      </c>
      <c r="U58" s="589">
        <v>171</v>
      </c>
      <c r="V58" s="1166">
        <v>729</v>
      </c>
      <c r="W58" s="1166">
        <v>89</v>
      </c>
      <c r="X58" s="1238">
        <v>61</v>
      </c>
      <c r="Y58" s="1168">
        <v>9810</v>
      </c>
      <c r="Z58" s="586">
        <v>62210</v>
      </c>
    </row>
    <row r="59" spans="1:26" s="531" customFormat="1" ht="13.5" x14ac:dyDescent="0.2">
      <c r="A59" s="595" t="s">
        <v>233</v>
      </c>
      <c r="B59" s="779" t="s">
        <v>1069</v>
      </c>
      <c r="C59" s="589">
        <v>20</v>
      </c>
      <c r="D59" s="1166">
        <v>81</v>
      </c>
      <c r="E59" s="1166">
        <v>75</v>
      </c>
      <c r="F59" s="1166">
        <v>110</v>
      </c>
      <c r="G59" s="1166">
        <v>300</v>
      </c>
      <c r="H59" s="1166">
        <v>44</v>
      </c>
      <c r="I59" s="1166">
        <v>299</v>
      </c>
      <c r="J59" s="1166">
        <v>80</v>
      </c>
      <c r="K59" s="1166">
        <v>8</v>
      </c>
      <c r="L59" s="1166">
        <v>105</v>
      </c>
      <c r="M59" s="1166">
        <v>47</v>
      </c>
      <c r="N59" s="590">
        <v>60</v>
      </c>
      <c r="O59" s="1166">
        <v>25</v>
      </c>
      <c r="P59" s="1166">
        <v>124</v>
      </c>
      <c r="Q59" s="1166">
        <v>18</v>
      </c>
      <c r="R59" s="1166">
        <v>181</v>
      </c>
      <c r="S59" s="1166">
        <v>51</v>
      </c>
      <c r="T59" s="1166">
        <v>39</v>
      </c>
      <c r="U59" s="589">
        <v>34</v>
      </c>
      <c r="V59" s="1166">
        <v>166</v>
      </c>
      <c r="W59" s="1166">
        <v>10</v>
      </c>
      <c r="X59" s="1238">
        <v>10</v>
      </c>
      <c r="Y59" s="1168">
        <v>1670</v>
      </c>
      <c r="Z59" s="586">
        <v>10310</v>
      </c>
    </row>
    <row r="60" spans="1:26" s="531" customFormat="1" ht="13.5" x14ac:dyDescent="0.2">
      <c r="A60" s="595" t="s">
        <v>234</v>
      </c>
      <c r="B60" s="779" t="s">
        <v>1070</v>
      </c>
      <c r="C60" s="1213"/>
      <c r="D60" s="1214"/>
      <c r="E60" s="1214"/>
      <c r="F60" s="1214"/>
      <c r="G60" s="1214"/>
      <c r="H60" s="1214"/>
      <c r="I60" s="1214"/>
      <c r="J60" s="1214"/>
      <c r="K60" s="1214"/>
      <c r="L60" s="1214"/>
      <c r="M60" s="1214"/>
      <c r="N60" s="1217"/>
      <c r="O60" s="1214"/>
      <c r="P60" s="1214"/>
      <c r="Q60" s="1214"/>
      <c r="R60" s="1214"/>
      <c r="S60" s="1214"/>
      <c r="T60" s="1214"/>
      <c r="U60" s="1213"/>
      <c r="V60" s="1214"/>
      <c r="W60" s="1214"/>
      <c r="X60" s="1236"/>
      <c r="Y60" s="1215"/>
      <c r="Z60" s="1216"/>
    </row>
    <row r="61" spans="1:26" s="531" customFormat="1" ht="13.5" x14ac:dyDescent="0.2">
      <c r="A61" s="595" t="s">
        <v>235</v>
      </c>
      <c r="B61" s="779" t="s">
        <v>1071</v>
      </c>
      <c r="C61" s="589">
        <v>104</v>
      </c>
      <c r="D61" s="1166">
        <v>472</v>
      </c>
      <c r="E61" s="1166">
        <v>435</v>
      </c>
      <c r="F61" s="1166">
        <v>546</v>
      </c>
      <c r="G61" s="1166">
        <v>1333</v>
      </c>
      <c r="H61" s="1166">
        <v>202</v>
      </c>
      <c r="I61" s="1166">
        <v>1867</v>
      </c>
      <c r="J61" s="1166">
        <v>426</v>
      </c>
      <c r="K61" s="1166">
        <v>339</v>
      </c>
      <c r="L61" s="1166">
        <v>510</v>
      </c>
      <c r="M61" s="1166">
        <v>320</v>
      </c>
      <c r="N61" s="590">
        <v>209</v>
      </c>
      <c r="O61" s="1166">
        <v>196</v>
      </c>
      <c r="P61" s="1166">
        <v>487</v>
      </c>
      <c r="Q61" s="1166">
        <v>582</v>
      </c>
      <c r="R61" s="1166">
        <v>779</v>
      </c>
      <c r="S61" s="1166">
        <v>250</v>
      </c>
      <c r="T61" s="1166">
        <v>306</v>
      </c>
      <c r="U61" s="589">
        <v>171</v>
      </c>
      <c r="V61" s="1166">
        <v>644</v>
      </c>
      <c r="W61" s="1166">
        <v>99</v>
      </c>
      <c r="X61" s="1238">
        <v>75</v>
      </c>
      <c r="Y61" s="1168">
        <v>9310</v>
      </c>
      <c r="Z61" s="586">
        <v>69470</v>
      </c>
    </row>
    <row r="62" spans="1:26" s="531" customFormat="1" ht="18" customHeight="1" x14ac:dyDescent="0.2">
      <c r="A62" s="1157"/>
      <c r="B62" s="1155" t="s">
        <v>933</v>
      </c>
      <c r="C62" s="1220"/>
      <c r="D62" s="1221"/>
      <c r="E62" s="1221"/>
      <c r="F62" s="1221"/>
      <c r="G62" s="1221"/>
      <c r="H62" s="1221"/>
      <c r="I62" s="1221"/>
      <c r="J62" s="1221"/>
      <c r="K62" s="1221"/>
      <c r="L62" s="1221"/>
      <c r="M62" s="1221"/>
      <c r="N62" s="1222"/>
      <c r="O62" s="1221"/>
      <c r="P62" s="1221"/>
      <c r="Q62" s="1221"/>
      <c r="R62" s="1221"/>
      <c r="S62" s="1221"/>
      <c r="T62" s="1221"/>
      <c r="U62" s="1220"/>
      <c r="V62" s="1221"/>
      <c r="W62" s="1221"/>
      <c r="X62" s="1221"/>
      <c r="Y62" s="529">
        <f t="shared" ref="Y62" si="0">SUM(C62:O62,Q62:R62,U62:X62)</f>
        <v>0</v>
      </c>
      <c r="Z62" s="1151"/>
    </row>
    <row r="63" spans="1:26" s="531" customFormat="1" ht="13.5" x14ac:dyDescent="0.2">
      <c r="A63" s="595" t="s">
        <v>500</v>
      </c>
      <c r="B63" s="779" t="s">
        <v>1072</v>
      </c>
      <c r="C63" s="589" t="s">
        <v>73</v>
      </c>
      <c r="D63" s="1166">
        <v>35</v>
      </c>
      <c r="E63" s="1166">
        <v>20</v>
      </c>
      <c r="F63" s="1166">
        <v>25</v>
      </c>
      <c r="G63" s="1166">
        <v>70</v>
      </c>
      <c r="H63" s="1166">
        <v>10</v>
      </c>
      <c r="I63" s="1166">
        <v>75</v>
      </c>
      <c r="J63" s="1166">
        <v>30</v>
      </c>
      <c r="K63" s="1166">
        <v>15</v>
      </c>
      <c r="L63" s="1166">
        <v>30</v>
      </c>
      <c r="M63" s="1166">
        <v>25</v>
      </c>
      <c r="N63" s="590">
        <v>15</v>
      </c>
      <c r="O63" s="1166">
        <v>15</v>
      </c>
      <c r="P63" s="1166">
        <v>30</v>
      </c>
      <c r="Q63" s="1166">
        <v>35</v>
      </c>
      <c r="R63" s="1166">
        <v>30</v>
      </c>
      <c r="S63" s="1166">
        <v>10</v>
      </c>
      <c r="T63" s="1166">
        <v>20</v>
      </c>
      <c r="U63" s="589">
        <v>5</v>
      </c>
      <c r="V63" s="1166">
        <v>40</v>
      </c>
      <c r="W63" s="1166" t="s">
        <v>73</v>
      </c>
      <c r="X63" s="1238" t="s">
        <v>73</v>
      </c>
      <c r="Y63" s="1168">
        <v>490</v>
      </c>
      <c r="Z63" s="586">
        <v>3710</v>
      </c>
    </row>
    <row r="64" spans="1:26" s="531" customFormat="1" ht="13.5" x14ac:dyDescent="0.2">
      <c r="A64" s="595"/>
      <c r="B64" s="779" t="s">
        <v>1073</v>
      </c>
      <c r="C64" s="589">
        <v>15</v>
      </c>
      <c r="D64" s="1166">
        <v>55</v>
      </c>
      <c r="E64" s="1166">
        <v>65</v>
      </c>
      <c r="F64" s="1166">
        <v>75</v>
      </c>
      <c r="G64" s="1166">
        <v>195</v>
      </c>
      <c r="H64" s="1166">
        <v>35</v>
      </c>
      <c r="I64" s="1166">
        <v>130</v>
      </c>
      <c r="J64" s="1166">
        <v>75</v>
      </c>
      <c r="K64" s="1166">
        <v>40</v>
      </c>
      <c r="L64" s="1166">
        <v>65</v>
      </c>
      <c r="M64" s="1166">
        <v>60</v>
      </c>
      <c r="N64" s="590">
        <v>25</v>
      </c>
      <c r="O64" s="1166">
        <v>30</v>
      </c>
      <c r="P64" s="1166">
        <v>75</v>
      </c>
      <c r="Q64" s="1166">
        <v>145</v>
      </c>
      <c r="R64" s="1166">
        <v>95</v>
      </c>
      <c r="S64" s="1166">
        <v>30</v>
      </c>
      <c r="T64" s="1166">
        <v>40</v>
      </c>
      <c r="U64" s="589">
        <v>20</v>
      </c>
      <c r="V64" s="1166">
        <v>70</v>
      </c>
      <c r="W64" s="1166">
        <v>10</v>
      </c>
      <c r="X64" s="1238" t="s">
        <v>73</v>
      </c>
      <c r="Y64" s="1168">
        <v>1210</v>
      </c>
      <c r="Z64" s="586">
        <v>10120</v>
      </c>
    </row>
    <row r="65" spans="1:26" s="531" customFormat="1" ht="13.5" x14ac:dyDescent="0.2">
      <c r="A65" s="595"/>
      <c r="B65" s="779" t="s">
        <v>1074</v>
      </c>
      <c r="C65" s="589">
        <v>15</v>
      </c>
      <c r="D65" s="1166">
        <v>90</v>
      </c>
      <c r="E65" s="1166">
        <v>80</v>
      </c>
      <c r="F65" s="1166">
        <v>125</v>
      </c>
      <c r="G65" s="1166">
        <v>290</v>
      </c>
      <c r="H65" s="1166">
        <v>30</v>
      </c>
      <c r="I65" s="1166">
        <v>320</v>
      </c>
      <c r="J65" s="1166">
        <v>100</v>
      </c>
      <c r="K65" s="1166">
        <v>80</v>
      </c>
      <c r="L65" s="1166">
        <v>75</v>
      </c>
      <c r="M65" s="1166">
        <v>70</v>
      </c>
      <c r="N65" s="590">
        <v>50</v>
      </c>
      <c r="O65" s="1166">
        <v>40</v>
      </c>
      <c r="P65" s="1166">
        <v>85</v>
      </c>
      <c r="Q65" s="1166">
        <v>155</v>
      </c>
      <c r="R65" s="1166">
        <v>115</v>
      </c>
      <c r="S65" s="1166">
        <v>45</v>
      </c>
      <c r="T65" s="1166">
        <v>70</v>
      </c>
      <c r="U65" s="589">
        <v>30</v>
      </c>
      <c r="V65" s="1166">
        <v>90</v>
      </c>
      <c r="W65" s="1166">
        <v>20</v>
      </c>
      <c r="X65" s="1238">
        <v>10</v>
      </c>
      <c r="Y65" s="1168">
        <v>1790</v>
      </c>
      <c r="Z65" s="586">
        <v>14310</v>
      </c>
    </row>
    <row r="66" spans="1:26" s="531" customFormat="1" ht="13.5" x14ac:dyDescent="0.2">
      <c r="A66" s="595"/>
      <c r="B66" s="779" t="s">
        <v>1075</v>
      </c>
      <c r="C66" s="589">
        <v>45</v>
      </c>
      <c r="D66" s="1166">
        <v>185</v>
      </c>
      <c r="E66" s="1166">
        <v>165</v>
      </c>
      <c r="F66" s="1166">
        <v>220</v>
      </c>
      <c r="G66" s="1166">
        <v>505</v>
      </c>
      <c r="H66" s="1166">
        <v>80</v>
      </c>
      <c r="I66" s="1166">
        <v>705</v>
      </c>
      <c r="J66" s="1166">
        <v>150</v>
      </c>
      <c r="K66" s="1166">
        <v>115</v>
      </c>
      <c r="L66" s="1166">
        <v>205</v>
      </c>
      <c r="M66" s="1166">
        <v>110</v>
      </c>
      <c r="N66" s="590">
        <v>70</v>
      </c>
      <c r="O66" s="1166">
        <v>70</v>
      </c>
      <c r="P66" s="1166">
        <v>200</v>
      </c>
      <c r="Q66" s="1166">
        <v>180</v>
      </c>
      <c r="R66" s="1166">
        <v>320</v>
      </c>
      <c r="S66" s="1166">
        <v>90</v>
      </c>
      <c r="T66" s="1166">
        <v>115</v>
      </c>
      <c r="U66" s="589">
        <v>70</v>
      </c>
      <c r="V66" s="1166">
        <v>250</v>
      </c>
      <c r="W66" s="1166">
        <v>40</v>
      </c>
      <c r="X66" s="1238">
        <v>45</v>
      </c>
      <c r="Y66" s="1168">
        <v>3530</v>
      </c>
      <c r="Z66" s="586">
        <v>26140</v>
      </c>
    </row>
    <row r="67" spans="1:26" s="531" customFormat="1" ht="13.5" x14ac:dyDescent="0.2">
      <c r="A67" s="595"/>
      <c r="B67" s="779" t="s">
        <v>1076</v>
      </c>
      <c r="C67" s="589">
        <v>25</v>
      </c>
      <c r="D67" s="1166">
        <v>110</v>
      </c>
      <c r="E67" s="1166">
        <v>100</v>
      </c>
      <c r="F67" s="1166">
        <v>100</v>
      </c>
      <c r="G67" s="1166">
        <v>280</v>
      </c>
      <c r="H67" s="1166">
        <v>50</v>
      </c>
      <c r="I67" s="1166">
        <v>640</v>
      </c>
      <c r="J67" s="1166">
        <v>70</v>
      </c>
      <c r="K67" s="1166">
        <v>85</v>
      </c>
      <c r="L67" s="1166">
        <v>140</v>
      </c>
      <c r="M67" s="1166">
        <v>55</v>
      </c>
      <c r="N67" s="590">
        <v>45</v>
      </c>
      <c r="O67" s="1166">
        <v>40</v>
      </c>
      <c r="P67" s="1166">
        <v>100</v>
      </c>
      <c r="Q67" s="1166">
        <v>70</v>
      </c>
      <c r="R67" s="1166">
        <v>220</v>
      </c>
      <c r="S67" s="1166">
        <v>75</v>
      </c>
      <c r="T67" s="1166">
        <v>60</v>
      </c>
      <c r="U67" s="589">
        <v>40</v>
      </c>
      <c r="V67" s="1166">
        <v>185</v>
      </c>
      <c r="W67" s="1166">
        <v>25</v>
      </c>
      <c r="X67" s="1238">
        <v>15</v>
      </c>
      <c r="Y67" s="1168">
        <v>2300</v>
      </c>
      <c r="Z67" s="586">
        <v>15270</v>
      </c>
    </row>
    <row r="68" spans="1:26" s="531" customFormat="1" ht="13.5" x14ac:dyDescent="0.2">
      <c r="A68" s="595" t="s">
        <v>236</v>
      </c>
      <c r="B68" s="779" t="s">
        <v>1077</v>
      </c>
      <c r="C68" s="589">
        <v>75</v>
      </c>
      <c r="D68" s="1166">
        <v>365</v>
      </c>
      <c r="E68" s="1166">
        <v>330</v>
      </c>
      <c r="F68" s="1166">
        <v>445</v>
      </c>
      <c r="G68" s="1166">
        <v>1060</v>
      </c>
      <c r="H68" s="1166">
        <v>155</v>
      </c>
      <c r="I68" s="1166">
        <v>1230</v>
      </c>
      <c r="J68" s="1166">
        <v>355</v>
      </c>
      <c r="K68" s="1166">
        <v>250</v>
      </c>
      <c r="L68" s="1166">
        <v>375</v>
      </c>
      <c r="M68" s="1166">
        <v>265</v>
      </c>
      <c r="N68" s="590">
        <v>160</v>
      </c>
      <c r="O68" s="1166">
        <v>155</v>
      </c>
      <c r="P68" s="1166">
        <v>390</v>
      </c>
      <c r="Q68" s="1166">
        <v>515</v>
      </c>
      <c r="R68" s="1166">
        <v>560</v>
      </c>
      <c r="S68" s="1166">
        <v>175</v>
      </c>
      <c r="T68" s="1166">
        <v>245</v>
      </c>
      <c r="U68" s="589">
        <v>125</v>
      </c>
      <c r="V68" s="1166">
        <v>450</v>
      </c>
      <c r="W68" s="1166">
        <v>70</v>
      </c>
      <c r="X68" s="1166">
        <v>55</v>
      </c>
      <c r="Y68" s="529">
        <v>7020</v>
      </c>
      <c r="Z68" s="586">
        <v>54280</v>
      </c>
    </row>
    <row r="69" spans="1:26" s="531" customFormat="1" ht="13.5" x14ac:dyDescent="0.2">
      <c r="A69" s="595" t="s">
        <v>704</v>
      </c>
      <c r="B69" s="779" t="s">
        <v>1078</v>
      </c>
      <c r="C69" s="589"/>
      <c r="D69" s="1166"/>
      <c r="E69" s="1166"/>
      <c r="F69" s="1166"/>
      <c r="G69" s="1166"/>
      <c r="H69" s="1166"/>
      <c r="I69" s="1166"/>
      <c r="J69" s="1166"/>
      <c r="K69" s="1166"/>
      <c r="L69" s="1166"/>
      <c r="M69" s="1166"/>
      <c r="N69" s="590"/>
      <c r="O69" s="1166"/>
      <c r="P69" s="1166"/>
      <c r="Q69" s="1166"/>
      <c r="R69" s="1166"/>
      <c r="S69" s="1166"/>
      <c r="T69" s="1166"/>
      <c r="U69" s="589"/>
      <c r="V69" s="1166"/>
      <c r="W69" s="1166"/>
      <c r="X69" s="1166"/>
      <c r="Y69" s="529"/>
      <c r="Z69" s="586"/>
    </row>
    <row r="70" spans="1:26" s="531" customFormat="1" ht="13.5" x14ac:dyDescent="0.2">
      <c r="A70" s="595" t="s">
        <v>705</v>
      </c>
      <c r="B70" s="779" t="s">
        <v>1079</v>
      </c>
      <c r="C70" s="588"/>
      <c r="D70" s="1166"/>
      <c r="E70" s="1166"/>
      <c r="F70" s="1166"/>
      <c r="G70" s="1166"/>
      <c r="H70" s="1166"/>
      <c r="I70" s="1166"/>
      <c r="J70" s="1166"/>
      <c r="K70" s="1166"/>
      <c r="L70" s="1166"/>
      <c r="M70" s="1166"/>
      <c r="N70" s="590"/>
      <c r="O70" s="1166"/>
      <c r="P70" s="1166"/>
      <c r="Q70" s="1166"/>
      <c r="R70" s="1166"/>
      <c r="S70" s="1166"/>
      <c r="T70" s="1166"/>
      <c r="U70" s="589"/>
      <c r="V70" s="1166"/>
      <c r="W70" s="1166"/>
      <c r="X70" s="1166"/>
      <c r="Y70" s="529"/>
      <c r="Z70" s="586"/>
    </row>
    <row r="71" spans="1:26" s="531" customFormat="1" ht="13.5" x14ac:dyDescent="0.2">
      <c r="A71" s="595" t="s">
        <v>706</v>
      </c>
      <c r="B71" s="779" t="s">
        <v>1080</v>
      </c>
      <c r="C71" s="589" t="s">
        <v>1252</v>
      </c>
      <c r="D71" s="1166">
        <v>10</v>
      </c>
      <c r="E71" s="1166">
        <v>18</v>
      </c>
      <c r="F71" s="1166">
        <v>6</v>
      </c>
      <c r="G71" s="1166">
        <v>20</v>
      </c>
      <c r="H71" s="1166">
        <v>0</v>
      </c>
      <c r="I71" s="1166">
        <v>367</v>
      </c>
      <c r="J71" s="1166" t="s">
        <v>1252</v>
      </c>
      <c r="K71" s="1166">
        <v>25</v>
      </c>
      <c r="L71" s="1166">
        <v>42</v>
      </c>
      <c r="M71" s="1166">
        <v>9</v>
      </c>
      <c r="N71" s="590" t="s">
        <v>1252</v>
      </c>
      <c r="O71" s="1166">
        <v>10</v>
      </c>
      <c r="P71" s="1166" t="s">
        <v>1252</v>
      </c>
      <c r="Q71" s="1166">
        <v>6</v>
      </c>
      <c r="R71" s="1166">
        <v>100</v>
      </c>
      <c r="S71" s="1166" t="s">
        <v>1252</v>
      </c>
      <c r="T71" s="1166">
        <v>0</v>
      </c>
      <c r="U71" s="589">
        <v>10</v>
      </c>
      <c r="V71" s="1166">
        <v>36</v>
      </c>
      <c r="W71" s="1166">
        <v>9</v>
      </c>
      <c r="X71" s="1166" t="s">
        <v>1252</v>
      </c>
      <c r="Y71" s="529">
        <v>680</v>
      </c>
      <c r="Z71" s="586">
        <v>2760</v>
      </c>
    </row>
    <row r="72" spans="1:26" s="531" customFormat="1" ht="13.5" x14ac:dyDescent="0.2">
      <c r="A72" s="595" t="s">
        <v>707</v>
      </c>
      <c r="B72" s="779" t="s">
        <v>1081</v>
      </c>
      <c r="C72" s="589"/>
      <c r="D72" s="1166"/>
      <c r="E72" s="1166"/>
      <c r="F72" s="1166"/>
      <c r="G72" s="1166"/>
      <c r="H72" s="1166"/>
      <c r="I72" s="1166"/>
      <c r="J72" s="1166"/>
      <c r="K72" s="1166"/>
      <c r="L72" s="1166"/>
      <c r="M72" s="1166"/>
      <c r="N72" s="590"/>
      <c r="O72" s="1166"/>
      <c r="P72" s="1166"/>
      <c r="Q72" s="1166"/>
      <c r="R72" s="1166"/>
      <c r="S72" s="1166"/>
      <c r="T72" s="1166"/>
      <c r="U72" s="589"/>
      <c r="V72" s="1166"/>
      <c r="W72" s="1166"/>
      <c r="X72" s="1238"/>
      <c r="Y72" s="1168"/>
      <c r="Z72" s="586"/>
    </row>
    <row r="73" spans="1:26" s="531" customFormat="1" ht="13.5" x14ac:dyDescent="0.2">
      <c r="A73" s="595" t="s">
        <v>237</v>
      </c>
      <c r="B73" s="779" t="s">
        <v>1082</v>
      </c>
      <c r="C73" s="1213"/>
      <c r="D73" s="1214"/>
      <c r="E73" s="1214"/>
      <c r="F73" s="1214"/>
      <c r="G73" s="1214"/>
      <c r="H73" s="1214"/>
      <c r="I73" s="1214"/>
      <c r="J73" s="1214"/>
      <c r="K73" s="1214"/>
      <c r="L73" s="1214"/>
      <c r="M73" s="1214"/>
      <c r="N73" s="1217"/>
      <c r="O73" s="1214"/>
      <c r="P73" s="1214"/>
      <c r="Q73" s="1214"/>
      <c r="R73" s="1214"/>
      <c r="S73" s="1214"/>
      <c r="T73" s="1214"/>
      <c r="U73" s="1213"/>
      <c r="V73" s="1214"/>
      <c r="W73" s="1214"/>
      <c r="X73" s="1236"/>
      <c r="Y73" s="1215"/>
      <c r="Z73" s="1216"/>
    </row>
    <row r="74" spans="1:26" s="531" customFormat="1" ht="13.5" x14ac:dyDescent="0.2">
      <c r="A74" s="595" t="s">
        <v>238</v>
      </c>
      <c r="B74" s="779" t="s">
        <v>1083</v>
      </c>
      <c r="C74" s="1213"/>
      <c r="D74" s="1214"/>
      <c r="E74" s="1214"/>
      <c r="F74" s="1214"/>
      <c r="G74" s="1214"/>
      <c r="H74" s="1214"/>
      <c r="I74" s="1214"/>
      <c r="J74" s="1214"/>
      <c r="K74" s="1214"/>
      <c r="L74" s="1214"/>
      <c r="M74" s="1214"/>
      <c r="N74" s="1217"/>
      <c r="O74" s="1214"/>
      <c r="P74" s="1214"/>
      <c r="Q74" s="1214"/>
      <c r="R74" s="1214"/>
      <c r="S74" s="1214"/>
      <c r="T74" s="1214"/>
      <c r="U74" s="1213"/>
      <c r="V74" s="1214"/>
      <c r="W74" s="1214"/>
      <c r="X74" s="1236"/>
      <c r="Y74" s="1215"/>
      <c r="Z74" s="1216"/>
    </row>
    <row r="75" spans="1:26" s="531" customFormat="1" ht="13.5" x14ac:dyDescent="0.2">
      <c r="A75" s="595" t="s">
        <v>708</v>
      </c>
      <c r="B75" s="779" t="s">
        <v>1084</v>
      </c>
      <c r="C75" s="589">
        <v>46</v>
      </c>
      <c r="D75" s="1166">
        <v>195</v>
      </c>
      <c r="E75" s="1166">
        <v>158</v>
      </c>
      <c r="F75" s="1166">
        <v>156</v>
      </c>
      <c r="G75" s="1166">
        <v>600</v>
      </c>
      <c r="H75" s="1166">
        <v>86</v>
      </c>
      <c r="I75" s="1166">
        <v>909</v>
      </c>
      <c r="J75" s="1166">
        <v>238</v>
      </c>
      <c r="K75" s="1166">
        <v>168</v>
      </c>
      <c r="L75" s="1166">
        <v>289</v>
      </c>
      <c r="M75" s="1166">
        <v>155</v>
      </c>
      <c r="N75" s="587">
        <v>84</v>
      </c>
      <c r="O75" s="1166">
        <v>119</v>
      </c>
      <c r="P75" s="1166">
        <v>287</v>
      </c>
      <c r="Q75" s="1166">
        <v>266</v>
      </c>
      <c r="R75" s="1166">
        <v>348</v>
      </c>
      <c r="S75" s="1166">
        <v>130</v>
      </c>
      <c r="T75" s="1166">
        <v>122</v>
      </c>
      <c r="U75" s="588">
        <v>81</v>
      </c>
      <c r="V75" s="1166">
        <v>366</v>
      </c>
      <c r="W75" s="1166">
        <v>39</v>
      </c>
      <c r="X75" s="1238">
        <v>41</v>
      </c>
      <c r="Y75" s="1168">
        <v>4340</v>
      </c>
      <c r="Z75" s="586">
        <v>31360</v>
      </c>
    </row>
    <row r="76" spans="1:26" s="531" customFormat="1" ht="13.5" x14ac:dyDescent="0.2">
      <c r="A76" s="595" t="s">
        <v>709</v>
      </c>
      <c r="B76" s="779" t="s">
        <v>1085</v>
      </c>
      <c r="C76" s="1240"/>
      <c r="D76" s="1231"/>
      <c r="E76" s="1231"/>
      <c r="F76" s="1231"/>
      <c r="G76" s="1231"/>
      <c r="H76" s="1231"/>
      <c r="I76" s="1231"/>
      <c r="J76" s="1231"/>
      <c r="K76" s="1231"/>
      <c r="L76" s="1231"/>
      <c r="M76" s="1231"/>
      <c r="N76" s="1241"/>
      <c r="O76" s="1231"/>
      <c r="P76" s="1231"/>
      <c r="Q76" s="1231"/>
      <c r="R76" s="1231"/>
      <c r="S76" s="1231"/>
      <c r="T76" s="1231"/>
      <c r="U76" s="1240"/>
      <c r="V76" s="1231"/>
      <c r="W76" s="1231"/>
      <c r="X76" s="1242"/>
      <c r="Y76" s="1234"/>
      <c r="Z76" s="1232"/>
    </row>
    <row r="77" spans="1:26" s="531" customFormat="1" ht="13.5" x14ac:dyDescent="0.2">
      <c r="A77" s="595" t="s">
        <v>710</v>
      </c>
      <c r="B77" s="779" t="s">
        <v>1086</v>
      </c>
      <c r="C77" s="1240"/>
      <c r="D77" s="1231"/>
      <c r="E77" s="1231"/>
      <c r="F77" s="1231"/>
      <c r="G77" s="1231"/>
      <c r="H77" s="1231"/>
      <c r="I77" s="1231"/>
      <c r="J77" s="1231"/>
      <c r="K77" s="1231"/>
      <c r="L77" s="1231"/>
      <c r="M77" s="1231"/>
      <c r="N77" s="1241"/>
      <c r="O77" s="1231"/>
      <c r="P77" s="1231"/>
      <c r="Q77" s="1231"/>
      <c r="R77" s="1231"/>
      <c r="S77" s="1231"/>
      <c r="T77" s="1231"/>
      <c r="U77" s="1240"/>
      <c r="V77" s="1231"/>
      <c r="W77" s="1231"/>
      <c r="X77" s="1242"/>
      <c r="Y77" s="1234"/>
      <c r="Z77" s="1232"/>
    </row>
    <row r="78" spans="1:26" s="531" customFormat="1" ht="13.5" x14ac:dyDescent="0.2">
      <c r="A78" s="595">
        <v>30</v>
      </c>
      <c r="B78" s="785" t="s">
        <v>1087</v>
      </c>
      <c r="C78" s="591">
        <v>5</v>
      </c>
      <c r="D78" s="1166">
        <v>25</v>
      </c>
      <c r="E78" s="1166">
        <v>25</v>
      </c>
      <c r="F78" s="1166">
        <v>40</v>
      </c>
      <c r="G78" s="1166">
        <v>70</v>
      </c>
      <c r="H78" s="1166">
        <v>10</v>
      </c>
      <c r="I78" s="1166">
        <v>70</v>
      </c>
      <c r="J78" s="1166">
        <v>20</v>
      </c>
      <c r="K78" s="1166">
        <v>10</v>
      </c>
      <c r="L78" s="1166">
        <v>30</v>
      </c>
      <c r="M78" s="1166">
        <v>15</v>
      </c>
      <c r="N78" s="590">
        <v>20</v>
      </c>
      <c r="O78" s="1166" t="s">
        <v>73</v>
      </c>
      <c r="P78" s="1166">
        <v>25</v>
      </c>
      <c r="Q78" s="1166">
        <v>50</v>
      </c>
      <c r="R78" s="1166">
        <v>40</v>
      </c>
      <c r="S78" s="1166" t="s">
        <v>73</v>
      </c>
      <c r="T78" s="1166">
        <v>20</v>
      </c>
      <c r="U78" s="589" t="s">
        <v>73</v>
      </c>
      <c r="V78" s="1166">
        <v>30</v>
      </c>
      <c r="W78" s="1166">
        <v>10</v>
      </c>
      <c r="X78" s="1238" t="s">
        <v>73</v>
      </c>
      <c r="Y78" s="1168">
        <v>500</v>
      </c>
      <c r="Z78" s="586">
        <v>3320</v>
      </c>
    </row>
    <row r="79" spans="1:26" s="531" customFormat="1" ht="13.5" x14ac:dyDescent="0.2">
      <c r="A79" s="595">
        <v>31</v>
      </c>
      <c r="B79" s="785" t="s">
        <v>1088</v>
      </c>
      <c r="C79" s="588">
        <v>58</v>
      </c>
      <c r="D79" s="1166">
        <v>192</v>
      </c>
      <c r="E79" s="1166">
        <v>162</v>
      </c>
      <c r="F79" s="1166">
        <v>189</v>
      </c>
      <c r="G79" s="1166">
        <v>546</v>
      </c>
      <c r="H79" s="1166">
        <v>79</v>
      </c>
      <c r="I79" s="1166">
        <v>877</v>
      </c>
      <c r="J79" s="1166">
        <v>195</v>
      </c>
      <c r="K79" s="1166">
        <v>137</v>
      </c>
      <c r="L79" s="1166">
        <v>249</v>
      </c>
      <c r="M79" s="1166">
        <v>164</v>
      </c>
      <c r="N79" s="590">
        <v>84</v>
      </c>
      <c r="O79" s="1166">
        <v>113</v>
      </c>
      <c r="P79" s="1166">
        <v>299</v>
      </c>
      <c r="Q79" s="1166">
        <v>192</v>
      </c>
      <c r="R79" s="1166">
        <v>374</v>
      </c>
      <c r="S79" s="1166">
        <v>135</v>
      </c>
      <c r="T79" s="1166">
        <v>124</v>
      </c>
      <c r="U79" s="589">
        <v>65</v>
      </c>
      <c r="V79" s="1166">
        <v>328</v>
      </c>
      <c r="W79" s="1166">
        <v>47</v>
      </c>
      <c r="X79" s="1238">
        <v>39</v>
      </c>
      <c r="Y79" s="1168">
        <v>4090</v>
      </c>
      <c r="Z79" s="586">
        <v>31350</v>
      </c>
    </row>
    <row r="80" spans="1:26" s="531" customFormat="1" ht="13.5" x14ac:dyDescent="0.2">
      <c r="A80" s="595" t="s">
        <v>711</v>
      </c>
      <c r="B80" s="785" t="s">
        <v>1089</v>
      </c>
      <c r="C80" s="591">
        <v>6</v>
      </c>
      <c r="D80" s="1166">
        <v>51</v>
      </c>
      <c r="E80" s="1166">
        <v>32</v>
      </c>
      <c r="F80" s="1166">
        <v>43</v>
      </c>
      <c r="G80" s="1166">
        <v>86</v>
      </c>
      <c r="H80" s="1166">
        <v>7</v>
      </c>
      <c r="I80" s="1166">
        <v>181</v>
      </c>
      <c r="J80" s="1166">
        <v>48</v>
      </c>
      <c r="K80" s="1166">
        <v>12</v>
      </c>
      <c r="L80" s="1166">
        <v>37</v>
      </c>
      <c r="M80" s="1166">
        <v>34</v>
      </c>
      <c r="N80" s="592">
        <v>19</v>
      </c>
      <c r="O80" s="1166">
        <v>23</v>
      </c>
      <c r="P80" s="1166">
        <v>57</v>
      </c>
      <c r="Q80" s="1166">
        <v>51</v>
      </c>
      <c r="R80" s="1166">
        <v>50</v>
      </c>
      <c r="S80" s="1166">
        <v>13</v>
      </c>
      <c r="T80" s="1166">
        <v>19</v>
      </c>
      <c r="U80" s="591" t="s">
        <v>1252</v>
      </c>
      <c r="V80" s="1166">
        <v>41</v>
      </c>
      <c r="W80" s="1166">
        <v>7</v>
      </c>
      <c r="X80" s="1238" t="s">
        <v>1252</v>
      </c>
      <c r="Y80" s="1168">
        <v>740</v>
      </c>
      <c r="Z80" s="586">
        <v>5360</v>
      </c>
    </row>
    <row r="81" spans="1:41" s="531" customFormat="1" ht="13.5" x14ac:dyDescent="0.2">
      <c r="A81" s="595" t="s">
        <v>712</v>
      </c>
      <c r="B81" s="785" t="s">
        <v>1090</v>
      </c>
      <c r="C81" s="1214"/>
      <c r="D81" s="1214"/>
      <c r="E81" s="1214"/>
      <c r="F81" s="1214"/>
      <c r="G81" s="1214"/>
      <c r="H81" s="1214"/>
      <c r="I81" s="1214"/>
      <c r="J81" s="1214"/>
      <c r="K81" s="1214"/>
      <c r="L81" s="1214"/>
      <c r="M81" s="1214"/>
      <c r="N81" s="1214"/>
      <c r="O81" s="1214"/>
      <c r="P81" s="1214"/>
      <c r="Q81" s="1214"/>
      <c r="R81" s="1214"/>
      <c r="S81" s="1214"/>
      <c r="T81" s="1214"/>
      <c r="U81" s="1214"/>
      <c r="V81" s="1214"/>
      <c r="W81" s="1214"/>
      <c r="X81" s="1236"/>
      <c r="Y81" s="1215"/>
      <c r="Z81" s="1216"/>
    </row>
    <row r="82" spans="1:41" s="531" customFormat="1" ht="13.5" x14ac:dyDescent="0.2">
      <c r="A82" s="595" t="s">
        <v>713</v>
      </c>
      <c r="B82" s="785" t="s">
        <v>1091</v>
      </c>
      <c r="C82" s="1214"/>
      <c r="D82" s="1214"/>
      <c r="E82" s="1214"/>
      <c r="F82" s="1214"/>
      <c r="G82" s="1214"/>
      <c r="H82" s="1214"/>
      <c r="I82" s="1214"/>
      <c r="J82" s="1214"/>
      <c r="K82" s="1214"/>
      <c r="L82" s="1214"/>
      <c r="M82" s="1214"/>
      <c r="N82" s="1214"/>
      <c r="O82" s="1214"/>
      <c r="P82" s="1214"/>
      <c r="Q82" s="1214"/>
      <c r="R82" s="1214"/>
      <c r="S82" s="1214"/>
      <c r="T82" s="1214"/>
      <c r="U82" s="1214"/>
      <c r="V82" s="1214"/>
      <c r="W82" s="1214"/>
      <c r="X82" s="1236"/>
      <c r="Y82" s="1215"/>
      <c r="Z82" s="1216"/>
    </row>
    <row r="83" spans="1:41" s="531" customFormat="1" ht="13.5" x14ac:dyDescent="0.2">
      <c r="A83" s="595">
        <v>33</v>
      </c>
      <c r="B83" s="779" t="s">
        <v>1092</v>
      </c>
      <c r="C83" s="1218"/>
      <c r="D83" s="1218"/>
      <c r="E83" s="1218"/>
      <c r="F83" s="1218"/>
      <c r="G83" s="1218"/>
      <c r="H83" s="1218"/>
      <c r="I83" s="1218"/>
      <c r="J83" s="1218"/>
      <c r="K83" s="1218"/>
      <c r="L83" s="1218"/>
      <c r="M83" s="1218"/>
      <c r="N83" s="1218"/>
      <c r="O83" s="1218"/>
      <c r="P83" s="1218"/>
      <c r="Q83" s="1218"/>
      <c r="R83" s="1218"/>
      <c r="S83" s="1218"/>
      <c r="T83" s="1218"/>
      <c r="U83" s="1218"/>
      <c r="V83" s="1218"/>
      <c r="W83" s="1218"/>
      <c r="X83" s="1218"/>
      <c r="Y83" s="1219"/>
      <c r="Z83" s="1223"/>
    </row>
    <row r="84" spans="1:41" s="531" customFormat="1" ht="13.5" x14ac:dyDescent="0.2">
      <c r="A84" s="595" t="s">
        <v>714</v>
      </c>
      <c r="B84" s="779" t="s">
        <v>1093</v>
      </c>
      <c r="C84" s="999">
        <v>39</v>
      </c>
      <c r="D84" s="999">
        <v>176</v>
      </c>
      <c r="E84" s="999">
        <v>125</v>
      </c>
      <c r="F84" s="1145">
        <v>167</v>
      </c>
      <c r="G84" s="999">
        <v>447</v>
      </c>
      <c r="H84" s="999">
        <v>86</v>
      </c>
      <c r="I84" s="999">
        <v>953</v>
      </c>
      <c r="J84" s="999">
        <v>188</v>
      </c>
      <c r="K84" s="999">
        <v>116</v>
      </c>
      <c r="L84" s="999">
        <v>265</v>
      </c>
      <c r="M84" s="999">
        <v>101</v>
      </c>
      <c r="N84" s="999">
        <v>64</v>
      </c>
      <c r="O84" s="999">
        <v>76</v>
      </c>
      <c r="P84" s="999">
        <v>269</v>
      </c>
      <c r="Q84" s="999">
        <v>121</v>
      </c>
      <c r="R84" s="999">
        <v>357</v>
      </c>
      <c r="S84" s="999">
        <v>139</v>
      </c>
      <c r="T84" s="999">
        <v>105</v>
      </c>
      <c r="U84" s="999">
        <v>56</v>
      </c>
      <c r="V84" s="999">
        <v>321</v>
      </c>
      <c r="W84" s="999">
        <v>49</v>
      </c>
      <c r="X84" s="999">
        <v>39</v>
      </c>
      <c r="Y84" s="529">
        <v>3750</v>
      </c>
      <c r="Z84" s="1000">
        <v>26330</v>
      </c>
    </row>
    <row r="85" spans="1:41" s="531" customFormat="1" ht="13.5" x14ac:dyDescent="0.2">
      <c r="A85" s="595" t="s">
        <v>715</v>
      </c>
      <c r="B85" s="779" t="s">
        <v>1094</v>
      </c>
      <c r="C85" s="1218"/>
      <c r="D85" s="1218"/>
      <c r="E85" s="1218"/>
      <c r="F85" s="1218"/>
      <c r="G85" s="1218"/>
      <c r="H85" s="1218"/>
      <c r="I85" s="1218"/>
      <c r="J85" s="1218"/>
      <c r="K85" s="1218"/>
      <c r="L85" s="1218"/>
      <c r="M85" s="1218"/>
      <c r="N85" s="1218"/>
      <c r="O85" s="1218"/>
      <c r="P85" s="1218"/>
      <c r="Q85" s="1218"/>
      <c r="R85" s="1218"/>
      <c r="S85" s="1218"/>
      <c r="T85" s="1218"/>
      <c r="U85" s="1218"/>
      <c r="V85" s="1218"/>
      <c r="W85" s="1218"/>
      <c r="X85" s="1218"/>
      <c r="Y85" s="1219"/>
      <c r="Z85" s="1223"/>
    </row>
    <row r="86" spans="1:41" s="531" customFormat="1" ht="13.5" x14ac:dyDescent="0.2">
      <c r="A86" s="595" t="s">
        <v>716</v>
      </c>
      <c r="B86" s="779" t="s">
        <v>1095</v>
      </c>
      <c r="C86" s="999">
        <v>37</v>
      </c>
      <c r="D86" s="999">
        <v>166</v>
      </c>
      <c r="E86" s="999">
        <v>100</v>
      </c>
      <c r="F86" s="1145">
        <v>130</v>
      </c>
      <c r="G86" s="999">
        <v>329</v>
      </c>
      <c r="H86" s="999">
        <v>80</v>
      </c>
      <c r="I86" s="999">
        <v>615</v>
      </c>
      <c r="J86" s="999">
        <v>162</v>
      </c>
      <c r="K86" s="999">
        <v>85</v>
      </c>
      <c r="L86" s="999">
        <v>194</v>
      </c>
      <c r="M86" s="999">
        <v>72</v>
      </c>
      <c r="N86" s="999">
        <v>53</v>
      </c>
      <c r="O86" s="999">
        <v>64</v>
      </c>
      <c r="P86" s="999">
        <v>233</v>
      </c>
      <c r="Q86" s="999">
        <v>90</v>
      </c>
      <c r="R86" s="999">
        <v>288</v>
      </c>
      <c r="S86" s="999">
        <v>105</v>
      </c>
      <c r="T86" s="999">
        <v>102</v>
      </c>
      <c r="U86" s="999">
        <v>45</v>
      </c>
      <c r="V86" s="999">
        <v>259</v>
      </c>
      <c r="W86" s="999">
        <v>34</v>
      </c>
      <c r="X86" s="999">
        <v>36</v>
      </c>
      <c r="Y86" s="529">
        <v>2840</v>
      </c>
      <c r="Z86" s="1000">
        <v>21010</v>
      </c>
    </row>
    <row r="87" spans="1:41" s="531" customFormat="1" ht="13.5" x14ac:dyDescent="0.2">
      <c r="A87" s="595" t="s">
        <v>717</v>
      </c>
      <c r="B87" s="779" t="s">
        <v>1096</v>
      </c>
      <c r="C87" s="1218"/>
      <c r="D87" s="1218"/>
      <c r="E87" s="1218"/>
      <c r="F87" s="1218"/>
      <c r="G87" s="1218"/>
      <c r="H87" s="1218"/>
      <c r="I87" s="1218"/>
      <c r="J87" s="1218"/>
      <c r="K87" s="1218"/>
      <c r="L87" s="1218"/>
      <c r="M87" s="1218"/>
      <c r="N87" s="1218"/>
      <c r="O87" s="1218"/>
      <c r="P87" s="1218"/>
      <c r="Q87" s="1218"/>
      <c r="R87" s="1218"/>
      <c r="S87" s="1218"/>
      <c r="T87" s="1218"/>
      <c r="U87" s="1218"/>
      <c r="V87" s="1218"/>
      <c r="W87" s="1218"/>
      <c r="X87" s="1218"/>
      <c r="Y87" s="1219"/>
      <c r="Z87" s="1223"/>
    </row>
    <row r="88" spans="1:41" s="531" customFormat="1" ht="13.5" x14ac:dyDescent="0.2">
      <c r="A88" s="1153">
        <v>35</v>
      </c>
      <c r="B88" s="785" t="s">
        <v>1097</v>
      </c>
      <c r="C88" s="1166" t="s">
        <v>73</v>
      </c>
      <c r="D88" s="1166">
        <v>5</v>
      </c>
      <c r="E88" s="1166" t="s">
        <v>73</v>
      </c>
      <c r="F88" s="1166">
        <v>10</v>
      </c>
      <c r="G88" s="1166">
        <v>10</v>
      </c>
      <c r="H88" s="1166" t="s">
        <v>73</v>
      </c>
      <c r="I88" s="1166">
        <v>25</v>
      </c>
      <c r="J88" s="1166">
        <v>0</v>
      </c>
      <c r="K88" s="1166" t="s">
        <v>73</v>
      </c>
      <c r="L88" s="1166">
        <v>10</v>
      </c>
      <c r="M88" s="1166">
        <v>5</v>
      </c>
      <c r="N88" s="1166">
        <v>0</v>
      </c>
      <c r="O88" s="1166" t="s">
        <v>73</v>
      </c>
      <c r="P88" s="1166">
        <v>5</v>
      </c>
      <c r="Q88" s="1166">
        <v>10</v>
      </c>
      <c r="R88" s="1166">
        <v>5</v>
      </c>
      <c r="S88" s="1166" t="s">
        <v>73</v>
      </c>
      <c r="T88" s="1166">
        <v>5</v>
      </c>
      <c r="U88" s="1166">
        <v>5</v>
      </c>
      <c r="V88" s="1166">
        <v>0</v>
      </c>
      <c r="W88" s="1166">
        <v>0</v>
      </c>
      <c r="X88" s="1238" t="s">
        <v>73</v>
      </c>
      <c r="Y88" s="1168">
        <v>100</v>
      </c>
      <c r="Z88" s="1169">
        <v>1020</v>
      </c>
    </row>
    <row r="89" spans="1:41" s="531" customFormat="1" ht="13.5" x14ac:dyDescent="0.2">
      <c r="A89" s="1153">
        <v>36</v>
      </c>
      <c r="B89" s="785" t="s">
        <v>1098</v>
      </c>
      <c r="C89" s="1166">
        <v>10</v>
      </c>
      <c r="D89" s="1166">
        <v>25</v>
      </c>
      <c r="E89" s="1166">
        <v>20</v>
      </c>
      <c r="F89" s="1166">
        <v>15</v>
      </c>
      <c r="G89" s="1166">
        <v>40</v>
      </c>
      <c r="H89" s="1166">
        <v>5</v>
      </c>
      <c r="I89" s="1166">
        <v>55</v>
      </c>
      <c r="J89" s="1166">
        <v>10</v>
      </c>
      <c r="K89" s="1166">
        <v>15</v>
      </c>
      <c r="L89" s="1166">
        <v>40</v>
      </c>
      <c r="M89" s="1166">
        <v>15</v>
      </c>
      <c r="N89" s="1166">
        <v>15</v>
      </c>
      <c r="O89" s="1166">
        <v>5</v>
      </c>
      <c r="P89" s="1166">
        <v>15</v>
      </c>
      <c r="Q89" s="1166">
        <v>10</v>
      </c>
      <c r="R89" s="1166">
        <v>50</v>
      </c>
      <c r="S89" s="1166">
        <v>10</v>
      </c>
      <c r="T89" s="1166">
        <v>10</v>
      </c>
      <c r="U89" s="1166">
        <v>10</v>
      </c>
      <c r="V89" s="1166">
        <v>20</v>
      </c>
      <c r="W89" s="1166">
        <v>10</v>
      </c>
      <c r="X89" s="1238" t="s">
        <v>1012</v>
      </c>
      <c r="Y89" s="1168">
        <v>380</v>
      </c>
      <c r="Z89" s="1169">
        <v>3550</v>
      </c>
    </row>
    <row r="90" spans="1:41" s="531" customFormat="1" ht="13.5" x14ac:dyDescent="0.2">
      <c r="A90" s="595" t="s">
        <v>514</v>
      </c>
      <c r="B90" s="785" t="s">
        <v>1099</v>
      </c>
      <c r="C90" s="1214"/>
      <c r="D90" s="1214"/>
      <c r="E90" s="1214"/>
      <c r="F90" s="1214"/>
      <c r="G90" s="1214"/>
      <c r="H90" s="1214"/>
      <c r="I90" s="1214"/>
      <c r="J90" s="1214"/>
      <c r="K90" s="1214"/>
      <c r="L90" s="1214"/>
      <c r="M90" s="1214"/>
      <c r="N90" s="1214"/>
      <c r="O90" s="1214"/>
      <c r="P90" s="1214"/>
      <c r="Q90" s="1214"/>
      <c r="R90" s="1214"/>
      <c r="S90" s="1214"/>
      <c r="T90" s="1214"/>
      <c r="U90" s="1214"/>
      <c r="V90" s="1214"/>
      <c r="W90" s="1214"/>
      <c r="X90" s="1236"/>
      <c r="Y90" s="1215"/>
      <c r="Z90" s="1245"/>
    </row>
    <row r="91" spans="1:41" s="531" customFormat="1" ht="13.5" x14ac:dyDescent="0.2">
      <c r="A91" s="595" t="s">
        <v>718</v>
      </c>
      <c r="B91" s="785" t="s">
        <v>1100</v>
      </c>
      <c r="C91" s="1214"/>
      <c r="D91" s="1214"/>
      <c r="E91" s="1214"/>
      <c r="F91" s="1214"/>
      <c r="G91" s="1214"/>
      <c r="H91" s="1214"/>
      <c r="I91" s="1214"/>
      <c r="J91" s="1214"/>
      <c r="K91" s="1214"/>
      <c r="L91" s="1214"/>
      <c r="M91" s="1214"/>
      <c r="N91" s="1214"/>
      <c r="O91" s="1214"/>
      <c r="P91" s="1214"/>
      <c r="Q91" s="1214"/>
      <c r="R91" s="1214"/>
      <c r="S91" s="1214"/>
      <c r="T91" s="1214"/>
      <c r="U91" s="1214"/>
      <c r="V91" s="1214"/>
      <c r="W91" s="1214"/>
      <c r="X91" s="1236"/>
      <c r="Y91" s="1215"/>
      <c r="Z91" s="1245"/>
    </row>
    <row r="92" spans="1:41" s="531" customFormat="1" ht="13.5" x14ac:dyDescent="0.2">
      <c r="A92" s="595">
        <v>39</v>
      </c>
      <c r="B92" s="779" t="s">
        <v>1101</v>
      </c>
      <c r="C92" s="1231"/>
      <c r="D92" s="1231"/>
      <c r="E92" s="1231"/>
      <c r="F92" s="1231"/>
      <c r="G92" s="1231"/>
      <c r="H92" s="1231"/>
      <c r="I92" s="1231"/>
      <c r="J92" s="1231"/>
      <c r="K92" s="1231"/>
      <c r="L92" s="1231"/>
      <c r="M92" s="1231"/>
      <c r="N92" s="1231"/>
      <c r="O92" s="1231"/>
      <c r="P92" s="1231"/>
      <c r="Q92" s="1231"/>
      <c r="R92" s="1231"/>
      <c r="S92" s="1231"/>
      <c r="T92" s="1231"/>
      <c r="U92" s="1231"/>
      <c r="V92" s="1231"/>
      <c r="W92" s="1231"/>
      <c r="X92" s="1242"/>
      <c r="Y92" s="1234"/>
      <c r="Z92" s="1235"/>
    </row>
    <row r="93" spans="1:41" s="1170" customFormat="1" ht="13.5" x14ac:dyDescent="0.2">
      <c r="A93" s="595">
        <v>40</v>
      </c>
      <c r="B93" s="779" t="s">
        <v>1102</v>
      </c>
      <c r="C93" s="1231"/>
      <c r="D93" s="1231"/>
      <c r="E93" s="1231"/>
      <c r="F93" s="1231"/>
      <c r="G93" s="1231"/>
      <c r="H93" s="1231"/>
      <c r="I93" s="1231"/>
      <c r="J93" s="1231"/>
      <c r="K93" s="1231"/>
      <c r="L93" s="1231"/>
      <c r="M93" s="1231"/>
      <c r="N93" s="1231"/>
      <c r="O93" s="1231"/>
      <c r="P93" s="1231"/>
      <c r="Q93" s="1231"/>
      <c r="R93" s="1231"/>
      <c r="S93" s="1231"/>
      <c r="T93" s="1231"/>
      <c r="U93" s="1231"/>
      <c r="V93" s="1231"/>
      <c r="W93" s="1231"/>
      <c r="X93" s="1242"/>
      <c r="Y93" s="1234"/>
      <c r="Z93" s="1235"/>
      <c r="AC93" s="1209"/>
      <c r="AD93" s="1209"/>
      <c r="AE93" s="1209"/>
      <c r="AF93" s="1209"/>
      <c r="AG93" s="1209"/>
      <c r="AH93" s="1209"/>
      <c r="AI93" s="1209"/>
      <c r="AJ93" s="1209"/>
      <c r="AK93" s="1209"/>
      <c r="AL93" s="1209"/>
      <c r="AM93" s="1209"/>
      <c r="AN93" s="1209"/>
      <c r="AO93" s="1209"/>
    </row>
    <row r="94" spans="1:41" s="531" customFormat="1" ht="13.5" x14ac:dyDescent="0.2">
      <c r="A94" s="595">
        <v>42</v>
      </c>
      <c r="B94" s="779" t="s">
        <v>1103</v>
      </c>
      <c r="C94" s="1231"/>
      <c r="D94" s="1231"/>
      <c r="E94" s="1231"/>
      <c r="F94" s="1231"/>
      <c r="G94" s="1231"/>
      <c r="H94" s="1231"/>
      <c r="I94" s="1231"/>
      <c r="J94" s="1231"/>
      <c r="K94" s="1231"/>
      <c r="L94" s="1231"/>
      <c r="M94" s="1231"/>
      <c r="N94" s="1231"/>
      <c r="O94" s="1231"/>
      <c r="P94" s="1231"/>
      <c r="Q94" s="1231"/>
      <c r="R94" s="1231"/>
      <c r="S94" s="1231"/>
      <c r="T94" s="1231"/>
      <c r="U94" s="1231"/>
      <c r="V94" s="1231"/>
      <c r="W94" s="1231"/>
      <c r="X94" s="1242"/>
      <c r="Y94" s="1234"/>
      <c r="Z94" s="1235"/>
      <c r="AC94" s="1210"/>
      <c r="AD94" s="1210"/>
      <c r="AE94" s="1210"/>
      <c r="AF94" s="1210"/>
      <c r="AG94" s="1210"/>
      <c r="AH94" s="1210"/>
      <c r="AI94" s="1210"/>
      <c r="AJ94" s="1210"/>
      <c r="AK94" s="1210"/>
      <c r="AL94" s="1210"/>
      <c r="AM94" s="1210"/>
      <c r="AN94" s="1210"/>
      <c r="AO94" s="1210"/>
    </row>
    <row r="95" spans="1:41" s="531" customFormat="1" ht="13.5" x14ac:dyDescent="0.2">
      <c r="A95" s="595">
        <v>44</v>
      </c>
      <c r="B95" s="779" t="s">
        <v>1104</v>
      </c>
      <c r="C95" s="1231"/>
      <c r="D95" s="1231"/>
      <c r="E95" s="1231"/>
      <c r="F95" s="1231"/>
      <c r="G95" s="1231"/>
      <c r="H95" s="1231"/>
      <c r="I95" s="1231"/>
      <c r="J95" s="1231"/>
      <c r="K95" s="1231"/>
      <c r="L95" s="1231"/>
      <c r="M95" s="1231"/>
      <c r="N95" s="1231"/>
      <c r="O95" s="1231"/>
      <c r="P95" s="1231"/>
      <c r="Q95" s="1231"/>
      <c r="R95" s="1231"/>
      <c r="S95" s="1231"/>
      <c r="T95" s="1231"/>
      <c r="U95" s="1231"/>
      <c r="V95" s="1231"/>
      <c r="W95" s="1231"/>
      <c r="X95" s="1242"/>
      <c r="Y95" s="1234"/>
      <c r="Z95" s="1235"/>
      <c r="AC95" s="1210"/>
      <c r="AD95" s="1210"/>
      <c r="AE95" s="1210"/>
      <c r="AF95" s="1210"/>
      <c r="AG95" s="1210"/>
      <c r="AH95" s="1210"/>
      <c r="AI95" s="1210"/>
      <c r="AJ95" s="1210"/>
      <c r="AK95" s="1210"/>
      <c r="AL95" s="1210"/>
      <c r="AM95" s="1210"/>
      <c r="AN95" s="1210"/>
      <c r="AO95" s="1210"/>
    </row>
    <row r="96" spans="1:41" s="531" customFormat="1" ht="13.5" x14ac:dyDescent="0.2">
      <c r="A96" s="595">
        <v>45</v>
      </c>
      <c r="B96" s="779" t="s">
        <v>1105</v>
      </c>
      <c r="C96" s="1231"/>
      <c r="D96" s="1231"/>
      <c r="E96" s="1231"/>
      <c r="F96" s="1231"/>
      <c r="G96" s="1231"/>
      <c r="H96" s="1231"/>
      <c r="I96" s="1231"/>
      <c r="J96" s="1231"/>
      <c r="K96" s="1231"/>
      <c r="L96" s="1231"/>
      <c r="M96" s="1231"/>
      <c r="N96" s="1231"/>
      <c r="O96" s="1231"/>
      <c r="P96" s="1231"/>
      <c r="Q96" s="1231"/>
      <c r="R96" s="1231"/>
      <c r="S96" s="1231"/>
      <c r="T96" s="1231"/>
      <c r="U96" s="1231"/>
      <c r="V96" s="1231"/>
      <c r="W96" s="1231"/>
      <c r="X96" s="1242"/>
      <c r="Y96" s="1234"/>
      <c r="Z96" s="1235"/>
      <c r="AC96" s="1210"/>
      <c r="AD96" s="1210"/>
      <c r="AE96" s="1210"/>
      <c r="AF96" s="1210"/>
      <c r="AG96" s="1210"/>
      <c r="AH96" s="1210"/>
      <c r="AI96" s="1210"/>
      <c r="AJ96" s="1210"/>
      <c r="AK96" s="1210"/>
      <c r="AL96" s="1210"/>
      <c r="AM96" s="1210"/>
      <c r="AN96" s="1210"/>
      <c r="AO96" s="1210"/>
    </row>
    <row r="97" spans="1:26" s="531" customFormat="1" ht="13.5" x14ac:dyDescent="0.2">
      <c r="A97" s="595"/>
      <c r="B97" s="779" t="s">
        <v>1115</v>
      </c>
      <c r="C97" s="999">
        <v>16</v>
      </c>
      <c r="D97" s="999">
        <v>80</v>
      </c>
      <c r="E97" s="999">
        <v>55</v>
      </c>
      <c r="F97" s="1145">
        <v>63</v>
      </c>
      <c r="G97" s="999">
        <v>171</v>
      </c>
      <c r="H97" s="999">
        <v>38</v>
      </c>
      <c r="I97" s="999">
        <v>245</v>
      </c>
      <c r="J97" s="999">
        <v>90</v>
      </c>
      <c r="K97" s="999">
        <v>39</v>
      </c>
      <c r="L97" s="999">
        <v>112</v>
      </c>
      <c r="M97" s="999">
        <v>59</v>
      </c>
      <c r="N97" s="999">
        <v>39</v>
      </c>
      <c r="O97" s="999">
        <v>37</v>
      </c>
      <c r="P97" s="999">
        <v>129</v>
      </c>
      <c r="Q97" s="999">
        <v>96</v>
      </c>
      <c r="R97" s="999">
        <v>107</v>
      </c>
      <c r="S97" s="999">
        <v>47</v>
      </c>
      <c r="T97" s="999">
        <v>58</v>
      </c>
      <c r="U97" s="999">
        <v>30</v>
      </c>
      <c r="V97" s="999">
        <v>88</v>
      </c>
      <c r="W97" s="999">
        <v>12</v>
      </c>
      <c r="X97" s="999">
        <v>12</v>
      </c>
      <c r="Y97" s="529">
        <v>1394</v>
      </c>
      <c r="Z97" s="1000">
        <v>11113</v>
      </c>
    </row>
    <row r="98" spans="1:26" s="531" customFormat="1" ht="13.5" x14ac:dyDescent="0.2">
      <c r="A98" s="595"/>
      <c r="B98" s="779" t="s">
        <v>1116</v>
      </c>
      <c r="C98" s="999">
        <v>28</v>
      </c>
      <c r="D98" s="999">
        <v>124</v>
      </c>
      <c r="E98" s="999">
        <v>89</v>
      </c>
      <c r="F98" s="1145">
        <v>119</v>
      </c>
      <c r="G98" s="999">
        <v>306</v>
      </c>
      <c r="H98" s="999">
        <v>59</v>
      </c>
      <c r="I98" s="999">
        <v>415</v>
      </c>
      <c r="J98" s="999">
        <v>171</v>
      </c>
      <c r="K98" s="999">
        <v>61</v>
      </c>
      <c r="L98" s="999">
        <v>202</v>
      </c>
      <c r="M98" s="999">
        <v>107</v>
      </c>
      <c r="N98" s="999">
        <v>62</v>
      </c>
      <c r="O98" s="999">
        <v>56</v>
      </c>
      <c r="P98" s="999">
        <v>207</v>
      </c>
      <c r="Q98" s="999">
        <v>191</v>
      </c>
      <c r="R98" s="999">
        <v>172</v>
      </c>
      <c r="S98" s="999">
        <v>75</v>
      </c>
      <c r="T98" s="999">
        <v>86</v>
      </c>
      <c r="U98" s="999">
        <v>45</v>
      </c>
      <c r="V98" s="999">
        <v>155</v>
      </c>
      <c r="W98" s="999">
        <v>19</v>
      </c>
      <c r="X98" s="999">
        <v>17</v>
      </c>
      <c r="Y98" s="529">
        <f t="shared" ref="Y98" si="1">SUM(C98:O98,Q98:R98,U98:X98)</f>
        <v>2398</v>
      </c>
      <c r="Z98" s="1000">
        <v>18839</v>
      </c>
    </row>
    <row r="99" spans="1:26" s="531" customFormat="1" ht="13.5" x14ac:dyDescent="0.2">
      <c r="A99" s="595" t="s">
        <v>720</v>
      </c>
      <c r="B99" s="779" t="s">
        <v>1106</v>
      </c>
      <c r="C99" s="1231"/>
      <c r="D99" s="1231"/>
      <c r="E99" s="1231"/>
      <c r="F99" s="1231"/>
      <c r="G99" s="1231"/>
      <c r="H99" s="1231"/>
      <c r="I99" s="1231"/>
      <c r="J99" s="1231"/>
      <c r="K99" s="1231"/>
      <c r="L99" s="1231"/>
      <c r="M99" s="1231"/>
      <c r="N99" s="1231"/>
      <c r="O99" s="1231"/>
      <c r="P99" s="1231"/>
      <c r="Q99" s="1231"/>
      <c r="R99" s="1231"/>
      <c r="S99" s="1231"/>
      <c r="T99" s="1231"/>
      <c r="U99" s="1231"/>
      <c r="V99" s="1231"/>
      <c r="W99" s="1231"/>
      <c r="X99" s="1242"/>
      <c r="Y99" s="1234"/>
      <c r="Z99" s="1235"/>
    </row>
    <row r="100" spans="1:26" s="531" customFormat="1" ht="13.5" x14ac:dyDescent="0.2">
      <c r="A100" s="595" t="s">
        <v>721</v>
      </c>
      <c r="B100" s="779" t="s">
        <v>1107</v>
      </c>
      <c r="C100" s="1231"/>
      <c r="D100" s="1231"/>
      <c r="E100" s="1231"/>
      <c r="F100" s="1231"/>
      <c r="G100" s="1231"/>
      <c r="H100" s="1231"/>
      <c r="I100" s="1231"/>
      <c r="J100" s="1231"/>
      <c r="K100" s="1231"/>
      <c r="L100" s="1231"/>
      <c r="M100" s="1231"/>
      <c r="N100" s="1231"/>
      <c r="O100" s="1231"/>
      <c r="P100" s="1231"/>
      <c r="Q100" s="1231"/>
      <c r="R100" s="1231"/>
      <c r="S100" s="1231"/>
      <c r="T100" s="1231"/>
      <c r="U100" s="1231"/>
      <c r="V100" s="1231"/>
      <c r="W100" s="1231"/>
      <c r="X100" s="1242"/>
      <c r="Y100" s="1234"/>
      <c r="Z100" s="1235"/>
    </row>
    <row r="101" spans="1:26" s="531" customFormat="1" ht="13.5" x14ac:dyDescent="0.2">
      <c r="A101" s="595" t="s">
        <v>722</v>
      </c>
      <c r="B101" s="779" t="s">
        <v>1108</v>
      </c>
      <c r="C101" s="1231"/>
      <c r="D101" s="1231"/>
      <c r="E101" s="1231"/>
      <c r="F101" s="1231"/>
      <c r="G101" s="1231"/>
      <c r="H101" s="1231"/>
      <c r="I101" s="1231"/>
      <c r="J101" s="1231"/>
      <c r="K101" s="1231"/>
      <c r="L101" s="1231"/>
      <c r="M101" s="1231"/>
      <c r="N101" s="1231"/>
      <c r="O101" s="1231"/>
      <c r="P101" s="1231"/>
      <c r="Q101" s="1231"/>
      <c r="R101" s="1231"/>
      <c r="S101" s="1231"/>
      <c r="T101" s="1231"/>
      <c r="U101" s="1231"/>
      <c r="V101" s="1231"/>
      <c r="W101" s="1231"/>
      <c r="X101" s="1242"/>
      <c r="Y101" s="1234"/>
      <c r="Z101" s="1235"/>
    </row>
    <row r="102" spans="1:26" s="531" customFormat="1" ht="13.5" x14ac:dyDescent="0.2">
      <c r="A102" s="595" t="s">
        <v>723</v>
      </c>
      <c r="B102" s="779" t="s">
        <v>1109</v>
      </c>
      <c r="C102" s="1231">
        <v>66</v>
      </c>
      <c r="D102" s="1231">
        <v>245</v>
      </c>
      <c r="E102" s="1231">
        <v>342</v>
      </c>
      <c r="F102" s="1231">
        <v>520</v>
      </c>
      <c r="G102" s="1231">
        <v>1391</v>
      </c>
      <c r="H102" s="1231">
        <v>248</v>
      </c>
      <c r="I102" s="1231">
        <v>1951</v>
      </c>
      <c r="J102" s="1231">
        <v>392</v>
      </c>
      <c r="K102" s="1231">
        <v>298</v>
      </c>
      <c r="L102" s="1231">
        <v>411</v>
      </c>
      <c r="M102" s="1231">
        <v>325</v>
      </c>
      <c r="N102" s="1231">
        <v>154</v>
      </c>
      <c r="O102" s="1231">
        <v>180</v>
      </c>
      <c r="P102" s="1231">
        <v>681</v>
      </c>
      <c r="Q102" s="1231">
        <v>626</v>
      </c>
      <c r="R102" s="1231">
        <v>432</v>
      </c>
      <c r="S102" s="1231">
        <v>327</v>
      </c>
      <c r="T102" s="1231">
        <v>138</v>
      </c>
      <c r="U102" s="1231">
        <v>118</v>
      </c>
      <c r="V102" s="1231">
        <v>941</v>
      </c>
      <c r="W102" s="1231">
        <v>81</v>
      </c>
      <c r="X102" s="1242">
        <v>73</v>
      </c>
      <c r="Y102" s="1234">
        <v>8794</v>
      </c>
      <c r="Z102" s="1235">
        <v>64281</v>
      </c>
    </row>
    <row r="103" spans="1:26" s="531" customFormat="1" ht="13.5" x14ac:dyDescent="0.2">
      <c r="A103" s="595" t="s">
        <v>724</v>
      </c>
      <c r="B103" s="779" t="s">
        <v>1110</v>
      </c>
      <c r="C103" s="1231">
        <v>21</v>
      </c>
      <c r="D103" s="1231">
        <v>127</v>
      </c>
      <c r="E103" s="1231">
        <v>139</v>
      </c>
      <c r="F103" s="1231">
        <v>200</v>
      </c>
      <c r="G103" s="1231">
        <v>586</v>
      </c>
      <c r="H103" s="1231">
        <v>128</v>
      </c>
      <c r="I103" s="1231">
        <v>778</v>
      </c>
      <c r="J103" s="1231">
        <v>161</v>
      </c>
      <c r="K103" s="1231">
        <v>106</v>
      </c>
      <c r="L103" s="1231">
        <v>161</v>
      </c>
      <c r="M103" s="1231">
        <v>160</v>
      </c>
      <c r="N103" s="1231">
        <v>52</v>
      </c>
      <c r="O103" s="1231">
        <v>73</v>
      </c>
      <c r="P103" s="1231">
        <v>250</v>
      </c>
      <c r="Q103" s="1231">
        <v>260</v>
      </c>
      <c r="R103" s="1231">
        <v>187</v>
      </c>
      <c r="S103" s="1231">
        <v>142</v>
      </c>
      <c r="T103" s="1231">
        <v>42</v>
      </c>
      <c r="U103" s="1231">
        <v>46</v>
      </c>
      <c r="V103" s="1231">
        <v>373</v>
      </c>
      <c r="W103" s="1231">
        <v>24</v>
      </c>
      <c r="X103" s="1242">
        <v>18</v>
      </c>
      <c r="Y103" s="1234">
        <v>3600</v>
      </c>
      <c r="Z103" s="1235">
        <v>26374</v>
      </c>
    </row>
    <row r="104" spans="1:26" x14ac:dyDescent="0.2">
      <c r="A104" s="893" t="s">
        <v>572</v>
      </c>
      <c r="B104" s="593" t="s">
        <v>1111</v>
      </c>
      <c r="C104" s="586">
        <f>IF(SUM(C40:C43)&gt;0,SUM(C40:C43),NA())</f>
        <v>969</v>
      </c>
      <c r="D104" s="586">
        <f t="shared" ref="D104:Y104" si="2">IF(SUM(D40:D43)&gt;0,SUM(D40:D43),NA())</f>
        <v>1471</v>
      </c>
      <c r="E104" s="586">
        <f t="shared" si="2"/>
        <v>5120</v>
      </c>
      <c r="F104" s="586">
        <f t="shared" si="2"/>
        <v>1387</v>
      </c>
      <c r="G104" s="586">
        <f t="shared" si="2"/>
        <v>13575</v>
      </c>
      <c r="H104" s="586">
        <f t="shared" si="2"/>
        <v>1593</v>
      </c>
      <c r="I104" s="586">
        <f t="shared" si="2"/>
        <v>13997</v>
      </c>
      <c r="J104" s="586">
        <f t="shared" si="2"/>
        <v>2788</v>
      </c>
      <c r="K104" s="586">
        <f t="shared" si="2"/>
        <v>1919</v>
      </c>
      <c r="L104" s="586">
        <f t="shared" si="2"/>
        <v>2818</v>
      </c>
      <c r="M104" s="586">
        <f t="shared" si="2"/>
        <v>1328</v>
      </c>
      <c r="N104" s="586">
        <f t="shared" si="2"/>
        <v>1003</v>
      </c>
      <c r="O104" s="586">
        <f t="shared" si="2"/>
        <v>1762</v>
      </c>
      <c r="P104" s="586">
        <f t="shared" si="2"/>
        <v>4203</v>
      </c>
      <c r="Q104" s="586">
        <f t="shared" si="2"/>
        <v>1931</v>
      </c>
      <c r="R104" s="586">
        <f t="shared" si="2"/>
        <v>6659</v>
      </c>
      <c r="S104" s="586">
        <f t="shared" si="2"/>
        <v>1724</v>
      </c>
      <c r="T104" s="586">
        <f t="shared" si="2"/>
        <v>1064</v>
      </c>
      <c r="U104" s="586">
        <f t="shared" si="2"/>
        <v>632</v>
      </c>
      <c r="V104" s="586">
        <f t="shared" si="2"/>
        <v>4975</v>
      </c>
      <c r="W104" s="586">
        <f t="shared" si="2"/>
        <v>591</v>
      </c>
      <c r="X104" s="586">
        <f t="shared" si="2"/>
        <v>868</v>
      </c>
      <c r="Y104" s="586">
        <f t="shared" si="2"/>
        <v>65380</v>
      </c>
      <c r="Z104" s="586">
        <f>IF(SUM(Z40:Z43)&gt;0,SUM(Z40:Z43),NA())</f>
        <v>448910</v>
      </c>
    </row>
    <row r="105" spans="1:26" x14ac:dyDescent="0.2">
      <c r="A105" s="893" t="s">
        <v>572</v>
      </c>
      <c r="B105" s="593" t="s">
        <v>1112</v>
      </c>
      <c r="C105" s="586">
        <f>SUM(C40:C44)</f>
        <v>978</v>
      </c>
      <c r="D105" s="586">
        <f t="shared" ref="D105:Z105" si="3">SUM(D40:D44)</f>
        <v>2770</v>
      </c>
      <c r="E105" s="586">
        <f t="shared" si="3"/>
        <v>6180</v>
      </c>
      <c r="F105" s="586">
        <f t="shared" si="3"/>
        <v>2684</v>
      </c>
      <c r="G105" s="586">
        <f t="shared" si="3"/>
        <v>17096</v>
      </c>
      <c r="H105" s="586">
        <f t="shared" si="3"/>
        <v>1984</v>
      </c>
      <c r="I105" s="586">
        <f t="shared" si="3"/>
        <v>15802</v>
      </c>
      <c r="J105" s="586">
        <f t="shared" si="3"/>
        <v>3699</v>
      </c>
      <c r="K105" s="586">
        <f t="shared" si="3"/>
        <v>2000</v>
      </c>
      <c r="L105" s="586">
        <f t="shared" si="3"/>
        <v>3767</v>
      </c>
      <c r="M105" s="586">
        <f t="shared" si="3"/>
        <v>1453</v>
      </c>
      <c r="N105" s="586">
        <f t="shared" si="3"/>
        <v>1197</v>
      </c>
      <c r="O105" s="586">
        <f t="shared" si="3"/>
        <v>1879</v>
      </c>
      <c r="P105" s="586">
        <f t="shared" si="3"/>
        <v>4524</v>
      </c>
      <c r="Q105" s="586">
        <f t="shared" si="3"/>
        <v>2109</v>
      </c>
      <c r="R105" s="586">
        <f t="shared" si="3"/>
        <v>8993</v>
      </c>
      <c r="S105" s="586">
        <f t="shared" si="3"/>
        <v>2649</v>
      </c>
      <c r="T105" s="586">
        <f t="shared" si="3"/>
        <v>1488</v>
      </c>
      <c r="U105" s="586">
        <f t="shared" si="3"/>
        <v>887</v>
      </c>
      <c r="V105" s="586">
        <f t="shared" si="3"/>
        <v>5185</v>
      </c>
      <c r="W105" s="586">
        <f t="shared" si="3"/>
        <v>779</v>
      </c>
      <c r="X105" s="586">
        <f t="shared" si="3"/>
        <v>877</v>
      </c>
      <c r="Y105" s="586">
        <f t="shared" si="3"/>
        <v>80400</v>
      </c>
      <c r="Z105" s="586">
        <f t="shared" si="3"/>
        <v>550810</v>
      </c>
    </row>
    <row r="106" spans="1:26" s="531" customFormat="1" ht="13.5" x14ac:dyDescent="0.2">
      <c r="A106" s="595" t="s">
        <v>515</v>
      </c>
      <c r="B106" s="785" t="s">
        <v>1113</v>
      </c>
      <c r="C106" s="1148"/>
      <c r="D106" s="1148"/>
      <c r="E106" s="1148"/>
      <c r="F106" s="1148"/>
      <c r="G106" s="1148"/>
      <c r="H106" s="1148"/>
      <c r="I106" s="1148"/>
      <c r="J106" s="1148"/>
      <c r="K106" s="1148"/>
      <c r="L106" s="1148"/>
      <c r="M106" s="1148"/>
      <c r="N106" s="1148"/>
      <c r="O106" s="1148"/>
      <c r="P106" s="1148"/>
      <c r="Q106" s="1148"/>
      <c r="R106" s="1148"/>
      <c r="S106" s="1148"/>
      <c r="T106" s="1148"/>
      <c r="U106" s="1148"/>
      <c r="V106" s="1148"/>
      <c r="W106" s="1148"/>
      <c r="X106" s="1148"/>
      <c r="Y106" s="1149"/>
      <c r="Z106" s="1150"/>
    </row>
    <row r="107" spans="1:26" s="531" customFormat="1" ht="13.5" x14ac:dyDescent="0.2">
      <c r="A107" s="595" t="s">
        <v>719</v>
      </c>
      <c r="B107" s="785" t="s">
        <v>1114</v>
      </c>
      <c r="C107" s="1148"/>
      <c r="D107" s="1148"/>
      <c r="E107" s="1148"/>
      <c r="F107" s="1148"/>
      <c r="G107" s="1148"/>
      <c r="H107" s="1148"/>
      <c r="I107" s="1148"/>
      <c r="J107" s="1148"/>
      <c r="K107" s="1148"/>
      <c r="L107" s="1148"/>
      <c r="M107" s="1148"/>
      <c r="N107" s="1148"/>
      <c r="O107" s="1148"/>
      <c r="P107" s="1148"/>
      <c r="Q107" s="1148"/>
      <c r="R107" s="1148"/>
      <c r="S107" s="1148"/>
      <c r="T107" s="1148"/>
      <c r="U107" s="1148"/>
      <c r="V107" s="1148"/>
      <c r="W107" s="1148"/>
      <c r="X107" s="1148"/>
      <c r="Y107" s="1149"/>
      <c r="Z107" s="1150"/>
    </row>
  </sheetData>
  <conditionalFormatting sqref="C1:X1">
    <cfRule type="expression" dxfId="723" priority="4">
      <formula>SUM(C$2:C$96)=0</formula>
    </cfRule>
    <cfRule type="containsErrors" dxfId="722" priority="5">
      <formula>ISERROR(C1)</formula>
    </cfRule>
  </conditionalFormatting>
  <conditionalFormatting sqref="Q43:Q44">
    <cfRule type="containsErrors" dxfId="721" priority="1">
      <formula>ISERROR(Q43)</formula>
    </cfRule>
  </conditionalFormatting>
  <pageMargins left="0.70866141732283472" right="0.70866141732283472" top="0.35433070866141736" bottom="0.35433070866141736" header="0.31496062992125984" footer="0.31496062992125984"/>
  <pageSetup scale="48" orientation="portrait" r:id="rId1"/>
  <extLst>
    <ext xmlns:x14="http://schemas.microsoft.com/office/spreadsheetml/2009/9/main" uri="{78C0D931-6437-407d-A8EE-F0AAD7539E65}">
      <x14:conditionalFormattings>
        <x14:conditionalFormatting xmlns:xm="http://schemas.microsoft.com/office/excel/2006/main">
          <x14:cfRule type="expression" priority="3" id="{98FA8376-F690-468B-922C-710FA8F4382E}">
            <xm:f>C$1=Sheet1!$AR$3</xm:f>
            <x14:dxf>
              <fill>
                <patternFill>
                  <bgColor rgb="FF66FF99"/>
                </patternFill>
              </fill>
            </x14:dxf>
          </x14:cfRule>
          <xm:sqref>C1:X1</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5">
    <tabColor rgb="FFFFC000"/>
  </sheetPr>
  <dimension ref="A1:BD346"/>
  <sheetViews>
    <sheetView showRowColHeaders="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8" width="6.85546875" style="76" customWidth="1"/>
    <col min="9" max="9" width="7.42578125" style="76" customWidth="1"/>
    <col min="10" max="10" width="1.42578125" style="90" customWidth="1"/>
    <col min="11" max="15" width="6.85546875" style="76" customWidth="1"/>
    <col min="16" max="16" width="7.140625" style="76" customWidth="1"/>
    <col min="17" max="17" width="7.42578125" style="76" customWidth="1"/>
    <col min="18" max="18" width="1.42578125" style="76" customWidth="1"/>
    <col min="19" max="19" width="5.7109375" style="76" customWidth="1"/>
    <col min="20" max="20" width="8.28515625" style="76" customWidth="1"/>
    <col min="21" max="21" width="7.7109375" style="76" customWidth="1"/>
    <col min="22" max="22" width="2.140625" style="76" customWidth="1"/>
    <col min="23" max="23" width="6.42578125" style="82" customWidth="1"/>
    <col min="24" max="24" width="4.85546875" style="82" customWidth="1"/>
    <col min="25" max="25" width="17.85546875" style="83" hidden="1" customWidth="1"/>
    <col min="26" max="26" width="19.42578125" style="83" hidden="1" customWidth="1"/>
    <col min="27" max="27" width="19.85546875" style="83" hidden="1" customWidth="1"/>
    <col min="28" max="29" width="16.5703125" style="83" hidden="1" customWidth="1"/>
    <col min="30" max="31" width="8.5703125" style="83" hidden="1" customWidth="1"/>
    <col min="32" max="32" width="7.140625" style="83" hidden="1" customWidth="1"/>
    <col min="33" max="33" width="17" style="83" hidden="1" customWidth="1"/>
    <col min="34" max="34" width="5.5703125" style="83" hidden="1" customWidth="1"/>
    <col min="35" max="35" width="4.85546875" style="83" hidden="1" customWidth="1"/>
    <col min="36" max="36" width="5.5703125" style="76" hidden="1" customWidth="1"/>
    <col min="37" max="37" width="31.5703125" style="76" customWidth="1"/>
    <col min="38" max="38" width="17" style="76" hidden="1" customWidth="1"/>
    <col min="39" max="43" width="13.5703125" style="76" hidden="1" customWidth="1"/>
    <col min="44" max="55" width="9.140625" style="76" hidden="1" customWidth="1"/>
    <col min="56" max="16384" width="9.140625" style="76"/>
  </cols>
  <sheetData>
    <row r="1" spans="1:50" ht="18.75" customHeight="1" thickBot="1" x14ac:dyDescent="0.25">
      <c r="A1" s="114"/>
      <c r="B1" s="115"/>
      <c r="C1" s="115"/>
      <c r="D1" s="115"/>
      <c r="E1" s="115"/>
      <c r="F1" s="115"/>
      <c r="G1" s="115"/>
      <c r="H1" s="115"/>
      <c r="I1" s="115"/>
      <c r="J1" s="116"/>
      <c r="K1" s="115"/>
      <c r="L1" s="115"/>
      <c r="M1" s="115"/>
      <c r="N1" s="115"/>
      <c r="O1" s="115"/>
      <c r="P1" s="115"/>
      <c r="Q1" s="115"/>
      <c r="R1" s="115"/>
      <c r="S1" s="115"/>
      <c r="T1" s="115"/>
      <c r="U1" s="115"/>
      <c r="V1" s="117"/>
      <c r="W1" s="268"/>
      <c r="X1" s="151"/>
      <c r="Y1" s="175"/>
      <c r="Z1" s="891" t="str">
        <f>IF(Sheet1!$C$3="Annual"," the year ending 31st March"," the quarter")</f>
        <v xml:space="preserve"> the year ending 31st March</v>
      </c>
      <c r="AA1" s="175"/>
      <c r="AB1" s="175"/>
      <c r="AC1" s="175"/>
      <c r="AD1" s="175"/>
      <c r="AE1" s="175"/>
      <c r="AF1" s="175"/>
      <c r="AG1" s="175"/>
      <c r="AH1" s="175"/>
      <c r="AI1" s="175"/>
      <c r="AJ1" s="176"/>
      <c r="AK1" s="152"/>
    </row>
    <row r="2" spans="1:50" ht="18.75" customHeight="1" x14ac:dyDescent="0.2">
      <c r="A2" s="120"/>
      <c r="B2" s="130" t="s">
        <v>91</v>
      </c>
      <c r="C2" s="9"/>
      <c r="D2" s="9"/>
      <c r="E2" s="9"/>
      <c r="F2" s="9"/>
      <c r="G2" s="9"/>
      <c r="H2" s="9"/>
      <c r="I2" s="9"/>
      <c r="J2" s="13"/>
      <c r="K2" s="9"/>
      <c r="L2" s="9"/>
      <c r="M2" s="9"/>
      <c r="N2" s="9"/>
      <c r="O2" s="9"/>
      <c r="P2" s="9"/>
      <c r="Q2" s="9"/>
      <c r="R2" s="9"/>
      <c r="S2" s="9"/>
      <c r="T2" s="9"/>
      <c r="U2" s="9"/>
      <c r="V2" s="119"/>
      <c r="W2" s="157"/>
      <c r="X2" s="147"/>
      <c r="Y2" s="800">
        <f>IF(Sheet1!$C$3="Annual",1,4)</f>
        <v>1</v>
      </c>
      <c r="Z2" s="760" t="str">
        <f>IF(Sheet1!$C$3="Annual","",Sheet1!$D$26)</f>
        <v/>
      </c>
      <c r="AA2" s="761" t="str">
        <f>IF(Sheet1!$C$3="Annual","",Sheet1!$E$26)</f>
        <v/>
      </c>
      <c r="AB2" s="761" t="str">
        <f>IF(Sheet1!$C$3="Annual","",Sheet1!$F$26)</f>
        <v/>
      </c>
      <c r="AC2" s="761" t="str">
        <f>IF(Sheet1!$C$3="Annual","",Sheet1!$G$26)</f>
        <v/>
      </c>
      <c r="AD2" s="762" t="str">
        <f>IF(Sheet1!$C$3="Annual","",Sheet1!$H$26)</f>
        <v/>
      </c>
      <c r="AJ2" s="179"/>
      <c r="AK2" s="153"/>
    </row>
    <row r="3" spans="1:50" ht="18.75" customHeight="1" thickBot="1" x14ac:dyDescent="0.25">
      <c r="A3" s="126"/>
      <c r="B3" s="127"/>
      <c r="C3" s="127"/>
      <c r="D3" s="127"/>
      <c r="E3" s="127"/>
      <c r="F3" s="127"/>
      <c r="G3" s="127"/>
      <c r="H3" s="127"/>
      <c r="I3" s="260"/>
      <c r="J3" s="128"/>
      <c r="K3" s="127"/>
      <c r="L3" s="127"/>
      <c r="M3" s="127"/>
      <c r="N3" s="127"/>
      <c r="O3" s="127"/>
      <c r="P3" s="528"/>
      <c r="Q3" s="127"/>
      <c r="R3" s="127"/>
      <c r="S3" s="127"/>
      <c r="T3" s="260"/>
      <c r="U3" s="127"/>
      <c r="V3" s="129"/>
      <c r="W3" s="157"/>
      <c r="X3" s="147"/>
      <c r="Y3" s="763"/>
      <c r="Z3" s="763" t="str">
        <f>Sheet1!$D$25</f>
        <v>2014-15</v>
      </c>
      <c r="AA3" s="764" t="str">
        <f>Sheet1!$E$25</f>
        <v>2015-16</v>
      </c>
      <c r="AB3" s="764" t="str">
        <f>Sheet1!$F$25</f>
        <v>2016-17</v>
      </c>
      <c r="AC3" s="764" t="str">
        <f>Sheet1!$G$25</f>
        <v>2017-18</v>
      </c>
      <c r="AD3" s="765" t="str">
        <f>Sheet1!$H$25</f>
        <v>2018-19</v>
      </c>
      <c r="AJ3" s="179"/>
      <c r="AK3" s="153"/>
      <c r="AR3" s="76">
        <v>0</v>
      </c>
    </row>
    <row r="4" spans="1:50" ht="11.25" customHeight="1" x14ac:dyDescent="0.2">
      <c r="A4" s="114"/>
      <c r="B4" s="115"/>
      <c r="C4" s="115"/>
      <c r="D4" s="115"/>
      <c r="E4" s="115"/>
      <c r="F4" s="115"/>
      <c r="G4" s="115"/>
      <c r="H4" s="115"/>
      <c r="I4" s="115"/>
      <c r="J4" s="116"/>
      <c r="K4" s="115"/>
      <c r="L4" s="115"/>
      <c r="M4" s="115"/>
      <c r="N4" s="115"/>
      <c r="O4" s="115"/>
      <c r="P4" s="115"/>
      <c r="Q4" s="115"/>
      <c r="R4" s="115"/>
      <c r="S4" s="115"/>
      <c r="T4" s="115"/>
      <c r="U4" s="115"/>
      <c r="V4" s="117"/>
      <c r="W4" s="138"/>
      <c r="X4" s="147"/>
      <c r="Z4" s="181" t="str">
        <f>Home!$D$10</f>
        <v>(none)</v>
      </c>
      <c r="AA4" s="43" t="str">
        <f>"Selected LA- "&amp;Z4</f>
        <v>Selected LA- (none)</v>
      </c>
      <c r="AJ4" s="179"/>
      <c r="AK4" s="153"/>
    </row>
    <row r="5" spans="1:50" s="78" customFormat="1" ht="15" customHeight="1" x14ac:dyDescent="0.2">
      <c r="A5" s="121"/>
      <c r="B5" s="1435" t="str">
        <f>"Children subject to an Initial Child Protection Conference (ICPC) during"&amp;Z1</f>
        <v>Children subject to an Initial Child Protection Conference (ICPC) during the year ending 31st March</v>
      </c>
      <c r="C5" s="1318"/>
      <c r="D5" s="1318"/>
      <c r="E5" s="1318"/>
      <c r="F5" s="1318"/>
      <c r="G5" s="1318"/>
      <c r="H5" s="1318"/>
      <c r="I5" s="1318"/>
      <c r="J5" s="1318"/>
      <c r="K5" s="1318"/>
      <c r="L5" s="1318"/>
      <c r="M5" s="1318"/>
      <c r="N5" s="1318"/>
      <c r="O5" s="858"/>
      <c r="P5" s="858"/>
      <c r="Q5" s="858"/>
      <c r="R5" s="858"/>
      <c r="S5" s="858"/>
      <c r="T5" s="858"/>
      <c r="U5" s="858"/>
      <c r="V5" s="122"/>
      <c r="W5" s="139"/>
      <c r="X5" s="148"/>
      <c r="Y5" s="83"/>
      <c r="Z5" s="183"/>
      <c r="AA5" s="183"/>
      <c r="AB5" s="183"/>
      <c r="AC5" s="183"/>
      <c r="AD5" s="183"/>
      <c r="AE5" s="183"/>
      <c r="AF5" s="183"/>
      <c r="AG5" s="183"/>
      <c r="AH5" s="183"/>
      <c r="AI5" s="183"/>
      <c r="AJ5" s="183"/>
      <c r="AK5" s="154"/>
      <c r="AL5" s="183" t="str">
        <f>CONCATENATE($I$7,"in Number of "&amp;$B2)</f>
        <v>Average Annual Change in Number of Initial CP Conferences</v>
      </c>
      <c r="AR5" s="887" t="s">
        <v>692</v>
      </c>
    </row>
    <row r="6" spans="1:50" ht="13.5" customHeight="1" x14ac:dyDescent="0.2">
      <c r="A6" s="120"/>
      <c r="B6" s="1318"/>
      <c r="C6" s="1318"/>
      <c r="D6" s="1318"/>
      <c r="E6" s="1318"/>
      <c r="F6" s="1318"/>
      <c r="G6" s="1318"/>
      <c r="H6" s="1318"/>
      <c r="I6" s="1318"/>
      <c r="J6" s="1318"/>
      <c r="K6" s="1318"/>
      <c r="L6" s="1318"/>
      <c r="M6" s="1318"/>
      <c r="N6" s="1318"/>
      <c r="O6" s="858"/>
      <c r="P6" s="858"/>
      <c r="Q6" s="858"/>
      <c r="R6" s="858"/>
      <c r="S6" s="858"/>
      <c r="T6" s="858"/>
      <c r="U6" s="858"/>
      <c r="V6" s="119"/>
      <c r="W6" s="138"/>
      <c r="X6" s="147"/>
      <c r="Z6" s="185"/>
      <c r="AJ6" s="179"/>
      <c r="AK6" s="153"/>
    </row>
    <row r="7" spans="1:50" s="89" customFormat="1" ht="12.75" customHeight="1" x14ac:dyDescent="0.2">
      <c r="A7" s="123"/>
      <c r="B7" s="1449" t="s">
        <v>190</v>
      </c>
      <c r="C7" s="87"/>
      <c r="D7" s="1545" t="s">
        <v>88</v>
      </c>
      <c r="E7" s="1557"/>
      <c r="F7" s="1557"/>
      <c r="G7" s="1557"/>
      <c r="H7" s="1558"/>
      <c r="I7" s="1439" t="str">
        <f>"Average "&amp;Sheet1!C3&amp;" Change "</f>
        <v xml:space="preserve">Average Annual Change </v>
      </c>
      <c r="J7" s="98"/>
      <c r="K7" s="1562" t="s">
        <v>89</v>
      </c>
      <c r="L7" s="1563"/>
      <c r="M7" s="1563"/>
      <c r="N7" s="1563"/>
      <c r="O7" s="1563"/>
      <c r="P7" s="1563"/>
      <c r="Q7" s="1446" t="str">
        <f>IF(ISNA(O9),"SE Rank "&amp;O8,"SE Rank "&amp;O9)</f>
        <v>SE Rank 2018-19</v>
      </c>
      <c r="R7" s="69"/>
      <c r="S7" s="1451" t="str">
        <f>"Distance from Expected "&amp;Sheet1!$B$8</f>
        <v>Distance from Expected 2019</v>
      </c>
      <c r="T7" s="1452"/>
      <c r="U7" s="1453"/>
      <c r="V7" s="124"/>
      <c r="W7" s="140"/>
      <c r="X7" s="149"/>
      <c r="Y7" s="199"/>
      <c r="Z7" s="199"/>
      <c r="AB7" s="200" t="s">
        <v>79</v>
      </c>
      <c r="AC7" s="185"/>
      <c r="AD7" s="185"/>
      <c r="AE7" s="194"/>
      <c r="AF7" s="194"/>
      <c r="AG7" s="201" t="s">
        <v>92</v>
      </c>
      <c r="AH7" s="185"/>
      <c r="AI7" s="185"/>
      <c r="AJ7" s="199"/>
      <c r="AK7" s="156"/>
      <c r="AL7" s="550"/>
      <c r="AM7" s="550"/>
      <c r="AN7" s="550"/>
      <c r="AO7" s="550"/>
      <c r="AP7" s="550"/>
      <c r="AQ7" s="76"/>
    </row>
    <row r="8" spans="1:50" s="89" customFormat="1" ht="12.75" customHeight="1" x14ac:dyDescent="0.2">
      <c r="A8" s="286"/>
      <c r="B8" s="1449"/>
      <c r="C8" s="87"/>
      <c r="D8" s="755" t="str">
        <f>Sheet1!$D$25</f>
        <v>2014-15</v>
      </c>
      <c r="E8" s="756" t="str">
        <f>Sheet1!$E$25</f>
        <v>2015-16</v>
      </c>
      <c r="F8" s="756" t="str">
        <f>Sheet1!$F$25</f>
        <v>2016-17</v>
      </c>
      <c r="G8" s="756" t="str">
        <f>Sheet1!$G$25</f>
        <v>2017-18</v>
      </c>
      <c r="H8" s="757" t="str">
        <f>Sheet1!$H$25</f>
        <v>2018-19</v>
      </c>
      <c r="I8" s="1440"/>
      <c r="J8" s="98"/>
      <c r="K8" s="768" t="str">
        <f>Sheet1!$D$25</f>
        <v>2014-15</v>
      </c>
      <c r="L8" s="769" t="str">
        <f>Sheet1!$E$25</f>
        <v>2015-16</v>
      </c>
      <c r="M8" s="769" t="str">
        <f>Sheet1!$F$25</f>
        <v>2016-17</v>
      </c>
      <c r="N8" s="769" t="str">
        <f>Sheet1!$G$25</f>
        <v>2017-18</v>
      </c>
      <c r="O8" s="1457" t="str">
        <f>Sheet1!$H$25</f>
        <v>2018-19</v>
      </c>
      <c r="P8" s="1458"/>
      <c r="Q8" s="1447"/>
      <c r="R8" s="69"/>
      <c r="S8" s="1454"/>
      <c r="T8" s="1455"/>
      <c r="U8" s="1456"/>
      <c r="V8" s="124"/>
      <c r="W8" s="140"/>
      <c r="X8" s="149"/>
      <c r="Y8" s="199"/>
      <c r="Z8" s="1423" t="s">
        <v>76</v>
      </c>
      <c r="AA8" s="1423" t="s">
        <v>77</v>
      </c>
      <c r="AB8" s="730" t="str">
        <f>Sheet1!$D$25</f>
        <v>2014-15</v>
      </c>
      <c r="AC8" s="730" t="str">
        <f>Sheet1!$E$25</f>
        <v>2015-16</v>
      </c>
      <c r="AD8" s="730" t="str">
        <f>Sheet1!$F$25</f>
        <v>2016-17</v>
      </c>
      <c r="AE8" s="730" t="str">
        <f>Sheet1!$G$25</f>
        <v>2017-18</v>
      </c>
      <c r="AF8" s="730" t="str">
        <f>Sheet1!$H$25</f>
        <v>2018-19</v>
      </c>
      <c r="AG8" s="201"/>
      <c r="AH8" s="185"/>
      <c r="AI8" s="185"/>
      <c r="AJ8" s="199"/>
      <c r="AK8" s="156"/>
      <c r="AL8" s="860"/>
      <c r="AM8" s="860"/>
      <c r="AN8" s="860"/>
      <c r="AO8" s="860"/>
      <c r="AP8" s="860"/>
    </row>
    <row r="9" spans="1:50" s="89" customFormat="1" ht="12.75" customHeight="1" x14ac:dyDescent="0.2">
      <c r="A9" s="123"/>
      <c r="B9" s="1450"/>
      <c r="C9" s="87"/>
      <c r="D9" s="758" t="e">
        <f>Sheet1!$D$26</f>
        <v>#N/A</v>
      </c>
      <c r="E9" s="758" t="e">
        <f>Sheet1!$E$26</f>
        <v>#N/A</v>
      </c>
      <c r="F9" s="758" t="e">
        <f>Sheet1!$F$26</f>
        <v>#N/A</v>
      </c>
      <c r="G9" s="758" t="e">
        <f>Sheet1!$G$26</f>
        <v>#N/A</v>
      </c>
      <c r="H9" s="759" t="e">
        <f>Sheet1!$H$26</f>
        <v>#N/A</v>
      </c>
      <c r="I9" s="1441"/>
      <c r="J9" s="98"/>
      <c r="K9" s="758" t="e">
        <f>Sheet1!$D$26</f>
        <v>#N/A</v>
      </c>
      <c r="L9" s="758" t="e">
        <f>Sheet1!$E$26</f>
        <v>#N/A</v>
      </c>
      <c r="M9" s="758" t="e">
        <f>Sheet1!$F$26</f>
        <v>#N/A</v>
      </c>
      <c r="N9" s="758" t="e">
        <f>Sheet1!$G$26</f>
        <v>#N/A</v>
      </c>
      <c r="O9" s="1433" t="e">
        <f>Sheet1!$H$26</f>
        <v>#N/A</v>
      </c>
      <c r="P9" s="1434"/>
      <c r="Q9" s="1448"/>
      <c r="R9" s="69"/>
      <c r="S9" s="856" t="s">
        <v>78</v>
      </c>
      <c r="T9" s="794" t="s">
        <v>127</v>
      </c>
      <c r="U9" s="795" t="s">
        <v>128</v>
      </c>
      <c r="V9" s="124"/>
      <c r="W9" s="140"/>
      <c r="X9" s="149"/>
      <c r="Y9" s="199"/>
      <c r="Z9" s="1424"/>
      <c r="AA9" s="1424"/>
      <c r="AB9" s="730" t="e">
        <f>Sheet1!$D$26</f>
        <v>#N/A</v>
      </c>
      <c r="AC9" s="730" t="e">
        <f>Sheet1!$E$26</f>
        <v>#N/A</v>
      </c>
      <c r="AD9" s="730" t="e">
        <f>Sheet1!$F$26</f>
        <v>#N/A</v>
      </c>
      <c r="AE9" s="730" t="e">
        <f>Sheet1!$G$26</f>
        <v>#N/A</v>
      </c>
      <c r="AF9" s="730" t="e">
        <f>Sheet1!$H$26</f>
        <v>#N/A</v>
      </c>
      <c r="AG9" s="185"/>
      <c r="AH9" s="185">
        <f>COLUMNS($B$4:O$4)</f>
        <v>14</v>
      </c>
      <c r="AI9" s="185"/>
      <c r="AJ9" s="199"/>
      <c r="AK9" s="156"/>
      <c r="AL9" s="863" t="s">
        <v>686</v>
      </c>
      <c r="AM9" s="863" t="s">
        <v>687</v>
      </c>
      <c r="AN9" s="863" t="s">
        <v>688</v>
      </c>
      <c r="AO9" s="863" t="s">
        <v>689</v>
      </c>
      <c r="AP9" s="863" t="s">
        <v>690</v>
      </c>
      <c r="AR9" s="889" t="s">
        <v>693</v>
      </c>
      <c r="AS9" s="889" t="s">
        <v>694</v>
      </c>
      <c r="AT9" s="889" t="s">
        <v>695</v>
      </c>
      <c r="AU9" s="889" t="s">
        <v>696</v>
      </c>
      <c r="AV9" s="890" t="s">
        <v>697</v>
      </c>
      <c r="AW9" s="890" t="s">
        <v>698</v>
      </c>
      <c r="AX9" s="890" t="s">
        <v>699</v>
      </c>
    </row>
    <row r="10" spans="1:50" s="89" customFormat="1" ht="13.5" customHeight="1" x14ac:dyDescent="0.2">
      <c r="A10" s="462">
        <f>VLOOKUP(B10,Sheet1!$AQ$4:$AR$25,2,FALSE)</f>
        <v>0</v>
      </c>
      <c r="B10" s="95" t="str">
        <f>Sheet1!$K$4</f>
        <v>Bracknell Forest</v>
      </c>
      <c r="C10" s="87"/>
      <c r="D10" s="96">
        <f>IF(Year1_Bracknell_Forest Year1_CP_Conference="","",Year1_Bracknell_Forest Year1_CP_Conference)</f>
        <v>163</v>
      </c>
      <c r="E10" s="96">
        <f>IF(Year2_Bracknell_Forest Year2_CP_Conference="","",Year2_Bracknell_Forest Year2_CP_Conference)</f>
        <v>158</v>
      </c>
      <c r="F10" s="96">
        <f>IF(Year3_Bracknell_Forest Year3_CP_Conference="","",Year3_Bracknell_Forest Year3_CP_Conference)</f>
        <v>261</v>
      </c>
      <c r="G10" s="96">
        <f>IF(Year4_Bracknell_Forest Year4_CP_Conference="","",Year4_Bracknell_Forest Year4_CP_Conference)</f>
        <v>235</v>
      </c>
      <c r="H10" s="97">
        <f>IF(Year5_Bracknell_Forest Year5_CP_Conference="","",Year5_Bracknell_Forest Year5_CP_Conference)</f>
        <v>253</v>
      </c>
      <c r="I10" s="337">
        <f>AP10</f>
        <v>0.14955069349868788</v>
      </c>
      <c r="J10" s="98"/>
      <c r="K10" s="99">
        <f>IF(ISNUMBER(D10),D10/Population!D10*10000,NA())</f>
        <v>58.633093525179859</v>
      </c>
      <c r="L10" s="99">
        <f>IF(ISNUMBER(E10),E10/Population!E10*10000,NA())</f>
        <v>56.028368794326241</v>
      </c>
      <c r="M10" s="99">
        <f>IF(ISNUMBER(F10),F10/Population!F10*10000,NA())</f>
        <v>92.553191489361708</v>
      </c>
      <c r="N10" s="99">
        <f>IF(ISNUMBER(G10),G10/Population!G10*10000,NA())</f>
        <v>83.629893238434164</v>
      </c>
      <c r="O10" s="100">
        <f>IF(ISNUMBER(H10),H10/Population!H10*10000,NA())</f>
        <v>89.399293286219091</v>
      </c>
      <c r="P10" s="101">
        <f>IF(ISNUMBER(O10),O10,"")</f>
        <v>89.399293286219091</v>
      </c>
      <c r="Q10" s="770">
        <f>IF(ISNA(VLOOKUP(B10,$AG$10:$AI$28,3,FALSE)),"--",IF(ISNUMBER(H10),VLOOKUP(B10,$AG$10:$AI$28,3,FALSE),NA()))</f>
        <v>16</v>
      </c>
      <c r="R10" s="69"/>
      <c r="S10" s="333">
        <f>IDACI!C9</f>
        <v>8.9</v>
      </c>
      <c r="T10" s="334">
        <f t="shared" ref="T10:T33" si="0">((S10*$Z$44)+$AA$44)/$Y$2</f>
        <v>46.920846122916217</v>
      </c>
      <c r="U10" s="335">
        <f>O10-T10</f>
        <v>42.478447163302874</v>
      </c>
      <c r="V10" s="124"/>
      <c r="W10" s="140"/>
      <c r="X10" s="149"/>
      <c r="Y10" s="71" t="str">
        <f t="shared" ref="Y10:Y33" si="1">B10</f>
        <v>Bracknell Forest</v>
      </c>
      <c r="Z10" s="45">
        <f>IF(ISNUMBER(H10),IDACI!D9,0)</f>
        <v>24849</v>
      </c>
      <c r="AA10" s="45">
        <f>IF(ISNUMBER(H10),IDACI!E9,0)</f>
        <v>2211.5610000000001</v>
      </c>
      <c r="AB10" s="202">
        <f>IF(ISNUMBER(D10),Population!D10,"")</f>
        <v>27800</v>
      </c>
      <c r="AC10" s="202">
        <f>IF(ISNUMBER(E10),Population!E10,"")</f>
        <v>28200</v>
      </c>
      <c r="AD10" s="202">
        <f>IF(ISNUMBER(F10),Population!F10,"")</f>
        <v>28200</v>
      </c>
      <c r="AE10" s="202">
        <f>IF(ISNUMBER(G10),Population!G10,"")</f>
        <v>28100</v>
      </c>
      <c r="AF10" s="202">
        <f>IF(ISNUMBER(H10),Population!H10,"")</f>
        <v>28300</v>
      </c>
      <c r="AG10" s="95" t="str">
        <f>B10</f>
        <v>Bracknell Forest</v>
      </c>
      <c r="AH10" s="225">
        <f>IFERROR(VLOOKUP(AG10,$B$10:$O$31,$AH$9,FALSE),"")</f>
        <v>89.399293286219091</v>
      </c>
      <c r="AI10" s="203">
        <f>RANK(AH10,$AH$10:$AH$28,1)</f>
        <v>16</v>
      </c>
      <c r="AJ10" s="199"/>
      <c r="AK10" s="156"/>
      <c r="AL10" s="792">
        <f>IF(ISERROR((E10-D10)/D10),"x",(E10-D10)/D10)</f>
        <v>-3.0674846625766871E-2</v>
      </c>
      <c r="AM10" s="792">
        <f>IF(ISERROR((F10-E10)/E10),"x",(F10-E10)/E10)</f>
        <v>0.65189873417721522</v>
      </c>
      <c r="AN10" s="792">
        <f>IF(ISERROR((G10-F10)/F10),"x",(G10-F10)/F10)</f>
        <v>-9.9616858237547887E-2</v>
      </c>
      <c r="AO10" s="792">
        <f>IF(ISERROR((H10-G10)/G10),"x",(H10-G10)/G10)</f>
        <v>7.6595744680851063E-2</v>
      </c>
      <c r="AP10" s="792">
        <f>AVERAGE(AL10:AO10)</f>
        <v>0.14955069349868788</v>
      </c>
      <c r="AR10" s="888">
        <f>IF(ISNUMBER(L10),L10,"")</f>
        <v>56.028368794326241</v>
      </c>
      <c r="AS10" s="888">
        <f t="shared" ref="AR10:AU25" si="2">IF(ISNUMBER(M10),M10,"")</f>
        <v>92.553191489361708</v>
      </c>
      <c r="AT10" s="888">
        <f t="shared" si="2"/>
        <v>83.629893238434164</v>
      </c>
      <c r="AU10" s="888">
        <f t="shared" si="2"/>
        <v>89.399293286219091</v>
      </c>
      <c r="AV10" s="888">
        <f t="shared" ref="AV10:AV22" si="3">SUM(AR10:AU10)</f>
        <v>321.61074680834122</v>
      </c>
      <c r="AW10" s="550">
        <f t="shared" ref="AW10:AW22" si="4">COUNTBLANK(AR10:AU10)</f>
        <v>0</v>
      </c>
      <c r="AX10" s="888">
        <f>AV10/(4-AW10)*4</f>
        <v>321.61074680834122</v>
      </c>
    </row>
    <row r="11" spans="1:50" s="89" customFormat="1" ht="13.5" customHeight="1" x14ac:dyDescent="0.2">
      <c r="A11" s="462">
        <f>VLOOKUP(B11,Sheet1!$AQ$4:$AR$25,2,FALSE)</f>
        <v>0</v>
      </c>
      <c r="B11" s="95" t="str">
        <f>Sheet1!$K$5</f>
        <v>Brighton &amp; Hove</v>
      </c>
      <c r="C11" s="87"/>
      <c r="D11" s="96">
        <f>IF(Year1_Brighton_Hove Year1_CP_Conference="","",Year1_Brighton_Hove Year1_CP_Conference)</f>
        <v>472</v>
      </c>
      <c r="E11" s="96">
        <f>IF(Year2_Brighton_Hove Year2_CP_Conference="","",Year2_Brighton_Hove Year2_CP_Conference)</f>
        <v>544</v>
      </c>
      <c r="F11" s="96">
        <f>IF(Year3_Brighton_Hove Year3_CP_Conference="","",Year3_Brighton_Hove Year3_CP_Conference)</f>
        <v>471</v>
      </c>
      <c r="G11" s="96">
        <f>IF(Year4_Brighton_Hove Year4_CP_Conference="","",Year4_Brighton_Hove Year4_CP_Conference)</f>
        <v>481</v>
      </c>
      <c r="H11" s="97">
        <f>IF(Year5_Brighton_Hove Year5_CP_Conference="","",Year5_Brighton_Hove Year5_CP_Conference)</f>
        <v>391</v>
      </c>
      <c r="I11" s="337">
        <f t="shared" ref="I11:I33" si="5">AP11</f>
        <v>-3.6881892048527889E-2</v>
      </c>
      <c r="J11" s="98"/>
      <c r="K11" s="99">
        <f>IF(ISNUMBER(D11),D11/Population!D11*10000,NA())</f>
        <v>92.54901960784315</v>
      </c>
      <c r="L11" s="99">
        <f>IF(ISNUMBER(E11),E11/Population!E11*10000,NA())</f>
        <v>106.25000000000001</v>
      </c>
      <c r="M11" s="99">
        <f>IF(ISNUMBER(F11),F11/Population!F11*10000,NA())</f>
        <v>91.812865497076032</v>
      </c>
      <c r="N11" s="99">
        <f>IF(ISNUMBER(G11),G11/Population!G11*10000,NA())</f>
        <v>94.313725490196077</v>
      </c>
      <c r="O11" s="100">
        <f>IF(ISNUMBER(H11),H11/Population!H11*10000,NA())</f>
        <v>76.666666666666657</v>
      </c>
      <c r="P11" s="101">
        <f t="shared" ref="P11:P32" si="6">IF(ISNUMBER(O11),O11,"")</f>
        <v>76.666666666666657</v>
      </c>
      <c r="Q11" s="770">
        <f t="shared" ref="Q11:Q33" si="7">IF(ISNA(VLOOKUP(B11,$AG$10:$AI$28,3,FALSE)),"--",IF(ISNUMBER(H11),VLOOKUP(B11,$AG$10:$AI$28,3,FALSE),NA()))</f>
        <v>13</v>
      </c>
      <c r="R11" s="69"/>
      <c r="S11" s="333">
        <f>IDACI!C10</f>
        <v>15.299999999999999</v>
      </c>
      <c r="T11" s="334">
        <f t="shared" si="0"/>
        <v>63.021139044059346</v>
      </c>
      <c r="U11" s="335">
        <f t="shared" ref="U11:U33" si="8">O11-T11</f>
        <v>13.645527622607311</v>
      </c>
      <c r="V11" s="124"/>
      <c r="W11" s="140"/>
      <c r="X11" s="149"/>
      <c r="Y11" s="71" t="str">
        <f t="shared" si="1"/>
        <v>Brighton &amp; Hove</v>
      </c>
      <c r="Z11" s="45">
        <f>IF(ISNUMBER(H11),IDACI!D10,0)</f>
        <v>45576</v>
      </c>
      <c r="AA11" s="45">
        <f>IF(ISNUMBER(H11),IDACI!E10,0)</f>
        <v>6973.1279999999997</v>
      </c>
      <c r="AB11" s="202">
        <f>IF(ISNUMBER(D11),Population!D11,"")</f>
        <v>51000</v>
      </c>
      <c r="AC11" s="202">
        <f>IF(ISNUMBER(E11),Population!E11,"")</f>
        <v>51200</v>
      </c>
      <c r="AD11" s="202">
        <f>IF(ISNUMBER(F11),Population!F11,"")</f>
        <v>51300</v>
      </c>
      <c r="AE11" s="202">
        <f>IF(ISNUMBER(G11),Population!G11,"")</f>
        <v>51000</v>
      </c>
      <c r="AF11" s="202">
        <f>IF(ISNUMBER(H11),Population!H11,"")</f>
        <v>51000</v>
      </c>
      <c r="AG11" s="95" t="s">
        <v>31</v>
      </c>
      <c r="AH11" s="225">
        <f t="shared" ref="AH11:AH28" si="9">IFERROR(VLOOKUP(AG11,$B$10:$O$31,$AH$9,FALSE),"")</f>
        <v>76.666666666666657</v>
      </c>
      <c r="AI11" s="203">
        <f t="shared" ref="AI11:AI28" si="10">RANK(AH11,$AH$10:$AH$28,1)</f>
        <v>13</v>
      </c>
      <c r="AJ11" s="199"/>
      <c r="AK11" s="156"/>
      <c r="AL11" s="792">
        <f t="shared" ref="AL11:AO33" si="11">IF(ISERROR((E11-D11)/D11),"x",(E11-D11)/D11)</f>
        <v>0.15254237288135594</v>
      </c>
      <c r="AM11" s="792">
        <f t="shared" si="11"/>
        <v>-0.13419117647058823</v>
      </c>
      <c r="AN11" s="792">
        <f t="shared" si="11"/>
        <v>2.1231422505307854E-2</v>
      </c>
      <c r="AO11" s="792">
        <f t="shared" si="11"/>
        <v>-0.18711018711018712</v>
      </c>
      <c r="AP11" s="792">
        <f t="shared" ref="AP11:AP32" si="12">AVERAGE(AL11:AO11)</f>
        <v>-3.6881892048527889E-2</v>
      </c>
      <c r="AR11" s="888">
        <f t="shared" si="2"/>
        <v>106.25000000000001</v>
      </c>
      <c r="AS11" s="888">
        <f t="shared" si="2"/>
        <v>91.812865497076032</v>
      </c>
      <c r="AT11" s="888">
        <f t="shared" si="2"/>
        <v>94.313725490196077</v>
      </c>
      <c r="AU11" s="888">
        <f t="shared" si="2"/>
        <v>76.666666666666657</v>
      </c>
      <c r="AV11" s="888">
        <f t="shared" si="3"/>
        <v>369.04325765393878</v>
      </c>
      <c r="AW11" s="550">
        <f t="shared" si="4"/>
        <v>0</v>
      </c>
      <c r="AX11" s="888">
        <f t="shared" ref="AX11:AX33" si="13">AV11/(4-AW11)*4</f>
        <v>369.04325765393878</v>
      </c>
    </row>
    <row r="12" spans="1:50" s="89" customFormat="1" ht="13.5" customHeight="1" x14ac:dyDescent="0.2">
      <c r="A12" s="462">
        <f>VLOOKUP(B12,Sheet1!$AQ$4:$AR$25,2,FALSE)</f>
        <v>0</v>
      </c>
      <c r="B12" s="95" t="str">
        <f>Sheet1!$K$6</f>
        <v>Buckinghamshire</v>
      </c>
      <c r="C12" s="87"/>
      <c r="D12" s="96">
        <f>IF(Year1_Buckinghamshire Year1_CP_Conference="","",Year1_Buckinghamshire Year1_CP_Conference)</f>
        <v>511</v>
      </c>
      <c r="E12" s="96">
        <f>IF(Year2_Buckinghamshire Year2_CP_Conference="","",Year2_Buckinghamshire Year2_CP_Conference)</f>
        <v>749</v>
      </c>
      <c r="F12" s="96">
        <f>IF(Year3_Buckinghamshire Year3_CP_Conference="","",Year3_Buckinghamshire Year3_CP_Conference)</f>
        <v>866</v>
      </c>
      <c r="G12" s="96">
        <f>IF(Year4_Buckinghamshire Year4_CP_Conference="","",Year4_Buckinghamshire Year4_CP_Conference)</f>
        <v>862</v>
      </c>
      <c r="H12" s="97">
        <f>IF(Year5_Buckinghamshire Year5_CP_Conference="","",Year5_Buckinghamshire Year5_CP_Conference)</f>
        <v>797</v>
      </c>
      <c r="I12" s="337">
        <f t="shared" si="5"/>
        <v>0.13548418305854965</v>
      </c>
      <c r="J12" s="98"/>
      <c r="K12" s="99">
        <f>IF(ISNUMBER(D12),D12/Population!D12*10000,NA())</f>
        <v>42.97729184188394</v>
      </c>
      <c r="L12" s="99">
        <f>IF(ISNUMBER(E12),E12/Population!E12*10000,NA())</f>
        <v>62.106135986733001</v>
      </c>
      <c r="M12" s="99">
        <f>IF(ISNUMBER(F12),F12/Population!F12*10000,NA())</f>
        <v>70.86743044189852</v>
      </c>
      <c r="N12" s="99">
        <f>IF(ISNUMBER(G12),G12/Population!G12*10000,NA())</f>
        <v>70.02437043054428</v>
      </c>
      <c r="O12" s="100">
        <f>IF(ISNUMBER(H12),H12/Population!H12*10000,NA())</f>
        <v>64.119066773934023</v>
      </c>
      <c r="P12" s="101">
        <f t="shared" si="6"/>
        <v>64.119066773934023</v>
      </c>
      <c r="Q12" s="770">
        <f t="shared" si="7"/>
        <v>8</v>
      </c>
      <c r="R12" s="69"/>
      <c r="S12" s="333">
        <f>IDACI!C11</f>
        <v>8.5</v>
      </c>
      <c r="T12" s="334">
        <f t="shared" si="0"/>
        <v>45.914577815344771</v>
      </c>
      <c r="U12" s="335">
        <f t="shared" si="8"/>
        <v>18.204488958589252</v>
      </c>
      <c r="V12" s="124"/>
      <c r="W12" s="140"/>
      <c r="X12" s="149"/>
      <c r="Y12" s="71" t="str">
        <f t="shared" si="1"/>
        <v>Buckinghamshire</v>
      </c>
      <c r="Z12" s="45">
        <f>IF(ISNUMBER(H12),IDACI!D11,0)</f>
        <v>107385</v>
      </c>
      <c r="AA12" s="45">
        <f>IF(ISNUMBER(H12),IDACI!E11,0)</f>
        <v>9127.7250000000004</v>
      </c>
      <c r="AB12" s="202">
        <f>IF(ISNUMBER(D12),Population!D12,"")</f>
        <v>118900</v>
      </c>
      <c r="AC12" s="202">
        <f>IF(ISNUMBER(E12),Population!E12,"")</f>
        <v>120600</v>
      </c>
      <c r="AD12" s="202">
        <f>IF(ISNUMBER(F12),Population!F12,"")</f>
        <v>122200</v>
      </c>
      <c r="AE12" s="202">
        <f>IF(ISNUMBER(G12),Population!G12,"")</f>
        <v>123100</v>
      </c>
      <c r="AF12" s="202">
        <f>IF(ISNUMBER(H12),Population!H12,"")</f>
        <v>124300</v>
      </c>
      <c r="AG12" s="95" t="s">
        <v>8</v>
      </c>
      <c r="AH12" s="225">
        <f t="shared" si="9"/>
        <v>64.119066773934023</v>
      </c>
      <c r="AI12" s="203">
        <f t="shared" si="10"/>
        <v>8</v>
      </c>
      <c r="AJ12" s="199"/>
      <c r="AK12" s="156"/>
      <c r="AL12" s="792">
        <f t="shared" si="11"/>
        <v>0.46575342465753422</v>
      </c>
      <c r="AM12" s="792">
        <f t="shared" si="11"/>
        <v>0.15620827770360482</v>
      </c>
      <c r="AN12" s="792">
        <f t="shared" si="11"/>
        <v>-4.6189376443418013E-3</v>
      </c>
      <c r="AO12" s="792">
        <f t="shared" si="11"/>
        <v>-7.5406032482598612E-2</v>
      </c>
      <c r="AP12" s="792">
        <f t="shared" si="12"/>
        <v>0.13548418305854965</v>
      </c>
      <c r="AR12" s="888">
        <f t="shared" si="2"/>
        <v>62.106135986733001</v>
      </c>
      <c r="AS12" s="888">
        <f t="shared" si="2"/>
        <v>70.86743044189852</v>
      </c>
      <c r="AT12" s="888">
        <f t="shared" si="2"/>
        <v>70.02437043054428</v>
      </c>
      <c r="AU12" s="888">
        <f t="shared" si="2"/>
        <v>64.119066773934023</v>
      </c>
      <c r="AV12" s="888">
        <f>SUM(AR12:AU12)</f>
        <v>267.11700363310985</v>
      </c>
      <c r="AW12" s="550">
        <f>COUNTBLANK(AR12:AU12)</f>
        <v>0</v>
      </c>
      <c r="AX12" s="888">
        <f>AV12/(4-AW12)*4</f>
        <v>267.11700363310985</v>
      </c>
    </row>
    <row r="13" spans="1:50" s="89" customFormat="1" ht="13.5" customHeight="1" x14ac:dyDescent="0.2">
      <c r="A13" s="462">
        <f>VLOOKUP(B13,Sheet1!$AQ$4:$AR$25,2,FALSE)</f>
        <v>0</v>
      </c>
      <c r="B13" s="95" t="str">
        <f>Sheet1!$K$7</f>
        <v>East Sussex</v>
      </c>
      <c r="C13" s="87"/>
      <c r="D13" s="96">
        <f>IF(Year1_East_Sussex Year1_CP_Conference="","",Year1_East_Sussex Year1_CP_Conference)</f>
        <v>625</v>
      </c>
      <c r="E13" s="102">
        <f>IF(Year2_East_Sussex Year2_CP_Conference="","",Year2_East_Sussex Year2_CP_Conference)</f>
        <v>483</v>
      </c>
      <c r="F13" s="96">
        <f>IF(Year3_East_Sussex Year3_CP_Conference="","",Year3_East_Sussex Year3_CP_Conference)</f>
        <v>627</v>
      </c>
      <c r="G13" s="96">
        <f>IF(Year4_East_Sussex Year4_CP_Conference="","",Year4_East_Sussex Year4_CP_Conference)</f>
        <v>711</v>
      </c>
      <c r="H13" s="97">
        <f>IF(Year5_East_Sussex Year5_CP_Conference="","",Year5_East_Sussex Year5_CP_Conference)</f>
        <v>717</v>
      </c>
      <c r="I13" s="337">
        <f t="shared" si="5"/>
        <v>5.333668909854062E-2</v>
      </c>
      <c r="J13" s="98"/>
      <c r="K13" s="99">
        <f>IF(ISNUMBER(D13),D13/Population!D13*10000,NA())</f>
        <v>59.297912713472485</v>
      </c>
      <c r="L13" s="99">
        <f>IF(ISNUMBER(E13),E13/Population!E13*10000,NA())</f>
        <v>45.609065155807372</v>
      </c>
      <c r="M13" s="99">
        <f>IF(ISNUMBER(F13),F13/Population!F13*10000,NA())</f>
        <v>59.206798866855522</v>
      </c>
      <c r="N13" s="99">
        <f>IF(ISNUMBER(G13),G13/Population!G13*10000,NA())</f>
        <v>67.075471698113205</v>
      </c>
      <c r="O13" s="100">
        <f>IF(ISNUMBER(H13),H13/Population!H13*10000,NA())</f>
        <v>67.387218045112789</v>
      </c>
      <c r="P13" s="101">
        <f t="shared" si="6"/>
        <v>67.387218045112789</v>
      </c>
      <c r="Q13" s="770">
        <f t="shared" si="7"/>
        <v>11</v>
      </c>
      <c r="R13" s="69"/>
      <c r="S13" s="333">
        <f>IDACI!C12</f>
        <v>16.100000000000001</v>
      </c>
      <c r="T13" s="334">
        <f t="shared" si="0"/>
        <v>65.033675659202231</v>
      </c>
      <c r="U13" s="335">
        <f t="shared" si="8"/>
        <v>2.3535423859105578</v>
      </c>
      <c r="V13" s="124"/>
      <c r="W13" s="140"/>
      <c r="X13" s="149"/>
      <c r="Y13" s="71" t="str">
        <f t="shared" si="1"/>
        <v>East Sussex</v>
      </c>
      <c r="Z13" s="45">
        <f>IF(ISNUMBER(H13),IDACI!D12,0)</f>
        <v>93130</v>
      </c>
      <c r="AA13" s="45">
        <f>IF(ISNUMBER(H13),IDACI!E12,0)</f>
        <v>14993.93</v>
      </c>
      <c r="AB13" s="202">
        <f>IF(ISNUMBER(D13),Population!D13,"")</f>
        <v>105400</v>
      </c>
      <c r="AC13" s="202">
        <f>IF(ISNUMBER(E13),Population!E13,"")</f>
        <v>105900</v>
      </c>
      <c r="AD13" s="202">
        <f>IF(ISNUMBER(F13),Population!F13,"")</f>
        <v>105900</v>
      </c>
      <c r="AE13" s="202">
        <f>IF(ISNUMBER(G13),Population!G13,"")</f>
        <v>106000</v>
      </c>
      <c r="AF13" s="202">
        <f>IF(ISNUMBER(H13),Population!H13,"")</f>
        <v>106400</v>
      </c>
      <c r="AG13" s="95" t="s">
        <v>4</v>
      </c>
      <c r="AH13" s="225">
        <f t="shared" si="9"/>
        <v>67.387218045112789</v>
      </c>
      <c r="AI13" s="203">
        <f t="shared" si="10"/>
        <v>11</v>
      </c>
      <c r="AJ13" s="199"/>
      <c r="AK13" s="156"/>
      <c r="AL13" s="792">
        <f t="shared" si="11"/>
        <v>-0.22720000000000001</v>
      </c>
      <c r="AM13" s="792">
        <f t="shared" si="11"/>
        <v>0.29813664596273293</v>
      </c>
      <c r="AN13" s="792">
        <f t="shared" si="11"/>
        <v>0.13397129186602871</v>
      </c>
      <c r="AO13" s="792">
        <f t="shared" si="11"/>
        <v>8.4388185654008432E-3</v>
      </c>
      <c r="AP13" s="792">
        <f t="shared" si="12"/>
        <v>5.333668909854062E-2</v>
      </c>
      <c r="AR13" s="888">
        <f t="shared" si="2"/>
        <v>45.609065155807372</v>
      </c>
      <c r="AS13" s="888">
        <f t="shared" si="2"/>
        <v>59.206798866855522</v>
      </c>
      <c r="AT13" s="888">
        <f t="shared" si="2"/>
        <v>67.075471698113205</v>
      </c>
      <c r="AU13" s="888">
        <f t="shared" si="2"/>
        <v>67.387218045112789</v>
      </c>
      <c r="AV13" s="888">
        <f t="shared" si="3"/>
        <v>239.27855376588889</v>
      </c>
      <c r="AW13" s="550">
        <f t="shared" si="4"/>
        <v>0</v>
      </c>
      <c r="AX13" s="888">
        <f t="shared" si="13"/>
        <v>239.27855376588889</v>
      </c>
    </row>
    <row r="14" spans="1:50" s="89" customFormat="1" ht="13.5" customHeight="1" x14ac:dyDescent="0.2">
      <c r="A14" s="462">
        <f>VLOOKUP(B14,Sheet1!$AQ$4:$AR$25,2,FALSE)</f>
        <v>0</v>
      </c>
      <c r="B14" s="95" t="str">
        <f>Sheet1!$K$8</f>
        <v>Hampshire</v>
      </c>
      <c r="C14" s="87"/>
      <c r="D14" s="96">
        <f>IF(Year1_Hampshire Year1_CP_Conference="","",Year1_Hampshire Year1_CP_Conference)</f>
        <v>2114</v>
      </c>
      <c r="E14" s="96">
        <f>IF(Year2_Hampshire Year2_CP_Conference="","",Year2_Hampshire Year2_CP_Conference)</f>
        <v>1900</v>
      </c>
      <c r="F14" s="103">
        <f>IF(Year3_Hampshire Year3_CP_Conference="","",Year3_Hampshire Year3_CP_Conference)</f>
        <v>1869</v>
      </c>
      <c r="G14" s="103">
        <f>IF(Year4_Hampshire Year4_CP_Conference="","",Year4_Hampshire Year4_CP_Conference)</f>
        <v>1784</v>
      </c>
      <c r="H14" s="97">
        <f>IF(Year5_Hampshire Year5_CP_Conference="","",Year5_Hampshire Year5_CP_Conference)</f>
        <v>1762</v>
      </c>
      <c r="I14" s="337">
        <f t="shared" si="5"/>
        <v>-4.3839097418543534E-2</v>
      </c>
      <c r="J14" s="98"/>
      <c r="K14" s="99">
        <f>IF(ISNUMBER(D14),D14/Population!D14*10000,NA())</f>
        <v>75.097690941385437</v>
      </c>
      <c r="L14" s="99">
        <f>IF(ISNUMBER(E14),E14/Population!E14*10000,NA())</f>
        <v>67.399787158566866</v>
      </c>
      <c r="M14" s="99">
        <f>IF(ISNUMBER(F14),F14/Population!F14*10000,NA())</f>
        <v>66.089108910891085</v>
      </c>
      <c r="N14" s="99">
        <f>IF(ISNUMBER(G14),G14/Population!G14*10000,NA())</f>
        <v>62.972114366396042</v>
      </c>
      <c r="O14" s="100">
        <f>IF(ISNUMBER(H14),H14/Population!H14*10000,NA())</f>
        <v>62.04225352112676</v>
      </c>
      <c r="P14" s="101">
        <f t="shared" si="6"/>
        <v>62.04225352112676</v>
      </c>
      <c r="Q14" s="770">
        <f t="shared" si="7"/>
        <v>7</v>
      </c>
      <c r="R14" s="69"/>
      <c r="S14" s="333">
        <f>IDACI!C13</f>
        <v>10.100000000000001</v>
      </c>
      <c r="T14" s="334">
        <f t="shared" si="0"/>
        <v>49.939651045630555</v>
      </c>
      <c r="U14" s="335">
        <f t="shared" si="8"/>
        <v>12.102602475496205</v>
      </c>
      <c r="V14" s="124"/>
      <c r="W14" s="140"/>
      <c r="X14" s="149"/>
      <c r="Y14" s="71" t="str">
        <f t="shared" si="1"/>
        <v>Hampshire</v>
      </c>
      <c r="Z14" s="45">
        <f>IF(ISNUMBER(H14),IDACI!D13,0)</f>
        <v>249483</v>
      </c>
      <c r="AA14" s="45">
        <f>IF(ISNUMBER(H14),IDACI!E13,0)</f>
        <v>25197.783000000007</v>
      </c>
      <c r="AB14" s="202">
        <f>IF(ISNUMBER(D14),Population!D14,"")</f>
        <v>281500</v>
      </c>
      <c r="AC14" s="202">
        <f>IF(ISNUMBER(E14),Population!E14,"")</f>
        <v>281900</v>
      </c>
      <c r="AD14" s="202">
        <f>IF(ISNUMBER(F14),Population!F14,"")</f>
        <v>282800</v>
      </c>
      <c r="AE14" s="202">
        <f>IF(ISNUMBER(G14),Population!G14,"")</f>
        <v>283300</v>
      </c>
      <c r="AF14" s="202">
        <f>IF(ISNUMBER(H14),Population!H14,"")</f>
        <v>284000</v>
      </c>
      <c r="AG14" s="95" t="s">
        <v>6</v>
      </c>
      <c r="AH14" s="225">
        <f t="shared" si="9"/>
        <v>62.04225352112676</v>
      </c>
      <c r="AI14" s="203">
        <f t="shared" si="10"/>
        <v>7</v>
      </c>
      <c r="AJ14" s="199"/>
      <c r="AK14" s="156"/>
      <c r="AL14" s="792">
        <f t="shared" si="11"/>
        <v>-0.10122989593188268</v>
      </c>
      <c r="AM14" s="792">
        <f t="shared" si="11"/>
        <v>-1.6315789473684211E-2</v>
      </c>
      <c r="AN14" s="792">
        <f t="shared" si="11"/>
        <v>-4.5478865703584802E-2</v>
      </c>
      <c r="AO14" s="792">
        <f t="shared" si="11"/>
        <v>-1.2331838565022421E-2</v>
      </c>
      <c r="AP14" s="792">
        <f t="shared" si="12"/>
        <v>-4.3839097418543534E-2</v>
      </c>
      <c r="AR14" s="888">
        <f t="shared" si="2"/>
        <v>67.399787158566866</v>
      </c>
      <c r="AS14" s="888">
        <f t="shared" si="2"/>
        <v>66.089108910891085</v>
      </c>
      <c r="AT14" s="888">
        <f t="shared" si="2"/>
        <v>62.972114366396042</v>
      </c>
      <c r="AU14" s="888">
        <f t="shared" si="2"/>
        <v>62.04225352112676</v>
      </c>
      <c r="AV14" s="888">
        <f t="shared" si="3"/>
        <v>258.50326395698079</v>
      </c>
      <c r="AW14" s="550">
        <f t="shared" si="4"/>
        <v>0</v>
      </c>
      <c r="AX14" s="888">
        <f t="shared" si="13"/>
        <v>258.50326395698079</v>
      </c>
    </row>
    <row r="15" spans="1:50" s="89" customFormat="1" ht="13.5" customHeight="1" x14ac:dyDescent="0.2">
      <c r="A15" s="462">
        <f>VLOOKUP(B15,Sheet1!$AQ$4:$AR$25,2,FALSE)</f>
        <v>0</v>
      </c>
      <c r="B15" s="95" t="str">
        <f>Sheet1!$K$9</f>
        <v>Isle of Wight</v>
      </c>
      <c r="C15" s="87"/>
      <c r="D15" s="96">
        <f>IF(Year1_Isle_of_Wight Year1_CP_Conference="","",Year1_Isle_of_Wight Year1_CP_Conference)</f>
        <v>329</v>
      </c>
      <c r="E15" s="96">
        <f>IF(Year2_Isle_of_Wight Year2_CP_Conference="","",Year2_Isle_of_Wight Year2_CP_Conference)</f>
        <v>375</v>
      </c>
      <c r="F15" s="96">
        <f>IF(Year3_Isle_of_Wight Year3_CP_Conference="","",Year3_Isle_of_Wight Year3_CP_Conference)</f>
        <v>288</v>
      </c>
      <c r="G15" s="96">
        <f>IF(Year4_Isle_of_Wight Year4_CP_Conference="","",Year4_Isle_of_Wight Year4_CP_Conference)</f>
        <v>271</v>
      </c>
      <c r="H15" s="97">
        <f>IF(Year5_Isle_of_Wight Year5_CP_Conference="","",Year5_Isle_of_Wight Year5_CP_Conference)</f>
        <v>231</v>
      </c>
      <c r="I15" s="337">
        <f t="shared" si="5"/>
        <v>-7.4702906153301663E-2</v>
      </c>
      <c r="J15" s="98"/>
      <c r="K15" s="99">
        <f>IF(ISNUMBER(D15),D15/Population!D15*10000,NA())</f>
        <v>129.01960784313727</v>
      </c>
      <c r="L15" s="99">
        <f>IF(ISNUMBER(E15),E15/Population!E15*10000,NA())</f>
        <v>148.22134387351778</v>
      </c>
      <c r="M15" s="99">
        <f>IF(ISNUMBER(F15),F15/Population!F15*10000,NA())</f>
        <v>114.28571428571429</v>
      </c>
      <c r="N15" s="99">
        <f>IF(ISNUMBER(G15),G15/Population!G15*10000,NA())</f>
        <v>107.96812749003983</v>
      </c>
      <c r="O15" s="100">
        <f>IF(ISNUMBER(H15),H15/Population!H15*10000,NA())</f>
        <v>92.771084337349393</v>
      </c>
      <c r="P15" s="101">
        <f t="shared" si="6"/>
        <v>92.771084337349393</v>
      </c>
      <c r="Q15" s="770">
        <f t="shared" si="7"/>
        <v>17</v>
      </c>
      <c r="R15" s="69"/>
      <c r="S15" s="333">
        <f>IDACI!C14</f>
        <v>18</v>
      </c>
      <c r="T15" s="334">
        <f t="shared" si="0"/>
        <v>69.813450120166607</v>
      </c>
      <c r="U15" s="335">
        <f t="shared" si="8"/>
        <v>22.957634217182786</v>
      </c>
      <c r="V15" s="124"/>
      <c r="W15" s="140"/>
      <c r="X15" s="149"/>
      <c r="Y15" s="71" t="str">
        <f t="shared" si="1"/>
        <v>Isle of Wight</v>
      </c>
      <c r="Z15" s="45">
        <f>IF(ISNUMBER(H15),IDACI!D14,0)</f>
        <v>22123</v>
      </c>
      <c r="AA15" s="45">
        <f>IF(ISNUMBER(H15),IDACI!E14,0)</f>
        <v>3982.14</v>
      </c>
      <c r="AB15" s="202">
        <f>IF(ISNUMBER(D15),Population!D15,"")</f>
        <v>25500</v>
      </c>
      <c r="AC15" s="202">
        <f>IF(ISNUMBER(E15),Population!E15,"")</f>
        <v>25300</v>
      </c>
      <c r="AD15" s="202">
        <f>IF(ISNUMBER(F15),Population!F15,"")</f>
        <v>25200</v>
      </c>
      <c r="AE15" s="202">
        <f>IF(ISNUMBER(G15),Population!G15,"")</f>
        <v>25100</v>
      </c>
      <c r="AF15" s="202">
        <f>IF(ISNUMBER(H15),Population!H15,"")</f>
        <v>24900</v>
      </c>
      <c r="AG15" s="95" t="s">
        <v>1</v>
      </c>
      <c r="AH15" s="225">
        <f t="shared" si="9"/>
        <v>92.771084337349393</v>
      </c>
      <c r="AI15" s="203">
        <f t="shared" si="10"/>
        <v>17</v>
      </c>
      <c r="AJ15" s="199"/>
      <c r="AK15" s="156"/>
      <c r="AL15" s="792">
        <f t="shared" si="11"/>
        <v>0.1398176291793313</v>
      </c>
      <c r="AM15" s="792">
        <f t="shared" si="11"/>
        <v>-0.23200000000000001</v>
      </c>
      <c r="AN15" s="792">
        <f t="shared" si="11"/>
        <v>-5.9027777777777776E-2</v>
      </c>
      <c r="AO15" s="792">
        <f t="shared" si="11"/>
        <v>-0.14760147601476015</v>
      </c>
      <c r="AP15" s="792">
        <f t="shared" si="12"/>
        <v>-7.4702906153301663E-2</v>
      </c>
      <c r="AR15" s="888">
        <f t="shared" si="2"/>
        <v>148.22134387351778</v>
      </c>
      <c r="AS15" s="888">
        <f t="shared" si="2"/>
        <v>114.28571428571429</v>
      </c>
      <c r="AT15" s="888">
        <f t="shared" si="2"/>
        <v>107.96812749003983</v>
      </c>
      <c r="AU15" s="888">
        <f t="shared" si="2"/>
        <v>92.771084337349393</v>
      </c>
      <c r="AV15" s="888">
        <f t="shared" si="3"/>
        <v>463.24626998662131</v>
      </c>
      <c r="AW15" s="550">
        <f t="shared" si="4"/>
        <v>0</v>
      </c>
      <c r="AX15" s="888">
        <f t="shared" si="13"/>
        <v>463.24626998662131</v>
      </c>
    </row>
    <row r="16" spans="1:50" s="89" customFormat="1" ht="13.5" customHeight="1" x14ac:dyDescent="0.2">
      <c r="A16" s="462">
        <f>VLOOKUP(B16,Sheet1!$AQ$4:$AR$25,2,FALSE)</f>
        <v>0</v>
      </c>
      <c r="B16" s="95" t="str">
        <f>Sheet1!$K$10</f>
        <v>Kent</v>
      </c>
      <c r="C16" s="87"/>
      <c r="D16" s="96">
        <f>IF(Year1_Kent Year1_CP_Conference="","",Year1_Kent Year1_CP_Conference)</f>
        <v>1798</v>
      </c>
      <c r="E16" s="96">
        <f>IF(Year2_Kent Year2_CP_Conference="","",Year2_Kent Year2_CP_Conference)</f>
        <v>1549</v>
      </c>
      <c r="F16" s="96">
        <f>IF(Year3_Kent Year3_CP_Conference="","",Year3_Kent Year3_CP_Conference)</f>
        <v>1494</v>
      </c>
      <c r="G16" s="96">
        <f>IF(Year4_Kent Year4_CP_Conference="","",Year4_Kent Year4_CP_Conference)</f>
        <v>1762</v>
      </c>
      <c r="H16" s="97">
        <f>IF(Year5_Kent Year5_CP_Conference="","",Year5_Kent Year5_CP_Conference)</f>
        <v>1573</v>
      </c>
      <c r="I16" s="337">
        <f t="shared" si="5"/>
        <v>-2.5468563821454859E-2</v>
      </c>
      <c r="J16" s="98"/>
      <c r="K16" s="99">
        <f>IF(ISNUMBER(D16),D16/Population!D16*10000,NA())</f>
        <v>54.766981419433442</v>
      </c>
      <c r="L16" s="99">
        <f>IF(ISNUMBER(E16),E16/Population!E16*10000,NA())</f>
        <v>46.882566585956418</v>
      </c>
      <c r="M16" s="99">
        <f>IF(ISNUMBER(F16),F16/Population!F16*10000,NA())</f>
        <v>44.864864864864863</v>
      </c>
      <c r="N16" s="99">
        <f>IF(ISNUMBER(G16),G16/Population!G16*10000,NA())</f>
        <v>52.42487354953883</v>
      </c>
      <c r="O16" s="100">
        <f>IF(ISNUMBER(H16),H16/Population!H16*10000,NA())</f>
        <v>46.25110261687739</v>
      </c>
      <c r="P16" s="101">
        <f t="shared" si="6"/>
        <v>46.25110261687739</v>
      </c>
      <c r="Q16" s="770">
        <f t="shared" si="7"/>
        <v>3</v>
      </c>
      <c r="R16" s="69"/>
      <c r="S16" s="333">
        <f>IDACI!C15</f>
        <v>15.8</v>
      </c>
      <c r="T16" s="334">
        <f t="shared" si="0"/>
        <v>64.278974428523654</v>
      </c>
      <c r="U16" s="335">
        <f t="shared" si="8"/>
        <v>-18.027871811646264</v>
      </c>
      <c r="V16" s="124"/>
      <c r="W16" s="140"/>
      <c r="X16" s="149"/>
      <c r="Y16" s="71" t="str">
        <f t="shared" si="1"/>
        <v>Kent</v>
      </c>
      <c r="Z16" s="45">
        <f>IF(ISNUMBER(H16),IDACI!D15,0)</f>
        <v>291866</v>
      </c>
      <c r="AA16" s="45">
        <f>IF(ISNUMBER(H16),IDACI!E15,0)</f>
        <v>46114.828000000001</v>
      </c>
      <c r="AB16" s="202">
        <f>IF(ISNUMBER(D16),Population!D16,"")</f>
        <v>328300</v>
      </c>
      <c r="AC16" s="202">
        <f>IF(ISNUMBER(E16),Population!E16,"")</f>
        <v>330400</v>
      </c>
      <c r="AD16" s="202">
        <f>IF(ISNUMBER(F16),Population!F16,"")</f>
        <v>333000</v>
      </c>
      <c r="AE16" s="202">
        <f>IF(ISNUMBER(G16),Population!G16,"")</f>
        <v>336100</v>
      </c>
      <c r="AF16" s="202">
        <f>IF(ISNUMBER(H16),Population!H16,"")</f>
        <v>340100</v>
      </c>
      <c r="AG16" s="95" t="s">
        <v>9</v>
      </c>
      <c r="AH16" s="225">
        <f t="shared" si="9"/>
        <v>46.25110261687739</v>
      </c>
      <c r="AI16" s="203">
        <f t="shared" si="10"/>
        <v>3</v>
      </c>
      <c r="AJ16" s="199"/>
      <c r="AK16" s="156"/>
      <c r="AL16" s="792">
        <f t="shared" si="11"/>
        <v>-0.13848720800889877</v>
      </c>
      <c r="AM16" s="792">
        <f t="shared" si="11"/>
        <v>-3.5506778566817304E-2</v>
      </c>
      <c r="AN16" s="792">
        <f t="shared" si="11"/>
        <v>0.17938420348058903</v>
      </c>
      <c r="AO16" s="792">
        <f t="shared" si="11"/>
        <v>-0.10726447219069239</v>
      </c>
      <c r="AP16" s="792">
        <f t="shared" si="12"/>
        <v>-2.5468563821454859E-2</v>
      </c>
      <c r="AR16" s="888">
        <f t="shared" si="2"/>
        <v>46.882566585956418</v>
      </c>
      <c r="AS16" s="888">
        <f t="shared" si="2"/>
        <v>44.864864864864863</v>
      </c>
      <c r="AT16" s="888">
        <f t="shared" si="2"/>
        <v>52.42487354953883</v>
      </c>
      <c r="AU16" s="888">
        <f t="shared" si="2"/>
        <v>46.25110261687739</v>
      </c>
      <c r="AV16" s="888">
        <f t="shared" si="3"/>
        <v>190.4234076172375</v>
      </c>
      <c r="AW16" s="550">
        <f t="shared" si="4"/>
        <v>0</v>
      </c>
      <c r="AX16" s="888">
        <f t="shared" si="13"/>
        <v>190.4234076172375</v>
      </c>
    </row>
    <row r="17" spans="1:50" s="89" customFormat="1" ht="13.5" customHeight="1" x14ac:dyDescent="0.2">
      <c r="A17" s="462">
        <f>VLOOKUP(B17,Sheet1!$AQ$4:$AR$25,2,FALSE)</f>
        <v>0</v>
      </c>
      <c r="B17" s="95" t="str">
        <f>Sheet1!$K$11</f>
        <v>Medway</v>
      </c>
      <c r="C17" s="87"/>
      <c r="D17" s="96">
        <f>IF(Year1_Medway Year1_CP_Conference="","",Year1_Medway Year1_CP_Conference)</f>
        <v>606</v>
      </c>
      <c r="E17" s="290">
        <f>IF(Year2_Medway Year2_CP_Conference="","",Year2_Medway Year2_CP_Conference)</f>
        <v>607</v>
      </c>
      <c r="F17" s="290">
        <f>IF(Year3_Medway Year3_CP_Conference="","",Year3_Medway Year3_CP_Conference)</f>
        <v>351</v>
      </c>
      <c r="G17" s="290">
        <f>IF(Year4_Medway Year4_CP_Conference="","",Year4_Medway Year4_CP_Conference)</f>
        <v>403</v>
      </c>
      <c r="H17" s="291">
        <f>IF(Year5_Medway Year5_CP_Conference="","",Year5_Medway Year5_CP_Conference)</f>
        <v>554</v>
      </c>
      <c r="I17" s="337">
        <f t="shared" si="5"/>
        <v>2.5685461555477448E-2</v>
      </c>
      <c r="J17" s="98"/>
      <c r="K17" s="99">
        <f>IF(ISNUMBER(D17),D17/Population!D17*10000,NA())</f>
        <v>96.96</v>
      </c>
      <c r="L17" s="99">
        <f>IF(ISNUMBER(E17),E17/Population!E17*10000,NA())</f>
        <v>96.044303797468359</v>
      </c>
      <c r="M17" s="99">
        <f>IF(ISNUMBER(F17),F17/Population!F17*10000,NA())</f>
        <v>55.102040816326529</v>
      </c>
      <c r="N17" s="99">
        <f>IF(ISNUMBER(G17),G17/Population!G17*10000,NA())</f>
        <v>63.06729264475743</v>
      </c>
      <c r="O17" s="100">
        <f>IF(ISNUMBER(H17),H17/Population!H17*10000,NA())</f>
        <v>86.024844720496901</v>
      </c>
      <c r="P17" s="101">
        <f t="shared" si="6"/>
        <v>86.024844720496901</v>
      </c>
      <c r="Q17" s="770">
        <f t="shared" si="7"/>
        <v>15</v>
      </c>
      <c r="R17" s="69"/>
      <c r="S17" s="333">
        <f>IDACI!C16</f>
        <v>18.899999999999999</v>
      </c>
      <c r="T17" s="334">
        <f t="shared" si="0"/>
        <v>72.077553812202353</v>
      </c>
      <c r="U17" s="335">
        <f t="shared" si="8"/>
        <v>13.947290908294548</v>
      </c>
      <c r="V17" s="124"/>
      <c r="W17" s="140"/>
      <c r="X17" s="149"/>
      <c r="Y17" s="71" t="str">
        <f t="shared" si="1"/>
        <v>Medway</v>
      </c>
      <c r="Z17" s="45">
        <f>IF(ISNUMBER(H17),IDACI!D16,0)</f>
        <v>55993</v>
      </c>
      <c r="AA17" s="45">
        <f>IF(ISNUMBER(H17),IDACI!E16,0)</f>
        <v>10582.676999999998</v>
      </c>
      <c r="AB17" s="202">
        <f>IF(ISNUMBER(D17),Population!D17,"")</f>
        <v>62500</v>
      </c>
      <c r="AC17" s="202">
        <f>IF(ISNUMBER(E17),Population!E17,"")</f>
        <v>63200</v>
      </c>
      <c r="AD17" s="202">
        <f>IF(ISNUMBER(F17),Population!F17,"")</f>
        <v>63700</v>
      </c>
      <c r="AE17" s="202">
        <f>IF(ISNUMBER(G17),Population!G17,"")</f>
        <v>63900</v>
      </c>
      <c r="AF17" s="202">
        <f>IF(ISNUMBER(H17),Population!H17,"")</f>
        <v>64400</v>
      </c>
      <c r="AG17" s="95" t="s">
        <v>2</v>
      </c>
      <c r="AH17" s="225">
        <f t="shared" si="9"/>
        <v>86.024844720496901</v>
      </c>
      <c r="AI17" s="203">
        <f t="shared" si="10"/>
        <v>15</v>
      </c>
      <c r="AJ17" s="199"/>
      <c r="AK17" s="156"/>
      <c r="AL17" s="792">
        <f t="shared" si="11"/>
        <v>1.6501650165016502E-3</v>
      </c>
      <c r="AM17" s="792">
        <f t="shared" si="11"/>
        <v>-0.42174629324546953</v>
      </c>
      <c r="AN17" s="792">
        <f t="shared" si="11"/>
        <v>0.14814814814814814</v>
      </c>
      <c r="AO17" s="792">
        <f t="shared" si="11"/>
        <v>0.37468982630272951</v>
      </c>
      <c r="AP17" s="792">
        <f t="shared" si="12"/>
        <v>2.5685461555477448E-2</v>
      </c>
      <c r="AR17" s="888">
        <f t="shared" si="2"/>
        <v>96.044303797468359</v>
      </c>
      <c r="AS17" s="888">
        <f t="shared" si="2"/>
        <v>55.102040816326529</v>
      </c>
      <c r="AT17" s="888">
        <f t="shared" si="2"/>
        <v>63.06729264475743</v>
      </c>
      <c r="AU17" s="888">
        <f t="shared" si="2"/>
        <v>86.024844720496901</v>
      </c>
      <c r="AV17" s="888">
        <f t="shared" si="3"/>
        <v>300.2384819790492</v>
      </c>
      <c r="AW17" s="550">
        <f t="shared" si="4"/>
        <v>0</v>
      </c>
      <c r="AX17" s="888">
        <f t="shared" si="13"/>
        <v>300.2384819790492</v>
      </c>
    </row>
    <row r="18" spans="1:50" s="89" customFormat="1" ht="13.5" customHeight="1" x14ac:dyDescent="0.2">
      <c r="A18" s="462">
        <f>VLOOKUP(B18,Sheet1!$AQ$4:$AR$25,2,FALSE)</f>
        <v>0</v>
      </c>
      <c r="B18" s="95" t="str">
        <f>Sheet1!$K$12</f>
        <v>Milton Keynes</v>
      </c>
      <c r="C18" s="87"/>
      <c r="D18" s="96">
        <f>IF(Year1_Milton_Keynes Year1_CP_Conference="","",Year1_Milton_Keynes Year1_CP_Conference)</f>
        <v>118</v>
      </c>
      <c r="E18" s="96">
        <f>IF(Year2_Milton_Keynes Year2_CP_Conference="","",Year2_Milton_Keynes Year2_CP_Conference)</f>
        <v>120</v>
      </c>
      <c r="F18" s="96">
        <f>IF(Year3_Milton_Keynes Year3_CP_Conference="","",Year3_Milton_Keynes Year3_CP_Conference)</f>
        <v>147</v>
      </c>
      <c r="G18" s="96">
        <f>IF(Year4_Milton_Keynes Year4_CP_Conference="","",Year4_Milton_Keynes Year4_CP_Conference)</f>
        <v>175</v>
      </c>
      <c r="H18" s="97">
        <f>IF(Year5_Milton_Keynes Year5_CP_Conference="","",Year5_Milton_Keynes Year5_CP_Conference)</f>
        <v>222</v>
      </c>
      <c r="I18" s="337">
        <f t="shared" si="5"/>
        <v>0.17524919289749799</v>
      </c>
      <c r="J18" s="98"/>
      <c r="K18" s="99">
        <f>IF(ISNUMBER(D18),D18/Population!D18*10000,NA())</f>
        <v>18.098159509202453</v>
      </c>
      <c r="L18" s="99">
        <f>IF(ISNUMBER(E18),E18/Population!E18*10000,NA())</f>
        <v>18.154311649016641</v>
      </c>
      <c r="M18" s="99">
        <f>IF(ISNUMBER(F18),F18/Population!F18*10000,NA())</f>
        <v>21.907600596125189</v>
      </c>
      <c r="N18" s="99">
        <f>IF(ISNUMBER(G18),G18/Population!G18*10000,NA())</f>
        <v>25.887573964497044</v>
      </c>
      <c r="O18" s="100">
        <f>IF(ISNUMBER(H18),H18/Population!H18*10000,NA())</f>
        <v>32.503660322108345</v>
      </c>
      <c r="P18" s="101">
        <f t="shared" si="6"/>
        <v>32.503660322108345</v>
      </c>
      <c r="Q18" s="770">
        <f t="shared" si="7"/>
        <v>1</v>
      </c>
      <c r="R18" s="69"/>
      <c r="S18" s="333">
        <f>IDACI!C17</f>
        <v>15</v>
      </c>
      <c r="T18" s="334">
        <f t="shared" si="0"/>
        <v>62.266437813380762</v>
      </c>
      <c r="U18" s="335">
        <f t="shared" si="8"/>
        <v>-29.762777491272416</v>
      </c>
      <c r="V18" s="124"/>
      <c r="W18" s="140"/>
      <c r="X18" s="149"/>
      <c r="Y18" s="71" t="str">
        <f t="shared" si="1"/>
        <v>Milton Keynes</v>
      </c>
      <c r="Z18" s="45">
        <f>IF(ISNUMBER(H18),IDACI!D17,0)</f>
        <v>59903</v>
      </c>
      <c r="AA18" s="45">
        <f>IF(ISNUMBER(H18),IDACI!E17,0)</f>
        <v>8985.4499999999989</v>
      </c>
      <c r="AB18" s="202">
        <f>IF(ISNUMBER(D18),Population!D18,"")</f>
        <v>65200</v>
      </c>
      <c r="AC18" s="202">
        <f>IF(ISNUMBER(E18),Population!E18,"")</f>
        <v>66100</v>
      </c>
      <c r="AD18" s="202">
        <f>IF(ISNUMBER(F18),Population!F18,"")</f>
        <v>67100</v>
      </c>
      <c r="AE18" s="202">
        <f>IF(ISNUMBER(G18),Population!G18,"")</f>
        <v>67600</v>
      </c>
      <c r="AF18" s="202">
        <f>IF(ISNUMBER(H18),Population!H18,"")</f>
        <v>68300</v>
      </c>
      <c r="AG18" s="95" t="s">
        <v>10</v>
      </c>
      <c r="AH18" s="225">
        <f t="shared" si="9"/>
        <v>32.503660322108345</v>
      </c>
      <c r="AI18" s="203">
        <f t="shared" si="10"/>
        <v>1</v>
      </c>
      <c r="AJ18" s="199"/>
      <c r="AK18" s="156"/>
      <c r="AL18" s="792">
        <f t="shared" si="11"/>
        <v>1.6949152542372881E-2</v>
      </c>
      <c r="AM18" s="792">
        <f t="shared" si="11"/>
        <v>0.22500000000000001</v>
      </c>
      <c r="AN18" s="792">
        <f t="shared" si="11"/>
        <v>0.19047619047619047</v>
      </c>
      <c r="AO18" s="792">
        <f t="shared" si="11"/>
        <v>0.26857142857142857</v>
      </c>
      <c r="AP18" s="792">
        <f t="shared" si="12"/>
        <v>0.17524919289749799</v>
      </c>
      <c r="AR18" s="888">
        <f t="shared" si="2"/>
        <v>18.154311649016641</v>
      </c>
      <c r="AS18" s="888">
        <f t="shared" si="2"/>
        <v>21.907600596125189</v>
      </c>
      <c r="AT18" s="888">
        <f t="shared" si="2"/>
        <v>25.887573964497044</v>
      </c>
      <c r="AU18" s="888">
        <f t="shared" si="2"/>
        <v>32.503660322108345</v>
      </c>
      <c r="AV18" s="888">
        <f t="shared" si="3"/>
        <v>98.453146531747223</v>
      </c>
      <c r="AW18" s="550">
        <f t="shared" si="4"/>
        <v>0</v>
      </c>
      <c r="AX18" s="888">
        <f t="shared" si="13"/>
        <v>98.453146531747223</v>
      </c>
    </row>
    <row r="19" spans="1:50" s="89" customFormat="1" ht="13.5" customHeight="1" x14ac:dyDescent="0.2">
      <c r="A19" s="462">
        <f>VLOOKUP(B19,Sheet1!$AQ$4:$AR$25,2,FALSE)</f>
        <v>0</v>
      </c>
      <c r="B19" s="95" t="str">
        <f>Sheet1!$K$13</f>
        <v>Oxfordshire</v>
      </c>
      <c r="C19" s="87"/>
      <c r="D19" s="96">
        <f>IF(Year1_Oxfordshire Year1_CP_Conference="","",Year1_Oxfordshire Year1_CP_Conference)</f>
        <v>721</v>
      </c>
      <c r="E19" s="96">
        <f>IF(Year2_Oxfordshire Year2_CP_Conference="","",Year2_Oxfordshire Year2_CP_Conference)</f>
        <v>778</v>
      </c>
      <c r="F19" s="96">
        <f>IF(Year3_Oxfordshire Year3_CP_Conference="","",Year3_Oxfordshire Year3_CP_Conference)</f>
        <v>920</v>
      </c>
      <c r="G19" s="96">
        <f>IF(Year4_Oxfordshire Year4_CP_Conference="","",Year4_Oxfordshire Year4_CP_Conference)</f>
        <v>878</v>
      </c>
      <c r="H19" s="97">
        <f>IF(Year5_Oxfordshire Year5_CP_Conference="","",Year5_Oxfordshire Year5_CP_Conference)</f>
        <v>845</v>
      </c>
      <c r="I19" s="337">
        <f t="shared" si="5"/>
        <v>4.4584637586235952E-2</v>
      </c>
      <c r="J19" s="98"/>
      <c r="K19" s="99">
        <f>IF(ISNUMBER(D19),D19/Population!D19*10000,NA())</f>
        <v>51.062322946175634</v>
      </c>
      <c r="L19" s="99">
        <f>IF(ISNUMBER(E19),E19/Population!E19*10000,NA())</f>
        <v>54.866008462623412</v>
      </c>
      <c r="M19" s="99">
        <f>IF(ISNUMBER(F19),F19/Population!F19*10000,NA())</f>
        <v>64.380685794261723</v>
      </c>
      <c r="N19" s="99">
        <f>IF(ISNUMBER(G19),G19/Population!G19*10000,NA())</f>
        <v>61.227336122733611</v>
      </c>
      <c r="O19" s="100">
        <f>IF(ISNUMBER(H19),H19/Population!H19*10000,NA())</f>
        <v>58.356353591160222</v>
      </c>
      <c r="P19" s="101">
        <f t="shared" si="6"/>
        <v>58.356353591160222</v>
      </c>
      <c r="Q19" s="770">
        <f t="shared" si="7"/>
        <v>6</v>
      </c>
      <c r="R19" s="69"/>
      <c r="S19" s="333">
        <f>IDACI!C18</f>
        <v>10.100000000000001</v>
      </c>
      <c r="T19" s="334">
        <f t="shared" si="0"/>
        <v>49.939651045630555</v>
      </c>
      <c r="U19" s="335">
        <f t="shared" si="8"/>
        <v>8.4167025455296667</v>
      </c>
      <c r="V19" s="124"/>
      <c r="W19" s="140"/>
      <c r="X19" s="149"/>
      <c r="Y19" s="71" t="str">
        <f t="shared" si="1"/>
        <v>Oxfordshire</v>
      </c>
      <c r="Z19" s="45">
        <f>IF(ISNUMBER(H19),IDACI!D18,0)</f>
        <v>126119</v>
      </c>
      <c r="AA19" s="45">
        <f>IF(ISNUMBER(H19),IDACI!E18,0)</f>
        <v>12738.019000000002</v>
      </c>
      <c r="AB19" s="202">
        <f>IF(ISNUMBER(D19),Population!D19,"")</f>
        <v>141200</v>
      </c>
      <c r="AC19" s="202">
        <f>IF(ISNUMBER(E19),Population!E19,"")</f>
        <v>141800</v>
      </c>
      <c r="AD19" s="202">
        <f>IF(ISNUMBER(F19),Population!F19,"")</f>
        <v>142900</v>
      </c>
      <c r="AE19" s="202">
        <f>IF(ISNUMBER(G19),Population!G19,"")</f>
        <v>143400</v>
      </c>
      <c r="AF19" s="202">
        <f>IF(ISNUMBER(H19),Population!H19,"")</f>
        <v>144800</v>
      </c>
      <c r="AG19" s="95" t="s">
        <v>11</v>
      </c>
      <c r="AH19" s="225">
        <f t="shared" si="9"/>
        <v>58.356353591160222</v>
      </c>
      <c r="AI19" s="203">
        <f t="shared" si="10"/>
        <v>6</v>
      </c>
      <c r="AJ19" s="199"/>
      <c r="AK19" s="156"/>
      <c r="AL19" s="792">
        <f t="shared" si="11"/>
        <v>7.9056865464632461E-2</v>
      </c>
      <c r="AM19" s="792">
        <f t="shared" si="11"/>
        <v>0.18251928020565553</v>
      </c>
      <c r="AN19" s="792">
        <f t="shared" si="11"/>
        <v>-4.5652173913043478E-2</v>
      </c>
      <c r="AO19" s="792">
        <f t="shared" si="11"/>
        <v>-3.7585421412300681E-2</v>
      </c>
      <c r="AP19" s="792">
        <f t="shared" si="12"/>
        <v>4.4584637586235952E-2</v>
      </c>
      <c r="AR19" s="888">
        <f t="shared" si="2"/>
        <v>54.866008462623412</v>
      </c>
      <c r="AS19" s="888">
        <f t="shared" si="2"/>
        <v>64.380685794261723</v>
      </c>
      <c r="AT19" s="888">
        <f t="shared" si="2"/>
        <v>61.227336122733611</v>
      </c>
      <c r="AU19" s="888">
        <f t="shared" si="2"/>
        <v>58.356353591160222</v>
      </c>
      <c r="AV19" s="888">
        <f t="shared" si="3"/>
        <v>238.83038397077897</v>
      </c>
      <c r="AW19" s="550">
        <f t="shared" si="4"/>
        <v>0</v>
      </c>
      <c r="AX19" s="888">
        <f t="shared" si="13"/>
        <v>238.83038397077897</v>
      </c>
    </row>
    <row r="20" spans="1:50" s="89" customFormat="1" ht="13.5" customHeight="1" x14ac:dyDescent="0.2">
      <c r="A20" s="462">
        <f>VLOOKUP(B20,Sheet1!$AQ$4:$AR$25,2,FALSE)</f>
        <v>0</v>
      </c>
      <c r="B20" s="95" t="str">
        <f>Sheet1!$K$14</f>
        <v>Portsmouth</v>
      </c>
      <c r="C20" s="87"/>
      <c r="D20" s="96">
        <f>IF(Year1_Portsmouth Year1_CP_Conference="","",Year1_Portsmouth Year1_CP_Conference)</f>
        <v>287</v>
      </c>
      <c r="E20" s="96">
        <f>IF(Year2_Portsmouth Year2_CP_Conference="","",Year2_Portsmouth Year2_CP_Conference)</f>
        <v>336</v>
      </c>
      <c r="F20" s="96">
        <f>IF(Year3_Portsmouth Year3_CP_Conference="","",Year3_Portsmouth Year3_CP_Conference)</f>
        <v>299</v>
      </c>
      <c r="G20" s="96">
        <f>IF(Year4_Portsmouth Year4_CP_Conference="","",Year4_Portsmouth Year4_CP_Conference)</f>
        <v>309</v>
      </c>
      <c r="H20" s="97">
        <f>IF(Year5_Portsmouth Year5_CP_Conference="","",Year5_Portsmouth Year5_CP_Conference)</f>
        <v>290</v>
      </c>
      <c r="I20" s="337">
        <f t="shared" si="5"/>
        <v>8.142200653094676E-3</v>
      </c>
      <c r="J20" s="98"/>
      <c r="K20" s="99">
        <f>IF(ISNUMBER(D20),D20/Population!D20*10000,NA())</f>
        <v>66.129032258064512</v>
      </c>
      <c r="L20" s="99">
        <f>IF(ISNUMBER(E20),E20/Population!E20*10000,NA())</f>
        <v>76.712328767123282</v>
      </c>
      <c r="M20" s="99">
        <f>IF(ISNUMBER(F20),F20/Population!F20*10000,NA())</f>
        <v>67.954545454545453</v>
      </c>
      <c r="N20" s="99">
        <f>IF(ISNUMBER(G20),G20/Population!G20*10000,NA())</f>
        <v>69.909502262443439</v>
      </c>
      <c r="O20" s="100">
        <f>IF(ISNUMBER(H20),H20/Population!H20*10000,NA())</f>
        <v>65.909090909090907</v>
      </c>
      <c r="P20" s="101">
        <f t="shared" si="6"/>
        <v>65.909090909090907</v>
      </c>
      <c r="Q20" s="770">
        <f t="shared" si="7"/>
        <v>10</v>
      </c>
      <c r="R20" s="69"/>
      <c r="S20" s="333">
        <f>IDACI!C19</f>
        <v>20.200000000000003</v>
      </c>
      <c r="T20" s="334">
        <f t="shared" si="0"/>
        <v>75.34792581180956</v>
      </c>
      <c r="U20" s="335">
        <f t="shared" si="8"/>
        <v>-9.4388349027186536</v>
      </c>
      <c r="V20" s="124"/>
      <c r="W20" s="140"/>
      <c r="X20" s="149"/>
      <c r="Y20" s="71" t="str">
        <f t="shared" si="1"/>
        <v>Portsmouth</v>
      </c>
      <c r="Z20" s="45">
        <f>IF(ISNUMBER(H20),IDACI!D19,0)</f>
        <v>39325</v>
      </c>
      <c r="AA20" s="45">
        <f>IF(ISNUMBER(H20),IDACI!E19,0)</f>
        <v>7943.6500000000015</v>
      </c>
      <c r="AB20" s="202">
        <f>IF(ISNUMBER(D20),Population!D20,"")</f>
        <v>43400</v>
      </c>
      <c r="AC20" s="202">
        <f>IF(ISNUMBER(E20),Population!E20,"")</f>
        <v>43800</v>
      </c>
      <c r="AD20" s="202">
        <f>IF(ISNUMBER(F20),Population!F20,"")</f>
        <v>44000</v>
      </c>
      <c r="AE20" s="202">
        <f>IF(ISNUMBER(G20),Population!G20,"")</f>
        <v>44200</v>
      </c>
      <c r="AF20" s="202">
        <f>IF(ISNUMBER(H20),Population!H20,"")</f>
        <v>44000</v>
      </c>
      <c r="AG20" s="95" t="s">
        <v>12</v>
      </c>
      <c r="AH20" s="225">
        <f t="shared" si="9"/>
        <v>65.909090909090907</v>
      </c>
      <c r="AI20" s="203">
        <f t="shared" si="10"/>
        <v>10</v>
      </c>
      <c r="AJ20" s="199"/>
      <c r="AK20" s="156"/>
      <c r="AL20" s="792">
        <f t="shared" si="11"/>
        <v>0.17073170731707318</v>
      </c>
      <c r="AM20" s="792">
        <f t="shared" si="11"/>
        <v>-0.11011904761904762</v>
      </c>
      <c r="AN20" s="792">
        <f t="shared" si="11"/>
        <v>3.3444816053511704E-2</v>
      </c>
      <c r="AO20" s="792">
        <f t="shared" si="11"/>
        <v>-6.1488673139158574E-2</v>
      </c>
      <c r="AP20" s="792">
        <f t="shared" si="12"/>
        <v>8.142200653094676E-3</v>
      </c>
      <c r="AR20" s="888">
        <f t="shared" si="2"/>
        <v>76.712328767123282</v>
      </c>
      <c r="AS20" s="888">
        <f t="shared" si="2"/>
        <v>67.954545454545453</v>
      </c>
      <c r="AT20" s="888">
        <f t="shared" si="2"/>
        <v>69.909502262443439</v>
      </c>
      <c r="AU20" s="888">
        <f t="shared" si="2"/>
        <v>65.909090909090907</v>
      </c>
      <c r="AV20" s="888">
        <f t="shared" si="3"/>
        <v>280.48546739320307</v>
      </c>
      <c r="AW20" s="550">
        <f t="shared" si="4"/>
        <v>0</v>
      </c>
      <c r="AX20" s="888">
        <f t="shared" si="13"/>
        <v>280.48546739320307</v>
      </c>
    </row>
    <row r="21" spans="1:50" s="89" customFormat="1" ht="13.5" customHeight="1" x14ac:dyDescent="0.2">
      <c r="A21" s="462">
        <f>VLOOKUP(B21,Sheet1!$AQ$4:$AR$25,2,FALSE)</f>
        <v>0</v>
      </c>
      <c r="B21" s="95" t="str">
        <f>Sheet1!$K$15</f>
        <v>Reading</v>
      </c>
      <c r="C21" s="87"/>
      <c r="D21" s="96">
        <f>IF(Year1_Reading Year1_CP_Conference="","",Year1_Reading Year1_CP_Conference)</f>
        <v>301</v>
      </c>
      <c r="E21" s="96">
        <f>IF(Year2_Reading Year2_CP_Conference="","",Year2_Reading Year2_CP_Conference)</f>
        <v>430</v>
      </c>
      <c r="F21" s="96">
        <f>IF(Year3_Reading Year3_CP_Conference="","",Year3_Reading Year3_CP_Conference)</f>
        <v>528</v>
      </c>
      <c r="G21" s="96">
        <f>IF(Year4_Reading Year4_CP_Conference="","",Year4_Reading Year4_CP_Conference)</f>
        <v>415</v>
      </c>
      <c r="H21" s="97">
        <f>IF(Year5_Reading Year5_CP_Conference="","",Year5_Reading Year5_CP_Conference)</f>
        <v>424</v>
      </c>
      <c r="I21" s="337">
        <f t="shared" si="5"/>
        <v>0.11603750019710374</v>
      </c>
      <c r="J21" s="98"/>
      <c r="K21" s="99">
        <f>IF(ISNUMBER(D21),D21/Population!D21*10000,NA())</f>
        <v>83.844011142061291</v>
      </c>
      <c r="L21" s="99">
        <f>IF(ISNUMBER(E21),E21/Population!E21*10000,NA())</f>
        <v>118.13186813186813</v>
      </c>
      <c r="M21" s="99">
        <f>IF(ISNUMBER(F21),F21/Population!F21*10000,NA())</f>
        <v>144.26229508196721</v>
      </c>
      <c r="N21" s="99">
        <f>IF(ISNUMBER(G21),G21/Population!G21*10000,NA())</f>
        <v>111.85983827493261</v>
      </c>
      <c r="O21" s="100">
        <f>IF(ISNUMBER(H21),H21/Population!H21*10000,NA())</f>
        <v>114.28571428571429</v>
      </c>
      <c r="P21" s="101">
        <f t="shared" si="6"/>
        <v>114.28571428571429</v>
      </c>
      <c r="Q21" s="770">
        <f t="shared" si="7"/>
        <v>19</v>
      </c>
      <c r="R21" s="69"/>
      <c r="S21" s="333">
        <f>IDACI!C20</f>
        <v>16</v>
      </c>
      <c r="T21" s="334">
        <f t="shared" si="0"/>
        <v>64.782108582309377</v>
      </c>
      <c r="U21" s="335">
        <f t="shared" si="8"/>
        <v>49.503605703404915</v>
      </c>
      <c r="V21" s="124"/>
      <c r="W21" s="140"/>
      <c r="X21" s="149"/>
      <c r="Y21" s="71" t="str">
        <f t="shared" si="1"/>
        <v>Reading</v>
      </c>
      <c r="Z21" s="45">
        <f>IF(ISNUMBER(H21),IDACI!D20,0)</f>
        <v>33203</v>
      </c>
      <c r="AA21" s="45">
        <f>IF(ISNUMBER(H21),IDACI!E20,0)</f>
        <v>5312.4800000000005</v>
      </c>
      <c r="AB21" s="202">
        <f>IF(ISNUMBER(D21),Population!D21,"")</f>
        <v>35900</v>
      </c>
      <c r="AC21" s="202">
        <f>IF(ISNUMBER(E21),Population!E21,"")</f>
        <v>36400</v>
      </c>
      <c r="AD21" s="202">
        <f>IF(ISNUMBER(F21),Population!F21,"")</f>
        <v>36600</v>
      </c>
      <c r="AE21" s="202">
        <f>IF(ISNUMBER(G21),Population!G21,"")</f>
        <v>37100</v>
      </c>
      <c r="AF21" s="202">
        <f>IF(ISNUMBER(H21),Population!H21,"")</f>
        <v>37100</v>
      </c>
      <c r="AG21" s="95" t="s">
        <v>3</v>
      </c>
      <c r="AH21" s="225">
        <f t="shared" si="9"/>
        <v>114.28571428571429</v>
      </c>
      <c r="AI21" s="203">
        <f t="shared" si="10"/>
        <v>19</v>
      </c>
      <c r="AJ21" s="199"/>
      <c r="AK21" s="156"/>
      <c r="AL21" s="792">
        <f t="shared" si="11"/>
        <v>0.42857142857142855</v>
      </c>
      <c r="AM21" s="792">
        <f t="shared" si="11"/>
        <v>0.22790697674418606</v>
      </c>
      <c r="AN21" s="792">
        <f t="shared" si="11"/>
        <v>-0.21401515151515152</v>
      </c>
      <c r="AO21" s="792">
        <f t="shared" si="11"/>
        <v>2.1686746987951807E-2</v>
      </c>
      <c r="AP21" s="792">
        <f t="shared" si="12"/>
        <v>0.11603750019710374</v>
      </c>
      <c r="AR21" s="888">
        <f t="shared" si="2"/>
        <v>118.13186813186813</v>
      </c>
      <c r="AS21" s="888">
        <f t="shared" si="2"/>
        <v>144.26229508196721</v>
      </c>
      <c r="AT21" s="888">
        <f t="shared" si="2"/>
        <v>111.85983827493261</v>
      </c>
      <c r="AU21" s="888">
        <f t="shared" si="2"/>
        <v>114.28571428571429</v>
      </c>
      <c r="AV21" s="888">
        <f t="shared" si="3"/>
        <v>488.5397157744822</v>
      </c>
      <c r="AW21" s="550">
        <f t="shared" si="4"/>
        <v>0</v>
      </c>
      <c r="AX21" s="888">
        <f t="shared" si="13"/>
        <v>488.5397157744822</v>
      </c>
    </row>
    <row r="22" spans="1:50" s="89" customFormat="1" ht="13.5" customHeight="1" x14ac:dyDescent="0.2">
      <c r="A22" s="462">
        <f>VLOOKUP(B22,Sheet1!$AQ$4:$AR$25,2,FALSE)</f>
        <v>0</v>
      </c>
      <c r="B22" s="95" t="str">
        <f>Sheet1!$K$16</f>
        <v>Slough</v>
      </c>
      <c r="C22" s="87"/>
      <c r="D22" s="96">
        <f>IF(Year1_Slough Year1_CP_Conference="","",Year1_Slough Year1_CP_Conference)</f>
        <v>382</v>
      </c>
      <c r="E22" s="96">
        <f>IF(Year2_Slough Year2_CP_Conference="","",Year2_Slough Year2_CP_Conference)</f>
        <v>351</v>
      </c>
      <c r="F22" s="96">
        <f>IF(Year3_Slough Year3_CP_Conference="","",Year3_Slough Year3_CP_Conference)</f>
        <v>338</v>
      </c>
      <c r="G22" s="96">
        <f>IF(Year4_Slough Year4_CP_Conference="","",Year4_Slough Year4_CP_Conference)</f>
        <v>274</v>
      </c>
      <c r="H22" s="97">
        <f>IF(Year5_Slough Year5_CP_Conference="","",Year5_Slough Year5_CP_Conference)</f>
        <v>343</v>
      </c>
      <c r="I22" s="337">
        <f t="shared" si="5"/>
        <v>-1.3928291101389337E-2</v>
      </c>
      <c r="J22" s="98"/>
      <c r="K22" s="99">
        <f>IF(ISNUMBER(D22),D22/Population!D22*10000,NA())</f>
        <v>95.739348370927317</v>
      </c>
      <c r="L22" s="99">
        <f>IF(ISNUMBER(E22),E22/Population!E22*10000,NA())</f>
        <v>86.453201970443359</v>
      </c>
      <c r="M22" s="99">
        <f>IF(ISNUMBER(F22),F22/Population!F22*10000,NA())</f>
        <v>81.642512077294683</v>
      </c>
      <c r="N22" s="99">
        <f>IF(ISNUMBER(G22),G22/Population!G22*10000,NA())</f>
        <v>64.928909952606631</v>
      </c>
      <c r="O22" s="100">
        <f>IF(ISNUMBER(H22),H22/Population!H22*10000,NA())</f>
        <v>80.327868852459005</v>
      </c>
      <c r="P22" s="101">
        <f t="shared" si="6"/>
        <v>80.327868852459005</v>
      </c>
      <c r="Q22" s="770">
        <f t="shared" si="7"/>
        <v>14</v>
      </c>
      <c r="R22" s="69"/>
      <c r="S22" s="333">
        <f>IDACI!C21</f>
        <v>14.7</v>
      </c>
      <c r="T22" s="334">
        <f t="shared" si="0"/>
        <v>61.511736582702177</v>
      </c>
      <c r="U22" s="335">
        <f t="shared" si="8"/>
        <v>18.816132269756828</v>
      </c>
      <c r="V22" s="124"/>
      <c r="W22" s="140"/>
      <c r="X22" s="149"/>
      <c r="Y22" s="71" t="str">
        <f t="shared" si="1"/>
        <v>Slough</v>
      </c>
      <c r="Z22" s="45">
        <f>IF(ISNUMBER(H22),IDACI!D21,0)</f>
        <v>37031</v>
      </c>
      <c r="AA22" s="45">
        <f>IF(ISNUMBER(H22),IDACI!E21,0)</f>
        <v>5443.5569999999998</v>
      </c>
      <c r="AB22" s="202">
        <f>IF(ISNUMBER(D22),Population!D22,"")</f>
        <v>39900</v>
      </c>
      <c r="AC22" s="202">
        <f>IF(ISNUMBER(E22),Population!E22,"")</f>
        <v>40600</v>
      </c>
      <c r="AD22" s="202">
        <f>IF(ISNUMBER(F22),Population!F22,"")</f>
        <v>41400</v>
      </c>
      <c r="AE22" s="202">
        <f>IF(ISNUMBER(G22),Population!G22,"")</f>
        <v>42200</v>
      </c>
      <c r="AF22" s="202">
        <f>IF(ISNUMBER(H22),Population!H22,"")</f>
        <v>42700</v>
      </c>
      <c r="AG22" s="95" t="s">
        <v>13</v>
      </c>
      <c r="AH22" s="225">
        <f t="shared" si="9"/>
        <v>80.327868852459005</v>
      </c>
      <c r="AI22" s="203">
        <f t="shared" si="10"/>
        <v>14</v>
      </c>
      <c r="AJ22" s="199"/>
      <c r="AK22" s="156"/>
      <c r="AL22" s="792">
        <f t="shared" si="11"/>
        <v>-8.1151832460732987E-2</v>
      </c>
      <c r="AM22" s="792">
        <f t="shared" si="11"/>
        <v>-3.7037037037037035E-2</v>
      </c>
      <c r="AN22" s="792">
        <f t="shared" si="11"/>
        <v>-0.1893491124260355</v>
      </c>
      <c r="AO22" s="792">
        <f t="shared" si="11"/>
        <v>0.2518248175182482</v>
      </c>
      <c r="AP22" s="792">
        <f t="shared" si="12"/>
        <v>-1.3928291101389337E-2</v>
      </c>
      <c r="AR22" s="888">
        <f t="shared" si="2"/>
        <v>86.453201970443359</v>
      </c>
      <c r="AS22" s="888">
        <f t="shared" si="2"/>
        <v>81.642512077294683</v>
      </c>
      <c r="AT22" s="888">
        <f t="shared" si="2"/>
        <v>64.928909952606631</v>
      </c>
      <c r="AU22" s="888">
        <f t="shared" si="2"/>
        <v>80.327868852459005</v>
      </c>
      <c r="AV22" s="888">
        <f t="shared" si="3"/>
        <v>313.35249285280372</v>
      </c>
      <c r="AW22" s="550">
        <f t="shared" si="4"/>
        <v>0</v>
      </c>
      <c r="AX22" s="888">
        <f t="shared" si="13"/>
        <v>313.35249285280372</v>
      </c>
    </row>
    <row r="23" spans="1:50" s="89" customFormat="1" ht="13.5" customHeight="1" x14ac:dyDescent="0.2">
      <c r="A23" s="462">
        <f>VLOOKUP(B23,Sheet1!$AQ$4:$AR$25,2,FALSE)</f>
        <v>0</v>
      </c>
      <c r="B23" s="95" t="str">
        <f>Sheet1!$K$17</f>
        <v>Somerset</v>
      </c>
      <c r="C23" s="87"/>
      <c r="D23" s="96">
        <f>IF(Year1_Somerset Year1_CP_Conference="","",Year1_Somerset Year1_CP_Conference)</f>
        <v>707</v>
      </c>
      <c r="E23" s="96">
        <f>IF(Year2_Somerset Year2_CP_Conference="","",Year2_Somerset Year2_CP_Conference)</f>
        <v>478</v>
      </c>
      <c r="F23" s="96">
        <f>IF(Year3_Somerset Year3_CP_Conference="","",Year3_Somerset Year3_CP_Conference)</f>
        <v>661</v>
      </c>
      <c r="G23" s="96">
        <f>IF(Year4_Somerset Year4_CP_Conference="","",Year4_Somerset Year4_CP_Conference)</f>
        <v>586</v>
      </c>
      <c r="H23" s="97">
        <f>IF(Year5_Somerset Year5_CP_Conference="","",Year5_Somerset Year5_CP_Conference)</f>
        <v>515</v>
      </c>
      <c r="I23" s="337">
        <f t="shared" si="5"/>
        <v>-4.3920872007868268E-2</v>
      </c>
      <c r="J23" s="98"/>
      <c r="K23" s="99">
        <f>IF(ISNUMBER(D23),D23/Population!D23*10000,NA())</f>
        <v>64.921946740128561</v>
      </c>
      <c r="L23" s="99">
        <f>IF(ISNUMBER(E23),E23/Population!E23*10000,NA())</f>
        <v>43.772893772893774</v>
      </c>
      <c r="M23" s="99">
        <f>IF(ISNUMBER(F23),F23/Population!F23*10000,NA())</f>
        <v>60.255241567912492</v>
      </c>
      <c r="N23" s="99">
        <f>IF(ISNUMBER(G23),G23/Population!G23*10000,NA())</f>
        <v>53.224341507720254</v>
      </c>
      <c r="O23" s="100">
        <f>IF(ISNUMBER(H23),H23/Population!H23*10000,NA())</f>
        <v>46.522131887985545</v>
      </c>
      <c r="P23" s="101">
        <f t="shared" si="6"/>
        <v>46.522131887985545</v>
      </c>
      <c r="Q23" s="766" t="str">
        <f t="shared" si="7"/>
        <v>--</v>
      </c>
      <c r="R23" s="69"/>
      <c r="S23" s="333">
        <f>IDACI!C22</f>
        <v>13.600000000000001</v>
      </c>
      <c r="T23" s="334">
        <f t="shared" si="0"/>
        <v>58.744498736880708</v>
      </c>
      <c r="U23" s="335">
        <f t="shared" si="8"/>
        <v>-12.222366848895163</v>
      </c>
      <c r="V23" s="124"/>
      <c r="W23" s="140"/>
      <c r="X23" s="149"/>
      <c r="Y23" s="71" t="str">
        <f t="shared" si="1"/>
        <v>Somerset</v>
      </c>
      <c r="Z23" s="45">
        <f>IF(ISNUMBER(H23),IDACI!D22,0)</f>
        <v>95875</v>
      </c>
      <c r="AA23" s="45">
        <f>IF(ISNUMBER(H23),IDACI!E22,0)</f>
        <v>13039.000000000002</v>
      </c>
      <c r="AB23" s="202">
        <f>IF(ISNUMBER(D23),Population!D23,"")</f>
        <v>108900</v>
      </c>
      <c r="AC23" s="202">
        <f>IF(ISNUMBER(E23),Population!E23,"")</f>
        <v>109200</v>
      </c>
      <c r="AD23" s="202">
        <f>IF(ISNUMBER(F23),Population!F23,"")</f>
        <v>109700</v>
      </c>
      <c r="AE23" s="202">
        <f>IF(ISNUMBER(G23),Population!G23,"")</f>
        <v>110100</v>
      </c>
      <c r="AF23" s="202">
        <f>IF(ISNUMBER(H23),Population!H23,"")</f>
        <v>110700</v>
      </c>
      <c r="AG23" s="95" t="s">
        <v>14</v>
      </c>
      <c r="AH23" s="225">
        <f t="shared" si="9"/>
        <v>94.29133858267717</v>
      </c>
      <c r="AI23" s="203">
        <f t="shared" si="10"/>
        <v>18</v>
      </c>
      <c r="AJ23" s="199"/>
      <c r="AK23" s="156"/>
      <c r="AL23" s="792">
        <f t="shared" si="11"/>
        <v>-0.32390381895332393</v>
      </c>
      <c r="AM23" s="792">
        <f t="shared" si="11"/>
        <v>0.38284518828451886</v>
      </c>
      <c r="AN23" s="792">
        <f t="shared" si="11"/>
        <v>-0.11346444780635401</v>
      </c>
      <c r="AO23" s="792">
        <f t="shared" si="11"/>
        <v>-0.12116040955631399</v>
      </c>
      <c r="AP23" s="792">
        <f t="shared" si="12"/>
        <v>-4.3920872007868268E-2</v>
      </c>
      <c r="AR23" s="888">
        <f t="shared" si="2"/>
        <v>43.772893772893774</v>
      </c>
      <c r="AS23" s="888">
        <f t="shared" si="2"/>
        <v>60.255241567912492</v>
      </c>
      <c r="AT23" s="888">
        <f t="shared" si="2"/>
        <v>53.224341507720254</v>
      </c>
      <c r="AU23" s="888">
        <f>IF(ISNUMBER(O23),O23,"")</f>
        <v>46.522131887985545</v>
      </c>
      <c r="AV23" s="888">
        <f>SUM(AR23:AU23)</f>
        <v>203.77460873651208</v>
      </c>
      <c r="AW23" s="550">
        <f>COUNTBLANK(AR23:AU23)</f>
        <v>0</v>
      </c>
      <c r="AX23" s="888">
        <f>AV23/(4-AW23)*4</f>
        <v>203.77460873651208</v>
      </c>
    </row>
    <row r="24" spans="1:50" s="89" customFormat="1" ht="13.5" customHeight="1" x14ac:dyDescent="0.2">
      <c r="A24" s="462">
        <f>VLOOKUP(B24,Sheet1!$AQ$4:$AR$25,2,FALSE)</f>
        <v>0</v>
      </c>
      <c r="B24" s="95" t="str">
        <f>Sheet1!$K$18</f>
        <v>Southampton</v>
      </c>
      <c r="C24" s="87"/>
      <c r="D24" s="96">
        <f>IF(Year1_Southampton Year1_CP_Conference="","",Year1_Southampton Year1_CP_Conference)</f>
        <v>495</v>
      </c>
      <c r="E24" s="96">
        <f>IF(Year2_Southampton Year2_CP_Conference="","",Year2_Southampton Year2_CP_Conference)</f>
        <v>555</v>
      </c>
      <c r="F24" s="96">
        <f>IF(Year3_Southampton Year3_CP_Conference="","",Year3_Southampton Year3_CP_Conference)</f>
        <v>463</v>
      </c>
      <c r="G24" s="96">
        <f>IF(Year4_Southampton Year4_CP_Conference="","",Year4_Southampton Year4_CP_Conference)</f>
        <v>514</v>
      </c>
      <c r="H24" s="97">
        <f>IF(Year5_Southampton Year5_CP_Conference="","",Year5_Southampton Year5_CP_Conference)</f>
        <v>479</v>
      </c>
      <c r="I24" s="337">
        <f t="shared" si="5"/>
        <v>-6.2396046567118196E-4</v>
      </c>
      <c r="J24" s="98"/>
      <c r="K24" s="99">
        <f>IF(ISNUMBER(D24),D24/Population!D24*10000,NA())</f>
        <v>101.85185185185186</v>
      </c>
      <c r="L24" s="99">
        <f>IF(ISNUMBER(E24),E24/Population!E24*10000,NA())</f>
        <v>112.80487804878048</v>
      </c>
      <c r="M24" s="99">
        <f>IF(ISNUMBER(F24),F24/Population!F24*10000,NA())</f>
        <v>92.785571142284567</v>
      </c>
      <c r="N24" s="99">
        <f>IF(ISNUMBER(G24),G24/Population!G24*10000,NA())</f>
        <v>102.18687872763419</v>
      </c>
      <c r="O24" s="100">
        <f>IF(ISNUMBER(H24),H24/Population!H24*10000,NA())</f>
        <v>94.29133858267717</v>
      </c>
      <c r="P24" s="101">
        <f t="shared" si="6"/>
        <v>94.29133858267717</v>
      </c>
      <c r="Q24" s="770">
        <f t="shared" si="7"/>
        <v>18</v>
      </c>
      <c r="R24" s="69"/>
      <c r="S24" s="333">
        <f>IDACI!C23</f>
        <v>20.5</v>
      </c>
      <c r="T24" s="334">
        <f t="shared" si="0"/>
        <v>76.102627042488137</v>
      </c>
      <c r="U24" s="335">
        <f t="shared" si="8"/>
        <v>18.188711540189033</v>
      </c>
      <c r="V24" s="124"/>
      <c r="W24" s="140"/>
      <c r="X24" s="149"/>
      <c r="Y24" s="71" t="str">
        <f t="shared" si="1"/>
        <v>Southampton</v>
      </c>
      <c r="Z24" s="45">
        <f>IF(ISNUMBER(H24),IDACI!D23,0)</f>
        <v>44295</v>
      </c>
      <c r="AA24" s="45">
        <f>IF(ISNUMBER(H24),IDACI!E23,0)</f>
        <v>9080.4750000000004</v>
      </c>
      <c r="AB24" s="202">
        <f>IF(ISNUMBER(D24),Population!D24,"")</f>
        <v>48600</v>
      </c>
      <c r="AC24" s="202">
        <f>IF(ISNUMBER(E24),Population!E24,"")</f>
        <v>49200</v>
      </c>
      <c r="AD24" s="202">
        <f>IF(ISNUMBER(F24),Population!F24,"")</f>
        <v>49900</v>
      </c>
      <c r="AE24" s="202">
        <f>IF(ISNUMBER(G24),Population!G24,"")</f>
        <v>50300</v>
      </c>
      <c r="AF24" s="202">
        <f>IF(ISNUMBER(H24),Population!H24,"")</f>
        <v>50800</v>
      </c>
      <c r="AG24" s="95" t="s">
        <v>7</v>
      </c>
      <c r="AH24" s="225">
        <f t="shared" si="9"/>
        <v>57.541046200840022</v>
      </c>
      <c r="AI24" s="203">
        <f t="shared" si="10"/>
        <v>5</v>
      </c>
      <c r="AJ24" s="199"/>
      <c r="AK24" s="156"/>
      <c r="AL24" s="792">
        <f t="shared" si="11"/>
        <v>0.12121212121212122</v>
      </c>
      <c r="AM24" s="792">
        <f t="shared" si="11"/>
        <v>-0.16576576576576577</v>
      </c>
      <c r="AN24" s="792">
        <f t="shared" si="11"/>
        <v>0.1101511879049676</v>
      </c>
      <c r="AO24" s="792">
        <f t="shared" si="11"/>
        <v>-6.8093385214007776E-2</v>
      </c>
      <c r="AP24" s="792">
        <f t="shared" si="12"/>
        <v>-6.2396046567118196E-4</v>
      </c>
      <c r="AR24" s="888">
        <f t="shared" si="2"/>
        <v>112.80487804878048</v>
      </c>
      <c r="AS24" s="888">
        <f t="shared" si="2"/>
        <v>92.785571142284567</v>
      </c>
      <c r="AT24" s="888">
        <f t="shared" si="2"/>
        <v>102.18687872763419</v>
      </c>
      <c r="AU24" s="888">
        <f t="shared" si="2"/>
        <v>94.29133858267717</v>
      </c>
      <c r="AV24" s="888">
        <f t="shared" ref="AV24:AV33" si="14">SUM(AR24:AU24)</f>
        <v>402.06866650137641</v>
      </c>
      <c r="AW24" s="550">
        <f t="shared" ref="AW24:AW33" si="15">COUNTBLANK(AR24:AU24)</f>
        <v>0</v>
      </c>
      <c r="AX24" s="888">
        <f t="shared" si="13"/>
        <v>402.06866650137641</v>
      </c>
    </row>
    <row r="25" spans="1:50" s="89" customFormat="1" ht="13.5" customHeight="1" x14ac:dyDescent="0.2">
      <c r="A25" s="462">
        <f>VLOOKUP(B25,Sheet1!$AQ$4:$AR$25,2,FALSE)</f>
        <v>0</v>
      </c>
      <c r="B25" s="95" t="str">
        <f>Sheet1!$K$19</f>
        <v>Surrey</v>
      </c>
      <c r="C25" s="87"/>
      <c r="D25" s="96">
        <f>IF(Year1_Surrey Year1_CP_Conference="","",Year1_Surrey Year1_CP_Conference)</f>
        <v>1222</v>
      </c>
      <c r="E25" s="96">
        <f>IF(Year2_Surrey Year2_CP_Conference="","",Year2_Surrey Year2_CP_Conference)</f>
        <v>1220</v>
      </c>
      <c r="F25" s="96">
        <f>IF(Year3_Surrey Year3_CP_Conference="","",Year3_Surrey Year3_CP_Conference)</f>
        <v>1352</v>
      </c>
      <c r="G25" s="96">
        <f>IF(Year4_Surrey Year4_CP_Conference="","",Year4_Surrey Year4_CP_Conference)</f>
        <v>1485</v>
      </c>
      <c r="H25" s="97">
        <f>IF(Year5_Surrey Year5_CP_Conference="","",Year5_Surrey Year5_CP_Conference)</f>
        <v>1507</v>
      </c>
      <c r="I25" s="337">
        <f t="shared" si="5"/>
        <v>5.4936913995062418E-2</v>
      </c>
      <c r="J25" s="98"/>
      <c r="K25" s="99">
        <f>IF(ISNUMBER(D25),D25/Population!D25*10000,NA())</f>
        <v>47.996857816182249</v>
      </c>
      <c r="L25" s="99">
        <f>IF(ISNUMBER(E25),E25/Population!E25*10000,NA())</f>
        <v>47.581903276131051</v>
      </c>
      <c r="M25" s="99">
        <f>IF(ISNUMBER(F25),F25/Population!F25*10000,NA())</f>
        <v>52.200772200772207</v>
      </c>
      <c r="N25" s="99">
        <f>IF(ISNUMBER(G25),G25/Population!G25*10000,NA())</f>
        <v>57.049558202074529</v>
      </c>
      <c r="O25" s="100">
        <f>IF(ISNUMBER(H25),H25/Population!H25*10000,NA())</f>
        <v>57.541046200840022</v>
      </c>
      <c r="P25" s="101">
        <f t="shared" si="6"/>
        <v>57.541046200840022</v>
      </c>
      <c r="Q25" s="770">
        <f t="shared" si="7"/>
        <v>5</v>
      </c>
      <c r="R25" s="69"/>
      <c r="S25" s="333">
        <f>IDACI!C24</f>
        <v>8.3000000000000007</v>
      </c>
      <c r="T25" s="334">
        <f t="shared" si="0"/>
        <v>45.411443661559048</v>
      </c>
      <c r="U25" s="335">
        <f t="shared" si="8"/>
        <v>12.129602539280974</v>
      </c>
      <c r="V25" s="124"/>
      <c r="W25" s="140"/>
      <c r="X25" s="149"/>
      <c r="Y25" s="71" t="str">
        <f t="shared" si="1"/>
        <v>Surrey</v>
      </c>
      <c r="Z25" s="45">
        <f>IF(ISNUMBER(H25),IDACI!D24,0)</f>
        <v>228466</v>
      </c>
      <c r="AA25" s="45">
        <f>IF(ISNUMBER(H25),IDACI!E24,0)</f>
        <v>18962.678</v>
      </c>
      <c r="AB25" s="202">
        <f>IF(ISNUMBER(D25),Population!D25,"")</f>
        <v>254600</v>
      </c>
      <c r="AC25" s="202">
        <f>IF(ISNUMBER(E25),Population!E25,"")</f>
        <v>256400</v>
      </c>
      <c r="AD25" s="202">
        <f>IF(ISNUMBER(F25),Population!F25,"")</f>
        <v>259000</v>
      </c>
      <c r="AE25" s="202">
        <f>IF(ISNUMBER(G25),Population!G25,"")</f>
        <v>260300</v>
      </c>
      <c r="AF25" s="202">
        <f>IF(ISNUMBER(H25),Population!H25,"")</f>
        <v>261900</v>
      </c>
      <c r="AG25" s="95" t="s">
        <v>15</v>
      </c>
      <c r="AH25" s="225">
        <f t="shared" si="9"/>
        <v>72.752808988764045</v>
      </c>
      <c r="AI25" s="203">
        <f t="shared" si="10"/>
        <v>12</v>
      </c>
      <c r="AJ25" s="199"/>
      <c r="AK25" s="156"/>
      <c r="AL25" s="792">
        <f t="shared" si="11"/>
        <v>-1.6366612111292963E-3</v>
      </c>
      <c r="AM25" s="792">
        <f t="shared" si="11"/>
        <v>0.10819672131147541</v>
      </c>
      <c r="AN25" s="792">
        <f t="shared" si="11"/>
        <v>9.837278106508876E-2</v>
      </c>
      <c r="AO25" s="792">
        <f t="shared" si="11"/>
        <v>1.4814814814814815E-2</v>
      </c>
      <c r="AP25" s="792">
        <f t="shared" si="12"/>
        <v>5.4936913995062418E-2</v>
      </c>
      <c r="AR25" s="888">
        <f t="shared" si="2"/>
        <v>47.581903276131051</v>
      </c>
      <c r="AS25" s="888">
        <f t="shared" si="2"/>
        <v>52.200772200772207</v>
      </c>
      <c r="AT25" s="888">
        <f t="shared" si="2"/>
        <v>57.049558202074529</v>
      </c>
      <c r="AU25" s="888">
        <f t="shared" si="2"/>
        <v>57.541046200840022</v>
      </c>
      <c r="AV25" s="888">
        <f t="shared" si="14"/>
        <v>214.3732798798178</v>
      </c>
      <c r="AW25" s="550">
        <f t="shared" si="15"/>
        <v>0</v>
      </c>
      <c r="AX25" s="888">
        <f t="shared" si="13"/>
        <v>214.3732798798178</v>
      </c>
    </row>
    <row r="26" spans="1:50" s="89" customFormat="1" ht="13.5" customHeight="1" x14ac:dyDescent="0.2">
      <c r="A26" s="462">
        <f>VLOOKUP(B26,Sheet1!$AQ$4:$AR$25,2,FALSE)</f>
        <v>0</v>
      </c>
      <c r="B26" s="95" t="str">
        <f>Sheet1!$K$20</f>
        <v>Swindon</v>
      </c>
      <c r="C26" s="87"/>
      <c r="D26" s="96">
        <f>IF(Year1_Swindon Year1_CP_Conference="","",Year1_Swindon Year1_CP_Conference)</f>
        <v>309</v>
      </c>
      <c r="E26" s="96">
        <f>IF(Year2_Swindon Year2_CP_Conference="","",Year2_Swindon Year2_CP_Conference)</f>
        <v>346</v>
      </c>
      <c r="F26" s="96">
        <f>IF(Year3_Swindon Year3_CP_Conference="","",Year3_Swindon Year3_CP_Conference)</f>
        <v>387</v>
      </c>
      <c r="G26" s="96">
        <f>IF(Year4_Swindon Year4_CP_Conference="","",Year4_Swindon Year4_CP_Conference)</f>
        <v>574</v>
      </c>
      <c r="H26" s="97">
        <f>IF(Year5_Swindon Year5_CP_Conference="","",Year5_Swindon Year5_CP_Conference)</f>
        <v>495</v>
      </c>
      <c r="I26" s="337">
        <f t="shared" si="5"/>
        <v>0.14595292062405832</v>
      </c>
      <c r="J26" s="98"/>
      <c r="K26" s="99">
        <f>IF(ISNUMBER(D26),D26/Population!D26*10000,NA())</f>
        <v>63.580246913580247</v>
      </c>
      <c r="L26" s="99">
        <f>IF(ISNUMBER(E26),E26/Population!E26*10000,NA())</f>
        <v>70.612244897959187</v>
      </c>
      <c r="M26" s="99">
        <f>IF(ISNUMBER(F26),F26/Population!F26*10000,NA())</f>
        <v>78.181818181818173</v>
      </c>
      <c r="N26" s="99">
        <f>IF(ISNUMBER(G26),G26/Population!G26*10000,NA())</f>
        <v>115.03006012024048</v>
      </c>
      <c r="O26" s="100">
        <f>IF(ISNUMBER(H26),H26/Population!H26*10000,NA())</f>
        <v>98.605577689243034</v>
      </c>
      <c r="P26" s="101">
        <f t="shared" si="6"/>
        <v>98.605577689243034</v>
      </c>
      <c r="Q26" s="766" t="str">
        <f t="shared" si="7"/>
        <v>--</v>
      </c>
      <c r="R26" s="69"/>
      <c r="S26" s="333">
        <f>IDACI!C25</f>
        <v>14.899999999999999</v>
      </c>
      <c r="T26" s="334">
        <f t="shared" si="0"/>
        <v>62.0148707364879</v>
      </c>
      <c r="U26" s="335">
        <f t="shared" si="8"/>
        <v>36.590706952755134</v>
      </c>
      <c r="V26" s="124"/>
      <c r="W26" s="140"/>
      <c r="X26" s="149"/>
      <c r="Y26" s="71" t="str">
        <f t="shared" si="1"/>
        <v>Swindon</v>
      </c>
      <c r="Z26" s="45">
        <f>IF(ISNUMBER(H26),IDACI!D25,0)</f>
        <v>43899</v>
      </c>
      <c r="AA26" s="45">
        <f>IF(ISNUMBER(H26),IDACI!E25,0)</f>
        <v>6540.951</v>
      </c>
      <c r="AB26" s="202">
        <f>IF(ISNUMBER(D26),Population!D26,"")</f>
        <v>48600</v>
      </c>
      <c r="AC26" s="202">
        <f>IF(ISNUMBER(E26),Population!E26,"")</f>
        <v>49000</v>
      </c>
      <c r="AD26" s="202">
        <f>IF(ISNUMBER(F26),Population!F26,"")</f>
        <v>49500</v>
      </c>
      <c r="AE26" s="202">
        <f>IF(ISNUMBER(G26),Population!G26,"")</f>
        <v>49900</v>
      </c>
      <c r="AF26" s="202">
        <f>IF(ISNUMBER(H26),Population!H26,"")</f>
        <v>50200</v>
      </c>
      <c r="AG26" s="95" t="s">
        <v>5</v>
      </c>
      <c r="AH26" s="225">
        <f t="shared" si="9"/>
        <v>50.028620492272466</v>
      </c>
      <c r="AI26" s="203">
        <f t="shared" si="10"/>
        <v>4</v>
      </c>
      <c r="AJ26" s="199"/>
      <c r="AK26" s="156"/>
      <c r="AL26" s="792">
        <f t="shared" si="11"/>
        <v>0.11974110032362459</v>
      </c>
      <c r="AM26" s="792">
        <f t="shared" si="11"/>
        <v>0.11849710982658959</v>
      </c>
      <c r="AN26" s="792">
        <f t="shared" si="11"/>
        <v>0.48320413436692505</v>
      </c>
      <c r="AO26" s="792">
        <f t="shared" si="11"/>
        <v>-0.13763066202090593</v>
      </c>
      <c r="AP26" s="792">
        <f t="shared" si="12"/>
        <v>0.14595292062405832</v>
      </c>
      <c r="AR26" s="888">
        <f t="shared" ref="AR26:AU33" si="16">IF(ISNUMBER(L26),L26,"")</f>
        <v>70.612244897959187</v>
      </c>
      <c r="AS26" s="888">
        <f t="shared" si="16"/>
        <v>78.181818181818173</v>
      </c>
      <c r="AT26" s="888">
        <f t="shared" si="16"/>
        <v>115.03006012024048</v>
      </c>
      <c r="AU26" s="888">
        <f t="shared" si="16"/>
        <v>98.605577689243034</v>
      </c>
      <c r="AV26" s="888">
        <f t="shared" si="14"/>
        <v>362.42970088926086</v>
      </c>
      <c r="AW26" s="550">
        <f t="shared" si="15"/>
        <v>0</v>
      </c>
      <c r="AX26" s="888">
        <f t="shared" si="13"/>
        <v>362.42970088926086</v>
      </c>
    </row>
    <row r="27" spans="1:50" s="89" customFormat="1" ht="13.5" customHeight="1" x14ac:dyDescent="0.2">
      <c r="A27" s="462">
        <f>VLOOKUP(B27,Sheet1!$AQ$4:$AR$25,2,FALSE)</f>
        <v>0</v>
      </c>
      <c r="B27" s="95" t="str">
        <f>Sheet1!$K$21</f>
        <v>Torbay</v>
      </c>
      <c r="C27" s="87"/>
      <c r="D27" s="96">
        <f>IF(Year1_Torbay Year1_CP_Conference="","",Year1_Torbay Year1_CP_Conference)</f>
        <v>299</v>
      </c>
      <c r="E27" s="96">
        <f>IF(Year2_Torbay Year2_CP_Conference="","",Year2_Torbay Year2_CP_Conference)</f>
        <v>325</v>
      </c>
      <c r="F27" s="96">
        <f>IF(Year3_Torbay Year3_CP_Conference="","",Year3_Torbay Year3_CP_Conference)</f>
        <v>362</v>
      </c>
      <c r="G27" s="96">
        <f>IF(Year4_Torbay Year4_CP_Conference="","",Year4_Torbay Year4_CP_Conference)</f>
        <v>362</v>
      </c>
      <c r="H27" s="97">
        <f>IF(Year5_Torbay Year5_CP_Conference="","",Year5_Torbay Year5_CP_Conference)</f>
        <v>307</v>
      </c>
      <c r="I27" s="337">
        <f t="shared" si="5"/>
        <v>1.2217243481956429E-2</v>
      </c>
      <c r="J27" s="98"/>
      <c r="K27" s="99">
        <f>IF(ISNUMBER(D27),D27/Population!D27*10000,NA())</f>
        <v>119.12350597609561</v>
      </c>
      <c r="L27" s="99">
        <f>IF(ISNUMBER(E27),E27/Population!E27*10000,NA())</f>
        <v>128.96825396825395</v>
      </c>
      <c r="M27" s="99">
        <f>IF(ISNUMBER(F27),F27/Population!F27*10000,NA())</f>
        <v>142.51968503937007</v>
      </c>
      <c r="N27" s="99">
        <f>IF(ISNUMBER(G27),G27/Population!G27*10000,NA())</f>
        <v>142.51968503937007</v>
      </c>
      <c r="O27" s="100">
        <f>IF(ISNUMBER(H27),H27/Population!H27*10000,NA())</f>
        <v>120.86614173228345</v>
      </c>
      <c r="P27" s="101">
        <f t="shared" si="6"/>
        <v>120.86614173228345</v>
      </c>
      <c r="Q27" s="766" t="str">
        <f t="shared" si="7"/>
        <v>--</v>
      </c>
      <c r="R27" s="69"/>
      <c r="S27" s="333">
        <f>IDACI!C26</f>
        <v>21.9</v>
      </c>
      <c r="T27" s="334">
        <f t="shared" si="0"/>
        <v>79.624566118988184</v>
      </c>
      <c r="U27" s="335">
        <f t="shared" si="8"/>
        <v>41.241575613295268</v>
      </c>
      <c r="V27" s="124"/>
      <c r="W27" s="140"/>
      <c r="X27" s="149"/>
      <c r="Y27" s="71" t="str">
        <f t="shared" si="1"/>
        <v>Torbay</v>
      </c>
      <c r="Z27" s="45">
        <f>IF(ISNUMBER(H27),IDACI!D26,0)</f>
        <v>22257</v>
      </c>
      <c r="AA27" s="45">
        <f>IF(ISNUMBER(H27),IDACI!E26,0)</f>
        <v>4874.2829999999994</v>
      </c>
      <c r="AB27" s="202">
        <f>IF(ISNUMBER(D27),Population!D27,"")</f>
        <v>25100</v>
      </c>
      <c r="AC27" s="202">
        <f>IF(ISNUMBER(E27),Population!E27,"")</f>
        <v>25200</v>
      </c>
      <c r="AD27" s="202">
        <f>IF(ISNUMBER(F27),Population!F27,"")</f>
        <v>25400</v>
      </c>
      <c r="AE27" s="202">
        <f>IF(ISNUMBER(G27),Population!G27,"")</f>
        <v>25400</v>
      </c>
      <c r="AF27" s="202">
        <f>IF(ISNUMBER(H27),Population!H27,"")</f>
        <v>25400</v>
      </c>
      <c r="AG27" s="95" t="s">
        <v>30</v>
      </c>
      <c r="AH27" s="225">
        <f t="shared" si="9"/>
        <v>34.971098265895954</v>
      </c>
      <c r="AI27" s="203">
        <f t="shared" si="10"/>
        <v>2</v>
      </c>
      <c r="AJ27" s="199"/>
      <c r="AK27" s="156"/>
      <c r="AL27" s="792">
        <f t="shared" si="11"/>
        <v>8.6956521739130432E-2</v>
      </c>
      <c r="AM27" s="792">
        <f t="shared" si="11"/>
        <v>0.11384615384615385</v>
      </c>
      <c r="AN27" s="792">
        <f t="shared" si="11"/>
        <v>0</v>
      </c>
      <c r="AO27" s="792">
        <f t="shared" si="11"/>
        <v>-0.15193370165745856</v>
      </c>
      <c r="AP27" s="792">
        <f t="shared" si="12"/>
        <v>1.2217243481956429E-2</v>
      </c>
      <c r="AR27" s="888">
        <f t="shared" si="16"/>
        <v>128.96825396825395</v>
      </c>
      <c r="AS27" s="888">
        <f t="shared" si="16"/>
        <v>142.51968503937007</v>
      </c>
      <c r="AT27" s="888">
        <f t="shared" si="16"/>
        <v>142.51968503937007</v>
      </c>
      <c r="AU27" s="888">
        <f t="shared" si="16"/>
        <v>120.86614173228345</v>
      </c>
      <c r="AV27" s="888">
        <f t="shared" si="14"/>
        <v>534.87376577927762</v>
      </c>
      <c r="AW27" s="550">
        <f t="shared" si="15"/>
        <v>0</v>
      </c>
      <c r="AX27" s="888">
        <f t="shared" si="13"/>
        <v>534.87376577927762</v>
      </c>
    </row>
    <row r="28" spans="1:50" s="89" customFormat="1" ht="13.5" customHeight="1" x14ac:dyDescent="0.2">
      <c r="A28" s="462">
        <f>VLOOKUP(B28,Sheet1!$AQ$4:$AR$25,2,FALSE)</f>
        <v>0</v>
      </c>
      <c r="B28" s="95" t="str">
        <f>Sheet1!$K$22</f>
        <v>West Berkshire</v>
      </c>
      <c r="C28" s="87"/>
      <c r="D28" s="96">
        <f>IF(Year1_West_Berkshire Year1_CP_Conference="","",Year1_West_Berkshire Year1_CP_Conference)</f>
        <v>207</v>
      </c>
      <c r="E28" s="102">
        <f>IF(Year2_West_Berkshire Year2_CP_Conference="","",Year2_West_Berkshire Year2_CP_Conference)</f>
        <v>240</v>
      </c>
      <c r="F28" s="96">
        <f>IF(Year3_West_Berkshire Year3_CP_Conference="","",Year3_West_Berkshire Year3_CP_Conference)</f>
        <v>248</v>
      </c>
      <c r="G28" s="96">
        <f>IF(Year4_West_Berkshire Year4_CP_Conference="","",Year4_West_Berkshire Year4_CP_Conference)</f>
        <v>275</v>
      </c>
      <c r="H28" s="97">
        <f>IF(Year5_West_Berkshire Year5_CP_Conference="","",Year5_West_Berkshire Year5_CP_Conference)</f>
        <v>259</v>
      </c>
      <c r="I28" s="337">
        <f t="shared" si="5"/>
        <v>6.0860693187130777E-2</v>
      </c>
      <c r="J28" s="98"/>
      <c r="K28" s="99">
        <f>IF(ISNUMBER(D28),D28/Population!D28*10000,NA())</f>
        <v>58.146067415730336</v>
      </c>
      <c r="L28" s="99">
        <f>IF(ISNUMBER(E28),E28/Population!E28*10000,NA())</f>
        <v>67.226890756302524</v>
      </c>
      <c r="M28" s="99">
        <f>IF(ISNUMBER(F28),F28/Population!F28*10000,NA())</f>
        <v>69.080779944289688</v>
      </c>
      <c r="N28" s="99">
        <f>IF(ISNUMBER(G28),G28/Population!G28*10000,NA())</f>
        <v>76.815642458100555</v>
      </c>
      <c r="O28" s="100">
        <f>IF(ISNUMBER(H28),H28/Population!H28*10000,NA())</f>
        <v>72.752808988764045</v>
      </c>
      <c r="P28" s="101">
        <f t="shared" si="6"/>
        <v>72.752808988764045</v>
      </c>
      <c r="Q28" s="770">
        <f t="shared" si="7"/>
        <v>12</v>
      </c>
      <c r="R28" s="69"/>
      <c r="S28" s="333">
        <f>IDACI!C27</f>
        <v>8.6999999999999993</v>
      </c>
      <c r="T28" s="334">
        <f t="shared" si="0"/>
        <v>46.417711969130494</v>
      </c>
      <c r="U28" s="335">
        <f t="shared" si="8"/>
        <v>26.335097019633551</v>
      </c>
      <c r="V28" s="124"/>
      <c r="W28" s="140"/>
      <c r="X28" s="149"/>
      <c r="Y28" s="71" t="str">
        <f t="shared" si="1"/>
        <v>West Berkshire</v>
      </c>
      <c r="Z28" s="45">
        <f>IF(ISNUMBER(H28),IDACI!D27,0)</f>
        <v>31625</v>
      </c>
      <c r="AA28" s="45">
        <f>IF(ISNUMBER(H28),IDACI!E27,0)</f>
        <v>2751.375</v>
      </c>
      <c r="AB28" s="202">
        <f>IF(ISNUMBER(D28),Population!D28,"")</f>
        <v>35600</v>
      </c>
      <c r="AC28" s="202">
        <f>IF(ISNUMBER(E28),Population!E28,"")</f>
        <v>35700</v>
      </c>
      <c r="AD28" s="202">
        <f>IF(ISNUMBER(F28),Population!F28,"")</f>
        <v>35900</v>
      </c>
      <c r="AE28" s="202">
        <f>IF(ISNUMBER(G28),Population!G28,"")</f>
        <v>35800</v>
      </c>
      <c r="AF28" s="202">
        <f>IF(ISNUMBER(H28),Population!H28,"")</f>
        <v>35600</v>
      </c>
      <c r="AG28" s="95" t="s">
        <v>16</v>
      </c>
      <c r="AH28" s="225">
        <f t="shared" si="9"/>
        <v>64.810126582278485</v>
      </c>
      <c r="AI28" s="203">
        <f t="shared" si="10"/>
        <v>9</v>
      </c>
      <c r="AJ28" s="199"/>
      <c r="AK28" s="156"/>
      <c r="AL28" s="792">
        <f t="shared" si="11"/>
        <v>0.15942028985507245</v>
      </c>
      <c r="AM28" s="792">
        <f t="shared" si="11"/>
        <v>3.3333333333333333E-2</v>
      </c>
      <c r="AN28" s="792">
        <f t="shared" si="11"/>
        <v>0.10887096774193548</v>
      </c>
      <c r="AO28" s="792">
        <f t="shared" si="11"/>
        <v>-5.8181818181818182E-2</v>
      </c>
      <c r="AP28" s="792">
        <f t="shared" si="12"/>
        <v>6.0860693187130777E-2</v>
      </c>
      <c r="AR28" s="888">
        <f t="shared" si="16"/>
        <v>67.226890756302524</v>
      </c>
      <c r="AS28" s="888">
        <f t="shared" si="16"/>
        <v>69.080779944289688</v>
      </c>
      <c r="AT28" s="888">
        <f t="shared" si="16"/>
        <v>76.815642458100555</v>
      </c>
      <c r="AU28" s="888">
        <f t="shared" si="16"/>
        <v>72.752808988764045</v>
      </c>
      <c r="AV28" s="888">
        <f t="shared" si="14"/>
        <v>285.87612214745684</v>
      </c>
      <c r="AW28" s="550">
        <f t="shared" si="15"/>
        <v>0</v>
      </c>
      <c r="AX28" s="888">
        <f t="shared" si="13"/>
        <v>285.87612214745684</v>
      </c>
    </row>
    <row r="29" spans="1:50" s="89" customFormat="1" ht="13.5" customHeight="1" x14ac:dyDescent="0.2">
      <c r="A29" s="462">
        <f>VLOOKUP(B29,Sheet1!$AQ$4:$AR$25,2,FALSE)</f>
        <v>0</v>
      </c>
      <c r="B29" s="95" t="str">
        <f>Sheet1!$K$23</f>
        <v>West Sussex</v>
      </c>
      <c r="C29" s="87"/>
      <c r="D29" s="96">
        <f>IF(Year1_West_Sussex Year1_CP_Conference="","",Year1_West_Sussex Year1_CP_Conference)</f>
        <v>869</v>
      </c>
      <c r="E29" s="102">
        <f>IF(Year2_West_Sussex Year2_CP_Conference="","",Year2_West_Sussex Year2_CP_Conference)</f>
        <v>671</v>
      </c>
      <c r="F29" s="96">
        <f>IF(Year3_West_Sussex Year3_CP_Conference="","",Year3_West_Sussex Year3_CP_Conference)</f>
        <v>680</v>
      </c>
      <c r="G29" s="96">
        <f>IF(Year4_West_Sussex Year4_CP_Conference="","",Year4_West_Sussex Year4_CP_Conference)</f>
        <v>1079</v>
      </c>
      <c r="H29" s="97">
        <f>IF(Year5_West_Sussex Year5_CP_Conference="","",Year5_West_Sussex Year5_CP_Conference)</f>
        <v>874</v>
      </c>
      <c r="I29" s="337">
        <f t="shared" si="5"/>
        <v>4.5584672287157131E-2</v>
      </c>
      <c r="J29" s="98"/>
      <c r="K29" s="99">
        <f>IF(ISNUMBER(D29),D29/Population!D29*10000,NA())</f>
        <v>51.481042654028435</v>
      </c>
      <c r="L29" s="99">
        <f>IF(ISNUMBER(E29),E29/Population!E29*10000,NA())</f>
        <v>39.377934272300465</v>
      </c>
      <c r="M29" s="99">
        <f>IF(ISNUMBER(F29),F29/Population!F29*10000,NA())</f>
        <v>39.580908032596035</v>
      </c>
      <c r="N29" s="99">
        <f>IF(ISNUMBER(G29),G29/Population!G29*10000,NA())</f>
        <v>62.261973456433928</v>
      </c>
      <c r="O29" s="100">
        <f>IF(ISNUMBER(H29),H29/Population!H29*10000,NA())</f>
        <v>50.028620492272466</v>
      </c>
      <c r="P29" s="101">
        <f t="shared" si="6"/>
        <v>50.028620492272466</v>
      </c>
      <c r="Q29" s="770">
        <f t="shared" si="7"/>
        <v>4</v>
      </c>
      <c r="R29" s="69"/>
      <c r="S29" s="333">
        <f>IDACI!C28</f>
        <v>11</v>
      </c>
      <c r="T29" s="334">
        <f t="shared" si="0"/>
        <v>52.203754737666308</v>
      </c>
      <c r="U29" s="335">
        <f t="shared" si="8"/>
        <v>-2.175134245393842</v>
      </c>
      <c r="V29" s="124"/>
      <c r="W29" s="140"/>
      <c r="X29" s="149"/>
      <c r="Y29" s="71" t="str">
        <f t="shared" si="1"/>
        <v>West Sussex</v>
      </c>
      <c r="Z29" s="45">
        <f>IF(ISNUMBER(H29),IDACI!D28,0)</f>
        <v>151487</v>
      </c>
      <c r="AA29" s="45">
        <f>IF(ISNUMBER(H29),IDACI!E28,0)</f>
        <v>16663.57</v>
      </c>
      <c r="AB29" s="202">
        <f>IF(ISNUMBER(D29),Population!D29,"")</f>
        <v>168800</v>
      </c>
      <c r="AC29" s="202">
        <f>IF(ISNUMBER(E29),Population!E29,"")</f>
        <v>170400</v>
      </c>
      <c r="AD29" s="202">
        <f>IF(ISNUMBER(F29),Population!F29,"")</f>
        <v>171800</v>
      </c>
      <c r="AE29" s="202">
        <f>IF(ISNUMBER(G29),Population!G29,"")</f>
        <v>173300</v>
      </c>
      <c r="AF29" s="202">
        <f>IF(ISNUMBER(H29),Population!H29,"")</f>
        <v>174700</v>
      </c>
      <c r="AG29" s="199"/>
      <c r="AH29" s="199"/>
      <c r="AI29" s="185"/>
      <c r="AJ29" s="199"/>
      <c r="AK29" s="156"/>
      <c r="AL29" s="792">
        <f t="shared" si="11"/>
        <v>-0.22784810126582278</v>
      </c>
      <c r="AM29" s="792">
        <f t="shared" si="11"/>
        <v>1.3412816691505217E-2</v>
      </c>
      <c r="AN29" s="792">
        <f t="shared" si="11"/>
        <v>0.58676470588235297</v>
      </c>
      <c r="AO29" s="792">
        <f t="shared" si="11"/>
        <v>-0.18999073215940684</v>
      </c>
      <c r="AP29" s="792">
        <f t="shared" si="12"/>
        <v>4.5584672287157131E-2</v>
      </c>
      <c r="AR29" s="888">
        <f t="shared" si="16"/>
        <v>39.377934272300465</v>
      </c>
      <c r="AS29" s="888">
        <f t="shared" si="16"/>
        <v>39.580908032596035</v>
      </c>
      <c r="AT29" s="888">
        <f t="shared" si="16"/>
        <v>62.261973456433928</v>
      </c>
      <c r="AU29" s="888">
        <f t="shared" si="16"/>
        <v>50.028620492272466</v>
      </c>
      <c r="AV29" s="888">
        <f t="shared" si="14"/>
        <v>191.24943625360291</v>
      </c>
      <c r="AW29" s="550">
        <f t="shared" si="15"/>
        <v>0</v>
      </c>
      <c r="AX29" s="888">
        <f t="shared" si="13"/>
        <v>191.24943625360291</v>
      </c>
    </row>
    <row r="30" spans="1:50" s="89" customFormat="1" ht="13.5" customHeight="1" x14ac:dyDescent="0.2">
      <c r="A30" s="462">
        <f>VLOOKUP(B30,Sheet1!$AQ$4:$AR$25,2,FALSE)</f>
        <v>0</v>
      </c>
      <c r="B30" s="95" t="str">
        <f>Sheet1!$K$24</f>
        <v>Windsor &amp; Maidenhead</v>
      </c>
      <c r="C30" s="87"/>
      <c r="D30" s="102">
        <f>IF(Year1_Windsor_Maidenhead Year1_CP_Conference="","",Year1_Windsor_Maidenhead Year1_CP_Conference)</f>
        <v>93</v>
      </c>
      <c r="E30" s="96">
        <f>IF(Year2_Windsor_Maidenhead Year2_CP_Conference="","",Year2_Windsor_Maidenhead Year2_CP_Conference)</f>
        <v>200</v>
      </c>
      <c r="F30" s="96">
        <f>IF(Year3_Windsor_Maidenhead Year3_CP_Conference="","",Year3_Windsor_Maidenhead Year3_CP_Conference)</f>
        <v>194</v>
      </c>
      <c r="G30" s="96">
        <f>IF(Year4_Windsor_Maidenhead Year4_CP_Conference="","",Year4_Windsor_Maidenhead Year4_CP_Conference)</f>
        <v>137</v>
      </c>
      <c r="H30" s="97">
        <f>IF(Year5_Windsor_Maidenhead Year5_CP_Conference="","",Year5_Windsor_Maidenhead Year5_CP_Conference)</f>
        <v>121</v>
      </c>
      <c r="I30" s="337">
        <f t="shared" si="5"/>
        <v>0.17748372006275706</v>
      </c>
      <c r="J30" s="98"/>
      <c r="K30" s="99">
        <f>IF(ISNUMBER(D30),D30/Population!D30*10000,NA())</f>
        <v>27.844311377245511</v>
      </c>
      <c r="L30" s="99">
        <f>IF(ISNUMBER(E30),E30/Population!E30*10000,NA())</f>
        <v>59.347181008902076</v>
      </c>
      <c r="M30" s="99">
        <f>IF(ISNUMBER(F30),F30/Population!F30*10000,NA())</f>
        <v>56.725146198830409</v>
      </c>
      <c r="N30" s="99">
        <f>IF(ISNUMBER(G30),G30/Population!G30*10000,NA())</f>
        <v>39.825581395348834</v>
      </c>
      <c r="O30" s="100">
        <f>IF(ISNUMBER(H30),H30/Population!H30*10000,NA())</f>
        <v>34.971098265895954</v>
      </c>
      <c r="P30" s="101">
        <f t="shared" si="6"/>
        <v>34.971098265895954</v>
      </c>
      <c r="Q30" s="770">
        <f t="shared" si="7"/>
        <v>2</v>
      </c>
      <c r="R30" s="69"/>
      <c r="S30" s="333">
        <f>IDACI!C29</f>
        <v>6.7</v>
      </c>
      <c r="T30" s="334">
        <f t="shared" si="0"/>
        <v>41.386370431273271</v>
      </c>
      <c r="U30" s="335">
        <f t="shared" si="8"/>
        <v>-6.415272165377317</v>
      </c>
      <c r="V30" s="124"/>
      <c r="W30" s="140"/>
      <c r="X30" s="149"/>
      <c r="Y30" s="71" t="str">
        <f t="shared" si="1"/>
        <v>Windsor &amp; Maidenhead</v>
      </c>
      <c r="Z30" s="45">
        <f>IF(ISNUMBER(H30),IDACI!D29,0)</f>
        <v>29792</v>
      </c>
      <c r="AA30" s="45">
        <f>IF(ISNUMBER(H30),IDACI!E29,0)</f>
        <v>1996.0640000000001</v>
      </c>
      <c r="AB30" s="202">
        <f>IF(ISNUMBER(D30),Population!D30,"")</f>
        <v>33400</v>
      </c>
      <c r="AC30" s="202">
        <f>IF(ISNUMBER(E30),Population!E30,"")</f>
        <v>33700</v>
      </c>
      <c r="AD30" s="202">
        <f>IF(ISNUMBER(F30),Population!F30,"")</f>
        <v>34200</v>
      </c>
      <c r="AE30" s="202">
        <f>IF(ISNUMBER(G30),Population!G30,"")</f>
        <v>34400</v>
      </c>
      <c r="AF30" s="202">
        <f>IF(ISNUMBER(H30),Population!H30,"")</f>
        <v>34600</v>
      </c>
      <c r="AG30" s="199"/>
      <c r="AH30" s="199"/>
      <c r="AI30" s="185"/>
      <c r="AJ30" s="199"/>
      <c r="AK30" s="156"/>
      <c r="AL30" s="792">
        <f t="shared" si="11"/>
        <v>1.1505376344086022</v>
      </c>
      <c r="AM30" s="792">
        <f t="shared" si="11"/>
        <v>-0.03</v>
      </c>
      <c r="AN30" s="792">
        <f t="shared" si="11"/>
        <v>-0.29381443298969073</v>
      </c>
      <c r="AO30" s="792">
        <f t="shared" si="11"/>
        <v>-0.11678832116788321</v>
      </c>
      <c r="AP30" s="792">
        <f t="shared" si="12"/>
        <v>0.17748372006275706</v>
      </c>
      <c r="AR30" s="888">
        <f t="shared" si="16"/>
        <v>59.347181008902076</v>
      </c>
      <c r="AS30" s="888">
        <f t="shared" si="16"/>
        <v>56.725146198830409</v>
      </c>
      <c r="AT30" s="888">
        <f t="shared" si="16"/>
        <v>39.825581395348834</v>
      </c>
      <c r="AU30" s="888">
        <f t="shared" si="16"/>
        <v>34.971098265895954</v>
      </c>
      <c r="AV30" s="888">
        <f t="shared" si="14"/>
        <v>190.86900686897727</v>
      </c>
      <c r="AW30" s="550">
        <f t="shared" si="15"/>
        <v>0</v>
      </c>
      <c r="AX30" s="888">
        <f>AV30/(4-AW30)*4</f>
        <v>190.86900686897727</v>
      </c>
    </row>
    <row r="31" spans="1:50" s="89" customFormat="1" ht="13.5" customHeight="1" x14ac:dyDescent="0.2">
      <c r="A31" s="462">
        <f>VLOOKUP(B31,Sheet1!$AQ$4:$AR$25,2,FALSE)</f>
        <v>0</v>
      </c>
      <c r="B31" s="95" t="str">
        <f>Sheet1!$K$25</f>
        <v>Wokingham</v>
      </c>
      <c r="C31" s="87"/>
      <c r="D31" s="102">
        <f>IF(Year1_Wokingham Year1_CP_Conference="","",Year1_Wokingham Year1_CP_Conference)</f>
        <v>69</v>
      </c>
      <c r="E31" s="96">
        <f>IF(Year2_Wokingham Year2_CP_Conference="","",Year2_Wokingham Year2_CP_Conference)</f>
        <v>145</v>
      </c>
      <c r="F31" s="96">
        <f>IF(Year3_Wokingham Year3_CP_Conference="","",Year3_Wokingham Year3_CP_Conference)</f>
        <v>89</v>
      </c>
      <c r="G31" s="96">
        <f>IF(Year4_Wokingham Year4_CP_Conference="","",Year4_Wokingham Year4_CP_Conference)</f>
        <v>181</v>
      </c>
      <c r="H31" s="97">
        <f>IF(Year5_Wokingham Year5_CP_Conference="","",Year5_Wokingham Year5_CP_Conference)</f>
        <v>256</v>
      </c>
      <c r="I31" s="337">
        <f t="shared" si="5"/>
        <v>0.54082872121577796</v>
      </c>
      <c r="J31" s="98"/>
      <c r="K31" s="99">
        <f>IF(ISNUMBER(D31),D31/Population!D31*10000,NA())</f>
        <v>18.699186991869919</v>
      </c>
      <c r="L31" s="99">
        <f>IF(ISNUMBER(E31),E31/Population!E31*10000,NA())</f>
        <v>38.873994638069703</v>
      </c>
      <c r="M31" s="99">
        <f>IF(ISNUMBER(F31),F31/Population!F31*10000,NA())</f>
        <v>23.421052631578949</v>
      </c>
      <c r="N31" s="99">
        <f>IF(ISNUMBER(G31),G31/Population!G31*10000,NA())</f>
        <v>46.770025839793277</v>
      </c>
      <c r="O31" s="100">
        <f>IF(ISNUMBER(H31),H31/Population!H31*10000,NA())</f>
        <v>64.810126582278485</v>
      </c>
      <c r="P31" s="101">
        <f t="shared" si="6"/>
        <v>64.810126582278485</v>
      </c>
      <c r="Q31" s="770">
        <f t="shared" si="7"/>
        <v>9</v>
      </c>
      <c r="R31" s="69"/>
      <c r="S31" s="333">
        <f>IDACI!C30</f>
        <v>5.6000000000000005</v>
      </c>
      <c r="T31" s="334">
        <f t="shared" si="0"/>
        <v>38.619132585451794</v>
      </c>
      <c r="U31" s="335">
        <f t="shared" si="8"/>
        <v>26.190993996826691</v>
      </c>
      <c r="V31" s="124"/>
      <c r="W31" s="140"/>
      <c r="X31" s="149"/>
      <c r="Y31" s="71" t="str">
        <f t="shared" si="1"/>
        <v>Wokingham</v>
      </c>
      <c r="Z31" s="45">
        <f>IF(ISNUMBER(H31),IDACI!D30,0)</f>
        <v>33327</v>
      </c>
      <c r="AA31" s="45">
        <f>IF(ISNUMBER(H31),IDACI!E30,0)</f>
        <v>1866.3120000000004</v>
      </c>
      <c r="AB31" s="202">
        <f>IF(ISNUMBER(D31),Population!D31,"")</f>
        <v>36900</v>
      </c>
      <c r="AC31" s="202">
        <f>IF(ISNUMBER(E31),Population!E31,"")</f>
        <v>37300</v>
      </c>
      <c r="AD31" s="202">
        <f>IF(ISNUMBER(F31),Population!F31,"")</f>
        <v>38000</v>
      </c>
      <c r="AE31" s="202">
        <f>IF(ISNUMBER(G31),Population!G31,"")</f>
        <v>38700</v>
      </c>
      <c r="AF31" s="202">
        <f>IF(ISNUMBER(H31),Population!H31,"")</f>
        <v>39500</v>
      </c>
      <c r="AG31" s="199"/>
      <c r="AH31" s="199"/>
      <c r="AI31" s="185"/>
      <c r="AJ31" s="199"/>
      <c r="AK31" s="156"/>
      <c r="AL31" s="792">
        <f t="shared" si="11"/>
        <v>1.1014492753623188</v>
      </c>
      <c r="AM31" s="792">
        <f t="shared" si="11"/>
        <v>-0.38620689655172413</v>
      </c>
      <c r="AN31" s="792">
        <f t="shared" si="11"/>
        <v>1.0337078651685394</v>
      </c>
      <c r="AO31" s="792">
        <f t="shared" si="11"/>
        <v>0.4143646408839779</v>
      </c>
      <c r="AP31" s="792">
        <f t="shared" si="12"/>
        <v>0.54082872121577796</v>
      </c>
      <c r="AR31" s="888">
        <f t="shared" si="16"/>
        <v>38.873994638069703</v>
      </c>
      <c r="AS31" s="888">
        <f t="shared" si="16"/>
        <v>23.421052631578949</v>
      </c>
      <c r="AT31" s="888">
        <f t="shared" si="16"/>
        <v>46.770025839793277</v>
      </c>
      <c r="AU31" s="888">
        <f t="shared" si="16"/>
        <v>64.810126582278485</v>
      </c>
      <c r="AV31" s="888">
        <f t="shared" si="14"/>
        <v>173.87519969172041</v>
      </c>
      <c r="AW31" s="550">
        <f t="shared" si="15"/>
        <v>0</v>
      </c>
      <c r="AX31" s="888">
        <f t="shared" si="13"/>
        <v>173.87519969172041</v>
      </c>
    </row>
    <row r="32" spans="1:50" s="89" customFormat="1" ht="13.5" customHeight="1" x14ac:dyDescent="0.2">
      <c r="A32" s="123"/>
      <c r="B32" s="131" t="str">
        <f>Sheet1!$K$26</f>
        <v>South East</v>
      </c>
      <c r="C32" s="87"/>
      <c r="D32" s="132">
        <f>IF(Year1_SouthEast Year1_CP_Conference="","",Year1_SouthEast Year1_CP_Conference)</f>
        <v>11380</v>
      </c>
      <c r="E32" s="132">
        <f>IF(Year2_SouthEast Year2_CP_Conference="","",Year2_SouthEast Year2_CP_Conference)</f>
        <v>11410</v>
      </c>
      <c r="F32" s="132">
        <f>IF(Year3_SouthEast Year3_CP_Conference="","",Year3_SouthEast Year3_CP_Conference)</f>
        <v>11490</v>
      </c>
      <c r="G32" s="132">
        <f>IF(Year4_SouthEast Year4_CP_Conference="","",Year4_SouthEast Year4_CP_Conference)</f>
        <v>12230</v>
      </c>
      <c r="H32" s="133">
        <f>IF(Year5_SouthEast Year5_CP_Conference="","",Year5_SouthEast Year5_CP_Conference)</f>
        <v>11900</v>
      </c>
      <c r="I32" s="350">
        <f t="shared" si="5"/>
        <v>4.867214128601062E-3</v>
      </c>
      <c r="J32" s="98"/>
      <c r="K32" s="134">
        <f>IF(ISNUMBER(D32),D32/AB32*10000,NA())</f>
        <v>59.756353707204369</v>
      </c>
      <c r="L32" s="134">
        <f>IF(ISNUMBER(E32),E32/AC32*10000,NA())</f>
        <v>59.485949637662273</v>
      </c>
      <c r="M32" s="134">
        <f>IF(ISNUMBER(F32),F32/AD32*10000,NA())</f>
        <v>59.4382080595934</v>
      </c>
      <c r="N32" s="134">
        <f>IF(ISNUMBER(G32),G32/AE32*10000,NA())</f>
        <v>62.914758989659965</v>
      </c>
      <c r="O32" s="135">
        <f>IF(ISNUMBER(H32),H32/AF32*10000,NA())</f>
        <v>60.794932052722999</v>
      </c>
      <c r="P32" s="101">
        <f t="shared" si="6"/>
        <v>60.794932052722999</v>
      </c>
      <c r="Q32" s="136" t="str">
        <f t="shared" si="7"/>
        <v>--</v>
      </c>
      <c r="R32" s="69"/>
      <c r="S32" s="331">
        <f>AA32/Z32*100</f>
        <v>12.371268250968637</v>
      </c>
      <c r="T32" s="331">
        <f t="shared" si="0"/>
        <v>55.653414192987974</v>
      </c>
      <c r="U32" s="336">
        <f t="shared" si="8"/>
        <v>5.1415178597350248</v>
      </c>
      <c r="V32" s="124"/>
      <c r="W32" s="140"/>
      <c r="X32" s="149"/>
      <c r="Y32" s="71" t="str">
        <f t="shared" si="1"/>
        <v>South East</v>
      </c>
      <c r="Z32" s="45">
        <f>SUM(Z24:Z25,Z10:Z22,Z28:Z31)</f>
        <v>1704978</v>
      </c>
      <c r="AA32" s="45">
        <f>SUM(AA24:AA25,AA10:AA22,AA28:AA31)</f>
        <v>210927.40200000003</v>
      </c>
      <c r="AB32" s="202">
        <f>SUM(AB10:AB22,AB24:AB25,AB28:AB31)</f>
        <v>1904400</v>
      </c>
      <c r="AC32" s="202">
        <f t="shared" ref="AC32:AF32" si="17">SUM(AC10:AC22,AC24:AC25,AC28:AC31)</f>
        <v>1918100</v>
      </c>
      <c r="AD32" s="202">
        <f t="shared" si="17"/>
        <v>1933100</v>
      </c>
      <c r="AE32" s="202">
        <f t="shared" si="17"/>
        <v>1943900</v>
      </c>
      <c r="AF32" s="202">
        <f t="shared" si="17"/>
        <v>1957400</v>
      </c>
      <c r="AG32" s="199"/>
      <c r="AH32" s="199"/>
      <c r="AI32" s="185"/>
      <c r="AJ32" s="199"/>
      <c r="AK32" s="156"/>
      <c r="AL32" s="974">
        <f>IF(ISERROR((L32-K32)/K32),"x",(L32-K32)/K32)</f>
        <v>-4.5251099300172857E-3</v>
      </c>
      <c r="AM32" s="974">
        <f t="shared" ref="AM32:AO32" si="18">IF(ISERROR((M32-L32)/L32),"x",(M32-L32)/L32)</f>
        <v>-8.0256898241810122E-4</v>
      </c>
      <c r="AN32" s="974">
        <f t="shared" si="18"/>
        <v>5.8490170608456724E-2</v>
      </c>
      <c r="AO32" s="974">
        <f t="shared" si="18"/>
        <v>-3.3693635181617089E-2</v>
      </c>
      <c r="AP32" s="792">
        <f t="shared" si="12"/>
        <v>4.867214128601062E-3</v>
      </c>
      <c r="AR32" s="888">
        <f t="shared" si="16"/>
        <v>59.485949637662273</v>
      </c>
      <c r="AS32" s="888">
        <f t="shared" si="16"/>
        <v>59.4382080595934</v>
      </c>
      <c r="AT32" s="888">
        <f t="shared" si="16"/>
        <v>62.914758989659965</v>
      </c>
      <c r="AU32" s="888">
        <f t="shared" si="16"/>
        <v>60.794932052722999</v>
      </c>
      <c r="AV32" s="888">
        <f t="shared" si="14"/>
        <v>242.63384873963864</v>
      </c>
      <c r="AW32" s="550">
        <f t="shared" si="15"/>
        <v>0</v>
      </c>
      <c r="AX32" s="888">
        <f t="shared" si="13"/>
        <v>242.63384873963864</v>
      </c>
    </row>
    <row r="33" spans="1:54" s="89" customFormat="1" ht="13.5" customHeight="1" x14ac:dyDescent="0.2">
      <c r="A33" s="286"/>
      <c r="B33" s="318" t="str">
        <f>Sheet1!$K$27</f>
        <v>England</v>
      </c>
      <c r="C33" s="87"/>
      <c r="D33" s="319">
        <f>IF(Year1_England Year1_CP_Conference="","",Year1_England Year1_CP_Conference)</f>
        <v>71410</v>
      </c>
      <c r="E33" s="319">
        <f>IF(Year2_England Year2_CP_Conference="","",Year2_England Year2_CP_Conference)</f>
        <v>73050</v>
      </c>
      <c r="F33" s="319">
        <f>IF(Year3_England Year3_CP_Conference="","",Year3_England Year3_CP_Conference)</f>
        <v>76930</v>
      </c>
      <c r="G33" s="319">
        <f>IF(Year4_England Year4_CP_Conference="","",Year4_England Year4_CP_Conference)</f>
        <v>79470</v>
      </c>
      <c r="H33" s="320">
        <f>IF(Year5_England Year5_CP_Conference="","",Year5_England Year5_CP_Conference)</f>
        <v>77440</v>
      </c>
      <c r="I33" s="351">
        <f t="shared" si="5"/>
        <v>2.0888268590764338E-2</v>
      </c>
      <c r="J33" s="98"/>
      <c r="K33" s="321">
        <f>IF(ISNUMBER(D33),D33/Population!D33*10000,NA())</f>
        <v>61.604423854999702</v>
      </c>
      <c r="L33" s="321">
        <f>IF(ISNUMBER(E33),E33/Population!E33*10000,NA())</f>
        <v>62.554055095522315</v>
      </c>
      <c r="M33" s="321">
        <f>IF(ISNUMBER(F33),F33/Population!F33*10000,NA())</f>
        <v>65.276233952466214</v>
      </c>
      <c r="N33" s="321">
        <f>IF(ISNUMBER(G33),G33/Population!G33*10000,NA())</f>
        <v>66.967220021909498</v>
      </c>
      <c r="O33" s="322">
        <f>IF(ISNUMBER(H33),H33/Population!H33*10000,NA())</f>
        <v>64.778411657437303</v>
      </c>
      <c r="P33" s="727"/>
      <c r="Q33" s="796" t="str">
        <f t="shared" si="7"/>
        <v>--</v>
      </c>
      <c r="R33" s="69"/>
      <c r="S33" s="332">
        <f>IDACI!C32</f>
        <v>17.084413405029373</v>
      </c>
      <c r="T33" s="332">
        <f t="shared" si="0"/>
        <v>67.510135686776124</v>
      </c>
      <c r="U33" s="598">
        <f t="shared" si="8"/>
        <v>-2.731724029338821</v>
      </c>
      <c r="V33" s="124"/>
      <c r="W33" s="140"/>
      <c r="X33" s="149"/>
      <c r="Y33" s="71" t="str">
        <f t="shared" si="1"/>
        <v>England</v>
      </c>
      <c r="Z33" s="45">
        <f>IF(H33&gt;0,IDACI!D32,0)</f>
        <v>10405050</v>
      </c>
      <c r="AA33" s="45">
        <f>IF(H33&gt;0,IDACI!E32,0)</f>
        <v>1777641.7570000088</v>
      </c>
      <c r="AB33" s="202">
        <f>IF(ISNUMBER(D33),Population!D33,"")</f>
        <v>11591700</v>
      </c>
      <c r="AC33" s="202">
        <f>IF(ISNUMBER(E33),Population!E33,"")</f>
        <v>11677900</v>
      </c>
      <c r="AD33" s="202">
        <f>IF(ISNUMBER(F33),Population!F33,"")</f>
        <v>11785300</v>
      </c>
      <c r="AE33" s="202">
        <f>IF(ISNUMBER(G33),Population!G33,"")</f>
        <v>11867000</v>
      </c>
      <c r="AF33" s="202">
        <f>IF(ISNUMBER(H33),Population!H33,"")</f>
        <v>11954600</v>
      </c>
      <c r="AG33" s="199"/>
      <c r="AH33" s="199"/>
      <c r="AI33" s="185"/>
      <c r="AJ33" s="199"/>
      <c r="AK33" s="156"/>
      <c r="AL33" s="792">
        <f t="shared" si="11"/>
        <v>2.296597115249965E-2</v>
      </c>
      <c r="AM33" s="792">
        <f t="shared" si="11"/>
        <v>5.3114305270362767E-2</v>
      </c>
      <c r="AN33" s="792">
        <f t="shared" si="11"/>
        <v>3.3017028467437932E-2</v>
      </c>
      <c r="AO33" s="792">
        <f t="shared" si="11"/>
        <v>-2.5544230527242986E-2</v>
      </c>
      <c r="AP33" s="792">
        <f>AVERAGE(AL33:AO33)</f>
        <v>2.0888268590764338E-2</v>
      </c>
      <c r="AR33" s="888">
        <f t="shared" si="16"/>
        <v>62.554055095522315</v>
      </c>
      <c r="AS33" s="888">
        <f t="shared" si="16"/>
        <v>65.276233952466214</v>
      </c>
      <c r="AT33" s="888">
        <f t="shared" si="16"/>
        <v>66.967220021909498</v>
      </c>
      <c r="AU33" s="888">
        <f t="shared" si="16"/>
        <v>64.778411657437303</v>
      </c>
      <c r="AV33" s="888">
        <f t="shared" si="14"/>
        <v>259.5759207273353</v>
      </c>
      <c r="AW33" s="550">
        <f t="shared" si="15"/>
        <v>0</v>
      </c>
      <c r="AX33" s="888">
        <f t="shared" si="13"/>
        <v>259.5759207273353</v>
      </c>
    </row>
    <row r="34" spans="1:54" s="83" customFormat="1" ht="13.5" customHeight="1" x14ac:dyDescent="0.2">
      <c r="A34" s="120"/>
      <c r="B34" s="125" t="s">
        <v>90</v>
      </c>
      <c r="C34" s="63"/>
      <c r="D34" s="63"/>
      <c r="E34" s="63"/>
      <c r="F34" s="63"/>
      <c r="G34" s="63"/>
      <c r="H34" s="63"/>
      <c r="I34" s="63"/>
      <c r="J34" s="63"/>
      <c r="K34" s="63"/>
      <c r="L34" s="63"/>
      <c r="M34" s="63"/>
      <c r="N34" s="63"/>
      <c r="O34" s="63"/>
      <c r="P34" s="63"/>
      <c r="Q34" s="137" t="s">
        <v>109</v>
      </c>
      <c r="S34" s="63"/>
      <c r="T34" s="63"/>
      <c r="U34" s="63"/>
      <c r="V34" s="119"/>
      <c r="W34" s="138"/>
      <c r="X34" s="147"/>
      <c r="Y34" s="82"/>
      <c r="Z34" s="179"/>
      <c r="AA34" s="179"/>
      <c r="AB34" s="179"/>
      <c r="AC34" s="179"/>
      <c r="AD34" s="179"/>
      <c r="AE34" s="179"/>
      <c r="AF34" s="179"/>
      <c r="AG34" s="179"/>
      <c r="AH34" s="179"/>
      <c r="AJ34" s="179"/>
      <c r="AK34" s="157"/>
    </row>
    <row r="35" spans="1:54" s="83" customFormat="1" ht="25.5" customHeight="1" x14ac:dyDescent="0.2">
      <c r="A35" s="120"/>
      <c r="B35" s="1425"/>
      <c r="C35" s="1426"/>
      <c r="D35" s="1426"/>
      <c r="E35" s="1426"/>
      <c r="F35" s="1426"/>
      <c r="G35" s="1426"/>
      <c r="H35" s="1426"/>
      <c r="I35" s="1426"/>
      <c r="J35" s="1426"/>
      <c r="K35" s="1426"/>
      <c r="L35" s="1426"/>
      <c r="M35" s="1426"/>
      <c r="N35" s="1426"/>
      <c r="O35" s="1426"/>
      <c r="P35" s="1426"/>
      <c r="Q35" s="1426"/>
      <c r="R35" s="1426"/>
      <c r="S35" s="1426"/>
      <c r="T35" s="1426"/>
      <c r="U35" s="1427"/>
      <c r="V35" s="119"/>
      <c r="W35" s="138"/>
      <c r="X35" s="147"/>
      <c r="Y35" s="82">
        <f>21/89</f>
        <v>0.23595505617977527</v>
      </c>
      <c r="Z35" s="179"/>
      <c r="AA35" s="179"/>
      <c r="AB35" s="179"/>
      <c r="AC35" s="179"/>
      <c r="AD35" s="179"/>
      <c r="AE35" s="179"/>
      <c r="AF35" s="179"/>
      <c r="AG35" s="179"/>
      <c r="AH35" s="179"/>
      <c r="AJ35" s="179"/>
      <c r="AK35" s="153"/>
      <c r="AL35" s="76"/>
      <c r="AM35" s="76"/>
      <c r="AN35" s="76"/>
      <c r="AO35" s="76"/>
      <c r="AP35" s="76"/>
      <c r="AQ35" s="76"/>
      <c r="AR35" s="76"/>
    </row>
    <row r="36" spans="1:54" s="83" customFormat="1" ht="7.5" customHeight="1" x14ac:dyDescent="0.2">
      <c r="A36" s="120"/>
      <c r="B36" s="18"/>
      <c r="C36" s="18"/>
      <c r="D36" s="17"/>
      <c r="E36" s="17"/>
      <c r="F36" s="17"/>
      <c r="G36" s="17"/>
      <c r="H36" s="17"/>
      <c r="I36" s="17"/>
      <c r="J36" s="13"/>
      <c r="K36" s="19"/>
      <c r="L36" s="19"/>
      <c r="M36" s="19"/>
      <c r="N36" s="19"/>
      <c r="O36" s="19"/>
      <c r="P36" s="19"/>
      <c r="Q36" s="19"/>
      <c r="R36" s="19"/>
      <c r="S36" s="19"/>
      <c r="T36" s="19"/>
      <c r="U36" s="20"/>
      <c r="V36" s="119"/>
      <c r="W36" s="138"/>
      <c r="X36" s="147"/>
      <c r="Z36" s="185"/>
      <c r="AJ36" s="179"/>
      <c r="AK36" s="153"/>
      <c r="AL36" s="76"/>
      <c r="AM36" s="76"/>
      <c r="AN36" s="76"/>
      <c r="AO36" s="76"/>
      <c r="AP36" s="76"/>
      <c r="AQ36" s="76"/>
      <c r="AR36" s="76"/>
    </row>
    <row r="37" spans="1:54"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1"/>
      <c r="V37" s="1422"/>
      <c r="W37" s="138"/>
      <c r="X37" s="147"/>
      <c r="Z37" s="185"/>
      <c r="AK37" s="157"/>
      <c r="AM37" s="83">
        <f>COLUMNS($B$4:K$4)</f>
        <v>10</v>
      </c>
      <c r="AN37" s="83">
        <f>COLUMNS($B$4:L$4)</f>
        <v>11</v>
      </c>
      <c r="AO37" s="83">
        <f>COLUMNS($B$4:M$4)</f>
        <v>12</v>
      </c>
      <c r="AP37" s="83">
        <f>COLUMNS($B$4:N$4)</f>
        <v>13</v>
      </c>
      <c r="AQ37" s="83">
        <f>COLUMNS($B$4:O$4)</f>
        <v>14</v>
      </c>
      <c r="AR37" s="83">
        <f>COLUMNS($B$4:S$4)</f>
        <v>18</v>
      </c>
      <c r="AS37" s="83">
        <f>COLUMNS($B$4:D$4)</f>
        <v>3</v>
      </c>
      <c r="AT37" s="83">
        <f>COLUMNS($B$4:E$4)</f>
        <v>4</v>
      </c>
      <c r="AU37" s="83">
        <f>COLUMNS($B$4:F$4)</f>
        <v>5</v>
      </c>
      <c r="AV37" s="83">
        <f>COLUMNS($B$4:G$4)</f>
        <v>6</v>
      </c>
      <c r="AW37" s="83">
        <f>COLUMNS($B$4:H$4)</f>
        <v>7</v>
      </c>
      <c r="AX37" s="83">
        <f>COLUMNS($B$4:D$4)</f>
        <v>3</v>
      </c>
      <c r="AY37" s="83">
        <f>COLUMNS($B$4:E$4)</f>
        <v>4</v>
      </c>
      <c r="AZ37" s="83">
        <f>COLUMNS($B$4:F$4)</f>
        <v>5</v>
      </c>
      <c r="BA37" s="83">
        <f>COLUMNS($B$4:G$4)</f>
        <v>6</v>
      </c>
      <c r="BB37" s="83">
        <f>COLUMNS($B$4:H$4)</f>
        <v>7</v>
      </c>
    </row>
    <row r="38" spans="1:54"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0"/>
      <c r="J38" s="1429"/>
      <c r="K38" s="1429"/>
      <c r="L38" s="1429"/>
      <c r="M38" s="1429"/>
      <c r="N38" s="1429"/>
      <c r="O38" s="1429"/>
      <c r="P38" s="1431"/>
      <c r="Q38" s="1429"/>
      <c r="R38" s="1429"/>
      <c r="S38" s="1429"/>
      <c r="T38" s="1430"/>
      <c r="U38" s="1429"/>
      <c r="V38" s="1432"/>
      <c r="W38" s="138"/>
      <c r="X38" s="147"/>
      <c r="Z38" s="185"/>
      <c r="AJ38" s="179"/>
      <c r="AK38" s="156"/>
      <c r="AL38" s="89"/>
      <c r="AM38" s="360" t="s">
        <v>89</v>
      </c>
      <c r="AN38" s="361"/>
      <c r="AO38" s="361"/>
      <c r="AP38" s="361"/>
      <c r="AQ38" s="361"/>
      <c r="AR38" s="360" t="s">
        <v>95</v>
      </c>
      <c r="AS38" s="56" t="s">
        <v>112</v>
      </c>
      <c r="AT38" s="25"/>
      <c r="AU38" s="25"/>
      <c r="AV38" s="25"/>
      <c r="AW38" s="24"/>
      <c r="AX38" s="56" t="s">
        <v>139</v>
      </c>
      <c r="AY38" s="25"/>
      <c r="AZ38" s="25"/>
      <c r="BA38" s="25"/>
      <c r="BB38" s="24"/>
    </row>
    <row r="39" spans="1:54" s="83" customFormat="1" ht="11.25" customHeight="1" x14ac:dyDescent="0.2">
      <c r="A39" s="114"/>
      <c r="B39" s="115"/>
      <c r="C39" s="115"/>
      <c r="D39" s="115"/>
      <c r="E39" s="115"/>
      <c r="F39" s="115"/>
      <c r="G39" s="115"/>
      <c r="H39" s="115"/>
      <c r="I39" s="115"/>
      <c r="J39" s="116"/>
      <c r="K39" s="115"/>
      <c r="L39" s="115"/>
      <c r="M39" s="115"/>
      <c r="N39" s="115"/>
      <c r="O39" s="115"/>
      <c r="P39" s="115"/>
      <c r="Q39" s="115"/>
      <c r="R39" s="115"/>
      <c r="S39" s="115"/>
      <c r="T39" s="115"/>
      <c r="U39" s="115"/>
      <c r="V39" s="117"/>
      <c r="W39" s="138"/>
      <c r="X39" s="146" t="s">
        <v>102</v>
      </c>
      <c r="Y39" s="192"/>
      <c r="Z39" s="192"/>
      <c r="AA39" s="192"/>
      <c r="AB39" s="192"/>
      <c r="AC39" s="192"/>
      <c r="AJ39" s="179"/>
      <c r="AK39" s="156"/>
      <c r="AL39" s="89"/>
      <c r="AM39" s="360"/>
      <c r="AN39" s="360"/>
      <c r="AO39" s="360"/>
      <c r="AP39" s="360"/>
      <c r="AQ39" s="360"/>
      <c r="AR39" s="361"/>
      <c r="AS39" s="360"/>
      <c r="AT39" s="360"/>
      <c r="AU39" s="360"/>
      <c r="AV39" s="360"/>
      <c r="AW39" s="360"/>
      <c r="AX39" s="360"/>
      <c r="AY39" s="360"/>
      <c r="AZ39" s="360"/>
      <c r="BA39" s="360"/>
      <c r="BB39" s="360"/>
    </row>
    <row r="40" spans="1:54" s="83" customFormat="1" ht="3.75" customHeight="1" x14ac:dyDescent="0.25">
      <c r="A40" s="118"/>
      <c r="B40" s="9"/>
      <c r="C40" s="9"/>
      <c r="D40" s="9"/>
      <c r="E40" s="9"/>
      <c r="F40" s="9"/>
      <c r="G40" s="9"/>
      <c r="H40" s="9"/>
      <c r="I40" s="9"/>
      <c r="J40" s="13"/>
      <c r="K40" s="9"/>
      <c r="L40" s="9"/>
      <c r="M40" s="9"/>
      <c r="N40" s="9"/>
      <c r="O40" s="9"/>
      <c r="P40" s="9"/>
      <c r="Q40" s="9"/>
      <c r="R40" s="9"/>
      <c r="S40" s="9"/>
      <c r="T40" s="9"/>
      <c r="U40" s="9"/>
      <c r="V40" s="119"/>
      <c r="W40" s="138"/>
      <c r="X40" s="288"/>
      <c r="AD40" s="1188" t="s">
        <v>1002</v>
      </c>
      <c r="AK40" s="156"/>
      <c r="AL40" s="89"/>
      <c r="AM40" s="360" t="e">
        <f>D9</f>
        <v>#N/A</v>
      </c>
      <c r="AN40" s="360" t="e">
        <f>E9</f>
        <v>#N/A</v>
      </c>
      <c r="AO40" s="360" t="e">
        <f>F9</f>
        <v>#N/A</v>
      </c>
      <c r="AP40" s="360" t="e">
        <f>G9</f>
        <v>#N/A</v>
      </c>
      <c r="AQ40" s="360" t="e">
        <f>H9</f>
        <v>#N/A</v>
      </c>
      <c r="AR40" s="361"/>
      <c r="AS40" s="360" t="e">
        <f>K9</f>
        <v>#N/A</v>
      </c>
      <c r="AT40" s="360" t="e">
        <f>L9</f>
        <v>#N/A</v>
      </c>
      <c r="AU40" s="360" t="e">
        <f>M9</f>
        <v>#N/A</v>
      </c>
      <c r="AV40" s="360" t="e">
        <f>N9</f>
        <v>#N/A</v>
      </c>
      <c r="AW40" s="360" t="e">
        <f>O9</f>
        <v>#N/A</v>
      </c>
      <c r="AX40" s="360" t="e">
        <f>AS40</f>
        <v>#N/A</v>
      </c>
      <c r="AY40" s="360" t="e">
        <f t="shared" ref="AY40:BB40" si="19">AT40</f>
        <v>#N/A</v>
      </c>
      <c r="AZ40" s="360" t="e">
        <f t="shared" si="19"/>
        <v>#N/A</v>
      </c>
      <c r="BA40" s="360" t="e">
        <f t="shared" si="19"/>
        <v>#N/A</v>
      </c>
      <c r="BB40" s="360" t="e">
        <f t="shared" si="19"/>
        <v>#N/A</v>
      </c>
    </row>
    <row r="41" spans="1:54" s="83" customFormat="1" ht="14.25" customHeight="1" x14ac:dyDescent="0.2">
      <c r="A41" s="120"/>
      <c r="B41" s="9"/>
      <c r="C41" s="9"/>
      <c r="D41" s="9"/>
      <c r="E41" s="9"/>
      <c r="F41" s="9"/>
      <c r="G41" s="9"/>
      <c r="H41" s="9"/>
      <c r="I41" s="9"/>
      <c r="J41" s="13"/>
      <c r="K41" s="9"/>
      <c r="L41" s="9"/>
      <c r="M41" s="9"/>
      <c r="N41" s="9"/>
      <c r="O41" s="9"/>
      <c r="P41" s="9"/>
      <c r="Q41" s="9"/>
      <c r="R41" s="9"/>
      <c r="S41" s="9"/>
      <c r="T41" s="9"/>
      <c r="U41" s="9"/>
      <c r="V41" s="119"/>
      <c r="W41" s="138"/>
      <c r="X41" s="288"/>
      <c r="Y41" s="44" t="s">
        <v>72</v>
      </c>
      <c r="Z41" s="44" t="s">
        <v>70</v>
      </c>
      <c r="AA41" s="44" t="s">
        <v>71</v>
      </c>
      <c r="AB41" s="1061">
        <v>5</v>
      </c>
      <c r="AC41" s="212">
        <f>(AB41*Z42)+AA42</f>
        <v>54.246855052989233</v>
      </c>
      <c r="AD41" s="203">
        <f>ROUND(ChartLabels!$AA12,3)</f>
        <v>0.16900000000000001</v>
      </c>
      <c r="AJ41" s="560" t="b">
        <v>1</v>
      </c>
      <c r="AK41" s="156" t="s">
        <v>0</v>
      </c>
      <c r="AL41" s="89" t="str">
        <f t="shared" ref="AL41:AL64" si="20">IF(AJ41=TRUE,B10,"")</f>
        <v>Bracknell Forest</v>
      </c>
      <c r="AM41" s="143">
        <f t="shared" ref="AM41:AQ50" si="21">VLOOKUP($AL41,$B$10:$O$33,AM$37,FALSE)</f>
        <v>58.633093525179859</v>
      </c>
      <c r="AN41" s="143">
        <f t="shared" si="21"/>
        <v>56.028368794326241</v>
      </c>
      <c r="AO41" s="143">
        <f t="shared" si="21"/>
        <v>92.553191489361708</v>
      </c>
      <c r="AP41" s="143">
        <f t="shared" si="21"/>
        <v>83.629893238434164</v>
      </c>
      <c r="AQ41" s="143">
        <f t="shared" si="21"/>
        <v>89.399293286219091</v>
      </c>
      <c r="AR41" s="144">
        <f>VLOOKUP(AL41,$B$10:$U$33,$AR$37,FALSE)</f>
        <v>8.9</v>
      </c>
      <c r="AS41" s="341">
        <f t="shared" ref="AS41:AW50" si="22">VLOOKUP($AL41,$B$112:$H$135,AS$37,FALSE)</f>
        <v>0.38717339667458434</v>
      </c>
      <c r="AT41" s="341">
        <f t="shared" si="22"/>
        <v>0.40101522842639592</v>
      </c>
      <c r="AU41" s="341">
        <f t="shared" si="22"/>
        <v>0.46607142857142858</v>
      </c>
      <c r="AV41" s="341">
        <f t="shared" si="22"/>
        <v>0.37183544303797467</v>
      </c>
      <c r="AW41" s="341">
        <f t="shared" si="22"/>
        <v>0.36039886039886038</v>
      </c>
      <c r="AX41" s="341">
        <f t="shared" ref="AX41:BB50" si="23">VLOOKUP($AL41,$B$148:$H$171,AX$37,FALSE)</f>
        <v>0.56441717791411039</v>
      </c>
      <c r="AY41" s="341">
        <f t="shared" si="23"/>
        <v>0.66455696202531644</v>
      </c>
      <c r="AZ41" s="341">
        <f t="shared" si="23"/>
        <v>0.73946360153256707</v>
      </c>
      <c r="BA41" s="341">
        <f t="shared" si="23"/>
        <v>0.82553191489361699</v>
      </c>
      <c r="BB41" s="341">
        <f t="shared" si="23"/>
        <v>0.7865612648221344</v>
      </c>
    </row>
    <row r="42" spans="1:54" s="83" customFormat="1" ht="14.25" customHeight="1" x14ac:dyDescent="0.2">
      <c r="A42" s="120"/>
      <c r="B42" s="9"/>
      <c r="C42" s="9"/>
      <c r="D42" s="9"/>
      <c r="E42" s="9"/>
      <c r="F42" s="9"/>
      <c r="G42" s="9"/>
      <c r="H42" s="9"/>
      <c r="I42" s="9"/>
      <c r="J42" s="13"/>
      <c r="K42" s="9"/>
      <c r="L42" s="9"/>
      <c r="M42" s="9"/>
      <c r="N42" s="9"/>
      <c r="O42" s="9"/>
      <c r="P42" s="9"/>
      <c r="Q42" s="9"/>
      <c r="R42" s="9"/>
      <c r="S42" s="9"/>
      <c r="T42" s="9"/>
      <c r="U42" s="9"/>
      <c r="V42" s="119"/>
      <c r="W42" s="138"/>
      <c r="X42" s="288"/>
      <c r="Y42" s="208" t="str">
        <f>"Y= "&amp;Z42&amp;"x + "&amp;AA42</f>
        <v>Y= 1.82365717753748x + 45.1285691653019</v>
      </c>
      <c r="Z42" s="712">
        <f>ChartLabels!$Y12</f>
        <v>1.8236571775374759</v>
      </c>
      <c r="AA42" s="712">
        <f>ChartLabels!$Z12</f>
        <v>45.128569165301855</v>
      </c>
      <c r="AB42" s="211">
        <v>35</v>
      </c>
      <c r="AC42" s="212">
        <f>(AB42*Z42)+AA42</f>
        <v>108.95657037911351</v>
      </c>
      <c r="AD42" s="1187" t="str">
        <f>AD40&amp;" = "&amp;AD41</f>
        <v>r² = 0.169</v>
      </c>
      <c r="AJ42" s="560" t="b">
        <v>1</v>
      </c>
      <c r="AK42" s="156" t="s">
        <v>31</v>
      </c>
      <c r="AL42" s="89" t="str">
        <f t="shared" si="20"/>
        <v>Brighton &amp; Hove</v>
      </c>
      <c r="AM42" s="143">
        <f t="shared" si="21"/>
        <v>92.54901960784315</v>
      </c>
      <c r="AN42" s="143">
        <f t="shared" si="21"/>
        <v>106.25000000000001</v>
      </c>
      <c r="AO42" s="143">
        <f t="shared" si="21"/>
        <v>91.812865497076032</v>
      </c>
      <c r="AP42" s="143">
        <f t="shared" si="21"/>
        <v>94.313725490196077</v>
      </c>
      <c r="AQ42" s="143">
        <f t="shared" si="21"/>
        <v>76.666666666666657</v>
      </c>
      <c r="AR42" s="144">
        <f t="shared" ref="AR42:AR64" si="24">VLOOKUP(AL42,$B$10:$U$33,$AR$37,FALSE)</f>
        <v>15.299999999999999</v>
      </c>
      <c r="AS42" s="341">
        <f t="shared" si="22"/>
        <v>0.45472061657032753</v>
      </c>
      <c r="AT42" s="341">
        <f t="shared" si="22"/>
        <v>0.4759405074365704</v>
      </c>
      <c r="AU42" s="341">
        <f t="shared" si="22"/>
        <v>0.54577056778679023</v>
      </c>
      <c r="AV42" s="341">
        <f t="shared" si="22"/>
        <v>0.54721274175199086</v>
      </c>
      <c r="AW42" s="341">
        <f t="shared" si="22"/>
        <v>0.50257069408740362</v>
      </c>
      <c r="AX42" s="341">
        <f t="shared" si="23"/>
        <v>0.59957627118644063</v>
      </c>
      <c r="AY42" s="341">
        <f t="shared" si="23"/>
        <v>0.63602941176470584</v>
      </c>
      <c r="AZ42" s="341">
        <f t="shared" si="23"/>
        <v>0.66029723991507427</v>
      </c>
      <c r="BA42" s="341">
        <f t="shared" si="23"/>
        <v>0.87318087318087323</v>
      </c>
      <c r="BB42" s="341">
        <f t="shared" si="23"/>
        <v>0.82864450127877243</v>
      </c>
    </row>
    <row r="43" spans="1:54" ht="14.25" customHeight="1" x14ac:dyDescent="0.2">
      <c r="A43" s="120"/>
      <c r="B43" s="9"/>
      <c r="C43" s="9"/>
      <c r="D43" s="9"/>
      <c r="E43" s="9"/>
      <c r="F43" s="9"/>
      <c r="G43" s="9"/>
      <c r="H43" s="9"/>
      <c r="I43" s="9"/>
      <c r="J43" s="13"/>
      <c r="K43" s="9"/>
      <c r="L43" s="9"/>
      <c r="M43" s="9"/>
      <c r="N43" s="9"/>
      <c r="O43" s="9"/>
      <c r="P43" s="9"/>
      <c r="Q43" s="9"/>
      <c r="R43" s="9"/>
      <c r="S43" s="9"/>
      <c r="T43" s="9"/>
      <c r="U43" s="9"/>
      <c r="V43" s="119"/>
      <c r="W43" s="138"/>
      <c r="X43" s="288"/>
      <c r="Y43" s="44" t="str">
        <f>"National Trend "&amp;Sheet1!$B$8</f>
        <v>National Trend 2019</v>
      </c>
      <c r="Z43" s="205" t="s">
        <v>70</v>
      </c>
      <c r="AA43" s="44" t="s">
        <v>71</v>
      </c>
      <c r="AB43" s="1061">
        <v>5</v>
      </c>
      <c r="AC43" s="207">
        <f>((AB43*Z44)+AA44)/$Y$2</f>
        <v>37.109730124094625</v>
      </c>
      <c r="AD43" s="714" t="str">
        <f>"r² = "&amp;ROUND(AD44,3)</f>
        <v>r² = 0.023</v>
      </c>
      <c r="AJ43" s="560" t="b">
        <v>1</v>
      </c>
      <c r="AK43" s="156" t="s">
        <v>8</v>
      </c>
      <c r="AL43" s="89" t="str">
        <f t="shared" si="20"/>
        <v>Buckinghamshire</v>
      </c>
      <c r="AM43" s="143">
        <f t="shared" si="21"/>
        <v>42.97729184188394</v>
      </c>
      <c r="AN43" s="143">
        <f t="shared" si="21"/>
        <v>62.106135986733001</v>
      </c>
      <c r="AO43" s="143">
        <f t="shared" si="21"/>
        <v>70.86743044189852</v>
      </c>
      <c r="AP43" s="143">
        <f t="shared" si="21"/>
        <v>70.02437043054428</v>
      </c>
      <c r="AQ43" s="143">
        <f t="shared" si="21"/>
        <v>64.119066773934023</v>
      </c>
      <c r="AR43" s="144">
        <f t="shared" si="24"/>
        <v>8.5</v>
      </c>
      <c r="AS43" s="341">
        <f t="shared" si="22"/>
        <v>0.29067121729237771</v>
      </c>
      <c r="AT43" s="341">
        <f t="shared" si="22"/>
        <v>0.3892931392931393</v>
      </c>
      <c r="AU43" s="341">
        <f t="shared" si="22"/>
        <v>0.33618012422360249</v>
      </c>
      <c r="AV43" s="341">
        <f t="shared" si="22"/>
        <v>0.34870550161812297</v>
      </c>
      <c r="AW43" s="341">
        <f t="shared" si="22"/>
        <v>0.36660533578656856</v>
      </c>
      <c r="AX43" s="341">
        <f t="shared" si="23"/>
        <v>0.43248532289628178</v>
      </c>
      <c r="AY43" s="341">
        <f t="shared" si="23"/>
        <v>0.68891855807743663</v>
      </c>
      <c r="AZ43" s="341">
        <f t="shared" si="23"/>
        <v>0.69630484988452657</v>
      </c>
      <c r="BA43" s="341">
        <f t="shared" si="23"/>
        <v>0.73201856148491884</v>
      </c>
      <c r="BB43" s="341">
        <f t="shared" si="23"/>
        <v>0.73525721455457971</v>
      </c>
    </row>
    <row r="44" spans="1:54" ht="14.25" customHeight="1" x14ac:dyDescent="0.2">
      <c r="A44" s="120"/>
      <c r="B44" s="9"/>
      <c r="C44" s="9"/>
      <c r="D44" s="9"/>
      <c r="E44" s="9"/>
      <c r="F44" s="9"/>
      <c r="G44" s="9"/>
      <c r="H44" s="9"/>
      <c r="I44" s="9"/>
      <c r="J44" s="13"/>
      <c r="K44" s="14"/>
      <c r="L44" s="14"/>
      <c r="M44" s="14"/>
      <c r="N44" s="14"/>
      <c r="O44" s="15"/>
      <c r="P44" s="15"/>
      <c r="Q44" s="15"/>
      <c r="R44" s="15"/>
      <c r="S44" s="15"/>
      <c r="T44" s="15"/>
      <c r="U44" s="15"/>
      <c r="V44" s="119"/>
      <c r="W44" s="138"/>
      <c r="X44" s="288"/>
      <c r="Y44" s="71" t="str">
        <f>"Y= "&amp;Z44&amp;"x + "&amp;AA44</f>
        <v>Y= 2.51567076892861x + 24.5313762794516</v>
      </c>
      <c r="Z44" s="712">
        <f>Sheet1!C11</f>
        <v>2.5156707689286137</v>
      </c>
      <c r="AA44" s="713">
        <f>Sheet1!C12</f>
        <v>24.531376279451557</v>
      </c>
      <c r="AB44" s="211">
        <v>35</v>
      </c>
      <c r="AC44" s="212">
        <f>((AB44*Z44)+AA44)/$Y$2</f>
        <v>112.57985319195305</v>
      </c>
      <c r="AD44" s="714">
        <f>Sheet1!C13</f>
        <v>2.2644102089145957E-2</v>
      </c>
      <c r="AJ44" s="560" t="b">
        <v>1</v>
      </c>
      <c r="AK44" s="156" t="s">
        <v>4</v>
      </c>
      <c r="AL44" s="89" t="str">
        <f t="shared" si="20"/>
        <v>East Sussex</v>
      </c>
      <c r="AM44" s="143">
        <f t="shared" si="21"/>
        <v>59.297912713472485</v>
      </c>
      <c r="AN44" s="143">
        <f t="shared" si="21"/>
        <v>45.609065155807372</v>
      </c>
      <c r="AO44" s="143">
        <f t="shared" si="21"/>
        <v>59.206798866855522</v>
      </c>
      <c r="AP44" s="143">
        <f t="shared" si="21"/>
        <v>67.075471698113205</v>
      </c>
      <c r="AQ44" s="143">
        <f t="shared" si="21"/>
        <v>67.387218045112789</v>
      </c>
      <c r="AR44" s="144">
        <f t="shared" si="24"/>
        <v>16.100000000000001</v>
      </c>
      <c r="AS44" s="341">
        <f t="shared" si="22"/>
        <v>0.62814070351758799</v>
      </c>
      <c r="AT44" s="341">
        <f t="shared" si="22"/>
        <v>0.55645161290322576</v>
      </c>
      <c r="AU44" s="341">
        <f t="shared" si="22"/>
        <v>0.55634427684117127</v>
      </c>
      <c r="AV44" s="341">
        <f t="shared" si="22"/>
        <v>0.53298350824587704</v>
      </c>
      <c r="AW44" s="341">
        <f t="shared" si="22"/>
        <v>0.53950338600451464</v>
      </c>
      <c r="AX44" s="341">
        <f t="shared" si="23"/>
        <v>0.68</v>
      </c>
      <c r="AY44" s="341">
        <f t="shared" si="23"/>
        <v>0.6045548654244306</v>
      </c>
      <c r="AZ44" s="341">
        <f t="shared" si="23"/>
        <v>0.59808612440191389</v>
      </c>
      <c r="BA44" s="341">
        <f t="shared" si="23"/>
        <v>0.57665260196905765</v>
      </c>
      <c r="BB44" s="341">
        <f t="shared" si="23"/>
        <v>0.75174337517433754</v>
      </c>
    </row>
    <row r="45" spans="1:54" s="78" customFormat="1" ht="14.25" customHeight="1" x14ac:dyDescent="0.2">
      <c r="A45" s="121"/>
      <c r="B45" s="220"/>
      <c r="C45" s="220"/>
      <c r="D45" s="221"/>
      <c r="E45" s="221"/>
      <c r="F45" s="221"/>
      <c r="G45" s="221"/>
      <c r="H45" s="221"/>
      <c r="I45" s="221"/>
      <c r="J45" s="16"/>
      <c r="K45" s="9"/>
      <c r="L45" s="9"/>
      <c r="M45" s="9"/>
      <c r="N45" s="9"/>
      <c r="O45" s="9"/>
      <c r="P45" s="9"/>
      <c r="Q45" s="9"/>
      <c r="R45" s="9"/>
      <c r="S45" s="9"/>
      <c r="T45" s="9"/>
      <c r="U45" s="9"/>
      <c r="V45" s="122"/>
      <c r="W45" s="139"/>
      <c r="X45" s="289"/>
      <c r="AD45" s="83"/>
      <c r="AE45" s="83"/>
      <c r="AF45" s="83"/>
      <c r="AG45" s="83"/>
      <c r="AH45" s="83"/>
      <c r="AI45" s="83"/>
      <c r="AJ45" s="560" t="b">
        <v>1</v>
      </c>
      <c r="AK45" s="156" t="s">
        <v>6</v>
      </c>
      <c r="AL45" s="89" t="str">
        <f t="shared" si="20"/>
        <v>Hampshire</v>
      </c>
      <c r="AM45" s="143">
        <f t="shared" si="21"/>
        <v>75.097690941385437</v>
      </c>
      <c r="AN45" s="143">
        <f t="shared" si="21"/>
        <v>67.399787158566866</v>
      </c>
      <c r="AO45" s="143">
        <f t="shared" si="21"/>
        <v>66.089108910891085</v>
      </c>
      <c r="AP45" s="143">
        <f t="shared" si="21"/>
        <v>62.972114366396042</v>
      </c>
      <c r="AQ45" s="143">
        <f t="shared" si="21"/>
        <v>62.04225352112676</v>
      </c>
      <c r="AR45" s="144">
        <f t="shared" si="24"/>
        <v>10.100000000000001</v>
      </c>
      <c r="AS45" s="341">
        <f t="shared" si="22"/>
        <v>0.45727882327492969</v>
      </c>
      <c r="AT45" s="341">
        <f t="shared" si="22"/>
        <v>0.45432807269249165</v>
      </c>
      <c r="AU45" s="341">
        <f t="shared" si="22"/>
        <v>0.44383756827356924</v>
      </c>
      <c r="AV45" s="341">
        <f t="shared" si="22"/>
        <v>0.46409989594172735</v>
      </c>
      <c r="AW45" s="341">
        <f t="shared" si="22"/>
        <v>0.40815381051656241</v>
      </c>
      <c r="AX45" s="341">
        <f t="shared" si="23"/>
        <v>0.6887417218543046</v>
      </c>
      <c r="AY45" s="341">
        <f t="shared" si="23"/>
        <v>0.70842105263157895</v>
      </c>
      <c r="AZ45" s="341">
        <f t="shared" si="23"/>
        <v>0.76779026217228463</v>
      </c>
      <c r="BA45" s="341">
        <f t="shared" si="23"/>
        <v>0.77073991031390132</v>
      </c>
      <c r="BB45" s="341">
        <f t="shared" si="23"/>
        <v>0.7531214528944381</v>
      </c>
    </row>
    <row r="46" spans="1:54" ht="14.25" customHeight="1" x14ac:dyDescent="0.2">
      <c r="A46" s="120"/>
      <c r="B46" s="221"/>
      <c r="C46" s="221"/>
      <c r="D46" s="221"/>
      <c r="E46" s="221"/>
      <c r="F46" s="221"/>
      <c r="G46" s="221"/>
      <c r="H46" s="221"/>
      <c r="I46" s="221"/>
      <c r="J46" s="13"/>
      <c r="K46" s="15"/>
      <c r="L46" s="15"/>
      <c r="M46" s="15"/>
      <c r="N46" s="15"/>
      <c r="O46" s="9"/>
      <c r="P46" s="9"/>
      <c r="Q46" s="9"/>
      <c r="R46" s="9"/>
      <c r="S46" s="9"/>
      <c r="T46" s="9"/>
      <c r="U46" s="9"/>
      <c r="V46" s="119"/>
      <c r="W46" s="138"/>
      <c r="X46" s="288"/>
      <c r="AJ46" s="560" t="b">
        <v>1</v>
      </c>
      <c r="AK46" s="156" t="s">
        <v>1</v>
      </c>
      <c r="AL46" s="89" t="str">
        <f t="shared" si="20"/>
        <v>Isle of Wight</v>
      </c>
      <c r="AM46" s="143">
        <f t="shared" si="21"/>
        <v>129.01960784313727</v>
      </c>
      <c r="AN46" s="143">
        <f t="shared" si="21"/>
        <v>148.22134387351778</v>
      </c>
      <c r="AO46" s="143">
        <f t="shared" si="21"/>
        <v>114.28571428571429</v>
      </c>
      <c r="AP46" s="143">
        <f t="shared" si="21"/>
        <v>107.96812749003983</v>
      </c>
      <c r="AQ46" s="143">
        <f t="shared" si="21"/>
        <v>92.771084337349393</v>
      </c>
      <c r="AR46" s="144">
        <f t="shared" si="24"/>
        <v>18</v>
      </c>
      <c r="AS46" s="341">
        <f t="shared" si="22"/>
        <v>0.4506849315068493</v>
      </c>
      <c r="AT46" s="341">
        <f t="shared" si="22"/>
        <v>0.55473372781065089</v>
      </c>
      <c r="AU46" s="341">
        <f t="shared" si="22"/>
        <v>0.52459016393442626</v>
      </c>
      <c r="AV46" s="341">
        <f t="shared" si="22"/>
        <v>0.48653500897666069</v>
      </c>
      <c r="AW46" s="341">
        <f t="shared" si="22"/>
        <v>0.46107784431137727</v>
      </c>
      <c r="AX46" s="341">
        <f t="shared" si="23"/>
        <v>0.64437689969604861</v>
      </c>
      <c r="AY46" s="341">
        <f t="shared" si="23"/>
        <v>0.57066666666666666</v>
      </c>
      <c r="AZ46" s="341">
        <f t="shared" si="23"/>
        <v>0.75694444444444442</v>
      </c>
      <c r="BA46" s="341">
        <f t="shared" si="23"/>
        <v>0.8487084870848709</v>
      </c>
      <c r="BB46" s="341">
        <f t="shared" si="23"/>
        <v>0.80952380952380953</v>
      </c>
    </row>
    <row r="47" spans="1:54" ht="14.25" customHeight="1" x14ac:dyDescent="0.2">
      <c r="A47" s="120"/>
      <c r="B47" s="221"/>
      <c r="C47" s="221"/>
      <c r="D47" s="221"/>
      <c r="E47" s="221"/>
      <c r="F47" s="221"/>
      <c r="G47" s="221"/>
      <c r="H47" s="221"/>
      <c r="I47" s="221"/>
      <c r="J47" s="13"/>
      <c r="K47" s="15"/>
      <c r="L47" s="15"/>
      <c r="M47" s="15"/>
      <c r="N47" s="15"/>
      <c r="O47" s="9"/>
      <c r="P47" s="9"/>
      <c r="Q47" s="9"/>
      <c r="R47" s="9"/>
      <c r="S47" s="9"/>
      <c r="T47" s="9"/>
      <c r="U47" s="9"/>
      <c r="V47" s="119"/>
      <c r="W47" s="138"/>
      <c r="X47" s="288"/>
      <c r="AD47" s="204"/>
      <c r="AJ47" s="560" t="b">
        <v>1</v>
      </c>
      <c r="AK47" s="156" t="s">
        <v>9</v>
      </c>
      <c r="AL47" s="89" t="str">
        <f t="shared" si="20"/>
        <v>Kent</v>
      </c>
      <c r="AM47" s="143">
        <f t="shared" si="21"/>
        <v>54.766981419433442</v>
      </c>
      <c r="AN47" s="143">
        <f t="shared" si="21"/>
        <v>46.882566585956418</v>
      </c>
      <c r="AO47" s="143">
        <f t="shared" si="21"/>
        <v>44.864864864864863</v>
      </c>
      <c r="AP47" s="143">
        <f t="shared" si="21"/>
        <v>52.42487354953883</v>
      </c>
      <c r="AQ47" s="143">
        <f t="shared" si="21"/>
        <v>46.25110261687739</v>
      </c>
      <c r="AR47" s="144">
        <f t="shared" si="24"/>
        <v>15.8</v>
      </c>
      <c r="AS47" s="341">
        <f t="shared" si="22"/>
        <v>0.4117242958552782</v>
      </c>
      <c r="AT47" s="341">
        <f t="shared" si="22"/>
        <v>0.3254201680672269</v>
      </c>
      <c r="AU47" s="341">
        <f t="shared" si="22"/>
        <v>0.30533415082771304</v>
      </c>
      <c r="AV47" s="341">
        <f t="shared" si="22"/>
        <v>0.28151461894871388</v>
      </c>
      <c r="AW47" s="341">
        <f t="shared" si="22"/>
        <v>0.26151288445552784</v>
      </c>
      <c r="AX47" s="341">
        <f t="shared" si="23"/>
        <v>0.78420467185761955</v>
      </c>
      <c r="AY47" s="341">
        <f t="shared" si="23"/>
        <v>0.82956746287927696</v>
      </c>
      <c r="AZ47" s="341">
        <f t="shared" si="23"/>
        <v>0.84337349397590367</v>
      </c>
      <c r="BA47" s="341">
        <f t="shared" si="23"/>
        <v>0.74914869466515321</v>
      </c>
      <c r="BB47" s="341">
        <f t="shared" si="23"/>
        <v>0.87539732994278452</v>
      </c>
    </row>
    <row r="48" spans="1:54" ht="14.25" customHeight="1" x14ac:dyDescent="0.2">
      <c r="A48" s="120"/>
      <c r="B48" s="58"/>
      <c r="C48" s="58"/>
      <c r="D48" s="58"/>
      <c r="E48" s="58"/>
      <c r="F48" s="58"/>
      <c r="G48" s="58"/>
      <c r="H48" s="58"/>
      <c r="I48" s="58"/>
      <c r="J48" s="13"/>
      <c r="K48" s="15"/>
      <c r="L48" s="15"/>
      <c r="M48" s="15"/>
      <c r="N48" s="15"/>
      <c r="O48" s="9"/>
      <c r="P48" s="9"/>
      <c r="Q48" s="9"/>
      <c r="R48" s="9"/>
      <c r="S48" s="9"/>
      <c r="T48" s="9"/>
      <c r="U48" s="9"/>
      <c r="V48" s="119"/>
      <c r="W48" s="138"/>
      <c r="X48" s="288"/>
      <c r="AD48" s="179"/>
      <c r="AJ48" s="560" t="b">
        <v>1</v>
      </c>
      <c r="AK48" s="156" t="s">
        <v>2</v>
      </c>
      <c r="AL48" s="89" t="str">
        <f t="shared" si="20"/>
        <v>Medway</v>
      </c>
      <c r="AM48" s="143">
        <f t="shared" si="21"/>
        <v>96.96</v>
      </c>
      <c r="AN48" s="143">
        <f t="shared" si="21"/>
        <v>96.044303797468359</v>
      </c>
      <c r="AO48" s="143">
        <f t="shared" si="21"/>
        <v>55.102040816326529</v>
      </c>
      <c r="AP48" s="143">
        <f t="shared" si="21"/>
        <v>63.06729264475743</v>
      </c>
      <c r="AQ48" s="143">
        <f t="shared" si="21"/>
        <v>86.024844720496901</v>
      </c>
      <c r="AR48" s="144">
        <f t="shared" si="24"/>
        <v>18.899999999999999</v>
      </c>
      <c r="AS48" s="341">
        <f t="shared" si="22"/>
        <v>0.40026420079260239</v>
      </c>
      <c r="AT48" s="341">
        <f t="shared" si="22"/>
        <v>0.37216431637032493</v>
      </c>
      <c r="AU48" s="341">
        <f t="shared" si="22"/>
        <v>0.32742537313432835</v>
      </c>
      <c r="AV48" s="341">
        <f t="shared" si="22"/>
        <v>0.34123624047417445</v>
      </c>
      <c r="AW48" s="341">
        <f t="shared" si="22"/>
        <v>0.36713055003313455</v>
      </c>
      <c r="AX48" s="341">
        <f t="shared" si="23"/>
        <v>0.5907590759075908</v>
      </c>
      <c r="AY48" s="341">
        <f t="shared" si="23"/>
        <v>0.88797364085667219</v>
      </c>
      <c r="AZ48" s="341">
        <f t="shared" si="23"/>
        <v>0.88319088319088324</v>
      </c>
      <c r="BA48" s="341">
        <f t="shared" si="23"/>
        <v>0.87593052109181146</v>
      </c>
      <c r="BB48" s="341">
        <f t="shared" si="23"/>
        <v>0.74909747292418771</v>
      </c>
    </row>
    <row r="49" spans="1:54" ht="14.25" customHeight="1" x14ac:dyDescent="0.2">
      <c r="A49" s="120"/>
      <c r="B49" s="58"/>
      <c r="C49" s="58"/>
      <c r="D49" s="68"/>
      <c r="E49" s="69"/>
      <c r="F49" s="68"/>
      <c r="G49" s="69"/>
      <c r="H49" s="69"/>
      <c r="I49" s="69"/>
      <c r="J49" s="13"/>
      <c r="K49" s="15"/>
      <c r="L49" s="15"/>
      <c r="M49" s="15"/>
      <c r="N49" s="15"/>
      <c r="O49" s="9"/>
      <c r="P49" s="9"/>
      <c r="Q49" s="9"/>
      <c r="R49" s="9"/>
      <c r="S49" s="9"/>
      <c r="T49" s="9"/>
      <c r="U49" s="9"/>
      <c r="V49" s="119"/>
      <c r="W49" s="138"/>
      <c r="X49" s="288"/>
      <c r="AJ49" s="560" t="b">
        <v>1</v>
      </c>
      <c r="AK49" s="156" t="s">
        <v>10</v>
      </c>
      <c r="AL49" s="89" t="str">
        <f t="shared" si="20"/>
        <v>Milton Keynes</v>
      </c>
      <c r="AM49" s="143">
        <f t="shared" si="21"/>
        <v>18.098159509202453</v>
      </c>
      <c r="AN49" s="143">
        <f t="shared" si="21"/>
        <v>18.154311649016641</v>
      </c>
      <c r="AO49" s="143">
        <f t="shared" si="21"/>
        <v>21.907600596125189</v>
      </c>
      <c r="AP49" s="143">
        <f t="shared" si="21"/>
        <v>25.887573964497044</v>
      </c>
      <c r="AQ49" s="143">
        <f t="shared" si="21"/>
        <v>32.503660322108345</v>
      </c>
      <c r="AR49" s="144">
        <f t="shared" si="24"/>
        <v>15</v>
      </c>
      <c r="AS49" s="341">
        <f t="shared" si="22"/>
        <v>0.2118491921005386</v>
      </c>
      <c r="AT49" s="341">
        <f t="shared" si="22"/>
        <v>0.210896309314587</v>
      </c>
      <c r="AU49" s="341">
        <f t="shared" si="22"/>
        <v>0.18943298969072164</v>
      </c>
      <c r="AV49" s="341">
        <f t="shared" si="22"/>
        <v>0.31362007168458783</v>
      </c>
      <c r="AW49" s="341">
        <f t="shared" si="22"/>
        <v>0.36815920398009949</v>
      </c>
      <c r="AX49" s="341">
        <f t="shared" si="23"/>
        <v>0.97457627118644063</v>
      </c>
      <c r="AY49" s="341">
        <f t="shared" si="23"/>
        <v>0.93333333333333335</v>
      </c>
      <c r="AZ49" s="341">
        <f t="shared" si="23"/>
        <v>0.87074829931972786</v>
      </c>
      <c r="BA49" s="341">
        <f t="shared" si="23"/>
        <v>0.94857142857142862</v>
      </c>
      <c r="BB49" s="341">
        <f t="shared" si="23"/>
        <v>0.87387387387387383</v>
      </c>
    </row>
    <row r="50" spans="1:54" ht="14.25" customHeight="1" x14ac:dyDescent="0.2">
      <c r="A50" s="120"/>
      <c r="B50" s="58"/>
      <c r="C50" s="58"/>
      <c r="D50" s="61"/>
      <c r="E50" s="61"/>
      <c r="F50" s="61"/>
      <c r="G50" s="61"/>
      <c r="H50" s="61"/>
      <c r="I50" s="61"/>
      <c r="J50" s="13"/>
      <c r="K50" s="15"/>
      <c r="L50" s="15"/>
      <c r="M50" s="15"/>
      <c r="N50" s="15"/>
      <c r="O50" s="9"/>
      <c r="P50" s="9"/>
      <c r="Q50" s="9"/>
      <c r="R50" s="9"/>
      <c r="S50" s="9"/>
      <c r="T50" s="9"/>
      <c r="U50" s="9"/>
      <c r="V50" s="119"/>
      <c r="W50" s="138"/>
      <c r="X50" s="288"/>
      <c r="AJ50" s="560" t="b">
        <v>1</v>
      </c>
      <c r="AK50" s="156" t="s">
        <v>11</v>
      </c>
      <c r="AL50" s="89" t="str">
        <f t="shared" si="20"/>
        <v>Oxfordshire</v>
      </c>
      <c r="AM50" s="143">
        <f t="shared" si="21"/>
        <v>51.062322946175634</v>
      </c>
      <c r="AN50" s="143">
        <f t="shared" si="21"/>
        <v>54.866008462623412</v>
      </c>
      <c r="AO50" s="143">
        <f t="shared" si="21"/>
        <v>64.380685794261723</v>
      </c>
      <c r="AP50" s="143">
        <f t="shared" si="21"/>
        <v>61.227336122733611</v>
      </c>
      <c r="AQ50" s="143">
        <f t="shared" si="21"/>
        <v>58.356353591160222</v>
      </c>
      <c r="AR50" s="144">
        <f t="shared" si="24"/>
        <v>10.100000000000001</v>
      </c>
      <c r="AS50" s="341">
        <f t="shared" si="22"/>
        <v>0.45719720989220036</v>
      </c>
      <c r="AT50" s="341">
        <f t="shared" si="22"/>
        <v>0.41738197424892703</v>
      </c>
      <c r="AU50" s="341">
        <f t="shared" si="22"/>
        <v>0.47767393561786087</v>
      </c>
      <c r="AV50" s="341">
        <f t="shared" si="22"/>
        <v>0.48642659279778394</v>
      </c>
      <c r="AW50" s="341">
        <f t="shared" si="22"/>
        <v>0.45114789108382275</v>
      </c>
      <c r="AX50" s="341">
        <f t="shared" si="23"/>
        <v>0.74757281553398058</v>
      </c>
      <c r="AY50" s="341">
        <f t="shared" si="23"/>
        <v>0.81876606683804631</v>
      </c>
      <c r="AZ50" s="341">
        <f t="shared" si="23"/>
        <v>0.89347826086956517</v>
      </c>
      <c r="BA50" s="341">
        <f t="shared" si="23"/>
        <v>0.88952164009111623</v>
      </c>
      <c r="BB50" s="341">
        <f t="shared" si="23"/>
        <v>0.81656804733727806</v>
      </c>
    </row>
    <row r="51" spans="1:54" ht="14.25" customHeight="1" x14ac:dyDescent="0.2">
      <c r="A51" s="120"/>
      <c r="B51" s="356"/>
      <c r="C51" s="356"/>
      <c r="D51" s="58"/>
      <c r="E51" s="58"/>
      <c r="F51" s="58"/>
      <c r="G51" s="58"/>
      <c r="H51" s="58"/>
      <c r="I51" s="58"/>
      <c r="J51" s="13"/>
      <c r="K51" s="15"/>
      <c r="L51" s="15"/>
      <c r="M51" s="15"/>
      <c r="N51" s="15"/>
      <c r="O51" s="9"/>
      <c r="P51" s="9"/>
      <c r="Q51" s="9"/>
      <c r="R51" s="9"/>
      <c r="S51" s="9"/>
      <c r="T51" s="9"/>
      <c r="U51" s="9"/>
      <c r="V51" s="119"/>
      <c r="W51" s="138"/>
      <c r="X51" s="288"/>
      <c r="AJ51" s="560" t="b">
        <v>1</v>
      </c>
      <c r="AK51" s="156" t="s">
        <v>12</v>
      </c>
      <c r="AL51" s="89" t="str">
        <f t="shared" si="20"/>
        <v>Portsmouth</v>
      </c>
      <c r="AM51" s="143">
        <f t="shared" ref="AM51:AQ64" si="25">VLOOKUP($AL51,$B$10:$O$33,AM$37,FALSE)</f>
        <v>66.129032258064512</v>
      </c>
      <c r="AN51" s="143">
        <f t="shared" si="25"/>
        <v>76.712328767123282</v>
      </c>
      <c r="AO51" s="143">
        <f t="shared" si="25"/>
        <v>67.954545454545453</v>
      </c>
      <c r="AP51" s="143">
        <f t="shared" si="25"/>
        <v>69.909502262443439</v>
      </c>
      <c r="AQ51" s="143">
        <f t="shared" si="25"/>
        <v>65.909090909090907</v>
      </c>
      <c r="AR51" s="144">
        <f t="shared" si="24"/>
        <v>20.200000000000003</v>
      </c>
      <c r="AS51" s="341">
        <f t="shared" ref="AS51:AW64" si="26">VLOOKUP($AL51,$B$112:$H$135,AS$37,FALSE)</f>
        <v>0.26598702502316962</v>
      </c>
      <c r="AT51" s="341">
        <f t="shared" si="26"/>
        <v>0.29268292682926828</v>
      </c>
      <c r="AU51" s="341">
        <f t="shared" si="26"/>
        <v>0.24112903225806451</v>
      </c>
      <c r="AV51" s="341">
        <f t="shared" si="26"/>
        <v>0.30146341463414633</v>
      </c>
      <c r="AW51" s="341">
        <f t="shared" si="26"/>
        <v>0.22086824067022087</v>
      </c>
      <c r="AX51" s="341">
        <f t="shared" ref="AX51:BB64" si="27">VLOOKUP($AL51,$B$148:$H$171,AX$37,FALSE)</f>
        <v>0.6759581881533101</v>
      </c>
      <c r="AY51" s="341">
        <f t="shared" si="27"/>
        <v>0.67261904761904767</v>
      </c>
      <c r="AZ51" s="341">
        <f t="shared" si="27"/>
        <v>0.77591973244147161</v>
      </c>
      <c r="BA51" s="341">
        <f t="shared" si="27"/>
        <v>0.71844660194174759</v>
      </c>
      <c r="BB51" s="341">
        <f t="shared" si="27"/>
        <v>0.8172413793103448</v>
      </c>
    </row>
    <row r="52" spans="1:54" ht="14.25" customHeight="1" x14ac:dyDescent="0.2">
      <c r="A52" s="120"/>
      <c r="B52" s="356"/>
      <c r="C52" s="356"/>
      <c r="D52" s="58"/>
      <c r="E52" s="58"/>
      <c r="F52" s="58"/>
      <c r="G52" s="58"/>
      <c r="H52" s="58"/>
      <c r="I52" s="58"/>
      <c r="J52" s="13"/>
      <c r="K52" s="15"/>
      <c r="L52" s="15"/>
      <c r="M52" s="15"/>
      <c r="N52" s="15"/>
      <c r="O52" s="9"/>
      <c r="P52" s="9"/>
      <c r="Q52" s="9"/>
      <c r="R52" s="9"/>
      <c r="S52" s="9"/>
      <c r="T52" s="9"/>
      <c r="U52" s="9"/>
      <c r="V52" s="119"/>
      <c r="W52" s="138"/>
      <c r="X52" s="288"/>
      <c r="AJ52" s="560" t="b">
        <v>1</v>
      </c>
      <c r="AK52" s="156" t="s">
        <v>3</v>
      </c>
      <c r="AL52" s="89" t="str">
        <f t="shared" si="20"/>
        <v>Reading</v>
      </c>
      <c r="AM52" s="143">
        <f t="shared" si="25"/>
        <v>83.844011142061291</v>
      </c>
      <c r="AN52" s="143">
        <f t="shared" si="25"/>
        <v>118.13186813186813</v>
      </c>
      <c r="AO52" s="143">
        <f t="shared" si="25"/>
        <v>144.26229508196721</v>
      </c>
      <c r="AP52" s="143">
        <f t="shared" si="25"/>
        <v>111.85983827493261</v>
      </c>
      <c r="AQ52" s="143">
        <f t="shared" si="25"/>
        <v>114.28571428571429</v>
      </c>
      <c r="AR52" s="144">
        <f t="shared" si="24"/>
        <v>16</v>
      </c>
      <c r="AS52" s="341">
        <f t="shared" si="26"/>
        <v>0.51986183074265979</v>
      </c>
      <c r="AT52" s="341">
        <f t="shared" si="26"/>
        <v>0.44193216855087358</v>
      </c>
      <c r="AU52" s="341">
        <f t="shared" si="26"/>
        <v>0.48440366972477067</v>
      </c>
      <c r="AV52" s="341">
        <f t="shared" si="26"/>
        <v>0.49404761904761907</v>
      </c>
      <c r="AW52" s="341">
        <f t="shared" si="26"/>
        <v>0.41125121241513096</v>
      </c>
      <c r="AX52" s="341">
        <f t="shared" si="27"/>
        <v>0.85382059800664456</v>
      </c>
      <c r="AY52" s="341">
        <f t="shared" si="27"/>
        <v>0.67441860465116277</v>
      </c>
      <c r="AZ52" s="341">
        <f t="shared" si="27"/>
        <v>0.84659090909090906</v>
      </c>
      <c r="BA52" s="341">
        <f t="shared" si="27"/>
        <v>0.75421686746987948</v>
      </c>
      <c r="BB52" s="341">
        <f t="shared" si="27"/>
        <v>0.60377358490566035</v>
      </c>
    </row>
    <row r="53" spans="1:54" ht="14.25" customHeight="1" x14ac:dyDescent="0.2">
      <c r="A53" s="120"/>
      <c r="B53" s="356"/>
      <c r="C53" s="356"/>
      <c r="D53" s="58"/>
      <c r="E53" s="58"/>
      <c r="F53" s="58"/>
      <c r="G53" s="58"/>
      <c r="H53" s="58"/>
      <c r="I53" s="58"/>
      <c r="J53" s="13"/>
      <c r="K53" s="15"/>
      <c r="L53" s="15"/>
      <c r="M53" s="15"/>
      <c r="N53" s="15"/>
      <c r="O53" s="9"/>
      <c r="P53" s="9"/>
      <c r="Q53" s="9"/>
      <c r="R53" s="9"/>
      <c r="S53" s="9"/>
      <c r="T53" s="9"/>
      <c r="U53" s="9"/>
      <c r="V53" s="119"/>
      <c r="W53" s="138"/>
      <c r="X53" s="288"/>
      <c r="AJ53" s="560" t="b">
        <v>1</v>
      </c>
      <c r="AK53" s="156" t="s">
        <v>13</v>
      </c>
      <c r="AL53" s="89" t="str">
        <f t="shared" si="20"/>
        <v>Slough</v>
      </c>
      <c r="AM53" s="143">
        <f t="shared" si="25"/>
        <v>95.739348370927317</v>
      </c>
      <c r="AN53" s="143">
        <f t="shared" si="25"/>
        <v>86.453201970443359</v>
      </c>
      <c r="AO53" s="143">
        <f t="shared" si="25"/>
        <v>81.642512077294683</v>
      </c>
      <c r="AP53" s="143">
        <f t="shared" si="25"/>
        <v>64.928909952606631</v>
      </c>
      <c r="AQ53" s="143">
        <f t="shared" si="25"/>
        <v>80.327868852459005</v>
      </c>
      <c r="AR53" s="144">
        <f t="shared" si="24"/>
        <v>14.7</v>
      </c>
      <c r="AS53" s="341">
        <f t="shared" si="26"/>
        <v>0.4068157614483493</v>
      </c>
      <c r="AT53" s="341">
        <f t="shared" si="26"/>
        <v>0.39</v>
      </c>
      <c r="AU53" s="341">
        <f t="shared" si="26"/>
        <v>0.38584474885844749</v>
      </c>
      <c r="AV53" s="341">
        <f t="shared" si="26"/>
        <v>0.38700564971751411</v>
      </c>
      <c r="AW53" s="341">
        <f t="shared" si="26"/>
        <v>0.32236842105263158</v>
      </c>
      <c r="AX53" s="341">
        <f t="shared" si="27"/>
        <v>0.79842931937172779</v>
      </c>
      <c r="AY53" s="341">
        <f t="shared" si="27"/>
        <v>0.81481481481481477</v>
      </c>
      <c r="AZ53" s="341">
        <f t="shared" si="27"/>
        <v>0.81656804733727806</v>
      </c>
      <c r="BA53" s="341">
        <f t="shared" si="27"/>
        <v>0.75547445255474455</v>
      </c>
      <c r="BB53" s="341">
        <f t="shared" si="27"/>
        <v>0.68804664723032072</v>
      </c>
    </row>
    <row r="54" spans="1:54" ht="14.25" customHeight="1" x14ac:dyDescent="0.2">
      <c r="A54" s="120"/>
      <c r="B54" s="356"/>
      <c r="C54" s="356"/>
      <c r="D54" s="58"/>
      <c r="E54" s="58"/>
      <c r="F54" s="58"/>
      <c r="G54" s="58"/>
      <c r="H54" s="58"/>
      <c r="I54" s="58"/>
      <c r="J54" s="13"/>
      <c r="K54" s="15"/>
      <c r="L54" s="15"/>
      <c r="M54" s="15"/>
      <c r="N54" s="15"/>
      <c r="O54" s="9"/>
      <c r="P54" s="9"/>
      <c r="Q54" s="9"/>
      <c r="R54" s="9"/>
      <c r="S54" s="9"/>
      <c r="T54" s="9"/>
      <c r="U54" s="9"/>
      <c r="V54" s="119"/>
      <c r="W54" s="138"/>
      <c r="X54" s="288"/>
      <c r="AJ54" s="560" t="b">
        <v>1</v>
      </c>
      <c r="AK54" s="156" t="s">
        <v>93</v>
      </c>
      <c r="AL54" s="89" t="str">
        <f t="shared" si="20"/>
        <v>Somerset</v>
      </c>
      <c r="AM54" s="143">
        <f t="shared" si="25"/>
        <v>64.921946740128561</v>
      </c>
      <c r="AN54" s="143">
        <f t="shared" si="25"/>
        <v>43.772893772893774</v>
      </c>
      <c r="AO54" s="143">
        <f t="shared" si="25"/>
        <v>60.255241567912492</v>
      </c>
      <c r="AP54" s="143">
        <f t="shared" si="25"/>
        <v>53.224341507720254</v>
      </c>
      <c r="AQ54" s="143">
        <f t="shared" si="25"/>
        <v>46.522131887985545</v>
      </c>
      <c r="AR54" s="144">
        <f t="shared" si="24"/>
        <v>13.600000000000001</v>
      </c>
      <c r="AS54" s="341">
        <f t="shared" si="26"/>
        <v>0.34639882410583045</v>
      </c>
      <c r="AT54" s="341">
        <f t="shared" si="26"/>
        <v>0.36854279105628374</v>
      </c>
      <c r="AU54" s="341">
        <f t="shared" si="26"/>
        <v>0.41915028535193405</v>
      </c>
      <c r="AV54" s="341">
        <f t="shared" si="26"/>
        <v>0.3832570307390451</v>
      </c>
      <c r="AW54" s="341">
        <f t="shared" si="26"/>
        <v>0.42178542178542178</v>
      </c>
      <c r="AX54" s="341">
        <f t="shared" si="27"/>
        <v>0.90099009900990101</v>
      </c>
      <c r="AY54" s="341">
        <f t="shared" si="27"/>
        <v>0.96443514644351469</v>
      </c>
      <c r="AZ54" s="341">
        <f t="shared" si="27"/>
        <v>0.94099848714069589</v>
      </c>
      <c r="BA54" s="341">
        <f t="shared" si="27"/>
        <v>0.93344709897610922</v>
      </c>
      <c r="BB54" s="341">
        <f t="shared" si="27"/>
        <v>0.92427184466019419</v>
      </c>
    </row>
    <row r="55" spans="1:54" ht="14.25" customHeight="1" x14ac:dyDescent="0.2">
      <c r="A55" s="120"/>
      <c r="B55" s="356"/>
      <c r="C55" s="356"/>
      <c r="D55" s="58"/>
      <c r="E55" s="58"/>
      <c r="F55" s="58"/>
      <c r="G55" s="58"/>
      <c r="H55" s="58"/>
      <c r="I55" s="58"/>
      <c r="J55" s="13"/>
      <c r="K55" s="15"/>
      <c r="L55" s="15"/>
      <c r="M55" s="15"/>
      <c r="N55" s="15"/>
      <c r="O55" s="9"/>
      <c r="P55" s="9"/>
      <c r="Q55" s="9"/>
      <c r="R55" s="9"/>
      <c r="S55" s="9"/>
      <c r="T55" s="9"/>
      <c r="U55" s="9"/>
      <c r="V55" s="119"/>
      <c r="W55" s="138"/>
      <c r="X55" s="288"/>
      <c r="AJ55" s="560" t="b">
        <v>1</v>
      </c>
      <c r="AK55" s="156" t="s">
        <v>14</v>
      </c>
      <c r="AL55" s="89" t="str">
        <f t="shared" si="20"/>
        <v>Southampton</v>
      </c>
      <c r="AM55" s="143">
        <f t="shared" si="25"/>
        <v>101.85185185185186</v>
      </c>
      <c r="AN55" s="143">
        <f t="shared" si="25"/>
        <v>112.80487804878048</v>
      </c>
      <c r="AO55" s="143">
        <f t="shared" si="25"/>
        <v>92.785571142284567</v>
      </c>
      <c r="AP55" s="143">
        <f t="shared" si="25"/>
        <v>102.18687872763419</v>
      </c>
      <c r="AQ55" s="143">
        <f t="shared" si="25"/>
        <v>94.29133858267717</v>
      </c>
      <c r="AR55" s="144">
        <f t="shared" si="24"/>
        <v>20.5</v>
      </c>
      <c r="AS55" s="341">
        <f t="shared" si="26"/>
        <v>0.23349056603773585</v>
      </c>
      <c r="AT55" s="341">
        <f t="shared" si="26"/>
        <v>0.29396186440677968</v>
      </c>
      <c r="AU55" s="341">
        <f t="shared" si="26"/>
        <v>0.34245562130177515</v>
      </c>
      <c r="AV55" s="341">
        <f t="shared" si="26"/>
        <v>0.30378250591016548</v>
      </c>
      <c r="AW55" s="341">
        <f t="shared" si="26"/>
        <v>0.27962638645650906</v>
      </c>
      <c r="AX55" s="341">
        <f t="shared" si="27"/>
        <v>0.70909090909090911</v>
      </c>
      <c r="AY55" s="341">
        <f t="shared" si="27"/>
        <v>0.61801801801801803</v>
      </c>
      <c r="AZ55" s="341">
        <f t="shared" si="27"/>
        <v>0.68034557235421167</v>
      </c>
      <c r="BA55" s="341">
        <f t="shared" si="27"/>
        <v>0.73929961089494167</v>
      </c>
      <c r="BB55" s="341">
        <f t="shared" si="27"/>
        <v>0.71189979123173275</v>
      </c>
    </row>
    <row r="56" spans="1:54" ht="14.25" customHeight="1" x14ac:dyDescent="0.2">
      <c r="A56" s="120"/>
      <c r="B56" s="356"/>
      <c r="C56" s="356"/>
      <c r="D56" s="58"/>
      <c r="E56" s="58"/>
      <c r="F56" s="58"/>
      <c r="G56" s="58"/>
      <c r="H56" s="58"/>
      <c r="I56" s="58"/>
      <c r="J56" s="13"/>
      <c r="K56" s="15"/>
      <c r="L56" s="15"/>
      <c r="M56" s="15"/>
      <c r="N56" s="15"/>
      <c r="O56" s="9"/>
      <c r="P56" s="9"/>
      <c r="Q56" s="9"/>
      <c r="R56" s="9"/>
      <c r="S56" s="9"/>
      <c r="T56" s="9"/>
      <c r="U56" s="9"/>
      <c r="V56" s="119"/>
      <c r="W56" s="138"/>
      <c r="X56" s="288"/>
      <c r="AJ56" s="560" t="b">
        <v>1</v>
      </c>
      <c r="AK56" s="156" t="s">
        <v>7</v>
      </c>
      <c r="AL56" s="89" t="str">
        <f t="shared" si="20"/>
        <v>Surrey</v>
      </c>
      <c r="AM56" s="143">
        <f t="shared" si="25"/>
        <v>47.996857816182249</v>
      </c>
      <c r="AN56" s="143">
        <f t="shared" si="25"/>
        <v>47.581903276131051</v>
      </c>
      <c r="AO56" s="143">
        <f t="shared" si="25"/>
        <v>52.200772200772207</v>
      </c>
      <c r="AP56" s="143">
        <f t="shared" si="25"/>
        <v>57.049558202074529</v>
      </c>
      <c r="AQ56" s="143">
        <f t="shared" si="25"/>
        <v>57.541046200840022</v>
      </c>
      <c r="AR56" s="144">
        <f t="shared" si="24"/>
        <v>8.3000000000000007</v>
      </c>
      <c r="AS56" s="341">
        <f t="shared" si="26"/>
        <v>0.37623152709359609</v>
      </c>
      <c r="AT56" s="341">
        <f t="shared" si="26"/>
        <v>0.27177545110269546</v>
      </c>
      <c r="AU56" s="341">
        <f t="shared" si="26"/>
        <v>0.316776007497657</v>
      </c>
      <c r="AV56" s="341">
        <f t="shared" si="26"/>
        <v>0.35654261704681872</v>
      </c>
      <c r="AW56" s="341">
        <f t="shared" si="26"/>
        <v>0.36409760811790287</v>
      </c>
      <c r="AX56" s="341">
        <f t="shared" si="27"/>
        <v>0.53436988543371522</v>
      </c>
      <c r="AY56" s="341">
        <f t="shared" si="27"/>
        <v>0.66393442622950816</v>
      </c>
      <c r="AZ56" s="341">
        <f t="shared" si="27"/>
        <v>0.68417159763313606</v>
      </c>
      <c r="BA56" s="341">
        <f t="shared" si="27"/>
        <v>0.51447811447811442</v>
      </c>
      <c r="BB56" s="341">
        <f t="shared" si="27"/>
        <v>0.77903118779031189</v>
      </c>
    </row>
    <row r="57" spans="1:54" ht="14.25" customHeight="1" x14ac:dyDescent="0.2">
      <c r="A57" s="271"/>
      <c r="B57" s="356"/>
      <c r="C57" s="356"/>
      <c r="D57" s="58"/>
      <c r="E57" s="58"/>
      <c r="F57" s="58"/>
      <c r="G57" s="58"/>
      <c r="H57" s="58"/>
      <c r="I57" s="58"/>
      <c r="J57" s="13"/>
      <c r="K57" s="15"/>
      <c r="L57" s="15"/>
      <c r="M57" s="15"/>
      <c r="N57" s="15"/>
      <c r="O57" s="9"/>
      <c r="P57" s="9"/>
      <c r="Q57" s="9"/>
      <c r="R57" s="9"/>
      <c r="S57" s="9"/>
      <c r="T57" s="9"/>
      <c r="U57" s="9"/>
      <c r="V57" s="119"/>
      <c r="W57" s="138"/>
      <c r="X57" s="288"/>
      <c r="AJ57" s="560" t="b">
        <v>1</v>
      </c>
      <c r="AK57" s="156" t="s">
        <v>114</v>
      </c>
      <c r="AL57" s="89" t="str">
        <f t="shared" si="20"/>
        <v>Swindon</v>
      </c>
      <c r="AM57" s="143">
        <f t="shared" si="25"/>
        <v>63.580246913580247</v>
      </c>
      <c r="AN57" s="143">
        <f t="shared" si="25"/>
        <v>70.612244897959187</v>
      </c>
      <c r="AO57" s="143">
        <f t="shared" si="25"/>
        <v>78.181818181818173</v>
      </c>
      <c r="AP57" s="143">
        <f t="shared" si="25"/>
        <v>115.03006012024048</v>
      </c>
      <c r="AQ57" s="143">
        <f t="shared" si="25"/>
        <v>98.605577689243034</v>
      </c>
      <c r="AR57" s="144">
        <f t="shared" si="24"/>
        <v>14.899999999999999</v>
      </c>
      <c r="AS57" s="341">
        <f t="shared" si="26"/>
        <v>0.53184165232358005</v>
      </c>
      <c r="AT57" s="341">
        <f t="shared" si="26"/>
        <v>0.4516971279373368</v>
      </c>
      <c r="AU57" s="341">
        <f t="shared" si="26"/>
        <v>0.42156862745098039</v>
      </c>
      <c r="AV57" s="341">
        <f t="shared" si="26"/>
        <v>0.56607495069033531</v>
      </c>
      <c r="AW57" s="341">
        <f t="shared" si="26"/>
        <v>0.4678638941398866</v>
      </c>
      <c r="AX57" s="341">
        <f t="shared" si="27"/>
        <v>0.69579288025889963</v>
      </c>
      <c r="AY57" s="341">
        <f t="shared" si="27"/>
        <v>0.78034682080924855</v>
      </c>
      <c r="AZ57" s="341">
        <f t="shared" si="27"/>
        <v>0.65374677002583981</v>
      </c>
      <c r="BA57" s="341">
        <f t="shared" si="27"/>
        <v>0.84668989547038331</v>
      </c>
      <c r="BB57" s="341">
        <f t="shared" si="27"/>
        <v>0.68484848484848482</v>
      </c>
    </row>
    <row r="58" spans="1:54" ht="14.25" customHeight="1" x14ac:dyDescent="0.2">
      <c r="A58" s="271"/>
      <c r="B58" s="356"/>
      <c r="C58" s="356"/>
      <c r="D58" s="58"/>
      <c r="E58" s="58"/>
      <c r="F58" s="58"/>
      <c r="G58" s="58"/>
      <c r="H58" s="58"/>
      <c r="I58" s="58"/>
      <c r="J58" s="13"/>
      <c r="K58" s="15"/>
      <c r="L58" s="15"/>
      <c r="M58" s="15"/>
      <c r="N58" s="15"/>
      <c r="O58" s="9"/>
      <c r="P58" s="9"/>
      <c r="Q58" s="9"/>
      <c r="R58" s="9"/>
      <c r="S58" s="9"/>
      <c r="T58" s="9"/>
      <c r="U58" s="9"/>
      <c r="V58" s="119"/>
      <c r="W58" s="138"/>
      <c r="X58" s="288"/>
      <c r="AJ58" s="560" t="b">
        <v>1</v>
      </c>
      <c r="AK58" s="156" t="s">
        <v>115</v>
      </c>
      <c r="AL58" s="89" t="str">
        <f t="shared" si="20"/>
        <v>Torbay</v>
      </c>
      <c r="AM58" s="143">
        <f t="shared" si="25"/>
        <v>119.12350597609561</v>
      </c>
      <c r="AN58" s="143">
        <f t="shared" si="25"/>
        <v>128.96825396825395</v>
      </c>
      <c r="AO58" s="143">
        <f t="shared" si="25"/>
        <v>142.51968503937007</v>
      </c>
      <c r="AP58" s="143">
        <f t="shared" si="25"/>
        <v>142.51968503937007</v>
      </c>
      <c r="AQ58" s="143">
        <f t="shared" si="25"/>
        <v>120.86614173228345</v>
      </c>
      <c r="AR58" s="144">
        <f t="shared" si="24"/>
        <v>21.9</v>
      </c>
      <c r="AS58" s="341">
        <f t="shared" si="26"/>
        <v>0.43396226415094341</v>
      </c>
      <c r="AT58" s="341">
        <f t="shared" si="26"/>
        <v>0.41191381495564006</v>
      </c>
      <c r="AU58" s="341">
        <f t="shared" si="26"/>
        <v>0.47631578947368419</v>
      </c>
      <c r="AV58" s="341">
        <f t="shared" si="26"/>
        <v>0.52312138728323698</v>
      </c>
      <c r="AW58" s="341">
        <f t="shared" si="26"/>
        <v>0.39561855670103091</v>
      </c>
      <c r="AX58" s="341">
        <f t="shared" si="27"/>
        <v>0.45819397993311034</v>
      </c>
      <c r="AY58" s="341">
        <f t="shared" si="27"/>
        <v>0.80615384615384611</v>
      </c>
      <c r="AZ58" s="341">
        <f t="shared" si="27"/>
        <v>0.90055248618784534</v>
      </c>
      <c r="BA58" s="341">
        <f t="shared" si="27"/>
        <v>0.66850828729281764</v>
      </c>
      <c r="BB58" s="341">
        <f t="shared" si="27"/>
        <v>0.73289902280130292</v>
      </c>
    </row>
    <row r="59" spans="1:54" ht="14.25" customHeight="1" x14ac:dyDescent="0.2">
      <c r="A59" s="120"/>
      <c r="B59" s="356"/>
      <c r="C59" s="356"/>
      <c r="D59" s="58"/>
      <c r="E59" s="58"/>
      <c r="F59" s="58"/>
      <c r="G59" s="58"/>
      <c r="H59" s="58"/>
      <c r="I59" s="58"/>
      <c r="J59" s="13"/>
      <c r="K59" s="15"/>
      <c r="L59" s="15"/>
      <c r="M59" s="15"/>
      <c r="N59" s="15"/>
      <c r="O59" s="9"/>
      <c r="P59" s="9"/>
      <c r="Q59" s="9"/>
      <c r="R59" s="9"/>
      <c r="S59" s="9"/>
      <c r="T59" s="9"/>
      <c r="U59" s="9"/>
      <c r="V59" s="119"/>
      <c r="W59" s="138"/>
      <c r="X59" s="288"/>
      <c r="AJ59" s="560" t="b">
        <v>1</v>
      </c>
      <c r="AK59" s="156" t="s">
        <v>15</v>
      </c>
      <c r="AL59" s="89" t="str">
        <f t="shared" si="20"/>
        <v>West Berkshire</v>
      </c>
      <c r="AM59" s="143">
        <f t="shared" si="25"/>
        <v>58.146067415730336</v>
      </c>
      <c r="AN59" s="143">
        <f t="shared" si="25"/>
        <v>67.226890756302524</v>
      </c>
      <c r="AO59" s="143">
        <f t="shared" si="25"/>
        <v>69.080779944289688</v>
      </c>
      <c r="AP59" s="143">
        <f t="shared" si="25"/>
        <v>76.815642458100555</v>
      </c>
      <c r="AQ59" s="143">
        <f t="shared" si="25"/>
        <v>72.752808988764045</v>
      </c>
      <c r="AR59" s="144">
        <f t="shared" si="24"/>
        <v>8.6999999999999993</v>
      </c>
      <c r="AS59" s="341">
        <f t="shared" si="26"/>
        <v>0.41733870967741937</v>
      </c>
      <c r="AT59" s="341">
        <f t="shared" si="26"/>
        <v>0.37267080745341613</v>
      </c>
      <c r="AU59" s="341">
        <f t="shared" si="26"/>
        <v>0.44846292947558769</v>
      </c>
      <c r="AV59" s="341">
        <f t="shared" si="26"/>
        <v>0.44283413848631242</v>
      </c>
      <c r="AW59" s="341">
        <f t="shared" si="26"/>
        <v>0.46582733812949639</v>
      </c>
      <c r="AX59" s="341">
        <f t="shared" si="27"/>
        <v>0.85990338164251212</v>
      </c>
      <c r="AY59" s="341">
        <f t="shared" si="27"/>
        <v>0.94166666666666665</v>
      </c>
      <c r="AZ59" s="341">
        <f t="shared" si="27"/>
        <v>0.967741935483871</v>
      </c>
      <c r="BA59" s="341">
        <f t="shared" si="27"/>
        <v>0.96363636363636362</v>
      </c>
      <c r="BB59" s="341">
        <f t="shared" si="27"/>
        <v>0.96138996138996136</v>
      </c>
    </row>
    <row r="60" spans="1:54" ht="14.25" customHeight="1" x14ac:dyDescent="0.2">
      <c r="A60" s="120"/>
      <c r="B60" s="356"/>
      <c r="C60" s="356"/>
      <c r="D60" s="58"/>
      <c r="E60" s="58"/>
      <c r="F60" s="58"/>
      <c r="G60" s="58"/>
      <c r="H60" s="58"/>
      <c r="I60" s="58"/>
      <c r="J60" s="13"/>
      <c r="K60" s="15"/>
      <c r="L60" s="15"/>
      <c r="M60" s="15"/>
      <c r="N60" s="15"/>
      <c r="O60" s="9"/>
      <c r="P60" s="9"/>
      <c r="Q60" s="9"/>
      <c r="R60" s="9"/>
      <c r="S60" s="9"/>
      <c r="T60" s="9"/>
      <c r="U60" s="9"/>
      <c r="V60" s="119"/>
      <c r="W60" s="138"/>
      <c r="X60" s="288"/>
      <c r="AJ60" s="560" t="b">
        <v>1</v>
      </c>
      <c r="AK60" s="156" t="s">
        <v>5</v>
      </c>
      <c r="AL60" s="89" t="str">
        <f t="shared" si="20"/>
        <v>West Sussex</v>
      </c>
      <c r="AM60" s="143">
        <f t="shared" si="25"/>
        <v>51.481042654028435</v>
      </c>
      <c r="AN60" s="143">
        <f t="shared" si="25"/>
        <v>39.377934272300465</v>
      </c>
      <c r="AO60" s="143">
        <f t="shared" si="25"/>
        <v>39.580908032596035</v>
      </c>
      <c r="AP60" s="143">
        <f t="shared" si="25"/>
        <v>62.261973456433928</v>
      </c>
      <c r="AQ60" s="143">
        <f t="shared" si="25"/>
        <v>50.028620492272466</v>
      </c>
      <c r="AR60" s="144">
        <f t="shared" si="24"/>
        <v>11</v>
      </c>
      <c r="AS60" s="341">
        <f t="shared" si="26"/>
        <v>0.43933265925176945</v>
      </c>
      <c r="AT60" s="341">
        <f t="shared" si="26"/>
        <v>0.37174515235457062</v>
      </c>
      <c r="AU60" s="341">
        <f t="shared" si="26"/>
        <v>0.31350852927616413</v>
      </c>
      <c r="AV60" s="341">
        <f t="shared" si="26"/>
        <v>0.3593073593073593</v>
      </c>
      <c r="AW60" s="341">
        <f t="shared" si="26"/>
        <v>0.30200414651002072</v>
      </c>
      <c r="AX60" s="341">
        <f t="shared" si="27"/>
        <v>0.58688147295742232</v>
      </c>
      <c r="AY60" s="341">
        <f t="shared" si="27"/>
        <v>0.52906110283159469</v>
      </c>
      <c r="AZ60" s="341">
        <f t="shared" si="27"/>
        <v>0.42794117647058821</v>
      </c>
      <c r="BA60" s="341">
        <f t="shared" si="27"/>
        <v>0.85078776645041709</v>
      </c>
      <c r="BB60" s="341">
        <f t="shared" si="27"/>
        <v>0.69450800915331812</v>
      </c>
    </row>
    <row r="61" spans="1:54" s="83" customFormat="1" ht="14.25" customHeight="1" x14ac:dyDescent="0.2">
      <c r="A61" s="120"/>
      <c r="B61" s="356"/>
      <c r="C61" s="356"/>
      <c r="D61" s="58"/>
      <c r="E61" s="58"/>
      <c r="F61" s="58"/>
      <c r="G61" s="58"/>
      <c r="H61" s="58"/>
      <c r="I61" s="58"/>
      <c r="J61" s="13"/>
      <c r="K61" s="15"/>
      <c r="L61" s="15"/>
      <c r="M61" s="15"/>
      <c r="N61" s="15"/>
      <c r="O61" s="9"/>
      <c r="P61" s="9"/>
      <c r="Q61" s="9"/>
      <c r="R61" s="9"/>
      <c r="S61" s="9"/>
      <c r="T61" s="9"/>
      <c r="U61" s="9"/>
      <c r="V61" s="119"/>
      <c r="W61" s="138"/>
      <c r="X61" s="288"/>
      <c r="AJ61" s="560" t="b">
        <v>1</v>
      </c>
      <c r="AK61" s="156" t="s">
        <v>30</v>
      </c>
      <c r="AL61" s="89" t="str">
        <f t="shared" si="20"/>
        <v>Windsor &amp; Maidenhead</v>
      </c>
      <c r="AM61" s="143">
        <f t="shared" si="25"/>
        <v>27.844311377245511</v>
      </c>
      <c r="AN61" s="143">
        <f t="shared" si="25"/>
        <v>59.347181008902076</v>
      </c>
      <c r="AO61" s="143">
        <f t="shared" si="25"/>
        <v>56.725146198830409</v>
      </c>
      <c r="AP61" s="143">
        <f t="shared" si="25"/>
        <v>39.825581395348834</v>
      </c>
      <c r="AQ61" s="143">
        <f t="shared" si="25"/>
        <v>34.971098265895954</v>
      </c>
      <c r="AR61" s="144">
        <f t="shared" si="24"/>
        <v>6.7</v>
      </c>
      <c r="AS61" s="341">
        <f t="shared" si="26"/>
        <v>0.28615384615384615</v>
      </c>
      <c r="AT61" s="341">
        <f t="shared" si="26"/>
        <v>0.45766590389016021</v>
      </c>
      <c r="AU61" s="341">
        <f t="shared" si="26"/>
        <v>0.42450765864332601</v>
      </c>
      <c r="AV61" s="341">
        <f t="shared" si="26"/>
        <v>0.3914285714285714</v>
      </c>
      <c r="AW61" s="341">
        <f t="shared" si="26"/>
        <v>0.23180076628352492</v>
      </c>
      <c r="AX61" s="341">
        <f t="shared" si="27"/>
        <v>0.78494623655913975</v>
      </c>
      <c r="AY61" s="341">
        <f t="shared" si="27"/>
        <v>0.86</v>
      </c>
      <c r="AZ61" s="341">
        <f t="shared" si="27"/>
        <v>0.82989690721649489</v>
      </c>
      <c r="BA61" s="341">
        <f t="shared" si="27"/>
        <v>0.53284671532846717</v>
      </c>
      <c r="BB61" s="341">
        <f t="shared" si="27"/>
        <v>0.64462809917355368</v>
      </c>
    </row>
    <row r="62" spans="1:54" s="83" customFormat="1" ht="14.25" customHeight="1" x14ac:dyDescent="0.2">
      <c r="A62" s="120"/>
      <c r="B62" s="356"/>
      <c r="C62" s="356"/>
      <c r="D62" s="58"/>
      <c r="E62" s="58"/>
      <c r="F62" s="58"/>
      <c r="G62" s="58"/>
      <c r="H62" s="58"/>
      <c r="I62" s="58"/>
      <c r="J62" s="13"/>
      <c r="K62" s="15"/>
      <c r="L62" s="15"/>
      <c r="M62" s="15"/>
      <c r="N62" s="15"/>
      <c r="O62" s="9"/>
      <c r="P62" s="9"/>
      <c r="Q62" s="9"/>
      <c r="R62" s="9"/>
      <c r="S62" s="9"/>
      <c r="T62" s="9"/>
      <c r="U62" s="9"/>
      <c r="V62" s="119"/>
      <c r="W62" s="138"/>
      <c r="X62" s="288"/>
      <c r="AJ62" s="560" t="b">
        <v>1</v>
      </c>
      <c r="AK62" s="156" t="s">
        <v>16</v>
      </c>
      <c r="AL62" s="89" t="str">
        <f t="shared" si="20"/>
        <v>Wokingham</v>
      </c>
      <c r="AM62" s="143">
        <f t="shared" si="25"/>
        <v>18.699186991869919</v>
      </c>
      <c r="AN62" s="143">
        <f t="shared" si="25"/>
        <v>38.873994638069703</v>
      </c>
      <c r="AO62" s="143">
        <f t="shared" si="25"/>
        <v>23.421052631578949</v>
      </c>
      <c r="AP62" s="143">
        <f t="shared" si="25"/>
        <v>46.770025839793277</v>
      </c>
      <c r="AQ62" s="143">
        <f t="shared" si="25"/>
        <v>64.810126582278485</v>
      </c>
      <c r="AR62" s="144">
        <f t="shared" si="24"/>
        <v>5.6000000000000005</v>
      </c>
      <c r="AS62" s="341">
        <f t="shared" si="26"/>
        <v>0.27272727272727271</v>
      </c>
      <c r="AT62" s="341">
        <f t="shared" si="26"/>
        <v>0.41907514450867051</v>
      </c>
      <c r="AU62" s="341">
        <f t="shared" si="26"/>
        <v>0.33840304182509506</v>
      </c>
      <c r="AV62" s="341">
        <f t="shared" si="26"/>
        <v>0.38428874734607221</v>
      </c>
      <c r="AW62" s="341">
        <f t="shared" si="26"/>
        <v>0.39083969465648855</v>
      </c>
      <c r="AX62" s="341">
        <f t="shared" si="27"/>
        <v>0.91304347826086951</v>
      </c>
      <c r="AY62" s="341">
        <f t="shared" si="27"/>
        <v>0.96551724137931039</v>
      </c>
      <c r="AZ62" s="341">
        <f t="shared" si="27"/>
        <v>0.797752808988764</v>
      </c>
      <c r="BA62" s="341">
        <f t="shared" si="27"/>
        <v>0.82320441988950277</v>
      </c>
      <c r="BB62" s="341">
        <f t="shared" si="27"/>
        <v>0.65625</v>
      </c>
    </row>
    <row r="63" spans="1:54" s="83" customFormat="1" ht="14.25" customHeight="1" x14ac:dyDescent="0.2">
      <c r="A63" s="120"/>
      <c r="B63" s="356"/>
      <c r="C63" s="356"/>
      <c r="D63" s="58"/>
      <c r="E63" s="58"/>
      <c r="F63" s="58"/>
      <c r="G63" s="58"/>
      <c r="H63" s="58"/>
      <c r="I63" s="58"/>
      <c r="J63" s="13"/>
      <c r="K63" s="15"/>
      <c r="L63" s="15"/>
      <c r="M63" s="15"/>
      <c r="N63" s="15"/>
      <c r="O63" s="9"/>
      <c r="P63" s="9"/>
      <c r="Q63" s="9"/>
      <c r="R63" s="9"/>
      <c r="S63" s="9"/>
      <c r="T63" s="9"/>
      <c r="U63" s="9"/>
      <c r="V63" s="119"/>
      <c r="W63" s="138"/>
      <c r="X63" s="288"/>
      <c r="AJ63" s="560" t="b">
        <v>1</v>
      </c>
      <c r="AK63" s="156" t="s">
        <v>74</v>
      </c>
      <c r="AL63" s="89" t="str">
        <f t="shared" si="20"/>
        <v>South East</v>
      </c>
      <c r="AM63" s="143">
        <f t="shared" si="25"/>
        <v>59.756353707204369</v>
      </c>
      <c r="AN63" s="143">
        <f t="shared" si="25"/>
        <v>59.485949637662273</v>
      </c>
      <c r="AO63" s="143">
        <f t="shared" si="25"/>
        <v>59.4382080595934</v>
      </c>
      <c r="AP63" s="143">
        <f t="shared" si="25"/>
        <v>62.914758989659965</v>
      </c>
      <c r="AQ63" s="143">
        <f t="shared" si="25"/>
        <v>60.794932052722999</v>
      </c>
      <c r="AR63" s="144">
        <f t="shared" si="24"/>
        <v>12.371268250968637</v>
      </c>
      <c r="AS63" s="341">
        <f t="shared" si="26"/>
        <v>0.39790209790209791</v>
      </c>
      <c r="AT63" s="341">
        <f t="shared" si="26"/>
        <v>0.37238903394255873</v>
      </c>
      <c r="AU63" s="341">
        <f t="shared" si="26"/>
        <v>0.37280986372485397</v>
      </c>
      <c r="AV63" s="341">
        <f t="shared" si="26"/>
        <v>0.37746913580246916</v>
      </c>
      <c r="AW63" s="341">
        <f t="shared" si="26"/>
        <v>0.35322054021964977</v>
      </c>
      <c r="AX63" s="341">
        <f t="shared" si="27"/>
        <v>0.67574692442882245</v>
      </c>
      <c r="AY63" s="341">
        <f t="shared" si="27"/>
        <v>0.72217353198948286</v>
      </c>
      <c r="AZ63" s="341">
        <f t="shared" si="27"/>
        <v>0.75021758050478682</v>
      </c>
      <c r="BA63" s="341">
        <f t="shared" si="27"/>
        <v>0.74979558462796403</v>
      </c>
      <c r="BB63" s="341">
        <f t="shared" si="27"/>
        <v>0.77226890756302524</v>
      </c>
    </row>
    <row r="64" spans="1:54" s="83" customFormat="1" ht="14.25" customHeight="1" x14ac:dyDescent="0.2">
      <c r="A64" s="120"/>
      <c r="B64" s="356"/>
      <c r="C64" s="356"/>
      <c r="D64" s="58"/>
      <c r="E64" s="58"/>
      <c r="F64" s="58"/>
      <c r="G64" s="58"/>
      <c r="H64" s="58"/>
      <c r="I64" s="58"/>
      <c r="J64" s="13"/>
      <c r="K64" s="9"/>
      <c r="L64" s="112"/>
      <c r="M64" s="1468" t="s">
        <v>72</v>
      </c>
      <c r="N64" s="1450"/>
      <c r="O64" s="1450"/>
      <c r="P64" s="1469"/>
      <c r="Q64" s="869"/>
      <c r="R64" s="1462" t="s">
        <v>101</v>
      </c>
      <c r="S64" s="1463"/>
      <c r="T64" s="1463"/>
      <c r="U64" s="1470"/>
      <c r="V64" s="119"/>
      <c r="W64" s="138"/>
      <c r="X64" s="288"/>
      <c r="AJ64" s="560" t="b">
        <v>1</v>
      </c>
      <c r="AK64" s="156" t="s">
        <v>126</v>
      </c>
      <c r="AL64" s="89" t="str">
        <f t="shared" si="20"/>
        <v>England</v>
      </c>
      <c r="AM64" s="143">
        <f t="shared" si="25"/>
        <v>61.604423854999702</v>
      </c>
      <c r="AN64" s="143">
        <f t="shared" si="25"/>
        <v>62.554055095522315</v>
      </c>
      <c r="AO64" s="143">
        <f t="shared" si="25"/>
        <v>65.276233952466214</v>
      </c>
      <c r="AP64" s="143">
        <f t="shared" si="25"/>
        <v>66.967220021909498</v>
      </c>
      <c r="AQ64" s="143">
        <f t="shared" si="25"/>
        <v>64.778411657437303</v>
      </c>
      <c r="AR64" s="144">
        <f t="shared" si="24"/>
        <v>17.084413405029373</v>
      </c>
      <c r="AS64" s="341">
        <f t="shared" si="26"/>
        <v>0.44589447393068998</v>
      </c>
      <c r="AT64" s="341">
        <f t="shared" si="26"/>
        <v>0.42399442799930348</v>
      </c>
      <c r="AU64" s="341">
        <f t="shared" si="26"/>
        <v>0.41482879482340251</v>
      </c>
      <c r="AV64" s="341">
        <f t="shared" si="26"/>
        <v>0.40118128123580193</v>
      </c>
      <c r="AW64" s="341">
        <f t="shared" si="26"/>
        <v>0.38494805388477404</v>
      </c>
      <c r="AX64" s="341">
        <f t="shared" si="27"/>
        <v>0.74737431732250381</v>
      </c>
      <c r="AY64" s="341">
        <f t="shared" si="27"/>
        <v>0.76659822039698833</v>
      </c>
      <c r="AZ64" s="341">
        <f t="shared" si="27"/>
        <v>0.77226049655531004</v>
      </c>
      <c r="BA64" s="341">
        <f t="shared" si="27"/>
        <v>0.76947275701522588</v>
      </c>
      <c r="BB64" s="341">
        <f t="shared" si="27"/>
        <v>0.7870609504132231</v>
      </c>
    </row>
    <row r="65" spans="1:54" s="83" customFormat="1" ht="14.25" customHeight="1" x14ac:dyDescent="0.2">
      <c r="A65" s="120"/>
      <c r="B65" s="356"/>
      <c r="C65" s="356"/>
      <c r="D65" s="58"/>
      <c r="E65" s="58"/>
      <c r="F65" s="58"/>
      <c r="G65" s="58"/>
      <c r="H65" s="58"/>
      <c r="I65" s="58"/>
      <c r="J65" s="13"/>
      <c r="K65" s="9"/>
      <c r="L65" s="113"/>
      <c r="M65" s="1462" t="str">
        <f>AA4</f>
        <v>Selected LA- (none)</v>
      </c>
      <c r="N65" s="1463"/>
      <c r="O65" s="1463"/>
      <c r="P65" s="1463"/>
      <c r="Q65" s="112"/>
      <c r="R65" s="1466" t="s">
        <v>184</v>
      </c>
      <c r="S65" s="1466"/>
      <c r="T65" s="1466"/>
      <c r="U65" s="1467"/>
      <c r="V65" s="119"/>
      <c r="W65" s="138"/>
      <c r="X65" s="147"/>
      <c r="AK65" s="157"/>
      <c r="AL65" s="76" t="str">
        <f>AA4</f>
        <v>Selected LA- (none)</v>
      </c>
      <c r="AM65" s="145" t="e">
        <f>VLOOKUP($Z4,$B$10:$O$32,AM$37,FALSE)</f>
        <v>#N/A</v>
      </c>
      <c r="AN65" s="145" t="e">
        <f>VLOOKUP($Z4,$B$10:$O$32,AN$37,FALSE)</f>
        <v>#N/A</v>
      </c>
      <c r="AO65" s="145" t="e">
        <f>VLOOKUP($Z4,$B$10:$O$32,AO$37,FALSE)</f>
        <v>#N/A</v>
      </c>
      <c r="AP65" s="145" t="e">
        <f>VLOOKUP($Z4,$B$10:$O$32,AP$37,FALSE)</f>
        <v>#N/A</v>
      </c>
      <c r="AQ65" s="145" t="e">
        <f>VLOOKUP($Z4,$B$10:$O$32,AQ$37,FALSE)</f>
        <v>#N/A</v>
      </c>
      <c r="AR65" s="144" t="e">
        <f>VLOOKUP(Z4,$B$10:$U$33,$AR$37,FALSE)</f>
        <v>#N/A</v>
      </c>
      <c r="AS65" s="167" t="e">
        <f>VLOOKUP($Z$4,$B$112:$H$135,AS$37,FALSE)</f>
        <v>#N/A</v>
      </c>
      <c r="AT65" s="167" t="e">
        <f>VLOOKUP($Z$4,$B$112:$H$135,AT$37,FALSE)</f>
        <v>#N/A</v>
      </c>
      <c r="AU65" s="167" t="e">
        <f>VLOOKUP($Z$4,$B$112:$H$135,AU$37,FALSE)</f>
        <v>#N/A</v>
      </c>
      <c r="AV65" s="167" t="e">
        <f>VLOOKUP($Z$4,$B$112:$H$135,AV$37,FALSE)</f>
        <v>#N/A</v>
      </c>
      <c r="AW65" s="167" t="e">
        <f>VLOOKUP($Z$4,$B$112:$H$135,AW$37,FALSE)</f>
        <v>#N/A</v>
      </c>
      <c r="AX65" s="167" t="e">
        <f>VLOOKUP($Z$4,$B$148:$H$171,AX$37,FALSE)</f>
        <v>#N/A</v>
      </c>
      <c r="AY65" s="167" t="e">
        <f>VLOOKUP($Z$4,$B$148:$H$171,AY$37,FALSE)</f>
        <v>#N/A</v>
      </c>
      <c r="AZ65" s="167" t="e">
        <f>VLOOKUP($Z$4,$B$148:$H$171,AZ$37,FALSE)</f>
        <v>#N/A</v>
      </c>
      <c r="BA65" s="167" t="e">
        <f>VLOOKUP($Z$4,$B$148:$H$171,BA$37,FALSE)</f>
        <v>#N/A</v>
      </c>
      <c r="BB65" s="167" t="e">
        <f>VLOOKUP($Z$4,$B$148:$H$171,BB$37,FALSE)</f>
        <v>#N/A</v>
      </c>
    </row>
    <row r="66" spans="1:54" s="83" customFormat="1" ht="42" customHeight="1" x14ac:dyDescent="0.2">
      <c r="A66" s="120"/>
      <c r="B66" s="356"/>
      <c r="C66" s="356"/>
      <c r="D66" s="58"/>
      <c r="E66" s="58"/>
      <c r="F66" s="58"/>
      <c r="G66" s="58"/>
      <c r="H66" s="58"/>
      <c r="I66" s="58"/>
      <c r="J66" s="13"/>
      <c r="K66" s="9"/>
      <c r="L66" s="9"/>
      <c r="M66" s="9"/>
      <c r="N66" s="9"/>
      <c r="O66" s="9"/>
      <c r="P66" s="9"/>
      <c r="Q66" s="9"/>
      <c r="R66" s="9"/>
      <c r="S66" s="9"/>
      <c r="T66" s="9"/>
      <c r="U66" s="9"/>
      <c r="V66" s="119"/>
      <c r="W66" s="138"/>
      <c r="X66" s="147"/>
      <c r="AK66" s="157"/>
    </row>
    <row r="67" spans="1:54" s="89" customFormat="1" ht="42" customHeight="1" x14ac:dyDescent="0.2">
      <c r="A67" s="123"/>
      <c r="B67" s="111"/>
      <c r="C67" s="111"/>
      <c r="D67" s="111"/>
      <c r="E67" s="111"/>
      <c r="F67" s="111"/>
      <c r="G67" s="111"/>
      <c r="H67" s="111"/>
      <c r="I67" s="111"/>
      <c r="J67" s="98"/>
      <c r="K67" s="87"/>
      <c r="L67" s="87"/>
      <c r="M67" s="87"/>
      <c r="N67" s="87"/>
      <c r="O67" s="87"/>
      <c r="P67" s="87"/>
      <c r="Q67" s="87"/>
      <c r="R67" s="87"/>
      <c r="S67" s="87"/>
      <c r="T67" s="87"/>
      <c r="U67" s="87"/>
      <c r="V67" s="124"/>
      <c r="W67" s="140"/>
      <c r="X67" s="149"/>
      <c r="AE67" s="185"/>
      <c r="AF67" s="185"/>
      <c r="AG67" s="185"/>
      <c r="AH67" s="185"/>
      <c r="AI67" s="185"/>
      <c r="AJ67" s="199"/>
      <c r="AK67" s="156"/>
    </row>
    <row r="68" spans="1:54" s="89" customFormat="1" ht="42" customHeight="1" x14ac:dyDescent="0.2">
      <c r="A68" s="123"/>
      <c r="B68" s="111"/>
      <c r="C68" s="111"/>
      <c r="D68" s="111"/>
      <c r="E68" s="111"/>
      <c r="F68" s="111"/>
      <c r="G68" s="111"/>
      <c r="H68" s="111"/>
      <c r="I68" s="111"/>
      <c r="J68" s="98"/>
      <c r="K68" s="87"/>
      <c r="L68" s="87"/>
      <c r="M68" s="87"/>
      <c r="N68" s="87"/>
      <c r="O68" s="87"/>
      <c r="P68" s="87"/>
      <c r="Q68" s="87"/>
      <c r="R68" s="87"/>
      <c r="S68" s="87"/>
      <c r="T68" s="87"/>
      <c r="U68" s="87"/>
      <c r="V68" s="124"/>
      <c r="W68" s="140"/>
      <c r="X68" s="149"/>
      <c r="AE68" s="185"/>
      <c r="AF68" s="185"/>
      <c r="AG68" s="185"/>
      <c r="AH68" s="185"/>
      <c r="AI68" s="185"/>
      <c r="AJ68" s="199"/>
      <c r="AK68" s="156"/>
    </row>
    <row r="69" spans="1:54" ht="7.5" customHeight="1" x14ac:dyDescent="0.2">
      <c r="A69" s="120"/>
      <c r="B69" s="18"/>
      <c r="C69" s="18"/>
      <c r="D69" s="17"/>
      <c r="E69" s="17"/>
      <c r="F69" s="17"/>
      <c r="G69" s="17"/>
      <c r="H69" s="17"/>
      <c r="I69" s="17"/>
      <c r="J69" s="13"/>
      <c r="K69" s="19"/>
      <c r="L69" s="19"/>
      <c r="M69" s="19"/>
      <c r="N69" s="19"/>
      <c r="O69" s="19"/>
      <c r="P69" s="19"/>
      <c r="Q69" s="19"/>
      <c r="R69" s="19"/>
      <c r="S69" s="19"/>
      <c r="T69" s="19"/>
      <c r="U69" s="20"/>
      <c r="V69" s="119"/>
      <c r="W69" s="138"/>
      <c r="X69" s="147"/>
      <c r="Y69" s="89"/>
      <c r="Z69" s="89"/>
      <c r="AA69" s="89"/>
      <c r="AB69" s="89"/>
      <c r="AC69" s="89"/>
      <c r="AD69" s="89"/>
      <c r="AJ69" s="179"/>
      <c r="AK69" s="153"/>
    </row>
    <row r="70" spans="1:54"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1"/>
      <c r="V70" s="1422"/>
      <c r="W70" s="138"/>
      <c r="X70" s="147"/>
      <c r="Y70" s="89"/>
      <c r="Z70" s="89"/>
      <c r="AA70" s="89"/>
      <c r="AB70" s="89"/>
      <c r="AC70" s="89"/>
      <c r="AD70" s="89"/>
      <c r="AJ70" s="179"/>
      <c r="AK70" s="153"/>
    </row>
    <row r="71" spans="1:54"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0"/>
      <c r="J71" s="1429"/>
      <c r="K71" s="1429"/>
      <c r="L71" s="1429"/>
      <c r="M71" s="1429"/>
      <c r="N71" s="1429"/>
      <c r="O71" s="1429"/>
      <c r="P71" s="1431"/>
      <c r="Q71" s="1429"/>
      <c r="R71" s="1429"/>
      <c r="S71" s="1429"/>
      <c r="T71" s="1430"/>
      <c r="U71" s="1429"/>
      <c r="V71" s="1432"/>
      <c r="W71" s="138"/>
      <c r="X71" s="147"/>
      <c r="Y71" s="89"/>
      <c r="Z71" s="89"/>
      <c r="AA71" s="89"/>
      <c r="AB71" s="89"/>
      <c r="AC71" s="89"/>
      <c r="AD71" s="89"/>
      <c r="AJ71" s="179"/>
      <c r="AK71" s="153"/>
    </row>
    <row r="72" spans="1:54" ht="11.25" customHeight="1" x14ac:dyDescent="0.2">
      <c r="A72" s="114"/>
      <c r="B72" s="115"/>
      <c r="C72" s="115"/>
      <c r="D72" s="115"/>
      <c r="E72" s="115"/>
      <c r="F72" s="115"/>
      <c r="G72" s="115"/>
      <c r="H72" s="115"/>
      <c r="I72" s="115"/>
      <c r="J72" s="116"/>
      <c r="K72" s="115"/>
      <c r="L72" s="115"/>
      <c r="M72" s="115"/>
      <c r="N72" s="115"/>
      <c r="O72" s="115"/>
      <c r="P72" s="115"/>
      <c r="Q72" s="115"/>
      <c r="R72" s="115"/>
      <c r="S72" s="115"/>
      <c r="T72" s="115"/>
      <c r="U72" s="115"/>
      <c r="V72" s="117"/>
      <c r="W72" s="138"/>
      <c r="X72" s="147"/>
      <c r="Y72" s="183"/>
      <c r="Z72" s="183"/>
      <c r="AA72" s="183"/>
      <c r="AJ72" s="179"/>
      <c r="AK72" s="153"/>
    </row>
    <row r="73" spans="1:54" s="78" customFormat="1" ht="15" customHeight="1" x14ac:dyDescent="0.2">
      <c r="A73" s="121"/>
      <c r="B73" s="59"/>
      <c r="C73" s="355"/>
      <c r="D73" s="355"/>
      <c r="E73" s="355"/>
      <c r="F73" s="355"/>
      <c r="G73" s="355"/>
      <c r="H73" s="355"/>
      <c r="I73" s="355"/>
      <c r="J73" s="69"/>
      <c r="K73" s="69"/>
      <c r="L73" s="69"/>
      <c r="M73" s="69"/>
      <c r="N73" s="352"/>
      <c r="O73" s="69"/>
      <c r="P73" s="69"/>
      <c r="Q73" s="69"/>
      <c r="R73" s="69"/>
      <c r="S73" s="69"/>
      <c r="T73" s="69"/>
      <c r="U73" s="69"/>
      <c r="V73" s="122"/>
      <c r="W73" s="139"/>
      <c r="X73" s="148"/>
      <c r="Y73" s="183"/>
      <c r="Z73" s="183"/>
      <c r="AA73" s="183"/>
      <c r="AB73" s="183"/>
      <c r="AC73" s="183"/>
      <c r="AD73" s="183"/>
      <c r="AE73" s="183"/>
      <c r="AF73" s="183"/>
      <c r="AG73" s="183"/>
      <c r="AH73" s="183"/>
      <c r="AI73" s="183"/>
      <c r="AJ73" s="183"/>
      <c r="AK73" s="154"/>
    </row>
    <row r="74" spans="1:54" ht="13.5" customHeight="1" x14ac:dyDescent="0.2">
      <c r="A74" s="120"/>
      <c r="B74" s="355"/>
      <c r="C74" s="355"/>
      <c r="D74" s="355"/>
      <c r="E74" s="355"/>
      <c r="F74" s="355"/>
      <c r="G74" s="355"/>
      <c r="H74" s="355"/>
      <c r="I74" s="355"/>
      <c r="J74" s="69"/>
      <c r="K74" s="69"/>
      <c r="L74" s="69"/>
      <c r="M74" s="69"/>
      <c r="N74" s="352"/>
      <c r="O74" s="69"/>
      <c r="P74" s="69"/>
      <c r="Q74" s="69"/>
      <c r="R74" s="10"/>
      <c r="S74" s="69"/>
      <c r="T74" s="69"/>
      <c r="U74" s="69"/>
      <c r="V74" s="119"/>
      <c r="W74" s="138"/>
      <c r="X74" s="147"/>
      <c r="Y74" s="183"/>
      <c r="Z74" s="183"/>
      <c r="AA74" s="191"/>
      <c r="AB74" s="191"/>
      <c r="AC74" s="192"/>
      <c r="AD74" s="192"/>
      <c r="AJ74" s="179"/>
      <c r="AK74" s="153"/>
    </row>
    <row r="75" spans="1:54" s="89" customFormat="1" ht="12" customHeight="1" x14ac:dyDescent="0.2">
      <c r="A75" s="123"/>
      <c r="B75" s="355"/>
      <c r="C75" s="355"/>
      <c r="D75" s="355"/>
      <c r="E75" s="355"/>
      <c r="F75" s="355"/>
      <c r="G75" s="355"/>
      <c r="H75" s="355"/>
      <c r="I75" s="98"/>
      <c r="J75" s="98"/>
      <c r="K75" s="61"/>
      <c r="L75" s="61"/>
      <c r="M75" s="61"/>
      <c r="N75" s="61"/>
      <c r="O75" s="61"/>
      <c r="P75" s="61"/>
      <c r="Q75" s="358"/>
      <c r="R75" s="358"/>
      <c r="S75" s="155"/>
      <c r="T75" s="155"/>
      <c r="U75" s="359"/>
      <c r="V75" s="124"/>
      <c r="W75" s="140"/>
      <c r="X75" s="149"/>
      <c r="Y75" s="183"/>
      <c r="Z75" s="183"/>
      <c r="AA75" s="191"/>
      <c r="AB75" s="191"/>
      <c r="AC75" s="192"/>
      <c r="AD75" s="192"/>
      <c r="AE75" s="194"/>
      <c r="AF75" s="185"/>
      <c r="AG75" s="185"/>
      <c r="AH75" s="185"/>
      <c r="AI75" s="185"/>
      <c r="AJ75" s="199"/>
      <c r="AK75" s="156"/>
    </row>
    <row r="76" spans="1:54" s="89" customFormat="1" ht="24" customHeight="1" x14ac:dyDescent="0.2">
      <c r="A76" s="123"/>
      <c r="B76" s="355"/>
      <c r="C76" s="355"/>
      <c r="D76" s="355"/>
      <c r="E76" s="355"/>
      <c r="F76" s="355"/>
      <c r="G76" s="355"/>
      <c r="H76" s="355"/>
      <c r="I76" s="98"/>
      <c r="J76" s="98"/>
      <c r="K76" s="162"/>
      <c r="L76" s="162"/>
      <c r="M76" s="162"/>
      <c r="N76" s="162"/>
      <c r="O76" s="162"/>
      <c r="P76" s="162"/>
      <c r="Q76" s="162"/>
      <c r="R76" s="163"/>
      <c r="S76" s="155"/>
      <c r="T76" s="155"/>
      <c r="U76" s="162"/>
      <c r="V76" s="124"/>
      <c r="W76" s="140"/>
      <c r="X76" s="149"/>
      <c r="Z76" s="347" t="s">
        <v>129</v>
      </c>
      <c r="AA76" s="347" t="s">
        <v>130</v>
      </c>
      <c r="AB76" s="191"/>
      <c r="AC76" s="192"/>
      <c r="AD76" s="192"/>
      <c r="AE76" s="194"/>
      <c r="AF76" s="185"/>
      <c r="AG76" s="185"/>
      <c r="AH76" s="185"/>
      <c r="AI76" s="185"/>
      <c r="AJ76" s="199"/>
      <c r="AK76" s="156"/>
    </row>
    <row r="77" spans="1:54" s="89" customFormat="1" ht="12.75" customHeight="1" x14ac:dyDescent="0.2">
      <c r="A77" s="123"/>
      <c r="B77" s="355"/>
      <c r="C77" s="355"/>
      <c r="D77" s="355"/>
      <c r="E77" s="355"/>
      <c r="F77" s="355"/>
      <c r="G77" s="355"/>
      <c r="H77" s="355"/>
      <c r="I77" s="98"/>
      <c r="J77" s="98"/>
      <c r="K77" s="162"/>
      <c r="L77" s="162"/>
      <c r="M77" s="162"/>
      <c r="N77" s="162"/>
      <c r="O77" s="162"/>
      <c r="P77" s="162"/>
      <c r="Q77" s="162"/>
      <c r="R77" s="163"/>
      <c r="S77" s="155"/>
      <c r="T77" s="155"/>
      <c r="U77" s="162"/>
      <c r="V77" s="124"/>
      <c r="W77" s="140"/>
      <c r="X77" s="149"/>
      <c r="Y77" s="551" t="str">
        <f>B10</f>
        <v>Bracknell Forest</v>
      </c>
      <c r="Z77" s="349" t="e">
        <f>IF(Y77=$Z$4,I10,#N/A)</f>
        <v>#N/A</v>
      </c>
      <c r="AA77" s="349" t="e">
        <f>IF(Y77=$Z$4,U10,#N/A)</f>
        <v>#N/A</v>
      </c>
      <c r="AB77" s="191"/>
      <c r="AC77" s="192"/>
      <c r="AD77" s="192"/>
      <c r="AE77" s="194"/>
      <c r="AF77" s="185"/>
      <c r="AG77" s="185"/>
      <c r="AH77" s="185"/>
      <c r="AI77" s="185"/>
      <c r="AJ77" s="199"/>
      <c r="AK77" s="156"/>
    </row>
    <row r="78" spans="1:54" s="89" customFormat="1" ht="12.75" customHeight="1" x14ac:dyDescent="0.2">
      <c r="A78" s="123"/>
      <c r="B78" s="355"/>
      <c r="C78" s="355"/>
      <c r="D78" s="355"/>
      <c r="E78" s="355"/>
      <c r="F78" s="355"/>
      <c r="G78" s="355"/>
      <c r="H78" s="355"/>
      <c r="I78" s="98"/>
      <c r="J78" s="98"/>
      <c r="K78" s="162"/>
      <c r="L78" s="162"/>
      <c r="M78" s="162"/>
      <c r="N78" s="162"/>
      <c r="O78" s="162"/>
      <c r="P78" s="162"/>
      <c r="Q78" s="162"/>
      <c r="R78" s="163"/>
      <c r="S78" s="155"/>
      <c r="T78" s="155"/>
      <c r="U78" s="162"/>
      <c r="V78" s="124"/>
      <c r="W78" s="140"/>
      <c r="X78" s="149"/>
      <c r="Y78" s="551" t="str">
        <f t="shared" ref="Y78:Y98" si="28">B11</f>
        <v>Brighton &amp; Hove</v>
      </c>
      <c r="Z78" s="349" t="e">
        <f t="shared" ref="Z78:Z100" si="29">IF(Y78=$Z$4,I11,#N/A)</f>
        <v>#N/A</v>
      </c>
      <c r="AA78" s="349" t="e">
        <f t="shared" ref="AA78:AA100" si="30">IF(Y78=$Z$4,U11,#N/A)</f>
        <v>#N/A</v>
      </c>
      <c r="AB78" s="191"/>
      <c r="AC78" s="192"/>
      <c r="AD78" s="192"/>
      <c r="AE78" s="194"/>
      <c r="AF78" s="185"/>
      <c r="AG78" s="185"/>
      <c r="AH78" s="185"/>
      <c r="AI78" s="185"/>
      <c r="AJ78" s="199"/>
      <c r="AK78" s="156"/>
    </row>
    <row r="79" spans="1:54" s="89" customFormat="1" ht="12.75" customHeight="1" x14ac:dyDescent="0.2">
      <c r="A79" s="123"/>
      <c r="B79" s="355"/>
      <c r="C79" s="355"/>
      <c r="D79" s="355"/>
      <c r="E79" s="355"/>
      <c r="F79" s="355"/>
      <c r="G79" s="355"/>
      <c r="H79" s="355"/>
      <c r="I79" s="98"/>
      <c r="J79" s="98"/>
      <c r="K79" s="162"/>
      <c r="L79" s="162"/>
      <c r="M79" s="162"/>
      <c r="N79" s="162"/>
      <c r="O79" s="162"/>
      <c r="P79" s="162"/>
      <c r="Q79" s="162"/>
      <c r="R79" s="163"/>
      <c r="S79" s="155"/>
      <c r="T79" s="155"/>
      <c r="U79" s="162"/>
      <c r="V79" s="124"/>
      <c r="W79" s="140"/>
      <c r="X79" s="149"/>
      <c r="Y79" s="551" t="str">
        <f t="shared" si="28"/>
        <v>Buckinghamshire</v>
      </c>
      <c r="Z79" s="349" t="e">
        <f t="shared" si="29"/>
        <v>#N/A</v>
      </c>
      <c r="AA79" s="349" t="e">
        <f t="shared" si="30"/>
        <v>#N/A</v>
      </c>
      <c r="AB79" s="191"/>
      <c r="AC79" s="192"/>
      <c r="AD79" s="192"/>
      <c r="AE79" s="194"/>
      <c r="AF79" s="185"/>
      <c r="AG79" s="185"/>
      <c r="AH79" s="185"/>
      <c r="AI79" s="185"/>
      <c r="AJ79" s="199"/>
      <c r="AK79" s="156"/>
    </row>
    <row r="80" spans="1:54" s="89" customFormat="1" ht="12.75" customHeight="1" x14ac:dyDescent="0.2">
      <c r="A80" s="123"/>
      <c r="B80" s="355"/>
      <c r="C80" s="355"/>
      <c r="D80" s="355"/>
      <c r="E80" s="355"/>
      <c r="F80" s="355"/>
      <c r="G80" s="355"/>
      <c r="H80" s="355"/>
      <c r="I80" s="98"/>
      <c r="J80" s="98"/>
      <c r="K80" s="162"/>
      <c r="L80" s="162"/>
      <c r="M80" s="162"/>
      <c r="N80" s="162"/>
      <c r="O80" s="162"/>
      <c r="P80" s="162"/>
      <c r="Q80" s="162"/>
      <c r="R80" s="163"/>
      <c r="S80" s="155"/>
      <c r="T80" s="155"/>
      <c r="U80" s="162"/>
      <c r="V80" s="124"/>
      <c r="W80" s="140"/>
      <c r="X80" s="149"/>
      <c r="Y80" s="551" t="str">
        <f t="shared" si="28"/>
        <v>East Sussex</v>
      </c>
      <c r="Z80" s="349" t="e">
        <f t="shared" si="29"/>
        <v>#N/A</v>
      </c>
      <c r="AA80" s="349" t="e">
        <f t="shared" si="30"/>
        <v>#N/A</v>
      </c>
      <c r="AB80" s="191"/>
      <c r="AC80" s="192"/>
      <c r="AD80" s="192"/>
      <c r="AE80" s="194"/>
      <c r="AF80" s="185"/>
      <c r="AG80" s="185"/>
      <c r="AH80" s="185"/>
      <c r="AI80" s="185"/>
      <c r="AJ80" s="199"/>
      <c r="AK80" s="156"/>
    </row>
    <row r="81" spans="1:45" s="89" customFormat="1" ht="12.75" customHeight="1" x14ac:dyDescent="0.2">
      <c r="A81" s="123"/>
      <c r="B81" s="355"/>
      <c r="C81" s="355"/>
      <c r="D81" s="355"/>
      <c r="E81" s="355"/>
      <c r="F81" s="355"/>
      <c r="G81" s="355"/>
      <c r="H81" s="355"/>
      <c r="I81" s="98"/>
      <c r="J81" s="98"/>
      <c r="K81" s="162"/>
      <c r="L81" s="162"/>
      <c r="M81" s="162"/>
      <c r="N81" s="162"/>
      <c r="O81" s="162"/>
      <c r="P81" s="162"/>
      <c r="Q81" s="162"/>
      <c r="R81" s="163"/>
      <c r="S81" s="155"/>
      <c r="T81" s="155"/>
      <c r="U81" s="162"/>
      <c r="V81" s="124"/>
      <c r="W81" s="140"/>
      <c r="X81" s="149"/>
      <c r="Y81" s="551" t="str">
        <f t="shared" si="28"/>
        <v>Hampshire</v>
      </c>
      <c r="Z81" s="349" t="e">
        <f t="shared" si="29"/>
        <v>#N/A</v>
      </c>
      <c r="AA81" s="349" t="e">
        <f t="shared" si="30"/>
        <v>#N/A</v>
      </c>
      <c r="AB81" s="191"/>
      <c r="AC81" s="192"/>
      <c r="AD81" s="192"/>
      <c r="AE81" s="194"/>
      <c r="AF81" s="185"/>
      <c r="AG81" s="185"/>
      <c r="AH81" s="185"/>
      <c r="AI81" s="185"/>
      <c r="AJ81" s="199"/>
      <c r="AK81" s="156"/>
      <c r="AS81" s="89" t="s">
        <v>103</v>
      </c>
    </row>
    <row r="82" spans="1:45" s="89" customFormat="1" ht="12.75" customHeight="1" x14ac:dyDescent="0.2">
      <c r="A82" s="123"/>
      <c r="B82" s="355"/>
      <c r="C82" s="355"/>
      <c r="D82" s="355"/>
      <c r="E82" s="355"/>
      <c r="F82" s="355"/>
      <c r="G82" s="355"/>
      <c r="H82" s="355"/>
      <c r="I82" s="98"/>
      <c r="J82" s="98"/>
      <c r="K82" s="162"/>
      <c r="L82" s="162"/>
      <c r="M82" s="162"/>
      <c r="N82" s="162"/>
      <c r="O82" s="162"/>
      <c r="P82" s="162"/>
      <c r="Q82" s="162"/>
      <c r="R82" s="163"/>
      <c r="S82" s="155"/>
      <c r="T82" s="155"/>
      <c r="U82" s="162"/>
      <c r="V82" s="124"/>
      <c r="W82" s="140"/>
      <c r="X82" s="149"/>
      <c r="Y82" s="551" t="str">
        <f t="shared" si="28"/>
        <v>Isle of Wight</v>
      </c>
      <c r="Z82" s="349" t="e">
        <f t="shared" si="29"/>
        <v>#N/A</v>
      </c>
      <c r="AA82" s="349" t="e">
        <f t="shared" si="30"/>
        <v>#N/A</v>
      </c>
      <c r="AB82" s="191"/>
      <c r="AC82" s="192"/>
      <c r="AD82" s="192"/>
      <c r="AE82" s="194"/>
      <c r="AF82" s="185"/>
      <c r="AG82" s="185"/>
      <c r="AH82" s="185"/>
      <c r="AI82" s="185"/>
      <c r="AJ82" s="199"/>
      <c r="AK82" s="156"/>
    </row>
    <row r="83" spans="1:45" s="89" customFormat="1" ht="12.75" customHeight="1" x14ac:dyDescent="0.2">
      <c r="A83" s="123"/>
      <c r="B83" s="355"/>
      <c r="C83" s="355"/>
      <c r="D83" s="355"/>
      <c r="E83" s="355"/>
      <c r="F83" s="355"/>
      <c r="G83" s="355"/>
      <c r="H83" s="355"/>
      <c r="I83" s="98"/>
      <c r="J83" s="98"/>
      <c r="K83" s="162"/>
      <c r="L83" s="162"/>
      <c r="M83" s="162"/>
      <c r="N83" s="162"/>
      <c r="O83" s="162"/>
      <c r="P83" s="162"/>
      <c r="Q83" s="162"/>
      <c r="R83" s="163"/>
      <c r="S83" s="155"/>
      <c r="T83" s="155"/>
      <c r="U83" s="162"/>
      <c r="V83" s="124"/>
      <c r="W83" s="140"/>
      <c r="X83" s="149"/>
      <c r="Y83" s="551" t="str">
        <f t="shared" si="28"/>
        <v>Kent</v>
      </c>
      <c r="Z83" s="349" t="e">
        <f t="shared" si="29"/>
        <v>#N/A</v>
      </c>
      <c r="AA83" s="349" t="e">
        <f t="shared" si="30"/>
        <v>#N/A</v>
      </c>
      <c r="AB83" s="191"/>
      <c r="AC83" s="192"/>
      <c r="AD83" s="192"/>
      <c r="AE83" s="194"/>
      <c r="AF83" s="185"/>
      <c r="AG83" s="185"/>
      <c r="AH83" s="185"/>
      <c r="AI83" s="185"/>
      <c r="AJ83" s="199"/>
      <c r="AK83" s="156"/>
    </row>
    <row r="84" spans="1:45" s="89" customFormat="1" ht="12.75" customHeight="1" x14ac:dyDescent="0.2">
      <c r="A84" s="123"/>
      <c r="B84" s="355"/>
      <c r="C84" s="355"/>
      <c r="D84" s="355"/>
      <c r="E84" s="355"/>
      <c r="F84" s="355"/>
      <c r="G84" s="355"/>
      <c r="H84" s="355"/>
      <c r="I84" s="98"/>
      <c r="J84" s="98"/>
      <c r="K84" s="162"/>
      <c r="L84" s="162"/>
      <c r="M84" s="162"/>
      <c r="N84" s="162"/>
      <c r="O84" s="162"/>
      <c r="P84" s="162"/>
      <c r="Q84" s="162"/>
      <c r="R84" s="163"/>
      <c r="S84" s="155"/>
      <c r="T84" s="155"/>
      <c r="U84" s="162"/>
      <c r="V84" s="124"/>
      <c r="W84" s="140"/>
      <c r="X84" s="149"/>
      <c r="Y84" s="551" t="str">
        <f t="shared" si="28"/>
        <v>Medway</v>
      </c>
      <c r="Z84" s="349" t="e">
        <f t="shared" si="29"/>
        <v>#N/A</v>
      </c>
      <c r="AA84" s="349" t="e">
        <f t="shared" si="30"/>
        <v>#N/A</v>
      </c>
      <c r="AB84" s="191"/>
      <c r="AC84" s="192"/>
      <c r="AD84" s="192"/>
      <c r="AE84" s="194"/>
      <c r="AF84" s="185"/>
      <c r="AG84" s="185"/>
      <c r="AH84" s="185"/>
      <c r="AI84" s="185"/>
      <c r="AJ84" s="199"/>
      <c r="AK84" s="156"/>
    </row>
    <row r="85" spans="1:45" s="89" customFormat="1" ht="12.75" customHeight="1" x14ac:dyDescent="0.2">
      <c r="A85" s="123"/>
      <c r="B85" s="355"/>
      <c r="C85" s="355"/>
      <c r="D85" s="355"/>
      <c r="E85" s="355"/>
      <c r="F85" s="355"/>
      <c r="G85" s="355"/>
      <c r="H85" s="355"/>
      <c r="I85" s="98"/>
      <c r="J85" s="98"/>
      <c r="K85" s="162"/>
      <c r="L85" s="162"/>
      <c r="M85" s="162"/>
      <c r="N85" s="162"/>
      <c r="O85" s="162"/>
      <c r="P85" s="162"/>
      <c r="Q85" s="162"/>
      <c r="R85" s="163"/>
      <c r="S85" s="155"/>
      <c r="T85" s="155"/>
      <c r="U85" s="162"/>
      <c r="V85" s="124"/>
      <c r="W85" s="140"/>
      <c r="X85" s="149"/>
      <c r="Y85" s="551" t="str">
        <f t="shared" si="28"/>
        <v>Milton Keynes</v>
      </c>
      <c r="Z85" s="349" t="e">
        <f t="shared" si="29"/>
        <v>#N/A</v>
      </c>
      <c r="AA85" s="349" t="e">
        <f t="shared" si="30"/>
        <v>#N/A</v>
      </c>
      <c r="AB85" s="191"/>
      <c r="AC85" s="192"/>
      <c r="AD85" s="192"/>
      <c r="AE85" s="194"/>
      <c r="AF85" s="185"/>
      <c r="AG85" s="185"/>
      <c r="AH85" s="185"/>
      <c r="AI85" s="185"/>
      <c r="AJ85" s="199"/>
      <c r="AK85" s="156"/>
    </row>
    <row r="86" spans="1:45" s="89" customFormat="1" ht="12.75" customHeight="1" x14ac:dyDescent="0.2">
      <c r="A86" s="123"/>
      <c r="B86" s="355"/>
      <c r="C86" s="355"/>
      <c r="D86" s="355"/>
      <c r="E86" s="355"/>
      <c r="F86" s="355"/>
      <c r="G86" s="355"/>
      <c r="H86" s="355"/>
      <c r="I86" s="98"/>
      <c r="J86" s="98"/>
      <c r="K86" s="162"/>
      <c r="L86" s="162"/>
      <c r="M86" s="162"/>
      <c r="N86" s="162"/>
      <c r="O86" s="162"/>
      <c r="P86" s="162"/>
      <c r="Q86" s="162"/>
      <c r="R86" s="163"/>
      <c r="S86" s="155"/>
      <c r="T86" s="155"/>
      <c r="U86" s="162"/>
      <c r="V86" s="124"/>
      <c r="W86" s="140"/>
      <c r="X86" s="149"/>
      <c r="Y86" s="551" t="str">
        <f t="shared" si="28"/>
        <v>Oxfordshire</v>
      </c>
      <c r="Z86" s="349" t="e">
        <f t="shared" si="29"/>
        <v>#N/A</v>
      </c>
      <c r="AA86" s="349" t="e">
        <f t="shared" si="30"/>
        <v>#N/A</v>
      </c>
      <c r="AB86" s="191"/>
      <c r="AC86" s="192"/>
      <c r="AD86" s="192"/>
      <c r="AE86" s="194"/>
      <c r="AF86" s="185"/>
      <c r="AG86" s="185"/>
      <c r="AH86" s="185"/>
      <c r="AI86" s="185"/>
      <c r="AJ86" s="199"/>
      <c r="AK86" s="156"/>
    </row>
    <row r="87" spans="1:45" s="89" customFormat="1" ht="12.75" customHeight="1" x14ac:dyDescent="0.2">
      <c r="A87" s="123"/>
      <c r="B87" s="355"/>
      <c r="C87" s="355"/>
      <c r="D87" s="355"/>
      <c r="E87" s="355"/>
      <c r="F87" s="355"/>
      <c r="G87" s="355"/>
      <c r="H87" s="355"/>
      <c r="I87" s="98"/>
      <c r="J87" s="98"/>
      <c r="K87" s="162"/>
      <c r="L87" s="162"/>
      <c r="M87" s="162"/>
      <c r="N87" s="162"/>
      <c r="O87" s="162"/>
      <c r="P87" s="162"/>
      <c r="Q87" s="162"/>
      <c r="R87" s="163"/>
      <c r="S87" s="155"/>
      <c r="T87" s="155"/>
      <c r="U87" s="162"/>
      <c r="V87" s="124"/>
      <c r="W87" s="140"/>
      <c r="X87" s="149"/>
      <c r="Y87" s="551" t="str">
        <f t="shared" si="28"/>
        <v>Portsmouth</v>
      </c>
      <c r="Z87" s="349" t="e">
        <f t="shared" si="29"/>
        <v>#N/A</v>
      </c>
      <c r="AA87" s="349" t="e">
        <f t="shared" si="30"/>
        <v>#N/A</v>
      </c>
      <c r="AB87" s="191"/>
      <c r="AC87" s="192"/>
      <c r="AD87" s="192"/>
      <c r="AE87" s="194"/>
      <c r="AF87" s="185"/>
      <c r="AG87" s="185"/>
      <c r="AH87" s="185"/>
      <c r="AI87" s="185"/>
      <c r="AJ87" s="199"/>
      <c r="AK87" s="156"/>
    </row>
    <row r="88" spans="1:45" s="89" customFormat="1" ht="12.75" customHeight="1" x14ac:dyDescent="0.2">
      <c r="A88" s="123"/>
      <c r="B88" s="355"/>
      <c r="C88" s="355"/>
      <c r="D88" s="355"/>
      <c r="E88" s="355"/>
      <c r="F88" s="355"/>
      <c r="G88" s="355"/>
      <c r="H88" s="355"/>
      <c r="I88" s="98"/>
      <c r="J88" s="98"/>
      <c r="K88" s="162"/>
      <c r="L88" s="162"/>
      <c r="M88" s="162"/>
      <c r="N88" s="162"/>
      <c r="O88" s="162"/>
      <c r="P88" s="162"/>
      <c r="Q88" s="162"/>
      <c r="R88" s="163"/>
      <c r="S88" s="155"/>
      <c r="T88" s="155"/>
      <c r="U88" s="162"/>
      <c r="V88" s="124"/>
      <c r="W88" s="140"/>
      <c r="X88" s="149"/>
      <c r="Y88" s="551" t="str">
        <f t="shared" si="28"/>
        <v>Reading</v>
      </c>
      <c r="Z88" s="349" t="e">
        <f t="shared" si="29"/>
        <v>#N/A</v>
      </c>
      <c r="AA88" s="349" t="e">
        <f t="shared" si="30"/>
        <v>#N/A</v>
      </c>
      <c r="AB88" s="191"/>
      <c r="AC88" s="192"/>
      <c r="AD88" s="192"/>
      <c r="AE88" s="194"/>
      <c r="AF88" s="185"/>
      <c r="AG88" s="185"/>
      <c r="AH88" s="185"/>
      <c r="AI88" s="185"/>
      <c r="AJ88" s="199"/>
      <c r="AK88" s="156"/>
    </row>
    <row r="89" spans="1:45" s="89" customFormat="1" ht="12.75" customHeight="1" x14ac:dyDescent="0.2">
      <c r="A89" s="123"/>
      <c r="B89" s="355"/>
      <c r="C89" s="355"/>
      <c r="D89" s="355"/>
      <c r="E89" s="355"/>
      <c r="F89" s="355"/>
      <c r="G89" s="355"/>
      <c r="H89" s="355"/>
      <c r="I89" s="98"/>
      <c r="J89" s="98"/>
      <c r="K89" s="162"/>
      <c r="L89" s="162"/>
      <c r="M89" s="162"/>
      <c r="N89" s="162"/>
      <c r="O89" s="162"/>
      <c r="P89" s="162"/>
      <c r="Q89" s="162"/>
      <c r="R89" s="163"/>
      <c r="S89" s="155"/>
      <c r="T89" s="155"/>
      <c r="U89" s="162"/>
      <c r="V89" s="124"/>
      <c r="W89" s="140"/>
      <c r="X89" s="149"/>
      <c r="Y89" s="551" t="str">
        <f t="shared" si="28"/>
        <v>Slough</v>
      </c>
      <c r="Z89" s="349" t="e">
        <f t="shared" si="29"/>
        <v>#N/A</v>
      </c>
      <c r="AA89" s="349" t="e">
        <f t="shared" si="30"/>
        <v>#N/A</v>
      </c>
      <c r="AB89" s="191"/>
      <c r="AC89" s="192"/>
      <c r="AD89" s="192"/>
      <c r="AE89" s="194"/>
      <c r="AF89" s="185"/>
      <c r="AG89" s="185"/>
      <c r="AH89" s="185"/>
      <c r="AI89" s="185"/>
      <c r="AJ89" s="199"/>
      <c r="AK89" s="156"/>
    </row>
    <row r="90" spans="1:45" s="89" customFormat="1" ht="12.75" customHeight="1" x14ac:dyDescent="0.2">
      <c r="A90" s="123"/>
      <c r="B90" s="355"/>
      <c r="C90" s="355"/>
      <c r="D90" s="355"/>
      <c r="E90" s="355"/>
      <c r="F90" s="355"/>
      <c r="G90" s="355"/>
      <c r="H90" s="355"/>
      <c r="I90" s="98"/>
      <c r="J90" s="98"/>
      <c r="K90" s="162"/>
      <c r="L90" s="162"/>
      <c r="M90" s="162"/>
      <c r="N90" s="162"/>
      <c r="O90" s="162"/>
      <c r="P90" s="162"/>
      <c r="Q90" s="162"/>
      <c r="R90" s="163"/>
      <c r="S90" s="155"/>
      <c r="T90" s="155"/>
      <c r="U90" s="162"/>
      <c r="V90" s="124"/>
      <c r="W90" s="140"/>
      <c r="X90" s="149"/>
      <c r="Y90" s="551" t="str">
        <f t="shared" si="28"/>
        <v>Somerset</v>
      </c>
      <c r="Z90" s="349" t="e">
        <f t="shared" si="29"/>
        <v>#N/A</v>
      </c>
      <c r="AA90" s="349" t="e">
        <f t="shared" si="30"/>
        <v>#N/A</v>
      </c>
      <c r="AB90" s="191"/>
      <c r="AC90" s="192"/>
      <c r="AD90" s="192"/>
      <c r="AE90" s="194"/>
      <c r="AF90" s="185"/>
      <c r="AG90" s="185"/>
      <c r="AH90" s="185"/>
      <c r="AI90" s="185"/>
      <c r="AJ90" s="199"/>
      <c r="AK90" s="156"/>
    </row>
    <row r="91" spans="1:45" s="89" customFormat="1" ht="12.75" customHeight="1" x14ac:dyDescent="0.2">
      <c r="A91" s="123"/>
      <c r="B91" s="355"/>
      <c r="C91" s="355"/>
      <c r="D91" s="355"/>
      <c r="E91" s="355"/>
      <c r="F91" s="355"/>
      <c r="G91" s="355"/>
      <c r="H91" s="355"/>
      <c r="I91" s="98"/>
      <c r="J91" s="98"/>
      <c r="K91" s="162"/>
      <c r="L91" s="162"/>
      <c r="M91" s="162"/>
      <c r="N91" s="162"/>
      <c r="O91" s="162"/>
      <c r="P91" s="162"/>
      <c r="Q91" s="162"/>
      <c r="R91" s="163"/>
      <c r="S91" s="155"/>
      <c r="T91" s="155"/>
      <c r="U91" s="162"/>
      <c r="V91" s="124"/>
      <c r="W91" s="140"/>
      <c r="X91" s="149"/>
      <c r="Y91" s="551" t="str">
        <f t="shared" si="28"/>
        <v>Southampton</v>
      </c>
      <c r="Z91" s="349" t="e">
        <f t="shared" si="29"/>
        <v>#N/A</v>
      </c>
      <c r="AA91" s="349" t="e">
        <f t="shared" si="30"/>
        <v>#N/A</v>
      </c>
      <c r="AB91" s="191"/>
      <c r="AC91" s="192"/>
      <c r="AD91" s="192"/>
      <c r="AE91" s="194"/>
      <c r="AF91" s="185"/>
      <c r="AG91" s="185"/>
      <c r="AH91" s="185"/>
      <c r="AI91" s="185"/>
      <c r="AJ91" s="199"/>
      <c r="AK91" s="156"/>
    </row>
    <row r="92" spans="1:45" s="89" customFormat="1" ht="12.75" customHeight="1" x14ac:dyDescent="0.2">
      <c r="A92" s="286"/>
      <c r="B92" s="355"/>
      <c r="C92" s="355"/>
      <c r="D92" s="355"/>
      <c r="E92" s="355"/>
      <c r="F92" s="355"/>
      <c r="G92" s="355"/>
      <c r="H92" s="355"/>
      <c r="I92" s="98"/>
      <c r="J92" s="98"/>
      <c r="K92" s="162"/>
      <c r="L92" s="162"/>
      <c r="M92" s="162"/>
      <c r="N92" s="162"/>
      <c r="O92" s="162"/>
      <c r="P92" s="162"/>
      <c r="Q92" s="162"/>
      <c r="R92" s="163"/>
      <c r="S92" s="155"/>
      <c r="T92" s="155"/>
      <c r="U92" s="162"/>
      <c r="V92" s="124"/>
      <c r="W92" s="140"/>
      <c r="X92" s="149"/>
      <c r="Y92" s="551" t="str">
        <f t="shared" si="28"/>
        <v>Surrey</v>
      </c>
      <c r="Z92" s="349" t="e">
        <f t="shared" si="29"/>
        <v>#N/A</v>
      </c>
      <c r="AA92" s="349" t="e">
        <f t="shared" si="30"/>
        <v>#N/A</v>
      </c>
      <c r="AB92" s="191"/>
      <c r="AC92" s="192"/>
      <c r="AD92" s="192"/>
      <c r="AE92" s="194"/>
      <c r="AF92" s="185"/>
      <c r="AG92" s="185"/>
      <c r="AH92" s="185"/>
      <c r="AI92" s="185"/>
      <c r="AJ92" s="199"/>
      <c r="AK92" s="156"/>
    </row>
    <row r="93" spans="1:45" s="89" customFormat="1" ht="12.75" customHeight="1" x14ac:dyDescent="0.2">
      <c r="A93" s="286"/>
      <c r="B93" s="355"/>
      <c r="C93" s="355"/>
      <c r="D93" s="355"/>
      <c r="E93" s="355"/>
      <c r="F93" s="355"/>
      <c r="G93" s="355"/>
      <c r="H93" s="355"/>
      <c r="I93" s="98"/>
      <c r="J93" s="98"/>
      <c r="K93" s="162"/>
      <c r="L93" s="162"/>
      <c r="M93" s="162"/>
      <c r="N93" s="162"/>
      <c r="O93" s="162"/>
      <c r="P93" s="162"/>
      <c r="Q93" s="162"/>
      <c r="R93" s="163"/>
      <c r="S93" s="155"/>
      <c r="T93" s="155"/>
      <c r="U93" s="162"/>
      <c r="V93" s="124"/>
      <c r="W93" s="140"/>
      <c r="X93" s="149"/>
      <c r="Y93" s="551" t="str">
        <f t="shared" si="28"/>
        <v>Swindon</v>
      </c>
      <c r="Z93" s="349" t="e">
        <f t="shared" si="29"/>
        <v>#N/A</v>
      </c>
      <c r="AA93" s="349" t="e">
        <f t="shared" si="30"/>
        <v>#N/A</v>
      </c>
      <c r="AB93" s="191"/>
      <c r="AC93" s="192"/>
      <c r="AD93" s="192"/>
      <c r="AE93" s="194"/>
      <c r="AF93" s="185"/>
      <c r="AG93" s="185"/>
      <c r="AH93" s="185"/>
      <c r="AI93" s="185"/>
      <c r="AJ93" s="199"/>
      <c r="AK93" s="156"/>
    </row>
    <row r="94" spans="1:45" s="89" customFormat="1" ht="12.75" customHeight="1" x14ac:dyDescent="0.2">
      <c r="A94" s="123"/>
      <c r="B94" s="355"/>
      <c r="C94" s="355"/>
      <c r="D94" s="355"/>
      <c r="E94" s="355"/>
      <c r="F94" s="355"/>
      <c r="G94" s="355"/>
      <c r="H94" s="355"/>
      <c r="I94" s="98"/>
      <c r="J94" s="98"/>
      <c r="K94" s="162"/>
      <c r="L94" s="162"/>
      <c r="M94" s="162"/>
      <c r="N94" s="162"/>
      <c r="O94" s="162"/>
      <c r="P94" s="162"/>
      <c r="Q94" s="162"/>
      <c r="R94" s="163"/>
      <c r="S94" s="155"/>
      <c r="T94" s="155"/>
      <c r="U94" s="162"/>
      <c r="V94" s="124"/>
      <c r="W94" s="140"/>
      <c r="X94" s="149"/>
      <c r="Y94" s="551" t="str">
        <f t="shared" si="28"/>
        <v>Torbay</v>
      </c>
      <c r="Z94" s="349" t="e">
        <f t="shared" si="29"/>
        <v>#N/A</v>
      </c>
      <c r="AA94" s="349" t="e">
        <f t="shared" si="30"/>
        <v>#N/A</v>
      </c>
      <c r="AB94" s="191"/>
      <c r="AC94" s="192"/>
      <c r="AD94" s="192"/>
      <c r="AE94" s="194"/>
      <c r="AF94" s="199"/>
      <c r="AG94" s="185"/>
      <c r="AH94" s="185"/>
      <c r="AI94" s="185"/>
      <c r="AJ94" s="199"/>
      <c r="AK94" s="156"/>
    </row>
    <row r="95" spans="1:45" s="89" customFormat="1" ht="12.75" customHeight="1" x14ac:dyDescent="0.2">
      <c r="A95" s="123"/>
      <c r="B95" s="355"/>
      <c r="C95" s="355"/>
      <c r="D95" s="355"/>
      <c r="E95" s="355"/>
      <c r="F95" s="355"/>
      <c r="G95" s="355"/>
      <c r="H95" s="355"/>
      <c r="I95" s="98"/>
      <c r="J95" s="98"/>
      <c r="K95" s="162"/>
      <c r="L95" s="162"/>
      <c r="M95" s="162"/>
      <c r="N95" s="162"/>
      <c r="O95" s="162"/>
      <c r="P95" s="162"/>
      <c r="Q95" s="162"/>
      <c r="R95" s="163"/>
      <c r="S95" s="155"/>
      <c r="T95" s="155"/>
      <c r="U95" s="162"/>
      <c r="V95" s="124"/>
      <c r="W95" s="140"/>
      <c r="X95" s="149"/>
      <c r="Y95" s="551" t="str">
        <f t="shared" si="28"/>
        <v>West Berkshire</v>
      </c>
      <c r="Z95" s="349" t="e">
        <f t="shared" si="29"/>
        <v>#N/A</v>
      </c>
      <c r="AA95" s="349" t="e">
        <f t="shared" si="30"/>
        <v>#N/A</v>
      </c>
      <c r="AB95" s="191"/>
      <c r="AC95" s="192"/>
      <c r="AD95" s="192"/>
      <c r="AE95" s="194"/>
      <c r="AF95" s="199"/>
      <c r="AG95" s="185"/>
      <c r="AH95" s="185"/>
      <c r="AI95" s="185"/>
      <c r="AJ95" s="199"/>
      <c r="AK95" s="156"/>
    </row>
    <row r="96" spans="1:45" s="89" customFormat="1" ht="12.75" customHeight="1" x14ac:dyDescent="0.2">
      <c r="A96" s="123"/>
      <c r="B96" s="355"/>
      <c r="C96" s="355"/>
      <c r="D96" s="355"/>
      <c r="E96" s="355"/>
      <c r="F96" s="355"/>
      <c r="G96" s="355"/>
      <c r="H96" s="355"/>
      <c r="I96" s="98"/>
      <c r="J96" s="98"/>
      <c r="K96" s="162"/>
      <c r="L96" s="162"/>
      <c r="M96" s="162"/>
      <c r="N96" s="162"/>
      <c r="O96" s="162"/>
      <c r="P96" s="162"/>
      <c r="Q96" s="162"/>
      <c r="R96" s="163"/>
      <c r="S96" s="155"/>
      <c r="T96" s="155"/>
      <c r="U96" s="162"/>
      <c r="V96" s="124"/>
      <c r="W96" s="140"/>
      <c r="X96" s="149"/>
      <c r="Y96" s="551" t="str">
        <f t="shared" si="28"/>
        <v>West Sussex</v>
      </c>
      <c r="Z96" s="349" t="e">
        <f t="shared" si="29"/>
        <v>#N/A</v>
      </c>
      <c r="AA96" s="349" t="e">
        <f t="shared" si="30"/>
        <v>#N/A</v>
      </c>
      <c r="AB96" s="191"/>
      <c r="AC96" s="192"/>
      <c r="AD96" s="192"/>
      <c r="AE96" s="194"/>
      <c r="AF96" s="199"/>
      <c r="AG96" s="199"/>
      <c r="AH96" s="199"/>
      <c r="AI96" s="185"/>
      <c r="AJ96" s="199"/>
      <c r="AK96" s="156"/>
    </row>
    <row r="97" spans="1:46" s="89" customFormat="1" ht="12.75" customHeight="1" x14ac:dyDescent="0.2">
      <c r="A97" s="123"/>
      <c r="B97" s="355"/>
      <c r="C97" s="355"/>
      <c r="D97" s="355"/>
      <c r="E97" s="355"/>
      <c r="F97" s="355"/>
      <c r="G97" s="355"/>
      <c r="H97" s="355"/>
      <c r="I97" s="98"/>
      <c r="J97" s="98"/>
      <c r="K97" s="162"/>
      <c r="L97" s="162"/>
      <c r="M97" s="162"/>
      <c r="N97" s="162"/>
      <c r="O97" s="162"/>
      <c r="P97" s="162"/>
      <c r="Q97" s="162"/>
      <c r="R97" s="163"/>
      <c r="S97" s="155"/>
      <c r="T97" s="155"/>
      <c r="U97" s="162"/>
      <c r="V97" s="124"/>
      <c r="W97" s="140"/>
      <c r="X97" s="149"/>
      <c r="Y97" s="551" t="str">
        <f t="shared" si="28"/>
        <v>Windsor &amp; Maidenhead</v>
      </c>
      <c r="Z97" s="349" t="e">
        <f t="shared" si="29"/>
        <v>#N/A</v>
      </c>
      <c r="AA97" s="349" t="e">
        <f t="shared" si="30"/>
        <v>#N/A</v>
      </c>
      <c r="AB97" s="191"/>
      <c r="AC97" s="192"/>
      <c r="AD97" s="192"/>
      <c r="AE97" s="194"/>
      <c r="AF97" s="199"/>
      <c r="AG97" s="199"/>
      <c r="AH97" s="199"/>
      <c r="AI97" s="185"/>
      <c r="AJ97" s="199"/>
      <c r="AK97" s="156"/>
    </row>
    <row r="98" spans="1:46" s="89" customFormat="1" ht="12.75" customHeight="1" x14ac:dyDescent="0.2">
      <c r="A98" s="123"/>
      <c r="B98" s="355"/>
      <c r="C98" s="355"/>
      <c r="D98" s="355"/>
      <c r="E98" s="355"/>
      <c r="F98" s="355"/>
      <c r="G98" s="355"/>
      <c r="H98" s="355"/>
      <c r="I98" s="98"/>
      <c r="J98" s="98"/>
      <c r="K98" s="164"/>
      <c r="L98" s="164"/>
      <c r="M98" s="164"/>
      <c r="N98" s="164"/>
      <c r="O98" s="164"/>
      <c r="P98" s="164"/>
      <c r="Q98" s="164"/>
      <c r="R98" s="165"/>
      <c r="S98" s="155"/>
      <c r="T98" s="155"/>
      <c r="U98" s="166"/>
      <c r="V98" s="124"/>
      <c r="W98" s="140"/>
      <c r="X98" s="149"/>
      <c r="Y98" s="551" t="str">
        <f t="shared" si="28"/>
        <v>Wokingham</v>
      </c>
      <c r="Z98" s="349" t="e">
        <f t="shared" si="29"/>
        <v>#N/A</v>
      </c>
      <c r="AA98" s="349" t="e">
        <f t="shared" si="30"/>
        <v>#N/A</v>
      </c>
      <c r="AB98" s="191"/>
      <c r="AC98" s="192"/>
      <c r="AD98" s="192"/>
      <c r="AE98" s="194"/>
      <c r="AF98" s="199"/>
      <c r="AG98" s="199"/>
      <c r="AH98" s="199"/>
      <c r="AI98" s="185"/>
      <c r="AJ98" s="199"/>
      <c r="AK98" s="156"/>
    </row>
    <row r="99" spans="1:46" s="89" customFormat="1" ht="12.75" customHeight="1" x14ac:dyDescent="0.2">
      <c r="A99" s="123"/>
      <c r="B99" s="355"/>
      <c r="C99" s="355"/>
      <c r="D99" s="355"/>
      <c r="E99" s="355"/>
      <c r="F99" s="355"/>
      <c r="G99" s="355"/>
      <c r="H99" s="355"/>
      <c r="I99" s="98"/>
      <c r="J99" s="98"/>
      <c r="K99" s="164"/>
      <c r="L99" s="164"/>
      <c r="M99" s="164"/>
      <c r="N99" s="164"/>
      <c r="O99" s="164"/>
      <c r="P99" s="164"/>
      <c r="Q99" s="164"/>
      <c r="R99" s="165"/>
      <c r="S99" s="155"/>
      <c r="T99" s="155"/>
      <c r="U99" s="166"/>
      <c r="V99" s="124"/>
      <c r="W99" s="140"/>
      <c r="X99" s="149"/>
      <c r="Y99" s="551" t="str">
        <f>B32</f>
        <v>South East</v>
      </c>
      <c r="Z99" s="349" t="e">
        <f t="shared" si="29"/>
        <v>#N/A</v>
      </c>
      <c r="AA99" s="349" t="e">
        <f t="shared" si="30"/>
        <v>#N/A</v>
      </c>
      <c r="AB99" s="191"/>
      <c r="AC99" s="192"/>
      <c r="AD99" s="192"/>
      <c r="AE99" s="194"/>
      <c r="AF99" s="199"/>
      <c r="AG99" s="199"/>
      <c r="AH99" s="199"/>
      <c r="AI99" s="185"/>
      <c r="AJ99" s="199"/>
      <c r="AK99" s="156"/>
    </row>
    <row r="100" spans="1:46" s="89" customFormat="1" ht="11.25" customHeight="1" x14ac:dyDescent="0.2">
      <c r="A100" s="286"/>
      <c r="B100" s="355"/>
      <c r="C100" s="355"/>
      <c r="D100" s="355"/>
      <c r="E100" s="355"/>
      <c r="F100" s="355"/>
      <c r="G100" s="355"/>
      <c r="H100" s="355"/>
      <c r="I100" s="98"/>
      <c r="J100" s="98"/>
      <c r="K100" s="164"/>
      <c r="L100" s="164"/>
      <c r="M100" s="164"/>
      <c r="N100" s="164"/>
      <c r="O100" s="164"/>
      <c r="P100" s="164"/>
      <c r="Q100" s="164"/>
      <c r="R100" s="165"/>
      <c r="S100" s="155"/>
      <c r="T100" s="155"/>
      <c r="U100" s="166"/>
      <c r="V100" s="124"/>
      <c r="W100" s="140"/>
      <c r="X100" s="149"/>
      <c r="Y100" s="551" t="str">
        <f>B33</f>
        <v>England</v>
      </c>
      <c r="Z100" s="349" t="e">
        <f t="shared" si="29"/>
        <v>#N/A</v>
      </c>
      <c r="AA100" s="349" t="e">
        <f t="shared" si="30"/>
        <v>#N/A</v>
      </c>
      <c r="AB100" s="191"/>
      <c r="AC100" s="192"/>
      <c r="AD100" s="192"/>
      <c r="AE100" s="194"/>
      <c r="AF100" s="199"/>
      <c r="AG100" s="199"/>
      <c r="AH100" s="199"/>
      <c r="AI100" s="185"/>
      <c r="AJ100" s="199"/>
      <c r="AK100" s="156"/>
    </row>
    <row r="101" spans="1:46" s="83" customFormat="1" ht="42" customHeight="1" x14ac:dyDescent="0.2">
      <c r="A101" s="213"/>
      <c r="B101" s="355"/>
      <c r="C101" s="355"/>
      <c r="D101" s="355"/>
      <c r="E101" s="355"/>
      <c r="F101" s="355"/>
      <c r="G101" s="355"/>
      <c r="H101" s="355"/>
      <c r="I101" s="362"/>
      <c r="J101" s="168"/>
      <c r="K101" s="168"/>
      <c r="L101" s="168"/>
      <c r="M101" s="168"/>
      <c r="N101" s="168"/>
      <c r="O101" s="168"/>
      <c r="P101" s="168"/>
      <c r="Q101" s="168"/>
      <c r="R101" s="137"/>
      <c r="S101" s="168"/>
      <c r="T101" s="168"/>
      <c r="U101" s="168"/>
      <c r="V101" s="119"/>
      <c r="W101" s="138"/>
      <c r="X101" s="147"/>
      <c r="AD101" s="192"/>
      <c r="AE101" s="194"/>
      <c r="AF101" s="179"/>
      <c r="AG101" s="179"/>
      <c r="AH101" s="179"/>
      <c r="AJ101" s="179"/>
      <c r="AK101" s="157"/>
    </row>
    <row r="102" spans="1:46" s="83" customFormat="1" ht="42" customHeight="1" x14ac:dyDescent="0.2">
      <c r="A102" s="213"/>
      <c r="B102" s="355"/>
      <c r="C102" s="355"/>
      <c r="D102" s="355"/>
      <c r="E102" s="355"/>
      <c r="F102" s="355"/>
      <c r="G102" s="355"/>
      <c r="H102" s="355"/>
      <c r="I102" s="362"/>
      <c r="J102" s="168"/>
      <c r="K102" s="168"/>
      <c r="L102" s="168"/>
      <c r="M102" s="168"/>
      <c r="N102" s="168"/>
      <c r="O102" s="168"/>
      <c r="P102" s="168"/>
      <c r="Q102" s="168"/>
      <c r="R102" s="137"/>
      <c r="S102" s="168"/>
      <c r="T102" s="168"/>
      <c r="U102" s="168"/>
      <c r="V102" s="119"/>
      <c r="W102" s="138"/>
      <c r="X102" s="147"/>
      <c r="Z102" s="185"/>
      <c r="AE102" s="194"/>
      <c r="AF102" s="179"/>
      <c r="AG102" s="179"/>
      <c r="AH102" s="179"/>
      <c r="AJ102" s="179"/>
      <c r="AK102" s="157"/>
    </row>
    <row r="103" spans="1:46" s="83" customFormat="1" ht="33" customHeight="1" x14ac:dyDescent="0.2">
      <c r="A103" s="213"/>
      <c r="B103" s="362"/>
      <c r="C103" s="362"/>
      <c r="D103" s="362"/>
      <c r="E103" s="362"/>
      <c r="F103" s="362"/>
      <c r="G103" s="362"/>
      <c r="H103" s="362"/>
      <c r="I103" s="362"/>
      <c r="J103" s="168"/>
      <c r="K103" s="168"/>
      <c r="L103" s="168"/>
      <c r="M103" s="168"/>
      <c r="N103" s="168"/>
      <c r="O103" s="168"/>
      <c r="P103" s="168"/>
      <c r="Q103" s="168"/>
      <c r="R103" s="137"/>
      <c r="S103" s="168"/>
      <c r="T103" s="168"/>
      <c r="U103" s="168"/>
      <c r="V103" s="119"/>
      <c r="W103" s="138"/>
      <c r="X103" s="147"/>
      <c r="Z103" s="185"/>
      <c r="AE103" s="194"/>
      <c r="AF103" s="179"/>
      <c r="AG103" s="179"/>
      <c r="AH103" s="179"/>
      <c r="AJ103" s="179"/>
      <c r="AK103" s="157"/>
    </row>
    <row r="104" spans="1:46" s="83" customFormat="1" ht="7.5" customHeight="1" x14ac:dyDescent="0.2">
      <c r="A104" s="120"/>
      <c r="B104" s="18"/>
      <c r="C104" s="18"/>
      <c r="D104" s="17"/>
      <c r="E104" s="17"/>
      <c r="F104" s="17"/>
      <c r="G104" s="17"/>
      <c r="H104" s="17"/>
      <c r="I104" s="17"/>
      <c r="J104" s="13"/>
      <c r="K104" s="19"/>
      <c r="L104" s="19"/>
      <c r="M104" s="19"/>
      <c r="N104" s="19"/>
      <c r="O104" s="19"/>
      <c r="P104" s="19"/>
      <c r="Q104" s="19"/>
      <c r="R104" s="19"/>
      <c r="S104" s="19"/>
      <c r="T104" s="19"/>
      <c r="U104" s="20"/>
      <c r="V104" s="119"/>
      <c r="W104" s="138"/>
      <c r="X104" s="147"/>
      <c r="Z104" s="185"/>
      <c r="AJ104" s="179"/>
      <c r="AK104" s="153"/>
      <c r="AL104" s="76"/>
      <c r="AM104" s="76"/>
      <c r="AN104" s="76"/>
      <c r="AO104" s="76"/>
      <c r="AP104" s="76"/>
      <c r="AQ104" s="76"/>
      <c r="AR104" s="76"/>
    </row>
    <row r="105" spans="1:46" s="83" customFormat="1" ht="15" customHeight="1" x14ac:dyDescent="0.2">
      <c r="A105" s="1399"/>
      <c r="B105" s="1421"/>
      <c r="C105" s="1421"/>
      <c r="D105" s="1421"/>
      <c r="E105" s="1421"/>
      <c r="F105" s="1421"/>
      <c r="G105" s="1421"/>
      <c r="H105" s="1421"/>
      <c r="I105" s="1421"/>
      <c r="J105" s="1421"/>
      <c r="K105" s="1421"/>
      <c r="L105" s="1421"/>
      <c r="M105" s="1421"/>
      <c r="N105" s="1421"/>
      <c r="O105" s="1421"/>
      <c r="P105" s="1421"/>
      <c r="Q105" s="1421"/>
      <c r="R105" s="1421"/>
      <c r="S105" s="1421"/>
      <c r="T105" s="1421"/>
      <c r="U105" s="1421"/>
      <c r="V105" s="1422"/>
      <c r="W105" s="138"/>
      <c r="X105" s="147"/>
      <c r="Y105" s="183"/>
      <c r="Z105" s="183"/>
      <c r="AK105" s="157"/>
      <c r="AT105" s="76"/>
    </row>
    <row r="106" spans="1:46" s="83" customFormat="1" ht="11.25" customHeight="1" x14ac:dyDescent="0.2">
      <c r="A106" s="1428" t="str">
        <f>Home!$A$40</f>
        <v>LA's provide quarterly data on the condition that it is used by the benchmarking group for internal reporting only. Please DO NOT share other LA's data with any external partners or the public</v>
      </c>
      <c r="B106" s="1429"/>
      <c r="C106" s="1429"/>
      <c r="D106" s="1429"/>
      <c r="E106" s="1429"/>
      <c r="F106" s="1429"/>
      <c r="G106" s="1429"/>
      <c r="H106" s="1429"/>
      <c r="I106" s="1430"/>
      <c r="J106" s="1429"/>
      <c r="K106" s="1429"/>
      <c r="L106" s="1429"/>
      <c r="M106" s="1429"/>
      <c r="N106" s="1429"/>
      <c r="O106" s="1429"/>
      <c r="P106" s="1431"/>
      <c r="Q106" s="1429"/>
      <c r="R106" s="1429"/>
      <c r="S106" s="1429"/>
      <c r="T106" s="1430"/>
      <c r="U106" s="1429"/>
      <c r="V106" s="1432"/>
      <c r="W106" s="138"/>
      <c r="X106" s="147"/>
      <c r="Y106" s="183"/>
      <c r="Z106" s="183"/>
      <c r="AJ106" s="179"/>
      <c r="AK106" s="156"/>
      <c r="AL106" s="89"/>
      <c r="AT106" s="76"/>
    </row>
    <row r="107" spans="1:46" ht="11.25" customHeight="1" x14ac:dyDescent="0.2">
      <c r="A107" s="114"/>
      <c r="B107" s="115"/>
      <c r="C107" s="115"/>
      <c r="D107" s="115"/>
      <c r="E107" s="115"/>
      <c r="F107" s="115"/>
      <c r="G107" s="115"/>
      <c r="H107" s="115"/>
      <c r="I107" s="115"/>
      <c r="J107" s="116"/>
      <c r="K107" s="115"/>
      <c r="L107" s="115"/>
      <c r="M107" s="115"/>
      <c r="N107" s="115"/>
      <c r="O107" s="115"/>
      <c r="P107" s="115"/>
      <c r="Q107" s="115"/>
      <c r="R107" s="115"/>
      <c r="S107" s="115"/>
      <c r="T107" s="115"/>
      <c r="U107" s="115"/>
      <c r="V107" s="117"/>
      <c r="W107" s="138"/>
      <c r="X107" s="147"/>
      <c r="Y107" s="183"/>
      <c r="Z107" s="183"/>
      <c r="AJ107" s="179"/>
      <c r="AK107" s="153"/>
    </row>
    <row r="108" spans="1:46" s="78" customFormat="1" ht="15" customHeight="1" x14ac:dyDescent="0.2">
      <c r="A108" s="121"/>
      <c r="B108" s="1573" t="s">
        <v>700</v>
      </c>
      <c r="C108" s="1573"/>
      <c r="D108" s="1573"/>
      <c r="E108" s="1573"/>
      <c r="F108" s="1573"/>
      <c r="G108" s="1573"/>
      <c r="H108" s="1573"/>
      <c r="I108" s="1573"/>
      <c r="J108" s="69"/>
      <c r="K108" s="69"/>
      <c r="L108" s="69"/>
      <c r="M108" s="69"/>
      <c r="N108" s="352"/>
      <c r="O108" s="69"/>
      <c r="P108" s="69"/>
      <c r="Q108" s="69"/>
      <c r="R108" s="69"/>
      <c r="S108" s="69"/>
      <c r="T108" s="69"/>
      <c r="U108" s="69"/>
      <c r="V108" s="122"/>
      <c r="W108" s="139"/>
      <c r="X108" s="148"/>
      <c r="Y108" s="183"/>
      <c r="Z108" s="183"/>
      <c r="AA108" s="83"/>
      <c r="AB108" s="83"/>
      <c r="AC108" s="83"/>
      <c r="AD108" s="83"/>
      <c r="AE108" s="83"/>
      <c r="AF108" s="183"/>
      <c r="AG108" s="183"/>
      <c r="AH108" s="183"/>
      <c r="AI108" s="183"/>
      <c r="AJ108" s="183"/>
      <c r="AK108" s="154"/>
    </row>
    <row r="109" spans="1:46" ht="15" customHeight="1" x14ac:dyDescent="0.2">
      <c r="A109" s="120"/>
      <c r="B109" s="1573"/>
      <c r="C109" s="1573"/>
      <c r="D109" s="1573"/>
      <c r="E109" s="1573"/>
      <c r="F109" s="1573"/>
      <c r="G109" s="1573"/>
      <c r="H109" s="1573"/>
      <c r="I109" s="1573"/>
      <c r="J109" s="69"/>
      <c r="K109" s="69"/>
      <c r="L109" s="69"/>
      <c r="M109" s="69"/>
      <c r="N109" s="352"/>
      <c r="O109" s="69"/>
      <c r="P109" s="69"/>
      <c r="Q109" s="69"/>
      <c r="R109" s="10"/>
      <c r="S109" s="69"/>
      <c r="T109" s="69"/>
      <c r="U109" s="69"/>
      <c r="V109" s="119"/>
      <c r="W109" s="138"/>
      <c r="X109" s="147"/>
      <c r="Y109" s="183"/>
      <c r="Z109" s="183"/>
      <c r="AJ109" s="179"/>
      <c r="AK109" s="153"/>
    </row>
    <row r="110" spans="1:46" ht="13.5" customHeight="1" x14ac:dyDescent="0.25">
      <c r="A110" s="271"/>
      <c r="B110" s="1419" t="s">
        <v>190</v>
      </c>
      <c r="C110" s="859"/>
      <c r="D110" s="755" t="str">
        <f>Sheet1!$D$25</f>
        <v>2014-15</v>
      </c>
      <c r="E110" s="756" t="str">
        <f>Sheet1!$E$25</f>
        <v>2015-16</v>
      </c>
      <c r="F110" s="756" t="str">
        <f>Sheet1!$F$25</f>
        <v>2016-17</v>
      </c>
      <c r="G110" s="756" t="str">
        <f>Sheet1!$G$25</f>
        <v>2017-18</v>
      </c>
      <c r="H110" s="757" t="str">
        <f>Sheet1!$H$25</f>
        <v>2018-19</v>
      </c>
      <c r="I110" s="868"/>
      <c r="J110" s="69"/>
      <c r="K110" s="69"/>
      <c r="L110" s="69"/>
      <c r="M110" s="69"/>
      <c r="N110" s="855"/>
      <c r="O110" s="69"/>
      <c r="P110" s="69"/>
      <c r="Q110" s="69"/>
      <c r="R110" s="10"/>
      <c r="S110" s="69"/>
      <c r="T110" s="69"/>
      <c r="U110" s="69"/>
      <c r="V110" s="119"/>
      <c r="W110" s="138"/>
      <c r="X110" s="147"/>
      <c r="Y110" s="183"/>
      <c r="Z110" s="183"/>
      <c r="AJ110" s="179"/>
      <c r="AK110" s="153"/>
    </row>
    <row r="111" spans="1:46" s="89" customFormat="1" ht="13.5" customHeight="1" x14ac:dyDescent="0.2">
      <c r="A111" s="123"/>
      <c r="B111" s="1420"/>
      <c r="C111" s="87"/>
      <c r="D111" s="758" t="e">
        <f>Sheet1!$D$26</f>
        <v>#N/A</v>
      </c>
      <c r="E111" s="758" t="e">
        <f>Sheet1!$E$26</f>
        <v>#N/A</v>
      </c>
      <c r="F111" s="758" t="e">
        <f>Sheet1!$F$26</f>
        <v>#N/A</v>
      </c>
      <c r="G111" s="758" t="e">
        <f>Sheet1!$G$26</f>
        <v>#N/A</v>
      </c>
      <c r="H111" s="759" t="e">
        <f>Sheet1!$H$26</f>
        <v>#N/A</v>
      </c>
      <c r="I111" s="98"/>
      <c r="J111" s="98"/>
      <c r="K111" s="61"/>
      <c r="L111" s="61"/>
      <c r="M111" s="61"/>
      <c r="N111" s="61"/>
      <c r="O111" s="61"/>
      <c r="P111" s="61"/>
      <c r="Q111" s="358"/>
      <c r="R111" s="358"/>
      <c r="S111" s="155"/>
      <c r="T111" s="155"/>
      <c r="U111" s="359"/>
      <c r="V111" s="124"/>
      <c r="W111" s="140"/>
      <c r="X111" s="149"/>
      <c r="Y111" s="183"/>
      <c r="Z111" s="183"/>
      <c r="AA111" s="83"/>
      <c r="AB111" s="83"/>
      <c r="AC111" s="83"/>
      <c r="AD111" s="83"/>
      <c r="AE111" s="83"/>
      <c r="AF111" s="185"/>
      <c r="AG111" s="185"/>
      <c r="AH111" s="185"/>
      <c r="AI111" s="185"/>
      <c r="AJ111" s="199"/>
      <c r="AK111" s="156"/>
    </row>
    <row r="112" spans="1:46" s="89" customFormat="1" ht="12.75" customHeight="1" x14ac:dyDescent="0.2">
      <c r="A112" s="462">
        <f>VLOOKUP(B112,Sheet1!$AQ$4:$AR$25,2,FALSE)</f>
        <v>0</v>
      </c>
      <c r="B112" s="95" t="str">
        <f t="shared" ref="B112:B135" si="31">B10</f>
        <v>Bracknell Forest</v>
      </c>
      <c r="C112" s="87"/>
      <c r="D112" s="158">
        <f>IF(AND(ISNUMBER(D10),ISNUMBER('Section 47 Enquiries'!D10)),D10/'Section 47 Enquiries'!D10,NA())</f>
        <v>0.38717339667458434</v>
      </c>
      <c r="E112" s="158">
        <f>IF(AND(ISNUMBER(E10),ISNUMBER('Section 47 Enquiries'!E10)),E10/'Section 47 Enquiries'!E10,NA())</f>
        <v>0.40101522842639592</v>
      </c>
      <c r="F112" s="158">
        <f>IF(AND(ISNUMBER(F10),ISNUMBER('Section 47 Enquiries'!F10)),F10/'Section 47 Enquiries'!F10,NA())</f>
        <v>0.46607142857142858</v>
      </c>
      <c r="G112" s="158">
        <f>IF(AND(ISNUMBER(G10),ISNUMBER('Section 47 Enquiries'!G10)),G10/'Section 47 Enquiries'!G10,NA())</f>
        <v>0.37183544303797467</v>
      </c>
      <c r="H112" s="160">
        <f>IF(AND(ISNUMBER(H10),ISNUMBER('Section 47 Enquiries'!H10)),H10/'Section 47 Enquiries'!H10,NA())</f>
        <v>0.36039886039886038</v>
      </c>
      <c r="I112" s="98"/>
      <c r="J112" s="98"/>
      <c r="K112" s="162"/>
      <c r="L112" s="162"/>
      <c r="M112" s="162"/>
      <c r="N112" s="162"/>
      <c r="O112" s="162"/>
      <c r="P112" s="162"/>
      <c r="Q112" s="162"/>
      <c r="R112" s="163"/>
      <c r="S112" s="155"/>
      <c r="T112" s="155"/>
      <c r="U112" s="162"/>
      <c r="V112" s="124"/>
      <c r="W112" s="140"/>
      <c r="X112" s="149"/>
      <c r="Y112" s="183"/>
      <c r="Z112" s="183"/>
      <c r="AA112" s="83"/>
      <c r="AB112" s="83"/>
      <c r="AC112" s="83"/>
      <c r="AD112" s="83"/>
      <c r="AE112" s="83"/>
      <c r="AF112" s="185"/>
      <c r="AG112" s="185"/>
      <c r="AH112" s="185"/>
      <c r="AI112" s="185"/>
      <c r="AJ112" s="199"/>
      <c r="AK112" s="156"/>
    </row>
    <row r="113" spans="1:45" s="89" customFormat="1" ht="12.75" customHeight="1" x14ac:dyDescent="0.2">
      <c r="A113" s="462">
        <f>VLOOKUP(B113,Sheet1!$AQ$4:$AR$25,2,FALSE)</f>
        <v>0</v>
      </c>
      <c r="B113" s="95" t="str">
        <f t="shared" si="31"/>
        <v>Brighton &amp; Hove</v>
      </c>
      <c r="C113" s="87"/>
      <c r="D113" s="158">
        <f>IF(AND(ISNUMBER(D11),ISNUMBER('Section 47 Enquiries'!D11)),D11/'Section 47 Enquiries'!D11,NA())</f>
        <v>0.45472061657032753</v>
      </c>
      <c r="E113" s="158">
        <f>IF(AND(ISNUMBER(E11),ISNUMBER('Section 47 Enquiries'!E11)),E11/'Section 47 Enquiries'!E11,NA())</f>
        <v>0.4759405074365704</v>
      </c>
      <c r="F113" s="158">
        <f>IF(AND(ISNUMBER(F11),ISNUMBER('Section 47 Enquiries'!F11)),F11/'Section 47 Enquiries'!F11,NA())</f>
        <v>0.54577056778679023</v>
      </c>
      <c r="G113" s="158">
        <f>IF(AND(ISNUMBER(G11),ISNUMBER('Section 47 Enquiries'!G11)),G11/'Section 47 Enquiries'!G11,NA())</f>
        <v>0.54721274175199086</v>
      </c>
      <c r="H113" s="160">
        <f>IF(AND(ISNUMBER(H11),ISNUMBER('Section 47 Enquiries'!H11)),H11/'Section 47 Enquiries'!H11,NA())</f>
        <v>0.50257069408740362</v>
      </c>
      <c r="I113" s="98"/>
      <c r="J113" s="98"/>
      <c r="K113" s="162"/>
      <c r="L113" s="162"/>
      <c r="M113" s="162"/>
      <c r="N113" s="162"/>
      <c r="O113" s="162"/>
      <c r="P113" s="162"/>
      <c r="Q113" s="162"/>
      <c r="R113" s="163"/>
      <c r="S113" s="155"/>
      <c r="T113" s="155"/>
      <c r="U113" s="162"/>
      <c r="V113" s="124"/>
      <c r="W113" s="140"/>
      <c r="X113" s="149"/>
      <c r="Y113" s="183"/>
      <c r="Z113" s="183"/>
      <c r="AA113" s="83"/>
      <c r="AB113" s="83"/>
      <c r="AC113" s="83"/>
      <c r="AD113" s="83"/>
      <c r="AE113" s="83"/>
      <c r="AF113" s="185"/>
      <c r="AG113" s="185"/>
      <c r="AH113" s="185"/>
      <c r="AI113" s="185"/>
      <c r="AJ113" s="199"/>
      <c r="AK113" s="156"/>
    </row>
    <row r="114" spans="1:45" s="89" customFormat="1" ht="12.75" customHeight="1" x14ac:dyDescent="0.2">
      <c r="A114" s="462">
        <f>VLOOKUP(B114,Sheet1!$AQ$4:$AR$25,2,FALSE)</f>
        <v>0</v>
      </c>
      <c r="B114" s="95" t="str">
        <f t="shared" si="31"/>
        <v>Buckinghamshire</v>
      </c>
      <c r="C114" s="87"/>
      <c r="D114" s="158">
        <f>IF(AND(ISNUMBER(D12),ISNUMBER('Section 47 Enquiries'!D12)),D12/'Section 47 Enquiries'!D12,NA())</f>
        <v>0.29067121729237771</v>
      </c>
      <c r="E114" s="158">
        <f>IF(AND(ISNUMBER(E12),ISNUMBER('Section 47 Enquiries'!E12)),E12/'Section 47 Enquiries'!E12,NA())</f>
        <v>0.3892931392931393</v>
      </c>
      <c r="F114" s="158">
        <f>IF(AND(ISNUMBER(F12),ISNUMBER('Section 47 Enquiries'!F12)),F12/'Section 47 Enquiries'!F12,NA())</f>
        <v>0.33618012422360249</v>
      </c>
      <c r="G114" s="158">
        <f>IF(AND(ISNUMBER(G12),ISNUMBER('Section 47 Enquiries'!G12)),G12/'Section 47 Enquiries'!G12,NA())</f>
        <v>0.34870550161812297</v>
      </c>
      <c r="H114" s="160">
        <f>IF(AND(ISNUMBER(H12),ISNUMBER('Section 47 Enquiries'!H12)),H12/'Section 47 Enquiries'!H12,NA())</f>
        <v>0.36660533578656856</v>
      </c>
      <c r="I114" s="98"/>
      <c r="J114" s="98"/>
      <c r="K114" s="162"/>
      <c r="L114" s="162"/>
      <c r="M114" s="162"/>
      <c r="N114" s="162"/>
      <c r="O114" s="162"/>
      <c r="P114" s="162"/>
      <c r="Q114" s="162"/>
      <c r="R114" s="163"/>
      <c r="S114" s="155"/>
      <c r="T114" s="155"/>
      <c r="U114" s="162"/>
      <c r="V114" s="124"/>
      <c r="W114" s="140"/>
      <c r="X114" s="149"/>
      <c r="Y114" s="183"/>
      <c r="Z114" s="183"/>
      <c r="AA114" s="83"/>
      <c r="AB114" s="83"/>
      <c r="AC114" s="83"/>
      <c r="AD114" s="83"/>
      <c r="AE114" s="83"/>
      <c r="AF114" s="185"/>
      <c r="AG114" s="185"/>
      <c r="AH114" s="185"/>
      <c r="AI114" s="185"/>
      <c r="AJ114" s="199"/>
      <c r="AK114" s="156"/>
    </row>
    <row r="115" spans="1:45" s="89" customFormat="1" ht="12.75" customHeight="1" x14ac:dyDescent="0.2">
      <c r="A115" s="462">
        <f>VLOOKUP(B115,Sheet1!$AQ$4:$AR$25,2,FALSE)</f>
        <v>0</v>
      </c>
      <c r="B115" s="95" t="str">
        <f t="shared" si="31"/>
        <v>East Sussex</v>
      </c>
      <c r="C115" s="87"/>
      <c r="D115" s="158">
        <f>IF(AND(ISNUMBER(D13),ISNUMBER('Section 47 Enquiries'!D13)),D13/'Section 47 Enquiries'!D13,NA())</f>
        <v>0.62814070351758799</v>
      </c>
      <c r="E115" s="158">
        <f>IF(AND(ISNUMBER(E13),ISNUMBER('Section 47 Enquiries'!E13)),E13/'Section 47 Enquiries'!E13,NA())</f>
        <v>0.55645161290322576</v>
      </c>
      <c r="F115" s="158">
        <f>IF(AND(ISNUMBER(F13),ISNUMBER('Section 47 Enquiries'!F13)),F13/'Section 47 Enquiries'!F13,NA())</f>
        <v>0.55634427684117127</v>
      </c>
      <c r="G115" s="158">
        <f>IF(AND(ISNUMBER(G13),ISNUMBER('Section 47 Enquiries'!G13)),G13/'Section 47 Enquiries'!G13,NA())</f>
        <v>0.53298350824587704</v>
      </c>
      <c r="H115" s="160">
        <f>IF(AND(ISNUMBER(H13),ISNUMBER('Section 47 Enquiries'!H13)),H13/'Section 47 Enquiries'!H13,NA())</f>
        <v>0.53950338600451464</v>
      </c>
      <c r="I115" s="98"/>
      <c r="J115" s="98"/>
      <c r="K115" s="162"/>
      <c r="L115" s="162"/>
      <c r="M115" s="162"/>
      <c r="N115" s="162"/>
      <c r="O115" s="162"/>
      <c r="P115" s="162"/>
      <c r="Q115" s="162"/>
      <c r="R115" s="163"/>
      <c r="S115" s="155"/>
      <c r="T115" s="155"/>
      <c r="U115" s="162"/>
      <c r="V115" s="124"/>
      <c r="W115" s="140"/>
      <c r="X115" s="149"/>
      <c r="Y115" s="183"/>
      <c r="Z115" s="183"/>
      <c r="AA115" s="83"/>
      <c r="AB115" s="83"/>
      <c r="AC115" s="83"/>
      <c r="AD115" s="83"/>
      <c r="AE115" s="83"/>
      <c r="AF115" s="185"/>
      <c r="AG115" s="185"/>
      <c r="AH115" s="185"/>
      <c r="AI115" s="185"/>
      <c r="AJ115" s="199"/>
      <c r="AK115" s="156"/>
    </row>
    <row r="116" spans="1:45" s="89" customFormat="1" ht="12.75" customHeight="1" x14ac:dyDescent="0.2">
      <c r="A116" s="462">
        <f>VLOOKUP(B116,Sheet1!$AQ$4:$AR$25,2,FALSE)</f>
        <v>0</v>
      </c>
      <c r="B116" s="95" t="str">
        <f t="shared" si="31"/>
        <v>Hampshire</v>
      </c>
      <c r="C116" s="87"/>
      <c r="D116" s="158">
        <f>IF(AND(ISNUMBER(D14),ISNUMBER('Section 47 Enquiries'!D14)),D14/'Section 47 Enquiries'!D14,NA())</f>
        <v>0.45727882327492969</v>
      </c>
      <c r="E116" s="158">
        <f>IF(AND(ISNUMBER(E14),ISNUMBER('Section 47 Enquiries'!E14)),E14/'Section 47 Enquiries'!E14,NA())</f>
        <v>0.45432807269249165</v>
      </c>
      <c r="F116" s="158">
        <f>IF(AND(ISNUMBER(F14),ISNUMBER('Section 47 Enquiries'!F14)),F14/'Section 47 Enquiries'!F14,NA())</f>
        <v>0.44383756827356924</v>
      </c>
      <c r="G116" s="158">
        <f>IF(AND(ISNUMBER(G14),ISNUMBER('Section 47 Enquiries'!G14)),G14/'Section 47 Enquiries'!G14,NA())</f>
        <v>0.46409989594172735</v>
      </c>
      <c r="H116" s="160">
        <f>IF(AND(ISNUMBER(H14),ISNUMBER('Section 47 Enquiries'!H14)),H14/'Section 47 Enquiries'!H14,NA())</f>
        <v>0.40815381051656241</v>
      </c>
      <c r="I116" s="98"/>
      <c r="J116" s="98"/>
      <c r="K116" s="162"/>
      <c r="L116" s="162"/>
      <c r="M116" s="162"/>
      <c r="N116" s="162"/>
      <c r="O116" s="162"/>
      <c r="P116" s="162"/>
      <c r="Q116" s="162"/>
      <c r="R116" s="163"/>
      <c r="S116" s="155"/>
      <c r="T116" s="155"/>
      <c r="U116" s="162"/>
      <c r="V116" s="124"/>
      <c r="W116" s="140"/>
      <c r="X116" s="149"/>
      <c r="Y116" s="183"/>
      <c r="Z116" s="183"/>
      <c r="AA116" s="83"/>
      <c r="AB116" s="83"/>
      <c r="AC116" s="83"/>
      <c r="AD116" s="83"/>
      <c r="AE116" s="83"/>
      <c r="AF116" s="185"/>
      <c r="AG116" s="185"/>
      <c r="AH116" s="185"/>
      <c r="AI116" s="185"/>
      <c r="AJ116" s="199"/>
      <c r="AK116" s="156"/>
    </row>
    <row r="117" spans="1:45" s="89" customFormat="1" ht="12.75" customHeight="1" x14ac:dyDescent="0.2">
      <c r="A117" s="462">
        <f>VLOOKUP(B117,Sheet1!$AQ$4:$AR$25,2,FALSE)</f>
        <v>0</v>
      </c>
      <c r="B117" s="95" t="str">
        <f t="shared" si="31"/>
        <v>Isle of Wight</v>
      </c>
      <c r="C117" s="87"/>
      <c r="D117" s="158">
        <f>IF(AND(ISNUMBER(D15),ISNUMBER('Section 47 Enquiries'!D15)),D15/'Section 47 Enquiries'!D15,NA())</f>
        <v>0.4506849315068493</v>
      </c>
      <c r="E117" s="158">
        <f>IF(AND(ISNUMBER(E15),ISNUMBER('Section 47 Enquiries'!E15)),E15/'Section 47 Enquiries'!E15,NA())</f>
        <v>0.55473372781065089</v>
      </c>
      <c r="F117" s="158">
        <f>IF(AND(ISNUMBER(F15),ISNUMBER('Section 47 Enquiries'!F15)),F15/'Section 47 Enquiries'!F15,NA())</f>
        <v>0.52459016393442626</v>
      </c>
      <c r="G117" s="158">
        <f>IF(AND(ISNUMBER(G15),ISNUMBER('Section 47 Enquiries'!G15)),G15/'Section 47 Enquiries'!G15,NA())</f>
        <v>0.48653500897666069</v>
      </c>
      <c r="H117" s="160">
        <f>IF(AND(ISNUMBER(H15),ISNUMBER('Section 47 Enquiries'!H15)),H15/'Section 47 Enquiries'!H15,NA())</f>
        <v>0.46107784431137727</v>
      </c>
      <c r="I117" s="98"/>
      <c r="J117" s="98"/>
      <c r="K117" s="162"/>
      <c r="L117" s="162"/>
      <c r="M117" s="162"/>
      <c r="N117" s="162"/>
      <c r="O117" s="162"/>
      <c r="P117" s="162"/>
      <c r="Q117" s="162"/>
      <c r="R117" s="163"/>
      <c r="S117" s="155"/>
      <c r="T117" s="155"/>
      <c r="U117" s="162"/>
      <c r="V117" s="124"/>
      <c r="W117" s="140"/>
      <c r="X117" s="149"/>
      <c r="Y117" s="183"/>
      <c r="Z117" s="183"/>
      <c r="AA117" s="83"/>
      <c r="AB117" s="83"/>
      <c r="AC117" s="83"/>
      <c r="AD117" s="83"/>
      <c r="AE117" s="83"/>
      <c r="AF117" s="185"/>
      <c r="AG117" s="185"/>
      <c r="AH117" s="185"/>
      <c r="AI117" s="185"/>
      <c r="AJ117" s="199"/>
      <c r="AK117" s="156"/>
      <c r="AS117" s="89" t="s">
        <v>103</v>
      </c>
    </row>
    <row r="118" spans="1:45" s="89" customFormat="1" ht="12.75" customHeight="1" x14ac:dyDescent="0.2">
      <c r="A118" s="462">
        <f>VLOOKUP(B118,Sheet1!$AQ$4:$AR$25,2,FALSE)</f>
        <v>0</v>
      </c>
      <c r="B118" s="95" t="str">
        <f t="shared" si="31"/>
        <v>Kent</v>
      </c>
      <c r="C118" s="87"/>
      <c r="D118" s="158">
        <f>IF(AND(ISNUMBER(D16),ISNUMBER('Section 47 Enquiries'!D16)),D16/'Section 47 Enquiries'!D16,NA())</f>
        <v>0.4117242958552782</v>
      </c>
      <c r="E118" s="158">
        <f>IF(AND(ISNUMBER(E16),ISNUMBER('Section 47 Enquiries'!E16)),E16/'Section 47 Enquiries'!E16,NA())</f>
        <v>0.3254201680672269</v>
      </c>
      <c r="F118" s="158">
        <f>IF(AND(ISNUMBER(F16),ISNUMBER('Section 47 Enquiries'!F16)),F16/'Section 47 Enquiries'!F16,NA())</f>
        <v>0.30533415082771304</v>
      </c>
      <c r="G118" s="158">
        <f>IF(AND(ISNUMBER(G16),ISNUMBER('Section 47 Enquiries'!G16)),G16/'Section 47 Enquiries'!G16,NA())</f>
        <v>0.28151461894871388</v>
      </c>
      <c r="H118" s="160">
        <f>IF(AND(ISNUMBER(H16),ISNUMBER('Section 47 Enquiries'!H16)),H16/'Section 47 Enquiries'!H16,NA())</f>
        <v>0.26151288445552784</v>
      </c>
      <c r="I118" s="98"/>
      <c r="J118" s="98"/>
      <c r="K118" s="162"/>
      <c r="L118" s="162"/>
      <c r="M118" s="162"/>
      <c r="N118" s="162"/>
      <c r="O118" s="162"/>
      <c r="P118" s="162"/>
      <c r="Q118" s="162"/>
      <c r="R118" s="163"/>
      <c r="S118" s="155"/>
      <c r="T118" s="155"/>
      <c r="U118" s="162"/>
      <c r="V118" s="124"/>
      <c r="W118" s="140"/>
      <c r="X118" s="149"/>
      <c r="Y118" s="183"/>
      <c r="Z118" s="183"/>
      <c r="AA118" s="83"/>
      <c r="AB118" s="83"/>
      <c r="AC118" s="83"/>
      <c r="AD118" s="83"/>
      <c r="AE118" s="83"/>
      <c r="AF118" s="185"/>
      <c r="AG118" s="185"/>
      <c r="AH118" s="185"/>
      <c r="AI118" s="185"/>
      <c r="AJ118" s="199"/>
      <c r="AK118" s="156"/>
    </row>
    <row r="119" spans="1:45" s="89" customFormat="1" ht="12.75" customHeight="1" x14ac:dyDescent="0.2">
      <c r="A119" s="462">
        <f>VLOOKUP(B119,Sheet1!$AQ$4:$AR$25,2,FALSE)</f>
        <v>0</v>
      </c>
      <c r="B119" s="95" t="str">
        <f t="shared" si="31"/>
        <v>Medway</v>
      </c>
      <c r="C119" s="87"/>
      <c r="D119" s="158">
        <f>IF(AND(ISNUMBER(D17),ISNUMBER('Section 47 Enquiries'!D17)),D17/'Section 47 Enquiries'!D17,NA())</f>
        <v>0.40026420079260239</v>
      </c>
      <c r="E119" s="158">
        <f>IF(AND(ISNUMBER(E17),ISNUMBER('Section 47 Enquiries'!E17)),E17/'Section 47 Enquiries'!E17,NA())</f>
        <v>0.37216431637032493</v>
      </c>
      <c r="F119" s="158">
        <f>IF(AND(ISNUMBER(F17),ISNUMBER('Section 47 Enquiries'!F17)),F17/'Section 47 Enquiries'!F17,NA())</f>
        <v>0.32742537313432835</v>
      </c>
      <c r="G119" s="158">
        <f>IF(AND(ISNUMBER(G17),ISNUMBER('Section 47 Enquiries'!G17)),G17/'Section 47 Enquiries'!G17,NA())</f>
        <v>0.34123624047417445</v>
      </c>
      <c r="H119" s="160">
        <f>IF(AND(ISNUMBER(H17),ISNUMBER('Section 47 Enquiries'!H17)),H17/'Section 47 Enquiries'!H17,NA())</f>
        <v>0.36713055003313455</v>
      </c>
      <c r="I119" s="98"/>
      <c r="J119" s="98"/>
      <c r="K119" s="162"/>
      <c r="L119" s="162"/>
      <c r="M119" s="162"/>
      <c r="N119" s="162"/>
      <c r="O119" s="162"/>
      <c r="P119" s="162"/>
      <c r="Q119" s="162"/>
      <c r="R119" s="163"/>
      <c r="S119" s="155"/>
      <c r="T119" s="155"/>
      <c r="U119" s="162"/>
      <c r="V119" s="124"/>
      <c r="W119" s="140"/>
      <c r="X119" s="149"/>
      <c r="Y119" s="183"/>
      <c r="Z119" s="183"/>
      <c r="AA119" s="83"/>
      <c r="AB119" s="83"/>
      <c r="AC119" s="83"/>
      <c r="AD119" s="83"/>
      <c r="AE119" s="83"/>
      <c r="AF119" s="185"/>
      <c r="AG119" s="185"/>
      <c r="AH119" s="185"/>
      <c r="AI119" s="185"/>
      <c r="AJ119" s="199"/>
      <c r="AK119" s="156"/>
    </row>
    <row r="120" spans="1:45" s="89" customFormat="1" ht="12.75" customHeight="1" x14ac:dyDescent="0.2">
      <c r="A120" s="462">
        <f>VLOOKUP(B120,Sheet1!$AQ$4:$AR$25,2,FALSE)</f>
        <v>0</v>
      </c>
      <c r="B120" s="95" t="str">
        <f t="shared" si="31"/>
        <v>Milton Keynes</v>
      </c>
      <c r="C120" s="87"/>
      <c r="D120" s="158">
        <f>IF(AND(ISNUMBER(D18),ISNUMBER('Section 47 Enquiries'!D18)),D18/'Section 47 Enquiries'!D18,NA())</f>
        <v>0.2118491921005386</v>
      </c>
      <c r="E120" s="158">
        <f>IF(AND(ISNUMBER(E18),ISNUMBER('Section 47 Enquiries'!E18)),E18/'Section 47 Enquiries'!E18,NA())</f>
        <v>0.210896309314587</v>
      </c>
      <c r="F120" s="158">
        <f>IF(AND(ISNUMBER(F18),ISNUMBER('Section 47 Enquiries'!F18)),F18/'Section 47 Enquiries'!F18,NA())</f>
        <v>0.18943298969072164</v>
      </c>
      <c r="G120" s="158">
        <f>IF(AND(ISNUMBER(G18),ISNUMBER('Section 47 Enquiries'!G18)),G18/'Section 47 Enquiries'!G18,NA())</f>
        <v>0.31362007168458783</v>
      </c>
      <c r="H120" s="160">
        <f>IF(AND(ISNUMBER(H18),ISNUMBER('Section 47 Enquiries'!H18)),H18/'Section 47 Enquiries'!H18,NA())</f>
        <v>0.36815920398009949</v>
      </c>
      <c r="I120" s="98"/>
      <c r="J120" s="98"/>
      <c r="K120" s="162"/>
      <c r="L120" s="162"/>
      <c r="M120" s="162"/>
      <c r="N120" s="162"/>
      <c r="O120" s="162"/>
      <c r="P120" s="162"/>
      <c r="Q120" s="162"/>
      <c r="R120" s="163"/>
      <c r="S120" s="155"/>
      <c r="T120" s="155"/>
      <c r="U120" s="162"/>
      <c r="V120" s="124"/>
      <c r="W120" s="140"/>
      <c r="X120" s="149"/>
      <c r="Y120" s="183"/>
      <c r="Z120" s="183"/>
      <c r="AA120" s="83"/>
      <c r="AB120" s="83"/>
      <c r="AC120" s="83"/>
      <c r="AD120" s="83"/>
      <c r="AE120" s="83"/>
      <c r="AF120" s="185"/>
      <c r="AG120" s="185"/>
      <c r="AH120" s="185"/>
      <c r="AI120" s="185"/>
      <c r="AJ120" s="199"/>
      <c r="AK120" s="156"/>
    </row>
    <row r="121" spans="1:45" s="89" customFormat="1" ht="12.75" customHeight="1" x14ac:dyDescent="0.2">
      <c r="A121" s="462">
        <f>VLOOKUP(B121,Sheet1!$AQ$4:$AR$25,2,FALSE)</f>
        <v>0</v>
      </c>
      <c r="B121" s="95" t="str">
        <f t="shared" si="31"/>
        <v>Oxfordshire</v>
      </c>
      <c r="C121" s="87"/>
      <c r="D121" s="158">
        <f>IF(AND(ISNUMBER(D19),ISNUMBER('Section 47 Enquiries'!D19)),D19/'Section 47 Enquiries'!D19,NA())</f>
        <v>0.45719720989220036</v>
      </c>
      <c r="E121" s="158">
        <f>IF(AND(ISNUMBER(E19),ISNUMBER('Section 47 Enquiries'!E19)),E19/'Section 47 Enquiries'!E19,NA())</f>
        <v>0.41738197424892703</v>
      </c>
      <c r="F121" s="158">
        <f>IF(AND(ISNUMBER(F19),ISNUMBER('Section 47 Enquiries'!F19)),F19/'Section 47 Enquiries'!F19,NA())</f>
        <v>0.47767393561786087</v>
      </c>
      <c r="G121" s="158">
        <f>IF(AND(ISNUMBER(G19),ISNUMBER('Section 47 Enquiries'!G19)),G19/'Section 47 Enquiries'!G19,NA())</f>
        <v>0.48642659279778394</v>
      </c>
      <c r="H121" s="160">
        <f>IF(AND(ISNUMBER(H19),ISNUMBER('Section 47 Enquiries'!H19)),H19/'Section 47 Enquiries'!H19,NA())</f>
        <v>0.45114789108382275</v>
      </c>
      <c r="I121" s="98"/>
      <c r="J121" s="98"/>
      <c r="K121" s="162"/>
      <c r="L121" s="162"/>
      <c r="M121" s="162"/>
      <c r="N121" s="162"/>
      <c r="O121" s="162"/>
      <c r="P121" s="162"/>
      <c r="Q121" s="162"/>
      <c r="R121" s="163"/>
      <c r="S121" s="155"/>
      <c r="T121" s="155"/>
      <c r="U121" s="162"/>
      <c r="V121" s="124"/>
      <c r="W121" s="140"/>
      <c r="X121" s="149"/>
      <c r="Y121" s="183"/>
      <c r="Z121" s="183"/>
      <c r="AA121" s="83"/>
      <c r="AB121" s="83"/>
      <c r="AC121" s="83"/>
      <c r="AD121" s="83"/>
      <c r="AE121" s="83"/>
      <c r="AF121" s="185"/>
      <c r="AG121" s="185"/>
      <c r="AH121" s="185"/>
      <c r="AI121" s="185"/>
      <c r="AJ121" s="199"/>
      <c r="AK121" s="156"/>
    </row>
    <row r="122" spans="1:45" s="89" customFormat="1" ht="12.75" customHeight="1" x14ac:dyDescent="0.2">
      <c r="A122" s="462">
        <f>VLOOKUP(B122,Sheet1!$AQ$4:$AR$25,2,FALSE)</f>
        <v>0</v>
      </c>
      <c r="B122" s="95" t="str">
        <f t="shared" si="31"/>
        <v>Portsmouth</v>
      </c>
      <c r="C122" s="87"/>
      <c r="D122" s="158">
        <f>IF(AND(ISNUMBER(D20),ISNUMBER('Section 47 Enquiries'!D20)),D20/'Section 47 Enquiries'!D20,NA())</f>
        <v>0.26598702502316962</v>
      </c>
      <c r="E122" s="158">
        <f>IF(AND(ISNUMBER(E20),ISNUMBER('Section 47 Enquiries'!E20)),E20/'Section 47 Enquiries'!E20,NA())</f>
        <v>0.29268292682926828</v>
      </c>
      <c r="F122" s="158">
        <f>IF(AND(ISNUMBER(F20),ISNUMBER('Section 47 Enquiries'!F20)),F20/'Section 47 Enquiries'!F20,NA())</f>
        <v>0.24112903225806451</v>
      </c>
      <c r="G122" s="158">
        <f>IF(AND(ISNUMBER(G20),ISNUMBER('Section 47 Enquiries'!G20)),G20/'Section 47 Enquiries'!G20,NA())</f>
        <v>0.30146341463414633</v>
      </c>
      <c r="H122" s="160">
        <f>IF(AND(ISNUMBER(H20),ISNUMBER('Section 47 Enquiries'!H20)),H20/'Section 47 Enquiries'!H20,NA())</f>
        <v>0.22086824067022087</v>
      </c>
      <c r="I122" s="98"/>
      <c r="J122" s="98"/>
      <c r="K122" s="162"/>
      <c r="L122" s="162"/>
      <c r="M122" s="162"/>
      <c r="N122" s="162"/>
      <c r="O122" s="162"/>
      <c r="P122" s="162"/>
      <c r="Q122" s="162"/>
      <c r="R122" s="163"/>
      <c r="S122" s="155"/>
      <c r="T122" s="155"/>
      <c r="U122" s="162"/>
      <c r="V122" s="124"/>
      <c r="W122" s="140"/>
      <c r="X122" s="149"/>
      <c r="Y122" s="183"/>
      <c r="Z122" s="183"/>
      <c r="AA122" s="83"/>
      <c r="AB122" s="83"/>
      <c r="AC122" s="83"/>
      <c r="AD122" s="83"/>
      <c r="AE122" s="83"/>
      <c r="AF122" s="185"/>
      <c r="AG122" s="185"/>
      <c r="AH122" s="185"/>
      <c r="AI122" s="185"/>
      <c r="AJ122" s="199"/>
      <c r="AK122" s="156"/>
    </row>
    <row r="123" spans="1:45" s="89" customFormat="1" ht="12.75" customHeight="1" x14ac:dyDescent="0.2">
      <c r="A123" s="462">
        <f>VLOOKUP(B123,Sheet1!$AQ$4:$AR$25,2,FALSE)</f>
        <v>0</v>
      </c>
      <c r="B123" s="95" t="str">
        <f t="shared" si="31"/>
        <v>Reading</v>
      </c>
      <c r="C123" s="87"/>
      <c r="D123" s="158">
        <f>IF(AND(ISNUMBER(D21),ISNUMBER('Section 47 Enquiries'!D21)),D21/'Section 47 Enquiries'!D21,NA())</f>
        <v>0.51986183074265979</v>
      </c>
      <c r="E123" s="158">
        <f>IF(AND(ISNUMBER(E21),ISNUMBER('Section 47 Enquiries'!E21)),E21/'Section 47 Enquiries'!E21,NA())</f>
        <v>0.44193216855087358</v>
      </c>
      <c r="F123" s="603">
        <f>IF(AND(ISNUMBER(F21),ISNUMBER('Section 47 Enquiries'!F21)),F21/'Section 47 Enquiries'!F21,NA())</f>
        <v>0.48440366972477067</v>
      </c>
      <c r="G123" s="603">
        <f>IF(AND(ISNUMBER(G21),ISNUMBER('Section 47 Enquiries'!G21)),G21/'Section 47 Enquiries'!G21,NA())</f>
        <v>0.49404761904761907</v>
      </c>
      <c r="H123" s="160">
        <f>IF(AND(ISNUMBER(H21),ISNUMBER('Section 47 Enquiries'!H21)),H21/'Section 47 Enquiries'!H21,NA())</f>
        <v>0.41125121241513096</v>
      </c>
      <c r="I123" s="98"/>
      <c r="J123" s="98"/>
      <c r="K123" s="162"/>
      <c r="L123" s="162"/>
      <c r="M123" s="162"/>
      <c r="N123" s="162"/>
      <c r="O123" s="162"/>
      <c r="P123" s="162"/>
      <c r="Q123" s="162"/>
      <c r="R123" s="163"/>
      <c r="S123" s="155"/>
      <c r="T123" s="155"/>
      <c r="U123" s="162"/>
      <c r="V123" s="124"/>
      <c r="W123" s="140"/>
      <c r="X123" s="149"/>
      <c r="Y123" s="183"/>
      <c r="Z123" s="183"/>
      <c r="AA123" s="83"/>
      <c r="AB123" s="83"/>
      <c r="AC123" s="83"/>
      <c r="AD123" s="83"/>
      <c r="AE123" s="83"/>
      <c r="AF123" s="185"/>
      <c r="AG123" s="185"/>
      <c r="AH123" s="185"/>
      <c r="AI123" s="185"/>
      <c r="AJ123" s="199"/>
      <c r="AK123" s="156"/>
    </row>
    <row r="124" spans="1:45" s="89" customFormat="1" ht="12.75" customHeight="1" x14ac:dyDescent="0.2">
      <c r="A124" s="462">
        <f>VLOOKUP(B124,Sheet1!$AQ$4:$AR$25,2,FALSE)</f>
        <v>0</v>
      </c>
      <c r="B124" s="95" t="str">
        <f t="shared" si="31"/>
        <v>Slough</v>
      </c>
      <c r="C124" s="87"/>
      <c r="D124" s="158">
        <f>IF(AND(ISNUMBER(D22),ISNUMBER('Section 47 Enquiries'!D22)),D22/'Section 47 Enquiries'!D22,NA())</f>
        <v>0.4068157614483493</v>
      </c>
      <c r="E124" s="158">
        <f>IF(AND(ISNUMBER(E22),ISNUMBER('Section 47 Enquiries'!E22)),E22/'Section 47 Enquiries'!E22,NA())</f>
        <v>0.39</v>
      </c>
      <c r="F124" s="158">
        <f>IF(AND(ISNUMBER(F22),ISNUMBER('Section 47 Enquiries'!F22)),F22/'Section 47 Enquiries'!F22,NA())</f>
        <v>0.38584474885844749</v>
      </c>
      <c r="G124" s="158">
        <f>IF(AND(ISNUMBER(G22),ISNUMBER('Section 47 Enquiries'!G22)),G22/'Section 47 Enquiries'!G22,NA())</f>
        <v>0.38700564971751411</v>
      </c>
      <c r="H124" s="160">
        <f>IF(AND(ISNUMBER(H22),ISNUMBER('Section 47 Enquiries'!H22)),H22/'Section 47 Enquiries'!H22,NA())</f>
        <v>0.32236842105263158</v>
      </c>
      <c r="I124" s="98"/>
      <c r="J124" s="98"/>
      <c r="K124" s="162"/>
      <c r="L124" s="162"/>
      <c r="M124" s="162"/>
      <c r="N124" s="162"/>
      <c r="O124" s="162"/>
      <c r="P124" s="162"/>
      <c r="Q124" s="162"/>
      <c r="R124" s="163"/>
      <c r="S124" s="155"/>
      <c r="T124" s="155"/>
      <c r="U124" s="162"/>
      <c r="V124" s="124"/>
      <c r="W124" s="140"/>
      <c r="X124" s="149"/>
      <c r="Y124" s="183"/>
      <c r="Z124" s="183"/>
      <c r="AA124" s="83"/>
      <c r="AB124" s="83"/>
      <c r="AC124" s="83"/>
      <c r="AD124" s="83"/>
      <c r="AE124" s="83"/>
      <c r="AF124" s="185"/>
      <c r="AG124" s="185"/>
      <c r="AH124" s="185"/>
      <c r="AI124" s="185"/>
      <c r="AJ124" s="199"/>
      <c r="AK124" s="156"/>
    </row>
    <row r="125" spans="1:45" s="89" customFormat="1" ht="12.75" customHeight="1" x14ac:dyDescent="0.2">
      <c r="A125" s="462">
        <f>VLOOKUP(B125,Sheet1!$AQ$4:$AR$25,2,FALSE)</f>
        <v>0</v>
      </c>
      <c r="B125" s="95" t="str">
        <f t="shared" si="31"/>
        <v>Somerset</v>
      </c>
      <c r="C125" s="87"/>
      <c r="D125" s="158">
        <f>IF(AND(ISNUMBER(D23),ISNUMBER('Section 47 Enquiries'!D23)),D23/'Section 47 Enquiries'!D23,NA())</f>
        <v>0.34639882410583045</v>
      </c>
      <c r="E125" s="158">
        <f>IF(AND(ISNUMBER(E23),ISNUMBER('Section 47 Enquiries'!E23)),E23/'Section 47 Enquiries'!E23,NA())</f>
        <v>0.36854279105628374</v>
      </c>
      <c r="F125" s="158">
        <f>IF(AND(ISNUMBER(F23),ISNUMBER('Section 47 Enquiries'!F23)),F23/'Section 47 Enquiries'!F23,NA())</f>
        <v>0.41915028535193405</v>
      </c>
      <c r="G125" s="158">
        <f>IF(AND(ISNUMBER(G23),ISNUMBER('Section 47 Enquiries'!G23)),G23/'Section 47 Enquiries'!G23,NA())</f>
        <v>0.3832570307390451</v>
      </c>
      <c r="H125" s="160">
        <f>IF(AND(ISNUMBER(H23),ISNUMBER('Section 47 Enquiries'!H23)),H23/'Section 47 Enquiries'!H23,NA())</f>
        <v>0.42178542178542178</v>
      </c>
      <c r="I125" s="98"/>
      <c r="J125" s="98"/>
      <c r="K125" s="162"/>
      <c r="L125" s="162"/>
      <c r="M125" s="162"/>
      <c r="N125" s="162"/>
      <c r="O125" s="162"/>
      <c r="P125" s="162"/>
      <c r="Q125" s="162"/>
      <c r="R125" s="163"/>
      <c r="S125" s="155"/>
      <c r="T125" s="155"/>
      <c r="U125" s="162"/>
      <c r="V125" s="124"/>
      <c r="W125" s="140"/>
      <c r="X125" s="149"/>
      <c r="Y125" s="183"/>
      <c r="Z125" s="183"/>
      <c r="AA125" s="83"/>
      <c r="AB125" s="83"/>
      <c r="AC125" s="83"/>
      <c r="AD125" s="83"/>
      <c r="AE125" s="83"/>
      <c r="AF125" s="185"/>
      <c r="AG125" s="185"/>
      <c r="AH125" s="185"/>
      <c r="AI125" s="185"/>
      <c r="AJ125" s="199"/>
      <c r="AK125" s="156"/>
    </row>
    <row r="126" spans="1:45" s="89" customFormat="1" ht="12.75" customHeight="1" x14ac:dyDescent="0.2">
      <c r="A126" s="462">
        <f>VLOOKUP(B126,Sheet1!$AQ$4:$AR$25,2,FALSE)</f>
        <v>0</v>
      </c>
      <c r="B126" s="95" t="str">
        <f t="shared" si="31"/>
        <v>Southampton</v>
      </c>
      <c r="C126" s="87"/>
      <c r="D126" s="158">
        <f>IF(AND(ISNUMBER(D24),ISNUMBER('Section 47 Enquiries'!D24)),D24/'Section 47 Enquiries'!D24,NA())</f>
        <v>0.23349056603773585</v>
      </c>
      <c r="E126" s="158">
        <f>IF(AND(ISNUMBER(E24),ISNUMBER('Section 47 Enquiries'!E24)),E24/'Section 47 Enquiries'!E24,NA())</f>
        <v>0.29396186440677968</v>
      </c>
      <c r="F126" s="158">
        <f>IF(AND(ISNUMBER(F24),ISNUMBER('Section 47 Enquiries'!F24)),F24/'Section 47 Enquiries'!F24,NA())</f>
        <v>0.34245562130177515</v>
      </c>
      <c r="G126" s="158">
        <f>IF(AND(ISNUMBER(G24),ISNUMBER('Section 47 Enquiries'!G24)),G24/'Section 47 Enquiries'!G24,NA())</f>
        <v>0.30378250591016548</v>
      </c>
      <c r="H126" s="160">
        <f>IF(AND(ISNUMBER(H24),ISNUMBER('Section 47 Enquiries'!H24)),H24/'Section 47 Enquiries'!H24,NA())</f>
        <v>0.27962638645650906</v>
      </c>
      <c r="I126" s="98"/>
      <c r="J126" s="98"/>
      <c r="K126" s="162"/>
      <c r="L126" s="162"/>
      <c r="M126" s="162"/>
      <c r="N126" s="162"/>
      <c r="O126" s="162"/>
      <c r="P126" s="162"/>
      <c r="Q126" s="162"/>
      <c r="R126" s="163"/>
      <c r="S126" s="155"/>
      <c r="T126" s="155"/>
      <c r="U126" s="162"/>
      <c r="V126" s="124"/>
      <c r="W126" s="140"/>
      <c r="X126" s="149"/>
      <c r="Y126" s="183"/>
      <c r="Z126" s="183"/>
      <c r="AA126" s="83"/>
      <c r="AB126" s="83"/>
      <c r="AC126" s="83"/>
      <c r="AD126" s="83"/>
      <c r="AE126" s="83"/>
      <c r="AF126" s="185"/>
      <c r="AG126" s="185"/>
      <c r="AH126" s="185"/>
      <c r="AI126" s="185"/>
      <c r="AJ126" s="199"/>
      <c r="AK126" s="156"/>
    </row>
    <row r="127" spans="1:45" s="89" customFormat="1" ht="12.75" customHeight="1" x14ac:dyDescent="0.2">
      <c r="A127" s="462">
        <f>VLOOKUP(B127,Sheet1!$AQ$4:$AR$25,2,FALSE)</f>
        <v>0</v>
      </c>
      <c r="B127" s="95" t="str">
        <f t="shared" si="31"/>
        <v>Surrey</v>
      </c>
      <c r="C127" s="87"/>
      <c r="D127" s="158">
        <f>IF(AND(ISNUMBER(D25),ISNUMBER('Section 47 Enquiries'!D25)),D25/'Section 47 Enquiries'!D25,NA())</f>
        <v>0.37623152709359609</v>
      </c>
      <c r="E127" s="158">
        <f>IF(AND(ISNUMBER(E25),ISNUMBER('Section 47 Enquiries'!E25)),E25/'Section 47 Enquiries'!E25,NA())</f>
        <v>0.27177545110269546</v>
      </c>
      <c r="F127" s="158">
        <f>IF(AND(ISNUMBER(F25),ISNUMBER('Section 47 Enquiries'!F25)),F25/'Section 47 Enquiries'!F25,NA())</f>
        <v>0.316776007497657</v>
      </c>
      <c r="G127" s="158">
        <f>IF(AND(ISNUMBER(G25),ISNUMBER('Section 47 Enquiries'!G25)),G25/'Section 47 Enquiries'!G25,NA())</f>
        <v>0.35654261704681872</v>
      </c>
      <c r="H127" s="160">
        <f>IF(AND(ISNUMBER(H25),ISNUMBER('Section 47 Enquiries'!H25)),H25/'Section 47 Enquiries'!H25,NA())</f>
        <v>0.36409760811790287</v>
      </c>
      <c r="I127" s="98"/>
      <c r="J127" s="98"/>
      <c r="K127" s="162"/>
      <c r="L127" s="162"/>
      <c r="M127" s="162"/>
      <c r="N127" s="162"/>
      <c r="O127" s="162"/>
      <c r="P127" s="162"/>
      <c r="Q127" s="162"/>
      <c r="R127" s="163"/>
      <c r="S127" s="155"/>
      <c r="T127" s="155"/>
      <c r="U127" s="162"/>
      <c r="V127" s="124"/>
      <c r="W127" s="140"/>
      <c r="X127" s="149"/>
      <c r="Y127" s="183"/>
      <c r="Z127" s="183"/>
      <c r="AA127" s="83"/>
      <c r="AB127" s="83"/>
      <c r="AC127" s="83"/>
      <c r="AD127" s="83"/>
      <c r="AE127" s="83"/>
      <c r="AF127" s="185"/>
      <c r="AG127" s="185"/>
      <c r="AH127" s="185"/>
      <c r="AI127" s="185"/>
      <c r="AJ127" s="199"/>
      <c r="AK127" s="156"/>
    </row>
    <row r="128" spans="1:45" s="89" customFormat="1" ht="12.75" customHeight="1" x14ac:dyDescent="0.2">
      <c r="A128" s="462">
        <f>VLOOKUP(B128,Sheet1!$AQ$4:$AR$25,2,FALSE)</f>
        <v>0</v>
      </c>
      <c r="B128" s="95" t="str">
        <f t="shared" si="31"/>
        <v>Swindon</v>
      </c>
      <c r="C128" s="87"/>
      <c r="D128" s="158">
        <f>IF(AND(ISNUMBER(D26),ISNUMBER('Section 47 Enquiries'!D26)),D26/'Section 47 Enquiries'!D26,NA())</f>
        <v>0.53184165232358005</v>
      </c>
      <c r="E128" s="158">
        <f>IF(AND(ISNUMBER(E26),ISNUMBER('Section 47 Enquiries'!E26)),E26/'Section 47 Enquiries'!E26,NA())</f>
        <v>0.4516971279373368</v>
      </c>
      <c r="F128" s="158">
        <f>IF(AND(ISNUMBER(F26),ISNUMBER('Section 47 Enquiries'!F26)),F26/'Section 47 Enquiries'!F26,NA())</f>
        <v>0.42156862745098039</v>
      </c>
      <c r="G128" s="158">
        <f>IF(AND(ISNUMBER(G26),ISNUMBER('Section 47 Enquiries'!G26)),G26/'Section 47 Enquiries'!G26,NA())</f>
        <v>0.56607495069033531</v>
      </c>
      <c r="H128" s="160">
        <f>IF(AND(ISNUMBER(H26),ISNUMBER('Section 47 Enquiries'!H26)),H26/'Section 47 Enquiries'!H26,NA())</f>
        <v>0.4678638941398866</v>
      </c>
      <c r="I128" s="98"/>
      <c r="J128" s="98"/>
      <c r="K128" s="162"/>
      <c r="L128" s="162"/>
      <c r="M128" s="162"/>
      <c r="N128" s="162"/>
      <c r="O128" s="162"/>
      <c r="P128" s="162"/>
      <c r="Q128" s="162"/>
      <c r="R128" s="163"/>
      <c r="S128" s="155"/>
      <c r="T128" s="155"/>
      <c r="U128" s="162"/>
      <c r="V128" s="124"/>
      <c r="W128" s="140"/>
      <c r="X128" s="149"/>
      <c r="Y128" s="183"/>
      <c r="Z128" s="183"/>
      <c r="AA128" s="83"/>
      <c r="AB128" s="83"/>
      <c r="AC128" s="83"/>
      <c r="AD128" s="83"/>
      <c r="AE128" s="83"/>
      <c r="AF128" s="185"/>
      <c r="AG128" s="185"/>
      <c r="AH128" s="185"/>
      <c r="AI128" s="185"/>
      <c r="AJ128" s="199"/>
      <c r="AK128" s="156"/>
    </row>
    <row r="129" spans="1:46" s="89" customFormat="1" ht="12.75" customHeight="1" x14ac:dyDescent="0.2">
      <c r="A129" s="462">
        <f>VLOOKUP(B129,Sheet1!$AQ$4:$AR$25,2,FALSE)</f>
        <v>0</v>
      </c>
      <c r="B129" s="95" t="str">
        <f t="shared" si="31"/>
        <v>Torbay</v>
      </c>
      <c r="C129" s="87"/>
      <c r="D129" s="158">
        <f>IF(AND(ISNUMBER(D27),ISNUMBER('Section 47 Enquiries'!D27)),D27/'Section 47 Enquiries'!D27,NA())</f>
        <v>0.43396226415094341</v>
      </c>
      <c r="E129" s="158">
        <f>IF(AND(ISNUMBER(E27),ISNUMBER('Section 47 Enquiries'!E27)),E27/'Section 47 Enquiries'!E27,NA())</f>
        <v>0.41191381495564006</v>
      </c>
      <c r="F129" s="158">
        <f>IF(AND(ISNUMBER(F27),ISNUMBER('Section 47 Enquiries'!F27)),F27/'Section 47 Enquiries'!F27,NA())</f>
        <v>0.47631578947368419</v>
      </c>
      <c r="G129" s="158">
        <f>IF(AND(ISNUMBER(G27),ISNUMBER('Section 47 Enquiries'!G27)),G27/'Section 47 Enquiries'!G27,NA())</f>
        <v>0.52312138728323698</v>
      </c>
      <c r="H129" s="160">
        <f>IF(AND(ISNUMBER(H27),ISNUMBER('Section 47 Enquiries'!H27)),H27/'Section 47 Enquiries'!H27,NA())</f>
        <v>0.39561855670103091</v>
      </c>
      <c r="I129" s="98"/>
      <c r="J129" s="98"/>
      <c r="K129" s="162"/>
      <c r="L129" s="162"/>
      <c r="M129" s="162"/>
      <c r="N129" s="162"/>
      <c r="O129" s="162"/>
      <c r="P129" s="162"/>
      <c r="Q129" s="162"/>
      <c r="R129" s="163"/>
      <c r="S129" s="155"/>
      <c r="T129" s="155"/>
      <c r="U129" s="162"/>
      <c r="V129" s="124"/>
      <c r="W129" s="140"/>
      <c r="X129" s="149"/>
      <c r="Y129" s="183"/>
      <c r="Z129" s="183"/>
      <c r="AA129" s="83"/>
      <c r="AB129" s="83"/>
      <c r="AC129" s="83"/>
      <c r="AD129" s="83"/>
      <c r="AE129" s="83"/>
      <c r="AF129" s="185"/>
      <c r="AG129" s="185"/>
      <c r="AH129" s="185"/>
      <c r="AI129" s="185"/>
      <c r="AJ129" s="199"/>
      <c r="AK129" s="156"/>
    </row>
    <row r="130" spans="1:46" s="89" customFormat="1" ht="12.75" customHeight="1" x14ac:dyDescent="0.2">
      <c r="A130" s="462">
        <f>VLOOKUP(B130,Sheet1!$AQ$4:$AR$25,2,FALSE)</f>
        <v>0</v>
      </c>
      <c r="B130" s="95" t="str">
        <f t="shared" si="31"/>
        <v>West Berkshire</v>
      </c>
      <c r="C130" s="87"/>
      <c r="D130" s="158">
        <f>IF(AND(ISNUMBER(D28),ISNUMBER('Section 47 Enquiries'!D28)),D28/'Section 47 Enquiries'!D28,NA())</f>
        <v>0.41733870967741937</v>
      </c>
      <c r="E130" s="158">
        <f>IF(AND(ISNUMBER(E28),ISNUMBER('Section 47 Enquiries'!E28)),E28/'Section 47 Enquiries'!E28,NA())</f>
        <v>0.37267080745341613</v>
      </c>
      <c r="F130" s="158">
        <f>IF(AND(ISNUMBER(F28),ISNUMBER('Section 47 Enquiries'!F28)),F28/'Section 47 Enquiries'!F28,NA())</f>
        <v>0.44846292947558769</v>
      </c>
      <c r="G130" s="158">
        <f>IF(AND(ISNUMBER(G28),ISNUMBER('Section 47 Enquiries'!G28)),G28/'Section 47 Enquiries'!G28,NA())</f>
        <v>0.44283413848631242</v>
      </c>
      <c r="H130" s="160">
        <f>IF(AND(ISNUMBER(H28),ISNUMBER('Section 47 Enquiries'!H28)),H28/'Section 47 Enquiries'!H28,NA())</f>
        <v>0.46582733812949639</v>
      </c>
      <c r="I130" s="98"/>
      <c r="J130" s="98"/>
      <c r="K130" s="162"/>
      <c r="L130" s="162"/>
      <c r="M130" s="162"/>
      <c r="N130" s="162"/>
      <c r="O130" s="162"/>
      <c r="P130" s="162"/>
      <c r="Q130" s="162"/>
      <c r="R130" s="163"/>
      <c r="S130" s="155"/>
      <c r="T130" s="155"/>
      <c r="U130" s="162"/>
      <c r="V130" s="124"/>
      <c r="W130" s="140"/>
      <c r="X130" s="149"/>
      <c r="Y130" s="183"/>
      <c r="Z130" s="183"/>
      <c r="AA130" s="83"/>
      <c r="AB130" s="83"/>
      <c r="AC130" s="83"/>
      <c r="AD130" s="83"/>
      <c r="AE130" s="83"/>
      <c r="AF130" s="199"/>
      <c r="AG130" s="185"/>
      <c r="AH130" s="185"/>
      <c r="AI130" s="185"/>
      <c r="AJ130" s="199"/>
      <c r="AK130" s="156"/>
    </row>
    <row r="131" spans="1:46" s="89" customFormat="1" ht="12.75" customHeight="1" x14ac:dyDescent="0.2">
      <c r="A131" s="462">
        <f>VLOOKUP(B131,Sheet1!$AQ$4:$AR$25,2,FALSE)</f>
        <v>0</v>
      </c>
      <c r="B131" s="95" t="str">
        <f t="shared" si="31"/>
        <v>West Sussex</v>
      </c>
      <c r="C131" s="87"/>
      <c r="D131" s="158">
        <f>IF(AND(ISNUMBER(D29),ISNUMBER('Section 47 Enquiries'!D29)),D29/'Section 47 Enquiries'!D29,NA())</f>
        <v>0.43933265925176945</v>
      </c>
      <c r="E131" s="158">
        <f>IF(AND(ISNUMBER(E29),ISNUMBER('Section 47 Enquiries'!E29)),E29/'Section 47 Enquiries'!E29,NA())</f>
        <v>0.37174515235457062</v>
      </c>
      <c r="F131" s="158">
        <f>IF(AND(ISNUMBER(F29),ISNUMBER('Section 47 Enquiries'!F29)),F29/'Section 47 Enquiries'!F29,NA())</f>
        <v>0.31350852927616413</v>
      </c>
      <c r="G131" s="158">
        <f>IF(AND(ISNUMBER(G29),ISNUMBER('Section 47 Enquiries'!G29)),G29/'Section 47 Enquiries'!G29,NA())</f>
        <v>0.3593073593073593</v>
      </c>
      <c r="H131" s="160">
        <f>IF(AND(ISNUMBER(H29),ISNUMBER('Section 47 Enquiries'!H29)),H29/'Section 47 Enquiries'!H29,NA())</f>
        <v>0.30200414651002072</v>
      </c>
      <c r="I131" s="98"/>
      <c r="J131" s="98"/>
      <c r="K131" s="162"/>
      <c r="L131" s="162"/>
      <c r="M131" s="162"/>
      <c r="N131" s="162"/>
      <c r="O131" s="162"/>
      <c r="P131" s="162"/>
      <c r="Q131" s="162"/>
      <c r="R131" s="163"/>
      <c r="S131" s="155"/>
      <c r="T131" s="155"/>
      <c r="U131" s="162"/>
      <c r="V131" s="124"/>
      <c r="W131" s="140"/>
      <c r="X131" s="149"/>
      <c r="Y131" s="183"/>
      <c r="Z131" s="183"/>
      <c r="AA131" s="83"/>
      <c r="AB131" s="83"/>
      <c r="AC131" s="83"/>
      <c r="AD131" s="83"/>
      <c r="AE131" s="83"/>
      <c r="AF131" s="199"/>
      <c r="AG131" s="185"/>
      <c r="AH131" s="185"/>
      <c r="AI131" s="185"/>
      <c r="AJ131" s="199"/>
      <c r="AK131" s="156"/>
    </row>
    <row r="132" spans="1:46" s="89" customFormat="1" ht="12.75" customHeight="1" x14ac:dyDescent="0.2">
      <c r="A132" s="462">
        <f>VLOOKUP(B132,Sheet1!$AQ$4:$AR$25,2,FALSE)</f>
        <v>0</v>
      </c>
      <c r="B132" s="95" t="str">
        <f t="shared" si="31"/>
        <v>Windsor &amp; Maidenhead</v>
      </c>
      <c r="C132" s="87"/>
      <c r="D132" s="158">
        <f>IF(AND(ISNUMBER(D30),ISNUMBER('Section 47 Enquiries'!D30)),D30/'Section 47 Enquiries'!D30,NA())</f>
        <v>0.28615384615384615</v>
      </c>
      <c r="E132" s="158">
        <f>IF(AND(ISNUMBER(E30),ISNUMBER('Section 47 Enquiries'!E30)),E30/'Section 47 Enquiries'!E30,NA())</f>
        <v>0.45766590389016021</v>
      </c>
      <c r="F132" s="158">
        <f>IF(AND(ISNUMBER(F30),ISNUMBER('Section 47 Enquiries'!F30)),F30/'Section 47 Enquiries'!F30,NA())</f>
        <v>0.42450765864332601</v>
      </c>
      <c r="G132" s="158">
        <f>IF(AND(ISNUMBER(G30),ISNUMBER('Section 47 Enquiries'!G30)),G30/'Section 47 Enquiries'!G30,NA())</f>
        <v>0.3914285714285714</v>
      </c>
      <c r="H132" s="160">
        <f>IF(AND(ISNUMBER(H30),ISNUMBER('Section 47 Enquiries'!H30)),H30/'Section 47 Enquiries'!H30,NA())</f>
        <v>0.23180076628352492</v>
      </c>
      <c r="I132" s="98"/>
      <c r="J132" s="98"/>
      <c r="K132" s="162"/>
      <c r="L132" s="162"/>
      <c r="M132" s="162"/>
      <c r="N132" s="162"/>
      <c r="O132" s="162"/>
      <c r="P132" s="162"/>
      <c r="Q132" s="162"/>
      <c r="R132" s="163"/>
      <c r="S132" s="155"/>
      <c r="T132" s="155"/>
      <c r="U132" s="162"/>
      <c r="V132" s="124"/>
      <c r="W132" s="140"/>
      <c r="X132" s="149"/>
      <c r="Y132" s="183"/>
      <c r="Z132" s="183"/>
      <c r="AA132" s="83"/>
      <c r="AB132" s="83"/>
      <c r="AC132" s="83"/>
      <c r="AD132" s="83"/>
      <c r="AE132" s="83"/>
      <c r="AF132" s="199"/>
      <c r="AG132" s="199"/>
      <c r="AH132" s="199"/>
      <c r="AI132" s="185"/>
      <c r="AJ132" s="199"/>
      <c r="AK132" s="156"/>
    </row>
    <row r="133" spans="1:46" s="89" customFormat="1" ht="12.75" customHeight="1" x14ac:dyDescent="0.2">
      <c r="A133" s="462">
        <f>VLOOKUP(B133,Sheet1!$AQ$4:$AR$25,2,FALSE)</f>
        <v>0</v>
      </c>
      <c r="B133" s="95" t="str">
        <f t="shared" si="31"/>
        <v>Wokingham</v>
      </c>
      <c r="C133" s="87"/>
      <c r="D133" s="158">
        <f>IF(AND(ISNUMBER(D31),ISNUMBER('Section 47 Enquiries'!D31)),D31/'Section 47 Enquiries'!D31,NA())</f>
        <v>0.27272727272727271</v>
      </c>
      <c r="E133" s="158">
        <f>IF(AND(ISNUMBER(E31),ISNUMBER('Section 47 Enquiries'!E31)),E31/'Section 47 Enquiries'!E31,NA())</f>
        <v>0.41907514450867051</v>
      </c>
      <c r="F133" s="158">
        <f>IF(AND(ISNUMBER(F31),ISNUMBER('Section 47 Enquiries'!F31)),F31/'Section 47 Enquiries'!F31,NA())</f>
        <v>0.33840304182509506</v>
      </c>
      <c r="G133" s="158">
        <f>IF(AND(ISNUMBER(G31),ISNUMBER('Section 47 Enquiries'!G31)),G31/'Section 47 Enquiries'!G31,NA())</f>
        <v>0.38428874734607221</v>
      </c>
      <c r="H133" s="160">
        <f>IF(AND(ISNUMBER(H31),ISNUMBER('Section 47 Enquiries'!H31)),H31/'Section 47 Enquiries'!H31,NA())</f>
        <v>0.39083969465648855</v>
      </c>
      <c r="I133" s="98"/>
      <c r="J133" s="98"/>
      <c r="K133" s="162"/>
      <c r="L133" s="162"/>
      <c r="M133" s="162"/>
      <c r="N133" s="162"/>
      <c r="O133" s="162"/>
      <c r="P133" s="162"/>
      <c r="Q133" s="162"/>
      <c r="R133" s="163"/>
      <c r="S133" s="155"/>
      <c r="T133" s="155"/>
      <c r="U133" s="162"/>
      <c r="V133" s="124"/>
      <c r="W133" s="140"/>
      <c r="X133" s="149"/>
      <c r="Y133" s="183"/>
      <c r="Z133" s="183"/>
      <c r="AA133" s="83"/>
      <c r="AB133" s="83"/>
      <c r="AC133" s="83"/>
      <c r="AD133" s="83"/>
      <c r="AE133" s="83"/>
      <c r="AF133" s="199"/>
      <c r="AG133" s="199"/>
      <c r="AH133" s="199"/>
      <c r="AI133" s="185"/>
      <c r="AJ133" s="199"/>
      <c r="AK133" s="156"/>
    </row>
    <row r="134" spans="1:46" s="89" customFormat="1" ht="12.75" customHeight="1" x14ac:dyDescent="0.2">
      <c r="A134" s="123"/>
      <c r="B134" s="131" t="str">
        <f t="shared" si="31"/>
        <v>South East</v>
      </c>
      <c r="C134" s="87"/>
      <c r="D134" s="159">
        <f>IF(AND(ISNUMBER(D32),ISNUMBER('Section 47 Enquiries'!D32)),D32/'Section 47 Enquiries'!D32,NA())</f>
        <v>0.39790209790209791</v>
      </c>
      <c r="E134" s="159">
        <f>IF(AND(ISNUMBER(E32),ISNUMBER('Section 47 Enquiries'!E32)),E32/'Section 47 Enquiries'!E32,NA())</f>
        <v>0.37238903394255873</v>
      </c>
      <c r="F134" s="159">
        <f>IF(AND(ISNUMBER(F32),ISNUMBER('Section 47 Enquiries'!F32)),F32/'Section 47 Enquiries'!F32,NA())</f>
        <v>0.37280986372485397</v>
      </c>
      <c r="G134" s="159">
        <f>IF(AND(ISNUMBER(G32),ISNUMBER('Section 47 Enquiries'!G32)),G32/'Section 47 Enquiries'!G32,NA())</f>
        <v>0.37746913580246916</v>
      </c>
      <c r="H134" s="161">
        <f>IF(AND(ISNUMBER(H32),ISNUMBER('Section 47 Enquiries'!H32)),H32/'Section 47 Enquiries'!H32,NA())</f>
        <v>0.35322054021964977</v>
      </c>
      <c r="I134" s="98"/>
      <c r="J134" s="98"/>
      <c r="K134" s="164"/>
      <c r="L134" s="164"/>
      <c r="M134" s="164"/>
      <c r="N134" s="164"/>
      <c r="O134" s="164"/>
      <c r="P134" s="164"/>
      <c r="Q134" s="164"/>
      <c r="R134" s="165"/>
      <c r="S134" s="155"/>
      <c r="T134" s="155"/>
      <c r="U134" s="166"/>
      <c r="V134" s="124"/>
      <c r="W134" s="140"/>
      <c r="X134" s="149"/>
      <c r="Y134" s="183"/>
      <c r="Z134" s="183"/>
      <c r="AA134" s="83"/>
      <c r="AB134" s="83"/>
      <c r="AC134" s="83"/>
      <c r="AD134" s="83"/>
      <c r="AE134" s="83"/>
      <c r="AF134" s="199"/>
      <c r="AG134" s="199"/>
      <c r="AH134" s="199"/>
      <c r="AI134" s="185"/>
      <c r="AJ134" s="199"/>
      <c r="AK134" s="156"/>
    </row>
    <row r="135" spans="1:46" s="89" customFormat="1" ht="12.75" customHeight="1" x14ac:dyDescent="0.2">
      <c r="A135" s="123"/>
      <c r="B135" s="318" t="str">
        <f t="shared" si="31"/>
        <v>England</v>
      </c>
      <c r="C135" s="87"/>
      <c r="D135" s="344">
        <f>IF(AND(ISNUMBER(D33),ISNUMBER('Section 47 Enquiries'!D33)),D33/'Section 47 Enquiries'!D33,NA())</f>
        <v>0.44589447393068998</v>
      </c>
      <c r="E135" s="344">
        <f>IF(AND(ISNUMBER(E33),ISNUMBER('Section 47 Enquiries'!E33)),E33/'Section 47 Enquiries'!E33,NA())</f>
        <v>0.42399442799930348</v>
      </c>
      <c r="F135" s="344">
        <f>IF(AND(ISNUMBER(F33),ISNUMBER('Section 47 Enquiries'!F33)),F33/'Section 47 Enquiries'!F33,NA())</f>
        <v>0.41482879482340251</v>
      </c>
      <c r="G135" s="344">
        <f>IF(AND(ISNUMBER(G33),ISNUMBER('Section 47 Enquiries'!G33)),G33/'Section 47 Enquiries'!G33,NA())</f>
        <v>0.40118128123580193</v>
      </c>
      <c r="H135" s="345">
        <f>IF(AND(ISNUMBER(H33),ISNUMBER('Section 47 Enquiries'!H33)),H33/'Section 47 Enquiries'!H33,NA())</f>
        <v>0.38494805388477404</v>
      </c>
      <c r="I135" s="98"/>
      <c r="J135" s="98"/>
      <c r="K135" s="164"/>
      <c r="L135" s="164"/>
      <c r="M135" s="164"/>
      <c r="N135" s="164"/>
      <c r="O135" s="164"/>
      <c r="P135" s="164"/>
      <c r="Q135" s="164"/>
      <c r="R135" s="165"/>
      <c r="S135" s="155"/>
      <c r="T135" s="155"/>
      <c r="U135" s="166"/>
      <c r="V135" s="124"/>
      <c r="W135" s="140"/>
      <c r="X135" s="149"/>
      <c r="Y135" s="183"/>
      <c r="Z135" s="183"/>
      <c r="AA135" s="83"/>
      <c r="AB135" s="83"/>
      <c r="AC135" s="83"/>
      <c r="AD135" s="83"/>
      <c r="AE135" s="83"/>
      <c r="AF135" s="199"/>
      <c r="AG135" s="199"/>
      <c r="AH135" s="199"/>
      <c r="AI135" s="185"/>
      <c r="AJ135" s="199"/>
      <c r="AK135" s="156"/>
    </row>
    <row r="136" spans="1:46" s="89" customFormat="1" ht="7.5" customHeight="1" x14ac:dyDescent="0.2">
      <c r="A136" s="286"/>
      <c r="B136" s="98"/>
      <c r="C136" s="98"/>
      <c r="D136" s="98"/>
      <c r="E136" s="98"/>
      <c r="F136" s="98"/>
      <c r="G136" s="98"/>
      <c r="H136" s="98"/>
      <c r="I136" s="98"/>
      <c r="J136" s="98"/>
      <c r="K136" s="164"/>
      <c r="L136" s="164"/>
      <c r="M136" s="164"/>
      <c r="N136" s="164"/>
      <c r="O136" s="164"/>
      <c r="P136" s="164"/>
      <c r="Q136" s="164"/>
      <c r="R136" s="165"/>
      <c r="S136" s="155"/>
      <c r="T136" s="155"/>
      <c r="U136" s="166"/>
      <c r="V136" s="124"/>
      <c r="W136" s="140"/>
      <c r="X136" s="149"/>
      <c r="Y136" s="183"/>
      <c r="Z136" s="183"/>
      <c r="AA136" s="83"/>
      <c r="AB136" s="83"/>
      <c r="AC136" s="83"/>
      <c r="AD136" s="83"/>
      <c r="AE136" s="83"/>
      <c r="AF136" s="199"/>
      <c r="AG136" s="199"/>
      <c r="AH136" s="199"/>
      <c r="AI136" s="185"/>
      <c r="AJ136" s="199"/>
      <c r="AK136" s="156"/>
    </row>
    <row r="137" spans="1:46" s="83" customFormat="1" ht="38.25" customHeight="1" x14ac:dyDescent="0.2">
      <c r="A137" s="213"/>
      <c r="B137" s="362"/>
      <c r="C137" s="362"/>
      <c r="D137" s="362"/>
      <c r="E137" s="362"/>
      <c r="F137" s="362"/>
      <c r="G137" s="362"/>
      <c r="H137" s="362"/>
      <c r="I137" s="362"/>
      <c r="J137" s="168"/>
      <c r="K137" s="168"/>
      <c r="L137" s="168"/>
      <c r="M137" s="168"/>
      <c r="N137" s="168"/>
      <c r="O137" s="168"/>
      <c r="P137" s="168"/>
      <c r="Q137" s="168"/>
      <c r="R137" s="137"/>
      <c r="S137" s="168"/>
      <c r="T137" s="168"/>
      <c r="U137" s="168"/>
      <c r="V137" s="119"/>
      <c r="W137" s="138"/>
      <c r="X137" s="147"/>
      <c r="AD137" s="192"/>
      <c r="AE137" s="194"/>
      <c r="AF137" s="179"/>
      <c r="AG137" s="179"/>
      <c r="AH137" s="179"/>
      <c r="AJ137" s="179"/>
      <c r="AK137" s="157"/>
    </row>
    <row r="138" spans="1:46" s="83" customFormat="1" ht="39" customHeight="1" x14ac:dyDescent="0.2">
      <c r="A138" s="213"/>
      <c r="B138" s="362"/>
      <c r="C138" s="362"/>
      <c r="D138" s="362"/>
      <c r="E138" s="362"/>
      <c r="F138" s="362"/>
      <c r="G138" s="362"/>
      <c r="H138" s="362"/>
      <c r="I138" s="362"/>
      <c r="J138" s="168"/>
      <c r="K138" s="168"/>
      <c r="L138" s="168"/>
      <c r="M138" s="168"/>
      <c r="N138" s="168"/>
      <c r="O138" s="168"/>
      <c r="P138" s="168"/>
      <c r="Q138" s="168"/>
      <c r="R138" s="137"/>
      <c r="S138" s="168"/>
      <c r="T138" s="168"/>
      <c r="U138" s="168"/>
      <c r="V138" s="119"/>
      <c r="W138" s="138"/>
      <c r="X138" s="147"/>
      <c r="Z138" s="185"/>
      <c r="AE138" s="194"/>
      <c r="AF138" s="179"/>
      <c r="AG138" s="179"/>
      <c r="AH138" s="179"/>
      <c r="AJ138" s="179"/>
      <c r="AK138" s="157"/>
    </row>
    <row r="139" spans="1:46" s="83" customFormat="1" ht="38.25" customHeight="1" x14ac:dyDescent="0.2">
      <c r="A139" s="213"/>
      <c r="B139" s="362"/>
      <c r="C139" s="362"/>
      <c r="D139" s="362"/>
      <c r="E139" s="362"/>
      <c r="F139" s="362"/>
      <c r="G139" s="362"/>
      <c r="H139" s="362"/>
      <c r="I139" s="362"/>
      <c r="J139" s="168"/>
      <c r="K139" s="168"/>
      <c r="L139" s="168"/>
      <c r="M139" s="168"/>
      <c r="N139" s="168"/>
      <c r="O139" s="168"/>
      <c r="P139" s="168"/>
      <c r="Q139" s="168"/>
      <c r="R139" s="137"/>
      <c r="S139" s="168"/>
      <c r="T139" s="168"/>
      <c r="U139" s="168"/>
      <c r="V139" s="119"/>
      <c r="W139" s="138"/>
      <c r="X139" s="147"/>
      <c r="Z139" s="185"/>
      <c r="AE139" s="194"/>
      <c r="AF139" s="179"/>
      <c r="AG139" s="179"/>
      <c r="AH139" s="179"/>
      <c r="AJ139" s="179"/>
      <c r="AK139" s="157"/>
    </row>
    <row r="140" spans="1:46" s="83" customFormat="1" ht="7.5" customHeight="1" x14ac:dyDescent="0.2">
      <c r="A140" s="120"/>
      <c r="B140" s="18"/>
      <c r="C140" s="18"/>
      <c r="D140" s="17"/>
      <c r="E140" s="17"/>
      <c r="F140" s="17"/>
      <c r="G140" s="17"/>
      <c r="H140" s="17"/>
      <c r="I140" s="17"/>
      <c r="J140" s="13"/>
      <c r="K140" s="19"/>
      <c r="L140" s="19"/>
      <c r="M140" s="19"/>
      <c r="N140" s="19"/>
      <c r="O140" s="19"/>
      <c r="P140" s="19"/>
      <c r="Q140" s="19"/>
      <c r="R140" s="19"/>
      <c r="S140" s="19"/>
      <c r="T140" s="19"/>
      <c r="U140" s="20"/>
      <c r="V140" s="119"/>
      <c r="W140" s="138"/>
      <c r="X140" s="147"/>
      <c r="Z140" s="185"/>
      <c r="AJ140" s="179"/>
      <c r="AK140" s="153"/>
      <c r="AL140" s="76"/>
      <c r="AM140" s="76"/>
      <c r="AN140" s="76"/>
      <c r="AO140" s="76"/>
      <c r="AP140" s="76"/>
      <c r="AQ140" s="76"/>
      <c r="AR140" s="76"/>
    </row>
    <row r="141" spans="1:46" s="83" customFormat="1" ht="15" customHeight="1" x14ac:dyDescent="0.2">
      <c r="A141" s="1399"/>
      <c r="B141" s="1421"/>
      <c r="C141" s="1421"/>
      <c r="D141" s="1421"/>
      <c r="E141" s="1421"/>
      <c r="F141" s="1421"/>
      <c r="G141" s="1421"/>
      <c r="H141" s="1421"/>
      <c r="I141" s="1421"/>
      <c r="J141" s="1421"/>
      <c r="K141" s="1421"/>
      <c r="L141" s="1421"/>
      <c r="M141" s="1421"/>
      <c r="N141" s="1421"/>
      <c r="O141" s="1421"/>
      <c r="P141" s="1421"/>
      <c r="Q141" s="1421"/>
      <c r="R141" s="1421"/>
      <c r="S141" s="1421"/>
      <c r="T141" s="1421"/>
      <c r="U141" s="1421"/>
      <c r="V141" s="1422"/>
      <c r="W141" s="138"/>
      <c r="X141" s="147"/>
      <c r="AK141" s="157"/>
      <c r="AT141" s="76"/>
    </row>
    <row r="142" spans="1:46" s="83" customFormat="1" ht="11.25" customHeight="1" x14ac:dyDescent="0.2">
      <c r="A142" s="1428" t="str">
        <f>Home!$A$40</f>
        <v>LA's provide quarterly data on the condition that it is used by the benchmarking group for internal reporting only. Please DO NOT share other LA's data with any external partners or the public</v>
      </c>
      <c r="B142" s="1429"/>
      <c r="C142" s="1429"/>
      <c r="D142" s="1429"/>
      <c r="E142" s="1429"/>
      <c r="F142" s="1429"/>
      <c r="G142" s="1429"/>
      <c r="H142" s="1429"/>
      <c r="I142" s="1430"/>
      <c r="J142" s="1429"/>
      <c r="K142" s="1429"/>
      <c r="L142" s="1429"/>
      <c r="M142" s="1429"/>
      <c r="N142" s="1429"/>
      <c r="O142" s="1429"/>
      <c r="P142" s="1431"/>
      <c r="Q142" s="1429"/>
      <c r="R142" s="1429"/>
      <c r="S142" s="1429"/>
      <c r="T142" s="1430"/>
      <c r="U142" s="1429"/>
      <c r="V142" s="1432"/>
      <c r="W142" s="138"/>
      <c r="X142" s="147"/>
      <c r="AJ142" s="179"/>
      <c r="AK142" s="156"/>
      <c r="AL142" s="89"/>
      <c r="AT142" s="76"/>
    </row>
    <row r="143" spans="1:46" ht="11.25" customHeight="1" x14ac:dyDescent="0.2">
      <c r="A143" s="114"/>
      <c r="B143" s="115"/>
      <c r="C143" s="115"/>
      <c r="D143" s="115"/>
      <c r="E143" s="115"/>
      <c r="F143" s="115"/>
      <c r="G143" s="115"/>
      <c r="H143" s="115"/>
      <c r="I143" s="115"/>
      <c r="J143" s="116"/>
      <c r="K143" s="115"/>
      <c r="L143" s="115"/>
      <c r="M143" s="115"/>
      <c r="N143" s="115"/>
      <c r="O143" s="115"/>
      <c r="P143" s="115"/>
      <c r="Q143" s="115"/>
      <c r="R143" s="115"/>
      <c r="S143" s="115"/>
      <c r="T143" s="115"/>
      <c r="U143" s="115"/>
      <c r="V143" s="117"/>
      <c r="W143" s="138"/>
      <c r="X143" s="147"/>
      <c r="Y143" s="193" t="s">
        <v>138</v>
      </c>
      <c r="Z143" s="191"/>
      <c r="AA143" s="183"/>
      <c r="AJ143" s="179"/>
      <c r="AK143" s="153"/>
    </row>
    <row r="144" spans="1:46" s="78" customFormat="1" ht="15" customHeight="1" x14ac:dyDescent="0.2">
      <c r="A144" s="121"/>
      <c r="B144" s="1573" t="s">
        <v>701</v>
      </c>
      <c r="C144" s="1573"/>
      <c r="D144" s="1573"/>
      <c r="E144" s="1573"/>
      <c r="F144" s="1573"/>
      <c r="G144" s="1573"/>
      <c r="H144" s="1573"/>
      <c r="I144" s="1573"/>
      <c r="J144" s="69"/>
      <c r="K144" s="69"/>
      <c r="L144" s="69"/>
      <c r="M144" s="69"/>
      <c r="N144" s="352"/>
      <c r="O144" s="69"/>
      <c r="P144" s="69"/>
      <c r="Q144" s="69"/>
      <c r="R144" s="69"/>
      <c r="S144" s="69"/>
      <c r="T144" s="69"/>
      <c r="U144" s="69"/>
      <c r="V144" s="122"/>
      <c r="W144" s="139"/>
      <c r="X144" s="148"/>
      <c r="AE144" s="183"/>
      <c r="AF144" s="183"/>
      <c r="AG144" s="183"/>
      <c r="AH144" s="183"/>
      <c r="AI144" s="183"/>
      <c r="AJ144" s="183"/>
      <c r="AK144" s="154"/>
    </row>
    <row r="145" spans="1:45" ht="15" customHeight="1" x14ac:dyDescent="0.2">
      <c r="A145" s="120"/>
      <c r="B145" s="1573"/>
      <c r="C145" s="1573"/>
      <c r="D145" s="1573"/>
      <c r="E145" s="1573"/>
      <c r="F145" s="1573"/>
      <c r="G145" s="1573"/>
      <c r="H145" s="1573"/>
      <c r="I145" s="1573"/>
      <c r="J145" s="69"/>
      <c r="K145" s="69"/>
      <c r="L145" s="69"/>
      <c r="M145" s="69"/>
      <c r="N145" s="352"/>
      <c r="O145" s="69"/>
      <c r="P145" s="69"/>
      <c r="Q145" s="69"/>
      <c r="R145" s="10"/>
      <c r="S145" s="69"/>
      <c r="T145" s="69"/>
      <c r="U145" s="69"/>
      <c r="V145" s="119"/>
      <c r="W145" s="138"/>
      <c r="X145" s="147"/>
      <c r="Y145" s="187"/>
      <c r="Z145" s="417" t="e">
        <f>D147</f>
        <v>#N/A</v>
      </c>
      <c r="AA145" s="417" t="e">
        <f>E147</f>
        <v>#N/A</v>
      </c>
      <c r="AB145" s="417" t="e">
        <f>F147</f>
        <v>#N/A</v>
      </c>
      <c r="AC145" s="417" t="e">
        <f>G147</f>
        <v>#N/A</v>
      </c>
      <c r="AD145" s="417" t="e">
        <f>H147</f>
        <v>#N/A</v>
      </c>
      <c r="AJ145" s="179"/>
      <c r="AK145" s="153"/>
    </row>
    <row r="146" spans="1:45" ht="13.5" customHeight="1" x14ac:dyDescent="0.25">
      <c r="A146" s="271"/>
      <c r="B146" s="1419" t="s">
        <v>190</v>
      </c>
      <c r="C146" s="859"/>
      <c r="D146" s="755" t="str">
        <f>Sheet1!$D$25</f>
        <v>2014-15</v>
      </c>
      <c r="E146" s="756" t="str">
        <f>Sheet1!$E$25</f>
        <v>2015-16</v>
      </c>
      <c r="F146" s="756" t="str">
        <f>Sheet1!$F$25</f>
        <v>2016-17</v>
      </c>
      <c r="G146" s="756" t="str">
        <f>Sheet1!$G$25</f>
        <v>2017-18</v>
      </c>
      <c r="H146" s="757" t="str">
        <f>Sheet1!$H$25</f>
        <v>2018-19</v>
      </c>
      <c r="I146" s="868"/>
      <c r="J146" s="69"/>
      <c r="K146" s="69"/>
      <c r="L146" s="69"/>
      <c r="M146" s="69"/>
      <c r="N146" s="855"/>
      <c r="O146" s="69"/>
      <c r="P146" s="69"/>
      <c r="Q146" s="69"/>
      <c r="R146" s="10"/>
      <c r="S146" s="69"/>
      <c r="T146" s="69"/>
      <c r="U146" s="69"/>
      <c r="V146" s="119"/>
      <c r="W146" s="138"/>
      <c r="X146" s="147"/>
      <c r="Y146" s="416" t="str">
        <f t="shared" ref="Y146:Y169" si="32">B10</f>
        <v>Bracknell Forest</v>
      </c>
      <c r="Z146" s="102">
        <f>IF(Year1_Bracknell_Forest Year1_CP_Conference_within15days="","",Year1_Bracknell_Forest Year1_CP_Conference_within15days)</f>
        <v>92</v>
      </c>
      <c r="AA146" s="102">
        <f>IF(Year2_Bracknell_Forest Year2_CP_Conference_within15days="","",Year2_Bracknell_Forest Year2_CP_Conference_within15days)</f>
        <v>105</v>
      </c>
      <c r="AB146" s="102">
        <f>IF(Year3_Bracknell_Forest Year3_CP_Conference_within15days="","",Year3_Bracknell_Forest Year3_CP_Conference_within15days)</f>
        <v>193</v>
      </c>
      <c r="AC146" s="102">
        <f>IF(Year4_Bracknell_Forest Year4_CP_Conference_within15days="","",Year4_Bracknell_Forest Year4_CP_Conference_within15days)</f>
        <v>194</v>
      </c>
      <c r="AD146" s="563">
        <f>IF(Year5_Bracknell_Forest Year5_CP_Conference_within15days="","",Year5_Bracknell_Forest Year5_CP_Conference_within15days)</f>
        <v>199</v>
      </c>
      <c r="AJ146" s="179"/>
      <c r="AK146" s="153"/>
    </row>
    <row r="147" spans="1:45" s="89" customFormat="1" ht="13.5" customHeight="1" x14ac:dyDescent="0.2">
      <c r="A147" s="123"/>
      <c r="B147" s="1420"/>
      <c r="C147" s="87"/>
      <c r="D147" s="758" t="e">
        <f>Sheet1!$D$26</f>
        <v>#N/A</v>
      </c>
      <c r="E147" s="758" t="e">
        <f>Sheet1!$E$26</f>
        <v>#N/A</v>
      </c>
      <c r="F147" s="758" t="e">
        <f>Sheet1!$F$26</f>
        <v>#N/A</v>
      </c>
      <c r="G147" s="758" t="e">
        <f>Sheet1!$G$26</f>
        <v>#N/A</v>
      </c>
      <c r="H147" s="759" t="e">
        <f>Sheet1!$H$26</f>
        <v>#N/A</v>
      </c>
      <c r="I147" s="98"/>
      <c r="J147" s="98"/>
      <c r="K147" s="61"/>
      <c r="L147" s="61"/>
      <c r="M147" s="61"/>
      <c r="N147" s="61"/>
      <c r="O147" s="61"/>
      <c r="P147" s="61"/>
      <c r="Q147" s="358"/>
      <c r="R147" s="358"/>
      <c r="S147" s="155"/>
      <c r="T147" s="155"/>
      <c r="U147" s="359"/>
      <c r="V147" s="124"/>
      <c r="W147" s="140"/>
      <c r="X147" s="149"/>
      <c r="Y147" s="416" t="str">
        <f t="shared" si="32"/>
        <v>Brighton &amp; Hove</v>
      </c>
      <c r="Z147" s="102">
        <f>IF(Year1_Brighton_Hove Year1_CP_Conference_within15days="","",Year1_Brighton_Hove Year1_CP_Conference_within15days)</f>
        <v>283</v>
      </c>
      <c r="AA147" s="102">
        <f>IF(Year2_Brighton_Hove Year2_CP_Conference_within15days="","",Year2_Brighton_Hove Year2_CP_Conference_within15days)</f>
        <v>346</v>
      </c>
      <c r="AB147" s="102">
        <f>IF(Year3_Brighton_Hove Year3_CP_Conference_within15days="","",Year3_Brighton_Hove Year3_CP_Conference_within15days)</f>
        <v>311</v>
      </c>
      <c r="AC147" s="102">
        <f>IF(Year4_Brighton_Hove Year4_CP_Conference_within15days="","",Year4_Brighton_Hove Year4_CP_Conference_within15days)</f>
        <v>420</v>
      </c>
      <c r="AD147" s="563">
        <f>IF(Year5_Brighton_Hove Year5_CP_Conference_within15days="","",Year5_Brighton_Hove Year5_CP_Conference_within15days)</f>
        <v>324</v>
      </c>
      <c r="AE147" s="194"/>
      <c r="AF147" s="185"/>
      <c r="AG147" s="185"/>
      <c r="AH147" s="185"/>
      <c r="AI147" s="185"/>
      <c r="AJ147" s="199"/>
      <c r="AK147" s="156"/>
    </row>
    <row r="148" spans="1:45" s="89" customFormat="1" ht="12.75" customHeight="1" x14ac:dyDescent="0.2">
      <c r="A148" s="462">
        <f>VLOOKUP(B148,Sheet1!$AQ$4:$AR$25,2,FALSE)</f>
        <v>0</v>
      </c>
      <c r="B148" s="95" t="str">
        <f t="shared" ref="B148:B171" si="33">B10</f>
        <v>Bracknell Forest</v>
      </c>
      <c r="C148" s="87"/>
      <c r="D148" s="158">
        <f>IF(AND(ISNUMBER(D10),ISNUMBER(Z146)),Z146/D10,NA())</f>
        <v>0.56441717791411039</v>
      </c>
      <c r="E148" s="158">
        <f t="shared" ref="E148:H148" si="34">IF(AND(ISNUMBER(E10),ISNUMBER(AA146)),AA146/E10,NA())</f>
        <v>0.66455696202531644</v>
      </c>
      <c r="F148" s="158">
        <f t="shared" si="34"/>
        <v>0.73946360153256707</v>
      </c>
      <c r="G148" s="158">
        <f t="shared" si="34"/>
        <v>0.82553191489361699</v>
      </c>
      <c r="H148" s="160">
        <f t="shared" si="34"/>
        <v>0.7865612648221344</v>
      </c>
      <c r="I148" s="98"/>
      <c r="J148" s="98"/>
      <c r="K148" s="162"/>
      <c r="L148" s="162"/>
      <c r="M148" s="162"/>
      <c r="N148" s="162"/>
      <c r="O148" s="162"/>
      <c r="P148" s="162"/>
      <c r="Q148" s="162"/>
      <c r="R148" s="163"/>
      <c r="S148" s="155"/>
      <c r="T148" s="155"/>
      <c r="U148" s="162"/>
      <c r="V148" s="124"/>
      <c r="W148" s="140"/>
      <c r="X148" s="149"/>
      <c r="Y148" s="416" t="str">
        <f t="shared" si="32"/>
        <v>Buckinghamshire</v>
      </c>
      <c r="Z148" s="102">
        <f>IF(Year1_Buckinghamshire Year1_CP_Conference_within15days="","",Year1_Buckinghamshire Year1_CP_Conference_within15days)</f>
        <v>221</v>
      </c>
      <c r="AA148" s="102">
        <f>IF(Year2_Buckinghamshire Year2_CP_Conference_within15days="","",Year2_Buckinghamshire Year2_CP_Conference_within15days)</f>
        <v>516</v>
      </c>
      <c r="AB148" s="102">
        <f>IF(Year3_Buckinghamshire Year3_CP_Conference_within15days="","",Year3_Buckinghamshire Year3_CP_Conference_within15days)</f>
        <v>603</v>
      </c>
      <c r="AC148" s="102">
        <f>IF(Year4_Buckinghamshire Year4_CP_Conference_within15days="","",Year4_Buckinghamshire Year4_CP_Conference_within15days)</f>
        <v>631</v>
      </c>
      <c r="AD148" s="563">
        <f>IF(Year5_Buckinghamshire Year5_CP_Conference_within15days="","",Year5_Buckinghamshire Year5_CP_Conference_within15days)</f>
        <v>586</v>
      </c>
      <c r="AE148" s="194"/>
      <c r="AF148" s="185"/>
      <c r="AG148" s="185"/>
      <c r="AH148" s="185"/>
      <c r="AI148" s="185"/>
      <c r="AJ148" s="199"/>
      <c r="AK148" s="156"/>
    </row>
    <row r="149" spans="1:45" s="89" customFormat="1" ht="12.75" customHeight="1" x14ac:dyDescent="0.2">
      <c r="A149" s="462">
        <f>VLOOKUP(B149,Sheet1!$AQ$4:$AR$25,2,FALSE)</f>
        <v>0</v>
      </c>
      <c r="B149" s="95" t="str">
        <f t="shared" si="33"/>
        <v>Brighton &amp; Hove</v>
      </c>
      <c r="C149" s="87"/>
      <c r="D149" s="158">
        <f t="shared" ref="D149:D171" si="35">IF(AND(ISNUMBER(D11),ISNUMBER(Z147)),Z147/D11,NA())</f>
        <v>0.59957627118644063</v>
      </c>
      <c r="E149" s="158">
        <f t="shared" ref="E149:E171" si="36">IF(AND(ISNUMBER(E11),ISNUMBER(AA147)),AA147/E11,NA())</f>
        <v>0.63602941176470584</v>
      </c>
      <c r="F149" s="158">
        <f t="shared" ref="F149:F171" si="37">IF(AND(ISNUMBER(F11),ISNUMBER(AB147)),AB147/F11,NA())</f>
        <v>0.66029723991507427</v>
      </c>
      <c r="G149" s="158">
        <f t="shared" ref="G149:G171" si="38">IF(AND(ISNUMBER(G11),ISNUMBER(AC147)),AC147/G11,NA())</f>
        <v>0.87318087318087323</v>
      </c>
      <c r="H149" s="160">
        <f t="shared" ref="H149:H171" si="39">IF(AND(ISNUMBER(H11),ISNUMBER(AD147)),AD147/H11,NA())</f>
        <v>0.82864450127877243</v>
      </c>
      <c r="I149" s="98"/>
      <c r="J149" s="98"/>
      <c r="K149" s="162"/>
      <c r="L149" s="162"/>
      <c r="M149" s="162"/>
      <c r="N149" s="162"/>
      <c r="O149" s="162"/>
      <c r="P149" s="162"/>
      <c r="Q149" s="162"/>
      <c r="R149" s="163"/>
      <c r="S149" s="155"/>
      <c r="T149" s="155"/>
      <c r="U149" s="162"/>
      <c r="V149" s="124"/>
      <c r="W149" s="140"/>
      <c r="X149" s="149"/>
      <c r="Y149" s="416" t="str">
        <f t="shared" si="32"/>
        <v>East Sussex</v>
      </c>
      <c r="Z149" s="102">
        <f>IF(Year1_East_Sussex Year1_CP_Conference_within15days="","",Year1_East_Sussex Year1_CP_Conference_within15days)</f>
        <v>425</v>
      </c>
      <c r="AA149" s="102">
        <f>IF(Year2_East_Sussex Year2_CP_Conference_within15days="","",Year2_East_Sussex Year2_CP_Conference_within15days)</f>
        <v>292</v>
      </c>
      <c r="AB149" s="102">
        <f>IF(Year3_East_Sussex Year3_CP_Conference_within15days="","",Year3_East_Sussex Year3_CP_Conference_within15days)</f>
        <v>375</v>
      </c>
      <c r="AC149" s="102">
        <f>IF(Year4_East_Sussex Year4_CP_Conference_within15days="","",Year4_East_Sussex Year4_CP_Conference_within15days)</f>
        <v>410</v>
      </c>
      <c r="AD149" s="563">
        <f>IF(Year5_East_Sussex Year5_CP_Conference_within15days="","",Year5_East_Sussex Year5_CP_Conference_within15days)</f>
        <v>539</v>
      </c>
      <c r="AE149" s="194"/>
      <c r="AF149" s="185"/>
      <c r="AG149" s="185"/>
      <c r="AH149" s="185"/>
      <c r="AI149" s="185"/>
      <c r="AJ149" s="199"/>
      <c r="AK149" s="156"/>
    </row>
    <row r="150" spans="1:45" s="89" customFormat="1" ht="12.75" customHeight="1" x14ac:dyDescent="0.2">
      <c r="A150" s="462">
        <f>VLOOKUP(B150,Sheet1!$AQ$4:$AR$25,2,FALSE)</f>
        <v>0</v>
      </c>
      <c r="B150" s="95" t="str">
        <f t="shared" si="33"/>
        <v>Buckinghamshire</v>
      </c>
      <c r="C150" s="87"/>
      <c r="D150" s="158">
        <f t="shared" si="35"/>
        <v>0.43248532289628178</v>
      </c>
      <c r="E150" s="158">
        <f t="shared" si="36"/>
        <v>0.68891855807743663</v>
      </c>
      <c r="F150" s="158">
        <f t="shared" si="37"/>
        <v>0.69630484988452657</v>
      </c>
      <c r="G150" s="158">
        <f t="shared" si="38"/>
        <v>0.73201856148491884</v>
      </c>
      <c r="H150" s="160">
        <f t="shared" si="39"/>
        <v>0.73525721455457971</v>
      </c>
      <c r="I150" s="98"/>
      <c r="J150" s="98"/>
      <c r="K150" s="162"/>
      <c r="L150" s="162"/>
      <c r="M150" s="162"/>
      <c r="N150" s="162"/>
      <c r="O150" s="162"/>
      <c r="P150" s="162"/>
      <c r="Q150" s="162"/>
      <c r="R150" s="163"/>
      <c r="S150" s="155"/>
      <c r="T150" s="155"/>
      <c r="U150" s="162"/>
      <c r="V150" s="124"/>
      <c r="W150" s="140"/>
      <c r="X150" s="149"/>
      <c r="Y150" s="416" t="str">
        <f t="shared" si="32"/>
        <v>Hampshire</v>
      </c>
      <c r="Z150" s="102">
        <f>IF(Year1_Hampshire Year1_CP_Conference_within15days="","",Year1_Hampshire Year1_CP_Conference_within15days)</f>
        <v>1456</v>
      </c>
      <c r="AA150" s="102">
        <f>IF(Year2_Hampshire Year2_CP_Conference_within15days="","",Year2_Hampshire Year2_CP_Conference_within15days)</f>
        <v>1346</v>
      </c>
      <c r="AB150" s="572">
        <f>IF(Year3_Hampshire Year3_CP_Conference_within15days="","",Year3_Hampshire Year3_CP_Conference_within15days)</f>
        <v>1435</v>
      </c>
      <c r="AC150" s="572">
        <f>IF(Year4_Hampshire Year4_CP_Conference_within15days="","",Year4_Hampshire Year4_CP_Conference_within15days)</f>
        <v>1375</v>
      </c>
      <c r="AD150" s="563">
        <f>IF(Year5_Hampshire Year5_CP_Conference_within15days="","",Year5_Hampshire Year5_CP_Conference_within15days)</f>
        <v>1327</v>
      </c>
      <c r="AE150" s="194"/>
      <c r="AF150" s="185"/>
      <c r="AG150" s="185"/>
      <c r="AH150" s="185"/>
      <c r="AI150" s="185"/>
      <c r="AJ150" s="199"/>
      <c r="AK150" s="156"/>
    </row>
    <row r="151" spans="1:45" s="89" customFormat="1" ht="12.75" customHeight="1" x14ac:dyDescent="0.2">
      <c r="A151" s="462">
        <f>VLOOKUP(B151,Sheet1!$AQ$4:$AR$25,2,FALSE)</f>
        <v>0</v>
      </c>
      <c r="B151" s="95" t="str">
        <f t="shared" si="33"/>
        <v>East Sussex</v>
      </c>
      <c r="C151" s="87"/>
      <c r="D151" s="158">
        <f t="shared" si="35"/>
        <v>0.68</v>
      </c>
      <c r="E151" s="158">
        <f t="shared" si="36"/>
        <v>0.6045548654244306</v>
      </c>
      <c r="F151" s="158">
        <f t="shared" si="37"/>
        <v>0.59808612440191389</v>
      </c>
      <c r="G151" s="158">
        <f t="shared" si="38"/>
        <v>0.57665260196905765</v>
      </c>
      <c r="H151" s="160">
        <f t="shared" si="39"/>
        <v>0.75174337517433754</v>
      </c>
      <c r="I151" s="98"/>
      <c r="J151" s="98"/>
      <c r="K151" s="162"/>
      <c r="L151" s="162"/>
      <c r="M151" s="162"/>
      <c r="N151" s="162"/>
      <c r="O151" s="162"/>
      <c r="P151" s="162"/>
      <c r="Q151" s="162"/>
      <c r="R151" s="163"/>
      <c r="S151" s="155"/>
      <c r="T151" s="155"/>
      <c r="U151" s="162"/>
      <c r="V151" s="124"/>
      <c r="W151" s="140"/>
      <c r="X151" s="149"/>
      <c r="Y151" s="416" t="str">
        <f t="shared" si="32"/>
        <v>Isle of Wight</v>
      </c>
      <c r="Z151" s="102">
        <f>IF(Year1_Isle_of_Wight Year1_CP_Conference_within15days="","",Year1_Isle_of_Wight Year1_CP_Conference_within15days)</f>
        <v>212</v>
      </c>
      <c r="AA151" s="102">
        <f>IF(Year2_Isle_of_Wight Year2_CP_Conference_within15days="","",Year2_Isle_of_Wight Year2_CP_Conference_within15days)</f>
        <v>214</v>
      </c>
      <c r="AB151" s="102">
        <f>IF(Year3_Isle_of_Wight Year3_CP_Conference_within15days="","",Year3_Isle_of_Wight Year3_CP_Conference_within15days)</f>
        <v>218</v>
      </c>
      <c r="AC151" s="102">
        <f>IF(Year4_Isle_of_Wight Year4_CP_Conference_within15days="","",Year4_Isle_of_Wight Year4_CP_Conference_within15days)</f>
        <v>230</v>
      </c>
      <c r="AD151" s="563">
        <f>IF(Year5_Isle_of_Wight Year5_CP_Conference_within15days="","",Year5_Isle_of_Wight Year5_CP_Conference_within15days)</f>
        <v>187</v>
      </c>
      <c r="AE151" s="194"/>
      <c r="AF151" s="185"/>
      <c r="AG151" s="185"/>
      <c r="AH151" s="185"/>
      <c r="AI151" s="185"/>
      <c r="AJ151" s="199"/>
      <c r="AK151" s="156"/>
    </row>
    <row r="152" spans="1:45" s="89" customFormat="1" ht="12.75" customHeight="1" x14ac:dyDescent="0.2">
      <c r="A152" s="462">
        <f>VLOOKUP(B152,Sheet1!$AQ$4:$AR$25,2,FALSE)</f>
        <v>0</v>
      </c>
      <c r="B152" s="95" t="str">
        <f t="shared" si="33"/>
        <v>Hampshire</v>
      </c>
      <c r="C152" s="87"/>
      <c r="D152" s="158">
        <f t="shared" si="35"/>
        <v>0.6887417218543046</v>
      </c>
      <c r="E152" s="158">
        <f t="shared" si="36"/>
        <v>0.70842105263157895</v>
      </c>
      <c r="F152" s="158">
        <f t="shared" si="37"/>
        <v>0.76779026217228463</v>
      </c>
      <c r="G152" s="158">
        <f t="shared" si="38"/>
        <v>0.77073991031390132</v>
      </c>
      <c r="H152" s="160">
        <f t="shared" si="39"/>
        <v>0.7531214528944381</v>
      </c>
      <c r="I152" s="98"/>
      <c r="J152" s="98"/>
      <c r="K152" s="162"/>
      <c r="L152" s="162"/>
      <c r="M152" s="162"/>
      <c r="N152" s="162"/>
      <c r="O152" s="162"/>
      <c r="P152" s="162"/>
      <c r="Q152" s="162"/>
      <c r="R152" s="163"/>
      <c r="S152" s="155"/>
      <c r="T152" s="155"/>
      <c r="U152" s="162"/>
      <c r="V152" s="124"/>
      <c r="W152" s="140"/>
      <c r="X152" s="149"/>
      <c r="Y152" s="416" t="str">
        <f t="shared" si="32"/>
        <v>Kent</v>
      </c>
      <c r="Z152" s="102">
        <f>IF(Year1_Kent Year1_CP_Conference_within15days="","",Year1_Kent Year1_CP_Conference_within15days)</f>
        <v>1410</v>
      </c>
      <c r="AA152" s="102">
        <f>IF(Year2_Kent Year2_CP_Conference_within15days="","",Year2_Kent Year2_CP_Conference_within15days)</f>
        <v>1285</v>
      </c>
      <c r="AB152" s="102">
        <f>IF(Year3_Kent Year3_CP_Conference_within15days="","",Year3_Kent Year3_CP_Conference_within15days)</f>
        <v>1260</v>
      </c>
      <c r="AC152" s="102">
        <f>IF(Year4_Kent Year4_CP_Conference_within15days="","",Year4_Kent Year4_CP_Conference_within15days)</f>
        <v>1320</v>
      </c>
      <c r="AD152" s="563">
        <f>IF(Year5_Kent Year5_CP_Conference_within15days="","",Year5_Kent Year5_CP_Conference_within15days)</f>
        <v>1377</v>
      </c>
      <c r="AE152" s="194"/>
      <c r="AF152" s="185"/>
      <c r="AG152" s="185"/>
      <c r="AH152" s="185"/>
      <c r="AI152" s="185"/>
      <c r="AJ152" s="199"/>
      <c r="AK152" s="156"/>
    </row>
    <row r="153" spans="1:45" s="89" customFormat="1" ht="12.75" customHeight="1" x14ac:dyDescent="0.2">
      <c r="A153" s="462">
        <f>VLOOKUP(B153,Sheet1!$AQ$4:$AR$25,2,FALSE)</f>
        <v>0</v>
      </c>
      <c r="B153" s="95" t="str">
        <f t="shared" si="33"/>
        <v>Isle of Wight</v>
      </c>
      <c r="C153" s="87"/>
      <c r="D153" s="158">
        <f t="shared" si="35"/>
        <v>0.64437689969604861</v>
      </c>
      <c r="E153" s="158">
        <f t="shared" si="36"/>
        <v>0.57066666666666666</v>
      </c>
      <c r="F153" s="158">
        <f t="shared" si="37"/>
        <v>0.75694444444444442</v>
      </c>
      <c r="G153" s="158">
        <f t="shared" si="38"/>
        <v>0.8487084870848709</v>
      </c>
      <c r="H153" s="160">
        <f t="shared" si="39"/>
        <v>0.80952380952380953</v>
      </c>
      <c r="I153" s="98"/>
      <c r="J153" s="98"/>
      <c r="K153" s="162"/>
      <c r="L153" s="162"/>
      <c r="M153" s="162"/>
      <c r="N153" s="162"/>
      <c r="O153" s="162"/>
      <c r="P153" s="162"/>
      <c r="Q153" s="162"/>
      <c r="R153" s="163"/>
      <c r="S153" s="155"/>
      <c r="T153" s="155"/>
      <c r="U153" s="162"/>
      <c r="V153" s="124"/>
      <c r="W153" s="140"/>
      <c r="X153" s="149"/>
      <c r="Y153" s="416" t="str">
        <f t="shared" si="32"/>
        <v>Medway</v>
      </c>
      <c r="Z153" s="102">
        <f>IF(Year1_Medway Year1_CP_Conference_within15days="","",Year1_Medway Year1_CP_Conference_within15days)</f>
        <v>358</v>
      </c>
      <c r="AA153" s="102">
        <f>IF(Year2_Medway Year2_CP_Conference_within15days="","",Year2_Medway Year2_CP_Conference_within15days)</f>
        <v>539</v>
      </c>
      <c r="AB153" s="102">
        <f>IF(Year3_Medway Year3_CP_Conference_within15days="","",Year3_Medway Year3_CP_Conference_within15days)</f>
        <v>310</v>
      </c>
      <c r="AC153" s="102">
        <f>IF(Year4_Medway Year4_CP_Conference_within15days="","",Year4_Medway Year4_CP_Conference_within15days)</f>
        <v>353</v>
      </c>
      <c r="AD153" s="563">
        <f>IF(Year5_Medway Year5_CP_Conference_within15days="","",Year5_Medway Year5_CP_Conference_within15days)</f>
        <v>415</v>
      </c>
      <c r="AE153" s="194"/>
      <c r="AF153" s="185"/>
      <c r="AG153" s="185"/>
      <c r="AH153" s="185"/>
      <c r="AI153" s="185"/>
      <c r="AJ153" s="199"/>
      <c r="AK153" s="156"/>
      <c r="AS153" s="89" t="s">
        <v>103</v>
      </c>
    </row>
    <row r="154" spans="1:45" s="89" customFormat="1" ht="12.75" customHeight="1" x14ac:dyDescent="0.2">
      <c r="A154" s="462">
        <f>VLOOKUP(B154,Sheet1!$AQ$4:$AR$25,2,FALSE)</f>
        <v>0</v>
      </c>
      <c r="B154" s="95" t="str">
        <f t="shared" si="33"/>
        <v>Kent</v>
      </c>
      <c r="C154" s="87"/>
      <c r="D154" s="158">
        <f t="shared" si="35"/>
        <v>0.78420467185761955</v>
      </c>
      <c r="E154" s="158">
        <f t="shared" si="36"/>
        <v>0.82956746287927696</v>
      </c>
      <c r="F154" s="158">
        <f t="shared" si="37"/>
        <v>0.84337349397590367</v>
      </c>
      <c r="G154" s="158">
        <f t="shared" si="38"/>
        <v>0.74914869466515321</v>
      </c>
      <c r="H154" s="160">
        <f t="shared" si="39"/>
        <v>0.87539732994278452</v>
      </c>
      <c r="I154" s="98"/>
      <c r="J154" s="98"/>
      <c r="K154" s="162"/>
      <c r="L154" s="162"/>
      <c r="M154" s="162"/>
      <c r="N154" s="162"/>
      <c r="O154" s="162"/>
      <c r="P154" s="162"/>
      <c r="Q154" s="162"/>
      <c r="R154" s="163"/>
      <c r="S154" s="155"/>
      <c r="T154" s="155"/>
      <c r="U154" s="162"/>
      <c r="V154" s="124"/>
      <c r="W154" s="140"/>
      <c r="X154" s="149"/>
      <c r="Y154" s="416" t="str">
        <f t="shared" si="32"/>
        <v>Milton Keynes</v>
      </c>
      <c r="Z154" s="102">
        <f>IF(Year1_Milton_Keynes Year1_CP_Conference_within15days="","",Year1_Milton_Keynes Year1_CP_Conference_within15days)</f>
        <v>115</v>
      </c>
      <c r="AA154" s="102">
        <f>IF(Year2_Milton_Keynes Year2_CP_Conference_within15days="","",Year2_Milton_Keynes Year2_CP_Conference_within15days)</f>
        <v>112</v>
      </c>
      <c r="AB154" s="102">
        <f>IF(Year3_Milton_Keynes Year3_CP_Conference_within15days="","",Year3_Milton_Keynes Year3_CP_Conference_within15days)</f>
        <v>128</v>
      </c>
      <c r="AC154" s="102">
        <f>IF(Year4_Milton_Keynes Year4_CP_Conference_within15days="","",Year4_Milton_Keynes Year4_CP_Conference_within15days)</f>
        <v>166</v>
      </c>
      <c r="AD154" s="563">
        <f>IF(Year5_Milton_Keynes Year5_CP_Conference_within15days="","",Year5_Milton_Keynes Year5_CP_Conference_within15days)</f>
        <v>194</v>
      </c>
      <c r="AE154" s="194"/>
      <c r="AF154" s="185"/>
      <c r="AG154" s="185"/>
      <c r="AH154" s="185"/>
      <c r="AI154" s="185"/>
      <c r="AJ154" s="199"/>
      <c r="AK154" s="156"/>
    </row>
    <row r="155" spans="1:45" s="89" customFormat="1" ht="12.75" customHeight="1" x14ac:dyDescent="0.2">
      <c r="A155" s="462">
        <f>VLOOKUP(B155,Sheet1!$AQ$4:$AR$25,2,FALSE)</f>
        <v>0</v>
      </c>
      <c r="B155" s="95" t="str">
        <f t="shared" si="33"/>
        <v>Medway</v>
      </c>
      <c r="C155" s="87"/>
      <c r="D155" s="158">
        <f t="shared" si="35"/>
        <v>0.5907590759075908</v>
      </c>
      <c r="E155" s="158">
        <f t="shared" si="36"/>
        <v>0.88797364085667219</v>
      </c>
      <c r="F155" s="158">
        <f t="shared" si="37"/>
        <v>0.88319088319088324</v>
      </c>
      <c r="G155" s="158">
        <f t="shared" si="38"/>
        <v>0.87593052109181146</v>
      </c>
      <c r="H155" s="160">
        <f t="shared" si="39"/>
        <v>0.74909747292418771</v>
      </c>
      <c r="I155" s="98"/>
      <c r="J155" s="98"/>
      <c r="K155" s="162"/>
      <c r="L155" s="162"/>
      <c r="M155" s="162"/>
      <c r="N155" s="162"/>
      <c r="O155" s="162"/>
      <c r="P155" s="162"/>
      <c r="Q155" s="162"/>
      <c r="R155" s="163"/>
      <c r="S155" s="155"/>
      <c r="T155" s="155"/>
      <c r="U155" s="162"/>
      <c r="V155" s="124"/>
      <c r="W155" s="140"/>
      <c r="X155" s="149"/>
      <c r="Y155" s="416" t="str">
        <f t="shared" si="32"/>
        <v>Oxfordshire</v>
      </c>
      <c r="Z155" s="102">
        <f>IF(Year1_Oxfordshire Year1_CP_Conference_within15days="","",Year1_Oxfordshire Year1_CP_Conference_within15days)</f>
        <v>539</v>
      </c>
      <c r="AA155" s="102">
        <f>IF(Year2_Oxfordshire Year2_CP_Conference_within15days="","",Year2_Oxfordshire Year2_CP_Conference_within15days)</f>
        <v>637</v>
      </c>
      <c r="AB155" s="102">
        <f>IF(Year3_Oxfordshire Year3_CP_Conference_within15days="","",Year3_Oxfordshire Year3_CP_Conference_within15days)</f>
        <v>822</v>
      </c>
      <c r="AC155" s="102">
        <f>IF(Year4_Oxfordshire Year4_CP_Conference_within15days="","",Year4_Oxfordshire Year4_CP_Conference_within15days)</f>
        <v>781</v>
      </c>
      <c r="AD155" s="563">
        <f>IF(Year5_Oxfordshire Year5_CP_Conference_within15days="","",Year5_Oxfordshire Year5_CP_Conference_within15days)</f>
        <v>690</v>
      </c>
      <c r="AE155" s="194"/>
      <c r="AF155" s="185"/>
      <c r="AG155" s="185"/>
      <c r="AH155" s="185"/>
      <c r="AI155" s="185"/>
      <c r="AJ155" s="199"/>
      <c r="AK155" s="156"/>
    </row>
    <row r="156" spans="1:45" s="89" customFormat="1" ht="12.75" customHeight="1" x14ac:dyDescent="0.2">
      <c r="A156" s="462">
        <f>VLOOKUP(B156,Sheet1!$AQ$4:$AR$25,2,FALSE)</f>
        <v>0</v>
      </c>
      <c r="B156" s="95" t="str">
        <f t="shared" si="33"/>
        <v>Milton Keynes</v>
      </c>
      <c r="C156" s="87"/>
      <c r="D156" s="158">
        <f t="shared" si="35"/>
        <v>0.97457627118644063</v>
      </c>
      <c r="E156" s="158">
        <f t="shared" si="36"/>
        <v>0.93333333333333335</v>
      </c>
      <c r="F156" s="158">
        <f t="shared" si="37"/>
        <v>0.87074829931972786</v>
      </c>
      <c r="G156" s="158">
        <f t="shared" si="38"/>
        <v>0.94857142857142862</v>
      </c>
      <c r="H156" s="160">
        <f t="shared" si="39"/>
        <v>0.87387387387387383</v>
      </c>
      <c r="I156" s="98"/>
      <c r="J156" s="98"/>
      <c r="K156" s="162"/>
      <c r="L156" s="162"/>
      <c r="M156" s="162"/>
      <c r="N156" s="162"/>
      <c r="O156" s="162"/>
      <c r="P156" s="162"/>
      <c r="Q156" s="162"/>
      <c r="R156" s="163"/>
      <c r="S156" s="155"/>
      <c r="T156" s="155"/>
      <c r="U156" s="162"/>
      <c r="V156" s="124"/>
      <c r="W156" s="140"/>
      <c r="X156" s="149"/>
      <c r="Y156" s="416" t="str">
        <f t="shared" si="32"/>
        <v>Portsmouth</v>
      </c>
      <c r="Z156" s="102">
        <f>IF(Year1_Portsmouth Year1_CP_Conference_within15days="","",Year1_Portsmouth Year1_CP_Conference_within15days)</f>
        <v>194</v>
      </c>
      <c r="AA156" s="102">
        <f>IF(Year2_Portsmouth Year2_CP_Conference_within15days="","",Year2_Portsmouth Year2_CP_Conference_within15days)</f>
        <v>226</v>
      </c>
      <c r="AB156" s="102">
        <f>IF(Year3_Portsmouth Year3_CP_Conference_within15days="","",Year3_Portsmouth Year3_CP_Conference_within15days)</f>
        <v>232</v>
      </c>
      <c r="AC156" s="102">
        <f>IF(Year4_Portsmouth Year4_CP_Conference_within15days="","",Year4_Portsmouth Year4_CP_Conference_within15days)</f>
        <v>222</v>
      </c>
      <c r="AD156" s="563">
        <f>IF(Year5_Portsmouth Year5_CP_Conference_within15days="","",Year5_Portsmouth Year5_CP_Conference_within15days)</f>
        <v>237</v>
      </c>
      <c r="AE156" s="194"/>
      <c r="AF156" s="185"/>
      <c r="AG156" s="185"/>
      <c r="AH156" s="185"/>
      <c r="AI156" s="185"/>
      <c r="AJ156" s="199"/>
      <c r="AK156" s="156"/>
    </row>
    <row r="157" spans="1:45" s="89" customFormat="1" ht="12.75" customHeight="1" x14ac:dyDescent="0.2">
      <c r="A157" s="462">
        <f>VLOOKUP(B157,Sheet1!$AQ$4:$AR$25,2,FALSE)</f>
        <v>0</v>
      </c>
      <c r="B157" s="95" t="str">
        <f t="shared" si="33"/>
        <v>Oxfordshire</v>
      </c>
      <c r="C157" s="87"/>
      <c r="D157" s="158">
        <f t="shared" si="35"/>
        <v>0.74757281553398058</v>
      </c>
      <c r="E157" s="158">
        <f t="shared" si="36"/>
        <v>0.81876606683804631</v>
      </c>
      <c r="F157" s="158">
        <f t="shared" si="37"/>
        <v>0.89347826086956517</v>
      </c>
      <c r="G157" s="158">
        <f t="shared" si="38"/>
        <v>0.88952164009111623</v>
      </c>
      <c r="H157" s="160">
        <f t="shared" si="39"/>
        <v>0.81656804733727806</v>
      </c>
      <c r="I157" s="98"/>
      <c r="J157" s="98"/>
      <c r="K157" s="162"/>
      <c r="L157" s="162"/>
      <c r="M157" s="162"/>
      <c r="N157" s="162"/>
      <c r="O157" s="162"/>
      <c r="P157" s="162"/>
      <c r="Q157" s="162"/>
      <c r="R157" s="163"/>
      <c r="S157" s="155"/>
      <c r="T157" s="155"/>
      <c r="U157" s="162"/>
      <c r="V157" s="124"/>
      <c r="W157" s="140"/>
      <c r="X157" s="149"/>
      <c r="Y157" s="416" t="str">
        <f t="shared" si="32"/>
        <v>Reading</v>
      </c>
      <c r="Z157" s="102">
        <f>IF(Year1_Reading Year1_CP_Conference_within15days="","",Year1_Reading Year1_CP_Conference_within15days)</f>
        <v>257</v>
      </c>
      <c r="AA157" s="102">
        <f>IF(Year2_Reading Year2_CP_Conference_within15days="","",Year2_Reading Year2_CP_Conference_within15days)</f>
        <v>290</v>
      </c>
      <c r="AB157" s="102">
        <f>IF(Year3_Reading Year3_CP_Conference_within15days="","",Year3_Reading Year3_CP_Conference_within15days)</f>
        <v>447</v>
      </c>
      <c r="AC157" s="102">
        <f>IF(Year4_Reading Year4_CP_Conference_within15days="","",Year4_Reading Year4_CP_Conference_within15days)</f>
        <v>313</v>
      </c>
      <c r="AD157" s="563">
        <f>IF(Year5_Reading Year5_CP_Conference_within15days="","",Year5_Reading Year5_CP_Conference_within15days)</f>
        <v>256</v>
      </c>
      <c r="AE157" s="194"/>
      <c r="AF157" s="185"/>
      <c r="AG157" s="185"/>
      <c r="AH157" s="185"/>
      <c r="AI157" s="185"/>
      <c r="AJ157" s="199"/>
      <c r="AK157" s="156"/>
    </row>
    <row r="158" spans="1:45" s="89" customFormat="1" ht="12.75" customHeight="1" x14ac:dyDescent="0.2">
      <c r="A158" s="462">
        <f>VLOOKUP(B158,Sheet1!$AQ$4:$AR$25,2,FALSE)</f>
        <v>0</v>
      </c>
      <c r="B158" s="95" t="str">
        <f t="shared" si="33"/>
        <v>Portsmouth</v>
      </c>
      <c r="C158" s="87"/>
      <c r="D158" s="158">
        <f t="shared" si="35"/>
        <v>0.6759581881533101</v>
      </c>
      <c r="E158" s="158">
        <f t="shared" si="36"/>
        <v>0.67261904761904767</v>
      </c>
      <c r="F158" s="158">
        <f t="shared" si="37"/>
        <v>0.77591973244147161</v>
      </c>
      <c r="G158" s="158">
        <f t="shared" si="38"/>
        <v>0.71844660194174759</v>
      </c>
      <c r="H158" s="160">
        <f t="shared" si="39"/>
        <v>0.8172413793103448</v>
      </c>
      <c r="I158" s="98"/>
      <c r="J158" s="98"/>
      <c r="K158" s="162"/>
      <c r="L158" s="162"/>
      <c r="M158" s="162"/>
      <c r="N158" s="162"/>
      <c r="O158" s="162"/>
      <c r="P158" s="162"/>
      <c r="Q158" s="162"/>
      <c r="R158" s="163"/>
      <c r="S158" s="155"/>
      <c r="T158" s="155"/>
      <c r="U158" s="162"/>
      <c r="V158" s="124"/>
      <c r="W158" s="140"/>
      <c r="X158" s="149"/>
      <c r="Y158" s="416" t="str">
        <f t="shared" si="32"/>
        <v>Slough</v>
      </c>
      <c r="Z158" s="102">
        <f>IF(Year1_Slough Year1_CP_Conference_within15days="","",Year1_Slough Year1_CP_Conference_within15days)</f>
        <v>305</v>
      </c>
      <c r="AA158" s="102">
        <f>IF(Year2_Slough Year2_CP_Conference_within15days="","",Year2_Slough Year2_CP_Conference_within15days)</f>
        <v>286</v>
      </c>
      <c r="AB158" s="102">
        <f>IF(Year3_Slough Year3_CP_Conference_within15days="","",Year3_Slough Year3_CP_Conference_within15days)</f>
        <v>276</v>
      </c>
      <c r="AC158" s="102">
        <f>IF(Year4_Slough Year4_CP_Conference_within15days="","",Year4_Slough Year4_CP_Conference_within15days)</f>
        <v>207</v>
      </c>
      <c r="AD158" s="563">
        <f>IF(Year5_Slough Year5_CP_Conference_within15days="","",Year5_Slough Year5_CP_Conference_within15days)</f>
        <v>236</v>
      </c>
      <c r="AE158" s="194"/>
      <c r="AF158" s="185"/>
      <c r="AG158" s="185"/>
      <c r="AH158" s="185"/>
      <c r="AI158" s="185"/>
      <c r="AJ158" s="199"/>
      <c r="AK158" s="156"/>
    </row>
    <row r="159" spans="1:45" s="89" customFormat="1" ht="12.75" customHeight="1" x14ac:dyDescent="0.2">
      <c r="A159" s="462">
        <f>VLOOKUP(B159,Sheet1!$AQ$4:$AR$25,2,FALSE)</f>
        <v>0</v>
      </c>
      <c r="B159" s="95" t="str">
        <f t="shared" si="33"/>
        <v>Reading</v>
      </c>
      <c r="C159" s="87"/>
      <c r="D159" s="158">
        <f t="shared" si="35"/>
        <v>0.85382059800664456</v>
      </c>
      <c r="E159" s="158">
        <f t="shared" si="36"/>
        <v>0.67441860465116277</v>
      </c>
      <c r="F159" s="158">
        <f t="shared" si="37"/>
        <v>0.84659090909090906</v>
      </c>
      <c r="G159" s="158">
        <f t="shared" si="38"/>
        <v>0.75421686746987948</v>
      </c>
      <c r="H159" s="160">
        <f t="shared" si="39"/>
        <v>0.60377358490566035</v>
      </c>
      <c r="I159" s="98"/>
      <c r="J159" s="98"/>
      <c r="K159" s="162"/>
      <c r="L159" s="162"/>
      <c r="M159" s="162"/>
      <c r="N159" s="162"/>
      <c r="O159" s="162"/>
      <c r="P159" s="162"/>
      <c r="Q159" s="162"/>
      <c r="R159" s="163"/>
      <c r="S159" s="155"/>
      <c r="T159" s="155"/>
      <c r="U159" s="162"/>
      <c r="V159" s="124"/>
      <c r="W159" s="140"/>
      <c r="X159" s="149"/>
      <c r="Y159" s="416" t="str">
        <f t="shared" si="32"/>
        <v>Somerset</v>
      </c>
      <c r="Z159" s="102">
        <f>IF(Year1_Somerset Year1_CP_Conference_within15days="","",Year1_Somerset Year1_CP_Conference_within15days)</f>
        <v>637</v>
      </c>
      <c r="AA159" s="102">
        <f>IF(Year2_Somerset Year2_CP_Conference_within15days="","",Year2_Somerset Year2_CP_Conference_within15days)</f>
        <v>461</v>
      </c>
      <c r="AB159" s="102">
        <f>IF(Year3_Somerset Year3_CP_Conference_within15days="","",Year3_Somerset Year3_CP_Conference_within15days)</f>
        <v>622</v>
      </c>
      <c r="AC159" s="102">
        <f>IF(Year4_Somerset Year4_CP_Conference_within15days="","",Year4_Somerset Year4_CP_Conference_within15days)</f>
        <v>547</v>
      </c>
      <c r="AD159" s="563">
        <f>IF(Year5_Somerset Year5_CP_Conference_within15days="","",Year5_Somerset Year5_CP_Conference_within15days)</f>
        <v>476</v>
      </c>
      <c r="AE159" s="194"/>
      <c r="AF159" s="185"/>
      <c r="AG159" s="185"/>
      <c r="AH159" s="185"/>
      <c r="AI159" s="185"/>
      <c r="AJ159" s="199"/>
      <c r="AK159" s="156"/>
    </row>
    <row r="160" spans="1:45" s="89" customFormat="1" ht="12.75" customHeight="1" x14ac:dyDescent="0.2">
      <c r="A160" s="462">
        <f>VLOOKUP(B160,Sheet1!$AQ$4:$AR$25,2,FALSE)</f>
        <v>0</v>
      </c>
      <c r="B160" s="95" t="str">
        <f t="shared" si="33"/>
        <v>Slough</v>
      </c>
      <c r="C160" s="87"/>
      <c r="D160" s="158">
        <f t="shared" si="35"/>
        <v>0.79842931937172779</v>
      </c>
      <c r="E160" s="158">
        <f t="shared" si="36"/>
        <v>0.81481481481481477</v>
      </c>
      <c r="F160" s="158">
        <f t="shared" si="37"/>
        <v>0.81656804733727806</v>
      </c>
      <c r="G160" s="158">
        <f t="shared" si="38"/>
        <v>0.75547445255474455</v>
      </c>
      <c r="H160" s="160">
        <f t="shared" si="39"/>
        <v>0.68804664723032072</v>
      </c>
      <c r="I160" s="98"/>
      <c r="J160" s="98"/>
      <c r="K160" s="162"/>
      <c r="L160" s="162"/>
      <c r="M160" s="162"/>
      <c r="N160" s="162"/>
      <c r="O160" s="162"/>
      <c r="P160" s="162"/>
      <c r="Q160" s="162"/>
      <c r="R160" s="163"/>
      <c r="S160" s="155"/>
      <c r="T160" s="155"/>
      <c r="U160" s="162"/>
      <c r="V160" s="124"/>
      <c r="W160" s="140"/>
      <c r="X160" s="149"/>
      <c r="Y160" s="416" t="str">
        <f t="shared" si="32"/>
        <v>Southampton</v>
      </c>
      <c r="Z160" s="102">
        <f>IF(Year1_Southampton Year1_CP_Conference_within15days="","",Year1_Southampton Year1_CP_Conference_within15days)</f>
        <v>351</v>
      </c>
      <c r="AA160" s="102">
        <f>IF(Year2_Southampton Year2_CP_Conference_within15days="","",Year2_Southampton Year2_CP_Conference_within15days)</f>
        <v>343</v>
      </c>
      <c r="AB160" s="102">
        <f>IF(Year3_Southampton Year3_CP_Conference_within15days="","",Year3_Southampton Year3_CP_Conference_within15days)</f>
        <v>315</v>
      </c>
      <c r="AC160" s="102">
        <f>IF(Year4_Southampton Year4_CP_Conference_within15days="","",Year4_Southampton Year4_CP_Conference_within15days)</f>
        <v>380</v>
      </c>
      <c r="AD160" s="563">
        <f>IF(Year5_Southampton Year5_CP_Conference_within15days="","",Year5_Southampton Year5_CP_Conference_within15days)</f>
        <v>341</v>
      </c>
      <c r="AE160" s="194"/>
      <c r="AF160" s="185"/>
      <c r="AG160" s="185"/>
      <c r="AH160" s="185"/>
      <c r="AI160" s="185"/>
      <c r="AJ160" s="199"/>
      <c r="AK160" s="156"/>
    </row>
    <row r="161" spans="1:44" s="89" customFormat="1" ht="12.75" customHeight="1" x14ac:dyDescent="0.2">
      <c r="A161" s="462">
        <f>VLOOKUP(B161,Sheet1!$AQ$4:$AR$25,2,FALSE)</f>
        <v>0</v>
      </c>
      <c r="B161" s="95" t="str">
        <f t="shared" si="33"/>
        <v>Somerset</v>
      </c>
      <c r="C161" s="87"/>
      <c r="D161" s="158">
        <f t="shared" si="35"/>
        <v>0.90099009900990101</v>
      </c>
      <c r="E161" s="158">
        <f t="shared" si="36"/>
        <v>0.96443514644351469</v>
      </c>
      <c r="F161" s="158">
        <f t="shared" si="37"/>
        <v>0.94099848714069589</v>
      </c>
      <c r="G161" s="158">
        <f t="shared" si="38"/>
        <v>0.93344709897610922</v>
      </c>
      <c r="H161" s="160">
        <f t="shared" si="39"/>
        <v>0.92427184466019419</v>
      </c>
      <c r="I161" s="98"/>
      <c r="J161" s="98"/>
      <c r="K161" s="162"/>
      <c r="L161" s="162"/>
      <c r="M161" s="162"/>
      <c r="N161" s="162"/>
      <c r="O161" s="162"/>
      <c r="P161" s="162"/>
      <c r="Q161" s="162"/>
      <c r="R161" s="163"/>
      <c r="S161" s="155"/>
      <c r="T161" s="155"/>
      <c r="U161" s="162"/>
      <c r="V161" s="124"/>
      <c r="W161" s="140"/>
      <c r="X161" s="149"/>
      <c r="Y161" s="416" t="str">
        <f t="shared" si="32"/>
        <v>Surrey</v>
      </c>
      <c r="Z161" s="102">
        <f>IF(Year1_Surrey Year1_CP_Conference_within15days="","",Year1_Surrey Year1_CP_Conference_within15days)</f>
        <v>653</v>
      </c>
      <c r="AA161" s="102">
        <f>IF(Year2_Surrey Year2_CP_Conference_within15days="","",Year2_Surrey Year2_CP_Conference_within15days)</f>
        <v>810</v>
      </c>
      <c r="AB161" s="102">
        <f>IF(Year3_Surrey Year3_CP_Conference_within15days="","",Year3_Surrey Year3_CP_Conference_within15days)</f>
        <v>925</v>
      </c>
      <c r="AC161" s="102">
        <f>IF(Year4_Surrey Year4_CP_Conference_within15days="","",Year4_Surrey Year4_CP_Conference_within15days)</f>
        <v>764</v>
      </c>
      <c r="AD161" s="563">
        <f>IF(Year5_Surrey Year5_CP_Conference_within15days="","",Year5_Surrey Year5_CP_Conference_within15days)</f>
        <v>1174</v>
      </c>
      <c r="AE161" s="194"/>
      <c r="AF161" s="185"/>
      <c r="AG161" s="185"/>
      <c r="AH161" s="185"/>
      <c r="AI161" s="185"/>
      <c r="AJ161" s="199"/>
      <c r="AK161" s="156"/>
    </row>
    <row r="162" spans="1:44" s="89" customFormat="1" ht="12.75" customHeight="1" x14ac:dyDescent="0.2">
      <c r="A162" s="462">
        <f>VLOOKUP(B162,Sheet1!$AQ$4:$AR$25,2,FALSE)</f>
        <v>0</v>
      </c>
      <c r="B162" s="95" t="str">
        <f t="shared" si="33"/>
        <v>Southampton</v>
      </c>
      <c r="C162" s="87"/>
      <c r="D162" s="158">
        <f t="shared" si="35"/>
        <v>0.70909090909090911</v>
      </c>
      <c r="E162" s="158">
        <f t="shared" si="36"/>
        <v>0.61801801801801803</v>
      </c>
      <c r="F162" s="158">
        <f t="shared" si="37"/>
        <v>0.68034557235421167</v>
      </c>
      <c r="G162" s="158">
        <f t="shared" si="38"/>
        <v>0.73929961089494167</v>
      </c>
      <c r="H162" s="160">
        <f t="shared" si="39"/>
        <v>0.71189979123173275</v>
      </c>
      <c r="I162" s="98"/>
      <c r="J162" s="98"/>
      <c r="K162" s="162"/>
      <c r="L162" s="162"/>
      <c r="M162" s="162"/>
      <c r="N162" s="162"/>
      <c r="O162" s="162"/>
      <c r="P162" s="162"/>
      <c r="Q162" s="162"/>
      <c r="R162" s="163"/>
      <c r="S162" s="155"/>
      <c r="T162" s="155"/>
      <c r="U162" s="162"/>
      <c r="V162" s="124"/>
      <c r="W162" s="140"/>
      <c r="X162" s="149"/>
      <c r="Y162" s="416" t="str">
        <f t="shared" si="32"/>
        <v>Swindon</v>
      </c>
      <c r="Z162" s="102">
        <f>IF(Year1_Swindon Year1_CP_Conference_within15days="","",Year1_Swindon Year1_CP_Conference_within15days)</f>
        <v>215</v>
      </c>
      <c r="AA162" s="102">
        <f>IF(Year2_Swindon Year2_CP_Conference_within15days="","",Year2_Swindon Year2_CP_Conference_within15days)</f>
        <v>270</v>
      </c>
      <c r="AB162" s="102">
        <f>IF(Year3_Swindon Year3_CP_Conference_within15days="","",Year3_Swindon Year3_CP_Conference_within15days)</f>
        <v>253</v>
      </c>
      <c r="AC162" s="102">
        <f>IF(Year4_Swindon Year4_CP_Conference_within15days="","",Year4_Swindon Year4_CP_Conference_within15days)</f>
        <v>486</v>
      </c>
      <c r="AD162" s="563">
        <f>IF(Year5_Swindon Year5_CP_Conference_within15days="","",Year5_Swindon Year5_CP_Conference_within15days)</f>
        <v>339</v>
      </c>
      <c r="AE162" s="194"/>
      <c r="AF162" s="185"/>
      <c r="AG162" s="185"/>
      <c r="AH162" s="185"/>
      <c r="AI162" s="185"/>
      <c r="AJ162" s="199"/>
      <c r="AK162" s="156"/>
    </row>
    <row r="163" spans="1:44" s="89" customFormat="1" ht="12.75" customHeight="1" x14ac:dyDescent="0.2">
      <c r="A163" s="462">
        <f>VLOOKUP(B163,Sheet1!$AQ$4:$AR$25,2,FALSE)</f>
        <v>0</v>
      </c>
      <c r="B163" s="95" t="str">
        <f t="shared" si="33"/>
        <v>Surrey</v>
      </c>
      <c r="C163" s="87"/>
      <c r="D163" s="158">
        <f t="shared" si="35"/>
        <v>0.53436988543371522</v>
      </c>
      <c r="E163" s="158">
        <f t="shared" si="36"/>
        <v>0.66393442622950816</v>
      </c>
      <c r="F163" s="158">
        <f t="shared" si="37"/>
        <v>0.68417159763313606</v>
      </c>
      <c r="G163" s="158">
        <f t="shared" si="38"/>
        <v>0.51447811447811442</v>
      </c>
      <c r="H163" s="160">
        <f t="shared" si="39"/>
        <v>0.77903118779031189</v>
      </c>
      <c r="I163" s="98"/>
      <c r="J163" s="98"/>
      <c r="K163" s="162"/>
      <c r="L163" s="162"/>
      <c r="M163" s="162"/>
      <c r="N163" s="162"/>
      <c r="O163" s="162"/>
      <c r="P163" s="162"/>
      <c r="Q163" s="162"/>
      <c r="R163" s="163"/>
      <c r="S163" s="155"/>
      <c r="T163" s="155"/>
      <c r="U163" s="162"/>
      <c r="V163" s="124"/>
      <c r="W163" s="140"/>
      <c r="X163" s="149"/>
      <c r="Y163" s="416" t="str">
        <f t="shared" si="32"/>
        <v>Torbay</v>
      </c>
      <c r="Z163" s="102">
        <f>IF(Year1_Torbay Year1_CP_Conference_within15days="","",Year1_Torbay Year1_CP_Conference_within15days)</f>
        <v>137</v>
      </c>
      <c r="AA163" s="102">
        <f>IF(Year2_Torbay Year2_CP_Conference_within15days="","",Year2_Torbay Year2_CP_Conference_within15days)</f>
        <v>262</v>
      </c>
      <c r="AB163" s="102">
        <f>IF(Year3_Torbay Year3_CP_Conference_within15days="","",Year3_Torbay Year3_CP_Conference_within15days)</f>
        <v>326</v>
      </c>
      <c r="AC163" s="102">
        <f>IF(Year4_Torbay Year4_CP_Conference_within15days="","",Year4_Torbay Year4_CP_Conference_within15days)</f>
        <v>242</v>
      </c>
      <c r="AD163" s="563">
        <f>IF(Year5_Torbay Year5_CP_Conference_within15days="","",Year5_Torbay Year5_CP_Conference_within15days)</f>
        <v>225</v>
      </c>
      <c r="AE163" s="194"/>
      <c r="AF163" s="185"/>
      <c r="AG163" s="185"/>
      <c r="AH163" s="185"/>
      <c r="AI163" s="185"/>
      <c r="AJ163" s="199"/>
      <c r="AK163" s="156"/>
    </row>
    <row r="164" spans="1:44" s="89" customFormat="1" ht="12.75" customHeight="1" x14ac:dyDescent="0.2">
      <c r="A164" s="462">
        <f>VLOOKUP(B164,Sheet1!$AQ$4:$AR$25,2,FALSE)</f>
        <v>0</v>
      </c>
      <c r="B164" s="95" t="str">
        <f t="shared" si="33"/>
        <v>Swindon</v>
      </c>
      <c r="C164" s="87"/>
      <c r="D164" s="158">
        <f t="shared" si="35"/>
        <v>0.69579288025889963</v>
      </c>
      <c r="E164" s="158">
        <f t="shared" si="36"/>
        <v>0.78034682080924855</v>
      </c>
      <c r="F164" s="158">
        <f t="shared" si="37"/>
        <v>0.65374677002583981</v>
      </c>
      <c r="G164" s="158">
        <f t="shared" si="38"/>
        <v>0.84668989547038331</v>
      </c>
      <c r="H164" s="160">
        <f t="shared" si="39"/>
        <v>0.68484848484848482</v>
      </c>
      <c r="I164" s="98"/>
      <c r="J164" s="98"/>
      <c r="K164" s="162"/>
      <c r="L164" s="162"/>
      <c r="M164" s="162"/>
      <c r="N164" s="162"/>
      <c r="O164" s="162"/>
      <c r="P164" s="162"/>
      <c r="Q164" s="162"/>
      <c r="R164" s="163"/>
      <c r="S164" s="155"/>
      <c r="T164" s="155"/>
      <c r="U164" s="162"/>
      <c r="V164" s="124"/>
      <c r="W164" s="140"/>
      <c r="X164" s="149"/>
      <c r="Y164" s="416" t="str">
        <f t="shared" si="32"/>
        <v>West Berkshire</v>
      </c>
      <c r="Z164" s="102">
        <f>IF(Year1_West_Berkshire Year1_CP_Conference_within15days="","",Year1_West_Berkshire Year1_CP_Conference_within15days)</f>
        <v>178</v>
      </c>
      <c r="AA164" s="102">
        <f>IF(Year2_West_Berkshire Year2_CP_Conference_within15days="","",Year2_West_Berkshire Year2_CP_Conference_within15days)</f>
        <v>226</v>
      </c>
      <c r="AB164" s="102">
        <f>IF(Year3_West_Berkshire Year3_CP_Conference_within15days="","",Year3_West_Berkshire Year3_CP_Conference_within15days)</f>
        <v>240</v>
      </c>
      <c r="AC164" s="102">
        <f>IF(Year4_West_Berkshire Year4_CP_Conference_within15days="","",Year4_West_Berkshire Year4_CP_Conference_within15days)</f>
        <v>265</v>
      </c>
      <c r="AD164" s="563">
        <f>IF(Year5_West_Berkshire Year5_CP_Conference_within15days="","",Year5_West_Berkshire Year5_CP_Conference_within15days)</f>
        <v>249</v>
      </c>
      <c r="AE164" s="194"/>
      <c r="AF164" s="185"/>
      <c r="AG164" s="185"/>
      <c r="AH164" s="185"/>
      <c r="AI164" s="185"/>
      <c r="AJ164" s="199"/>
      <c r="AK164" s="156"/>
    </row>
    <row r="165" spans="1:44" s="89" customFormat="1" ht="12.75" customHeight="1" x14ac:dyDescent="0.2">
      <c r="A165" s="462">
        <f>VLOOKUP(B165,Sheet1!$AQ$4:$AR$25,2,FALSE)</f>
        <v>0</v>
      </c>
      <c r="B165" s="95" t="str">
        <f t="shared" si="33"/>
        <v>Torbay</v>
      </c>
      <c r="C165" s="87"/>
      <c r="D165" s="158">
        <f t="shared" si="35"/>
        <v>0.45819397993311034</v>
      </c>
      <c r="E165" s="158">
        <f t="shared" si="36"/>
        <v>0.80615384615384611</v>
      </c>
      <c r="F165" s="158">
        <f t="shared" si="37"/>
        <v>0.90055248618784534</v>
      </c>
      <c r="G165" s="158">
        <f t="shared" si="38"/>
        <v>0.66850828729281764</v>
      </c>
      <c r="H165" s="160">
        <f t="shared" si="39"/>
        <v>0.73289902280130292</v>
      </c>
      <c r="I165" s="98"/>
      <c r="J165" s="98"/>
      <c r="K165" s="162"/>
      <c r="L165" s="162"/>
      <c r="M165" s="162"/>
      <c r="N165" s="162"/>
      <c r="O165" s="162"/>
      <c r="P165" s="162"/>
      <c r="Q165" s="162"/>
      <c r="R165" s="163"/>
      <c r="S165" s="155"/>
      <c r="T165" s="155"/>
      <c r="U165" s="162"/>
      <c r="V165" s="124"/>
      <c r="W165" s="140"/>
      <c r="X165" s="149"/>
      <c r="Y165" s="416" t="str">
        <f t="shared" si="32"/>
        <v>West Sussex</v>
      </c>
      <c r="Z165" s="102">
        <f>IF(Year1_West_Sussex Year1_CP_Conference_within15days="","",Year1_West_Sussex Year1_CP_Conference_within15days)</f>
        <v>510</v>
      </c>
      <c r="AA165" s="102">
        <f>IF(Year2_West_Sussex Year2_CP_Conference_within15days="","",Year2_West_Sussex Year2_CP_Conference_within15days)</f>
        <v>355</v>
      </c>
      <c r="AB165" s="102">
        <f>IF(Year3_West_Sussex Year3_CP_Conference_within15days="","",Year3_West_Sussex Year3_CP_Conference_within15days)</f>
        <v>291</v>
      </c>
      <c r="AC165" s="102">
        <f>IF(Year4_West_Sussex Year4_CP_Conference_within15days="","",Year4_West_Sussex Year4_CP_Conference_within15days)</f>
        <v>918</v>
      </c>
      <c r="AD165" s="563">
        <f>IF(Year5_West_Sussex Year5_CP_Conference_within15days="","",Year5_West_Sussex Year5_CP_Conference_within15days)</f>
        <v>607</v>
      </c>
      <c r="AE165" s="194"/>
      <c r="AF165" s="185"/>
      <c r="AG165" s="185"/>
      <c r="AH165" s="185"/>
      <c r="AI165" s="185"/>
      <c r="AJ165" s="199"/>
      <c r="AK165" s="156"/>
    </row>
    <row r="166" spans="1:44" s="89" customFormat="1" ht="12.75" customHeight="1" x14ac:dyDescent="0.2">
      <c r="A166" s="462">
        <f>VLOOKUP(B166,Sheet1!$AQ$4:$AR$25,2,FALSE)</f>
        <v>0</v>
      </c>
      <c r="B166" s="95" t="str">
        <f t="shared" si="33"/>
        <v>West Berkshire</v>
      </c>
      <c r="C166" s="87"/>
      <c r="D166" s="158">
        <f t="shared" si="35"/>
        <v>0.85990338164251212</v>
      </c>
      <c r="E166" s="158">
        <f t="shared" si="36"/>
        <v>0.94166666666666665</v>
      </c>
      <c r="F166" s="158">
        <f t="shared" si="37"/>
        <v>0.967741935483871</v>
      </c>
      <c r="G166" s="158">
        <f t="shared" si="38"/>
        <v>0.96363636363636362</v>
      </c>
      <c r="H166" s="160">
        <f t="shared" si="39"/>
        <v>0.96138996138996136</v>
      </c>
      <c r="I166" s="98"/>
      <c r="J166" s="98"/>
      <c r="K166" s="162"/>
      <c r="L166" s="162"/>
      <c r="M166" s="162"/>
      <c r="N166" s="162"/>
      <c r="O166" s="162"/>
      <c r="P166" s="162"/>
      <c r="Q166" s="162"/>
      <c r="R166" s="163"/>
      <c r="S166" s="155"/>
      <c r="T166" s="155"/>
      <c r="U166" s="162"/>
      <c r="V166" s="124"/>
      <c r="W166" s="140"/>
      <c r="X166" s="149"/>
      <c r="Y166" s="416" t="str">
        <f t="shared" si="32"/>
        <v>Windsor &amp; Maidenhead</v>
      </c>
      <c r="Z166" s="102">
        <f>IF(Year1_Windsor_Maidenhead Year1_CP_Conference_within15days="","",Year1_Windsor_Maidenhead Year1_CP_Conference_within15days)</f>
        <v>73</v>
      </c>
      <c r="AA166" s="102">
        <f>IF(Year2_Windsor_Maidenhead Year2_CP_Conference_within15days="","",Year2_Windsor_Maidenhead Year2_CP_Conference_within15days)</f>
        <v>172</v>
      </c>
      <c r="AB166" s="102">
        <f>IF(Year3_Windsor_Maidenhead Year3_CP_Conference_within15days="","",Year3_Windsor_Maidenhead Year3_CP_Conference_within15days)</f>
        <v>161</v>
      </c>
      <c r="AC166" s="102">
        <f>IF(Year4_Windsor_Maidenhead Year4_CP_Conference_within15days="","",Year4_Windsor_Maidenhead Year4_CP_Conference_within15days)</f>
        <v>73</v>
      </c>
      <c r="AD166" s="563">
        <f>IF(Year5_Windsor_Maidenhead Year5_CP_Conference_within15days="","",Year5_Windsor_Maidenhead Year5_CP_Conference_within15days)</f>
        <v>78</v>
      </c>
      <c r="AE166" s="194"/>
      <c r="AF166" s="199"/>
      <c r="AG166" s="185"/>
      <c r="AH166" s="185"/>
      <c r="AI166" s="185"/>
      <c r="AJ166" s="199"/>
      <c r="AK166" s="156"/>
    </row>
    <row r="167" spans="1:44" s="89" customFormat="1" ht="12.75" customHeight="1" x14ac:dyDescent="0.2">
      <c r="A167" s="462">
        <f>VLOOKUP(B167,Sheet1!$AQ$4:$AR$25,2,FALSE)</f>
        <v>0</v>
      </c>
      <c r="B167" s="95" t="str">
        <f t="shared" si="33"/>
        <v>West Sussex</v>
      </c>
      <c r="C167" s="87"/>
      <c r="D167" s="158">
        <f t="shared" si="35"/>
        <v>0.58688147295742232</v>
      </c>
      <c r="E167" s="158">
        <f t="shared" si="36"/>
        <v>0.52906110283159469</v>
      </c>
      <c r="F167" s="158">
        <f t="shared" si="37"/>
        <v>0.42794117647058821</v>
      </c>
      <c r="G167" s="158">
        <f t="shared" si="38"/>
        <v>0.85078776645041709</v>
      </c>
      <c r="H167" s="160">
        <f t="shared" si="39"/>
        <v>0.69450800915331812</v>
      </c>
      <c r="I167" s="98"/>
      <c r="J167" s="98"/>
      <c r="K167" s="162"/>
      <c r="L167" s="162"/>
      <c r="M167" s="162"/>
      <c r="N167" s="162"/>
      <c r="O167" s="162"/>
      <c r="P167" s="162"/>
      <c r="Q167" s="162"/>
      <c r="R167" s="163"/>
      <c r="S167" s="155"/>
      <c r="T167" s="155"/>
      <c r="U167" s="162"/>
      <c r="V167" s="124"/>
      <c r="W167" s="140"/>
      <c r="X167" s="149"/>
      <c r="Y167" s="416" t="str">
        <f t="shared" si="32"/>
        <v>Wokingham</v>
      </c>
      <c r="Z167" s="102">
        <f>IF(Year1_Wokingham Year1_CP_Conference_within15days="","",Year1_Wokingham Year1_CP_Conference_within15days)</f>
        <v>63</v>
      </c>
      <c r="AA167" s="102">
        <f>IF(Year2_Wokingham Year2_CP_Conference_within15days="","",Year2_Wokingham Year2_CP_Conference_within15days)</f>
        <v>140</v>
      </c>
      <c r="AB167" s="102">
        <f>IF(Year3_Wokingham Year3_CP_Conference_within15days="","",Year3_Wokingham Year3_CP_Conference_within15days)</f>
        <v>71</v>
      </c>
      <c r="AC167" s="102">
        <f>IF(Year4_Wokingham Year4_CP_Conference_within15days="","",Year4_Wokingham Year4_CP_Conference_within15days)</f>
        <v>149</v>
      </c>
      <c r="AD167" s="563">
        <f>IF(Year5_Wokingham Year5_CP_Conference_within15days="","",Year5_Wokingham Year5_CP_Conference_within15days)</f>
        <v>168</v>
      </c>
      <c r="AE167" s="194"/>
      <c r="AF167" s="199"/>
      <c r="AG167" s="185"/>
      <c r="AH167" s="185"/>
      <c r="AI167" s="185"/>
      <c r="AJ167" s="199"/>
      <c r="AK167" s="156"/>
    </row>
    <row r="168" spans="1:44" s="89" customFormat="1" ht="12.75" customHeight="1" x14ac:dyDescent="0.2">
      <c r="A168" s="462">
        <f>VLOOKUP(B168,Sheet1!$AQ$4:$AR$25,2,FALSE)</f>
        <v>0</v>
      </c>
      <c r="B168" s="95" t="str">
        <f t="shared" si="33"/>
        <v>Windsor &amp; Maidenhead</v>
      </c>
      <c r="C168" s="87"/>
      <c r="D168" s="158">
        <f t="shared" si="35"/>
        <v>0.78494623655913975</v>
      </c>
      <c r="E168" s="158">
        <f t="shared" si="36"/>
        <v>0.86</v>
      </c>
      <c r="F168" s="158">
        <f t="shared" si="37"/>
        <v>0.82989690721649489</v>
      </c>
      <c r="G168" s="158">
        <f t="shared" si="38"/>
        <v>0.53284671532846717</v>
      </c>
      <c r="H168" s="160">
        <f t="shared" si="39"/>
        <v>0.64462809917355368</v>
      </c>
      <c r="I168" s="98"/>
      <c r="J168" s="98"/>
      <c r="K168" s="162"/>
      <c r="L168" s="162"/>
      <c r="M168" s="162"/>
      <c r="N168" s="162"/>
      <c r="O168" s="162"/>
      <c r="P168" s="162"/>
      <c r="Q168" s="162"/>
      <c r="R168" s="163"/>
      <c r="S168" s="155"/>
      <c r="T168" s="155"/>
      <c r="U168" s="162"/>
      <c r="V168" s="124"/>
      <c r="W168" s="140"/>
      <c r="X168" s="149"/>
      <c r="Y168" s="416" t="str">
        <f t="shared" si="32"/>
        <v>South East</v>
      </c>
      <c r="Z168" s="102">
        <f>IF(Year1_SouthEast Year1_CP_Conference_within15days="","",Year1_SouthEast Year1_CP_Conference_within15days)</f>
        <v>7690</v>
      </c>
      <c r="AA168" s="102">
        <f>IF(Year2_SouthEast Year2_CP_Conference_within15days="","",Year2_SouthEast Year2_CP_Conference_within15days)</f>
        <v>8240</v>
      </c>
      <c r="AB168" s="102">
        <f>IF(Year3_SouthEast Year3_CP_Conference_within15days="","",Year3_SouthEast Year3_CP_Conference_within15days)</f>
        <v>8620</v>
      </c>
      <c r="AC168" s="102">
        <f>IF(Year4_SouthEast Year4_CP_Conference_within15days="","",Year4_SouthEast Year4_CP_Conference_within15days)</f>
        <v>9170</v>
      </c>
      <c r="AD168" s="563">
        <f>IF(Year5_SouthEast Year5_CP_Conference_within15days="","",Year5_SouthEast Year5_CP_Conference_within15days)</f>
        <v>9190</v>
      </c>
      <c r="AE168" s="194"/>
      <c r="AF168" s="199"/>
      <c r="AG168" s="199"/>
      <c r="AH168" s="199"/>
      <c r="AI168" s="185"/>
      <c r="AJ168" s="199"/>
      <c r="AK168" s="156"/>
    </row>
    <row r="169" spans="1:44" s="89" customFormat="1" ht="12.75" customHeight="1" x14ac:dyDescent="0.2">
      <c r="A169" s="462">
        <f>VLOOKUP(B169,Sheet1!$AQ$4:$AR$25,2,FALSE)</f>
        <v>0</v>
      </c>
      <c r="B169" s="95" t="str">
        <f t="shared" si="33"/>
        <v>Wokingham</v>
      </c>
      <c r="C169" s="87"/>
      <c r="D169" s="158">
        <f t="shared" si="35"/>
        <v>0.91304347826086951</v>
      </c>
      <c r="E169" s="158">
        <f t="shared" si="36"/>
        <v>0.96551724137931039</v>
      </c>
      <c r="F169" s="158">
        <f t="shared" si="37"/>
        <v>0.797752808988764</v>
      </c>
      <c r="G169" s="158">
        <f t="shared" si="38"/>
        <v>0.82320441988950277</v>
      </c>
      <c r="H169" s="160">
        <f t="shared" si="39"/>
        <v>0.65625</v>
      </c>
      <c r="I169" s="98"/>
      <c r="J169" s="98"/>
      <c r="K169" s="162"/>
      <c r="L169" s="162"/>
      <c r="M169" s="162"/>
      <c r="N169" s="162"/>
      <c r="O169" s="162"/>
      <c r="P169" s="162"/>
      <c r="Q169" s="162"/>
      <c r="R169" s="163"/>
      <c r="S169" s="155"/>
      <c r="T169" s="155"/>
      <c r="U169" s="162"/>
      <c r="V169" s="124"/>
      <c r="W169" s="140"/>
      <c r="X169" s="149"/>
      <c r="Y169" s="416" t="str">
        <f t="shared" si="32"/>
        <v>England</v>
      </c>
      <c r="Z169" s="600">
        <f>IF(Year1_England Year1_CP_Conference_within15days="","",Year1_England Year1_CP_Conference_within15days)</f>
        <v>53370</v>
      </c>
      <c r="AA169" s="600">
        <f>IF(Year2_England Year2_CP_Conference_within15days="","",Year2_England Year2_CP_Conference_within15days)</f>
        <v>56000</v>
      </c>
      <c r="AB169" s="600">
        <f>IF(Year3_England Year3_CP_Conference_within15days="","",Year3_England Year3_CP_Conference_within15days)</f>
        <v>59410</v>
      </c>
      <c r="AC169" s="600">
        <f>IF(Year4_England Year4_CP_Conference_within15days="","",Year4_England Year4_CP_Conference_within15days)</f>
        <v>61150</v>
      </c>
      <c r="AD169" s="601">
        <f>IF(Year5_England Year5_CP_Conference_within15days="","",Year5_England Year5_CP_Conference_within15days)</f>
        <v>60950</v>
      </c>
      <c r="AE169" s="194"/>
      <c r="AF169" s="199"/>
      <c r="AG169" s="199"/>
      <c r="AH169" s="199"/>
      <c r="AI169" s="185"/>
      <c r="AJ169" s="199"/>
      <c r="AK169" s="156"/>
    </row>
    <row r="170" spans="1:44" s="89" customFormat="1" ht="12.75" customHeight="1" x14ac:dyDescent="0.2">
      <c r="A170" s="123"/>
      <c r="B170" s="131" t="str">
        <f t="shared" si="33"/>
        <v>South East</v>
      </c>
      <c r="C170" s="87"/>
      <c r="D170" s="159">
        <f t="shared" si="35"/>
        <v>0.67574692442882245</v>
      </c>
      <c r="E170" s="159">
        <f t="shared" si="36"/>
        <v>0.72217353198948286</v>
      </c>
      <c r="F170" s="159">
        <f t="shared" si="37"/>
        <v>0.75021758050478682</v>
      </c>
      <c r="G170" s="159">
        <f t="shared" si="38"/>
        <v>0.74979558462796403</v>
      </c>
      <c r="H170" s="161">
        <f t="shared" si="39"/>
        <v>0.77226890756302524</v>
      </c>
      <c r="I170" s="98"/>
      <c r="J170" s="98"/>
      <c r="K170" s="164"/>
      <c r="L170" s="164"/>
      <c r="M170" s="164"/>
      <c r="N170" s="164"/>
      <c r="O170" s="164"/>
      <c r="P170" s="164"/>
      <c r="Q170" s="164"/>
      <c r="R170" s="165"/>
      <c r="S170" s="155"/>
      <c r="T170" s="155"/>
      <c r="U170" s="166"/>
      <c r="V170" s="124"/>
      <c r="W170" s="140"/>
      <c r="X170" s="149"/>
      <c r="Y170" s="342"/>
      <c r="Z170" s="343"/>
      <c r="AA170" s="191"/>
      <c r="AB170" s="191"/>
      <c r="AC170" s="192"/>
      <c r="AD170" s="192"/>
      <c r="AE170" s="194"/>
      <c r="AF170" s="199"/>
      <c r="AG170" s="199"/>
      <c r="AH170" s="199"/>
      <c r="AI170" s="185"/>
      <c r="AJ170" s="199"/>
      <c r="AK170" s="156"/>
    </row>
    <row r="171" spans="1:44" s="89" customFormat="1" ht="12.75" customHeight="1" x14ac:dyDescent="0.2">
      <c r="A171" s="123"/>
      <c r="B171" s="318" t="str">
        <f t="shared" si="33"/>
        <v>England</v>
      </c>
      <c r="C171" s="87"/>
      <c r="D171" s="344">
        <f t="shared" si="35"/>
        <v>0.74737431732250381</v>
      </c>
      <c r="E171" s="344">
        <f t="shared" si="36"/>
        <v>0.76659822039698833</v>
      </c>
      <c r="F171" s="344">
        <f t="shared" si="37"/>
        <v>0.77226049655531004</v>
      </c>
      <c r="G171" s="344">
        <f t="shared" si="38"/>
        <v>0.76947275701522588</v>
      </c>
      <c r="H171" s="345">
        <f t="shared" si="39"/>
        <v>0.7870609504132231</v>
      </c>
      <c r="I171" s="98"/>
      <c r="J171" s="98"/>
      <c r="K171" s="164"/>
      <c r="L171" s="164"/>
      <c r="M171" s="164"/>
      <c r="N171" s="164"/>
      <c r="O171" s="164"/>
      <c r="P171" s="164"/>
      <c r="Q171" s="164"/>
      <c r="R171" s="165"/>
      <c r="S171" s="155"/>
      <c r="T171" s="155"/>
      <c r="U171" s="166"/>
      <c r="V171" s="124"/>
      <c r="W171" s="140"/>
      <c r="X171" s="149"/>
      <c r="Y171" s="83"/>
      <c r="Z171" s="83"/>
      <c r="AA171" s="191"/>
      <c r="AB171" s="191"/>
      <c r="AC171" s="192"/>
      <c r="AD171" s="192"/>
      <c r="AE171" s="194"/>
      <c r="AF171" s="199"/>
      <c r="AG171" s="199"/>
      <c r="AH171" s="199"/>
      <c r="AI171" s="185"/>
      <c r="AJ171" s="199"/>
      <c r="AK171" s="156"/>
    </row>
    <row r="172" spans="1:44" s="89" customFormat="1" ht="7.5" customHeight="1" x14ac:dyDescent="0.2">
      <c r="A172" s="286"/>
      <c r="B172" s="98"/>
      <c r="C172" s="98"/>
      <c r="D172" s="98"/>
      <c r="E172" s="98"/>
      <c r="F172" s="98"/>
      <c r="G172" s="98"/>
      <c r="H172" s="98"/>
      <c r="I172" s="98"/>
      <c r="J172" s="98"/>
      <c r="K172" s="164"/>
      <c r="L172" s="164"/>
      <c r="M172" s="164"/>
      <c r="N172" s="164"/>
      <c r="O172" s="164"/>
      <c r="P172" s="164"/>
      <c r="Q172" s="164"/>
      <c r="R172" s="165"/>
      <c r="S172" s="155"/>
      <c r="T172" s="155"/>
      <c r="U172" s="166"/>
      <c r="V172" s="124"/>
      <c r="W172" s="140"/>
      <c r="X172" s="149"/>
      <c r="Y172" s="83"/>
      <c r="Z172" s="83"/>
      <c r="AA172" s="191"/>
      <c r="AB172" s="191"/>
      <c r="AC172" s="192"/>
      <c r="AD172" s="192"/>
      <c r="AE172" s="194"/>
      <c r="AF172" s="199"/>
      <c r="AG172" s="199"/>
      <c r="AH172" s="199"/>
      <c r="AI172" s="185"/>
      <c r="AJ172" s="199"/>
      <c r="AK172" s="156"/>
    </row>
    <row r="173" spans="1:44" s="83" customFormat="1" ht="38.25" customHeight="1" x14ac:dyDescent="0.2">
      <c r="A173" s="213"/>
      <c r="B173" s="362"/>
      <c r="C173" s="362"/>
      <c r="D173" s="362"/>
      <c r="E173" s="362"/>
      <c r="F173" s="362"/>
      <c r="G173" s="362"/>
      <c r="H173" s="362"/>
      <c r="I173" s="362"/>
      <c r="J173" s="168"/>
      <c r="K173" s="168"/>
      <c r="L173" s="168"/>
      <c r="M173" s="168"/>
      <c r="N173" s="168"/>
      <c r="O173" s="168"/>
      <c r="P173" s="168"/>
      <c r="Q173" s="168"/>
      <c r="R173" s="137"/>
      <c r="S173" s="168"/>
      <c r="T173" s="168"/>
      <c r="U173" s="168"/>
      <c r="V173" s="119"/>
      <c r="W173" s="138"/>
      <c r="X173" s="147"/>
      <c r="AD173" s="192"/>
      <c r="AE173" s="194"/>
      <c r="AF173" s="179"/>
      <c r="AG173" s="179"/>
      <c r="AH173" s="179"/>
      <c r="AJ173" s="179"/>
      <c r="AK173" s="157"/>
    </row>
    <row r="174" spans="1:44" s="83" customFormat="1" ht="39" customHeight="1" x14ac:dyDescent="0.2">
      <c r="A174" s="213"/>
      <c r="B174" s="362"/>
      <c r="C174" s="362"/>
      <c r="D174" s="362"/>
      <c r="E174" s="362"/>
      <c r="F174" s="362"/>
      <c r="G174" s="362"/>
      <c r="H174" s="362"/>
      <c r="I174" s="362"/>
      <c r="J174" s="168"/>
      <c r="K174" s="168"/>
      <c r="L174" s="168"/>
      <c r="M174" s="168"/>
      <c r="N174" s="168"/>
      <c r="O174" s="168"/>
      <c r="P174" s="168"/>
      <c r="Q174" s="168"/>
      <c r="R174" s="137"/>
      <c r="S174" s="168"/>
      <c r="T174" s="168"/>
      <c r="U174" s="168"/>
      <c r="V174" s="119"/>
      <c r="W174" s="138"/>
      <c r="X174" s="147"/>
      <c r="Z174" s="185"/>
      <c r="AE174" s="194"/>
      <c r="AF174" s="179"/>
      <c r="AG174" s="179"/>
      <c r="AH174" s="179"/>
      <c r="AJ174" s="179"/>
      <c r="AK174" s="157"/>
    </row>
    <row r="175" spans="1:44" s="83" customFormat="1" ht="38.25" customHeight="1" x14ac:dyDescent="0.2">
      <c r="A175" s="213"/>
      <c r="B175" s="362"/>
      <c r="C175" s="362"/>
      <c r="D175" s="362"/>
      <c r="E175" s="362"/>
      <c r="F175" s="362"/>
      <c r="G175" s="362"/>
      <c r="H175" s="362"/>
      <c r="I175" s="362"/>
      <c r="J175" s="168"/>
      <c r="K175" s="168"/>
      <c r="L175" s="168"/>
      <c r="M175" s="168"/>
      <c r="N175" s="168"/>
      <c r="O175" s="168"/>
      <c r="P175" s="168"/>
      <c r="Q175" s="168"/>
      <c r="R175" s="137"/>
      <c r="S175" s="168"/>
      <c r="T175" s="168"/>
      <c r="U175" s="168"/>
      <c r="V175" s="119"/>
      <c r="W175" s="138"/>
      <c r="X175" s="147"/>
      <c r="Z175" s="185"/>
      <c r="AE175" s="194"/>
      <c r="AF175" s="179"/>
      <c r="AG175" s="179"/>
      <c r="AH175" s="179"/>
      <c r="AJ175" s="179"/>
      <c r="AK175" s="157"/>
    </row>
    <row r="176" spans="1:44" s="83" customFormat="1" ht="7.5" customHeight="1" x14ac:dyDescent="0.2">
      <c r="A176" s="120"/>
      <c r="B176" s="18"/>
      <c r="C176" s="18"/>
      <c r="D176" s="17"/>
      <c r="E176" s="17"/>
      <c r="F176" s="17"/>
      <c r="G176" s="17"/>
      <c r="H176" s="17"/>
      <c r="I176" s="17"/>
      <c r="J176" s="13"/>
      <c r="K176" s="19"/>
      <c r="L176" s="19"/>
      <c r="M176" s="19"/>
      <c r="N176" s="19"/>
      <c r="O176" s="19"/>
      <c r="P176" s="19"/>
      <c r="Q176" s="19"/>
      <c r="R176" s="19"/>
      <c r="S176" s="19"/>
      <c r="T176" s="19"/>
      <c r="U176" s="20"/>
      <c r="V176" s="119"/>
      <c r="W176" s="138"/>
      <c r="X176" s="147"/>
      <c r="Z176" s="185"/>
      <c r="AJ176" s="179"/>
      <c r="AK176" s="153"/>
      <c r="AL176" s="76"/>
      <c r="AM176" s="76"/>
      <c r="AN176" s="76"/>
      <c r="AO176" s="76"/>
      <c r="AP176" s="76"/>
      <c r="AQ176" s="76"/>
      <c r="AR176" s="76"/>
    </row>
    <row r="177" spans="1:46" s="83" customFormat="1" ht="15" customHeight="1" x14ac:dyDescent="0.2">
      <c r="A177" s="1399"/>
      <c r="B177" s="1421"/>
      <c r="C177" s="1421"/>
      <c r="D177" s="1421"/>
      <c r="E177" s="1421"/>
      <c r="F177" s="1421"/>
      <c r="G177" s="1421"/>
      <c r="H177" s="1421"/>
      <c r="I177" s="1421"/>
      <c r="J177" s="1421"/>
      <c r="K177" s="1421"/>
      <c r="L177" s="1421"/>
      <c r="M177" s="1421"/>
      <c r="N177" s="1421"/>
      <c r="O177" s="1421"/>
      <c r="P177" s="1421"/>
      <c r="Q177" s="1421"/>
      <c r="R177" s="1421"/>
      <c r="S177" s="1421"/>
      <c r="T177" s="1421"/>
      <c r="U177" s="1421"/>
      <c r="V177" s="1422"/>
      <c r="W177" s="138"/>
      <c r="X177" s="147"/>
      <c r="AK177" s="157"/>
      <c r="AT177" s="76"/>
    </row>
    <row r="178" spans="1:46" s="83" customFormat="1" ht="11.25" customHeight="1" x14ac:dyDescent="0.2">
      <c r="A178" s="1428" t="str">
        <f>Home!$A$40</f>
        <v>LA's provide quarterly data on the condition that it is used by the benchmarking group for internal reporting only. Please DO NOT share other LA's data with any external partners or the public</v>
      </c>
      <c r="B178" s="1429"/>
      <c r="C178" s="1429"/>
      <c r="D178" s="1429"/>
      <c r="E178" s="1429"/>
      <c r="F178" s="1429"/>
      <c r="G178" s="1429"/>
      <c r="H178" s="1429"/>
      <c r="I178" s="1430"/>
      <c r="J178" s="1429"/>
      <c r="K178" s="1429"/>
      <c r="L178" s="1429"/>
      <c r="M178" s="1429"/>
      <c r="N178" s="1429"/>
      <c r="O178" s="1429"/>
      <c r="P178" s="1431"/>
      <c r="Q178" s="1429"/>
      <c r="R178" s="1429"/>
      <c r="S178" s="1429"/>
      <c r="T178" s="1430"/>
      <c r="U178" s="1429"/>
      <c r="V178" s="1432"/>
      <c r="W178" s="138"/>
      <c r="X178" s="147"/>
      <c r="AJ178" s="179"/>
      <c r="AK178" s="156"/>
      <c r="AL178" s="89"/>
      <c r="AT178" s="76"/>
    </row>
    <row r="179" spans="1:46" ht="11.25" customHeight="1" x14ac:dyDescent="0.2">
      <c r="A179" s="141"/>
      <c r="B179" s="1109"/>
      <c r="C179" s="9"/>
      <c r="D179" s="9"/>
      <c r="E179" s="9"/>
      <c r="F179" s="9"/>
      <c r="G179" s="9"/>
      <c r="H179" s="9"/>
      <c r="I179" s="9"/>
      <c r="J179" s="13"/>
      <c r="K179" s="9"/>
      <c r="L179" s="9"/>
      <c r="M179" s="9"/>
      <c r="N179" s="9"/>
      <c r="O179" s="9"/>
      <c r="P179" s="9"/>
      <c r="Q179" s="9"/>
      <c r="R179" s="9"/>
      <c r="S179" s="9"/>
      <c r="T179" s="9"/>
      <c r="U179" s="11"/>
      <c r="V179" s="11"/>
      <c r="W179" s="1311"/>
      <c r="X179" s="12"/>
      <c r="Y179" s="12"/>
      <c r="Z179" s="12"/>
      <c r="AA179" s="12"/>
      <c r="AB179" s="12"/>
      <c r="AC179" s="241"/>
      <c r="AF179" s="84"/>
      <c r="AI179" s="179"/>
      <c r="AJ179" s="179"/>
      <c r="AK179" s="153"/>
      <c r="AM179" s="83"/>
      <c r="AN179" s="83"/>
      <c r="AO179" s="83"/>
      <c r="AP179" s="83"/>
      <c r="AQ179" s="83"/>
      <c r="AR179" s="83"/>
    </row>
    <row r="180" spans="1:46" ht="11.25" customHeight="1" x14ac:dyDescent="0.2">
      <c r="A180" s="141"/>
      <c r="B180" s="1109"/>
      <c r="C180" s="9"/>
      <c r="D180" s="9"/>
      <c r="E180" s="9"/>
      <c r="F180" s="9"/>
      <c r="G180" s="9"/>
      <c r="H180" s="9"/>
      <c r="I180" s="9"/>
      <c r="J180" s="13"/>
      <c r="K180" s="9"/>
      <c r="L180" s="9"/>
      <c r="M180" s="9"/>
      <c r="N180" s="9"/>
      <c r="O180" s="9"/>
      <c r="P180" s="9"/>
      <c r="Q180" s="9"/>
      <c r="R180" s="9"/>
      <c r="S180" s="9"/>
      <c r="T180" s="9"/>
      <c r="U180" s="11"/>
      <c r="V180" s="11"/>
      <c r="W180" s="11"/>
      <c r="X180" s="12"/>
      <c r="Y180" s="12"/>
      <c r="Z180" s="12"/>
      <c r="AA180" s="12"/>
      <c r="AB180" s="12"/>
      <c r="AC180" s="241"/>
      <c r="AF180" s="84"/>
      <c r="AI180" s="179"/>
      <c r="AJ180" s="179"/>
      <c r="AK180" s="153"/>
      <c r="AM180" s="83"/>
      <c r="AN180" s="83"/>
      <c r="AO180" s="83"/>
      <c r="AP180" s="83"/>
      <c r="AQ180" s="83"/>
      <c r="AR180" s="83"/>
    </row>
    <row r="181" spans="1:46" ht="11.25" customHeight="1" x14ac:dyDescent="0.2">
      <c r="A181" s="141"/>
      <c r="B181" s="1367" t="s">
        <v>82</v>
      </c>
      <c r="C181" s="15"/>
      <c r="D181" s="1306"/>
      <c r="E181" s="1306"/>
      <c r="F181" s="9"/>
      <c r="G181" s="9"/>
      <c r="H181" s="9"/>
      <c r="I181" s="9"/>
      <c r="J181" s="13"/>
      <c r="K181" s="9"/>
      <c r="L181" s="9"/>
      <c r="M181" s="9"/>
      <c r="N181" s="9"/>
      <c r="O181" s="9"/>
      <c r="P181" s="9"/>
      <c r="Q181" s="9"/>
      <c r="R181" s="9"/>
      <c r="S181" s="9"/>
      <c r="T181" s="9"/>
      <c r="U181" s="11"/>
      <c r="V181" s="11"/>
      <c r="W181" s="11"/>
      <c r="X181" s="12"/>
      <c r="Y181" s="12"/>
      <c r="Z181" s="12"/>
      <c r="AA181" s="12"/>
      <c r="AB181" s="12"/>
      <c r="AC181" s="241"/>
      <c r="AF181" s="84"/>
      <c r="AI181" s="179"/>
      <c r="AJ181" s="179"/>
      <c r="AK181" s="153"/>
      <c r="AM181" s="83"/>
      <c r="AN181" s="83"/>
      <c r="AO181" s="83"/>
      <c r="AP181" s="83"/>
      <c r="AQ181" s="83"/>
      <c r="AR181" s="83"/>
    </row>
    <row r="182" spans="1:46" ht="11.25" customHeight="1" x14ac:dyDescent="0.2">
      <c r="A182" s="141"/>
      <c r="B182" s="1368"/>
      <c r="C182" s="9"/>
      <c r="D182" s="1306"/>
      <c r="E182" s="1306"/>
      <c r="F182" s="9"/>
      <c r="G182" s="9"/>
      <c r="H182" s="9"/>
      <c r="I182" s="9"/>
      <c r="J182" s="13"/>
      <c r="K182" s="9"/>
      <c r="L182" s="9"/>
      <c r="M182" s="9"/>
      <c r="N182" s="9"/>
      <c r="O182" s="9"/>
      <c r="P182" s="9"/>
      <c r="Q182" s="9"/>
      <c r="R182" s="9"/>
      <c r="S182" s="9"/>
      <c r="T182" s="9"/>
      <c r="U182" s="11"/>
      <c r="V182" s="11"/>
      <c r="W182" s="11"/>
      <c r="X182" s="12"/>
      <c r="Y182" s="12"/>
      <c r="Z182" s="12"/>
      <c r="AA182" s="12"/>
      <c r="AB182" s="12"/>
      <c r="AC182" s="241"/>
      <c r="AF182" s="84"/>
      <c r="AI182" s="179"/>
      <c r="AJ182" s="179"/>
      <c r="AK182" s="153"/>
      <c r="AM182" s="83"/>
      <c r="AN182" s="83"/>
    </row>
    <row r="183" spans="1:46" ht="11.25" customHeight="1" x14ac:dyDescent="0.2">
      <c r="A183" s="141"/>
      <c r="B183" s="1366" t="s">
        <v>806</v>
      </c>
      <c r="C183" s="1366"/>
      <c r="D183" s="1366"/>
      <c r="E183" s="1366"/>
      <c r="F183" s="9"/>
      <c r="G183" s="9"/>
      <c r="H183" s="9"/>
      <c r="I183" s="9"/>
      <c r="J183" s="13"/>
      <c r="K183" s="9"/>
      <c r="L183" s="9"/>
      <c r="M183" s="9"/>
      <c r="N183" s="9"/>
      <c r="O183" s="9"/>
      <c r="P183" s="9"/>
      <c r="Q183" s="9"/>
      <c r="R183" s="9"/>
      <c r="S183" s="9"/>
      <c r="T183" s="9"/>
      <c r="U183" s="11"/>
      <c r="V183" s="11"/>
      <c r="W183" s="11"/>
      <c r="X183" s="12"/>
      <c r="Y183" s="12"/>
      <c r="Z183" s="12"/>
      <c r="AA183" s="12"/>
      <c r="AB183" s="12"/>
      <c r="AC183" s="241"/>
      <c r="AF183" s="84"/>
      <c r="AI183" s="179"/>
      <c r="AJ183" s="179"/>
      <c r="AK183" s="153"/>
      <c r="AM183" s="83"/>
      <c r="AN183" s="83"/>
    </row>
    <row r="184" spans="1:46" ht="11.25" customHeight="1" x14ac:dyDescent="0.2">
      <c r="A184" s="141"/>
      <c r="B184" s="1366"/>
      <c r="C184" s="1366"/>
      <c r="D184" s="1366"/>
      <c r="E184" s="1366"/>
      <c r="F184" s="9"/>
      <c r="G184" s="9"/>
      <c r="H184" s="9"/>
      <c r="I184" s="9"/>
      <c r="J184" s="13"/>
      <c r="K184" s="9"/>
      <c r="L184" s="9"/>
      <c r="M184" s="9"/>
      <c r="N184" s="9"/>
      <c r="O184" s="9"/>
      <c r="P184" s="9"/>
      <c r="Q184" s="9"/>
      <c r="R184" s="9"/>
      <c r="S184" s="9"/>
      <c r="T184" s="9"/>
      <c r="U184" s="11"/>
      <c r="V184" s="11"/>
      <c r="W184" s="11"/>
      <c r="X184" s="12"/>
      <c r="Y184" s="12"/>
      <c r="Z184" s="12"/>
      <c r="AA184" s="12"/>
      <c r="AB184" s="12"/>
      <c r="AC184" s="241"/>
      <c r="AF184" s="84"/>
      <c r="AI184" s="183"/>
      <c r="AJ184" s="183"/>
      <c r="AK184" s="154"/>
      <c r="AM184" s="83"/>
      <c r="AN184" s="83"/>
    </row>
    <row r="185" spans="1:46" s="78" customFormat="1" ht="11.25" customHeight="1" x14ac:dyDescent="0.2">
      <c r="A185" s="141"/>
      <c r="B185" s="1366" t="s">
        <v>81</v>
      </c>
      <c r="C185" s="1366"/>
      <c r="D185" s="1366"/>
      <c r="E185" s="1366"/>
      <c r="F185" s="9"/>
      <c r="G185" s="9"/>
      <c r="H185" s="9"/>
      <c r="I185" s="9"/>
      <c r="J185" s="13"/>
      <c r="K185" s="9"/>
      <c r="L185" s="9"/>
      <c r="M185" s="9"/>
      <c r="N185" s="9"/>
      <c r="O185" s="9"/>
      <c r="P185" s="9"/>
      <c r="Q185" s="9"/>
      <c r="R185" s="9"/>
      <c r="S185" s="9"/>
      <c r="T185" s="9"/>
      <c r="U185" s="11"/>
      <c r="V185" s="11"/>
      <c r="W185" s="11"/>
      <c r="X185" s="12"/>
      <c r="Y185" s="12"/>
      <c r="Z185" s="12"/>
      <c r="AA185" s="12"/>
      <c r="AB185" s="12"/>
      <c r="AC185" s="241"/>
      <c r="AD185" s="83"/>
      <c r="AE185" s="83"/>
      <c r="AF185" s="84"/>
      <c r="AG185" s="83"/>
      <c r="AH185" s="83"/>
      <c r="AI185" s="179"/>
      <c r="AJ185" s="179"/>
      <c r="AK185" s="153"/>
      <c r="AL185" s="76"/>
      <c r="AM185" s="83"/>
      <c r="AN185" s="83"/>
    </row>
    <row r="186" spans="1:46" ht="11.25" customHeight="1" x14ac:dyDescent="0.2">
      <c r="A186" s="141"/>
      <c r="B186" s="1366"/>
      <c r="C186" s="1366"/>
      <c r="D186" s="1366"/>
      <c r="E186" s="1366"/>
      <c r="F186" s="9"/>
      <c r="G186" s="9"/>
      <c r="H186" s="9"/>
      <c r="I186" s="9"/>
      <c r="J186" s="13"/>
      <c r="K186" s="9"/>
      <c r="L186" s="9"/>
      <c r="M186" s="9"/>
      <c r="N186" s="9"/>
      <c r="O186" s="9"/>
      <c r="P186" s="9"/>
      <c r="Q186" s="9"/>
      <c r="R186" s="9"/>
      <c r="S186" s="9"/>
      <c r="T186" s="9"/>
      <c r="U186" s="11"/>
      <c r="V186" s="11"/>
      <c r="W186" s="11"/>
      <c r="X186" s="12"/>
      <c r="Y186" s="12"/>
      <c r="Z186" s="12"/>
      <c r="AA186" s="12"/>
      <c r="AB186" s="12"/>
      <c r="AC186" s="241"/>
      <c r="AF186" s="84"/>
      <c r="AI186" s="179"/>
      <c r="AJ186" s="179"/>
      <c r="AK186" s="153"/>
      <c r="AM186" s="83"/>
      <c r="AN186" s="83"/>
    </row>
    <row r="187" spans="1:46" ht="11.25" customHeight="1" x14ac:dyDescent="0.2">
      <c r="A187" s="141"/>
      <c r="B187" s="1366" t="s">
        <v>78</v>
      </c>
      <c r="C187" s="1366"/>
      <c r="D187" s="1366"/>
      <c r="E187" s="1366"/>
      <c r="F187" s="9"/>
      <c r="G187" s="9"/>
      <c r="H187" s="9"/>
      <c r="I187" s="9"/>
      <c r="J187" s="13"/>
      <c r="K187" s="9"/>
      <c r="L187" s="9"/>
      <c r="M187" s="9"/>
      <c r="N187" s="9"/>
      <c r="O187" s="9"/>
      <c r="P187" s="9"/>
      <c r="Q187" s="9"/>
      <c r="R187" s="9"/>
      <c r="S187" s="9"/>
      <c r="T187" s="9"/>
      <c r="U187" s="11"/>
      <c r="V187" s="11"/>
      <c r="W187" s="11"/>
      <c r="X187" s="12"/>
      <c r="Y187" s="12"/>
      <c r="Z187" s="12"/>
      <c r="AA187" s="12"/>
      <c r="AB187" s="12"/>
      <c r="AC187" s="241"/>
      <c r="AF187" s="84"/>
      <c r="AI187" s="179"/>
      <c r="AJ187" s="179"/>
      <c r="AK187" s="153"/>
      <c r="AM187" s="83"/>
      <c r="AN187" s="83"/>
    </row>
    <row r="188" spans="1:46" ht="11.25" customHeight="1" x14ac:dyDescent="0.2">
      <c r="A188" s="141"/>
      <c r="B188" s="1366"/>
      <c r="C188" s="1366"/>
      <c r="D188" s="1366"/>
      <c r="E188" s="1366"/>
      <c r="F188" s="9"/>
      <c r="G188" s="9"/>
      <c r="H188" s="9"/>
      <c r="I188" s="9"/>
      <c r="J188" s="13"/>
      <c r="K188" s="9"/>
      <c r="L188" s="9"/>
      <c r="M188" s="9"/>
      <c r="N188" s="9"/>
      <c r="O188" s="9"/>
      <c r="P188" s="9"/>
      <c r="Q188" s="9"/>
      <c r="R188" s="9"/>
      <c r="S188" s="9"/>
      <c r="T188" s="9"/>
      <c r="U188" s="11"/>
      <c r="V188" s="11"/>
      <c r="W188" s="11"/>
      <c r="X188" s="12"/>
      <c r="Y188" s="12"/>
      <c r="Z188" s="12"/>
      <c r="AA188" s="12"/>
      <c r="AB188" s="12"/>
      <c r="AC188" s="241"/>
      <c r="AF188" s="84"/>
      <c r="AI188" s="179"/>
      <c r="AJ188" s="179"/>
      <c r="AK188" s="153"/>
      <c r="AM188" s="83"/>
      <c r="AN188" s="83"/>
    </row>
    <row r="189" spans="1:46" ht="11.25" customHeight="1" x14ac:dyDescent="0.2">
      <c r="A189" s="141"/>
      <c r="B189" s="1366" t="s">
        <v>17</v>
      </c>
      <c r="C189" s="1366"/>
      <c r="D189" s="1366"/>
      <c r="E189" s="1366"/>
      <c r="F189" s="9"/>
      <c r="G189" s="9"/>
      <c r="H189" s="9"/>
      <c r="I189" s="9"/>
      <c r="J189" s="13"/>
      <c r="K189" s="9"/>
      <c r="L189" s="9"/>
      <c r="M189" s="9"/>
      <c r="N189" s="9"/>
      <c r="O189" s="9"/>
      <c r="P189" s="9"/>
      <c r="Q189" s="9"/>
      <c r="R189" s="9"/>
      <c r="S189" s="9"/>
      <c r="T189" s="9"/>
      <c r="U189" s="11"/>
      <c r="V189" s="11"/>
      <c r="W189" s="11"/>
      <c r="X189" s="12"/>
      <c r="Y189" s="12"/>
      <c r="Z189" s="12"/>
      <c r="AA189" s="12"/>
      <c r="AB189" s="12"/>
      <c r="AC189" s="241"/>
      <c r="AF189" s="84"/>
      <c r="AI189" s="179"/>
      <c r="AJ189" s="179"/>
      <c r="AK189" s="153"/>
      <c r="AM189" s="83"/>
      <c r="AN189" s="83"/>
    </row>
    <row r="190" spans="1:46" ht="11.25" customHeight="1" x14ac:dyDescent="0.2">
      <c r="A190" s="141"/>
      <c r="B190" s="1366"/>
      <c r="C190" s="1366"/>
      <c r="D190" s="1366"/>
      <c r="E190" s="1366"/>
      <c r="F190" s="9"/>
      <c r="G190" s="9"/>
      <c r="H190" s="9"/>
      <c r="I190" s="9"/>
      <c r="J190" s="13"/>
      <c r="K190" s="9"/>
      <c r="L190" s="9"/>
      <c r="M190" s="9"/>
      <c r="N190" s="9"/>
      <c r="O190" s="9"/>
      <c r="P190" s="9"/>
      <c r="Q190" s="9"/>
      <c r="R190" s="9"/>
      <c r="S190" s="9"/>
      <c r="T190" s="9"/>
      <c r="U190" s="11"/>
      <c r="V190" s="11"/>
      <c r="W190" s="11"/>
      <c r="X190" s="12"/>
      <c r="Y190" s="12"/>
      <c r="Z190" s="12"/>
      <c r="AA190" s="12"/>
      <c r="AB190" s="12"/>
      <c r="AC190" s="241"/>
      <c r="AF190" s="84"/>
      <c r="AI190" s="179"/>
      <c r="AJ190" s="179"/>
      <c r="AK190" s="153"/>
      <c r="AM190" s="83"/>
      <c r="AN190" s="83"/>
    </row>
    <row r="191" spans="1:46" ht="11.25" customHeight="1" x14ac:dyDescent="0.2">
      <c r="A191" s="141"/>
      <c r="B191" s="1366" t="s">
        <v>80</v>
      </c>
      <c r="C191" s="1366"/>
      <c r="D191" s="1366"/>
      <c r="E191" s="1366"/>
      <c r="F191" s="9"/>
      <c r="G191" s="9"/>
      <c r="H191" s="9"/>
      <c r="I191" s="9"/>
      <c r="J191" s="13"/>
      <c r="K191" s="9"/>
      <c r="L191" s="9"/>
      <c r="M191" s="9"/>
      <c r="N191" s="9"/>
      <c r="O191" s="9"/>
      <c r="P191" s="9"/>
      <c r="Q191" s="9"/>
      <c r="R191" s="9"/>
      <c r="S191" s="9"/>
      <c r="T191" s="9"/>
      <c r="U191" s="11"/>
      <c r="V191" s="11"/>
      <c r="W191" s="11"/>
      <c r="X191" s="12"/>
      <c r="Y191" s="12"/>
      <c r="Z191" s="12"/>
      <c r="AA191" s="12"/>
      <c r="AB191" s="12"/>
      <c r="AC191" s="241"/>
      <c r="AF191" s="84"/>
      <c r="AI191" s="179"/>
      <c r="AJ191" s="179"/>
      <c r="AK191" s="153"/>
      <c r="AM191" s="83"/>
      <c r="AN191" s="83"/>
    </row>
    <row r="192" spans="1:46" ht="11.25" customHeight="1" x14ac:dyDescent="0.2">
      <c r="A192" s="141"/>
      <c r="B192" s="1366"/>
      <c r="C192" s="1366"/>
      <c r="D192" s="1366"/>
      <c r="E192" s="1366"/>
      <c r="F192" s="9"/>
      <c r="G192" s="9"/>
      <c r="H192" s="9"/>
      <c r="I192" s="9"/>
      <c r="J192" s="13"/>
      <c r="K192" s="9"/>
      <c r="L192" s="9"/>
      <c r="M192" s="9"/>
      <c r="N192" s="9"/>
      <c r="O192" s="9"/>
      <c r="P192" s="9"/>
      <c r="Q192" s="9"/>
      <c r="R192" s="9"/>
      <c r="S192" s="9"/>
      <c r="T192" s="9"/>
      <c r="U192" s="11"/>
      <c r="V192" s="11"/>
      <c r="W192" s="11"/>
      <c r="X192" s="12"/>
      <c r="Y192" s="12"/>
      <c r="Z192" s="12"/>
      <c r="AA192" s="12"/>
      <c r="AB192" s="12"/>
      <c r="AC192" s="241"/>
      <c r="AF192" s="84"/>
      <c r="AI192" s="179"/>
      <c r="AJ192" s="179"/>
      <c r="AK192" s="153"/>
      <c r="AM192" s="83"/>
      <c r="AN192" s="83"/>
    </row>
    <row r="193" spans="1:40" ht="11.25" customHeight="1" x14ac:dyDescent="0.2">
      <c r="A193" s="141"/>
      <c r="B193" s="1366" t="s">
        <v>69</v>
      </c>
      <c r="C193" s="1366"/>
      <c r="D193" s="1366"/>
      <c r="E193" s="1366"/>
      <c r="F193" s="9"/>
      <c r="G193" s="9"/>
      <c r="H193" s="9"/>
      <c r="I193" s="9"/>
      <c r="J193" s="13"/>
      <c r="K193" s="9"/>
      <c r="L193" s="9"/>
      <c r="M193" s="9"/>
      <c r="N193" s="9"/>
      <c r="O193" s="9"/>
      <c r="P193" s="9"/>
      <c r="Q193" s="9"/>
      <c r="R193" s="9"/>
      <c r="S193" s="9"/>
      <c r="T193" s="9"/>
      <c r="U193" s="11"/>
      <c r="V193" s="11"/>
      <c r="W193" s="11"/>
      <c r="X193" s="12"/>
      <c r="Y193" s="12"/>
      <c r="Z193" s="12"/>
      <c r="AA193" s="12"/>
      <c r="AB193" s="12"/>
      <c r="AC193" s="241"/>
      <c r="AF193" s="84"/>
      <c r="AI193" s="179"/>
      <c r="AJ193" s="179"/>
      <c r="AK193" s="153"/>
      <c r="AM193" s="83"/>
      <c r="AN193" s="83"/>
    </row>
    <row r="194" spans="1:40" ht="11.25" customHeight="1" x14ac:dyDescent="0.2">
      <c r="A194" s="141"/>
      <c r="B194" s="1366"/>
      <c r="C194" s="1366"/>
      <c r="D194" s="1366"/>
      <c r="E194" s="1366"/>
      <c r="F194" s="9"/>
      <c r="G194" s="9"/>
      <c r="H194" s="9"/>
      <c r="I194" s="9"/>
      <c r="J194" s="13"/>
      <c r="K194" s="9"/>
      <c r="L194" s="9"/>
      <c r="M194" s="9"/>
      <c r="N194" s="9"/>
      <c r="O194" s="9"/>
      <c r="P194" s="9"/>
      <c r="Q194" s="9"/>
      <c r="R194" s="9"/>
      <c r="S194" s="9"/>
      <c r="T194" s="9"/>
      <c r="U194" s="11"/>
      <c r="V194" s="11"/>
      <c r="W194" s="11"/>
      <c r="X194" s="12"/>
      <c r="Y194" s="12"/>
      <c r="Z194" s="12"/>
      <c r="AA194" s="12"/>
      <c r="AB194" s="12"/>
      <c r="AC194" s="241"/>
      <c r="AF194" s="84"/>
      <c r="AI194" s="179"/>
      <c r="AJ194" s="179"/>
      <c r="AK194" s="153"/>
      <c r="AM194" s="83"/>
      <c r="AN194" s="83"/>
    </row>
    <row r="195" spans="1:40" ht="11.25" customHeight="1" x14ac:dyDescent="0.2">
      <c r="A195" s="141"/>
      <c r="B195" s="1366" t="s">
        <v>24</v>
      </c>
      <c r="C195" s="1366"/>
      <c r="D195" s="1366"/>
      <c r="E195" s="1366"/>
      <c r="F195" s="9"/>
      <c r="G195" s="9"/>
      <c r="H195" s="9"/>
      <c r="I195" s="9"/>
      <c r="J195" s="13"/>
      <c r="K195" s="9"/>
      <c r="L195" s="9"/>
      <c r="M195" s="9"/>
      <c r="N195" s="9"/>
      <c r="O195" s="9"/>
      <c r="P195" s="9"/>
      <c r="Q195" s="9"/>
      <c r="R195" s="9"/>
      <c r="S195" s="9"/>
      <c r="T195" s="9"/>
      <c r="U195" s="11"/>
      <c r="V195" s="11"/>
      <c r="W195" s="11"/>
      <c r="X195" s="12"/>
      <c r="Y195" s="12"/>
      <c r="Z195" s="12"/>
      <c r="AA195" s="12"/>
      <c r="AB195" s="12"/>
      <c r="AC195" s="241"/>
      <c r="AF195" s="84"/>
      <c r="AI195" s="179"/>
      <c r="AJ195" s="179"/>
      <c r="AK195" s="153"/>
      <c r="AM195" s="83"/>
      <c r="AN195" s="83"/>
    </row>
    <row r="196" spans="1:40" ht="11.25" customHeight="1" x14ac:dyDescent="0.2">
      <c r="A196" s="141"/>
      <c r="B196" s="1366"/>
      <c r="C196" s="1366"/>
      <c r="D196" s="1366"/>
      <c r="E196" s="1366"/>
      <c r="F196" s="9"/>
      <c r="G196" s="9"/>
      <c r="H196" s="9"/>
      <c r="I196" s="9"/>
      <c r="J196" s="13"/>
      <c r="K196" s="9"/>
      <c r="L196" s="9"/>
      <c r="M196" s="9"/>
      <c r="N196" s="9"/>
      <c r="O196" s="9"/>
      <c r="P196" s="9"/>
      <c r="Q196" s="9"/>
      <c r="R196" s="9"/>
      <c r="S196" s="9"/>
      <c r="T196" s="9"/>
      <c r="U196" s="11"/>
      <c r="V196" s="11"/>
      <c r="W196" s="11"/>
      <c r="X196" s="12"/>
      <c r="Y196" s="12"/>
      <c r="Z196" s="12"/>
      <c r="AA196" s="12"/>
      <c r="AB196" s="12"/>
      <c r="AC196" s="241"/>
      <c r="AF196" s="84"/>
      <c r="AI196" s="179"/>
      <c r="AJ196" s="179"/>
      <c r="AK196" s="153"/>
      <c r="AM196" s="83"/>
      <c r="AN196" s="83"/>
    </row>
    <row r="197" spans="1:40" ht="11.25" customHeight="1" x14ac:dyDescent="0.2">
      <c r="A197" s="141"/>
      <c r="B197" s="1366" t="s">
        <v>22</v>
      </c>
      <c r="C197" s="1366"/>
      <c r="D197" s="1366"/>
      <c r="E197" s="1366"/>
      <c r="F197" s="9"/>
      <c r="G197" s="9"/>
      <c r="H197" s="9"/>
      <c r="I197" s="9"/>
      <c r="J197" s="13"/>
      <c r="K197" s="9"/>
      <c r="L197" s="9"/>
      <c r="M197" s="9"/>
      <c r="N197" s="9"/>
      <c r="O197" s="9"/>
      <c r="P197" s="9"/>
      <c r="Q197" s="9"/>
      <c r="R197" s="9"/>
      <c r="S197" s="9"/>
      <c r="T197" s="9"/>
      <c r="U197" s="11"/>
      <c r="V197" s="11"/>
      <c r="W197" s="11"/>
      <c r="X197" s="12"/>
      <c r="Y197" s="12"/>
      <c r="Z197" s="12"/>
      <c r="AA197" s="12"/>
      <c r="AB197" s="12"/>
      <c r="AC197" s="241"/>
      <c r="AF197" s="84"/>
      <c r="AI197" s="179"/>
      <c r="AJ197" s="179"/>
      <c r="AK197" s="153"/>
      <c r="AM197" s="83"/>
      <c r="AN197" s="83"/>
    </row>
    <row r="198" spans="1:40" ht="11.25" customHeight="1" x14ac:dyDescent="0.2">
      <c r="A198" s="141"/>
      <c r="B198" s="1366"/>
      <c r="C198" s="1366"/>
      <c r="D198" s="1366"/>
      <c r="E198" s="1366"/>
      <c r="F198" s="9"/>
      <c r="G198" s="9"/>
      <c r="H198" s="9"/>
      <c r="I198" s="9"/>
      <c r="J198" s="13"/>
      <c r="K198" s="9"/>
      <c r="L198" s="9"/>
      <c r="M198" s="9"/>
      <c r="N198" s="9"/>
      <c r="O198" s="9"/>
      <c r="P198" s="9"/>
      <c r="Q198" s="9"/>
      <c r="R198" s="9"/>
      <c r="S198" s="9"/>
      <c r="T198" s="9"/>
      <c r="U198" s="11"/>
      <c r="V198" s="11"/>
      <c r="W198" s="11"/>
      <c r="X198" s="12"/>
      <c r="Y198" s="12"/>
      <c r="Z198" s="12"/>
      <c r="AA198" s="12"/>
      <c r="AB198" s="12"/>
      <c r="AC198" s="241"/>
      <c r="AF198" s="84"/>
      <c r="AI198" s="179"/>
      <c r="AJ198" s="179"/>
      <c r="AK198" s="153"/>
      <c r="AM198" s="83"/>
      <c r="AN198" s="83"/>
    </row>
    <row r="199" spans="1:40" ht="11.25" customHeight="1" x14ac:dyDescent="0.2">
      <c r="A199" s="141"/>
      <c r="B199" s="1366" t="s">
        <v>25</v>
      </c>
      <c r="C199" s="1366"/>
      <c r="D199" s="1366"/>
      <c r="E199" s="1366"/>
      <c r="F199" s="9"/>
      <c r="G199" s="9"/>
      <c r="H199" s="9"/>
      <c r="I199" s="9"/>
      <c r="J199" s="13"/>
      <c r="K199" s="9"/>
      <c r="L199" s="9"/>
      <c r="M199" s="9"/>
      <c r="N199" s="9"/>
      <c r="O199" s="9"/>
      <c r="P199" s="9"/>
      <c r="Q199" s="9"/>
      <c r="R199" s="9"/>
      <c r="S199" s="9"/>
      <c r="T199" s="9"/>
      <c r="U199" s="11"/>
      <c r="V199" s="11"/>
      <c r="W199" s="11"/>
      <c r="X199" s="12"/>
      <c r="Y199" s="12"/>
      <c r="Z199" s="12"/>
      <c r="AA199" s="12"/>
      <c r="AB199" s="12"/>
      <c r="AC199" s="241"/>
      <c r="AF199" s="84"/>
      <c r="AI199" s="179"/>
      <c r="AJ199" s="179"/>
      <c r="AK199" s="153"/>
      <c r="AM199" s="83"/>
      <c r="AN199" s="83"/>
    </row>
    <row r="200" spans="1:40" ht="11.25" customHeight="1" x14ac:dyDescent="0.2">
      <c r="A200" s="141"/>
      <c r="B200" s="1366"/>
      <c r="C200" s="1366"/>
      <c r="D200" s="1366"/>
      <c r="E200" s="1366"/>
      <c r="F200" s="9"/>
      <c r="G200" s="9"/>
      <c r="H200" s="9"/>
      <c r="I200" s="9"/>
      <c r="J200" s="13"/>
      <c r="K200" s="9"/>
      <c r="L200" s="9"/>
      <c r="M200" s="9"/>
      <c r="N200" s="9"/>
      <c r="O200" s="9"/>
      <c r="P200" s="9"/>
      <c r="Q200" s="9"/>
      <c r="R200" s="9"/>
      <c r="S200" s="9"/>
      <c r="T200" s="9"/>
      <c r="U200" s="11"/>
      <c r="V200" s="11"/>
      <c r="W200" s="11"/>
      <c r="X200" s="12"/>
      <c r="Y200" s="12"/>
      <c r="Z200" s="12"/>
      <c r="AA200" s="12"/>
      <c r="AB200" s="12"/>
      <c r="AC200" s="241"/>
      <c r="AF200" s="84"/>
      <c r="AI200" s="179"/>
      <c r="AJ200" s="179"/>
      <c r="AK200" s="153"/>
    </row>
    <row r="201" spans="1:40" ht="11.25" customHeight="1" x14ac:dyDescent="0.2">
      <c r="A201" s="141"/>
      <c r="B201" s="1366" t="s">
        <v>18</v>
      </c>
      <c r="C201" s="1366"/>
      <c r="D201" s="1366"/>
      <c r="E201" s="1366"/>
      <c r="F201" s="9"/>
      <c r="G201" s="9"/>
      <c r="H201" s="9"/>
      <c r="I201" s="9"/>
      <c r="J201" s="13"/>
      <c r="K201" s="9"/>
      <c r="L201" s="9"/>
      <c r="M201" s="9"/>
      <c r="N201" s="9"/>
      <c r="O201" s="9"/>
      <c r="P201" s="9"/>
      <c r="Q201" s="9"/>
      <c r="R201" s="9"/>
      <c r="S201" s="9"/>
      <c r="T201" s="9"/>
      <c r="U201" s="11"/>
      <c r="V201" s="11"/>
      <c r="W201" s="11"/>
      <c r="X201" s="12"/>
      <c r="Y201" s="12"/>
      <c r="Z201" s="12"/>
      <c r="AA201" s="12"/>
      <c r="AB201" s="12"/>
      <c r="AC201" s="241"/>
      <c r="AF201" s="84"/>
      <c r="AI201" s="179"/>
      <c r="AJ201" s="179"/>
      <c r="AK201" s="153"/>
    </row>
    <row r="202" spans="1:40" ht="11.25" customHeight="1" x14ac:dyDescent="0.2">
      <c r="A202" s="141"/>
      <c r="B202" s="1366"/>
      <c r="C202" s="1366"/>
      <c r="D202" s="1366"/>
      <c r="E202" s="1366"/>
      <c r="F202" s="9"/>
      <c r="G202" s="9"/>
      <c r="H202" s="9"/>
      <c r="I202" s="9"/>
      <c r="J202" s="13"/>
      <c r="K202" s="9"/>
      <c r="L202" s="9"/>
      <c r="M202" s="9"/>
      <c r="N202" s="9"/>
      <c r="O202" s="9"/>
      <c r="P202" s="9"/>
      <c r="Q202" s="9"/>
      <c r="R202" s="9"/>
      <c r="S202" s="9"/>
      <c r="T202" s="9"/>
      <c r="U202" s="11"/>
      <c r="V202" s="11"/>
      <c r="W202" s="11"/>
      <c r="X202" s="12"/>
      <c r="Y202" s="12"/>
      <c r="Z202" s="12"/>
      <c r="AA202" s="12"/>
      <c r="AB202" s="12"/>
      <c r="AC202" s="241"/>
      <c r="AF202" s="84"/>
      <c r="AI202" s="179"/>
      <c r="AJ202" s="179"/>
      <c r="AK202" s="153"/>
    </row>
    <row r="203" spans="1:40" ht="11.25" customHeight="1" x14ac:dyDescent="0.2">
      <c r="A203" s="141"/>
      <c r="B203" s="1366" t="s">
        <v>19</v>
      </c>
      <c r="C203" s="1366"/>
      <c r="D203" s="1366"/>
      <c r="E203" s="1366"/>
      <c r="F203" s="1366"/>
      <c r="G203" s="9"/>
      <c r="H203" s="9"/>
      <c r="I203" s="9"/>
      <c r="J203" s="13"/>
      <c r="K203" s="9"/>
      <c r="L203" s="9"/>
      <c r="M203" s="9"/>
      <c r="N203" s="9"/>
      <c r="O203" s="9"/>
      <c r="P203" s="9"/>
      <c r="Q203" s="9"/>
      <c r="R203" s="9"/>
      <c r="S203" s="9"/>
      <c r="T203" s="9"/>
      <c r="U203" s="11"/>
      <c r="V203" s="11"/>
      <c r="W203" s="11"/>
      <c r="X203" s="12"/>
      <c r="Y203" s="12"/>
      <c r="Z203" s="12"/>
      <c r="AA203" s="12"/>
      <c r="AB203" s="12"/>
      <c r="AC203" s="241"/>
      <c r="AF203" s="84"/>
      <c r="AI203" s="179"/>
      <c r="AJ203" s="179"/>
      <c r="AK203" s="153"/>
    </row>
    <row r="204" spans="1:40" ht="11.25" customHeight="1" x14ac:dyDescent="0.2">
      <c r="A204" s="141"/>
      <c r="B204" s="1366"/>
      <c r="C204" s="1366"/>
      <c r="D204" s="1366"/>
      <c r="E204" s="1366"/>
      <c r="F204" s="1366"/>
      <c r="G204" s="9"/>
      <c r="H204" s="9"/>
      <c r="I204" s="9"/>
      <c r="J204" s="13"/>
      <c r="K204" s="9"/>
      <c r="L204" s="9"/>
      <c r="M204" s="9"/>
      <c r="N204" s="9"/>
      <c r="O204" s="9"/>
      <c r="P204" s="9"/>
      <c r="Q204" s="9"/>
      <c r="R204" s="9"/>
      <c r="S204" s="9"/>
      <c r="T204" s="9"/>
      <c r="U204" s="11"/>
      <c r="V204" s="11"/>
      <c r="W204" s="11"/>
      <c r="X204" s="12"/>
      <c r="Y204" s="12"/>
      <c r="Z204" s="12"/>
      <c r="AA204" s="12"/>
      <c r="AB204" s="12"/>
      <c r="AC204" s="241"/>
      <c r="AF204" s="84"/>
      <c r="AI204" s="179"/>
      <c r="AJ204" s="179"/>
      <c r="AK204" s="153"/>
    </row>
    <row r="205" spans="1:40" ht="11.25" customHeight="1" x14ac:dyDescent="0.2">
      <c r="A205" s="141"/>
      <c r="B205" s="1366" t="s">
        <v>20</v>
      </c>
      <c r="C205" s="1366"/>
      <c r="D205" s="1366"/>
      <c r="E205" s="1366"/>
      <c r="F205" s="9"/>
      <c r="G205" s="9"/>
      <c r="H205" s="9"/>
      <c r="I205" s="9"/>
      <c r="J205" s="13"/>
      <c r="K205" s="9"/>
      <c r="L205" s="9"/>
      <c r="M205" s="9"/>
      <c r="N205" s="9"/>
      <c r="O205" s="9"/>
      <c r="P205" s="9"/>
      <c r="Q205" s="9"/>
      <c r="R205" s="9"/>
      <c r="S205" s="9"/>
      <c r="T205" s="9"/>
      <c r="U205" s="11"/>
      <c r="V205" s="11"/>
      <c r="W205" s="11"/>
      <c r="X205" s="12"/>
      <c r="Y205" s="12"/>
      <c r="Z205" s="12"/>
      <c r="AA205" s="12"/>
      <c r="AB205" s="12"/>
      <c r="AC205" s="241"/>
      <c r="AF205" s="84"/>
      <c r="AI205" s="179"/>
      <c r="AJ205" s="179"/>
      <c r="AK205" s="153"/>
    </row>
    <row r="206" spans="1:40" ht="11.25" customHeight="1" x14ac:dyDescent="0.2">
      <c r="A206" s="141"/>
      <c r="B206" s="1366"/>
      <c r="C206" s="1366"/>
      <c r="D206" s="1366"/>
      <c r="E206" s="1366"/>
      <c r="F206" s="9"/>
      <c r="G206" s="9"/>
      <c r="H206" s="9"/>
      <c r="I206" s="9"/>
      <c r="J206" s="13"/>
      <c r="K206" s="9"/>
      <c r="L206" s="9"/>
      <c r="M206" s="9"/>
      <c r="N206" s="9"/>
      <c r="O206" s="9"/>
      <c r="P206" s="9"/>
      <c r="Q206" s="9"/>
      <c r="R206" s="9"/>
      <c r="S206" s="9"/>
      <c r="T206" s="9"/>
      <c r="U206" s="11"/>
      <c r="V206" s="11"/>
      <c r="W206" s="11"/>
      <c r="X206" s="12"/>
      <c r="Y206" s="12"/>
      <c r="Z206" s="12"/>
      <c r="AA206" s="12"/>
      <c r="AB206" s="12"/>
      <c r="AC206" s="241"/>
      <c r="AF206" s="84"/>
      <c r="AI206" s="179"/>
      <c r="AJ206" s="179"/>
      <c r="AK206" s="153"/>
    </row>
    <row r="207" spans="1:40" ht="11.25" customHeight="1" x14ac:dyDescent="0.2">
      <c r="A207" s="141"/>
      <c r="B207" s="1366" t="s">
        <v>26</v>
      </c>
      <c r="C207" s="1366"/>
      <c r="D207" s="1366"/>
      <c r="E207" s="1366"/>
      <c r="F207" s="9"/>
      <c r="G207" s="9"/>
      <c r="H207" s="9"/>
      <c r="I207" s="9"/>
      <c r="J207" s="13"/>
      <c r="K207" s="9"/>
      <c r="L207" s="9"/>
      <c r="M207" s="9"/>
      <c r="N207" s="9"/>
      <c r="O207" s="9"/>
      <c r="P207" s="9"/>
      <c r="Q207" s="9"/>
      <c r="R207" s="9"/>
      <c r="S207" s="9"/>
      <c r="T207" s="9"/>
      <c r="U207" s="11"/>
      <c r="V207" s="11"/>
      <c r="W207" s="11"/>
      <c r="X207" s="12"/>
      <c r="Y207" s="12"/>
      <c r="Z207" s="12"/>
      <c r="AA207" s="12"/>
      <c r="AB207" s="12"/>
      <c r="AC207" s="241"/>
      <c r="AF207" s="84"/>
      <c r="AI207" s="179"/>
      <c r="AJ207" s="179"/>
      <c r="AK207" s="153"/>
    </row>
    <row r="208" spans="1:40" ht="11.25" customHeight="1" x14ac:dyDescent="0.2">
      <c r="A208" s="141"/>
      <c r="B208" s="1366"/>
      <c r="C208" s="1366"/>
      <c r="D208" s="1366"/>
      <c r="E208" s="1366"/>
      <c r="F208" s="9"/>
      <c r="G208" s="9"/>
      <c r="H208" s="9"/>
      <c r="I208" s="9"/>
      <c r="J208" s="13"/>
      <c r="K208" s="9"/>
      <c r="L208" s="9"/>
      <c r="M208" s="9"/>
      <c r="N208" s="9"/>
      <c r="O208" s="9"/>
      <c r="P208" s="9"/>
      <c r="Q208" s="9"/>
      <c r="R208" s="9"/>
      <c r="S208" s="9"/>
      <c r="T208" s="9"/>
      <c r="U208" s="11"/>
      <c r="V208" s="11"/>
      <c r="W208" s="11"/>
      <c r="X208" s="12"/>
      <c r="Y208" s="12"/>
      <c r="Z208" s="12"/>
      <c r="AA208" s="12"/>
      <c r="AB208" s="12"/>
      <c r="AC208" s="241"/>
      <c r="AF208" s="84"/>
      <c r="AI208" s="179"/>
      <c r="AJ208" s="179"/>
      <c r="AK208" s="153"/>
    </row>
    <row r="209" spans="1:56" ht="11.25" customHeight="1" x14ac:dyDescent="0.2">
      <c r="A209" s="141"/>
      <c r="B209" s="1366" t="s">
        <v>21</v>
      </c>
      <c r="C209" s="1366"/>
      <c r="D209" s="1366"/>
      <c r="E209" s="1366"/>
      <c r="F209" s="9"/>
      <c r="G209" s="9"/>
      <c r="H209" s="9"/>
      <c r="I209" s="9"/>
      <c r="J209" s="13"/>
      <c r="K209" s="9"/>
      <c r="L209" s="9"/>
      <c r="M209" s="9"/>
      <c r="N209" s="9"/>
      <c r="O209" s="9"/>
      <c r="P209" s="9"/>
      <c r="Q209" s="9"/>
      <c r="R209" s="9"/>
      <c r="S209" s="9"/>
      <c r="T209" s="9"/>
      <c r="U209" s="11"/>
      <c r="V209" s="11"/>
      <c r="W209" s="11"/>
      <c r="X209" s="12"/>
      <c r="Y209" s="12"/>
      <c r="Z209" s="12"/>
      <c r="AA209" s="12"/>
      <c r="AB209" s="12"/>
      <c r="AC209" s="241"/>
      <c r="AF209" s="84"/>
      <c r="AI209" s="179"/>
      <c r="AJ209" s="179"/>
      <c r="AK209" s="153"/>
    </row>
    <row r="210" spans="1:56" ht="11.25" customHeight="1" x14ac:dyDescent="0.2">
      <c r="A210" s="141"/>
      <c r="B210" s="1366"/>
      <c r="C210" s="1366"/>
      <c r="D210" s="1366"/>
      <c r="E210" s="1366"/>
      <c r="F210" s="9"/>
      <c r="G210" s="9"/>
      <c r="H210" s="9"/>
      <c r="I210" s="9"/>
      <c r="J210" s="13"/>
      <c r="K210" s="9"/>
      <c r="L210" s="9"/>
      <c r="M210" s="9"/>
      <c r="N210" s="9"/>
      <c r="O210" s="9"/>
      <c r="P210" s="9"/>
      <c r="Q210" s="9"/>
      <c r="R210" s="9"/>
      <c r="S210" s="9"/>
      <c r="T210" s="9"/>
      <c r="U210" s="11"/>
      <c r="V210" s="11"/>
      <c r="W210" s="11"/>
      <c r="X210" s="12"/>
      <c r="Y210" s="12"/>
      <c r="Z210" s="12"/>
      <c r="AA210" s="12"/>
      <c r="AB210" s="12"/>
      <c r="AC210" s="241"/>
      <c r="AF210" s="84"/>
      <c r="AI210" s="179"/>
      <c r="AJ210" s="179"/>
      <c r="AK210" s="153"/>
    </row>
    <row r="211" spans="1:56" ht="11.25" customHeight="1" x14ac:dyDescent="0.2">
      <c r="A211" s="141"/>
      <c r="B211" s="1366" t="s">
        <v>930</v>
      </c>
      <c r="C211" s="1366"/>
      <c r="D211" s="1366"/>
      <c r="E211" s="1366"/>
      <c r="F211" s="1366"/>
      <c r="G211" s="9"/>
      <c r="H211" s="9"/>
      <c r="I211" s="9"/>
      <c r="J211" s="13"/>
      <c r="K211" s="9"/>
      <c r="L211" s="9"/>
      <c r="M211" s="9"/>
      <c r="N211" s="9"/>
      <c r="O211" s="9"/>
      <c r="P211" s="9"/>
      <c r="Q211" s="9"/>
      <c r="R211" s="9"/>
      <c r="S211" s="9"/>
      <c r="T211" s="9"/>
      <c r="U211" s="11"/>
      <c r="V211" s="11"/>
      <c r="W211" s="11"/>
      <c r="X211" s="12"/>
      <c r="Y211" s="12"/>
      <c r="Z211" s="12"/>
      <c r="AA211" s="12"/>
      <c r="AB211" s="12"/>
      <c r="AC211" s="241"/>
      <c r="AF211" s="84"/>
      <c r="AI211" s="179"/>
      <c r="AJ211" s="179"/>
      <c r="AK211" s="153"/>
    </row>
    <row r="212" spans="1:56" ht="11.25" customHeight="1" x14ac:dyDescent="0.2">
      <c r="A212" s="141"/>
      <c r="B212" s="1366"/>
      <c r="C212" s="1366"/>
      <c r="D212" s="1366"/>
      <c r="E212" s="1366"/>
      <c r="F212" s="1366"/>
      <c r="G212" s="9"/>
      <c r="H212" s="9"/>
      <c r="I212" s="9"/>
      <c r="J212" s="13"/>
      <c r="K212" s="9"/>
      <c r="L212" s="9"/>
      <c r="M212" s="9"/>
      <c r="N212" s="9"/>
      <c r="O212" s="9"/>
      <c r="P212" s="9"/>
      <c r="Q212" s="9"/>
      <c r="R212" s="9"/>
      <c r="S212" s="9"/>
      <c r="T212" s="9"/>
      <c r="U212" s="11"/>
      <c r="V212" s="11"/>
      <c r="W212" s="11"/>
      <c r="X212" s="12"/>
      <c r="Y212" s="12"/>
      <c r="Z212" s="12"/>
      <c r="AA212" s="12"/>
      <c r="AB212" s="12"/>
      <c r="AC212" s="241"/>
      <c r="AF212" s="84"/>
      <c r="AI212" s="179"/>
      <c r="AJ212" s="179"/>
      <c r="AK212" s="153"/>
    </row>
    <row r="213" spans="1:56" ht="11.25" customHeight="1" x14ac:dyDescent="0.2">
      <c r="A213" s="141"/>
      <c r="B213" s="1366" t="s">
        <v>680</v>
      </c>
      <c r="C213" s="1366"/>
      <c r="D213" s="1366"/>
      <c r="E213" s="1366"/>
      <c r="F213" s="9"/>
      <c r="G213" s="9"/>
      <c r="H213" s="9"/>
      <c r="I213" s="9"/>
      <c r="J213" s="13"/>
      <c r="K213" s="9"/>
      <c r="L213" s="9"/>
      <c r="M213" s="9"/>
      <c r="N213" s="9"/>
      <c r="O213" s="9"/>
      <c r="P213" s="9"/>
      <c r="Q213" s="9"/>
      <c r="R213" s="9"/>
      <c r="S213" s="9"/>
      <c r="T213" s="9"/>
      <c r="U213" s="11"/>
      <c r="V213" s="11"/>
      <c r="W213" s="11"/>
      <c r="X213" s="12"/>
      <c r="Y213" s="12"/>
      <c r="Z213" s="12"/>
      <c r="AA213" s="12"/>
      <c r="AB213" s="12"/>
      <c r="AC213" s="241"/>
      <c r="AF213" s="84"/>
      <c r="AI213" s="179"/>
      <c r="AJ213" s="179"/>
      <c r="AK213" s="153"/>
    </row>
    <row r="214" spans="1:56" ht="11.25" customHeight="1" x14ac:dyDescent="0.2">
      <c r="A214" s="141"/>
      <c r="B214" s="1366"/>
      <c r="C214" s="1366"/>
      <c r="D214" s="1366"/>
      <c r="E214" s="1366"/>
      <c r="F214" s="9"/>
      <c r="G214" s="9"/>
      <c r="H214" s="9"/>
      <c r="I214" s="9"/>
      <c r="J214" s="13"/>
      <c r="K214" s="9"/>
      <c r="L214" s="9"/>
      <c r="M214" s="9"/>
      <c r="N214" s="9"/>
      <c r="O214" s="9"/>
      <c r="P214" s="9"/>
      <c r="Q214" s="9"/>
      <c r="R214" s="9"/>
      <c r="S214" s="9"/>
      <c r="T214" s="9"/>
      <c r="U214" s="11"/>
      <c r="V214" s="11"/>
      <c r="W214" s="11"/>
      <c r="X214" s="12"/>
      <c r="Y214" s="12"/>
      <c r="Z214" s="12"/>
      <c r="AA214" s="12"/>
      <c r="AB214" s="12"/>
      <c r="AC214" s="241"/>
      <c r="AF214" s="84"/>
      <c r="AI214" s="179"/>
      <c r="AJ214" s="179"/>
      <c r="AK214" s="153"/>
    </row>
    <row r="215" spans="1:56" ht="11.25" customHeight="1" x14ac:dyDescent="0.2">
      <c r="A215" s="141"/>
      <c r="B215" s="1366" t="s">
        <v>32</v>
      </c>
      <c r="C215" s="1366"/>
      <c r="D215" s="1366"/>
      <c r="E215" s="1366"/>
      <c r="F215" s="9"/>
      <c r="G215" s="9"/>
      <c r="H215" s="9"/>
      <c r="I215" s="9"/>
      <c r="J215" s="13"/>
      <c r="K215" s="9"/>
      <c r="L215" s="9"/>
      <c r="M215" s="9"/>
      <c r="N215" s="9"/>
      <c r="O215" s="9"/>
      <c r="P215" s="9"/>
      <c r="Q215" s="9"/>
      <c r="R215" s="9"/>
      <c r="S215" s="9"/>
      <c r="T215" s="9"/>
      <c r="U215" s="11"/>
      <c r="V215" s="11"/>
      <c r="W215" s="11"/>
      <c r="X215" s="12"/>
      <c r="Y215" s="12"/>
      <c r="Z215" s="12"/>
      <c r="AA215" s="12"/>
      <c r="AB215" s="12"/>
      <c r="AC215" s="241"/>
      <c r="AF215" s="84"/>
      <c r="AI215" s="179"/>
      <c r="AJ215" s="179"/>
      <c r="AK215" s="153"/>
    </row>
    <row r="216" spans="1:56" ht="11.25" customHeight="1" x14ac:dyDescent="0.2">
      <c r="A216" s="141"/>
      <c r="B216" s="1366"/>
      <c r="C216" s="1366"/>
      <c r="D216" s="1366"/>
      <c r="E216" s="1366"/>
      <c r="F216" s="9"/>
      <c r="G216" s="9"/>
      <c r="H216" s="9"/>
      <c r="I216" s="9"/>
      <c r="J216" s="13"/>
      <c r="K216" s="9"/>
      <c r="L216" s="9"/>
      <c r="M216" s="9"/>
      <c r="N216" s="9"/>
      <c r="O216" s="9"/>
      <c r="P216" s="9"/>
      <c r="Q216" s="9"/>
      <c r="R216" s="9"/>
      <c r="S216" s="9"/>
      <c r="T216" s="9"/>
      <c r="U216" s="11"/>
      <c r="V216" s="11"/>
      <c r="W216" s="11"/>
      <c r="X216" s="12"/>
      <c r="Y216" s="12"/>
      <c r="Z216" s="12"/>
      <c r="AA216" s="12"/>
      <c r="AB216" s="12"/>
      <c r="AC216" s="241"/>
      <c r="AF216" s="84"/>
      <c r="AI216" s="179"/>
      <c r="AJ216" s="179"/>
      <c r="AK216" s="153"/>
    </row>
    <row r="217" spans="1:56" ht="11.25" customHeight="1" x14ac:dyDescent="0.2">
      <c r="A217" s="248"/>
      <c r="B217" s="1110"/>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1307"/>
      <c r="AF217" s="84"/>
      <c r="AI217" s="179"/>
      <c r="AJ217" s="179"/>
      <c r="AK217" s="242"/>
    </row>
    <row r="218" spans="1:56" ht="11.25" customHeight="1" x14ac:dyDescent="0.2">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F218" s="84"/>
      <c r="AI218" s="179"/>
      <c r="AJ218" s="179"/>
    </row>
    <row r="219" spans="1:56" ht="18.75" customHeight="1" x14ac:dyDescent="0.2">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F219" s="84"/>
      <c r="AI219" s="179"/>
      <c r="AJ219" s="179"/>
    </row>
    <row r="220" spans="1:56" s="82" customFormat="1" ht="11.25" customHeight="1" x14ac:dyDescent="0.2">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83"/>
      <c r="AE220" s="83"/>
      <c r="AF220" s="84"/>
      <c r="AG220" s="83"/>
      <c r="AH220" s="83"/>
      <c r="AI220" s="179"/>
      <c r="AJ220" s="179"/>
      <c r="AL220" s="76"/>
      <c r="AM220" s="76"/>
      <c r="AN220" s="76"/>
      <c r="AO220" s="76"/>
      <c r="AP220" s="76"/>
      <c r="AQ220" s="76"/>
      <c r="AR220" s="76"/>
      <c r="AS220" s="76"/>
      <c r="AT220" s="76"/>
      <c r="AU220" s="76"/>
      <c r="AV220" s="76"/>
      <c r="AW220" s="76"/>
      <c r="AX220" s="76"/>
      <c r="AY220" s="76"/>
      <c r="AZ220" s="76"/>
      <c r="BA220" s="76"/>
      <c r="BB220" s="76"/>
      <c r="BC220" s="76"/>
      <c r="BD220" s="76"/>
    </row>
    <row r="221" spans="1:56" ht="11.25" customHeight="1" x14ac:dyDescent="0.2">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F221" s="84"/>
      <c r="AI221" s="179"/>
      <c r="AJ221" s="179"/>
    </row>
    <row r="222" spans="1:56" ht="11.25" customHeight="1" x14ac:dyDescent="0.2">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F222" s="84"/>
      <c r="AI222" s="179"/>
      <c r="AJ222" s="179"/>
    </row>
    <row r="223" spans="1:56" ht="11.25" customHeight="1" x14ac:dyDescent="0.2">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F223" s="84"/>
      <c r="AI223" s="179"/>
      <c r="AJ223" s="179"/>
    </row>
    <row r="224" spans="1:56" ht="11.25" customHeight="1" x14ac:dyDescent="0.2">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F224" s="84"/>
      <c r="AI224" s="179"/>
      <c r="AJ224" s="179"/>
    </row>
    <row r="225" spans="1:36" ht="11.25" customHeight="1" x14ac:dyDescent="0.2">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F225" s="84"/>
      <c r="AI225" s="179"/>
      <c r="AJ225" s="179"/>
    </row>
    <row r="226" spans="1:36" ht="11.25" customHeight="1" x14ac:dyDescent="0.2">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F226" s="84"/>
      <c r="AI226" s="179"/>
      <c r="AJ226" s="179"/>
    </row>
    <row r="227" spans="1:36" ht="11.25" customHeight="1" x14ac:dyDescent="0.2">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F227" s="84"/>
      <c r="AI227" s="179"/>
      <c r="AJ227" s="179"/>
    </row>
    <row r="228" spans="1:36" ht="11.25" customHeight="1" x14ac:dyDescent="0.2">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F228" s="84"/>
      <c r="AI228" s="179"/>
      <c r="AJ228" s="179"/>
    </row>
    <row r="229" spans="1:36" ht="11.25" customHeight="1" x14ac:dyDescent="0.2">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F229" s="84"/>
      <c r="AI229" s="179"/>
      <c r="AJ229" s="179"/>
    </row>
    <row r="230" spans="1:36" ht="11.25" customHeight="1" x14ac:dyDescent="0.2">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F230" s="84"/>
      <c r="AI230" s="179"/>
      <c r="AJ230" s="179"/>
    </row>
    <row r="231" spans="1:36" ht="11.25" customHeight="1" x14ac:dyDescent="0.2">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F231" s="84"/>
      <c r="AI231" s="179"/>
      <c r="AJ231" s="179"/>
    </row>
    <row r="232" spans="1:36" ht="11.25" customHeight="1" x14ac:dyDescent="0.2">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F232" s="84"/>
      <c r="AI232" s="179"/>
      <c r="AJ232" s="179"/>
    </row>
    <row r="233" spans="1:36" ht="11.25" customHeight="1" x14ac:dyDescent="0.2">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F233" s="84"/>
      <c r="AI233" s="179"/>
      <c r="AJ233" s="179"/>
    </row>
    <row r="234" spans="1:36" ht="11.25" customHeight="1" x14ac:dyDescent="0.2">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F234" s="84"/>
      <c r="AI234" s="179"/>
      <c r="AJ234" s="179"/>
    </row>
    <row r="235" spans="1:36" ht="11.25" customHeight="1" x14ac:dyDescent="0.2">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197"/>
      <c r="AE235" s="197"/>
      <c r="AF235" s="1132"/>
      <c r="AG235" s="197"/>
      <c r="AH235" s="197"/>
      <c r="AI235" s="198"/>
      <c r="AJ235" s="198"/>
    </row>
    <row r="346" spans="38:38" ht="11.25" customHeight="1" x14ac:dyDescent="0.2">
      <c r="AL346" s="76" t="b">
        <v>1</v>
      </c>
    </row>
  </sheetData>
  <sheetProtection sheet="1" objects="1" scenarios="1"/>
  <mergeCells count="48">
    <mergeCell ref="B187:E188"/>
    <mergeCell ref="B189:E190"/>
    <mergeCell ref="B191:E192"/>
    <mergeCell ref="AA8:AA9"/>
    <mergeCell ref="R64:U64"/>
    <mergeCell ref="I7:I9"/>
    <mergeCell ref="Q7:Q9"/>
    <mergeCell ref="B35:U35"/>
    <mergeCell ref="A37:V37"/>
    <mergeCell ref="A38:V38"/>
    <mergeCell ref="Z8:Z9"/>
    <mergeCell ref="K7:P7"/>
    <mergeCell ref="S7:U8"/>
    <mergeCell ref="O8:P8"/>
    <mergeCell ref="O9:P9"/>
    <mergeCell ref="B144:I145"/>
    <mergeCell ref="A178:V178"/>
    <mergeCell ref="B146:B147"/>
    <mergeCell ref="B181:B182"/>
    <mergeCell ref="B183:E184"/>
    <mergeCell ref="B185:E186"/>
    <mergeCell ref="A177:V177"/>
    <mergeCell ref="B108:I109"/>
    <mergeCell ref="A141:V141"/>
    <mergeCell ref="A142:V142"/>
    <mergeCell ref="A71:V71"/>
    <mergeCell ref="A105:V105"/>
    <mergeCell ref="A106:V106"/>
    <mergeCell ref="B110:B111"/>
    <mergeCell ref="A70:V70"/>
    <mergeCell ref="B7:B9"/>
    <mergeCell ref="B5:N6"/>
    <mergeCell ref="M64:P64"/>
    <mergeCell ref="M65:P65"/>
    <mergeCell ref="R65:U65"/>
    <mergeCell ref="D7:H7"/>
    <mergeCell ref="B213:E214"/>
    <mergeCell ref="B215:E216"/>
    <mergeCell ref="B211:F212"/>
    <mergeCell ref="B203:F204"/>
    <mergeCell ref="B193:E194"/>
    <mergeCell ref="B195:E196"/>
    <mergeCell ref="B197:E198"/>
    <mergeCell ref="B199:E200"/>
    <mergeCell ref="B201:E202"/>
    <mergeCell ref="B205:E206"/>
    <mergeCell ref="B207:E208"/>
    <mergeCell ref="B209:E210"/>
  </mergeCells>
  <conditionalFormatting sqref="Z145:AD145">
    <cfRule type="cellIs" dxfId="441" priority="65" stopIfTrue="1" operator="equal">
      <formula>0</formula>
    </cfRule>
  </conditionalFormatting>
  <conditionalFormatting sqref="B10:B31 K10:O31 Q10:Q31 D10:I31 P10:P32 S10:U31 B51:C66 B148:B169 Z147:AD167 D148:H169 B112:B133 D112:H133">
    <cfRule type="expression" dxfId="440" priority="66">
      <formula>$B10=$Z$4</formula>
    </cfRule>
  </conditionalFormatting>
  <conditionalFormatting sqref="B32:B33 B170:B171 B134:B135">
    <cfRule type="expression" dxfId="439" priority="68" stopIfTrue="1">
      <formula>$B32=$Z$4</formula>
    </cfRule>
  </conditionalFormatting>
  <conditionalFormatting sqref="S10:S31">
    <cfRule type="expression" dxfId="438" priority="64">
      <formula>$B10=$Y$5</formula>
    </cfRule>
  </conditionalFormatting>
  <conditionalFormatting sqref="B112:B133 D112:H133 S10:S31">
    <cfRule type="containsErrors" dxfId="437" priority="60">
      <formula>ISERROR(B10)</formula>
    </cfRule>
  </conditionalFormatting>
  <conditionalFormatting sqref="A10:A31">
    <cfRule type="cellIs" dxfId="436" priority="57" operator="equal">
      <formula>0</formula>
    </cfRule>
  </conditionalFormatting>
  <conditionalFormatting sqref="A112:A133">
    <cfRule type="cellIs" dxfId="435" priority="56" operator="equal">
      <formula>0</formula>
    </cfRule>
  </conditionalFormatting>
  <conditionalFormatting sqref="A148:A169">
    <cfRule type="cellIs" dxfId="434" priority="55" operator="equal">
      <formula>0</formula>
    </cfRule>
  </conditionalFormatting>
  <conditionalFormatting sqref="A1:A37 A39:A70 A72:A105 A107:A141 A143:A177 A236:A1048576">
    <cfRule type="containsErrors" dxfId="433" priority="54">
      <formula>ISERROR(A1)</formula>
    </cfRule>
  </conditionalFormatting>
  <conditionalFormatting sqref="AG10:AH28">
    <cfRule type="containsErrors" dxfId="432" priority="53">
      <formula>ISERROR(AG10)</formula>
    </cfRule>
  </conditionalFormatting>
  <conditionalFormatting sqref="AG10:AH21 AH11:AH28">
    <cfRule type="expression" dxfId="431" priority="52">
      <formula>$B10=$X$4</formula>
    </cfRule>
  </conditionalFormatting>
  <conditionalFormatting sqref="Z146:AD146">
    <cfRule type="expression" dxfId="430" priority="48">
      <formula>$B145=$Z$4</formula>
    </cfRule>
    <cfRule type="containsErrors" dxfId="429" priority="49">
      <formula>ISERROR(Z146)</formula>
    </cfRule>
  </conditionalFormatting>
  <conditionalFormatting sqref="I10:I31">
    <cfRule type="containsErrors" dxfId="428" priority="69">
      <formula>ISERROR(I10)</formula>
    </cfRule>
  </conditionalFormatting>
  <conditionalFormatting sqref="A38">
    <cfRule type="cellIs" dxfId="427" priority="44" operator="equal">
      <formula>0</formula>
    </cfRule>
    <cfRule type="containsErrors" dxfId="426" priority="45">
      <formula>ISERROR(A38)</formula>
    </cfRule>
  </conditionalFormatting>
  <conditionalFormatting sqref="A71">
    <cfRule type="cellIs" dxfId="425" priority="42" operator="equal">
      <formula>0</formula>
    </cfRule>
    <cfRule type="containsErrors" dxfId="424" priority="43">
      <formula>ISERROR(A71)</formula>
    </cfRule>
  </conditionalFormatting>
  <conditionalFormatting sqref="A106">
    <cfRule type="cellIs" dxfId="423" priority="40" operator="equal">
      <formula>0</formula>
    </cfRule>
    <cfRule type="containsErrors" dxfId="422" priority="41">
      <formula>ISERROR(A106)</formula>
    </cfRule>
  </conditionalFormatting>
  <conditionalFormatting sqref="A142">
    <cfRule type="cellIs" dxfId="421" priority="38" operator="equal">
      <formula>0</formula>
    </cfRule>
    <cfRule type="containsErrors" dxfId="420" priority="39">
      <formula>ISERROR(A142)</formula>
    </cfRule>
  </conditionalFormatting>
  <conditionalFormatting sqref="A178">
    <cfRule type="cellIs" dxfId="419" priority="36" operator="equal">
      <formula>0</formula>
    </cfRule>
    <cfRule type="containsErrors" dxfId="418" priority="37">
      <formula>ISERROR(A178)</formula>
    </cfRule>
  </conditionalFormatting>
  <conditionalFormatting sqref="D8:H8">
    <cfRule type="containsErrors" dxfId="417" priority="33">
      <formula>ISERROR(D8)</formula>
    </cfRule>
  </conditionalFormatting>
  <conditionalFormatting sqref="D9:H9">
    <cfRule type="containsErrors" dxfId="416" priority="35">
      <formula>ISERROR(D9)</formula>
    </cfRule>
  </conditionalFormatting>
  <conditionalFormatting sqref="K8:O8">
    <cfRule type="containsErrors" dxfId="415" priority="32">
      <formula>ISERROR(K8)</formula>
    </cfRule>
  </conditionalFormatting>
  <conditionalFormatting sqref="K9:O9">
    <cfRule type="containsErrors" dxfId="414" priority="70">
      <formula>ISERROR(K9)</formula>
    </cfRule>
  </conditionalFormatting>
  <conditionalFormatting sqref="P33">
    <cfRule type="containsErrors" dxfId="413" priority="31">
      <formula>ISERROR(P33)</formula>
    </cfRule>
  </conditionalFormatting>
  <conditionalFormatting sqref="P32">
    <cfRule type="containsErrors" dxfId="412" priority="29">
      <formula>ISERROR(P32)</formula>
    </cfRule>
  </conditionalFormatting>
  <conditionalFormatting sqref="P10:P32">
    <cfRule type="containsErrors" dxfId="411" priority="27">
      <formula>ISERROR(P10)</formula>
    </cfRule>
    <cfRule type="dataBar" priority="28">
      <dataBar showValue="0">
        <cfvo type="min"/>
        <cfvo type="max"/>
        <color theme="9"/>
      </dataBar>
      <extLst>
        <ext xmlns:x14="http://schemas.microsoft.com/office/spreadsheetml/2009/9/main" uri="{B025F937-C7B1-47D3-B67F-A62EFF666E3E}">
          <x14:id>{E244C23F-BE96-461F-ADF8-C0B7834A64D3}</x14:id>
        </ext>
      </extLst>
    </cfRule>
  </conditionalFormatting>
  <conditionalFormatting sqref="Y3">
    <cfRule type="containsErrors" dxfId="410" priority="24">
      <formula>ISERROR(Y3)</formula>
    </cfRule>
  </conditionalFormatting>
  <conditionalFormatting sqref="Y2">
    <cfRule type="containsErrors" dxfId="409" priority="23">
      <formula>ISERROR(Y2)</formula>
    </cfRule>
  </conditionalFormatting>
  <conditionalFormatting sqref="D110:H110">
    <cfRule type="containsErrors" dxfId="408" priority="17">
      <formula>ISERROR(D110)</formula>
    </cfRule>
  </conditionalFormatting>
  <conditionalFormatting sqref="D111:H111">
    <cfRule type="containsErrors" dxfId="407" priority="18">
      <formula>ISERROR(D111)</formula>
    </cfRule>
  </conditionalFormatting>
  <conditionalFormatting sqref="D146:H146">
    <cfRule type="containsErrors" dxfId="406" priority="15">
      <formula>ISERROR(D146)</formula>
    </cfRule>
  </conditionalFormatting>
  <conditionalFormatting sqref="D147:H147">
    <cfRule type="containsErrors" dxfId="405" priority="16">
      <formula>ISERROR(D147)</formula>
    </cfRule>
  </conditionalFormatting>
  <conditionalFormatting sqref="AB9:AF9">
    <cfRule type="cellIs" dxfId="404" priority="14" stopIfTrue="1" operator="equal">
      <formula>0</formula>
    </cfRule>
  </conditionalFormatting>
  <conditionalFormatting sqref="D171:H171 D135:H135">
    <cfRule type="containsErrors" dxfId="403" priority="13">
      <formula>ISERROR(D135)</formula>
    </cfRule>
  </conditionalFormatting>
  <conditionalFormatting sqref="D33:I33 K33:O33">
    <cfRule type="containsErrors" dxfId="402" priority="12">
      <formula>ISERROR(D33)</formula>
    </cfRule>
  </conditionalFormatting>
  <conditionalFormatting sqref="B10:B31 K10:O31 B51:C66 D10:H31 B148:B169 Z147:AD167 D148:H169">
    <cfRule type="containsErrors" dxfId="401" priority="67">
      <formula>ISERROR(B10)</formula>
    </cfRule>
  </conditionalFormatting>
  <conditionalFormatting sqref="Q10:Q31">
    <cfRule type="containsErrors" dxfId="400" priority="11">
      <formula>ISERROR(Q10)</formula>
    </cfRule>
  </conditionalFormatting>
  <conditionalFormatting sqref="T10:T31">
    <cfRule type="containsErrors" dxfId="399" priority="10">
      <formula>ISERROR(T10)</formula>
    </cfRule>
  </conditionalFormatting>
  <conditionalFormatting sqref="T32">
    <cfRule type="containsErrors" dxfId="398" priority="8">
      <formula>ISERROR(T32)</formula>
    </cfRule>
  </conditionalFormatting>
  <conditionalFormatting sqref="T33">
    <cfRule type="containsErrors" dxfId="397" priority="7">
      <formula>ISERROR(T33)</formula>
    </cfRule>
  </conditionalFormatting>
  <conditionalFormatting sqref="U10:U31">
    <cfRule type="containsErrors" dxfId="396" priority="6">
      <formula>ISERROR(U10)</formula>
    </cfRule>
  </conditionalFormatting>
  <conditionalFormatting sqref="U32">
    <cfRule type="containsErrors" dxfId="395" priority="4">
      <formula>ISERROR(U32)</formula>
    </cfRule>
  </conditionalFormatting>
  <conditionalFormatting sqref="U33">
    <cfRule type="containsErrors" dxfId="394" priority="3">
      <formula>ISERROR(U33)</formula>
    </cfRule>
  </conditionalFormatting>
  <conditionalFormatting sqref="Z3:AD3">
    <cfRule type="containsErrors" dxfId="393" priority="2">
      <formula>ISERROR(Z3)</formula>
    </cfRule>
  </conditionalFormatting>
  <conditionalFormatting sqref="Z2:AD2">
    <cfRule type="containsErrors" dxfId="392" priority="1">
      <formula>ISERROR(Z2)</formula>
    </cfRule>
  </conditionalFormatting>
  <hyperlinks>
    <hyperlink ref="B185:B186" location="Coverage!A1" display="Participating LA's" xr:uid="{7AB492D5-EE47-4B4E-8B11-F4553F4F09BD}"/>
    <hyperlink ref="B187:B188" location="IDACI!A1" display="IDACI" xr:uid="{E9AF32C9-D5D8-4A55-813E-AC80260EEFF8}"/>
    <hyperlink ref="B215:B216" location="Adoption!A1" display="Adoption" xr:uid="{D78D247A-F094-4677-BD0B-08EBD409D119}"/>
    <hyperlink ref="B209:B210" location="'Looked After Children'!A1" display="Looked After Children" xr:uid="{D5D12DF3-C6A3-4100-8E95-4E70E72F2E10}"/>
    <hyperlink ref="B207:B208" location="'Court Applications'!A1" display="Court Applications" xr:uid="{91E51A16-D0A3-4065-A6C5-AF7D633F856D}"/>
    <hyperlink ref="B205:B206" location="'Child Protection Plans'!A1" display="Child Protection Plans" xr:uid="{B063A88E-477E-4C74-8E9D-FDC8C7521B04}"/>
    <hyperlink ref="B203:B204" location="'Initial CP Conferences'!A1" display="Initial Child Protection Conferences" xr:uid="{361D509C-388F-4C54-A54F-9A7E128B4720}"/>
    <hyperlink ref="B201:B202" location="'Section 47 Enquiries'!A1" display="Section 47 Enquiries" xr:uid="{8E9205C5-8B88-41F7-9D9A-7F3414AA638E}"/>
    <hyperlink ref="B199:B200" location="'Children in Need'!A1" display="Children in Need" xr:uid="{89C7AA6A-7ED7-4333-B5FD-4E1C17C2C709}"/>
    <hyperlink ref="B197:B198" location="Assessments!A1" display="Assessments" xr:uid="{5C5D9C95-CF31-4BE2-BB17-0B5AE8EBC4B2}"/>
    <hyperlink ref="B195:B196" location="'Re-referrals'!A1" display="Re-referrals" xr:uid="{25452DB2-C908-4D71-8655-2D311E903831}"/>
    <hyperlink ref="B193:B194" location="Referral_Source!A1" display="Referral Source" xr:uid="{E440EE7A-8F76-4997-9D13-F4927EEAB70B}"/>
    <hyperlink ref="B191:B192" location="Referrals!A1" display="Referrals" xr:uid="{3D54CFB7-6BD8-49BE-AA1D-5512DFA05A0D}"/>
    <hyperlink ref="B189:B190" location="Population!A1" display="Population" xr:uid="{B010AE02-C7CF-4BF8-A264-9B11F9AAF281}"/>
    <hyperlink ref="B187:C188" location="IDACI!A1" display="IDACI" xr:uid="{C3888AD9-C882-4E76-995C-C318AFD1B6D4}"/>
    <hyperlink ref="B183:B184" location="Coverage!A1" display="Participating LA's" xr:uid="{16069CA1-1A98-41F1-96A8-86C7F48EC0C5}"/>
    <hyperlink ref="B183:C184" location="Indicators!A1" display="Indicators" xr:uid="{35EEE37B-1194-48F2-8CD6-B49FEC952D80}"/>
    <hyperlink ref="B213:B214" location="'Looked After Children'!A1" display="Looked After Children" xr:uid="{0946CCA9-225D-4D21-A93A-6710D3EC0360}"/>
    <hyperlink ref="B211:B212" location="'Court Applications'!A1" display="Court Applications" xr:uid="{23A98097-E6A7-4E51-93BA-C90B35BA3E64}"/>
    <hyperlink ref="B211:C212" location="New_Ceased_LAC!A1" display="New/ Ceased Looked After Children" xr:uid="{C391D3E2-29EE-45F4-9619-7CA77227C5BE}"/>
    <hyperlink ref="B213:C214" location="Care_Leavers!A1" display="Care Leavers" xr:uid="{CC92051F-F86D-47F4-9CC7-1FCDAD2F3793}"/>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8" max="18" man="1"/>
    <brk id="71" max="20" man="1"/>
    <brk id="106" max="20" man="1"/>
    <brk id="142" max="20" man="1"/>
  </rowBreaks>
  <ignoredErrors>
    <ignoredError sqref="A148:A169 A112:A133 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8305" r:id="rId4" name="Check Box 1">
              <controlPr defaultSize="0" autoFill="0" autoLine="0" autoPict="0" macro="[0]!CheckBox1_Click" altText="">
                <anchor>
                  <from>
                    <xdr:col>23</xdr:col>
                    <xdr:colOff>76200</xdr:colOff>
                    <xdr:row>39</xdr:row>
                    <xdr:rowOff>28575</xdr:rowOff>
                  </from>
                  <to>
                    <xdr:col>36</xdr:col>
                    <xdr:colOff>47625</xdr:colOff>
                    <xdr:row>41</xdr:row>
                    <xdr:rowOff>9525</xdr:rowOff>
                  </to>
                </anchor>
              </controlPr>
            </control>
          </mc:Choice>
        </mc:AlternateContent>
        <mc:AlternateContent xmlns:mc="http://schemas.openxmlformats.org/markup-compatibility/2006">
          <mc:Choice Requires="x14">
            <control shapeId="98306" r:id="rId5" name="Check Box 2">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98307" r:id="rId6" name="Check Box 3">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98308" r:id="rId7" name="Check Box 4">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98309" r:id="rId8" name="Check Box 5">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98310" r:id="rId9" name="Check Box 6">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98311" r:id="rId10" name="Check Box 7">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98312" r:id="rId11" name="Check Box 8">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98313" r:id="rId12" name="Check Box 9">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98314" r:id="rId13" name="Check Box 10">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98315" r:id="rId14" name="Check Box 11">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98316" r:id="rId15" name="Check Box 12">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98317" r:id="rId16" name="Check Box 13">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98318" r:id="rId17" name="Check Box 14">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98319" r:id="rId18" name="Check Box 15">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98320" r:id="rId19" name="Check Box 16">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98321" r:id="rId20" name="Check Box 17">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98322" r:id="rId21" name="Check Box 18">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98323" r:id="rId22" name="Check Box 19">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98324" r:id="rId23" name="Check Box 20">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98325" r:id="rId24" name="Check Box 21">
              <controlPr defaultSize="0" autoFill="0" autoLine="0" autoPict="0" macro="[0]!CheckBox1_Click" altText="">
                <anchor>
                  <from>
                    <xdr:col>23</xdr:col>
                    <xdr:colOff>76200</xdr:colOff>
                    <xdr:row>61</xdr:row>
                    <xdr:rowOff>152400</xdr:rowOff>
                  </from>
                  <to>
                    <xdr:col>36</xdr:col>
                    <xdr:colOff>47625</xdr:colOff>
                    <xdr:row>63</xdr:row>
                    <xdr:rowOff>9525</xdr:rowOff>
                  </to>
                </anchor>
              </controlPr>
            </control>
          </mc:Choice>
        </mc:AlternateContent>
        <mc:AlternateContent xmlns:mc="http://schemas.openxmlformats.org/markup-compatibility/2006">
          <mc:Choice Requires="x14">
            <control shapeId="98326" r:id="rId25" name="Check Box 22">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98327" r:id="rId26" name="Check Box 23">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98328" r:id="rId27" name="Check Box 24">
              <controlPr defaultSize="0" autoFill="0" autoLine="0" autoPict="0" macro="[0]!CheckBox1_Click" altText="">
                <anchor>
                  <from>
                    <xdr:col>23</xdr:col>
                    <xdr:colOff>76200</xdr:colOff>
                    <xdr:row>62</xdr:row>
                    <xdr:rowOff>152400</xdr:rowOff>
                  </from>
                  <to>
                    <xdr:col>36</xdr:col>
                    <xdr:colOff>47625</xdr:colOff>
                    <xdr:row>64</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E244C23F-BE96-461F-ADF8-C0B7834A64D3}">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6">
    <tabColor rgb="FFFFC000"/>
  </sheetPr>
  <dimension ref="A1:BY454"/>
  <sheetViews>
    <sheetView showRowColHeaders="0" zoomScaleNormal="10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8" width="6.85546875" style="76" customWidth="1"/>
    <col min="9" max="9" width="7.42578125" style="76" customWidth="1"/>
    <col min="10" max="10" width="1.42578125" style="90" customWidth="1"/>
    <col min="11" max="15" width="6.85546875" style="76" customWidth="1"/>
    <col min="16" max="16" width="7.140625" style="76" customWidth="1"/>
    <col min="17" max="17" width="7.42578125" style="76" customWidth="1"/>
    <col min="18" max="18" width="1.42578125" style="76" customWidth="1"/>
    <col min="19" max="19" width="5.7109375" style="76" customWidth="1"/>
    <col min="20" max="20" width="8.28515625" style="76" customWidth="1"/>
    <col min="21" max="21" width="7.7109375" style="76" customWidth="1"/>
    <col min="22" max="22" width="2.140625" style="76" customWidth="1"/>
    <col min="23" max="23" width="6.42578125" style="82" customWidth="1"/>
    <col min="24" max="24" width="4.85546875" style="82" customWidth="1"/>
    <col min="25" max="25" width="17.85546875" style="83" hidden="1" customWidth="1"/>
    <col min="26" max="30" width="11.42578125" style="83" hidden="1" customWidth="1"/>
    <col min="31" max="31" width="17" style="83" hidden="1" customWidth="1"/>
    <col min="32" max="32" width="8.5703125" style="83" hidden="1" customWidth="1"/>
    <col min="33" max="33" width="14.42578125" style="83" hidden="1" customWidth="1"/>
    <col min="34" max="35" width="6.5703125" style="83" hidden="1" customWidth="1"/>
    <col min="36" max="36" width="6.5703125" style="76" hidden="1" customWidth="1"/>
    <col min="37" max="37" width="31.5703125" style="76" customWidth="1"/>
    <col min="38" max="38" width="17" style="76" hidden="1" customWidth="1"/>
    <col min="39" max="43" width="13.5703125" style="76" hidden="1" customWidth="1"/>
    <col min="44" max="76" width="9.140625" style="76" hidden="1" customWidth="1"/>
    <col min="77" max="16384" width="9.140625" style="76"/>
  </cols>
  <sheetData>
    <row r="1" spans="1:51" ht="18.75" customHeight="1" thickBot="1" x14ac:dyDescent="0.25">
      <c r="A1" s="114"/>
      <c r="B1" s="115"/>
      <c r="C1" s="115"/>
      <c r="D1" s="115"/>
      <c r="E1" s="115"/>
      <c r="F1" s="115"/>
      <c r="G1" s="115"/>
      <c r="H1" s="115"/>
      <c r="I1" s="115"/>
      <c r="J1" s="116"/>
      <c r="K1" s="115"/>
      <c r="L1" s="115"/>
      <c r="M1" s="115"/>
      <c r="N1" s="115"/>
      <c r="O1" s="115"/>
      <c r="P1" s="115"/>
      <c r="Q1" s="115"/>
      <c r="R1" s="115"/>
      <c r="S1" s="115"/>
      <c r="T1" s="115"/>
      <c r="U1" s="115"/>
      <c r="V1" s="117"/>
      <c r="W1" s="268"/>
      <c r="X1" s="151"/>
      <c r="Y1" s="175"/>
      <c r="Z1" s="891" t="str">
        <f>IF(Sheet1!$C$3="Annual"," at 31st March"," at last day in quarter")</f>
        <v xml:space="preserve"> at 31st March</v>
      </c>
      <c r="AA1" s="175"/>
      <c r="AB1" s="175"/>
      <c r="AC1" s="175"/>
      <c r="AD1" s="175"/>
      <c r="AE1" s="175"/>
      <c r="AF1" s="175"/>
      <c r="AG1" s="175"/>
      <c r="AH1" s="175"/>
      <c r="AI1" s="175"/>
      <c r="AJ1" s="176"/>
      <c r="AK1" s="152"/>
    </row>
    <row r="2" spans="1:51" ht="18.75" customHeight="1" x14ac:dyDescent="0.2">
      <c r="A2" s="120"/>
      <c r="B2" s="130" t="s">
        <v>20</v>
      </c>
      <c r="C2" s="9"/>
      <c r="D2" s="9"/>
      <c r="E2" s="9"/>
      <c r="F2" s="9"/>
      <c r="G2" s="9"/>
      <c r="H2" s="9"/>
      <c r="I2" s="9"/>
      <c r="J2" s="13"/>
      <c r="K2" s="9"/>
      <c r="L2" s="9"/>
      <c r="M2" s="9"/>
      <c r="N2" s="9"/>
      <c r="O2" s="9"/>
      <c r="P2" s="9"/>
      <c r="Q2" s="9"/>
      <c r="R2" s="9"/>
      <c r="S2" s="9"/>
      <c r="T2" s="9"/>
      <c r="U2" s="9"/>
      <c r="V2" s="119"/>
      <c r="W2" s="157"/>
      <c r="X2" s="147"/>
      <c r="Y2" s="969">
        <v>1</v>
      </c>
      <c r="Z2" s="760" t="str">
        <f>IF(Sheet1!$C$3="Annual","",Sheet1!$D$26)</f>
        <v/>
      </c>
      <c r="AA2" s="761" t="str">
        <f>IF(Sheet1!$C$3="Annual","",Sheet1!$E$26)</f>
        <v/>
      </c>
      <c r="AB2" s="761" t="str">
        <f>IF(Sheet1!$C$3="Annual","",Sheet1!$F$26)</f>
        <v/>
      </c>
      <c r="AC2" s="761" t="str">
        <f>IF(Sheet1!$C$3="Annual","",Sheet1!$G$26)</f>
        <v/>
      </c>
      <c r="AD2" s="762" t="str">
        <f>IF(Sheet1!$C$3="Annual","",Sheet1!$H$26)</f>
        <v/>
      </c>
      <c r="AJ2" s="179"/>
      <c r="AK2" s="153"/>
    </row>
    <row r="3" spans="1:51" ht="18.75" customHeight="1" thickBot="1" x14ac:dyDescent="0.25">
      <c r="A3" s="126"/>
      <c r="B3" s="127"/>
      <c r="C3" s="127"/>
      <c r="D3" s="127"/>
      <c r="E3" s="127"/>
      <c r="F3" s="127"/>
      <c r="G3" s="127"/>
      <c r="H3" s="127"/>
      <c r="I3" s="260"/>
      <c r="J3" s="128"/>
      <c r="K3" s="127"/>
      <c r="L3" s="127"/>
      <c r="M3" s="127"/>
      <c r="N3" s="127"/>
      <c r="O3" s="127"/>
      <c r="P3" s="528"/>
      <c r="Q3" s="127"/>
      <c r="R3" s="127"/>
      <c r="S3" s="127"/>
      <c r="T3" s="260"/>
      <c r="U3" s="127"/>
      <c r="V3" s="129"/>
      <c r="W3" s="157"/>
      <c r="X3" s="147"/>
      <c r="Y3" s="763"/>
      <c r="Z3" s="763" t="str">
        <f>Sheet1!$D$25</f>
        <v>2014-15</v>
      </c>
      <c r="AA3" s="764" t="str">
        <f>Sheet1!$E$25</f>
        <v>2015-16</v>
      </c>
      <c r="AB3" s="764" t="str">
        <f>Sheet1!$F$25</f>
        <v>2016-17</v>
      </c>
      <c r="AC3" s="764" t="str">
        <f>Sheet1!$G$25</f>
        <v>2017-18</v>
      </c>
      <c r="AD3" s="765" t="str">
        <f>Sheet1!$H$25</f>
        <v>2018-19</v>
      </c>
      <c r="AJ3" s="179"/>
      <c r="AK3" s="153"/>
    </row>
    <row r="4" spans="1:51" ht="11.25" customHeight="1" x14ac:dyDescent="0.2">
      <c r="A4" s="114"/>
      <c r="B4" s="115"/>
      <c r="C4" s="115"/>
      <c r="D4" s="115"/>
      <c r="E4" s="115"/>
      <c r="F4" s="115"/>
      <c r="G4" s="115"/>
      <c r="H4" s="115"/>
      <c r="I4" s="115"/>
      <c r="J4" s="116"/>
      <c r="K4" s="115"/>
      <c r="L4" s="115"/>
      <c r="M4" s="115"/>
      <c r="N4" s="115"/>
      <c r="O4" s="115"/>
      <c r="P4" s="115"/>
      <c r="Q4" s="115"/>
      <c r="R4" s="115"/>
      <c r="S4" s="115"/>
      <c r="T4" s="115"/>
      <c r="U4" s="115"/>
      <c r="V4" s="117"/>
      <c r="W4" s="138"/>
      <c r="X4" s="147"/>
      <c r="Y4" s="181"/>
      <c r="Z4" s="181" t="str">
        <f>Home!$D$10</f>
        <v>(none)</v>
      </c>
      <c r="AA4" s="43" t="str">
        <f>"Selected LA- "&amp;Z4</f>
        <v>Selected LA- (none)</v>
      </c>
      <c r="AJ4" s="179"/>
      <c r="AK4" s="153"/>
    </row>
    <row r="5" spans="1:51" s="78" customFormat="1" ht="15" customHeight="1" x14ac:dyDescent="0.2">
      <c r="A5" s="121"/>
      <c r="B5" s="1435" t="str">
        <f>"Children subject to Child Protection Plan"&amp;Z1</f>
        <v>Children subject to Child Protection Plan at 31st March</v>
      </c>
      <c r="C5" s="1318"/>
      <c r="D5" s="1318"/>
      <c r="E5" s="1318"/>
      <c r="F5" s="1318"/>
      <c r="G5" s="1318"/>
      <c r="H5" s="1318"/>
      <c r="I5" s="1318"/>
      <c r="J5" s="1318"/>
      <c r="K5" s="1318"/>
      <c r="L5" s="1318"/>
      <c r="M5" s="1318"/>
      <c r="N5" s="1318"/>
      <c r="O5" s="872"/>
      <c r="P5" s="872"/>
      <c r="Q5" s="872"/>
      <c r="R5" s="872"/>
      <c r="S5" s="872"/>
      <c r="T5" s="872"/>
      <c r="U5" s="872"/>
      <c r="V5" s="122"/>
      <c r="W5" s="139"/>
      <c r="X5" s="148"/>
      <c r="Y5" s="183"/>
      <c r="Z5" s="183"/>
      <c r="AA5" s="183"/>
      <c r="AB5" s="183"/>
      <c r="AC5" s="183"/>
      <c r="AD5" s="183"/>
      <c r="AE5" s="183"/>
      <c r="AF5" s="183"/>
      <c r="AG5" s="183"/>
      <c r="AH5" s="183"/>
      <c r="AI5" s="183"/>
      <c r="AJ5" s="183"/>
      <c r="AK5" s="154"/>
      <c r="AL5" s="183" t="str">
        <f>CONCATENATE($I$7,"in Number of "&amp;$B2)</f>
        <v>Average Annual Change in Number of Child Protection Plans</v>
      </c>
      <c r="AQ5" s="76"/>
      <c r="AR5" s="76"/>
      <c r="AS5" s="76"/>
      <c r="AT5" s="76"/>
      <c r="AU5" s="76"/>
      <c r="AV5" s="76"/>
      <c r="AW5" s="76"/>
      <c r="AX5" s="76"/>
      <c r="AY5" s="76"/>
    </row>
    <row r="6" spans="1:51" ht="13.5" customHeight="1" x14ac:dyDescent="0.2">
      <c r="A6" s="120"/>
      <c r="B6" s="1318"/>
      <c r="C6" s="1318"/>
      <c r="D6" s="1318"/>
      <c r="E6" s="1318"/>
      <c r="F6" s="1318"/>
      <c r="G6" s="1318"/>
      <c r="H6" s="1318"/>
      <c r="I6" s="1318"/>
      <c r="J6" s="1318"/>
      <c r="K6" s="1318"/>
      <c r="L6" s="1318"/>
      <c r="M6" s="1318"/>
      <c r="N6" s="1318"/>
      <c r="O6" s="872"/>
      <c r="P6" s="872"/>
      <c r="Q6" s="872"/>
      <c r="R6" s="872"/>
      <c r="S6" s="872"/>
      <c r="T6" s="872"/>
      <c r="U6" s="872"/>
      <c r="V6" s="119"/>
      <c r="W6" s="138"/>
      <c r="X6" s="147"/>
      <c r="Z6" s="185"/>
      <c r="AJ6" s="179"/>
      <c r="AK6" s="153"/>
    </row>
    <row r="7" spans="1:51" s="89" customFormat="1" ht="12.75" customHeight="1" x14ac:dyDescent="0.2">
      <c r="A7" s="123"/>
      <c r="B7" s="1449" t="s">
        <v>190</v>
      </c>
      <c r="C7" s="87"/>
      <c r="D7" s="1545" t="s">
        <v>88</v>
      </c>
      <c r="E7" s="1557"/>
      <c r="F7" s="1557"/>
      <c r="G7" s="1557"/>
      <c r="H7" s="1558"/>
      <c r="I7" s="1439" t="str">
        <f>"Average "&amp;Sheet1!C3&amp;" Change "</f>
        <v xml:space="preserve">Average Annual Change </v>
      </c>
      <c r="J7" s="98"/>
      <c r="K7" s="1562" t="s">
        <v>89</v>
      </c>
      <c r="L7" s="1563"/>
      <c r="M7" s="1563"/>
      <c r="N7" s="1563"/>
      <c r="O7" s="1563"/>
      <c r="P7" s="1564"/>
      <c r="Q7" s="1446" t="str">
        <f>IF(ISNA(O9),"SE Rank "&amp;O8,"SE Rank "&amp;O9)</f>
        <v>SE Rank 2018-19</v>
      </c>
      <c r="R7" s="69"/>
      <c r="S7" s="1451" t="str">
        <f>"Distance from Expected "&amp;Sheet1!$B$8</f>
        <v>Distance from Expected 2019</v>
      </c>
      <c r="T7" s="1452"/>
      <c r="U7" s="1453"/>
      <c r="V7" s="124"/>
      <c r="W7" s="140"/>
      <c r="X7" s="149"/>
      <c r="Y7" s="199"/>
      <c r="Z7" s="199"/>
      <c r="AB7" s="200" t="s">
        <v>79</v>
      </c>
      <c r="AC7" s="185"/>
      <c r="AD7" s="185"/>
      <c r="AE7" s="194"/>
      <c r="AF7" s="194"/>
      <c r="AG7" s="201" t="s">
        <v>92</v>
      </c>
      <c r="AH7" s="185"/>
      <c r="AI7" s="185"/>
      <c r="AJ7" s="199"/>
      <c r="AK7" s="156"/>
      <c r="AL7" s="550"/>
      <c r="AM7" s="550"/>
      <c r="AN7" s="550"/>
      <c r="AO7" s="550"/>
      <c r="AP7" s="550"/>
      <c r="AQ7" s="76"/>
      <c r="AR7" s="76"/>
      <c r="AS7" s="76"/>
      <c r="AT7" s="76"/>
      <c r="AU7" s="76"/>
      <c r="AV7" s="76"/>
      <c r="AW7" s="76"/>
      <c r="AX7" s="76"/>
      <c r="AY7" s="76"/>
    </row>
    <row r="8" spans="1:51" s="89" customFormat="1" ht="12.75" customHeight="1" x14ac:dyDescent="0.2">
      <c r="A8" s="286"/>
      <c r="B8" s="1449"/>
      <c r="C8" s="87"/>
      <c r="D8" s="755" t="str">
        <f>Sheet1!$D$25</f>
        <v>2014-15</v>
      </c>
      <c r="E8" s="756" t="str">
        <f>Sheet1!$E$25</f>
        <v>2015-16</v>
      </c>
      <c r="F8" s="756" t="str">
        <f>Sheet1!$F$25</f>
        <v>2016-17</v>
      </c>
      <c r="G8" s="756" t="str">
        <f>Sheet1!$G$25</f>
        <v>2017-18</v>
      </c>
      <c r="H8" s="757" t="str">
        <f>Sheet1!$H$25</f>
        <v>2018-19</v>
      </c>
      <c r="I8" s="1440"/>
      <c r="J8" s="98"/>
      <c r="K8" s="768" t="str">
        <f>Sheet1!$D$25</f>
        <v>2014-15</v>
      </c>
      <c r="L8" s="769" t="str">
        <f>Sheet1!$E$25</f>
        <v>2015-16</v>
      </c>
      <c r="M8" s="769" t="str">
        <f>Sheet1!$F$25</f>
        <v>2016-17</v>
      </c>
      <c r="N8" s="769" t="str">
        <f>Sheet1!$G$25</f>
        <v>2017-18</v>
      </c>
      <c r="O8" s="1457" t="str">
        <f>Sheet1!$H$25</f>
        <v>2018-19</v>
      </c>
      <c r="P8" s="1565"/>
      <c r="Q8" s="1447"/>
      <c r="R8" s="69"/>
      <c r="S8" s="1454"/>
      <c r="T8" s="1455"/>
      <c r="U8" s="1456"/>
      <c r="V8" s="124"/>
      <c r="W8" s="140"/>
      <c r="X8" s="149"/>
      <c r="Y8" s="199"/>
      <c r="Z8" s="1423" t="s">
        <v>76</v>
      </c>
      <c r="AA8" s="1423" t="s">
        <v>77</v>
      </c>
      <c r="AB8" s="730" t="str">
        <f>Sheet1!$D$25</f>
        <v>2014-15</v>
      </c>
      <c r="AC8" s="730" t="str">
        <f>Sheet1!$E$25</f>
        <v>2015-16</v>
      </c>
      <c r="AD8" s="730" t="str">
        <f>Sheet1!$F$25</f>
        <v>2016-17</v>
      </c>
      <c r="AE8" s="730" t="str">
        <f>Sheet1!$G$25</f>
        <v>2017-18</v>
      </c>
      <c r="AF8" s="730" t="str">
        <f>Sheet1!$H$25</f>
        <v>2018-19</v>
      </c>
      <c r="AG8" s="201"/>
      <c r="AH8" s="185"/>
      <c r="AI8" s="185"/>
      <c r="AJ8" s="199"/>
      <c r="AK8" s="156"/>
      <c r="AL8" s="860"/>
      <c r="AM8" s="860"/>
      <c r="AN8" s="860"/>
      <c r="AO8" s="860"/>
      <c r="AP8" s="860"/>
      <c r="AQ8" s="76"/>
      <c r="AR8" s="76"/>
      <c r="AS8" s="76"/>
      <c r="AT8" s="76"/>
      <c r="AU8" s="76"/>
      <c r="AV8" s="76"/>
      <c r="AW8" s="76"/>
      <c r="AX8" s="76"/>
      <c r="AY8" s="76"/>
    </row>
    <row r="9" spans="1:51" s="89" customFormat="1" ht="12.75" customHeight="1" x14ac:dyDescent="0.2">
      <c r="A9" s="123"/>
      <c r="B9" s="1450"/>
      <c r="C9" s="87"/>
      <c r="D9" s="758" t="e">
        <f>Sheet1!$D$26</f>
        <v>#N/A</v>
      </c>
      <c r="E9" s="758" t="e">
        <f>Sheet1!$E$26</f>
        <v>#N/A</v>
      </c>
      <c r="F9" s="758" t="e">
        <f>Sheet1!$F$26</f>
        <v>#N/A</v>
      </c>
      <c r="G9" s="758" t="e">
        <f>Sheet1!$G$26</f>
        <v>#N/A</v>
      </c>
      <c r="H9" s="759" t="e">
        <f>Sheet1!$H$26</f>
        <v>#N/A</v>
      </c>
      <c r="I9" s="1441"/>
      <c r="J9" s="98"/>
      <c r="K9" s="758" t="e">
        <f>Sheet1!$D$26</f>
        <v>#N/A</v>
      </c>
      <c r="L9" s="758" t="e">
        <f>Sheet1!$E$26</f>
        <v>#N/A</v>
      </c>
      <c r="M9" s="758" t="e">
        <f>Sheet1!$F$26</f>
        <v>#N/A</v>
      </c>
      <c r="N9" s="758" t="e">
        <f>Sheet1!$G$26</f>
        <v>#N/A</v>
      </c>
      <c r="O9" s="1433" t="e">
        <f>Sheet1!$H$26</f>
        <v>#N/A</v>
      </c>
      <c r="P9" s="1566"/>
      <c r="Q9" s="1448"/>
      <c r="R9" s="69"/>
      <c r="S9" s="856" t="s">
        <v>78</v>
      </c>
      <c r="T9" s="794" t="s">
        <v>127</v>
      </c>
      <c r="U9" s="795" t="s">
        <v>128</v>
      </c>
      <c r="V9" s="124"/>
      <c r="W9" s="140"/>
      <c r="X9" s="149"/>
      <c r="Y9" s="199"/>
      <c r="Z9" s="1424"/>
      <c r="AA9" s="1424"/>
      <c r="AB9" s="730" t="e">
        <f>Sheet1!$D$26</f>
        <v>#N/A</v>
      </c>
      <c r="AC9" s="730" t="e">
        <f>Sheet1!$E$26</f>
        <v>#N/A</v>
      </c>
      <c r="AD9" s="730" t="e">
        <f>Sheet1!$F$26</f>
        <v>#N/A</v>
      </c>
      <c r="AE9" s="730" t="e">
        <f>Sheet1!$G$26</f>
        <v>#N/A</v>
      </c>
      <c r="AF9" s="730" t="e">
        <f>Sheet1!$H$26</f>
        <v>#N/A</v>
      </c>
      <c r="AG9" s="185"/>
      <c r="AH9" s="185">
        <f>COLUMNS($B$4:O$4)</f>
        <v>14</v>
      </c>
      <c r="AI9" s="185"/>
      <c r="AJ9" s="199"/>
      <c r="AK9" s="156"/>
      <c r="AL9" s="863" t="s">
        <v>686</v>
      </c>
      <c r="AM9" s="863" t="s">
        <v>687</v>
      </c>
      <c r="AN9" s="863" t="s">
        <v>688</v>
      </c>
      <c r="AO9" s="863" t="s">
        <v>689</v>
      </c>
      <c r="AP9" s="863" t="s">
        <v>690</v>
      </c>
      <c r="AQ9" s="76"/>
      <c r="AR9" s="76"/>
      <c r="AS9" s="76"/>
      <c r="AT9" s="76"/>
      <c r="AU9" s="76"/>
      <c r="AV9" s="76"/>
      <c r="AW9" s="76"/>
      <c r="AX9" s="76"/>
      <c r="AY9" s="76"/>
    </row>
    <row r="10" spans="1:51" s="89" customFormat="1" ht="13.5" customHeight="1" x14ac:dyDescent="0.2">
      <c r="A10" s="462">
        <f>VLOOKUP(B10,Sheet1!$AQ$4:$AR$25,2,FALSE)</f>
        <v>0</v>
      </c>
      <c r="B10" s="95" t="str">
        <f>Sheet1!$K$4</f>
        <v>Bracknell Forest</v>
      </c>
      <c r="C10" s="87"/>
      <c r="D10" s="96">
        <f>IF(Year1_Bracknell_Forest Year1_CP_Plans="","",Year1_Bracknell_Forest Year1_CP_Plans)</f>
        <v>122</v>
      </c>
      <c r="E10" s="96">
        <f>IF(Year2_Bracknell_Forest Year2_CP_Plans="","",Year2_Bracknell_Forest Year2_CP_Plans)</f>
        <v>115</v>
      </c>
      <c r="F10" s="96">
        <f>IF(Year3_Bracknell_Forest Year3_CP_Plans="","",Year3_Bracknell_Forest Year3_CP_Plans)</f>
        <v>176</v>
      </c>
      <c r="G10" s="96">
        <f>IF(Year4_Bracknell_Forest Year4_CP_Plans="","",Year4_Bracknell_Forest Year4_CP_Plans)</f>
        <v>105</v>
      </c>
      <c r="H10" s="97">
        <f>IF(Year5_Bracknell_Forest Year5_CP_Plans="","",Year5_Bracknell_Forest Year5_CP_Plans)</f>
        <v>130</v>
      </c>
      <c r="I10" s="337">
        <f>AP10</f>
        <v>7.6935970153628755E-2</v>
      </c>
      <c r="J10" s="98"/>
      <c r="K10" s="99">
        <f>IF(ISNUMBER(D10),D10/Population!D10*10000,NA())</f>
        <v>43.884892086330929</v>
      </c>
      <c r="L10" s="99">
        <f>IF(ISNUMBER(E10),E10/Population!E10*10000,NA())</f>
        <v>40.780141843971627</v>
      </c>
      <c r="M10" s="99">
        <f>IF(ISNUMBER(F10),F10/Population!F10*10000,NA())</f>
        <v>62.411347517730498</v>
      </c>
      <c r="N10" s="99">
        <f>IF(ISNUMBER(G10),G10/Population!G10*10000,NA())</f>
        <v>37.366548042704629</v>
      </c>
      <c r="O10" s="100">
        <f>IF(ISNUMBER(H10),H10/Population!H10*10000,NA())</f>
        <v>45.936395759717314</v>
      </c>
      <c r="P10" s="101">
        <f>IF(ISNUMBER(O10),O10,"")</f>
        <v>45.936395759717314</v>
      </c>
      <c r="Q10" s="886">
        <f>IF(ISNA(VLOOKUP(B10,$AG$10:$AI$28,3,FALSE)),"--",IF(ISNUMBER(H10),VLOOKUP(B10,$AG$10:$AI$28,3,FALSE),NA()))</f>
        <v>12</v>
      </c>
      <c r="R10" s="69"/>
      <c r="S10" s="333">
        <f>IDACI!C9</f>
        <v>8.9</v>
      </c>
      <c r="T10" s="334">
        <f t="shared" ref="T10:T33" si="0">(S10*$Z$44)+$AA$44</f>
        <v>29.269634850740875</v>
      </c>
      <c r="U10" s="335">
        <f>O10-T10</f>
        <v>16.666760908976439</v>
      </c>
      <c r="V10" s="124"/>
      <c r="W10" s="140"/>
      <c r="X10" s="149"/>
      <c r="Y10" s="71" t="str">
        <f t="shared" ref="Y10:Y33" si="1">B10</f>
        <v>Bracknell Forest</v>
      </c>
      <c r="Z10" s="45">
        <f>IF(ISNUMBER(H10),IDACI!D9,0)</f>
        <v>24849</v>
      </c>
      <c r="AA10" s="45">
        <f>IF(ISNUMBER(H10),IDACI!E9,0)</f>
        <v>2211.5610000000001</v>
      </c>
      <c r="AB10" s="202">
        <f>IF(ISNUMBER(D10),Population!D10,"")</f>
        <v>27800</v>
      </c>
      <c r="AC10" s="202">
        <f>IF(ISNUMBER(E10),Population!E10,"")</f>
        <v>28200</v>
      </c>
      <c r="AD10" s="202">
        <f>IF(ISNUMBER(F10),Population!F10,"")</f>
        <v>28200</v>
      </c>
      <c r="AE10" s="202">
        <f>IF(ISNUMBER(G10),Population!G10,"")</f>
        <v>28100</v>
      </c>
      <c r="AF10" s="202">
        <f>IF(ISNUMBER(H10),Population!H10,"")</f>
        <v>28300</v>
      </c>
      <c r="AG10" s="95" t="str">
        <f>B10</f>
        <v>Bracknell Forest</v>
      </c>
      <c r="AH10" s="225">
        <f>IFERROR(VLOOKUP(AG10,$B$10:$O$31,$AH$9,FALSE),"")</f>
        <v>45.936395759717314</v>
      </c>
      <c r="AI10" s="203">
        <f>RANK(AH10,$AH$10:$AH$28,1)</f>
        <v>12</v>
      </c>
      <c r="AJ10" s="199"/>
      <c r="AK10" s="156"/>
      <c r="AL10" s="792">
        <f>IF(ISERROR((E10-D10)/D10),"x",(E10-D10)/D10)</f>
        <v>-5.737704918032787E-2</v>
      </c>
      <c r="AM10" s="792">
        <f>IF(ISERROR((F10-E10)/E10),"x",(F10-E10)/E10)</f>
        <v>0.5304347826086957</v>
      </c>
      <c r="AN10" s="792">
        <f>IF(ISERROR((G10-F10)/F10),"x",(G10-F10)/F10)</f>
        <v>-0.40340909090909088</v>
      </c>
      <c r="AO10" s="792">
        <f>IF(ISERROR((H10-G10)/G10),"x",(H10-G10)/G10)</f>
        <v>0.23809523809523808</v>
      </c>
      <c r="AP10" s="792">
        <f>AVERAGE(AL10:AO10)</f>
        <v>7.6935970153628755E-2</v>
      </c>
      <c r="AQ10" s="76"/>
      <c r="AR10" s="76"/>
      <c r="AS10" s="76"/>
      <c r="AT10" s="76"/>
      <c r="AU10" s="76"/>
      <c r="AV10" s="76"/>
      <c r="AW10" s="76"/>
      <c r="AX10" s="76"/>
      <c r="AY10" s="76"/>
    </row>
    <row r="11" spans="1:51" s="89" customFormat="1" ht="13.5" customHeight="1" x14ac:dyDescent="0.2">
      <c r="A11" s="462">
        <f>VLOOKUP(B11,Sheet1!$AQ$4:$AR$25,2,FALSE)</f>
        <v>0</v>
      </c>
      <c r="B11" s="95" t="str">
        <f>Sheet1!$K$5</f>
        <v>Brighton &amp; Hove</v>
      </c>
      <c r="C11" s="87"/>
      <c r="D11" s="96">
        <f>IF(Year1_Brighton_Hove Year1_CP_Plans="","",Year1_Brighton_Hove Year1_CP_Plans)</f>
        <v>309</v>
      </c>
      <c r="E11" s="96">
        <f>IF(Year2_Brighton_Hove Year2_CP_Plans="","",Year2_Brighton_Hove Year2_CP_Plans)</f>
        <v>392</v>
      </c>
      <c r="F11" s="96">
        <f>IF(Year3_Brighton_Hove Year3_CP_Plans="","",Year3_Brighton_Hove Year3_CP_Plans)</f>
        <v>367</v>
      </c>
      <c r="G11" s="96">
        <f>IF(Year4_Brighton_Hove Year4_CP_Plans="","",Year4_Brighton_Hove Year4_CP_Plans)</f>
        <v>395</v>
      </c>
      <c r="H11" s="97">
        <f>IF(Year5_Brighton_Hove Year5_CP_Plans="","",Year5_Brighton_Hove Year5_CP_Plans)</f>
        <v>316</v>
      </c>
      <c r="I11" s="337">
        <f t="shared" ref="I11:I33" si="2">AP11</f>
        <v>2.0281795491138968E-2</v>
      </c>
      <c r="J11" s="98"/>
      <c r="K11" s="99">
        <f>IF(ISNUMBER(D11),D11/Population!D11*10000,NA())</f>
        <v>60.588235294117652</v>
      </c>
      <c r="L11" s="99">
        <f>IF(ISNUMBER(E11),E11/Population!E11*10000,NA())</f>
        <v>76.5625</v>
      </c>
      <c r="M11" s="99">
        <f>IF(ISNUMBER(F11),F11/Population!F11*10000,NA())</f>
        <v>71.539961013645225</v>
      </c>
      <c r="N11" s="99">
        <f>IF(ISNUMBER(G11),G11/Population!G11*10000,NA())</f>
        <v>77.450980392156865</v>
      </c>
      <c r="O11" s="100">
        <f>IF(ISNUMBER(H11),H11/Population!H11*10000,NA())</f>
        <v>61.960784313725483</v>
      </c>
      <c r="P11" s="101">
        <f t="shared" ref="P11:P32" si="3">IF(ISNUMBER(O11),O11,"")</f>
        <v>61.960784313725483</v>
      </c>
      <c r="Q11" s="886">
        <f t="shared" ref="Q11:Q33" si="4">IF(ISNA(VLOOKUP(B11,$AG$10:$AI$28,3,FALSE)),"--",IF(ISNUMBER(H11),VLOOKUP(B11,$AG$10:$AI$28,3,FALSE),NA()))</f>
        <v>17</v>
      </c>
      <c r="R11" s="69"/>
      <c r="S11" s="333">
        <f>IDACI!C10</f>
        <v>15.299999999999999</v>
      </c>
      <c r="T11" s="334">
        <f t="shared" si="0"/>
        <v>41.479332545048841</v>
      </c>
      <c r="U11" s="335">
        <f t="shared" ref="U11:U33" si="5">O11-T11</f>
        <v>20.481451768676642</v>
      </c>
      <c r="V11" s="124"/>
      <c r="W11" s="140"/>
      <c r="X11" s="149"/>
      <c r="Y11" s="71" t="str">
        <f t="shared" si="1"/>
        <v>Brighton &amp; Hove</v>
      </c>
      <c r="Z11" s="45">
        <f>IF(ISNUMBER(H11),IDACI!D10,0)</f>
        <v>45576</v>
      </c>
      <c r="AA11" s="45">
        <f>IF(ISNUMBER(H11),IDACI!E10,0)</f>
        <v>6973.1279999999997</v>
      </c>
      <c r="AB11" s="202">
        <f>IF(ISNUMBER(D11),Population!D11,"")</f>
        <v>51000</v>
      </c>
      <c r="AC11" s="202">
        <f>IF(ISNUMBER(E11),Population!E11,"")</f>
        <v>51200</v>
      </c>
      <c r="AD11" s="202">
        <f>IF(ISNUMBER(F11),Population!F11,"")</f>
        <v>51300</v>
      </c>
      <c r="AE11" s="202">
        <f>IF(ISNUMBER(G11),Population!G11,"")</f>
        <v>51000</v>
      </c>
      <c r="AF11" s="202">
        <f>IF(ISNUMBER(H11),Population!H11,"")</f>
        <v>51000</v>
      </c>
      <c r="AG11" s="95" t="s">
        <v>31</v>
      </c>
      <c r="AH11" s="225">
        <f t="shared" ref="AH11:AH28" si="6">IFERROR(VLOOKUP(AG11,$B$10:$O$31,$AH$9,FALSE),"")</f>
        <v>61.960784313725483</v>
      </c>
      <c r="AI11" s="203">
        <f t="shared" ref="AI11:AI28" si="7">RANK(AH11,$AH$10:$AH$28,1)</f>
        <v>17</v>
      </c>
      <c r="AJ11" s="199"/>
      <c r="AK11" s="156"/>
      <c r="AL11" s="792">
        <f t="shared" ref="AL11:AO33" si="8">IF(ISERROR((E11-D11)/D11),"x",(E11-D11)/D11)</f>
        <v>0.26860841423948217</v>
      </c>
      <c r="AM11" s="792">
        <f t="shared" si="8"/>
        <v>-6.3775510204081634E-2</v>
      </c>
      <c r="AN11" s="792">
        <f t="shared" si="8"/>
        <v>7.6294277929155316E-2</v>
      </c>
      <c r="AO11" s="792">
        <f t="shared" si="8"/>
        <v>-0.2</v>
      </c>
      <c r="AP11" s="792">
        <f t="shared" ref="AP11:AP32" si="9">AVERAGE(AL11:AO11)</f>
        <v>2.0281795491138968E-2</v>
      </c>
      <c r="AQ11" s="76"/>
      <c r="AR11" s="76"/>
      <c r="AS11" s="76"/>
      <c r="AT11" s="76"/>
      <c r="AU11" s="76"/>
      <c r="AV11" s="76"/>
      <c r="AW11" s="76"/>
      <c r="AX11" s="76"/>
      <c r="AY11" s="76"/>
    </row>
    <row r="12" spans="1:51" s="89" customFormat="1" ht="13.5" customHeight="1" x14ac:dyDescent="0.2">
      <c r="A12" s="462">
        <f>VLOOKUP(B12,Sheet1!$AQ$4:$AR$25,2,FALSE)</f>
        <v>0</v>
      </c>
      <c r="B12" s="95" t="str">
        <f>Sheet1!$K$6</f>
        <v>Buckinghamshire</v>
      </c>
      <c r="C12" s="87"/>
      <c r="D12" s="96">
        <f>IF(Year1_Buckinghamshire Year1_CP_Plans="","",Year1_Buckinghamshire Year1_CP_Plans)</f>
        <v>332</v>
      </c>
      <c r="E12" s="96">
        <f>IF(Year2_Buckinghamshire Year2_CP_Plans="","",Year2_Buckinghamshire Year2_CP_Plans)</f>
        <v>454</v>
      </c>
      <c r="F12" s="96">
        <f>IF(Year3_Buckinghamshire Year3_CP_Plans="","",Year3_Buckinghamshire Year3_CP_Plans)</f>
        <v>553</v>
      </c>
      <c r="G12" s="96">
        <f>IF(Year4_Buckinghamshire Year4_CP_Plans="","",Year4_Buckinghamshire Year4_CP_Plans)</f>
        <v>638</v>
      </c>
      <c r="H12" s="97">
        <f>IF(Year5_Buckinghamshire Year5_CP_Plans="","",Year5_Buckinghamshire Year5_CP_Plans)</f>
        <v>562</v>
      </c>
      <c r="I12" s="337">
        <f t="shared" si="2"/>
        <v>0.15502908722870526</v>
      </c>
      <c r="J12" s="98"/>
      <c r="K12" s="99">
        <f>IF(ISNUMBER(D12),D12/Population!D12*10000,NA())</f>
        <v>27.922624053826748</v>
      </c>
      <c r="L12" s="99">
        <f>IF(ISNUMBER(E12),E12/Population!E12*10000,NA())</f>
        <v>37.645107794361529</v>
      </c>
      <c r="M12" s="99">
        <f>IF(ISNUMBER(F12),F12/Population!F12*10000,NA())</f>
        <v>45.253682487725044</v>
      </c>
      <c r="N12" s="99">
        <f>IF(ISNUMBER(G12),G12/Population!G12*10000,NA())</f>
        <v>51.827782290820473</v>
      </c>
      <c r="O12" s="100">
        <f>IF(ISNUMBER(H12),H12/Population!H12*10000,NA())</f>
        <v>45.213193885760255</v>
      </c>
      <c r="P12" s="101">
        <f t="shared" si="3"/>
        <v>45.213193885760255</v>
      </c>
      <c r="Q12" s="886">
        <f t="shared" si="4"/>
        <v>11</v>
      </c>
      <c r="R12" s="69"/>
      <c r="S12" s="333">
        <f>IDACI!C11</f>
        <v>8.5</v>
      </c>
      <c r="T12" s="334">
        <f t="shared" si="0"/>
        <v>28.506528744846626</v>
      </c>
      <c r="U12" s="335">
        <f t="shared" si="5"/>
        <v>16.706665140913628</v>
      </c>
      <c r="V12" s="124"/>
      <c r="W12" s="140"/>
      <c r="X12" s="149"/>
      <c r="Y12" s="71" t="str">
        <f t="shared" si="1"/>
        <v>Buckinghamshire</v>
      </c>
      <c r="Z12" s="45">
        <f>IF(ISNUMBER(H12),IDACI!D11,0)</f>
        <v>107385</v>
      </c>
      <c r="AA12" s="45">
        <f>IF(ISNUMBER(H12),IDACI!E11,0)</f>
        <v>9127.7250000000004</v>
      </c>
      <c r="AB12" s="202">
        <f>IF(ISNUMBER(D12),Population!D12,"")</f>
        <v>118900</v>
      </c>
      <c r="AC12" s="202">
        <f>IF(ISNUMBER(E12),Population!E12,"")</f>
        <v>120600</v>
      </c>
      <c r="AD12" s="202">
        <f>IF(ISNUMBER(F12),Population!F12,"")</f>
        <v>122200</v>
      </c>
      <c r="AE12" s="202">
        <f>IF(ISNUMBER(G12),Population!G12,"")</f>
        <v>123100</v>
      </c>
      <c r="AF12" s="202">
        <f>IF(ISNUMBER(H12),Population!H12,"")</f>
        <v>124300</v>
      </c>
      <c r="AG12" s="95" t="s">
        <v>8</v>
      </c>
      <c r="AH12" s="225">
        <f t="shared" si="6"/>
        <v>45.213193885760255</v>
      </c>
      <c r="AI12" s="203">
        <f t="shared" si="7"/>
        <v>11</v>
      </c>
      <c r="AJ12" s="199"/>
      <c r="AK12" s="156"/>
      <c r="AL12" s="792">
        <f t="shared" si="8"/>
        <v>0.36746987951807231</v>
      </c>
      <c r="AM12" s="792">
        <f t="shared" si="8"/>
        <v>0.21806167400881057</v>
      </c>
      <c r="AN12" s="792">
        <f t="shared" si="8"/>
        <v>0.15370705244122965</v>
      </c>
      <c r="AO12" s="792">
        <f t="shared" si="8"/>
        <v>-0.11912225705329153</v>
      </c>
      <c r="AP12" s="792">
        <f t="shared" si="9"/>
        <v>0.15502908722870526</v>
      </c>
      <c r="AQ12" s="76"/>
      <c r="AR12" s="76"/>
      <c r="AS12" s="76"/>
      <c r="AT12" s="76"/>
      <c r="AU12" s="76"/>
      <c r="AV12" s="76"/>
      <c r="AW12" s="76"/>
      <c r="AX12" s="76"/>
      <c r="AY12" s="76"/>
    </row>
    <row r="13" spans="1:51" s="89" customFormat="1" ht="13.5" customHeight="1" x14ac:dyDescent="0.2">
      <c r="A13" s="462">
        <f>VLOOKUP(B13,Sheet1!$AQ$4:$AR$25,2,FALSE)</f>
        <v>0</v>
      </c>
      <c r="B13" s="95" t="str">
        <f>Sheet1!$K$7</f>
        <v>East Sussex</v>
      </c>
      <c r="C13" s="87"/>
      <c r="D13" s="96">
        <f>IF(Year1_East_Sussex Year1_CP_Plans="","",Year1_East_Sussex Year1_CP_Plans)</f>
        <v>469</v>
      </c>
      <c r="E13" s="102">
        <f>IF(Year2_East_Sussex Year2_CP_Plans="","",Year2_East_Sussex Year2_CP_Plans)</f>
        <v>456</v>
      </c>
      <c r="F13" s="96">
        <f>IF(Year3_East_Sussex Year3_CP_Plans="","",Year3_East_Sussex Year3_CP_Plans)</f>
        <v>475</v>
      </c>
      <c r="G13" s="96">
        <f>IF(Year4_East_Sussex Year4_CP_Plans="","",Year4_East_Sussex Year4_CP_Plans)</f>
        <v>560</v>
      </c>
      <c r="H13" s="97">
        <f>IF(Year5_East_Sussex Year5_CP_Plans="","",Year5_East_Sussex Year5_CP_Plans)</f>
        <v>569</v>
      </c>
      <c r="I13" s="337">
        <f t="shared" si="2"/>
        <v>5.2241728388134512E-2</v>
      </c>
      <c r="J13" s="98"/>
      <c r="K13" s="99">
        <f>IF(ISNUMBER(D13),D13/Population!D13*10000,NA())</f>
        <v>44.497153700189756</v>
      </c>
      <c r="L13" s="99">
        <f>IF(ISNUMBER(E13),E13/Population!E13*10000,NA())</f>
        <v>43.059490084985839</v>
      </c>
      <c r="M13" s="99">
        <f>IF(ISNUMBER(F13),F13/Population!F13*10000,NA())</f>
        <v>44.853635505193573</v>
      </c>
      <c r="N13" s="99">
        <f>IF(ISNUMBER(G13),G13/Population!G13*10000,NA())</f>
        <v>52.830188679245289</v>
      </c>
      <c r="O13" s="100">
        <f>IF(ISNUMBER(H13),H13/Population!H13*10000,NA())</f>
        <v>53.477443609022558</v>
      </c>
      <c r="P13" s="101">
        <f t="shared" si="3"/>
        <v>53.477443609022558</v>
      </c>
      <c r="Q13" s="886">
        <f t="shared" si="4"/>
        <v>14</v>
      </c>
      <c r="R13" s="69"/>
      <c r="S13" s="333">
        <f>IDACI!C12</f>
        <v>16.100000000000001</v>
      </c>
      <c r="T13" s="334">
        <f t="shared" si="0"/>
        <v>43.005544756837338</v>
      </c>
      <c r="U13" s="335">
        <f t="shared" si="5"/>
        <v>10.47189885218522</v>
      </c>
      <c r="V13" s="124"/>
      <c r="W13" s="140"/>
      <c r="X13" s="149"/>
      <c r="Y13" s="71" t="str">
        <f t="shared" si="1"/>
        <v>East Sussex</v>
      </c>
      <c r="Z13" s="45">
        <f>IF(ISNUMBER(H13),IDACI!D12,0)</f>
        <v>93130</v>
      </c>
      <c r="AA13" s="45">
        <f>IF(ISNUMBER(H13),IDACI!E12,0)</f>
        <v>14993.93</v>
      </c>
      <c r="AB13" s="202">
        <f>IF(ISNUMBER(D13),Population!D13,"")</f>
        <v>105400</v>
      </c>
      <c r="AC13" s="202">
        <f>IF(ISNUMBER(E13),Population!E13,"")</f>
        <v>105900</v>
      </c>
      <c r="AD13" s="202">
        <f>IF(ISNUMBER(F13),Population!F13,"")</f>
        <v>105900</v>
      </c>
      <c r="AE13" s="202">
        <f>IF(ISNUMBER(G13),Population!G13,"")</f>
        <v>106000</v>
      </c>
      <c r="AF13" s="202">
        <f>IF(ISNUMBER(H13),Population!H13,"")</f>
        <v>106400</v>
      </c>
      <c r="AG13" s="95" t="s">
        <v>4</v>
      </c>
      <c r="AH13" s="225">
        <f t="shared" si="6"/>
        <v>53.477443609022558</v>
      </c>
      <c r="AI13" s="203">
        <f t="shared" si="7"/>
        <v>14</v>
      </c>
      <c r="AJ13" s="199"/>
      <c r="AK13" s="156"/>
      <c r="AL13" s="792">
        <f t="shared" si="8"/>
        <v>-2.7718550106609809E-2</v>
      </c>
      <c r="AM13" s="792">
        <f t="shared" si="8"/>
        <v>4.1666666666666664E-2</v>
      </c>
      <c r="AN13" s="792">
        <f t="shared" si="8"/>
        <v>0.17894736842105263</v>
      </c>
      <c r="AO13" s="792">
        <f t="shared" si="8"/>
        <v>1.607142857142857E-2</v>
      </c>
      <c r="AP13" s="792">
        <f t="shared" si="9"/>
        <v>5.2241728388134512E-2</v>
      </c>
      <c r="AQ13" s="76"/>
      <c r="AR13" s="76"/>
      <c r="AS13" s="76"/>
      <c r="AT13" s="76"/>
      <c r="AU13" s="76"/>
      <c r="AV13" s="76"/>
      <c r="AW13" s="76"/>
      <c r="AX13" s="76"/>
      <c r="AY13" s="76"/>
    </row>
    <row r="14" spans="1:51" s="89" customFormat="1" ht="13.5" customHeight="1" x14ac:dyDescent="0.2">
      <c r="A14" s="462">
        <f>VLOOKUP(B14,Sheet1!$AQ$4:$AR$25,2,FALSE)</f>
        <v>0</v>
      </c>
      <c r="B14" s="95" t="str">
        <f>Sheet1!$K$8</f>
        <v>Hampshire</v>
      </c>
      <c r="C14" s="87"/>
      <c r="D14" s="96">
        <f>IF(Year1_Hampshire Year1_CP_Plans="","",Year1_Hampshire Year1_CP_Plans)</f>
        <v>1354</v>
      </c>
      <c r="E14" s="96">
        <f>IF(Year2_Hampshire Year2_CP_Plans="","",Year2_Hampshire Year2_CP_Plans)</f>
        <v>1441</v>
      </c>
      <c r="F14" s="103">
        <f>IF(Year3_Hampshire Year3_CP_Plans="","",Year3_Hampshire Year3_CP_Plans)</f>
        <v>1263</v>
      </c>
      <c r="G14" s="103">
        <f>IF(Year4_Hampshire Year4_CP_Plans="","",Year4_Hampshire Year4_CP_Plans)</f>
        <v>1294</v>
      </c>
      <c r="H14" s="97">
        <f>IF(Year5_Hampshire Year5_CP_Plans="","",Year5_Hampshire Year5_CP_Plans)</f>
        <v>1097</v>
      </c>
      <c r="I14" s="337">
        <f t="shared" si="2"/>
        <v>-4.6741911415930648E-2</v>
      </c>
      <c r="J14" s="98"/>
      <c r="K14" s="99">
        <f>IF(ISNUMBER(D14),D14/Population!D14*10000,NA())</f>
        <v>48.099467140319717</v>
      </c>
      <c r="L14" s="99">
        <f>IF(ISNUMBER(E14),E14/Population!E14*10000,NA())</f>
        <v>51.117417523944667</v>
      </c>
      <c r="M14" s="99">
        <f>IF(ISNUMBER(F14),F14/Population!F14*10000,NA())</f>
        <v>44.660537482319661</v>
      </c>
      <c r="N14" s="99">
        <f>IF(ISNUMBER(G14),G14/Population!G14*10000,NA())</f>
        <v>45.675961877867984</v>
      </c>
      <c r="O14" s="100">
        <f>IF(ISNUMBER(H14),H14/Population!H14*10000,NA())</f>
        <v>38.62676056338028</v>
      </c>
      <c r="P14" s="101">
        <f t="shared" si="3"/>
        <v>38.62676056338028</v>
      </c>
      <c r="Q14" s="886">
        <f t="shared" si="4"/>
        <v>8</v>
      </c>
      <c r="R14" s="69"/>
      <c r="S14" s="333">
        <f>IDACI!C13</f>
        <v>10.100000000000001</v>
      </c>
      <c r="T14" s="334">
        <f t="shared" si="0"/>
        <v>31.558953168423621</v>
      </c>
      <c r="U14" s="335">
        <f t="shared" si="5"/>
        <v>7.0678073949566596</v>
      </c>
      <c r="V14" s="124"/>
      <c r="W14" s="140"/>
      <c r="X14" s="149"/>
      <c r="Y14" s="71" t="str">
        <f t="shared" si="1"/>
        <v>Hampshire</v>
      </c>
      <c r="Z14" s="45">
        <f>IF(ISNUMBER(H14),IDACI!D13,0)</f>
        <v>249483</v>
      </c>
      <c r="AA14" s="45">
        <f>IF(ISNUMBER(H14),IDACI!E13,0)</f>
        <v>25197.783000000007</v>
      </c>
      <c r="AB14" s="202">
        <f>IF(ISNUMBER(D14),Population!D14,"")</f>
        <v>281500</v>
      </c>
      <c r="AC14" s="202">
        <f>IF(ISNUMBER(E14),Population!E14,"")</f>
        <v>281900</v>
      </c>
      <c r="AD14" s="202">
        <f>IF(ISNUMBER(F14),Population!F14,"")</f>
        <v>282800</v>
      </c>
      <c r="AE14" s="202">
        <f>IF(ISNUMBER(G14),Population!G14,"")</f>
        <v>283300</v>
      </c>
      <c r="AF14" s="202">
        <f>IF(ISNUMBER(H14),Population!H14,"")</f>
        <v>284000</v>
      </c>
      <c r="AG14" s="95" t="s">
        <v>6</v>
      </c>
      <c r="AH14" s="225">
        <f t="shared" si="6"/>
        <v>38.62676056338028</v>
      </c>
      <c r="AI14" s="203">
        <f t="shared" si="7"/>
        <v>8</v>
      </c>
      <c r="AJ14" s="199"/>
      <c r="AK14" s="156"/>
      <c r="AL14" s="792">
        <f t="shared" si="8"/>
        <v>6.4254062038404725E-2</v>
      </c>
      <c r="AM14" s="792">
        <f t="shared" si="8"/>
        <v>-0.12352532963219987</v>
      </c>
      <c r="AN14" s="792">
        <f t="shared" si="8"/>
        <v>2.4544734758511481E-2</v>
      </c>
      <c r="AO14" s="792">
        <f t="shared" si="8"/>
        <v>-0.15224111282843894</v>
      </c>
      <c r="AP14" s="792">
        <f t="shared" si="9"/>
        <v>-4.6741911415930648E-2</v>
      </c>
      <c r="AQ14" s="76"/>
      <c r="AR14" s="76"/>
      <c r="AS14" s="76"/>
      <c r="AT14" s="76"/>
      <c r="AU14" s="76"/>
      <c r="AV14" s="76"/>
      <c r="AW14" s="76"/>
      <c r="AX14" s="76"/>
      <c r="AY14" s="76"/>
    </row>
    <row r="15" spans="1:51" s="89" customFormat="1" ht="13.5" customHeight="1" x14ac:dyDescent="0.2">
      <c r="A15" s="462">
        <f>VLOOKUP(B15,Sheet1!$AQ$4:$AR$25,2,FALSE)</f>
        <v>0</v>
      </c>
      <c r="B15" s="95" t="str">
        <f>Sheet1!$K$9</f>
        <v>Isle of Wight</v>
      </c>
      <c r="C15" s="87"/>
      <c r="D15" s="96">
        <f>IF(Year1_Isle_of_Wight Year1_CP_Plans="","",Year1_Isle_of_Wight Year1_CP_Plans)</f>
        <v>254</v>
      </c>
      <c r="E15" s="96">
        <f>IF(Year2_Isle_of_Wight Year2_CP_Plans="","",Year2_Isle_of_Wight Year2_CP_Plans)</f>
        <v>214</v>
      </c>
      <c r="F15" s="96">
        <f>IF(Year3_Isle_of_Wight Year3_CP_Plans="","",Year3_Isle_of_Wight Year3_CP_Plans)</f>
        <v>199</v>
      </c>
      <c r="G15" s="96">
        <f>IF(Year4_Isle_of_Wight Year4_CP_Plans="","",Year4_Isle_of_Wight Year4_CP_Plans)</f>
        <v>193</v>
      </c>
      <c r="H15" s="97">
        <f>IF(Year5_Isle_of_Wight Year5_CP_Plans="","",Year5_Isle_of_Wight Year5_CP_Plans)</f>
        <v>165</v>
      </c>
      <c r="I15" s="337">
        <f t="shared" si="2"/>
        <v>-0.10070056172016331</v>
      </c>
      <c r="J15" s="98"/>
      <c r="K15" s="99">
        <f>IF(ISNUMBER(D15),D15/Population!D15*10000,NA())</f>
        <v>99.607843137254903</v>
      </c>
      <c r="L15" s="99">
        <f>IF(ISNUMBER(E15),E15/Population!E15*10000,NA())</f>
        <v>84.584980237154156</v>
      </c>
      <c r="M15" s="99">
        <f>IF(ISNUMBER(F15),F15/Population!F15*10000,NA())</f>
        <v>78.968253968253975</v>
      </c>
      <c r="N15" s="99">
        <f>IF(ISNUMBER(G15),G15/Population!G15*10000,NA())</f>
        <v>76.892430278884461</v>
      </c>
      <c r="O15" s="100">
        <f>IF(ISNUMBER(H15),H15/Population!H15*10000,NA())</f>
        <v>66.265060240963848</v>
      </c>
      <c r="P15" s="101">
        <f t="shared" si="3"/>
        <v>66.265060240963848</v>
      </c>
      <c r="Q15" s="886">
        <f t="shared" si="4"/>
        <v>18</v>
      </c>
      <c r="R15" s="69"/>
      <c r="S15" s="333">
        <f>IDACI!C14</f>
        <v>18</v>
      </c>
      <c r="T15" s="334">
        <f t="shared" si="0"/>
        <v>46.630298759835014</v>
      </c>
      <c r="U15" s="335">
        <f t="shared" si="5"/>
        <v>19.634761481128834</v>
      </c>
      <c r="V15" s="124"/>
      <c r="W15" s="140"/>
      <c r="X15" s="149"/>
      <c r="Y15" s="71" t="str">
        <f t="shared" si="1"/>
        <v>Isle of Wight</v>
      </c>
      <c r="Z15" s="45">
        <f>IF(ISNUMBER(H15),IDACI!D14,0)</f>
        <v>22123</v>
      </c>
      <c r="AA15" s="45">
        <f>IF(ISNUMBER(H15),IDACI!E14,0)</f>
        <v>3982.14</v>
      </c>
      <c r="AB15" s="202">
        <f>IF(ISNUMBER(D15),Population!D15,"")</f>
        <v>25500</v>
      </c>
      <c r="AC15" s="202">
        <f>IF(ISNUMBER(E15),Population!E15,"")</f>
        <v>25300</v>
      </c>
      <c r="AD15" s="202">
        <f>IF(ISNUMBER(F15),Population!F15,"")</f>
        <v>25200</v>
      </c>
      <c r="AE15" s="202">
        <f>IF(ISNUMBER(G15),Population!G15,"")</f>
        <v>25100</v>
      </c>
      <c r="AF15" s="202">
        <f>IF(ISNUMBER(H15),Population!H15,"")</f>
        <v>24900</v>
      </c>
      <c r="AG15" s="95" t="s">
        <v>1</v>
      </c>
      <c r="AH15" s="225">
        <f t="shared" si="6"/>
        <v>66.265060240963848</v>
      </c>
      <c r="AI15" s="203">
        <f t="shared" si="7"/>
        <v>18</v>
      </c>
      <c r="AJ15" s="199"/>
      <c r="AK15" s="156"/>
      <c r="AL15" s="792">
        <f t="shared" si="8"/>
        <v>-0.15748031496062992</v>
      </c>
      <c r="AM15" s="792">
        <f t="shared" si="8"/>
        <v>-7.0093457943925228E-2</v>
      </c>
      <c r="AN15" s="792">
        <f t="shared" si="8"/>
        <v>-3.015075376884422E-2</v>
      </c>
      <c r="AO15" s="792">
        <f t="shared" si="8"/>
        <v>-0.14507772020725387</v>
      </c>
      <c r="AP15" s="792">
        <f t="shared" si="9"/>
        <v>-0.10070056172016331</v>
      </c>
      <c r="AQ15" s="76"/>
      <c r="AR15" s="76"/>
      <c r="AS15" s="76"/>
      <c r="AT15" s="76"/>
      <c r="AU15" s="76"/>
      <c r="AV15" s="76"/>
      <c r="AW15" s="76"/>
      <c r="AX15" s="76"/>
      <c r="AY15" s="76"/>
    </row>
    <row r="16" spans="1:51" s="89" customFormat="1" ht="13.5" customHeight="1" x14ac:dyDescent="0.2">
      <c r="A16" s="462">
        <f>VLOOKUP(B16,Sheet1!$AQ$4:$AR$25,2,FALSE)</f>
        <v>0</v>
      </c>
      <c r="B16" s="95" t="str">
        <f>Sheet1!$K$10</f>
        <v>Kent</v>
      </c>
      <c r="C16" s="87"/>
      <c r="D16" s="96">
        <f>IF(Year1_Kent Year1_CP_Plans="","",Year1_Kent Year1_CP_Plans)</f>
        <v>1242</v>
      </c>
      <c r="E16" s="96">
        <f>IF(Year2_Kent Year2_CP_Plans="","",Year2_Kent Year2_CP_Plans)</f>
        <v>1049</v>
      </c>
      <c r="F16" s="96">
        <f>IF(Year3_Kent Year3_CP_Plans="","",Year3_Kent Year3_CP_Plans)</f>
        <v>1185</v>
      </c>
      <c r="G16" s="96">
        <f>IF(Year4_Kent Year4_CP_Plans="","",Year4_Kent Year4_CP_Plans)</f>
        <v>1462</v>
      </c>
      <c r="H16" s="97">
        <f>IF(Year5_Kent Year5_CP_Plans="","",Year5_Kent Year5_CP_Plans)</f>
        <v>1303</v>
      </c>
      <c r="I16" s="337">
        <f t="shared" si="2"/>
        <v>2.4813225617422024E-2</v>
      </c>
      <c r="J16" s="98"/>
      <c r="K16" s="99">
        <f>IF(ISNUMBER(D16),D16/Population!D16*10000,NA())</f>
        <v>37.831251903746576</v>
      </c>
      <c r="L16" s="99">
        <f>IF(ISNUMBER(E16),E16/Population!E16*10000,NA())</f>
        <v>31.74939467312349</v>
      </c>
      <c r="M16" s="99">
        <f>IF(ISNUMBER(F16),F16/Population!F16*10000,NA())</f>
        <v>35.585585585585584</v>
      </c>
      <c r="N16" s="99">
        <f>IF(ISNUMBER(G16),G16/Population!G16*10000,NA())</f>
        <v>43.498958643260934</v>
      </c>
      <c r="O16" s="100">
        <f>IF(ISNUMBER(H16),H16/Population!H16*10000,NA())</f>
        <v>38.312261099676569</v>
      </c>
      <c r="P16" s="101">
        <f t="shared" si="3"/>
        <v>38.312261099676569</v>
      </c>
      <c r="Q16" s="886">
        <f t="shared" si="4"/>
        <v>7</v>
      </c>
      <c r="R16" s="69"/>
      <c r="S16" s="333">
        <f>IDACI!C15</f>
        <v>15.8</v>
      </c>
      <c r="T16" s="334">
        <f t="shared" si="0"/>
        <v>42.433215177416656</v>
      </c>
      <c r="U16" s="335">
        <f t="shared" si="5"/>
        <v>-4.1209540777400875</v>
      </c>
      <c r="V16" s="124"/>
      <c r="W16" s="140"/>
      <c r="X16" s="149"/>
      <c r="Y16" s="71" t="str">
        <f t="shared" si="1"/>
        <v>Kent</v>
      </c>
      <c r="Z16" s="45">
        <f>IF(ISNUMBER(H16),IDACI!D15,0)</f>
        <v>291866</v>
      </c>
      <c r="AA16" s="45">
        <f>IF(ISNUMBER(H16),IDACI!E15,0)</f>
        <v>46114.828000000001</v>
      </c>
      <c r="AB16" s="202">
        <f>IF(ISNUMBER(D16),Population!D16,"")</f>
        <v>328300</v>
      </c>
      <c r="AC16" s="202">
        <f>IF(ISNUMBER(E16),Population!E16,"")</f>
        <v>330400</v>
      </c>
      <c r="AD16" s="202">
        <f>IF(ISNUMBER(F16),Population!F16,"")</f>
        <v>333000</v>
      </c>
      <c r="AE16" s="202">
        <f>IF(ISNUMBER(G16),Population!G16,"")</f>
        <v>336100</v>
      </c>
      <c r="AF16" s="202">
        <f>IF(ISNUMBER(H16),Population!H16,"")</f>
        <v>340100</v>
      </c>
      <c r="AG16" s="95" t="s">
        <v>9</v>
      </c>
      <c r="AH16" s="225">
        <f t="shared" si="6"/>
        <v>38.312261099676569</v>
      </c>
      <c r="AI16" s="203">
        <f t="shared" si="7"/>
        <v>7</v>
      </c>
      <c r="AJ16" s="199"/>
      <c r="AK16" s="156"/>
      <c r="AL16" s="792">
        <f t="shared" si="8"/>
        <v>-0.15539452495974235</v>
      </c>
      <c r="AM16" s="792">
        <f t="shared" si="8"/>
        <v>0.12964728312678742</v>
      </c>
      <c r="AN16" s="792">
        <f t="shared" si="8"/>
        <v>0.23375527426160336</v>
      </c>
      <c r="AO16" s="792">
        <f t="shared" si="8"/>
        <v>-0.10875512995896033</v>
      </c>
      <c r="AP16" s="792">
        <f t="shared" si="9"/>
        <v>2.4813225617422024E-2</v>
      </c>
      <c r="AQ16" s="76"/>
      <c r="AR16" s="76"/>
      <c r="AS16" s="76"/>
      <c r="AT16" s="76"/>
      <c r="AU16" s="76"/>
      <c r="AV16" s="76"/>
      <c r="AW16" s="76"/>
      <c r="AX16" s="76"/>
      <c r="AY16" s="76"/>
    </row>
    <row r="17" spans="1:51" s="89" customFormat="1" ht="13.5" customHeight="1" x14ac:dyDescent="0.2">
      <c r="A17" s="462">
        <f>VLOOKUP(B17,Sheet1!$AQ$4:$AR$25,2,FALSE)</f>
        <v>0</v>
      </c>
      <c r="B17" s="95" t="str">
        <f>Sheet1!$K$11</f>
        <v>Medway</v>
      </c>
      <c r="C17" s="87"/>
      <c r="D17" s="96">
        <f>IF(Year1_Medway Year1_CP_Plans="","",Year1_Medway Year1_CP_Plans)</f>
        <v>475</v>
      </c>
      <c r="E17" s="290">
        <f>IF(Year2_Medway Year2_CP_Plans="","",Year2_Medway Year2_CP_Plans)</f>
        <v>539</v>
      </c>
      <c r="F17" s="290">
        <f>IF(Year3_Medway Year3_CP_Plans="","",Year3_Medway Year3_CP_Plans)</f>
        <v>313</v>
      </c>
      <c r="G17" s="290">
        <f>IF(Year4_Medway Year4_CP_Plans="","",Year4_Medway Year4_CP_Plans)</f>
        <v>344</v>
      </c>
      <c r="H17" s="291">
        <f>IF(Year5_Medway Year5_CP_Plans="","",Year5_Medway Year5_CP_Plans)</f>
        <v>355</v>
      </c>
      <c r="I17" s="337">
        <f t="shared" si="2"/>
        <v>-3.8384967721481644E-2</v>
      </c>
      <c r="J17" s="98"/>
      <c r="K17" s="99">
        <f>IF(ISNUMBER(D17),D17/Population!D17*10000,NA())</f>
        <v>76</v>
      </c>
      <c r="L17" s="99">
        <f>IF(ISNUMBER(E17),E17/Population!E17*10000,NA())</f>
        <v>85.284810126582272</v>
      </c>
      <c r="M17" s="99">
        <f>IF(ISNUMBER(F17),F17/Population!F17*10000,NA())</f>
        <v>49.136577708006286</v>
      </c>
      <c r="N17" s="99">
        <f>IF(ISNUMBER(G17),G17/Population!G17*10000,NA())</f>
        <v>53.834115805946794</v>
      </c>
      <c r="O17" s="100">
        <f>IF(ISNUMBER(H17),H17/Population!H17*10000,NA())</f>
        <v>55.12422360248447</v>
      </c>
      <c r="P17" s="101">
        <f t="shared" si="3"/>
        <v>55.12422360248447</v>
      </c>
      <c r="Q17" s="886">
        <f t="shared" si="4"/>
        <v>15</v>
      </c>
      <c r="R17" s="69"/>
      <c r="S17" s="333">
        <f>IDACI!C16</f>
        <v>18.899999999999999</v>
      </c>
      <c r="T17" s="334">
        <f t="shared" si="0"/>
        <v>48.347287498097067</v>
      </c>
      <c r="U17" s="335">
        <f t="shared" si="5"/>
        <v>6.7769361043874028</v>
      </c>
      <c r="V17" s="124"/>
      <c r="W17" s="140"/>
      <c r="X17" s="149"/>
      <c r="Y17" s="71" t="str">
        <f t="shared" si="1"/>
        <v>Medway</v>
      </c>
      <c r="Z17" s="45">
        <f>IF(ISNUMBER(H17),IDACI!D16,0)</f>
        <v>55993</v>
      </c>
      <c r="AA17" s="45">
        <f>IF(ISNUMBER(H17),IDACI!E16,0)</f>
        <v>10582.676999999998</v>
      </c>
      <c r="AB17" s="202">
        <f>IF(ISNUMBER(D17),Population!D17,"")</f>
        <v>62500</v>
      </c>
      <c r="AC17" s="202">
        <f>IF(ISNUMBER(E17),Population!E17,"")</f>
        <v>63200</v>
      </c>
      <c r="AD17" s="202">
        <f>IF(ISNUMBER(F17),Population!F17,"")</f>
        <v>63700</v>
      </c>
      <c r="AE17" s="202">
        <f>IF(ISNUMBER(G17),Population!G17,"")</f>
        <v>63900</v>
      </c>
      <c r="AF17" s="202">
        <f>IF(ISNUMBER(H17),Population!H17,"")</f>
        <v>64400</v>
      </c>
      <c r="AG17" s="95" t="s">
        <v>2</v>
      </c>
      <c r="AH17" s="225">
        <f t="shared" si="6"/>
        <v>55.12422360248447</v>
      </c>
      <c r="AI17" s="203">
        <f t="shared" si="7"/>
        <v>15</v>
      </c>
      <c r="AJ17" s="199"/>
      <c r="AK17" s="156"/>
      <c r="AL17" s="792">
        <f t="shared" si="8"/>
        <v>0.13473684210526315</v>
      </c>
      <c r="AM17" s="792">
        <f t="shared" si="8"/>
        <v>-0.41929499072356213</v>
      </c>
      <c r="AN17" s="792">
        <f t="shared" si="8"/>
        <v>9.9041533546325874E-2</v>
      </c>
      <c r="AO17" s="792">
        <f t="shared" si="8"/>
        <v>3.1976744186046513E-2</v>
      </c>
      <c r="AP17" s="792">
        <f t="shared" si="9"/>
        <v>-3.8384967721481644E-2</v>
      </c>
      <c r="AQ17" s="76"/>
      <c r="AR17" s="76"/>
      <c r="AS17" s="76"/>
      <c r="AT17" s="76"/>
      <c r="AU17" s="76"/>
      <c r="AV17" s="76"/>
      <c r="AW17" s="76"/>
      <c r="AX17" s="76"/>
      <c r="AY17" s="76"/>
    </row>
    <row r="18" spans="1:51" s="89" customFormat="1" ht="13.5" customHeight="1" x14ac:dyDescent="0.2">
      <c r="A18" s="462">
        <f>VLOOKUP(B18,Sheet1!$AQ$4:$AR$25,2,FALSE)</f>
        <v>0</v>
      </c>
      <c r="B18" s="95" t="str">
        <f>Sheet1!$K$12</f>
        <v>Milton Keynes</v>
      </c>
      <c r="C18" s="87"/>
      <c r="D18" s="96">
        <f>IF(Year1_Milton_Keynes Year1_CP_Plans="","",Year1_Milton_Keynes Year1_CP_Plans)</f>
        <v>57</v>
      </c>
      <c r="E18" s="96">
        <f>IF(Year2_Milton_Keynes Year2_CP_Plans="","",Year2_Milton_Keynes Year2_CP_Plans)</f>
        <v>92</v>
      </c>
      <c r="F18" s="96">
        <f>IF(Year3_Milton_Keynes Year3_CP_Plans="","",Year3_Milton_Keynes Year3_CP_Plans)</f>
        <v>90</v>
      </c>
      <c r="G18" s="96">
        <f>IF(Year4_Milton_Keynes Year4_CP_Plans="","",Year4_Milton_Keynes Year4_CP_Plans)</f>
        <v>104</v>
      </c>
      <c r="H18" s="97">
        <f>IF(Year5_Milton_Keynes Year5_CP_Plans="","",Year5_Milton_Keynes Year5_CP_Plans)</f>
        <v>136</v>
      </c>
      <c r="I18" s="337">
        <f t="shared" si="2"/>
        <v>0.26388595513309476</v>
      </c>
      <c r="J18" s="98"/>
      <c r="K18" s="99">
        <f>IF(ISNUMBER(D18),D18/Population!D18*10000,NA())</f>
        <v>8.7423312883435589</v>
      </c>
      <c r="L18" s="99">
        <f>IF(ISNUMBER(E18),E18/Population!E18*10000,NA())</f>
        <v>13.918305597579424</v>
      </c>
      <c r="M18" s="99">
        <f>IF(ISNUMBER(F18),F18/Population!F18*10000,NA())</f>
        <v>13.412816691505217</v>
      </c>
      <c r="N18" s="99">
        <f>IF(ISNUMBER(G18),G18/Population!G18*10000,NA())</f>
        <v>15.384615384615385</v>
      </c>
      <c r="O18" s="100">
        <f>IF(ISNUMBER(H18),H18/Population!H18*10000,NA())</f>
        <v>19.912152269399709</v>
      </c>
      <c r="P18" s="101">
        <f t="shared" si="3"/>
        <v>19.912152269399709</v>
      </c>
      <c r="Q18" s="886">
        <f t="shared" si="4"/>
        <v>1</v>
      </c>
      <c r="R18" s="69"/>
      <c r="S18" s="333">
        <f>IDACI!C17</f>
        <v>15</v>
      </c>
      <c r="T18" s="334">
        <f t="shared" si="0"/>
        <v>40.907002965628152</v>
      </c>
      <c r="U18" s="335">
        <f t="shared" si="5"/>
        <v>-20.994850696228443</v>
      </c>
      <c r="V18" s="124"/>
      <c r="W18" s="140"/>
      <c r="X18" s="149"/>
      <c r="Y18" s="71" t="str">
        <f t="shared" si="1"/>
        <v>Milton Keynes</v>
      </c>
      <c r="Z18" s="45">
        <f>IF(ISNUMBER(H18),IDACI!D17,0)</f>
        <v>59903</v>
      </c>
      <c r="AA18" s="45">
        <f>IF(ISNUMBER(H18),IDACI!E17,0)</f>
        <v>8985.4499999999989</v>
      </c>
      <c r="AB18" s="202">
        <f>IF(ISNUMBER(D18),Population!D18,"")</f>
        <v>65200</v>
      </c>
      <c r="AC18" s="202">
        <f>IF(ISNUMBER(E18),Population!E18,"")</f>
        <v>66100</v>
      </c>
      <c r="AD18" s="202">
        <f>IF(ISNUMBER(F18),Population!F18,"")</f>
        <v>67100</v>
      </c>
      <c r="AE18" s="202">
        <f>IF(ISNUMBER(G18),Population!G18,"")</f>
        <v>67600</v>
      </c>
      <c r="AF18" s="202">
        <f>IF(ISNUMBER(H18),Population!H18,"")</f>
        <v>68300</v>
      </c>
      <c r="AG18" s="95" t="s">
        <v>10</v>
      </c>
      <c r="AH18" s="225">
        <f t="shared" si="6"/>
        <v>19.912152269399709</v>
      </c>
      <c r="AI18" s="203">
        <f t="shared" si="7"/>
        <v>1</v>
      </c>
      <c r="AJ18" s="199"/>
      <c r="AK18" s="156"/>
      <c r="AL18" s="792">
        <f t="shared" si="8"/>
        <v>0.61403508771929827</v>
      </c>
      <c r="AM18" s="792">
        <f t="shared" si="8"/>
        <v>-2.1739130434782608E-2</v>
      </c>
      <c r="AN18" s="792">
        <f t="shared" si="8"/>
        <v>0.15555555555555556</v>
      </c>
      <c r="AO18" s="792">
        <f t="shared" si="8"/>
        <v>0.30769230769230771</v>
      </c>
      <c r="AP18" s="792">
        <f t="shared" si="9"/>
        <v>0.26388595513309476</v>
      </c>
      <c r="AQ18" s="76"/>
      <c r="AR18" s="76"/>
      <c r="AS18" s="76"/>
      <c r="AT18" s="76"/>
      <c r="AU18" s="76"/>
      <c r="AV18" s="76"/>
      <c r="AW18" s="76"/>
      <c r="AX18" s="76"/>
      <c r="AY18" s="76"/>
    </row>
    <row r="19" spans="1:51" s="89" customFormat="1" ht="13.5" customHeight="1" x14ac:dyDescent="0.2">
      <c r="A19" s="462">
        <f>VLOOKUP(B19,Sheet1!$AQ$4:$AR$25,2,FALSE)</f>
        <v>0</v>
      </c>
      <c r="B19" s="95" t="str">
        <f>Sheet1!$K$13</f>
        <v>Oxfordshire</v>
      </c>
      <c r="C19" s="87"/>
      <c r="D19" s="96">
        <f>IF(Year1_Oxfordshire Year1_CP_Plans="","",Year1_Oxfordshire Year1_CP_Plans)</f>
        <v>569</v>
      </c>
      <c r="E19" s="96">
        <f>IF(Year2_Oxfordshire Year2_CP_Plans="","",Year2_Oxfordshire Year2_CP_Plans)</f>
        <v>571</v>
      </c>
      <c r="F19" s="96">
        <f>IF(Year3_Oxfordshire Year3_CP_Plans="","",Year3_Oxfordshire Year3_CP_Plans)</f>
        <v>609</v>
      </c>
      <c r="G19" s="96">
        <f>IF(Year4_Oxfordshire Year4_CP_Plans="","",Year4_Oxfordshire Year4_CP_Plans)</f>
        <v>687</v>
      </c>
      <c r="H19" s="97">
        <f>IF(Year5_Oxfordshire Year5_CP_Plans="","",Year5_Oxfordshire Year5_CP_Plans)</f>
        <v>592</v>
      </c>
      <c r="I19" s="337">
        <f t="shared" si="2"/>
        <v>1.4965320366552057E-2</v>
      </c>
      <c r="J19" s="98"/>
      <c r="K19" s="99">
        <f>IF(ISNUMBER(D19),D19/Population!D19*10000,NA())</f>
        <v>40.297450424929174</v>
      </c>
      <c r="L19" s="99">
        <f>IF(ISNUMBER(E19),E19/Population!E19*10000,NA())</f>
        <v>40.267983074753175</v>
      </c>
      <c r="M19" s="99">
        <f>IF(ISNUMBER(F19),F19/Population!F19*10000,NA())</f>
        <v>42.617214835549333</v>
      </c>
      <c r="N19" s="99">
        <f>IF(ISNUMBER(G19),G19/Population!G19*10000,NA())</f>
        <v>47.90794979079498</v>
      </c>
      <c r="O19" s="100">
        <f>IF(ISNUMBER(H19),H19/Population!H19*10000,NA())</f>
        <v>40.88397790055248</v>
      </c>
      <c r="P19" s="101">
        <f t="shared" si="3"/>
        <v>40.88397790055248</v>
      </c>
      <c r="Q19" s="886">
        <f t="shared" si="4"/>
        <v>9</v>
      </c>
      <c r="R19" s="69"/>
      <c r="S19" s="333">
        <f>IDACI!C18</f>
        <v>10.100000000000001</v>
      </c>
      <c r="T19" s="334">
        <f t="shared" si="0"/>
        <v>31.558953168423621</v>
      </c>
      <c r="U19" s="335">
        <f t="shared" si="5"/>
        <v>9.3250247321288597</v>
      </c>
      <c r="V19" s="124"/>
      <c r="W19" s="140"/>
      <c r="X19" s="149"/>
      <c r="Y19" s="71" t="str">
        <f t="shared" si="1"/>
        <v>Oxfordshire</v>
      </c>
      <c r="Z19" s="45">
        <f>IF(ISNUMBER(H19),IDACI!D18,0)</f>
        <v>126119</v>
      </c>
      <c r="AA19" s="45">
        <f>IF(ISNUMBER(H19),IDACI!E18,0)</f>
        <v>12738.019000000002</v>
      </c>
      <c r="AB19" s="202">
        <f>IF(ISNUMBER(D19),Population!D19,"")</f>
        <v>141200</v>
      </c>
      <c r="AC19" s="202">
        <f>IF(ISNUMBER(E19),Population!E19,"")</f>
        <v>141800</v>
      </c>
      <c r="AD19" s="202">
        <f>IF(ISNUMBER(F19),Population!F19,"")</f>
        <v>142900</v>
      </c>
      <c r="AE19" s="202">
        <f>IF(ISNUMBER(G19),Population!G19,"")</f>
        <v>143400</v>
      </c>
      <c r="AF19" s="202">
        <f>IF(ISNUMBER(H19),Population!H19,"")</f>
        <v>144800</v>
      </c>
      <c r="AG19" s="95" t="s">
        <v>11</v>
      </c>
      <c r="AH19" s="225">
        <f t="shared" si="6"/>
        <v>40.88397790055248</v>
      </c>
      <c r="AI19" s="203">
        <f t="shared" si="7"/>
        <v>9</v>
      </c>
      <c r="AJ19" s="199"/>
      <c r="AK19" s="156"/>
      <c r="AL19" s="792">
        <f t="shared" si="8"/>
        <v>3.5149384885764497E-3</v>
      </c>
      <c r="AM19" s="792">
        <f t="shared" si="8"/>
        <v>6.6549912434325745E-2</v>
      </c>
      <c r="AN19" s="792">
        <f t="shared" si="8"/>
        <v>0.12807881773399016</v>
      </c>
      <c r="AO19" s="792">
        <f t="shared" si="8"/>
        <v>-0.13828238719068414</v>
      </c>
      <c r="AP19" s="792">
        <f t="shared" si="9"/>
        <v>1.4965320366552057E-2</v>
      </c>
      <c r="AQ19" s="76"/>
      <c r="AR19" s="76"/>
      <c r="AS19" s="76"/>
      <c r="AT19" s="76"/>
      <c r="AU19" s="76"/>
      <c r="AV19" s="76"/>
      <c r="AW19" s="76"/>
      <c r="AX19" s="76"/>
      <c r="AY19" s="76"/>
    </row>
    <row r="20" spans="1:51" s="89" customFormat="1" ht="13.5" customHeight="1" x14ac:dyDescent="0.2">
      <c r="A20" s="462">
        <f>VLOOKUP(B20,Sheet1!$AQ$4:$AR$25,2,FALSE)</f>
        <v>0</v>
      </c>
      <c r="B20" s="95" t="str">
        <f>Sheet1!$K$14</f>
        <v>Portsmouth</v>
      </c>
      <c r="C20" s="87"/>
      <c r="D20" s="96">
        <f>IF(Year1_Portsmouth Year1_CP_Plans="","",Year1_Portsmouth Year1_CP_Plans)</f>
        <v>232</v>
      </c>
      <c r="E20" s="96">
        <f>IF(Year2_Portsmouth Year2_CP_Plans="","",Year2_Portsmouth Year2_CP_Plans)</f>
        <v>275</v>
      </c>
      <c r="F20" s="96">
        <f>IF(Year3_Portsmouth Year3_CP_Plans="","",Year3_Portsmouth Year3_CP_Plans)</f>
        <v>242</v>
      </c>
      <c r="G20" s="96">
        <f>IF(Year4_Portsmouth Year4_CP_Plans="","",Year4_Portsmouth Year4_CP_Plans)</f>
        <v>286</v>
      </c>
      <c r="H20" s="97">
        <f>IF(Year5_Portsmouth Year5_CP_Plans="","",Year5_Portsmouth Year5_CP_Plans)</f>
        <v>195</v>
      </c>
      <c r="I20" s="337">
        <f t="shared" si="2"/>
        <v>-1.7754702194357361E-2</v>
      </c>
      <c r="J20" s="98"/>
      <c r="K20" s="99">
        <f>IF(ISNUMBER(D20),D20/Population!D20*10000,NA())</f>
        <v>53.456221198156683</v>
      </c>
      <c r="L20" s="99">
        <f>IF(ISNUMBER(E20),E20/Population!E20*10000,NA())</f>
        <v>62.785388127853878</v>
      </c>
      <c r="M20" s="99">
        <f>IF(ISNUMBER(F20),F20/Population!F20*10000,NA())</f>
        <v>55</v>
      </c>
      <c r="N20" s="99">
        <f>IF(ISNUMBER(G20),G20/Population!G20*10000,NA())</f>
        <v>64.705882352941174</v>
      </c>
      <c r="O20" s="100">
        <f>IF(ISNUMBER(H20),H20/Population!H20*10000,NA())</f>
        <v>44.31818181818182</v>
      </c>
      <c r="P20" s="101">
        <f t="shared" si="3"/>
        <v>44.31818181818182</v>
      </c>
      <c r="Q20" s="886">
        <f t="shared" si="4"/>
        <v>10</v>
      </c>
      <c r="R20" s="69"/>
      <c r="S20" s="333">
        <f>IDACI!C19</f>
        <v>20.200000000000003</v>
      </c>
      <c r="T20" s="334">
        <f t="shared" si="0"/>
        <v>50.827382342253379</v>
      </c>
      <c r="U20" s="335">
        <f t="shared" si="5"/>
        <v>-6.5092005240715594</v>
      </c>
      <c r="V20" s="124"/>
      <c r="W20" s="140"/>
      <c r="X20" s="149"/>
      <c r="Y20" s="71" t="str">
        <f t="shared" si="1"/>
        <v>Portsmouth</v>
      </c>
      <c r="Z20" s="45">
        <f>IF(ISNUMBER(H20),IDACI!D19,0)</f>
        <v>39325</v>
      </c>
      <c r="AA20" s="45">
        <f>IF(ISNUMBER(H20),IDACI!E19,0)</f>
        <v>7943.6500000000015</v>
      </c>
      <c r="AB20" s="202">
        <f>IF(ISNUMBER(D20),Population!D20,"")</f>
        <v>43400</v>
      </c>
      <c r="AC20" s="202">
        <f>IF(ISNUMBER(E20),Population!E20,"")</f>
        <v>43800</v>
      </c>
      <c r="AD20" s="202">
        <f>IF(ISNUMBER(F20),Population!F20,"")</f>
        <v>44000</v>
      </c>
      <c r="AE20" s="202">
        <f>IF(ISNUMBER(G20),Population!G20,"")</f>
        <v>44200</v>
      </c>
      <c r="AF20" s="202">
        <f>IF(ISNUMBER(H20),Population!H20,"")</f>
        <v>44000</v>
      </c>
      <c r="AG20" s="95" t="s">
        <v>12</v>
      </c>
      <c r="AH20" s="225">
        <f t="shared" si="6"/>
        <v>44.31818181818182</v>
      </c>
      <c r="AI20" s="203">
        <f t="shared" si="7"/>
        <v>10</v>
      </c>
      <c r="AJ20" s="199"/>
      <c r="AK20" s="156"/>
      <c r="AL20" s="792">
        <f t="shared" si="8"/>
        <v>0.18534482758620691</v>
      </c>
      <c r="AM20" s="792">
        <f t="shared" si="8"/>
        <v>-0.12</v>
      </c>
      <c r="AN20" s="792">
        <f t="shared" si="8"/>
        <v>0.18181818181818182</v>
      </c>
      <c r="AO20" s="792">
        <f t="shared" si="8"/>
        <v>-0.31818181818181818</v>
      </c>
      <c r="AP20" s="792">
        <f t="shared" si="9"/>
        <v>-1.7754702194357361E-2</v>
      </c>
      <c r="AQ20" s="76"/>
      <c r="AR20" s="76"/>
      <c r="AS20" s="76"/>
      <c r="AT20" s="76"/>
      <c r="AU20" s="76"/>
      <c r="AV20" s="76"/>
      <c r="AW20" s="76"/>
      <c r="AX20" s="76"/>
      <c r="AY20" s="76"/>
    </row>
    <row r="21" spans="1:51" s="89" customFormat="1" ht="13.5" customHeight="1" x14ac:dyDescent="0.2">
      <c r="A21" s="462">
        <f>VLOOKUP(B21,Sheet1!$AQ$4:$AR$25,2,FALSE)</f>
        <v>0</v>
      </c>
      <c r="B21" s="95" t="str">
        <f>Sheet1!$K$15</f>
        <v>Reading</v>
      </c>
      <c r="C21" s="87"/>
      <c r="D21" s="96">
        <f>IF(Year1_Reading Year1_CP_Plans="","",Year1_Reading Year1_CP_Plans)</f>
        <v>204</v>
      </c>
      <c r="E21" s="96">
        <f>IF(Year2_Reading Year2_CP_Plans="","",Year2_Reading Year2_CP_Plans)</f>
        <v>252</v>
      </c>
      <c r="F21" s="96">
        <f>IF(Year3_Reading Year3_CP_Plans="","",Year3_Reading Year3_CP_Plans)</f>
        <v>349</v>
      </c>
      <c r="G21" s="96">
        <f>IF(Year4_Reading Year4_CP_Plans="","",Year4_Reading Year4_CP_Plans)</f>
        <v>290</v>
      </c>
      <c r="H21" s="97">
        <f>IF(Year5_Reading Year5_CP_Plans="","",Year5_Reading Year5_CP_Plans)</f>
        <v>255</v>
      </c>
      <c r="I21" s="337">
        <f t="shared" si="2"/>
        <v>8.2617664033633742E-2</v>
      </c>
      <c r="J21" s="98"/>
      <c r="K21" s="99">
        <f>IF(ISNUMBER(D21),D21/Population!D21*10000,NA())</f>
        <v>56.824512534818943</v>
      </c>
      <c r="L21" s="99">
        <f>IF(ISNUMBER(E21),E21/Population!E21*10000,NA())</f>
        <v>69.230769230769226</v>
      </c>
      <c r="M21" s="99">
        <f>IF(ISNUMBER(F21),F21/Population!F21*10000,NA())</f>
        <v>95.355191256830608</v>
      </c>
      <c r="N21" s="99">
        <f>IF(ISNUMBER(G21),G21/Population!G21*10000,NA())</f>
        <v>78.167115902964966</v>
      </c>
      <c r="O21" s="100">
        <f>IF(ISNUMBER(H21),H21/Population!H21*10000,NA())</f>
        <v>68.733153638814017</v>
      </c>
      <c r="P21" s="101">
        <f t="shared" si="3"/>
        <v>68.733153638814017</v>
      </c>
      <c r="Q21" s="886">
        <f t="shared" si="4"/>
        <v>19</v>
      </c>
      <c r="R21" s="69"/>
      <c r="S21" s="333">
        <f>IDACI!C20</f>
        <v>16</v>
      </c>
      <c r="T21" s="334">
        <f t="shared" si="0"/>
        <v>42.814768230363775</v>
      </c>
      <c r="U21" s="335">
        <f t="shared" si="5"/>
        <v>25.918385408450241</v>
      </c>
      <c r="V21" s="124"/>
      <c r="W21" s="140"/>
      <c r="X21" s="149"/>
      <c r="Y21" s="71" t="str">
        <f t="shared" si="1"/>
        <v>Reading</v>
      </c>
      <c r="Z21" s="45">
        <f>IF(ISNUMBER(H21),IDACI!D20,0)</f>
        <v>33203</v>
      </c>
      <c r="AA21" s="45">
        <f>IF(ISNUMBER(H21),IDACI!E20,0)</f>
        <v>5312.4800000000005</v>
      </c>
      <c r="AB21" s="202">
        <f>IF(ISNUMBER(D21),Population!D21,"")</f>
        <v>35900</v>
      </c>
      <c r="AC21" s="202">
        <f>IF(ISNUMBER(E21),Population!E21,"")</f>
        <v>36400</v>
      </c>
      <c r="AD21" s="202">
        <f>IF(ISNUMBER(F21),Population!F21,"")</f>
        <v>36600</v>
      </c>
      <c r="AE21" s="202">
        <f>IF(ISNUMBER(G21),Population!G21,"")</f>
        <v>37100</v>
      </c>
      <c r="AF21" s="202">
        <f>IF(ISNUMBER(H21),Population!H21,"")</f>
        <v>37100</v>
      </c>
      <c r="AG21" s="95" t="s">
        <v>3</v>
      </c>
      <c r="AH21" s="225">
        <f t="shared" si="6"/>
        <v>68.733153638814017</v>
      </c>
      <c r="AI21" s="203">
        <f t="shared" si="7"/>
        <v>19</v>
      </c>
      <c r="AJ21" s="199"/>
      <c r="AK21" s="156"/>
      <c r="AL21" s="792">
        <f t="shared" si="8"/>
        <v>0.23529411764705882</v>
      </c>
      <c r="AM21" s="792">
        <f t="shared" si="8"/>
        <v>0.38492063492063494</v>
      </c>
      <c r="AN21" s="792">
        <f t="shared" si="8"/>
        <v>-0.16905444126074498</v>
      </c>
      <c r="AO21" s="792">
        <f t="shared" si="8"/>
        <v>-0.1206896551724138</v>
      </c>
      <c r="AP21" s="792">
        <f t="shared" si="9"/>
        <v>8.2617664033633742E-2</v>
      </c>
      <c r="AQ21" s="76"/>
      <c r="AR21" s="76"/>
      <c r="AS21" s="76"/>
      <c r="AT21" s="76"/>
      <c r="AU21" s="76"/>
      <c r="AV21" s="76"/>
      <c r="AW21" s="76"/>
      <c r="AX21" s="76"/>
      <c r="AY21" s="76"/>
    </row>
    <row r="22" spans="1:51" s="89" customFormat="1" ht="13.5" customHeight="1" x14ac:dyDescent="0.2">
      <c r="A22" s="462">
        <f>VLOOKUP(B22,Sheet1!$AQ$4:$AR$25,2,FALSE)</f>
        <v>0</v>
      </c>
      <c r="B22" s="95" t="str">
        <f>Sheet1!$K$16</f>
        <v>Slough</v>
      </c>
      <c r="C22" s="87"/>
      <c r="D22" s="96">
        <f>IF(Year1_Slough Year1_CP_Plans="","",Year1_Slough Year1_CP_Plans)</f>
        <v>112</v>
      </c>
      <c r="E22" s="96">
        <f>IF(Year2_Slough Year2_CP_Plans="","",Year2_Slough Year2_CP_Plans)</f>
        <v>230</v>
      </c>
      <c r="F22" s="96">
        <f>IF(Year3_Slough Year3_CP_Plans="","",Year3_Slough Year3_CP_Plans)</f>
        <v>153</v>
      </c>
      <c r="G22" s="96">
        <f>IF(Year4_Slough Year4_CP_Plans="","",Year4_Slough Year4_CP_Plans)</f>
        <v>161</v>
      </c>
      <c r="H22" s="97">
        <f>IF(Year5_Slough Year5_CP_Plans="","",Year5_Slough Year5_CP_Plans)</f>
        <v>218</v>
      </c>
      <c r="I22" s="337">
        <f t="shared" si="2"/>
        <v>0.28127841716396706</v>
      </c>
      <c r="J22" s="98"/>
      <c r="K22" s="99">
        <f>IF(ISNUMBER(D22),D22/Population!D22*10000,NA())</f>
        <v>28.07017543859649</v>
      </c>
      <c r="L22" s="99">
        <f>IF(ISNUMBER(E22),E22/Population!E22*10000,NA())</f>
        <v>56.650246305418719</v>
      </c>
      <c r="M22" s="99">
        <f>IF(ISNUMBER(F22),F22/Population!F22*10000,NA())</f>
        <v>36.956521739130437</v>
      </c>
      <c r="N22" s="99">
        <f>IF(ISNUMBER(G22),G22/Population!G22*10000,NA())</f>
        <v>38.15165876777251</v>
      </c>
      <c r="O22" s="100">
        <f>IF(ISNUMBER(H22),H22/Population!H22*10000,NA())</f>
        <v>51.053864168618269</v>
      </c>
      <c r="P22" s="101">
        <f t="shared" si="3"/>
        <v>51.053864168618269</v>
      </c>
      <c r="Q22" s="886">
        <f t="shared" si="4"/>
        <v>13</v>
      </c>
      <c r="R22" s="69"/>
      <c r="S22" s="333">
        <f>IDACI!C21</f>
        <v>14.7</v>
      </c>
      <c r="T22" s="334">
        <f t="shared" si="0"/>
        <v>40.33467338620747</v>
      </c>
      <c r="U22" s="335">
        <f t="shared" si="5"/>
        <v>10.719190782410799</v>
      </c>
      <c r="V22" s="124"/>
      <c r="W22" s="140"/>
      <c r="X22" s="149"/>
      <c r="Y22" s="71" t="str">
        <f t="shared" si="1"/>
        <v>Slough</v>
      </c>
      <c r="Z22" s="45">
        <f>IF(ISNUMBER(H22),IDACI!D21,0)</f>
        <v>37031</v>
      </c>
      <c r="AA22" s="45">
        <f>IF(ISNUMBER(H22),IDACI!E21,0)</f>
        <v>5443.5569999999998</v>
      </c>
      <c r="AB22" s="202">
        <f>IF(ISNUMBER(D22),Population!D22,"")</f>
        <v>39900</v>
      </c>
      <c r="AC22" s="202">
        <f>IF(ISNUMBER(E22),Population!E22,"")</f>
        <v>40600</v>
      </c>
      <c r="AD22" s="202">
        <f>IF(ISNUMBER(F22),Population!F22,"")</f>
        <v>41400</v>
      </c>
      <c r="AE22" s="202">
        <f>IF(ISNUMBER(G22),Population!G22,"")</f>
        <v>42200</v>
      </c>
      <c r="AF22" s="202">
        <f>IF(ISNUMBER(H22),Population!H22,"")</f>
        <v>42700</v>
      </c>
      <c r="AG22" s="95" t="s">
        <v>13</v>
      </c>
      <c r="AH22" s="225">
        <f t="shared" si="6"/>
        <v>51.053864168618269</v>
      </c>
      <c r="AI22" s="203">
        <f t="shared" si="7"/>
        <v>13</v>
      </c>
      <c r="AJ22" s="199"/>
      <c r="AK22" s="156"/>
      <c r="AL22" s="792">
        <f t="shared" si="8"/>
        <v>1.0535714285714286</v>
      </c>
      <c r="AM22" s="792">
        <f t="shared" si="8"/>
        <v>-0.33478260869565218</v>
      </c>
      <c r="AN22" s="792">
        <f t="shared" si="8"/>
        <v>5.2287581699346407E-2</v>
      </c>
      <c r="AO22" s="792">
        <f t="shared" si="8"/>
        <v>0.35403726708074534</v>
      </c>
      <c r="AP22" s="792">
        <f t="shared" si="9"/>
        <v>0.28127841716396706</v>
      </c>
      <c r="AQ22" s="76"/>
      <c r="AR22" s="76"/>
      <c r="AS22" s="76"/>
      <c r="AT22" s="76"/>
      <c r="AU22" s="76"/>
      <c r="AV22" s="76"/>
      <c r="AW22" s="76"/>
      <c r="AX22" s="76"/>
      <c r="AY22" s="76"/>
    </row>
    <row r="23" spans="1:51" s="89" customFormat="1" ht="13.5" customHeight="1" x14ac:dyDescent="0.2">
      <c r="A23" s="462">
        <f>VLOOKUP(B23,Sheet1!$AQ$4:$AR$25,2,FALSE)</f>
        <v>0</v>
      </c>
      <c r="B23" s="95" t="str">
        <f>Sheet1!$K$17</f>
        <v>Somerset</v>
      </c>
      <c r="C23" s="87"/>
      <c r="D23" s="96">
        <f>IF(Year1_Somerset Year1_CP_Plans="","",Year1_Somerset Year1_CP_Plans)</f>
        <v>522</v>
      </c>
      <c r="E23" s="96">
        <f>IF(Year2_Somerset Year2_CP_Plans="","",Year2_Somerset Year2_CP_Plans)</f>
        <v>280</v>
      </c>
      <c r="F23" s="96">
        <f>IF(Year3_Somerset Year3_CP_Plans="","",Year3_Somerset Year3_CP_Plans)</f>
        <v>413</v>
      </c>
      <c r="G23" s="96">
        <f>IF(Year4_Somerset Year4_CP_Plans="","",Year4_Somerset Year4_CP_Plans)</f>
        <v>428</v>
      </c>
      <c r="H23" s="97">
        <f>IF(Year5_Somerset Year5_CP_Plans="","",Year5_Somerset Year5_CP_Plans)</f>
        <v>402</v>
      </c>
      <c r="I23" s="337">
        <f t="shared" si="2"/>
        <v>-3.2573958819131742E-3</v>
      </c>
      <c r="J23" s="98"/>
      <c r="K23" s="99">
        <f>IF(ISNUMBER(D23),D23/Population!D23*10000,NA())</f>
        <v>47.933884297520663</v>
      </c>
      <c r="L23" s="99">
        <f>IF(ISNUMBER(E23),E23/Population!E23*10000,NA())</f>
        <v>25.641025641025642</v>
      </c>
      <c r="M23" s="99">
        <f>IF(ISNUMBER(F23),F23/Population!F23*10000,NA())</f>
        <v>37.648131267092069</v>
      </c>
      <c r="N23" s="99">
        <f>IF(ISNUMBER(G23),G23/Population!G23*10000,NA())</f>
        <v>38.873751135331517</v>
      </c>
      <c r="O23" s="100">
        <f>IF(ISNUMBER(H23),H23/Population!H23*10000,NA())</f>
        <v>36.314363143631439</v>
      </c>
      <c r="P23" s="101">
        <f t="shared" si="3"/>
        <v>36.314363143631439</v>
      </c>
      <c r="Q23" s="363" t="str">
        <f t="shared" si="4"/>
        <v>--</v>
      </c>
      <c r="R23" s="69"/>
      <c r="S23" s="333">
        <f>IDACI!C22</f>
        <v>13.600000000000001</v>
      </c>
      <c r="T23" s="334">
        <f t="shared" si="0"/>
        <v>38.236131594998291</v>
      </c>
      <c r="U23" s="335">
        <f t="shared" si="5"/>
        <v>-1.9217684513668516</v>
      </c>
      <c r="V23" s="124"/>
      <c r="W23" s="140"/>
      <c r="X23" s="149"/>
      <c r="Y23" s="71" t="str">
        <f t="shared" si="1"/>
        <v>Somerset</v>
      </c>
      <c r="Z23" s="45">
        <f>IF(ISNUMBER(H23),IDACI!D22,0)</f>
        <v>95875</v>
      </c>
      <c r="AA23" s="45">
        <f>IF(ISNUMBER(H23),IDACI!E22,0)</f>
        <v>13039.000000000002</v>
      </c>
      <c r="AB23" s="202">
        <f>IF(ISNUMBER(D23),Population!D23,"")</f>
        <v>108900</v>
      </c>
      <c r="AC23" s="202">
        <f>IF(ISNUMBER(E23),Population!E23,"")</f>
        <v>109200</v>
      </c>
      <c r="AD23" s="202">
        <f>IF(ISNUMBER(F23),Population!F23,"")</f>
        <v>109700</v>
      </c>
      <c r="AE23" s="202">
        <f>IF(ISNUMBER(G23),Population!G23,"")</f>
        <v>110100</v>
      </c>
      <c r="AF23" s="202">
        <f>IF(ISNUMBER(H23),Population!H23,"")</f>
        <v>110700</v>
      </c>
      <c r="AG23" s="95" t="s">
        <v>14</v>
      </c>
      <c r="AH23" s="225">
        <f t="shared" si="6"/>
        <v>60.039370078740156</v>
      </c>
      <c r="AI23" s="203">
        <f t="shared" si="7"/>
        <v>16</v>
      </c>
      <c r="AJ23" s="199"/>
      <c r="AK23" s="156"/>
      <c r="AL23" s="792">
        <f t="shared" si="8"/>
        <v>-0.46360153256704983</v>
      </c>
      <c r="AM23" s="792">
        <f t="shared" si="8"/>
        <v>0.47499999999999998</v>
      </c>
      <c r="AN23" s="792">
        <f t="shared" si="8"/>
        <v>3.6319612590799029E-2</v>
      </c>
      <c r="AO23" s="792">
        <f t="shared" si="8"/>
        <v>-6.0747663551401869E-2</v>
      </c>
      <c r="AP23" s="792">
        <f t="shared" si="9"/>
        <v>-3.2573958819131742E-3</v>
      </c>
      <c r="AQ23" s="76"/>
      <c r="AR23" s="76"/>
      <c r="AS23" s="76"/>
      <c r="AT23" s="76"/>
      <c r="AU23" s="76"/>
      <c r="AV23" s="76"/>
      <c r="AW23" s="76"/>
      <c r="AX23" s="76"/>
      <c r="AY23" s="76"/>
    </row>
    <row r="24" spans="1:51" s="89" customFormat="1" ht="13.5" customHeight="1" x14ac:dyDescent="0.2">
      <c r="A24" s="462">
        <f>VLOOKUP(B24,Sheet1!$AQ$4:$AR$25,2,FALSE)</f>
        <v>0</v>
      </c>
      <c r="B24" s="95" t="str">
        <f>Sheet1!$K$18</f>
        <v>Southampton</v>
      </c>
      <c r="C24" s="87"/>
      <c r="D24" s="96">
        <f>IF(Year1_Southampton Year1_CP_Plans="","",Year1_Southampton Year1_CP_Plans)</f>
        <v>324</v>
      </c>
      <c r="E24" s="96">
        <f>IF(Year2_Southampton Year2_CP_Plans="","",Year2_Southampton Year2_CP_Plans)</f>
        <v>333</v>
      </c>
      <c r="F24" s="96">
        <f>IF(Year3_Southampton Year3_CP_Plans="","",Year3_Southampton Year3_CP_Plans)</f>
        <v>276</v>
      </c>
      <c r="G24" s="96">
        <f>IF(Year4_Southampton Year4_CP_Plans="","",Year4_Southampton Year4_CP_Plans)</f>
        <v>324</v>
      </c>
      <c r="H24" s="97">
        <f>IF(Year5_Southampton Year5_CP_Plans="","",Year5_Southampton Year5_CP_Plans)</f>
        <v>305</v>
      </c>
      <c r="I24" s="337">
        <f t="shared" si="2"/>
        <v>-7.0305813059436291E-3</v>
      </c>
      <c r="J24" s="98"/>
      <c r="K24" s="99">
        <f>IF(ISNUMBER(D24),D24/Population!D24*10000,NA())</f>
        <v>66.666666666666671</v>
      </c>
      <c r="L24" s="99">
        <f>IF(ISNUMBER(E24),E24/Population!E24*10000,NA())</f>
        <v>67.682926829268297</v>
      </c>
      <c r="M24" s="99">
        <f>IF(ISNUMBER(F24),F24/Population!F24*10000,NA())</f>
        <v>55.31062124248497</v>
      </c>
      <c r="N24" s="99">
        <f>IF(ISNUMBER(G24),G24/Population!G24*10000,NA())</f>
        <v>64.413518886679924</v>
      </c>
      <c r="O24" s="100">
        <f>IF(ISNUMBER(H24),H24/Population!H24*10000,NA())</f>
        <v>60.039370078740156</v>
      </c>
      <c r="P24" s="101">
        <f t="shared" si="3"/>
        <v>60.039370078740156</v>
      </c>
      <c r="Q24" s="886">
        <f t="shared" si="4"/>
        <v>16</v>
      </c>
      <c r="R24" s="69"/>
      <c r="S24" s="333">
        <f>IDACI!C23</f>
        <v>20.5</v>
      </c>
      <c r="T24" s="334">
        <f t="shared" si="0"/>
        <v>51.399711921674061</v>
      </c>
      <c r="U24" s="335">
        <f t="shared" si="5"/>
        <v>8.6396581570660942</v>
      </c>
      <c r="V24" s="124"/>
      <c r="W24" s="140"/>
      <c r="X24" s="149"/>
      <c r="Y24" s="71" t="str">
        <f t="shared" si="1"/>
        <v>Southampton</v>
      </c>
      <c r="Z24" s="45">
        <f>IF(ISNUMBER(H24),IDACI!D23,0)</f>
        <v>44295</v>
      </c>
      <c r="AA24" s="45">
        <f>IF(ISNUMBER(H24),IDACI!E23,0)</f>
        <v>9080.4750000000004</v>
      </c>
      <c r="AB24" s="202">
        <f>IF(ISNUMBER(D24),Population!D24,"")</f>
        <v>48600</v>
      </c>
      <c r="AC24" s="202">
        <f>IF(ISNUMBER(E24),Population!E24,"")</f>
        <v>49200</v>
      </c>
      <c r="AD24" s="202">
        <f>IF(ISNUMBER(F24),Population!F24,"")</f>
        <v>49900</v>
      </c>
      <c r="AE24" s="202">
        <f>IF(ISNUMBER(G24),Population!G24,"")</f>
        <v>50300</v>
      </c>
      <c r="AF24" s="202">
        <f>IF(ISNUMBER(H24),Population!H24,"")</f>
        <v>50800</v>
      </c>
      <c r="AG24" s="95" t="s">
        <v>7</v>
      </c>
      <c r="AH24" s="225">
        <f t="shared" si="6"/>
        <v>36.617029400534555</v>
      </c>
      <c r="AI24" s="203">
        <f t="shared" si="7"/>
        <v>6</v>
      </c>
      <c r="AJ24" s="199"/>
      <c r="AK24" s="156"/>
      <c r="AL24" s="792">
        <f t="shared" si="8"/>
        <v>2.7777777777777776E-2</v>
      </c>
      <c r="AM24" s="792">
        <f t="shared" si="8"/>
        <v>-0.17117117117117117</v>
      </c>
      <c r="AN24" s="792">
        <f t="shared" si="8"/>
        <v>0.17391304347826086</v>
      </c>
      <c r="AO24" s="792">
        <f t="shared" si="8"/>
        <v>-5.8641975308641972E-2</v>
      </c>
      <c r="AP24" s="792">
        <f t="shared" si="9"/>
        <v>-7.0305813059436291E-3</v>
      </c>
      <c r="AQ24" s="76"/>
      <c r="AR24" s="76"/>
      <c r="AS24" s="76"/>
      <c r="AT24" s="76"/>
      <c r="AU24" s="76"/>
      <c r="AV24" s="76"/>
      <c r="AW24" s="76"/>
      <c r="AX24" s="76"/>
      <c r="AY24" s="76"/>
    </row>
    <row r="25" spans="1:51" s="89" customFormat="1" ht="13.5" customHeight="1" x14ac:dyDescent="0.2">
      <c r="A25" s="462">
        <f>VLOOKUP(B25,Sheet1!$AQ$4:$AR$25,2,FALSE)</f>
        <v>0</v>
      </c>
      <c r="B25" s="95" t="str">
        <f>Sheet1!$K$19</f>
        <v>Surrey</v>
      </c>
      <c r="C25" s="87"/>
      <c r="D25" s="96">
        <f>IF(Year1_Surrey Year1_CP_Plans="","",Year1_Surrey Year1_CP_Plans)</f>
        <v>995</v>
      </c>
      <c r="E25" s="96">
        <f>IF(Year2_Surrey Year2_CP_Plans="","",Year2_Surrey Year2_CP_Plans)</f>
        <v>881</v>
      </c>
      <c r="F25" s="96">
        <f>IF(Year3_Surrey Year3_CP_Plans="","",Year3_Surrey Year3_CP_Plans)</f>
        <v>843</v>
      </c>
      <c r="G25" s="96">
        <f>IF(Year4_Surrey Year4_CP_Plans="","",Year4_Surrey Year4_CP_Plans)</f>
        <v>996</v>
      </c>
      <c r="H25" s="97">
        <f>IF(Year5_Surrey Year5_CP_Plans="","",Year5_Surrey Year5_CP_Plans)</f>
        <v>959</v>
      </c>
      <c r="I25" s="337">
        <f t="shared" si="2"/>
        <v>-3.3399001024114975E-3</v>
      </c>
      <c r="J25" s="98"/>
      <c r="K25" s="99">
        <f>IF(ISNUMBER(D25),D25/Population!D25*10000,NA())</f>
        <v>39.080911233307155</v>
      </c>
      <c r="L25" s="99">
        <f>IF(ISNUMBER(E25),E25/Population!E25*10000,NA())</f>
        <v>34.360374414976597</v>
      </c>
      <c r="M25" s="99">
        <f>IF(ISNUMBER(F25),F25/Population!F25*10000,NA())</f>
        <v>32.548262548262549</v>
      </c>
      <c r="N25" s="99">
        <f>IF(ISNUMBER(G25),G25/Population!G25*10000,NA())</f>
        <v>38.26354206684595</v>
      </c>
      <c r="O25" s="100">
        <f>IF(ISNUMBER(H25),H25/Population!H25*10000,NA())</f>
        <v>36.617029400534555</v>
      </c>
      <c r="P25" s="101">
        <f t="shared" si="3"/>
        <v>36.617029400534555</v>
      </c>
      <c r="Q25" s="886">
        <f t="shared" si="4"/>
        <v>6</v>
      </c>
      <c r="R25" s="69"/>
      <c r="S25" s="333">
        <f>IDACI!C24</f>
        <v>8.3000000000000007</v>
      </c>
      <c r="T25" s="334">
        <f t="shared" si="0"/>
        <v>28.124975691899508</v>
      </c>
      <c r="U25" s="335">
        <f t="shared" si="5"/>
        <v>8.4920537086350478</v>
      </c>
      <c r="V25" s="124"/>
      <c r="W25" s="140"/>
      <c r="X25" s="149"/>
      <c r="Y25" s="71" t="str">
        <f t="shared" si="1"/>
        <v>Surrey</v>
      </c>
      <c r="Z25" s="45">
        <f>IF(ISNUMBER(H25),IDACI!D24,0)</f>
        <v>228466</v>
      </c>
      <c r="AA25" s="45">
        <f>IF(ISNUMBER(H25),IDACI!E24,0)</f>
        <v>18962.678</v>
      </c>
      <c r="AB25" s="202">
        <f>IF(ISNUMBER(D25),Population!D25,"")</f>
        <v>254600</v>
      </c>
      <c r="AC25" s="202">
        <f>IF(ISNUMBER(E25),Population!E25,"")</f>
        <v>256400</v>
      </c>
      <c r="AD25" s="202">
        <f>IF(ISNUMBER(F25),Population!F25,"")</f>
        <v>259000</v>
      </c>
      <c r="AE25" s="202">
        <f>IF(ISNUMBER(G25),Population!G25,"")</f>
        <v>260300</v>
      </c>
      <c r="AF25" s="202">
        <f>IF(ISNUMBER(H25),Population!H25,"")</f>
        <v>261900</v>
      </c>
      <c r="AG25" s="95" t="s">
        <v>15</v>
      </c>
      <c r="AH25" s="225">
        <f t="shared" si="6"/>
        <v>33.146067415730336</v>
      </c>
      <c r="AI25" s="203">
        <f t="shared" si="7"/>
        <v>4</v>
      </c>
      <c r="AJ25" s="199"/>
      <c r="AK25" s="156"/>
      <c r="AL25" s="792">
        <f t="shared" si="8"/>
        <v>-0.11457286432160804</v>
      </c>
      <c r="AM25" s="792">
        <f t="shared" si="8"/>
        <v>-4.3132803632236094E-2</v>
      </c>
      <c r="AN25" s="792">
        <f t="shared" si="8"/>
        <v>0.18149466192170818</v>
      </c>
      <c r="AO25" s="792">
        <f t="shared" si="8"/>
        <v>-3.7148594377510037E-2</v>
      </c>
      <c r="AP25" s="792">
        <f t="shared" si="9"/>
        <v>-3.3399001024114975E-3</v>
      </c>
      <c r="AQ25" s="76"/>
      <c r="AR25" s="76"/>
      <c r="AS25" s="76"/>
      <c r="AT25" s="76"/>
      <c r="AU25" s="76"/>
      <c r="AV25" s="76"/>
      <c r="AW25" s="76"/>
      <c r="AX25" s="76"/>
      <c r="AY25" s="76"/>
    </row>
    <row r="26" spans="1:51" s="89" customFormat="1" ht="13.5" customHeight="1" x14ac:dyDescent="0.2">
      <c r="A26" s="462">
        <f>VLOOKUP(B26,Sheet1!$AQ$4:$AR$25,2,FALSE)</f>
        <v>0</v>
      </c>
      <c r="B26" s="95" t="str">
        <f>Sheet1!$K$20</f>
        <v>Swindon</v>
      </c>
      <c r="C26" s="87"/>
      <c r="D26" s="96">
        <f>IF(Year1_Swindon Year1_CP_Plans="","",Year1_Swindon Year1_CP_Plans)</f>
        <v>213</v>
      </c>
      <c r="E26" s="96">
        <f>IF(Year2_Swindon Year2_CP_Plans="","",Year2_Swindon Year2_CP_Plans)</f>
        <v>238</v>
      </c>
      <c r="F26" s="96">
        <f>IF(Year3_Swindon Year3_CP_Plans="","",Year3_Swindon Year3_CP_Plans)</f>
        <v>244</v>
      </c>
      <c r="G26" s="96">
        <f>IF(Year4_Swindon Year4_CP_Plans="","",Year4_Swindon Year4_CP_Plans)</f>
        <v>362</v>
      </c>
      <c r="H26" s="97">
        <f>IF(Year5_Swindon Year5_CP_Plans="","",Year5_Swindon Year5_CP_Plans)</f>
        <v>333</v>
      </c>
      <c r="I26" s="337">
        <f t="shared" si="2"/>
        <v>0.13651925904796824</v>
      </c>
      <c r="J26" s="98"/>
      <c r="K26" s="99">
        <f>IF(ISNUMBER(D26),D26/Population!D26*10000,NA())</f>
        <v>43.827160493827158</v>
      </c>
      <c r="L26" s="99">
        <f>IF(ISNUMBER(E26),E26/Population!E26*10000,NA())</f>
        <v>48.571428571428569</v>
      </c>
      <c r="M26" s="99">
        <f>IF(ISNUMBER(F26),F26/Population!F26*10000,NA())</f>
        <v>49.292929292929294</v>
      </c>
      <c r="N26" s="99">
        <f>IF(ISNUMBER(G26),G26/Population!G26*10000,NA())</f>
        <v>72.545090180360717</v>
      </c>
      <c r="O26" s="100">
        <f>IF(ISNUMBER(H26),H26/Population!H26*10000,NA())</f>
        <v>66.334661354581669</v>
      </c>
      <c r="P26" s="101">
        <f t="shared" si="3"/>
        <v>66.334661354581669</v>
      </c>
      <c r="Q26" s="363" t="str">
        <f t="shared" si="4"/>
        <v>--</v>
      </c>
      <c r="R26" s="69"/>
      <c r="S26" s="333">
        <f>IDACI!C25</f>
        <v>14.899999999999999</v>
      </c>
      <c r="T26" s="334">
        <f t="shared" si="0"/>
        <v>40.716226439154596</v>
      </c>
      <c r="U26" s="335">
        <f t="shared" si="5"/>
        <v>25.618434915427073</v>
      </c>
      <c r="V26" s="124"/>
      <c r="W26" s="140"/>
      <c r="X26" s="149"/>
      <c r="Y26" s="71" t="str">
        <f t="shared" si="1"/>
        <v>Swindon</v>
      </c>
      <c r="Z26" s="45">
        <f>IF(ISNUMBER(H26),IDACI!D25,0)</f>
        <v>43899</v>
      </c>
      <c r="AA26" s="45">
        <f>IF(ISNUMBER(H26),IDACI!E25,0)</f>
        <v>6540.951</v>
      </c>
      <c r="AB26" s="202">
        <f>IF(ISNUMBER(D26),Population!D26,"")</f>
        <v>48600</v>
      </c>
      <c r="AC26" s="202">
        <f>IF(ISNUMBER(E26),Population!E26,"")</f>
        <v>49000</v>
      </c>
      <c r="AD26" s="202">
        <f>IF(ISNUMBER(F26),Population!F26,"")</f>
        <v>49500</v>
      </c>
      <c r="AE26" s="202">
        <f>IF(ISNUMBER(G26),Population!G26,"")</f>
        <v>49900</v>
      </c>
      <c r="AF26" s="202">
        <f>IF(ISNUMBER(H26),Population!H26,"")</f>
        <v>50200</v>
      </c>
      <c r="AG26" s="95" t="s">
        <v>5</v>
      </c>
      <c r="AH26" s="225">
        <f t="shared" si="6"/>
        <v>35.546651402404123</v>
      </c>
      <c r="AI26" s="203">
        <f t="shared" si="7"/>
        <v>5</v>
      </c>
      <c r="AJ26" s="199"/>
      <c r="AK26" s="156"/>
      <c r="AL26" s="792">
        <f t="shared" si="8"/>
        <v>0.11737089201877934</v>
      </c>
      <c r="AM26" s="792">
        <f t="shared" si="8"/>
        <v>2.5210084033613446E-2</v>
      </c>
      <c r="AN26" s="792">
        <f t="shared" si="8"/>
        <v>0.48360655737704916</v>
      </c>
      <c r="AO26" s="792">
        <f t="shared" si="8"/>
        <v>-8.0110497237569064E-2</v>
      </c>
      <c r="AP26" s="792">
        <f t="shared" si="9"/>
        <v>0.13651925904796824</v>
      </c>
      <c r="AQ26" s="76"/>
      <c r="AR26" s="76"/>
      <c r="AS26" s="76"/>
      <c r="AT26" s="76"/>
      <c r="AU26" s="76"/>
      <c r="AV26" s="76"/>
      <c r="AW26" s="76"/>
      <c r="AX26" s="76"/>
      <c r="AY26" s="76"/>
    </row>
    <row r="27" spans="1:51" s="89" customFormat="1" ht="13.5" customHeight="1" x14ac:dyDescent="0.2">
      <c r="A27" s="462">
        <f>VLOOKUP(B27,Sheet1!$AQ$4:$AR$25,2,FALSE)</f>
        <v>0</v>
      </c>
      <c r="B27" s="95" t="str">
        <f>Sheet1!$K$21</f>
        <v>Torbay</v>
      </c>
      <c r="C27" s="87"/>
      <c r="D27" s="96">
        <f>IF(Year1_Torbay Year1_CP_Plans="","",Year1_Torbay Year1_CP_Plans)</f>
        <v>151</v>
      </c>
      <c r="E27" s="96">
        <f>IF(Year2_Torbay Year2_CP_Plans="","",Year2_Torbay Year2_CP_Plans)</f>
        <v>130</v>
      </c>
      <c r="F27" s="96">
        <f>IF(Year3_Torbay Year3_CP_Plans="","",Year3_Torbay Year3_CP_Plans)</f>
        <v>212</v>
      </c>
      <c r="G27" s="96">
        <f>IF(Year4_Torbay Year4_CP_Plans="","",Year4_Torbay Year4_CP_Plans)</f>
        <v>141</v>
      </c>
      <c r="H27" s="97">
        <f>IF(Year5_Torbay Year5_CP_Plans="","",Year5_Torbay Year5_CP_Plans)</f>
        <v>179</v>
      </c>
      <c r="I27" s="337">
        <f t="shared" si="2"/>
        <v>0.10657356720226097</v>
      </c>
      <c r="J27" s="98"/>
      <c r="K27" s="99">
        <f>IF(ISNUMBER(D27),D27/Population!D27*10000,NA())</f>
        <v>60.159362549800797</v>
      </c>
      <c r="L27" s="99">
        <f>IF(ISNUMBER(E27),E27/Population!E27*10000,NA())</f>
        <v>51.587301587301589</v>
      </c>
      <c r="M27" s="99">
        <f>IF(ISNUMBER(F27),F27/Population!F27*10000,NA())</f>
        <v>83.464566929133852</v>
      </c>
      <c r="N27" s="99">
        <f>IF(ISNUMBER(G27),G27/Population!G27*10000,NA())</f>
        <v>55.511811023622045</v>
      </c>
      <c r="O27" s="100">
        <f>IF(ISNUMBER(H27),H27/Population!H27*10000,NA())</f>
        <v>70.472440944881896</v>
      </c>
      <c r="P27" s="101">
        <f t="shared" si="3"/>
        <v>70.472440944881896</v>
      </c>
      <c r="Q27" s="363" t="str">
        <f t="shared" si="4"/>
        <v>--</v>
      </c>
      <c r="R27" s="69"/>
      <c r="S27" s="333">
        <f>IDACI!C26</f>
        <v>21.9</v>
      </c>
      <c r="T27" s="334">
        <f t="shared" si="0"/>
        <v>54.07058329230393</v>
      </c>
      <c r="U27" s="335">
        <f t="shared" si="5"/>
        <v>16.401857652577966</v>
      </c>
      <c r="V27" s="124"/>
      <c r="W27" s="140"/>
      <c r="X27" s="149"/>
      <c r="Y27" s="71" t="str">
        <f t="shared" si="1"/>
        <v>Torbay</v>
      </c>
      <c r="Z27" s="45">
        <f>IF(ISNUMBER(H27),IDACI!D26,0)</f>
        <v>22257</v>
      </c>
      <c r="AA27" s="45">
        <f>IF(ISNUMBER(H27),IDACI!E26,0)</f>
        <v>4874.2829999999994</v>
      </c>
      <c r="AB27" s="202">
        <f>IF(ISNUMBER(D27),Population!D27,"")</f>
        <v>25100</v>
      </c>
      <c r="AC27" s="202">
        <f>IF(ISNUMBER(E27),Population!E27,"")</f>
        <v>25200</v>
      </c>
      <c r="AD27" s="202">
        <f>IF(ISNUMBER(F27),Population!F27,"")</f>
        <v>25400</v>
      </c>
      <c r="AE27" s="202">
        <f>IF(ISNUMBER(G27),Population!G27,"")</f>
        <v>25400</v>
      </c>
      <c r="AF27" s="202">
        <f>IF(ISNUMBER(H27),Population!H27,"")</f>
        <v>25400</v>
      </c>
      <c r="AG27" s="95" t="s">
        <v>30</v>
      </c>
      <c r="AH27" s="225">
        <f t="shared" si="6"/>
        <v>26.01156069364162</v>
      </c>
      <c r="AI27" s="203">
        <f t="shared" si="7"/>
        <v>2</v>
      </c>
      <c r="AJ27" s="199"/>
      <c r="AK27" s="156"/>
      <c r="AL27" s="792">
        <f t="shared" si="8"/>
        <v>-0.13907284768211919</v>
      </c>
      <c r="AM27" s="792">
        <f t="shared" si="8"/>
        <v>0.63076923076923075</v>
      </c>
      <c r="AN27" s="792">
        <f t="shared" si="8"/>
        <v>-0.33490566037735847</v>
      </c>
      <c r="AO27" s="792">
        <f t="shared" si="8"/>
        <v>0.26950354609929078</v>
      </c>
      <c r="AP27" s="792">
        <f t="shared" si="9"/>
        <v>0.10657356720226097</v>
      </c>
      <c r="AQ27" s="76"/>
      <c r="AR27" s="76"/>
      <c r="AS27" s="76"/>
      <c r="AT27" s="76"/>
      <c r="AU27" s="76"/>
      <c r="AV27" s="76"/>
      <c r="AW27" s="76"/>
      <c r="AX27" s="76"/>
      <c r="AY27" s="76"/>
    </row>
    <row r="28" spans="1:51" s="89" customFormat="1" ht="13.5" customHeight="1" x14ac:dyDescent="0.2">
      <c r="A28" s="462">
        <f>VLOOKUP(B28,Sheet1!$AQ$4:$AR$25,2,FALSE)</f>
        <v>0</v>
      </c>
      <c r="B28" s="95" t="str">
        <f>Sheet1!$K$22</f>
        <v>West Berkshire</v>
      </c>
      <c r="C28" s="87"/>
      <c r="D28" s="96">
        <f>IF(Year1_West_Berkshire Year1_CP_Plans="","",Year1_West_Berkshire Year1_CP_Plans)</f>
        <v>126</v>
      </c>
      <c r="E28" s="102">
        <f>IF(Year2_West_Berkshire Year2_CP_Plans="","",Year2_West_Berkshire Year2_CP_Plans)</f>
        <v>145</v>
      </c>
      <c r="F28" s="96">
        <f>IF(Year3_West_Berkshire Year3_CP_Plans="","",Year3_West_Berkshire Year3_CP_Plans)</f>
        <v>155</v>
      </c>
      <c r="G28" s="96">
        <f>IF(Year4_West_Berkshire Year4_CP_Plans="","",Year4_West_Berkshire Year4_CP_Plans)</f>
        <v>168</v>
      </c>
      <c r="H28" s="97">
        <f>IF(Year5_West_Berkshire Year5_CP_Plans="","",Year5_West_Berkshire Year5_CP_Plans)</f>
        <v>118</v>
      </c>
      <c r="I28" s="337">
        <f t="shared" si="2"/>
        <v>1.5027720394794886E-3</v>
      </c>
      <c r="J28" s="98"/>
      <c r="K28" s="99">
        <f>IF(ISNUMBER(D28),D28/Population!D28*10000,NA())</f>
        <v>35.393258426966291</v>
      </c>
      <c r="L28" s="99">
        <f>IF(ISNUMBER(E28),E28/Population!E28*10000,NA())</f>
        <v>40.616246498599445</v>
      </c>
      <c r="M28" s="99">
        <f>IF(ISNUMBER(F28),F28/Population!F28*10000,NA())</f>
        <v>43.175487465181064</v>
      </c>
      <c r="N28" s="99">
        <f>IF(ISNUMBER(G28),G28/Population!G28*10000,NA())</f>
        <v>46.927374301675975</v>
      </c>
      <c r="O28" s="100">
        <f>IF(ISNUMBER(H28),H28/Population!H28*10000,NA())</f>
        <v>33.146067415730336</v>
      </c>
      <c r="P28" s="101">
        <f t="shared" si="3"/>
        <v>33.146067415730336</v>
      </c>
      <c r="Q28" s="886">
        <f t="shared" si="4"/>
        <v>4</v>
      </c>
      <c r="R28" s="69"/>
      <c r="S28" s="333">
        <f>IDACI!C27</f>
        <v>8.6999999999999993</v>
      </c>
      <c r="T28" s="334">
        <f t="shared" si="0"/>
        <v>28.888081797793753</v>
      </c>
      <c r="U28" s="335">
        <f t="shared" si="5"/>
        <v>4.2579856179365834</v>
      </c>
      <c r="V28" s="124"/>
      <c r="W28" s="140"/>
      <c r="X28" s="149"/>
      <c r="Y28" s="71" t="str">
        <f t="shared" si="1"/>
        <v>West Berkshire</v>
      </c>
      <c r="Z28" s="45">
        <f>IF(ISNUMBER(H28),IDACI!D27,0)</f>
        <v>31625</v>
      </c>
      <c r="AA28" s="45">
        <f>IF(ISNUMBER(H28),IDACI!E27,0)</f>
        <v>2751.375</v>
      </c>
      <c r="AB28" s="202">
        <f>IF(ISNUMBER(D28),Population!D28,"")</f>
        <v>35600</v>
      </c>
      <c r="AC28" s="202">
        <f>IF(ISNUMBER(E28),Population!E28,"")</f>
        <v>35700</v>
      </c>
      <c r="AD28" s="202">
        <f>IF(ISNUMBER(F28),Population!F28,"")</f>
        <v>35900</v>
      </c>
      <c r="AE28" s="202">
        <f>IF(ISNUMBER(G28),Population!G28,"")</f>
        <v>35800</v>
      </c>
      <c r="AF28" s="202">
        <f>IF(ISNUMBER(H28),Population!H28,"")</f>
        <v>35600</v>
      </c>
      <c r="AG28" s="95" t="s">
        <v>16</v>
      </c>
      <c r="AH28" s="225">
        <f t="shared" si="6"/>
        <v>32.151898734177216</v>
      </c>
      <c r="AI28" s="203">
        <f t="shared" si="7"/>
        <v>3</v>
      </c>
      <c r="AJ28" s="199"/>
      <c r="AK28" s="156"/>
      <c r="AL28" s="792">
        <f t="shared" si="8"/>
        <v>0.15079365079365079</v>
      </c>
      <c r="AM28" s="792">
        <f t="shared" si="8"/>
        <v>6.8965517241379309E-2</v>
      </c>
      <c r="AN28" s="792">
        <f t="shared" si="8"/>
        <v>8.387096774193549E-2</v>
      </c>
      <c r="AO28" s="792">
        <f t="shared" si="8"/>
        <v>-0.29761904761904762</v>
      </c>
      <c r="AP28" s="792">
        <f t="shared" si="9"/>
        <v>1.5027720394794886E-3</v>
      </c>
      <c r="AQ28" s="76"/>
      <c r="AR28" s="76"/>
      <c r="AS28" s="76"/>
      <c r="AT28" s="76"/>
      <c r="AU28" s="76"/>
      <c r="AV28" s="76"/>
      <c r="AW28" s="76"/>
      <c r="AX28" s="76"/>
      <c r="AY28" s="76"/>
    </row>
    <row r="29" spans="1:51" s="89" customFormat="1" ht="13.5" customHeight="1" x14ac:dyDescent="0.2">
      <c r="A29" s="462">
        <f>VLOOKUP(B29,Sheet1!$AQ$4:$AR$25,2,FALSE)</f>
        <v>0</v>
      </c>
      <c r="B29" s="95" t="str">
        <f>Sheet1!$K$23</f>
        <v>West Sussex</v>
      </c>
      <c r="C29" s="87"/>
      <c r="D29" s="96">
        <f>IF(Year1_West_Sussex Year1_CP_Plans="","",Year1_West_Sussex Year1_CP_Plans)</f>
        <v>502</v>
      </c>
      <c r="E29" s="102">
        <f>IF(Year2_West_Sussex Year2_CP_Plans="","",Year2_West_Sussex Year2_CP_Plans)</f>
        <v>417</v>
      </c>
      <c r="F29" s="96">
        <f>IF(Year3_West_Sussex Year3_CP_Plans="","",Year3_West_Sussex Year3_CP_Plans)</f>
        <v>549</v>
      </c>
      <c r="G29" s="96">
        <f>IF(Year4_West_Sussex Year4_CP_Plans="","",Year4_West_Sussex Year4_CP_Plans)</f>
        <v>775</v>
      </c>
      <c r="H29" s="97">
        <f>IF(Year5_West_Sussex Year5_CP_Plans="","",Year5_West_Sussex Year5_CP_Plans)</f>
        <v>621</v>
      </c>
      <c r="I29" s="337">
        <f t="shared" si="2"/>
        <v>9.004298380144235E-2</v>
      </c>
      <c r="J29" s="98"/>
      <c r="K29" s="99">
        <f>IF(ISNUMBER(D29),D29/Population!D29*10000,NA())</f>
        <v>29.739336492890995</v>
      </c>
      <c r="L29" s="99">
        <f>IF(ISNUMBER(E29),E29/Population!E29*10000,NA())</f>
        <v>24.471830985915492</v>
      </c>
      <c r="M29" s="99">
        <f>IF(ISNUMBER(F29),F29/Population!F29*10000,NA())</f>
        <v>31.955762514551804</v>
      </c>
      <c r="N29" s="99">
        <f>IF(ISNUMBER(G29),G29/Population!G29*10000,NA())</f>
        <v>44.720138488170804</v>
      </c>
      <c r="O29" s="100">
        <f>IF(ISNUMBER(H29),H29/Population!H29*10000,NA())</f>
        <v>35.546651402404123</v>
      </c>
      <c r="P29" s="101">
        <f t="shared" si="3"/>
        <v>35.546651402404123</v>
      </c>
      <c r="Q29" s="886">
        <f t="shared" si="4"/>
        <v>5</v>
      </c>
      <c r="R29" s="69"/>
      <c r="S29" s="333">
        <f>IDACI!C28</f>
        <v>11</v>
      </c>
      <c r="T29" s="334">
        <f t="shared" si="0"/>
        <v>33.275941906685674</v>
      </c>
      <c r="U29" s="335">
        <f t="shared" si="5"/>
        <v>2.2707094957184495</v>
      </c>
      <c r="V29" s="124"/>
      <c r="W29" s="140"/>
      <c r="X29" s="149"/>
      <c r="Y29" s="71" t="str">
        <f t="shared" si="1"/>
        <v>West Sussex</v>
      </c>
      <c r="Z29" s="45">
        <f>IF(ISNUMBER(H29),IDACI!D28,0)</f>
        <v>151487</v>
      </c>
      <c r="AA29" s="45">
        <f>IF(ISNUMBER(H29),IDACI!E28,0)</f>
        <v>16663.57</v>
      </c>
      <c r="AB29" s="202">
        <f>IF(ISNUMBER(D29),Population!D29,"")</f>
        <v>168800</v>
      </c>
      <c r="AC29" s="202">
        <f>IF(ISNUMBER(E29),Population!E29,"")</f>
        <v>170400</v>
      </c>
      <c r="AD29" s="202">
        <f>IF(ISNUMBER(F29),Population!F29,"")</f>
        <v>171800</v>
      </c>
      <c r="AE29" s="202">
        <f>IF(ISNUMBER(G29),Population!G29,"")</f>
        <v>173300</v>
      </c>
      <c r="AF29" s="202">
        <f>IF(ISNUMBER(H29),Population!H29,"")</f>
        <v>174700</v>
      </c>
      <c r="AG29" s="199"/>
      <c r="AH29" s="199"/>
      <c r="AI29" s="185"/>
      <c r="AJ29" s="199"/>
      <c r="AK29" s="156"/>
      <c r="AL29" s="792">
        <f t="shared" si="8"/>
        <v>-0.1693227091633466</v>
      </c>
      <c r="AM29" s="792">
        <f t="shared" si="8"/>
        <v>0.31654676258992803</v>
      </c>
      <c r="AN29" s="792">
        <f t="shared" si="8"/>
        <v>0.4116575591985428</v>
      </c>
      <c r="AO29" s="792">
        <f t="shared" si="8"/>
        <v>-0.19870967741935483</v>
      </c>
      <c r="AP29" s="792">
        <f t="shared" si="9"/>
        <v>9.004298380144235E-2</v>
      </c>
      <c r="AQ29" s="76"/>
      <c r="AR29" s="76"/>
      <c r="AS29" s="76"/>
      <c r="AT29" s="76"/>
      <c r="AU29" s="76"/>
      <c r="AV29" s="76"/>
      <c r="AW29" s="76"/>
      <c r="AX29" s="76"/>
      <c r="AY29" s="76"/>
    </row>
    <row r="30" spans="1:51" s="89" customFormat="1" ht="13.5" customHeight="1" x14ac:dyDescent="0.2">
      <c r="A30" s="462">
        <f>VLOOKUP(B30,Sheet1!$AQ$4:$AR$25,2,FALSE)</f>
        <v>0</v>
      </c>
      <c r="B30" s="95" t="str">
        <f>Sheet1!$K$24</f>
        <v>Windsor &amp; Maidenhead</v>
      </c>
      <c r="C30" s="87"/>
      <c r="D30" s="102">
        <f>IF(Year1_Windsor_Maidenhead Year1_CP_Plans="","",Year1_Windsor_Maidenhead Year1_CP_Plans)</f>
        <v>64</v>
      </c>
      <c r="E30" s="96">
        <f>IF(Year2_Windsor_Maidenhead Year2_CP_Plans="","",Year2_Windsor_Maidenhead Year2_CP_Plans)</f>
        <v>145</v>
      </c>
      <c r="F30" s="96">
        <f>IF(Year3_Windsor_Maidenhead Year3_CP_Plans="","",Year3_Windsor_Maidenhead Year3_CP_Plans)</f>
        <v>141</v>
      </c>
      <c r="G30" s="96">
        <f>IF(Year4_Windsor_Maidenhead Year4_CP_Plans="","",Year4_Windsor_Maidenhead Year4_CP_Plans)</f>
        <v>74</v>
      </c>
      <c r="H30" s="97">
        <f>IF(Year5_Windsor_Maidenhead Year5_CP_Plans="","",Year5_Windsor_Maidenhead Year5_CP_Plans)</f>
        <v>90</v>
      </c>
      <c r="I30" s="337">
        <f t="shared" si="2"/>
        <v>0.24476942608878136</v>
      </c>
      <c r="J30" s="98"/>
      <c r="K30" s="99">
        <f>IF(ISNUMBER(D30),D30/Population!D30*10000,NA())</f>
        <v>19.161676646706585</v>
      </c>
      <c r="L30" s="99">
        <f>IF(ISNUMBER(E30),E30/Population!E30*10000,NA())</f>
        <v>43.026706231454007</v>
      </c>
      <c r="M30" s="99">
        <f>IF(ISNUMBER(F30),F30/Population!F30*10000,NA())</f>
        <v>41.228070175438596</v>
      </c>
      <c r="N30" s="99">
        <f>IF(ISNUMBER(G30),G30/Population!G30*10000,NA())</f>
        <v>21.511627906976742</v>
      </c>
      <c r="O30" s="100">
        <f>IF(ISNUMBER(H30),H30/Population!H30*10000,NA())</f>
        <v>26.01156069364162</v>
      </c>
      <c r="P30" s="101">
        <f t="shared" si="3"/>
        <v>26.01156069364162</v>
      </c>
      <c r="Q30" s="886">
        <f t="shared" si="4"/>
        <v>2</v>
      </c>
      <c r="R30" s="69"/>
      <c r="S30" s="333">
        <f>IDACI!C29</f>
        <v>6.7</v>
      </c>
      <c r="T30" s="334">
        <f t="shared" si="0"/>
        <v>25.072551268322513</v>
      </c>
      <c r="U30" s="335">
        <f t="shared" si="5"/>
        <v>0.93900942531910658</v>
      </c>
      <c r="V30" s="124"/>
      <c r="W30" s="140"/>
      <c r="X30" s="149"/>
      <c r="Y30" s="71" t="str">
        <f t="shared" si="1"/>
        <v>Windsor &amp; Maidenhead</v>
      </c>
      <c r="Z30" s="45">
        <f>IF(ISNUMBER(H30),IDACI!D29,0)</f>
        <v>29792</v>
      </c>
      <c r="AA30" s="45">
        <f>IF(ISNUMBER(H30),IDACI!E29,0)</f>
        <v>1996.0640000000001</v>
      </c>
      <c r="AB30" s="202">
        <f>IF(ISNUMBER(D30),Population!D30,"")</f>
        <v>33400</v>
      </c>
      <c r="AC30" s="202">
        <f>IF(ISNUMBER(E30),Population!E30,"")</f>
        <v>33700</v>
      </c>
      <c r="AD30" s="202">
        <f>IF(ISNUMBER(F30),Population!F30,"")</f>
        <v>34200</v>
      </c>
      <c r="AE30" s="202">
        <f>IF(ISNUMBER(G30),Population!G30,"")</f>
        <v>34400</v>
      </c>
      <c r="AF30" s="202">
        <f>IF(ISNUMBER(H30),Population!H30,"")</f>
        <v>34600</v>
      </c>
      <c r="AG30" s="199"/>
      <c r="AH30" s="199"/>
      <c r="AI30" s="185"/>
      <c r="AJ30" s="199"/>
      <c r="AK30" s="156"/>
      <c r="AL30" s="792">
        <f t="shared" si="8"/>
        <v>1.265625</v>
      </c>
      <c r="AM30" s="792">
        <f t="shared" si="8"/>
        <v>-2.7586206896551724E-2</v>
      </c>
      <c r="AN30" s="792">
        <f t="shared" si="8"/>
        <v>-0.47517730496453903</v>
      </c>
      <c r="AO30" s="792">
        <f t="shared" si="8"/>
        <v>0.21621621621621623</v>
      </c>
      <c r="AP30" s="792">
        <f t="shared" si="9"/>
        <v>0.24476942608878136</v>
      </c>
      <c r="AQ30" s="76"/>
      <c r="AR30" s="76"/>
      <c r="AS30" s="76"/>
      <c r="AT30" s="76"/>
      <c r="AU30" s="76"/>
      <c r="AV30" s="76"/>
      <c r="AW30" s="76"/>
      <c r="AX30" s="76"/>
      <c r="AY30" s="76"/>
    </row>
    <row r="31" spans="1:51" s="89" customFormat="1" ht="13.5" customHeight="1" x14ac:dyDescent="0.2">
      <c r="A31" s="462">
        <f>VLOOKUP(B31,Sheet1!$AQ$4:$AR$25,2,FALSE)</f>
        <v>0</v>
      </c>
      <c r="B31" s="95" t="str">
        <f>Sheet1!$K$25</f>
        <v>Wokingham</v>
      </c>
      <c r="C31" s="87"/>
      <c r="D31" s="102">
        <f>IF(Year1_Wokingham Year1_CP_Plans="","",Year1_Wokingham Year1_CP_Plans)</f>
        <v>48</v>
      </c>
      <c r="E31" s="96">
        <f>IF(Year2_Wokingham Year2_CP_Plans="","",Year2_Wokingham Year2_CP_Plans)</f>
        <v>65</v>
      </c>
      <c r="F31" s="96">
        <f>IF(Year3_Wokingham Year3_CP_Plans="","",Year3_Wokingham Year3_CP_Plans)</f>
        <v>46</v>
      </c>
      <c r="G31" s="96">
        <f>IF(Year4_Wokingham Year4_CP_Plans="","",Year4_Wokingham Year4_CP_Plans)</f>
        <v>126</v>
      </c>
      <c r="H31" s="97">
        <f>IF(Year5_Wokingham Year5_CP_Plans="","",Year5_Wokingham Year5_CP_Plans)</f>
        <v>127</v>
      </c>
      <c r="I31" s="337">
        <f t="shared" si="2"/>
        <v>0.45223147926952273</v>
      </c>
      <c r="J31" s="98"/>
      <c r="K31" s="99">
        <f>IF(ISNUMBER(D31),D31/Population!D31*10000,NA())</f>
        <v>13.008130081300813</v>
      </c>
      <c r="L31" s="99">
        <f>IF(ISNUMBER(E31),E31/Population!E31*10000,NA())</f>
        <v>17.426273458445039</v>
      </c>
      <c r="M31" s="99">
        <f>IF(ISNUMBER(F31),F31/Population!F31*10000,NA())</f>
        <v>12.105263157894738</v>
      </c>
      <c r="N31" s="99">
        <f>IF(ISNUMBER(G31),G31/Population!G31*10000,NA())</f>
        <v>32.558139534883722</v>
      </c>
      <c r="O31" s="100">
        <f>IF(ISNUMBER(H31),H31/Population!H31*10000,NA())</f>
        <v>32.151898734177216</v>
      </c>
      <c r="P31" s="101">
        <f t="shared" si="3"/>
        <v>32.151898734177216</v>
      </c>
      <c r="Q31" s="886">
        <f t="shared" si="4"/>
        <v>3</v>
      </c>
      <c r="R31" s="69"/>
      <c r="S31" s="333">
        <f>IDACI!C30</f>
        <v>5.6000000000000005</v>
      </c>
      <c r="T31" s="334">
        <f t="shared" si="0"/>
        <v>22.974009477113334</v>
      </c>
      <c r="U31" s="335">
        <f t="shared" si="5"/>
        <v>9.1778892570638817</v>
      </c>
      <c r="V31" s="124"/>
      <c r="W31" s="140"/>
      <c r="X31" s="149"/>
      <c r="Y31" s="71" t="str">
        <f t="shared" si="1"/>
        <v>Wokingham</v>
      </c>
      <c r="Z31" s="45">
        <f>IF(ISNUMBER(H31),IDACI!D30,0)</f>
        <v>33327</v>
      </c>
      <c r="AA31" s="45">
        <f>IF(ISNUMBER(H31),IDACI!E30,0)</f>
        <v>1866.3120000000004</v>
      </c>
      <c r="AB31" s="202">
        <f>IF(ISNUMBER(D31),Population!D31,"")</f>
        <v>36900</v>
      </c>
      <c r="AC31" s="202">
        <f>IF(ISNUMBER(E31),Population!E31,"")</f>
        <v>37300</v>
      </c>
      <c r="AD31" s="202">
        <f>IF(ISNUMBER(F31),Population!F31,"")</f>
        <v>38000</v>
      </c>
      <c r="AE31" s="202">
        <f>IF(ISNUMBER(G31),Population!G31,"")</f>
        <v>38700</v>
      </c>
      <c r="AF31" s="202">
        <f>IF(ISNUMBER(H31),Population!H31,"")</f>
        <v>39500</v>
      </c>
      <c r="AG31" s="199"/>
      <c r="AH31" s="199"/>
      <c r="AI31" s="185"/>
      <c r="AJ31" s="199"/>
      <c r="AK31" s="156"/>
      <c r="AL31" s="792">
        <f t="shared" si="8"/>
        <v>0.35416666666666669</v>
      </c>
      <c r="AM31" s="792">
        <f t="shared" si="8"/>
        <v>-0.29230769230769232</v>
      </c>
      <c r="AN31" s="792">
        <f t="shared" si="8"/>
        <v>1.7391304347826086</v>
      </c>
      <c r="AO31" s="792">
        <f t="shared" si="8"/>
        <v>7.9365079365079361E-3</v>
      </c>
      <c r="AP31" s="792">
        <f t="shared" si="9"/>
        <v>0.45223147926952273</v>
      </c>
      <c r="AQ31" s="76"/>
      <c r="AR31" s="76"/>
      <c r="AS31" s="76"/>
      <c r="AT31" s="76"/>
      <c r="AU31" s="76"/>
      <c r="AV31" s="76"/>
      <c r="AW31" s="76"/>
      <c r="AX31" s="76"/>
      <c r="AY31" s="76"/>
    </row>
    <row r="32" spans="1:51" s="89" customFormat="1" ht="13.5" customHeight="1" x14ac:dyDescent="0.2">
      <c r="A32" s="123"/>
      <c r="B32" s="131" t="str">
        <f>Sheet1!$K$26</f>
        <v>South East</v>
      </c>
      <c r="C32" s="87"/>
      <c r="D32" s="132">
        <f>IF(Year1_SouthEast Year1_CP_Plans="","",Year1_SouthEast Year1_CP_Plans)</f>
        <v>7800</v>
      </c>
      <c r="E32" s="132">
        <f>IF(Year2_SouthEast Year2_CP_Plans="","",Year2_SouthEast Year2_CP_Plans)</f>
        <v>8070</v>
      </c>
      <c r="F32" s="132">
        <f>IF(Year3_SouthEast Year3_CP_Plans="","",Year3_SouthEast Year3_CP_Plans)</f>
        <v>7980</v>
      </c>
      <c r="G32" s="132">
        <f>IF(Year4_SouthEast Year4_CP_Plans="","",Year4_SouthEast Year4_CP_Plans)</f>
        <v>8980</v>
      </c>
      <c r="H32" s="133">
        <f>IF(Year5_SouthEast Year5_CP_Plans="","",Year5_SouthEast Year5_CP_Plans)</f>
        <v>8110</v>
      </c>
      <c r="I32" s="350">
        <f t="shared" si="2"/>
        <v>6.0876917571003192E-3</v>
      </c>
      <c r="J32" s="98"/>
      <c r="K32" s="134">
        <f>IF(ISNUMBER(D32),D32/AB32*10000,NA())</f>
        <v>40.95778197857593</v>
      </c>
      <c r="L32" s="134">
        <f>IF(ISNUMBER(E32),E32/AC32*10000,NA())</f>
        <v>42.072884625410566</v>
      </c>
      <c r="M32" s="134">
        <f>IF(ISNUMBER(F32),F32/AD32*10000,NA())</f>
        <v>41.280844239822052</v>
      </c>
      <c r="N32" s="134">
        <f>IF(ISNUMBER(G32),G32/AE32*10000,NA())</f>
        <v>46.195791964607231</v>
      </c>
      <c r="O32" s="135">
        <f>IF(ISNUMBER(H32),H32/AF32*10000,NA())</f>
        <v>41.432512516603659</v>
      </c>
      <c r="P32" s="101">
        <f t="shared" si="3"/>
        <v>41.432512516603659</v>
      </c>
      <c r="Q32" s="329" t="str">
        <f t="shared" si="4"/>
        <v>--</v>
      </c>
      <c r="R32" s="69"/>
      <c r="S32" s="331">
        <f>AA32/Z32*100</f>
        <v>12.371268250968637</v>
      </c>
      <c r="T32" s="331">
        <f t="shared" si="0"/>
        <v>35.891999844518409</v>
      </c>
      <c r="U32" s="336">
        <f t="shared" si="5"/>
        <v>5.5405126720852493</v>
      </c>
      <c r="V32" s="124"/>
      <c r="W32" s="140"/>
      <c r="X32" s="149"/>
      <c r="Y32" s="71" t="str">
        <f t="shared" si="1"/>
        <v>South East</v>
      </c>
      <c r="Z32" s="45">
        <f>SUM(Z24:Z25,Z10:Z22,Z28:Z31)</f>
        <v>1704978</v>
      </c>
      <c r="AA32" s="45">
        <f>SUM(AA24:AA25,AA10:AA22,AA28:AA31)</f>
        <v>210927.40200000003</v>
      </c>
      <c r="AB32" s="202">
        <f>SUM(AB10:AB22,AB24:AB25,AB28:AB31)</f>
        <v>1904400</v>
      </c>
      <c r="AC32" s="202">
        <f t="shared" ref="AC32:AF32" si="10">SUM(AC10:AC22,AC24:AC25,AC28:AC31)</f>
        <v>1918100</v>
      </c>
      <c r="AD32" s="202">
        <f t="shared" si="10"/>
        <v>1933100</v>
      </c>
      <c r="AE32" s="202">
        <f t="shared" si="10"/>
        <v>1943900</v>
      </c>
      <c r="AF32" s="202">
        <f t="shared" si="10"/>
        <v>1957400</v>
      </c>
      <c r="AG32" s="199"/>
      <c r="AH32" s="199"/>
      <c r="AI32" s="185"/>
      <c r="AJ32" s="199"/>
      <c r="AK32" s="156"/>
      <c r="AL32" s="974">
        <f>IF(ISERROR((L32-K32)/K32),"x",(L32-K32)/K32)</f>
        <v>2.7225660008101032E-2</v>
      </c>
      <c r="AM32" s="974">
        <f t="shared" ref="AM32:AO32" si="11">IF(ISERROR((M32-L32)/L32),"x",(M32-L32)/L32)</f>
        <v>-1.8825435732308906E-2</v>
      </c>
      <c r="AN32" s="974">
        <f t="shared" si="11"/>
        <v>0.11906122113762191</v>
      </c>
      <c r="AO32" s="974">
        <f t="shared" si="11"/>
        <v>-0.10311067838501276</v>
      </c>
      <c r="AP32" s="792">
        <f t="shared" si="9"/>
        <v>6.0876917571003192E-3</v>
      </c>
      <c r="AQ32" s="76"/>
      <c r="AR32" s="76"/>
      <c r="AS32" s="76"/>
      <c r="AT32" s="76"/>
      <c r="AU32" s="76"/>
      <c r="AV32" s="76"/>
      <c r="AW32" s="76"/>
      <c r="AX32" s="76"/>
      <c r="AY32" s="76"/>
    </row>
    <row r="33" spans="1:75" s="89" customFormat="1" ht="13.5" customHeight="1" x14ac:dyDescent="0.2">
      <c r="A33" s="286"/>
      <c r="B33" s="318" t="str">
        <f>Sheet1!$K$27</f>
        <v>England</v>
      </c>
      <c r="C33" s="87"/>
      <c r="D33" s="319">
        <f>IF(Year1_England Year1_CP_Plans="","",Year1_England Year1_CP_Plans)</f>
        <v>49700</v>
      </c>
      <c r="E33" s="319">
        <f>IF(Year2_England Year2_CP_Plans="","",Year2_England Year2_CP_Plans)</f>
        <v>50310</v>
      </c>
      <c r="F33" s="319">
        <f>IF(Year3_England Year3_CP_Plans="","",Year3_England Year3_CP_Plans)</f>
        <v>51080</v>
      </c>
      <c r="G33" s="319">
        <f>IF(Year4_England Year4_CP_Plans="","",Year4_England Year4_CP_Plans)</f>
        <v>53790</v>
      </c>
      <c r="H33" s="320">
        <f>IF(Year5_England Year5_CP_Plans="","",Year5_England Year5_CP_Plans)</f>
        <v>52260</v>
      </c>
      <c r="I33" s="351">
        <f t="shared" si="2"/>
        <v>1.3047208594927071E-2</v>
      </c>
      <c r="J33" s="98"/>
      <c r="K33" s="321">
        <f>IF(ISNUMBER(D33),D33/Population!D33*10000,NA())</f>
        <v>42.875505749803743</v>
      </c>
      <c r="L33" s="321">
        <f>IF(ISNUMBER(E33),E33/Population!E33*10000,NA())</f>
        <v>43.081375932316604</v>
      </c>
      <c r="M33" s="321">
        <f>IF(ISNUMBER(F33),F33/Population!F33*10000,NA())</f>
        <v>43.342129602131465</v>
      </c>
      <c r="N33" s="321">
        <f>IF(ISNUMBER(G33),G33/Population!G33*10000,NA())</f>
        <v>45.327378444425719</v>
      </c>
      <c r="O33" s="322">
        <f>IF(ISNUMBER(H33),H33/Population!H33*10000,NA())</f>
        <v>43.715389891757148</v>
      </c>
      <c r="P33" s="727"/>
      <c r="Q33" s="330" t="str">
        <f t="shared" si="4"/>
        <v>--</v>
      </c>
      <c r="R33" s="69"/>
      <c r="S33" s="332">
        <f>IDACI!C32</f>
        <v>17.084413405029373</v>
      </c>
      <c r="T33" s="332">
        <f t="shared" si="0"/>
        <v>44.883574457092493</v>
      </c>
      <c r="U33" s="598">
        <f t="shared" si="5"/>
        <v>-1.1681845653353449</v>
      </c>
      <c r="V33" s="124"/>
      <c r="W33" s="140"/>
      <c r="X33" s="149"/>
      <c r="Y33" s="71" t="str">
        <f t="shared" si="1"/>
        <v>England</v>
      </c>
      <c r="Z33" s="45">
        <f>IF(H33&gt;0,IDACI!D32,0)</f>
        <v>10405050</v>
      </c>
      <c r="AA33" s="45">
        <f>IF(H33&gt;0,IDACI!E32,0)</f>
        <v>1777641.7570000088</v>
      </c>
      <c r="AB33" s="202">
        <f>IF(ISNUMBER(D33),Population!D33,"")</f>
        <v>11591700</v>
      </c>
      <c r="AC33" s="202">
        <f>IF(ISNUMBER(E33),Population!E33,"")</f>
        <v>11677900</v>
      </c>
      <c r="AD33" s="202">
        <f>IF(ISNUMBER(F33),Population!F33,"")</f>
        <v>11785300</v>
      </c>
      <c r="AE33" s="202">
        <f>IF(ISNUMBER(G33),Population!G33,"")</f>
        <v>11867000</v>
      </c>
      <c r="AF33" s="202">
        <f>IF(ISNUMBER(H33),Population!H33,"")</f>
        <v>11954600</v>
      </c>
      <c r="AG33" s="199"/>
      <c r="AH33" s="199"/>
      <c r="AI33" s="185"/>
      <c r="AJ33" s="199"/>
      <c r="AK33" s="156"/>
      <c r="AL33" s="792">
        <f t="shared" si="8"/>
        <v>1.227364185110664E-2</v>
      </c>
      <c r="AM33" s="792">
        <f t="shared" si="8"/>
        <v>1.5305108328364143E-2</v>
      </c>
      <c r="AN33" s="792">
        <f t="shared" si="8"/>
        <v>5.3054032889584962E-2</v>
      </c>
      <c r="AO33" s="792">
        <f t="shared" si="8"/>
        <v>-2.8443948689347461E-2</v>
      </c>
      <c r="AP33" s="792">
        <f>AVERAGE(AL33:AO33)</f>
        <v>1.3047208594927071E-2</v>
      </c>
      <c r="AQ33" s="76"/>
      <c r="AR33" s="76"/>
      <c r="AS33" s="76"/>
      <c r="AT33" s="76"/>
      <c r="AU33" s="76"/>
      <c r="AV33" s="76"/>
      <c r="AW33" s="76"/>
      <c r="AX33" s="76"/>
      <c r="AY33" s="76"/>
    </row>
    <row r="34" spans="1:75" s="83" customFormat="1" ht="13.5" customHeight="1" x14ac:dyDescent="0.2">
      <c r="A34" s="120"/>
      <c r="B34" s="125" t="s">
        <v>90</v>
      </c>
      <c r="C34" s="63"/>
      <c r="D34" s="63"/>
      <c r="E34" s="63"/>
      <c r="F34" s="63"/>
      <c r="G34" s="63"/>
      <c r="H34" s="63"/>
      <c r="I34" s="63"/>
      <c r="J34" s="63"/>
      <c r="K34" s="63"/>
      <c r="L34" s="63"/>
      <c r="M34" s="63"/>
      <c r="N34" s="63"/>
      <c r="O34" s="63"/>
      <c r="P34" s="63"/>
      <c r="Q34" s="137" t="s">
        <v>109</v>
      </c>
      <c r="S34" s="63"/>
      <c r="T34" s="63"/>
      <c r="U34" s="63"/>
      <c r="V34" s="119"/>
      <c r="W34" s="138"/>
      <c r="X34" s="147"/>
      <c r="Y34" s="82"/>
      <c r="Z34" s="179"/>
      <c r="AA34" s="179"/>
      <c r="AB34" s="179"/>
      <c r="AC34" s="179"/>
      <c r="AD34" s="179"/>
      <c r="AE34" s="179"/>
      <c r="AF34" s="179"/>
      <c r="AG34" s="179"/>
      <c r="AH34" s="179"/>
      <c r="AJ34" s="179"/>
      <c r="AK34" s="157"/>
      <c r="AQ34" s="76"/>
      <c r="AR34" s="76"/>
      <c r="AS34" s="76"/>
      <c r="AT34" s="76"/>
      <c r="AU34" s="76"/>
      <c r="AV34" s="76"/>
      <c r="AW34" s="76"/>
      <c r="AX34" s="76"/>
      <c r="AY34" s="76"/>
    </row>
    <row r="35" spans="1:75" s="83" customFormat="1" ht="25.5" customHeight="1" x14ac:dyDescent="0.2">
      <c r="A35" s="120"/>
      <c r="B35" s="1425"/>
      <c r="C35" s="1426"/>
      <c r="D35" s="1426"/>
      <c r="E35" s="1426"/>
      <c r="F35" s="1426"/>
      <c r="G35" s="1426"/>
      <c r="H35" s="1426"/>
      <c r="I35" s="1426"/>
      <c r="J35" s="1426"/>
      <c r="K35" s="1426"/>
      <c r="L35" s="1426"/>
      <c r="M35" s="1426"/>
      <c r="N35" s="1426"/>
      <c r="O35" s="1426"/>
      <c r="P35" s="1426"/>
      <c r="Q35" s="1426"/>
      <c r="R35" s="1426"/>
      <c r="S35" s="1426"/>
      <c r="T35" s="1426"/>
      <c r="U35" s="1427"/>
      <c r="V35" s="119"/>
      <c r="W35" s="138"/>
      <c r="X35" s="147"/>
      <c r="Y35" s="82"/>
      <c r="Z35" s="179"/>
      <c r="AA35" s="179"/>
      <c r="AB35" s="179"/>
      <c r="AC35" s="179"/>
      <c r="AD35" s="179"/>
      <c r="AE35" s="179"/>
      <c r="AF35" s="179"/>
      <c r="AG35" s="179"/>
      <c r="AH35" s="179"/>
      <c r="AJ35" s="179"/>
      <c r="AK35" s="153"/>
      <c r="AL35" s="76"/>
      <c r="AM35" s="76"/>
      <c r="AN35" s="76"/>
      <c r="AO35" s="76"/>
      <c r="AP35" s="76"/>
      <c r="AQ35" s="76"/>
      <c r="AR35" s="76"/>
    </row>
    <row r="36" spans="1:75" s="83" customFormat="1" ht="7.5" customHeight="1" x14ac:dyDescent="0.2">
      <c r="A36" s="120"/>
      <c r="B36" s="18"/>
      <c r="C36" s="18"/>
      <c r="D36" s="17"/>
      <c r="E36" s="17"/>
      <c r="F36" s="17"/>
      <c r="G36" s="17"/>
      <c r="H36" s="17"/>
      <c r="I36" s="17"/>
      <c r="J36" s="13"/>
      <c r="K36" s="19"/>
      <c r="L36" s="19"/>
      <c r="M36" s="19"/>
      <c r="N36" s="19"/>
      <c r="O36" s="19"/>
      <c r="P36" s="19"/>
      <c r="Q36" s="19"/>
      <c r="R36" s="19"/>
      <c r="S36" s="19"/>
      <c r="T36" s="19"/>
      <c r="U36" s="20"/>
      <c r="V36" s="119"/>
      <c r="W36" s="138"/>
      <c r="X36" s="147"/>
      <c r="Z36" s="185"/>
      <c r="AJ36" s="179"/>
      <c r="AK36" s="153"/>
      <c r="AL36" s="76"/>
      <c r="AM36" s="76"/>
      <c r="AN36" s="76"/>
      <c r="AO36" s="76"/>
      <c r="AP36" s="76"/>
      <c r="AQ36" s="76"/>
      <c r="AR36" s="76"/>
    </row>
    <row r="37" spans="1:75"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1"/>
      <c r="V37" s="1422"/>
      <c r="W37" s="138"/>
      <c r="X37" s="147"/>
      <c r="AK37" s="157"/>
      <c r="AM37" s="83">
        <f>COLUMNS($B$4:K$4)</f>
        <v>10</v>
      </c>
      <c r="AN37" s="83">
        <f>COLUMNS($B$4:L$4)</f>
        <v>11</v>
      </c>
      <c r="AO37" s="83">
        <f>COLUMNS($B$4:M$4)</f>
        <v>12</v>
      </c>
      <c r="AP37" s="83">
        <f>COLUMNS($B$4:N$4)</f>
        <v>13</v>
      </c>
      <c r="AQ37" s="83">
        <f>COLUMNS($B$4:O$4)</f>
        <v>14</v>
      </c>
      <c r="AR37" s="83">
        <f>COLUMNS($B$4:S$4)</f>
        <v>18</v>
      </c>
      <c r="AS37" s="83">
        <f>COLUMNS($B$4:D$4)</f>
        <v>3</v>
      </c>
      <c r="AT37" s="83">
        <f>COLUMNS($B$4:E$4)</f>
        <v>4</v>
      </c>
      <c r="AU37" s="83">
        <f>COLUMNS($B$4:F$4)</f>
        <v>5</v>
      </c>
      <c r="AV37" s="83">
        <f>COLUMNS($B$4:G$4)</f>
        <v>6</v>
      </c>
      <c r="AW37" s="83">
        <f>COLUMNS($B$4:H$4)</f>
        <v>7</v>
      </c>
      <c r="AX37" s="83">
        <f>COLUMNS($B$4:D$4)</f>
        <v>3</v>
      </c>
      <c r="AY37" s="83">
        <f>COLUMNS($B$4:E$4)</f>
        <v>4</v>
      </c>
      <c r="AZ37" s="83">
        <f>COLUMNS($B$4:F$4)</f>
        <v>5</v>
      </c>
      <c r="BA37" s="83">
        <f>COLUMNS($B$4:G$4)</f>
        <v>6</v>
      </c>
      <c r="BB37" s="83">
        <f>COLUMNS($B$4:H$4)</f>
        <v>7</v>
      </c>
      <c r="BC37" s="83">
        <f>COLUMNS($B$4:$D$4)</f>
        <v>3</v>
      </c>
      <c r="BD37" s="83">
        <f>COLUMNS($B$4:E$4)</f>
        <v>4</v>
      </c>
      <c r="BE37" s="83">
        <f>COLUMNS($B$4:F$4)</f>
        <v>5</v>
      </c>
      <c r="BF37" s="83">
        <f>COLUMNS($B$4:G$4)</f>
        <v>6</v>
      </c>
      <c r="BG37" s="83">
        <f>COLUMNS($B$4:H$4)</f>
        <v>7</v>
      </c>
      <c r="BH37" s="83">
        <f>COLUMNS($B$4:D$4)</f>
        <v>3</v>
      </c>
      <c r="BI37" s="83">
        <f>COLUMNS($B$4:E$4)</f>
        <v>4</v>
      </c>
      <c r="BJ37" s="83">
        <f>COLUMNS($B$4:F$4)</f>
        <v>5</v>
      </c>
      <c r="BK37" s="83">
        <f>COLUMNS($B$4:G$4)</f>
        <v>6</v>
      </c>
      <c r="BL37" s="83">
        <f>COLUMNS($B$4:H$4)</f>
        <v>7</v>
      </c>
      <c r="BM37" s="83">
        <f>COLUMNS($B$4:D$4)</f>
        <v>3</v>
      </c>
      <c r="BN37" s="83">
        <f>COLUMNS($B$4:E$4)</f>
        <v>4</v>
      </c>
      <c r="BO37" s="83">
        <f>COLUMNS($B$4:F$4)</f>
        <v>5</v>
      </c>
      <c r="BP37" s="83">
        <f>COLUMNS($B$4:G$4)</f>
        <v>6</v>
      </c>
      <c r="BQ37" s="83">
        <f>COLUMNS($B$4:H$4)</f>
        <v>7</v>
      </c>
      <c r="BR37" s="1578" t="str">
        <f>Z4</f>
        <v>(none)</v>
      </c>
      <c r="BS37" s="83">
        <f>COLUMNS($B$4:D$4)</f>
        <v>3</v>
      </c>
      <c r="BT37" s="83">
        <f>COLUMNS($B$4:E$4)</f>
        <v>4</v>
      </c>
      <c r="BU37" s="83">
        <f>COLUMNS($B$4:F$4)</f>
        <v>5</v>
      </c>
      <c r="BV37" s="83">
        <f>COLUMNS($B$4:G$4)</f>
        <v>6</v>
      </c>
      <c r="BW37" s="83">
        <f>COLUMNS($B$4:H$4)</f>
        <v>7</v>
      </c>
    </row>
    <row r="38" spans="1:75"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0"/>
      <c r="J38" s="1429"/>
      <c r="K38" s="1429"/>
      <c r="L38" s="1429"/>
      <c r="M38" s="1429"/>
      <c r="N38" s="1429"/>
      <c r="O38" s="1429"/>
      <c r="P38" s="1431"/>
      <c r="Q38" s="1429"/>
      <c r="R38" s="1429"/>
      <c r="S38" s="1429"/>
      <c r="T38" s="1430"/>
      <c r="U38" s="1429"/>
      <c r="V38" s="1432"/>
      <c r="W38" s="138"/>
      <c r="X38" s="147"/>
      <c r="AJ38" s="179"/>
      <c r="AK38" s="156"/>
      <c r="AL38" s="89"/>
      <c r="AM38" s="360" t="s">
        <v>89</v>
      </c>
      <c r="AN38" s="361"/>
      <c r="AO38" s="361"/>
      <c r="AP38" s="361"/>
      <c r="AQ38" s="361"/>
      <c r="AR38" s="426" t="s">
        <v>95</v>
      </c>
      <c r="AS38" s="1575" t="s">
        <v>729</v>
      </c>
      <c r="AT38" s="1576"/>
      <c r="AU38" s="1576"/>
      <c r="AV38" s="1576"/>
      <c r="AW38" s="1577"/>
      <c r="AX38" s="1575" t="s">
        <v>730</v>
      </c>
      <c r="AY38" s="1576"/>
      <c r="AZ38" s="1576"/>
      <c r="BA38" s="1576"/>
      <c r="BB38" s="1577"/>
      <c r="BC38" s="1575" t="s">
        <v>728</v>
      </c>
      <c r="BD38" s="1576"/>
      <c r="BE38" s="1576"/>
      <c r="BF38" s="1576"/>
      <c r="BG38" s="1577"/>
      <c r="BH38" s="1575" t="s">
        <v>140</v>
      </c>
      <c r="BI38" s="1576"/>
      <c r="BJ38" s="1576"/>
      <c r="BK38" s="1576"/>
      <c r="BL38" s="1577"/>
      <c r="BM38" s="1575" t="s">
        <v>187</v>
      </c>
      <c r="BN38" s="1576"/>
      <c r="BO38" s="1576"/>
      <c r="BP38" s="1576"/>
      <c r="BQ38" s="1577"/>
      <c r="BR38" s="1578"/>
      <c r="BS38" s="1575" t="s">
        <v>141</v>
      </c>
      <c r="BT38" s="1576"/>
      <c r="BU38" s="1576"/>
      <c r="BV38" s="1576"/>
      <c r="BW38" s="1577"/>
    </row>
    <row r="39" spans="1:75" s="83" customFormat="1" ht="11.25" customHeight="1" x14ac:dyDescent="0.2">
      <c r="A39" s="114"/>
      <c r="B39" s="115"/>
      <c r="C39" s="115"/>
      <c r="D39" s="115"/>
      <c r="E39" s="115"/>
      <c r="F39" s="115"/>
      <c r="G39" s="115"/>
      <c r="H39" s="115"/>
      <c r="I39" s="115"/>
      <c r="J39" s="116"/>
      <c r="K39" s="115"/>
      <c r="L39" s="115"/>
      <c r="M39" s="115"/>
      <c r="N39" s="115"/>
      <c r="O39" s="115"/>
      <c r="P39" s="115"/>
      <c r="Q39" s="115"/>
      <c r="R39" s="115"/>
      <c r="S39" s="115"/>
      <c r="T39" s="115"/>
      <c r="U39" s="115"/>
      <c r="V39" s="117"/>
      <c r="W39" s="138"/>
      <c r="X39" s="146" t="s">
        <v>102</v>
      </c>
      <c r="AB39" s="192"/>
      <c r="AC39" s="192"/>
      <c r="AJ39" s="179"/>
      <c r="AK39" s="156"/>
      <c r="AL39" s="89"/>
      <c r="AM39" s="360" t="str">
        <f>IF(Sheet1!$C$3="Annual","",Sheet1!AQ49)</f>
        <v/>
      </c>
      <c r="AN39" s="360" t="str">
        <f>IF(Sheet1!$C$3="Annual","",Sheet1!AR49)</f>
        <v/>
      </c>
      <c r="AO39" s="360" t="str">
        <f>IF(Sheet1!$C$3="Annual","",Sheet1!AS49)</f>
        <v/>
      </c>
      <c r="AP39" s="360" t="str">
        <f>IF(Sheet1!$C$3="Annual","",Sheet1!AT49)</f>
        <v/>
      </c>
      <c r="AQ39" s="360" t="str">
        <f>IF(Sheet1!$C$3="Annual","",Sheet1!AU49)</f>
        <v/>
      </c>
      <c r="AR39" s="427" t="str">
        <f>IF(Sheet1!$C$3="Annual","",Sheet1!AV49)</f>
        <v/>
      </c>
      <c r="AS39" s="428" t="str">
        <f>IF(Sheet1!$C$3="Annual","",Sheet1!AW49)</f>
        <v/>
      </c>
      <c r="AT39" s="874" t="str">
        <f>IF(Sheet1!$C$3="Annual","",Sheet1!AX49)</f>
        <v/>
      </c>
      <c r="AU39" s="874" t="str">
        <f>IF(Sheet1!$C$3="Annual","",Sheet1!AY49)</f>
        <v/>
      </c>
      <c r="AV39" s="874" t="str">
        <f>IF(Sheet1!$C$3="Annual","",Sheet1!AZ49)</f>
        <v/>
      </c>
      <c r="AW39" s="299"/>
      <c r="AX39" s="877" t="str">
        <f>IF(Sheet1!$C$3="Annual","",Sheet1!BB49)</f>
        <v/>
      </c>
      <c r="AY39" s="874" t="str">
        <f>IF(Sheet1!$C$3="Annual","",Sheet1!BC49)</f>
        <v/>
      </c>
      <c r="AZ39" s="874" t="str">
        <f>IF(Sheet1!$C$3="Annual","",Sheet1!BD49)</f>
        <v/>
      </c>
      <c r="BA39" s="874" t="str">
        <f>IF(Sheet1!$C$3="Annual","",Sheet1!BE49)</f>
        <v/>
      </c>
      <c r="BB39" s="299" t="str">
        <f>IF(Sheet1!$C$3="Annual","",Sheet1!BF49)</f>
        <v/>
      </c>
      <c r="BC39" s="428" t="str">
        <f>IF(Sheet1!$C$3="Annual","",Sheet1!BG49)</f>
        <v/>
      </c>
      <c r="BD39" s="413" t="str">
        <f>IF(Sheet1!$C$3="Annual","",Sheet1!BH49)</f>
        <v/>
      </c>
      <c r="BE39" s="413" t="str">
        <f>IF(Sheet1!$C$3="Annual","",Sheet1!BI49)</f>
        <v/>
      </c>
      <c r="BF39" s="413" t="str">
        <f>IF(Sheet1!$C$3="Annual","",Sheet1!BJ49)</f>
        <v/>
      </c>
      <c r="BG39" s="299" t="str">
        <f>IF(Sheet1!$C$3="Annual","",Sheet1!BK49)</f>
        <v/>
      </c>
      <c r="BH39" s="428" t="str">
        <f>IF(Sheet1!$C$3="Annual","",Sheet1!BL49)</f>
        <v/>
      </c>
      <c r="BI39" s="413" t="str">
        <f>IF(Sheet1!$C$3="Annual","",Sheet1!BM49)</f>
        <v/>
      </c>
      <c r="BJ39" s="413" t="str">
        <f>IF(Sheet1!$C$3="Annual","",Sheet1!BN49)</f>
        <v/>
      </c>
      <c r="BK39" s="413" t="str">
        <f>IF(Sheet1!$C$3="Annual","",Sheet1!BO49)</f>
        <v/>
      </c>
      <c r="BL39" s="299" t="str">
        <f>IF(Sheet1!$C$3="Annual","",Sheet1!BP49)</f>
        <v/>
      </c>
      <c r="BM39" s="428" t="str">
        <f>IF(Sheet1!$C$3="Annual","",Sheet1!BQ49)</f>
        <v/>
      </c>
      <c r="BN39" s="413" t="str">
        <f>IF(Sheet1!$C$3="Annual","",Sheet1!BR49)</f>
        <v/>
      </c>
      <c r="BO39" s="413" t="str">
        <f>IF(Sheet1!$C$3="Annual","",Sheet1!BS49)</f>
        <v/>
      </c>
      <c r="BP39" s="413" t="str">
        <f>IF(Sheet1!$C$3="Annual","",Sheet1!BT49)</f>
        <v/>
      </c>
      <c r="BQ39" s="299" t="str">
        <f>IF(Sheet1!$C$3="Annual","",Sheet1!BU49)</f>
        <v/>
      </c>
      <c r="BR39" s="1578"/>
      <c r="BS39" s="428" t="str">
        <f>IF(Sheet1!$C$3="Annual","",Sheet1!BW49)</f>
        <v/>
      </c>
      <c r="BT39" s="413" t="str">
        <f>IF(Sheet1!$C$3="Annual","",Sheet1!BX49)</f>
        <v/>
      </c>
      <c r="BU39" s="413" t="str">
        <f>IF(Sheet1!$C$3="Annual","",Sheet1!BY49)</f>
        <v/>
      </c>
      <c r="BV39" s="413" t="str">
        <f>IF(Sheet1!$C$3="Annual","",Sheet1!BZ49)</f>
        <v/>
      </c>
      <c r="BW39" s="299" t="str">
        <f>IF(Sheet1!$C$3="Annual","",Sheet1!CA49)</f>
        <v/>
      </c>
    </row>
    <row r="40" spans="1:75" s="83" customFormat="1" ht="3.75" customHeight="1" x14ac:dyDescent="0.25">
      <c r="A40" s="118"/>
      <c r="B40" s="9"/>
      <c r="C40" s="9"/>
      <c r="D40" s="9"/>
      <c r="E40" s="9"/>
      <c r="F40" s="9"/>
      <c r="G40" s="9"/>
      <c r="H40" s="9"/>
      <c r="I40" s="9"/>
      <c r="J40" s="13"/>
      <c r="K40" s="9"/>
      <c r="L40" s="9"/>
      <c r="M40" s="9"/>
      <c r="N40" s="9"/>
      <c r="O40" s="9"/>
      <c r="P40" s="9"/>
      <c r="Q40" s="9"/>
      <c r="R40" s="9"/>
      <c r="S40" s="9"/>
      <c r="T40" s="9"/>
      <c r="U40" s="9"/>
      <c r="V40" s="119"/>
      <c r="W40" s="138"/>
      <c r="X40" s="288"/>
      <c r="AD40" s="1188" t="s">
        <v>1002</v>
      </c>
      <c r="AK40" s="156"/>
      <c r="AL40" s="89"/>
      <c r="AM40" s="360" t="str">
        <f>Sheet1!$D$25</f>
        <v>2014-15</v>
      </c>
      <c r="AN40" s="360" t="str">
        <f>Sheet1!$E$25</f>
        <v>2015-16</v>
      </c>
      <c r="AO40" s="360" t="str">
        <f>Sheet1!$F$25</f>
        <v>2016-17</v>
      </c>
      <c r="AP40" s="360" t="str">
        <f>Sheet1!$G$25</f>
        <v>2017-18</v>
      </c>
      <c r="AQ40" s="360" t="str">
        <f>Sheet1!$H$25</f>
        <v>2018-19</v>
      </c>
      <c r="AR40" s="427" t="str">
        <f>Sheet1!$D$25</f>
        <v>2014-15</v>
      </c>
      <c r="AS40" s="428" t="str">
        <f>Sheet1!$E$25</f>
        <v>2015-16</v>
      </c>
      <c r="AT40" s="874" t="str">
        <f>Sheet1!$F$25</f>
        <v>2016-17</v>
      </c>
      <c r="AU40" s="874" t="str">
        <f>Sheet1!$G$25</f>
        <v>2017-18</v>
      </c>
      <c r="AV40" s="874" t="str">
        <f>Sheet1!$H$25</f>
        <v>2018-19</v>
      </c>
      <c r="AW40" s="299" t="e">
        <f>E9</f>
        <v>#N/A</v>
      </c>
      <c r="AX40" s="877" t="str">
        <f>Sheet1!$D$25</f>
        <v>2014-15</v>
      </c>
      <c r="AY40" s="874" t="str">
        <f>Sheet1!$E$25</f>
        <v>2015-16</v>
      </c>
      <c r="AZ40" s="874" t="str">
        <f>Sheet1!$F$25</f>
        <v>2016-17</v>
      </c>
      <c r="BA40" s="874" t="str">
        <f>Sheet1!$G$25</f>
        <v>2017-18</v>
      </c>
      <c r="BB40" s="299" t="str">
        <f>Sheet1!$H$25</f>
        <v>2018-19</v>
      </c>
      <c r="BC40" s="428" t="str">
        <f>Sheet1!$D$25</f>
        <v>2014-15</v>
      </c>
      <c r="BD40" s="413" t="str">
        <f>Sheet1!$E$25</f>
        <v>2015-16</v>
      </c>
      <c r="BE40" s="413" t="str">
        <f>Sheet1!$F$25</f>
        <v>2016-17</v>
      </c>
      <c r="BF40" s="413" t="str">
        <f>Sheet1!$G$25</f>
        <v>2017-18</v>
      </c>
      <c r="BG40" s="299" t="str">
        <f>Sheet1!$H$25</f>
        <v>2018-19</v>
      </c>
      <c r="BH40" s="428" t="str">
        <f>Sheet1!$D$25</f>
        <v>2014-15</v>
      </c>
      <c r="BI40" s="413" t="str">
        <f>Sheet1!$E$25</f>
        <v>2015-16</v>
      </c>
      <c r="BJ40" s="413" t="str">
        <f>Sheet1!$F$25</f>
        <v>2016-17</v>
      </c>
      <c r="BK40" s="413" t="str">
        <f>Sheet1!$G$25</f>
        <v>2017-18</v>
      </c>
      <c r="BL40" s="299" t="str">
        <f>Sheet1!$H$25</f>
        <v>2018-19</v>
      </c>
      <c r="BM40" s="428" t="str">
        <f>Sheet1!$D$25</f>
        <v>2014-15</v>
      </c>
      <c r="BN40" s="413" t="str">
        <f>Sheet1!$E$25</f>
        <v>2015-16</v>
      </c>
      <c r="BO40" s="413" t="str">
        <f>Sheet1!$F$25</f>
        <v>2016-17</v>
      </c>
      <c r="BP40" s="413" t="str">
        <f>Sheet1!$G$25</f>
        <v>2017-18</v>
      </c>
      <c r="BQ40" s="299" t="str">
        <f>Sheet1!$H$25</f>
        <v>2018-19</v>
      </c>
      <c r="BR40" s="1579"/>
      <c r="BS40" s="428" t="str">
        <f>Sheet1!$D$25</f>
        <v>2014-15</v>
      </c>
      <c r="BT40" s="413" t="str">
        <f>Sheet1!$E$25</f>
        <v>2015-16</v>
      </c>
      <c r="BU40" s="413" t="str">
        <f>Sheet1!$F$25</f>
        <v>2016-17</v>
      </c>
      <c r="BV40" s="413" t="str">
        <f>Sheet1!$G$25</f>
        <v>2017-18</v>
      </c>
      <c r="BW40" s="299" t="str">
        <f>Sheet1!$H$25</f>
        <v>2018-19</v>
      </c>
    </row>
    <row r="41" spans="1:75" s="83" customFormat="1" ht="14.25" customHeight="1" x14ac:dyDescent="0.2">
      <c r="A41" s="120"/>
      <c r="B41" s="9"/>
      <c r="C41" s="9"/>
      <c r="D41" s="9"/>
      <c r="E41" s="9"/>
      <c r="F41" s="9"/>
      <c r="G41" s="9"/>
      <c r="H41" s="9"/>
      <c r="I41" s="9"/>
      <c r="J41" s="13"/>
      <c r="K41" s="9"/>
      <c r="L41" s="9"/>
      <c r="M41" s="9"/>
      <c r="N41" s="9"/>
      <c r="O41" s="9"/>
      <c r="P41" s="9"/>
      <c r="Q41" s="9"/>
      <c r="R41" s="9"/>
      <c r="S41" s="9"/>
      <c r="T41" s="9"/>
      <c r="U41" s="9"/>
      <c r="V41" s="119"/>
      <c r="W41" s="138"/>
      <c r="X41" s="288"/>
      <c r="Y41" s="44" t="s">
        <v>72</v>
      </c>
      <c r="Z41" s="44" t="s">
        <v>70</v>
      </c>
      <c r="AA41" s="44" t="s">
        <v>71</v>
      </c>
      <c r="AB41" s="1061">
        <v>5</v>
      </c>
      <c r="AC41" s="212">
        <f>(AB41*Z42)+AA42</f>
        <v>30.728380051643882</v>
      </c>
      <c r="AD41" s="203">
        <f>ROUND(ChartLabels!$AA13,3)</f>
        <v>0.374</v>
      </c>
      <c r="AJ41" s="560" t="b">
        <v>1</v>
      </c>
      <c r="AK41" s="156" t="s">
        <v>0</v>
      </c>
      <c r="AL41" s="89" t="str">
        <f t="shared" ref="AL41:AL64" si="12">IF(AJ41=TRUE,B10,"")</f>
        <v>Bracknell Forest</v>
      </c>
      <c r="AM41" s="143">
        <f t="shared" ref="AM41:AQ50" si="13">VLOOKUP($AL41,$B$10:$O$33,AM$37,FALSE)</f>
        <v>43.884892086330929</v>
      </c>
      <c r="AN41" s="143">
        <f t="shared" si="13"/>
        <v>40.780141843971627</v>
      </c>
      <c r="AO41" s="143">
        <f t="shared" si="13"/>
        <v>62.411347517730498</v>
      </c>
      <c r="AP41" s="143">
        <f t="shared" si="13"/>
        <v>37.366548042704629</v>
      </c>
      <c r="AQ41" s="143">
        <f t="shared" si="13"/>
        <v>45.936395759717314</v>
      </c>
      <c r="AR41" s="144">
        <f>VLOOKUP(AL41,$B$10:$U$33,$AR$37,FALSE)</f>
        <v>8.9</v>
      </c>
      <c r="AS41" s="429" t="e">
        <f t="shared" ref="AS41:AW50" si="14">VLOOKUP($AL41,$B$112:$H$135,AS$37,FALSE)</f>
        <v>#N/A</v>
      </c>
      <c r="AT41" s="341" t="e">
        <f t="shared" si="14"/>
        <v>#N/A</v>
      </c>
      <c r="AU41" s="341" t="e">
        <f t="shared" si="14"/>
        <v>#N/A</v>
      </c>
      <c r="AV41" s="341" t="e">
        <f t="shared" si="14"/>
        <v>#N/A</v>
      </c>
      <c r="AW41" s="430">
        <f t="shared" si="14"/>
        <v>0</v>
      </c>
      <c r="AX41" s="429" t="e">
        <f t="shared" ref="AX41:BB50" si="15">VLOOKUP($AL41,$B$148:$H$171,AX$37,FALSE)</f>
        <v>#N/A</v>
      </c>
      <c r="AY41" s="341" t="e">
        <f t="shared" si="15"/>
        <v>#N/A</v>
      </c>
      <c r="AZ41" s="341" t="e">
        <f t="shared" si="15"/>
        <v>#N/A</v>
      </c>
      <c r="BA41" s="341" t="e">
        <f t="shared" si="15"/>
        <v>#N/A</v>
      </c>
      <c r="BB41" s="341" t="e">
        <f t="shared" si="15"/>
        <v>#N/A</v>
      </c>
      <c r="BC41" s="429">
        <f t="shared" ref="BC41:BG50" si="16">VLOOKUP($AL41,$B$220:$H$243,BC$37,FALSE)</f>
        <v>5.3846153846153849E-2</v>
      </c>
      <c r="BD41" s="341">
        <f t="shared" si="16"/>
        <v>0.12162162162162163</v>
      </c>
      <c r="BE41" s="341">
        <f t="shared" si="16"/>
        <v>8.9171974522292988E-2</v>
      </c>
      <c r="BF41" s="341">
        <f t="shared" si="16"/>
        <v>0</v>
      </c>
      <c r="BG41" s="430" t="e">
        <f t="shared" si="16"/>
        <v>#N/A</v>
      </c>
      <c r="BH41" s="429">
        <f t="shared" ref="BH41:BL50" si="17">VLOOKUP($AL41,$B$256:$H$279,BH$37,FALSE)</f>
        <v>0.1388888888888889</v>
      </c>
      <c r="BI41" s="341">
        <f t="shared" si="17"/>
        <v>0.24822695035460993</v>
      </c>
      <c r="BJ41" s="341">
        <f t="shared" si="17"/>
        <v>0.26146788990825687</v>
      </c>
      <c r="BK41" s="341">
        <f t="shared" si="17"/>
        <v>0.17751479289940827</v>
      </c>
      <c r="BL41" s="430">
        <f t="shared" si="17"/>
        <v>0.23529411764705882</v>
      </c>
      <c r="BM41" s="429" t="e">
        <f>VLOOKUP($AL41,#REF!,BM$37,FALSE)</f>
        <v>#REF!</v>
      </c>
      <c r="BN41" s="341" t="e">
        <f>VLOOKUP($AL41,#REF!,BN$37,FALSE)</f>
        <v>#REF!</v>
      </c>
      <c r="BO41" s="341" t="e">
        <f>VLOOKUP($AL41,#REF!,BO$37,FALSE)</f>
        <v>#REF!</v>
      </c>
      <c r="BP41" s="341" t="e">
        <f>VLOOKUP($AL41,#REF!,BP$37,FALSE)</f>
        <v>#REF!</v>
      </c>
      <c r="BQ41" s="430" t="e">
        <f>VLOOKUP($AL41,#REF!,BQ$37,FALSE)</f>
        <v>#REF!</v>
      </c>
      <c r="BR41" s="341" t="b">
        <f>IF($AL41=$Z$4,BR$37)</f>
        <v>0</v>
      </c>
      <c r="BS41" s="429">
        <f t="shared" ref="BS41:BW50" si="18">VLOOKUP($AL41,$B$184:$H$207,BS$37,FALSE)</f>
        <v>1</v>
      </c>
      <c r="BT41" s="341">
        <f t="shared" si="18"/>
        <v>0.98484848484848486</v>
      </c>
      <c r="BU41" s="341">
        <f t="shared" si="18"/>
        <v>0.97727272727272729</v>
      </c>
      <c r="BV41" s="341">
        <f t="shared" si="18"/>
        <v>0.98461538461538467</v>
      </c>
      <c r="BW41" s="430">
        <f t="shared" si="18"/>
        <v>0.97101449275362317</v>
      </c>
    </row>
    <row r="42" spans="1:75" s="83" customFormat="1" ht="14.25" customHeight="1" x14ac:dyDescent="0.2">
      <c r="A42" s="120"/>
      <c r="B42" s="9"/>
      <c r="C42" s="9"/>
      <c r="D42" s="9"/>
      <c r="E42" s="9"/>
      <c r="F42" s="9"/>
      <c r="G42" s="9"/>
      <c r="H42" s="9"/>
      <c r="I42" s="9"/>
      <c r="J42" s="13"/>
      <c r="K42" s="9"/>
      <c r="L42" s="9"/>
      <c r="M42" s="9"/>
      <c r="N42" s="9"/>
      <c r="O42" s="9"/>
      <c r="P42" s="9"/>
      <c r="Q42" s="9"/>
      <c r="R42" s="9"/>
      <c r="S42" s="9"/>
      <c r="T42" s="9"/>
      <c r="U42" s="9"/>
      <c r="V42" s="119"/>
      <c r="W42" s="138"/>
      <c r="X42" s="288"/>
      <c r="Y42" s="208" t="str">
        <f>"Y= "&amp;Z42&amp;"x + "&amp;AA42</f>
        <v>Y= 1.75678493881546x + 21.9444553575666</v>
      </c>
      <c r="Z42" s="712">
        <f>ChartLabels!$Y13</f>
        <v>1.7567849388154586</v>
      </c>
      <c r="AA42" s="712">
        <f>ChartLabels!$Z13</f>
        <v>21.944455357566589</v>
      </c>
      <c r="AB42" s="211">
        <v>35</v>
      </c>
      <c r="AC42" s="212">
        <f>(AB42*Z42)+AA42</f>
        <v>83.43192821610765</v>
      </c>
      <c r="AD42" s="1187" t="str">
        <f>AD40&amp;" = "&amp;AD41</f>
        <v>r² = 0.374</v>
      </c>
      <c r="AJ42" s="560" t="b">
        <v>1</v>
      </c>
      <c r="AK42" s="156" t="s">
        <v>31</v>
      </c>
      <c r="AL42" s="89" t="str">
        <f t="shared" si="12"/>
        <v>Brighton &amp; Hove</v>
      </c>
      <c r="AM42" s="143">
        <f t="shared" si="13"/>
        <v>60.588235294117652</v>
      </c>
      <c r="AN42" s="143">
        <f t="shared" si="13"/>
        <v>76.5625</v>
      </c>
      <c r="AO42" s="143">
        <f t="shared" si="13"/>
        <v>71.539961013645225</v>
      </c>
      <c r="AP42" s="143">
        <f t="shared" si="13"/>
        <v>77.450980392156865</v>
      </c>
      <c r="AQ42" s="143">
        <f t="shared" si="13"/>
        <v>61.960784313725483</v>
      </c>
      <c r="AR42" s="144">
        <f t="shared" ref="AR42:AR64" si="19">VLOOKUP(AL42,$B$10:$U$33,$AR$37,FALSE)</f>
        <v>15.299999999999999</v>
      </c>
      <c r="AS42" s="429" t="e">
        <f t="shared" si="14"/>
        <v>#N/A</v>
      </c>
      <c r="AT42" s="341" t="e">
        <f t="shared" si="14"/>
        <v>#N/A</v>
      </c>
      <c r="AU42" s="341" t="e">
        <f t="shared" si="14"/>
        <v>#N/A</v>
      </c>
      <c r="AV42" s="341" t="e">
        <f t="shared" si="14"/>
        <v>#N/A</v>
      </c>
      <c r="AW42" s="430">
        <f t="shared" si="14"/>
        <v>3.7974683544303799E-2</v>
      </c>
      <c r="AX42" s="341" t="e">
        <f t="shared" si="15"/>
        <v>#N/A</v>
      </c>
      <c r="AY42" s="341" t="e">
        <f t="shared" si="15"/>
        <v>#N/A</v>
      </c>
      <c r="AZ42" s="341" t="e">
        <f t="shared" si="15"/>
        <v>#N/A</v>
      </c>
      <c r="BA42" s="341" t="e">
        <f t="shared" si="15"/>
        <v>#N/A</v>
      </c>
      <c r="BB42" s="341" t="e">
        <f t="shared" si="15"/>
        <v>#N/A</v>
      </c>
      <c r="BC42" s="429">
        <f t="shared" si="16"/>
        <v>2.865329512893983E-2</v>
      </c>
      <c r="BD42" s="341">
        <f t="shared" si="16"/>
        <v>7.6704545454545456E-2</v>
      </c>
      <c r="BE42" s="341">
        <f t="shared" si="16"/>
        <v>3.2407407407407406E-2</v>
      </c>
      <c r="BF42" s="341">
        <f t="shared" si="16"/>
        <v>7.575757575757576E-2</v>
      </c>
      <c r="BG42" s="430">
        <f t="shared" si="16"/>
        <v>5.1980198019801978E-2</v>
      </c>
      <c r="BH42" s="429">
        <f t="shared" si="17"/>
        <v>0.21832884097035041</v>
      </c>
      <c r="BI42" s="341">
        <f t="shared" si="17"/>
        <v>0.25517241379310346</v>
      </c>
      <c r="BJ42" s="341">
        <f t="shared" si="17"/>
        <v>0.21897810218978103</v>
      </c>
      <c r="BK42" s="341">
        <f t="shared" si="17"/>
        <v>0.23820754716981132</v>
      </c>
      <c r="BL42" s="430">
        <f t="shared" si="17"/>
        <v>0.27692307692307694</v>
      </c>
      <c r="BM42" s="429" t="e">
        <f>VLOOKUP($AL42,#REF!,BM$37,FALSE)</f>
        <v>#REF!</v>
      </c>
      <c r="BN42" s="341" t="e">
        <f>VLOOKUP($AL42,#REF!,BN$37,FALSE)</f>
        <v>#REF!</v>
      </c>
      <c r="BO42" s="341" t="e">
        <f>VLOOKUP($AL42,#REF!,BO$37,FALSE)</f>
        <v>#REF!</v>
      </c>
      <c r="BP42" s="341" t="e">
        <f>VLOOKUP($AL42,#REF!,BP$37,FALSE)</f>
        <v>#REF!</v>
      </c>
      <c r="BQ42" s="430" t="e">
        <f>VLOOKUP($AL42,#REF!,BQ$37,FALSE)</f>
        <v>#REF!</v>
      </c>
      <c r="BR42" s="341" t="b">
        <f t="shared" ref="BR42:BR65" si="20">IF($AL42=$Z$4,BQ42)</f>
        <v>0</v>
      </c>
      <c r="BS42" s="429">
        <f t="shared" si="18"/>
        <v>1</v>
      </c>
      <c r="BT42" s="341">
        <f t="shared" si="18"/>
        <v>0.98006644518272423</v>
      </c>
      <c r="BU42" s="341">
        <f t="shared" si="18"/>
        <v>0.72834645669291342</v>
      </c>
      <c r="BV42" s="341">
        <f t="shared" si="18"/>
        <v>0.99293286219081267</v>
      </c>
      <c r="BW42" s="430">
        <f t="shared" si="18"/>
        <v>0.96356275303643724</v>
      </c>
    </row>
    <row r="43" spans="1:75" ht="14.25" customHeight="1" x14ac:dyDescent="0.2">
      <c r="A43" s="120"/>
      <c r="B43" s="9"/>
      <c r="C43" s="9"/>
      <c r="D43" s="9"/>
      <c r="E43" s="9"/>
      <c r="F43" s="9"/>
      <c r="G43" s="9"/>
      <c r="H43" s="9"/>
      <c r="I43" s="9"/>
      <c r="J43" s="13"/>
      <c r="K43" s="9"/>
      <c r="L43" s="9"/>
      <c r="M43" s="9"/>
      <c r="N43" s="9"/>
      <c r="O43" s="9"/>
      <c r="P43" s="9"/>
      <c r="Q43" s="9"/>
      <c r="R43" s="9"/>
      <c r="S43" s="9"/>
      <c r="T43" s="9"/>
      <c r="U43" s="9"/>
      <c r="V43" s="119"/>
      <c r="W43" s="138"/>
      <c r="X43" s="288"/>
      <c r="Y43" s="44" t="str">
        <f>"National Trend "&amp;Sheet1!$B$8</f>
        <v>National Trend 2019</v>
      </c>
      <c r="Z43" s="205" t="s">
        <v>70</v>
      </c>
      <c r="AA43" s="44" t="s">
        <v>71</v>
      </c>
      <c r="AB43" s="1061">
        <v>5</v>
      </c>
      <c r="AC43" s="207">
        <f>((AB43*Z44)+AA44)/$Y$2</f>
        <v>21.82935031827196</v>
      </c>
      <c r="AD43" s="714" t="str">
        <f>"r² = "&amp;ROUND(AD44,3)</f>
        <v>r² = 0.358</v>
      </c>
      <c r="AJ43" s="560" t="b">
        <v>1</v>
      </c>
      <c r="AK43" s="156" t="s">
        <v>8</v>
      </c>
      <c r="AL43" s="89" t="str">
        <f t="shared" si="12"/>
        <v>Buckinghamshire</v>
      </c>
      <c r="AM43" s="143">
        <f t="shared" si="13"/>
        <v>27.922624053826748</v>
      </c>
      <c r="AN43" s="143">
        <f t="shared" si="13"/>
        <v>37.645107794361529</v>
      </c>
      <c r="AO43" s="143">
        <f t="shared" si="13"/>
        <v>45.253682487725044</v>
      </c>
      <c r="AP43" s="143">
        <f t="shared" si="13"/>
        <v>51.827782290820473</v>
      </c>
      <c r="AQ43" s="143">
        <f t="shared" si="13"/>
        <v>45.213193885760255</v>
      </c>
      <c r="AR43" s="144">
        <f t="shared" si="19"/>
        <v>8.5</v>
      </c>
      <c r="AS43" s="429" t="e">
        <f t="shared" si="14"/>
        <v>#N/A</v>
      </c>
      <c r="AT43" s="341" t="e">
        <f t="shared" si="14"/>
        <v>#N/A</v>
      </c>
      <c r="AU43" s="341" t="e">
        <f t="shared" si="14"/>
        <v>#N/A</v>
      </c>
      <c r="AV43" s="341" t="e">
        <f t="shared" si="14"/>
        <v>#N/A</v>
      </c>
      <c r="AW43" s="430">
        <f t="shared" si="14"/>
        <v>2.491103202846975E-2</v>
      </c>
      <c r="AX43" s="904" t="e">
        <f t="shared" si="15"/>
        <v>#N/A</v>
      </c>
      <c r="AY43" s="904" t="e">
        <f t="shared" si="15"/>
        <v>#N/A</v>
      </c>
      <c r="AZ43" s="904" t="e">
        <f t="shared" si="15"/>
        <v>#N/A</v>
      </c>
      <c r="BA43" s="904" t="e">
        <f t="shared" si="15"/>
        <v>#N/A</v>
      </c>
      <c r="BB43" s="904" t="e">
        <f t="shared" si="15"/>
        <v>#N/A</v>
      </c>
      <c r="BC43" s="429">
        <f t="shared" si="16"/>
        <v>2.8248587570621469E-2</v>
      </c>
      <c r="BD43" s="341">
        <f t="shared" si="16"/>
        <v>3.5490605427974949E-2</v>
      </c>
      <c r="BE43" s="341">
        <f t="shared" si="16"/>
        <v>2.3961661341853034E-2</v>
      </c>
      <c r="BF43" s="341">
        <f t="shared" si="16"/>
        <v>3.1645569620253167E-2</v>
      </c>
      <c r="BG43" s="430">
        <f t="shared" si="16"/>
        <v>3.1088082901554404E-2</v>
      </c>
      <c r="BH43" s="429">
        <f t="shared" si="17"/>
        <v>0.16816143497757849</v>
      </c>
      <c r="BI43" s="341">
        <f t="shared" si="17"/>
        <v>0.19281045751633988</v>
      </c>
      <c r="BJ43" s="341">
        <f t="shared" si="17"/>
        <v>0.14344827586206896</v>
      </c>
      <c r="BK43" s="341">
        <f t="shared" si="17"/>
        <v>0.18784530386740331</v>
      </c>
      <c r="BL43" s="430">
        <f t="shared" si="17"/>
        <v>0.20114942528735633</v>
      </c>
      <c r="BM43" s="429" t="e">
        <f>VLOOKUP($AL43,#REF!,BM$37,FALSE)</f>
        <v>#REF!</v>
      </c>
      <c r="BN43" s="341" t="e">
        <f>VLOOKUP($AL43,#REF!,BN$37,FALSE)</f>
        <v>#REF!</v>
      </c>
      <c r="BO43" s="341" t="e">
        <f>VLOOKUP($AL43,#REF!,BO$37,FALSE)</f>
        <v>#REF!</v>
      </c>
      <c r="BP43" s="341" t="e">
        <f>VLOOKUP($AL43,#REF!,BP$37,FALSE)</f>
        <v>#REF!</v>
      </c>
      <c r="BQ43" s="430" t="e">
        <f>VLOOKUP($AL43,#REF!,BQ$37,FALSE)</f>
        <v>#REF!</v>
      </c>
      <c r="BR43" s="341" t="b">
        <f t="shared" si="20"/>
        <v>0</v>
      </c>
      <c r="BS43" s="429">
        <f t="shared" si="18"/>
        <v>0.78801843317972353</v>
      </c>
      <c r="BT43" s="341">
        <f t="shared" si="18"/>
        <v>0.9285714285714286</v>
      </c>
      <c r="BU43" s="341">
        <f t="shared" si="18"/>
        <v>0.84571428571428575</v>
      </c>
      <c r="BV43" s="341">
        <f t="shared" si="18"/>
        <v>0.87885010266940455</v>
      </c>
      <c r="BW43" s="430">
        <f t="shared" si="18"/>
        <v>0.8542199488491049</v>
      </c>
    </row>
    <row r="44" spans="1:75" ht="14.25" customHeight="1" x14ac:dyDescent="0.2">
      <c r="A44" s="120"/>
      <c r="B44" s="9"/>
      <c r="C44" s="9"/>
      <c r="D44" s="9"/>
      <c r="E44" s="9"/>
      <c r="F44" s="9"/>
      <c r="G44" s="9"/>
      <c r="H44" s="9"/>
      <c r="I44" s="9"/>
      <c r="J44" s="13"/>
      <c r="K44" s="14"/>
      <c r="L44" s="14"/>
      <c r="M44" s="14"/>
      <c r="N44" s="14"/>
      <c r="O44" s="15"/>
      <c r="P44" s="15"/>
      <c r="Q44" s="15"/>
      <c r="R44" s="15"/>
      <c r="S44" s="15"/>
      <c r="T44" s="15"/>
      <c r="U44" s="15"/>
      <c r="V44" s="119"/>
      <c r="W44" s="138"/>
      <c r="X44" s="288"/>
      <c r="Y44" s="71" t="str">
        <f>"Y= "&amp;Z44&amp;"x + "&amp;AA44</f>
        <v>Y= 1.90776526473562x + 12.2905239945939</v>
      </c>
      <c r="Z44" s="712">
        <f>Sheet1!D11</f>
        <v>1.9077652647356196</v>
      </c>
      <c r="AA44" s="713">
        <f>Sheet1!D12</f>
        <v>12.290523994593862</v>
      </c>
      <c r="AB44" s="211">
        <v>35</v>
      </c>
      <c r="AC44" s="212">
        <f>((AB44*Z44)+AA44)/$Y$2</f>
        <v>79.062308260340558</v>
      </c>
      <c r="AD44" s="83">
        <f>Sheet1!D13</f>
        <v>0.35809069999502413</v>
      </c>
      <c r="AJ44" s="560" t="b">
        <v>1</v>
      </c>
      <c r="AK44" s="156" t="s">
        <v>4</v>
      </c>
      <c r="AL44" s="89" t="str">
        <f t="shared" si="12"/>
        <v>East Sussex</v>
      </c>
      <c r="AM44" s="143">
        <f t="shared" si="13"/>
        <v>44.497153700189756</v>
      </c>
      <c r="AN44" s="143">
        <f t="shared" si="13"/>
        <v>43.059490084985839</v>
      </c>
      <c r="AO44" s="143">
        <f t="shared" si="13"/>
        <v>44.853635505193573</v>
      </c>
      <c r="AP44" s="143">
        <f t="shared" si="13"/>
        <v>52.830188679245289</v>
      </c>
      <c r="AQ44" s="143">
        <f t="shared" si="13"/>
        <v>53.477443609022558</v>
      </c>
      <c r="AR44" s="144">
        <f t="shared" si="19"/>
        <v>16.100000000000001</v>
      </c>
      <c r="AS44" s="429" t="e">
        <f t="shared" si="14"/>
        <v>#N/A</v>
      </c>
      <c r="AT44" s="341" t="e">
        <f t="shared" si="14"/>
        <v>#N/A</v>
      </c>
      <c r="AU44" s="341" t="e">
        <f t="shared" si="14"/>
        <v>#N/A</v>
      </c>
      <c r="AV44" s="341" t="e">
        <f t="shared" si="14"/>
        <v>#N/A</v>
      </c>
      <c r="AW44" s="430">
        <f t="shared" si="14"/>
        <v>4.3936731107205626E-2</v>
      </c>
      <c r="AX44" s="904" t="e">
        <f t="shared" si="15"/>
        <v>#N/A</v>
      </c>
      <c r="AY44" s="904" t="e">
        <f t="shared" si="15"/>
        <v>#N/A</v>
      </c>
      <c r="AZ44" s="904" t="e">
        <f t="shared" si="15"/>
        <v>#N/A</v>
      </c>
      <c r="BA44" s="904" t="e">
        <f t="shared" si="15"/>
        <v>#N/A</v>
      </c>
      <c r="BB44" s="904" t="e">
        <f t="shared" si="15"/>
        <v>#N/A</v>
      </c>
      <c r="BC44" s="429">
        <f t="shared" si="16"/>
        <v>0.10641399416909621</v>
      </c>
      <c r="BD44" s="341">
        <f t="shared" si="16"/>
        <v>7.4626865671641784E-2</v>
      </c>
      <c r="BE44" s="341">
        <f t="shared" si="16"/>
        <v>8.8709677419354843E-2</v>
      </c>
      <c r="BF44" s="341">
        <f t="shared" si="16"/>
        <v>9.0740740740740747E-2</v>
      </c>
      <c r="BG44" s="430">
        <f t="shared" si="16"/>
        <v>7.2580645161290328E-2</v>
      </c>
      <c r="BH44" s="429">
        <f t="shared" si="17"/>
        <v>0.20446096654275092</v>
      </c>
      <c r="BI44" s="341">
        <f t="shared" si="17"/>
        <v>0.24943820224719102</v>
      </c>
      <c r="BJ44" s="341">
        <f t="shared" si="17"/>
        <v>0.28298279158699807</v>
      </c>
      <c r="BK44" s="341">
        <f t="shared" si="17"/>
        <v>0.25</v>
      </c>
      <c r="BL44" s="430">
        <f t="shared" si="17"/>
        <v>0.21870047543581617</v>
      </c>
      <c r="BM44" s="429" t="e">
        <f>VLOOKUP($AL44,#REF!,BM$37,FALSE)</f>
        <v>#REF!</v>
      </c>
      <c r="BN44" s="341" t="e">
        <f>VLOOKUP($AL44,#REF!,BN$37,FALSE)</f>
        <v>#REF!</v>
      </c>
      <c r="BO44" s="341" t="e">
        <f>VLOOKUP($AL44,#REF!,BO$37,FALSE)</f>
        <v>#REF!</v>
      </c>
      <c r="BP44" s="341" t="e">
        <f>VLOOKUP($AL44,#REF!,BP$37,FALSE)</f>
        <v>#REF!</v>
      </c>
      <c r="BQ44" s="430" t="e">
        <f>VLOOKUP($AL44,#REF!,BQ$37,FALSE)</f>
        <v>#REF!</v>
      </c>
      <c r="BR44" s="341" t="b">
        <f t="shared" si="20"/>
        <v>0</v>
      </c>
      <c r="BS44" s="429">
        <f t="shared" si="18"/>
        <v>0.99212598425196852</v>
      </c>
      <c r="BT44" s="341">
        <f t="shared" si="18"/>
        <v>0.97667638483965014</v>
      </c>
      <c r="BU44" s="341">
        <f t="shared" si="18"/>
        <v>0.92121212121212126</v>
      </c>
      <c r="BV44" s="341">
        <f t="shared" si="18"/>
        <v>0.90600522193211486</v>
      </c>
      <c r="BW44" s="430">
        <f t="shared" si="18"/>
        <v>0.95100222717149219</v>
      </c>
    </row>
    <row r="45" spans="1:75" s="78" customFormat="1" ht="14.25" customHeight="1" x14ac:dyDescent="0.2">
      <c r="A45" s="121"/>
      <c r="B45" s="220"/>
      <c r="C45" s="220"/>
      <c r="D45" s="221"/>
      <c r="E45" s="221"/>
      <c r="F45" s="221"/>
      <c r="G45" s="221"/>
      <c r="H45" s="221"/>
      <c r="I45" s="221"/>
      <c r="J45" s="16"/>
      <c r="K45" s="9"/>
      <c r="L45" s="9"/>
      <c r="M45" s="9"/>
      <c r="N45" s="9"/>
      <c r="O45" s="9"/>
      <c r="P45" s="9"/>
      <c r="Q45" s="9"/>
      <c r="R45" s="9"/>
      <c r="S45" s="9"/>
      <c r="T45" s="9"/>
      <c r="U45" s="9"/>
      <c r="V45" s="122"/>
      <c r="W45" s="139"/>
      <c r="X45" s="289"/>
      <c r="AD45" s="83"/>
      <c r="AE45" s="83"/>
      <c r="AF45" s="83"/>
      <c r="AG45" s="83"/>
      <c r="AH45" s="83"/>
      <c r="AI45" s="83"/>
      <c r="AJ45" s="560" t="b">
        <v>1</v>
      </c>
      <c r="AK45" s="156" t="s">
        <v>6</v>
      </c>
      <c r="AL45" s="89" t="str">
        <f t="shared" si="12"/>
        <v>Hampshire</v>
      </c>
      <c r="AM45" s="143">
        <f t="shared" si="13"/>
        <v>48.099467140319717</v>
      </c>
      <c r="AN45" s="143">
        <f t="shared" si="13"/>
        <v>51.117417523944667</v>
      </c>
      <c r="AO45" s="143">
        <f t="shared" si="13"/>
        <v>44.660537482319661</v>
      </c>
      <c r="AP45" s="143">
        <f t="shared" si="13"/>
        <v>45.675961877867984</v>
      </c>
      <c r="AQ45" s="143">
        <f t="shared" si="13"/>
        <v>38.62676056338028</v>
      </c>
      <c r="AR45" s="144">
        <f t="shared" si="19"/>
        <v>10.100000000000001</v>
      </c>
      <c r="AS45" s="429" t="e">
        <f t="shared" si="14"/>
        <v>#N/A</v>
      </c>
      <c r="AT45" s="341" t="e">
        <f t="shared" si="14"/>
        <v>#N/A</v>
      </c>
      <c r="AU45" s="341" t="e">
        <f t="shared" si="14"/>
        <v>#N/A</v>
      </c>
      <c r="AV45" s="341" t="e">
        <f t="shared" si="14"/>
        <v>#N/A</v>
      </c>
      <c r="AW45" s="430">
        <f t="shared" si="14"/>
        <v>3.1905195989061073E-2</v>
      </c>
      <c r="AX45" s="905" t="e">
        <f t="shared" si="15"/>
        <v>#N/A</v>
      </c>
      <c r="AY45" s="905" t="e">
        <f t="shared" si="15"/>
        <v>#N/A</v>
      </c>
      <c r="AZ45" s="905" t="e">
        <f t="shared" si="15"/>
        <v>#N/A</v>
      </c>
      <c r="BA45" s="905" t="e">
        <f t="shared" si="15"/>
        <v>#N/A</v>
      </c>
      <c r="BB45" s="905" t="e">
        <f t="shared" si="15"/>
        <v>#N/A</v>
      </c>
      <c r="BC45" s="429">
        <f t="shared" si="16"/>
        <v>2.7112232030264818E-2</v>
      </c>
      <c r="BD45" s="341">
        <f t="shared" si="16"/>
        <v>4.1009463722397478E-2</v>
      </c>
      <c r="BE45" s="341">
        <f t="shared" si="16"/>
        <v>4.8891415577032402E-2</v>
      </c>
      <c r="BF45" s="341">
        <f t="shared" si="16"/>
        <v>7.1952031978680886E-2</v>
      </c>
      <c r="BG45" s="430">
        <f t="shared" si="16"/>
        <v>4.3738765727980827E-2</v>
      </c>
      <c r="BH45" s="429">
        <f t="shared" si="17"/>
        <v>0.1632208922742111</v>
      </c>
      <c r="BI45" s="341">
        <f t="shared" si="17"/>
        <v>0.20095693779904306</v>
      </c>
      <c r="BJ45" s="341">
        <f t="shared" si="17"/>
        <v>0.24273072060682679</v>
      </c>
      <c r="BK45" s="341">
        <f t="shared" si="17"/>
        <v>0.23046875</v>
      </c>
      <c r="BL45" s="430">
        <f t="shared" si="17"/>
        <v>0.21476964769647697</v>
      </c>
      <c r="BM45" s="429" t="e">
        <f>VLOOKUP($AL45,#REF!,BM$37,FALSE)</f>
        <v>#REF!</v>
      </c>
      <c r="BN45" s="341" t="e">
        <f>VLOOKUP($AL45,#REF!,BN$37,FALSE)</f>
        <v>#REF!</v>
      </c>
      <c r="BO45" s="341" t="e">
        <f>VLOOKUP($AL45,#REF!,BO$37,FALSE)</f>
        <v>#REF!</v>
      </c>
      <c r="BP45" s="341" t="e">
        <f>VLOOKUP($AL45,#REF!,BP$37,FALSE)</f>
        <v>#REF!</v>
      </c>
      <c r="BQ45" s="430" t="e">
        <f>VLOOKUP($AL45,#REF!,BQ$37,FALSE)</f>
        <v>#REF!</v>
      </c>
      <c r="BR45" s="341" t="b">
        <f t="shared" si="20"/>
        <v>0</v>
      </c>
      <c r="BS45" s="429">
        <f t="shared" si="18"/>
        <v>0.8628691983122363</v>
      </c>
      <c r="BT45" s="341">
        <f t="shared" si="18"/>
        <v>0.88361683079677711</v>
      </c>
      <c r="BU45" s="341">
        <f t="shared" si="18"/>
        <v>0.87581699346405228</v>
      </c>
      <c r="BV45" s="341">
        <f t="shared" si="18"/>
        <v>0.80021030494216616</v>
      </c>
      <c r="BW45" s="430">
        <f t="shared" si="18"/>
        <v>0.83475091130012147</v>
      </c>
    </row>
    <row r="46" spans="1:75" ht="14.25" customHeight="1" x14ac:dyDescent="0.2">
      <c r="A46" s="120"/>
      <c r="B46" s="221"/>
      <c r="C46" s="221"/>
      <c r="D46" s="221"/>
      <c r="E46" s="221"/>
      <c r="F46" s="221"/>
      <c r="G46" s="221"/>
      <c r="H46" s="221"/>
      <c r="I46" s="221"/>
      <c r="J46" s="13"/>
      <c r="K46" s="15"/>
      <c r="L46" s="15"/>
      <c r="M46" s="15"/>
      <c r="N46" s="15"/>
      <c r="O46" s="9"/>
      <c r="P46" s="9"/>
      <c r="Q46" s="9"/>
      <c r="R46" s="9"/>
      <c r="S46" s="9"/>
      <c r="T46" s="9"/>
      <c r="U46" s="9"/>
      <c r="V46" s="119"/>
      <c r="W46" s="138"/>
      <c r="X46" s="288"/>
      <c r="AJ46" s="560" t="b">
        <v>1</v>
      </c>
      <c r="AK46" s="156" t="s">
        <v>1</v>
      </c>
      <c r="AL46" s="89" t="str">
        <f t="shared" si="12"/>
        <v>Isle of Wight</v>
      </c>
      <c r="AM46" s="143">
        <f t="shared" si="13"/>
        <v>99.607843137254903</v>
      </c>
      <c r="AN46" s="143">
        <f t="shared" si="13"/>
        <v>84.584980237154156</v>
      </c>
      <c r="AO46" s="143">
        <f t="shared" si="13"/>
        <v>78.968253968253975</v>
      </c>
      <c r="AP46" s="143">
        <f t="shared" si="13"/>
        <v>76.892430278884461</v>
      </c>
      <c r="AQ46" s="143">
        <f t="shared" si="13"/>
        <v>66.265060240963848</v>
      </c>
      <c r="AR46" s="144">
        <f t="shared" si="19"/>
        <v>18</v>
      </c>
      <c r="AS46" s="429" t="e">
        <f t="shared" si="14"/>
        <v>#N/A</v>
      </c>
      <c r="AT46" s="341" t="e">
        <f t="shared" si="14"/>
        <v>#N/A</v>
      </c>
      <c r="AU46" s="341" t="e">
        <f t="shared" si="14"/>
        <v>#N/A</v>
      </c>
      <c r="AV46" s="341" t="e">
        <f t="shared" si="14"/>
        <v>#N/A</v>
      </c>
      <c r="AW46" s="430" t="e">
        <f t="shared" si="14"/>
        <v>#N/A</v>
      </c>
      <c r="AX46" s="904" t="e">
        <f t="shared" si="15"/>
        <v>#N/A</v>
      </c>
      <c r="AY46" s="904" t="e">
        <f t="shared" si="15"/>
        <v>#N/A</v>
      </c>
      <c r="AZ46" s="904" t="e">
        <f t="shared" si="15"/>
        <v>#N/A</v>
      </c>
      <c r="BA46" s="904" t="e">
        <f t="shared" si="15"/>
        <v>#N/A</v>
      </c>
      <c r="BB46" s="904" t="e">
        <f t="shared" si="15"/>
        <v>#N/A</v>
      </c>
      <c r="BC46" s="429">
        <f t="shared" si="16"/>
        <v>3.608247422680412E-2</v>
      </c>
      <c r="BD46" s="341">
        <f t="shared" si="16"/>
        <v>4.5180722891566265E-2</v>
      </c>
      <c r="BE46" s="341">
        <f t="shared" si="16"/>
        <v>3.6885245901639344E-2</v>
      </c>
      <c r="BF46" s="341">
        <f t="shared" si="16"/>
        <v>5.7777777777777775E-2</v>
      </c>
      <c r="BG46" s="430">
        <f t="shared" si="16"/>
        <v>5.2401746724890827E-2</v>
      </c>
      <c r="BH46" s="429">
        <f t="shared" si="17"/>
        <v>0.15438596491228071</v>
      </c>
      <c r="BI46" s="341">
        <f t="shared" si="17"/>
        <v>0.14726027397260275</v>
      </c>
      <c r="BJ46" s="341">
        <f t="shared" si="17"/>
        <v>0.20779220779220781</v>
      </c>
      <c r="BK46" s="341">
        <f t="shared" si="17"/>
        <v>0.23287671232876711</v>
      </c>
      <c r="BL46" s="430">
        <f t="shared" si="17"/>
        <v>0.21782178217821782</v>
      </c>
      <c r="BM46" s="429" t="e">
        <f>VLOOKUP($AL46,#REF!,BM$37,FALSE)</f>
        <v>#REF!</v>
      </c>
      <c r="BN46" s="341" t="e">
        <f>VLOOKUP($AL46,#REF!,BN$37,FALSE)</f>
        <v>#REF!</v>
      </c>
      <c r="BO46" s="341" t="e">
        <f>VLOOKUP($AL46,#REF!,BO$37,FALSE)</f>
        <v>#REF!</v>
      </c>
      <c r="BP46" s="341" t="e">
        <f>VLOOKUP($AL46,#REF!,BP$37,FALSE)</f>
        <v>#REF!</v>
      </c>
      <c r="BQ46" s="430" t="e">
        <f>VLOOKUP($AL46,#REF!,BQ$37,FALSE)</f>
        <v>#REF!</v>
      </c>
      <c r="BR46" s="341" t="b">
        <f t="shared" si="20"/>
        <v>0</v>
      </c>
      <c r="BS46" s="429">
        <f t="shared" si="18"/>
        <v>0.88775510204081631</v>
      </c>
      <c r="BT46" s="341">
        <f t="shared" si="18"/>
        <v>0.97241379310344822</v>
      </c>
      <c r="BU46" s="341">
        <f t="shared" si="18"/>
        <v>0.875</v>
      </c>
      <c r="BV46" s="341">
        <f t="shared" si="18"/>
        <v>0.95394736842105265</v>
      </c>
      <c r="BW46" s="430">
        <f t="shared" si="18"/>
        <v>0.99199999999999999</v>
      </c>
    </row>
    <row r="47" spans="1:75" ht="14.25" customHeight="1" x14ac:dyDescent="0.2">
      <c r="A47" s="120"/>
      <c r="B47" s="221"/>
      <c r="C47" s="221"/>
      <c r="D47" s="221"/>
      <c r="E47" s="221"/>
      <c r="F47" s="221"/>
      <c r="G47" s="221"/>
      <c r="H47" s="221"/>
      <c r="I47" s="221"/>
      <c r="J47" s="13"/>
      <c r="K47" s="15"/>
      <c r="L47" s="15"/>
      <c r="M47" s="15"/>
      <c r="N47" s="15"/>
      <c r="O47" s="9"/>
      <c r="P47" s="9"/>
      <c r="Q47" s="9"/>
      <c r="R47" s="9"/>
      <c r="S47" s="9"/>
      <c r="T47" s="9"/>
      <c r="U47" s="9"/>
      <c r="V47" s="119"/>
      <c r="W47" s="138"/>
      <c r="X47" s="288"/>
      <c r="AD47" s="204"/>
      <c r="AJ47" s="560" t="b">
        <v>1</v>
      </c>
      <c r="AK47" s="156" t="s">
        <v>9</v>
      </c>
      <c r="AL47" s="89" t="str">
        <f t="shared" si="12"/>
        <v>Kent</v>
      </c>
      <c r="AM47" s="143">
        <f t="shared" si="13"/>
        <v>37.831251903746576</v>
      </c>
      <c r="AN47" s="143">
        <f t="shared" si="13"/>
        <v>31.74939467312349</v>
      </c>
      <c r="AO47" s="143">
        <f t="shared" si="13"/>
        <v>35.585585585585584</v>
      </c>
      <c r="AP47" s="143">
        <f t="shared" si="13"/>
        <v>43.498958643260934</v>
      </c>
      <c r="AQ47" s="143">
        <f t="shared" si="13"/>
        <v>38.312261099676569</v>
      </c>
      <c r="AR47" s="144">
        <f t="shared" si="19"/>
        <v>15.8</v>
      </c>
      <c r="AS47" s="429" t="e">
        <f t="shared" si="14"/>
        <v>#N/A</v>
      </c>
      <c r="AT47" s="341" t="e">
        <f t="shared" si="14"/>
        <v>#N/A</v>
      </c>
      <c r="AU47" s="341" t="e">
        <f t="shared" si="14"/>
        <v>#N/A</v>
      </c>
      <c r="AV47" s="341" t="e">
        <f t="shared" si="14"/>
        <v>#N/A</v>
      </c>
      <c r="AW47" s="430">
        <f t="shared" si="14"/>
        <v>2.6093630084420567E-2</v>
      </c>
      <c r="AX47" s="904" t="e">
        <f t="shared" si="15"/>
        <v>#N/A</v>
      </c>
      <c r="AY47" s="904" t="e">
        <f t="shared" si="15"/>
        <v>#N/A</v>
      </c>
      <c r="AZ47" s="904" t="e">
        <f t="shared" si="15"/>
        <v>#N/A</v>
      </c>
      <c r="BA47" s="904" t="e">
        <f t="shared" si="15"/>
        <v>#N/A</v>
      </c>
      <c r="BB47" s="904" t="e">
        <f t="shared" si="15"/>
        <v>#N/A</v>
      </c>
      <c r="BC47" s="429">
        <f t="shared" si="16"/>
        <v>2.176696542893726E-2</v>
      </c>
      <c r="BD47" s="341">
        <f t="shared" si="16"/>
        <v>2.911978821972204E-2</v>
      </c>
      <c r="BE47" s="341">
        <f t="shared" si="16"/>
        <v>3.7800687285223365E-2</v>
      </c>
      <c r="BF47" s="341">
        <f t="shared" si="16"/>
        <v>4.1309431021044424E-2</v>
      </c>
      <c r="BG47" s="430">
        <f t="shared" si="16"/>
        <v>5.7124518613607192E-2</v>
      </c>
      <c r="BH47" s="429">
        <f t="shared" si="17"/>
        <v>0.18411330049261085</v>
      </c>
      <c r="BI47" s="341">
        <f t="shared" si="17"/>
        <v>0.20090978013646701</v>
      </c>
      <c r="BJ47" s="341">
        <f t="shared" si="17"/>
        <v>0.19384615384615383</v>
      </c>
      <c r="BK47" s="341">
        <f t="shared" si="17"/>
        <v>0.20397690827453496</v>
      </c>
      <c r="BL47" s="430">
        <f t="shared" si="17"/>
        <v>0.19088319088319089</v>
      </c>
      <c r="BM47" s="429" t="e">
        <f>VLOOKUP($AL47,#REF!,BM$37,FALSE)</f>
        <v>#REF!</v>
      </c>
      <c r="BN47" s="341" t="e">
        <f>VLOOKUP($AL47,#REF!,BN$37,FALSE)</f>
        <v>#REF!</v>
      </c>
      <c r="BO47" s="341" t="e">
        <f>VLOOKUP($AL47,#REF!,BO$37,FALSE)</f>
        <v>#REF!</v>
      </c>
      <c r="BP47" s="341" t="e">
        <f>VLOOKUP($AL47,#REF!,BP$37,FALSE)</f>
        <v>#REF!</v>
      </c>
      <c r="BQ47" s="430" t="e">
        <f>VLOOKUP($AL47,#REF!,BQ$37,FALSE)</f>
        <v>#REF!</v>
      </c>
      <c r="BR47" s="341" t="b">
        <f t="shared" si="20"/>
        <v>0</v>
      </c>
      <c r="BS47" s="429">
        <f t="shared" si="18"/>
        <v>0.99395405078597343</v>
      </c>
      <c r="BT47" s="341">
        <f t="shared" si="18"/>
        <v>1</v>
      </c>
      <c r="BU47" s="341">
        <f t="shared" si="18"/>
        <v>1</v>
      </c>
      <c r="BV47" s="341">
        <f t="shared" si="18"/>
        <v>0.99653078924544669</v>
      </c>
      <c r="BW47" s="430">
        <f t="shared" si="18"/>
        <v>0.99891540130151846</v>
      </c>
    </row>
    <row r="48" spans="1:75" ht="14.25" customHeight="1" x14ac:dyDescent="0.2">
      <c r="A48" s="120"/>
      <c r="B48" s="58"/>
      <c r="C48" s="58"/>
      <c r="D48" s="58"/>
      <c r="E48" s="58"/>
      <c r="F48" s="58"/>
      <c r="G48" s="58"/>
      <c r="H48" s="58"/>
      <c r="I48" s="58"/>
      <c r="J48" s="13"/>
      <c r="K48" s="15"/>
      <c r="L48" s="15"/>
      <c r="M48" s="15"/>
      <c r="N48" s="15"/>
      <c r="O48" s="9"/>
      <c r="P48" s="9"/>
      <c r="Q48" s="9"/>
      <c r="R48" s="9"/>
      <c r="S48" s="9"/>
      <c r="T48" s="9"/>
      <c r="U48" s="9"/>
      <c r="V48" s="119"/>
      <c r="W48" s="138"/>
      <c r="X48" s="288"/>
      <c r="AD48" s="179"/>
      <c r="AJ48" s="560" t="b">
        <v>1</v>
      </c>
      <c r="AK48" s="156" t="s">
        <v>2</v>
      </c>
      <c r="AL48" s="89" t="str">
        <f t="shared" si="12"/>
        <v>Medway</v>
      </c>
      <c r="AM48" s="143">
        <f t="shared" si="13"/>
        <v>76</v>
      </c>
      <c r="AN48" s="143">
        <f t="shared" si="13"/>
        <v>85.284810126582272</v>
      </c>
      <c r="AO48" s="143">
        <f t="shared" si="13"/>
        <v>49.136577708006286</v>
      </c>
      <c r="AP48" s="143">
        <f t="shared" si="13"/>
        <v>53.834115805946794</v>
      </c>
      <c r="AQ48" s="143">
        <f t="shared" si="13"/>
        <v>55.12422360248447</v>
      </c>
      <c r="AR48" s="144">
        <f t="shared" si="19"/>
        <v>18.899999999999999</v>
      </c>
      <c r="AS48" s="429" t="e">
        <f t="shared" si="14"/>
        <v>#N/A</v>
      </c>
      <c r="AT48" s="341" t="e">
        <f t="shared" si="14"/>
        <v>#N/A</v>
      </c>
      <c r="AU48" s="341" t="e">
        <f t="shared" si="14"/>
        <v>#N/A</v>
      </c>
      <c r="AV48" s="341" t="e">
        <f t="shared" si="14"/>
        <v>#N/A</v>
      </c>
      <c r="AW48" s="430">
        <f t="shared" si="14"/>
        <v>3.3802816901408447E-2</v>
      </c>
      <c r="AX48" s="904" t="e">
        <f t="shared" si="15"/>
        <v>#N/A</v>
      </c>
      <c r="AY48" s="904" t="e">
        <f t="shared" si="15"/>
        <v>#N/A</v>
      </c>
      <c r="AZ48" s="904" t="e">
        <f t="shared" si="15"/>
        <v>#N/A</v>
      </c>
      <c r="BA48" s="904" t="e">
        <f t="shared" si="15"/>
        <v>#N/A</v>
      </c>
      <c r="BB48" s="904" t="e">
        <f t="shared" si="15"/>
        <v>#N/A</v>
      </c>
      <c r="BC48" s="429">
        <f t="shared" si="16"/>
        <v>5.2132701421800945E-2</v>
      </c>
      <c r="BD48" s="341">
        <f t="shared" si="16"/>
        <v>4.4715447154471545E-2</v>
      </c>
      <c r="BE48" s="341">
        <f t="shared" si="16"/>
        <v>5.9782608695652176E-2</v>
      </c>
      <c r="BF48" s="341">
        <f t="shared" si="16"/>
        <v>5.089820359281437E-2</v>
      </c>
      <c r="BG48" s="430">
        <f t="shared" si="16"/>
        <v>7.2052401746724892E-2</v>
      </c>
      <c r="BH48" s="429">
        <f t="shared" si="17"/>
        <v>0.14842300556586271</v>
      </c>
      <c r="BI48" s="341">
        <f t="shared" si="17"/>
        <v>0.18165467625899281</v>
      </c>
      <c r="BJ48" s="341">
        <f t="shared" si="17"/>
        <v>0.2073170731707317</v>
      </c>
      <c r="BK48" s="341">
        <f t="shared" si="17"/>
        <v>0.22465753424657534</v>
      </c>
      <c r="BL48" s="430">
        <f t="shared" si="17"/>
        <v>0.17484008528784648</v>
      </c>
      <c r="BM48" s="429" t="e">
        <f>VLOOKUP($AL48,#REF!,BM$37,FALSE)</f>
        <v>#REF!</v>
      </c>
      <c r="BN48" s="341" t="e">
        <f>VLOOKUP($AL48,#REF!,BN$37,FALSE)</f>
        <v>#REF!</v>
      </c>
      <c r="BO48" s="341" t="e">
        <f>VLOOKUP($AL48,#REF!,BO$37,FALSE)</f>
        <v>#REF!</v>
      </c>
      <c r="BP48" s="341" t="e">
        <f>VLOOKUP($AL48,#REF!,BP$37,FALSE)</f>
        <v>#REF!</v>
      </c>
      <c r="BQ48" s="430" t="e">
        <f>VLOOKUP($AL48,#REF!,BQ$37,FALSE)</f>
        <v>#REF!</v>
      </c>
      <c r="BR48" s="341" t="b">
        <f t="shared" si="20"/>
        <v>0</v>
      </c>
      <c r="BS48" s="429">
        <f t="shared" si="18"/>
        <v>0.96296296296296291</v>
      </c>
      <c r="BT48" s="341">
        <f t="shared" si="18"/>
        <v>0.98987341772151893</v>
      </c>
      <c r="BU48" s="341">
        <f t="shared" si="18"/>
        <v>0.97844827586206895</v>
      </c>
      <c r="BV48" s="341">
        <f t="shared" si="18"/>
        <v>0.9507575757575758</v>
      </c>
      <c r="BW48" s="430">
        <f t="shared" si="18"/>
        <v>0.99170124481327804</v>
      </c>
    </row>
    <row r="49" spans="1:75" ht="14.25" customHeight="1" x14ac:dyDescent="0.2">
      <c r="A49" s="120"/>
      <c r="B49" s="58"/>
      <c r="C49" s="58"/>
      <c r="D49" s="68"/>
      <c r="E49" s="69"/>
      <c r="F49" s="68"/>
      <c r="G49" s="69"/>
      <c r="H49" s="69"/>
      <c r="I49" s="69"/>
      <c r="J49" s="13"/>
      <c r="K49" s="15"/>
      <c r="L49" s="15"/>
      <c r="M49" s="15"/>
      <c r="N49" s="15"/>
      <c r="O49" s="9"/>
      <c r="P49" s="9"/>
      <c r="Q49" s="9"/>
      <c r="R49" s="9"/>
      <c r="S49" s="9"/>
      <c r="T49" s="9"/>
      <c r="U49" s="9"/>
      <c r="V49" s="119"/>
      <c r="W49" s="138"/>
      <c r="X49" s="288"/>
      <c r="AJ49" s="560" t="b">
        <v>1</v>
      </c>
      <c r="AK49" s="156" t="s">
        <v>10</v>
      </c>
      <c r="AL49" s="89" t="str">
        <f t="shared" si="12"/>
        <v>Milton Keynes</v>
      </c>
      <c r="AM49" s="143">
        <f t="shared" si="13"/>
        <v>8.7423312883435589</v>
      </c>
      <c r="AN49" s="143">
        <f t="shared" si="13"/>
        <v>13.918305597579424</v>
      </c>
      <c r="AO49" s="143">
        <f t="shared" si="13"/>
        <v>13.412816691505217</v>
      </c>
      <c r="AP49" s="143">
        <f t="shared" si="13"/>
        <v>15.384615384615385</v>
      </c>
      <c r="AQ49" s="143">
        <f t="shared" si="13"/>
        <v>19.912152269399709</v>
      </c>
      <c r="AR49" s="144">
        <f t="shared" si="19"/>
        <v>15</v>
      </c>
      <c r="AS49" s="429" t="e">
        <f t="shared" si="14"/>
        <v>#N/A</v>
      </c>
      <c r="AT49" s="341" t="e">
        <f t="shared" si="14"/>
        <v>#N/A</v>
      </c>
      <c r="AU49" s="341" t="e">
        <f t="shared" si="14"/>
        <v>#N/A</v>
      </c>
      <c r="AV49" s="341" t="e">
        <f t="shared" si="14"/>
        <v>#N/A</v>
      </c>
      <c r="AW49" s="430" t="e">
        <f t="shared" si="14"/>
        <v>#N/A</v>
      </c>
      <c r="AX49" s="904" t="e">
        <f t="shared" si="15"/>
        <v>#N/A</v>
      </c>
      <c r="AY49" s="904" t="e">
        <f t="shared" si="15"/>
        <v>#N/A</v>
      </c>
      <c r="AZ49" s="904" t="e">
        <f t="shared" si="15"/>
        <v>#N/A</v>
      </c>
      <c r="BA49" s="904" t="e">
        <f t="shared" si="15"/>
        <v>#N/A</v>
      </c>
      <c r="BB49" s="904" t="e">
        <f t="shared" si="15"/>
        <v>#N/A</v>
      </c>
      <c r="BC49" s="429">
        <f t="shared" si="16"/>
        <v>0</v>
      </c>
      <c r="BD49" s="341" t="e">
        <f t="shared" si="16"/>
        <v>#N/A</v>
      </c>
      <c r="BE49" s="341">
        <f t="shared" si="16"/>
        <v>0</v>
      </c>
      <c r="BF49" s="341">
        <f t="shared" si="16"/>
        <v>0</v>
      </c>
      <c r="BG49" s="430" t="e">
        <f t="shared" si="16"/>
        <v>#N/A</v>
      </c>
      <c r="BH49" s="429">
        <f t="shared" si="17"/>
        <v>8.247422680412371E-2</v>
      </c>
      <c r="BI49" s="341" t="e">
        <f t="shared" si="17"/>
        <v>#N/A</v>
      </c>
      <c r="BJ49" s="341">
        <f t="shared" si="17"/>
        <v>8.6956521739130432E-2</v>
      </c>
      <c r="BK49" s="341">
        <f t="shared" si="17"/>
        <v>8.0246913580246909E-2</v>
      </c>
      <c r="BL49" s="430">
        <f t="shared" si="17"/>
        <v>0.13861386138613863</v>
      </c>
      <c r="BM49" s="429" t="e">
        <f>VLOOKUP($AL49,#REF!,BM$37,FALSE)</f>
        <v>#REF!</v>
      </c>
      <c r="BN49" s="341" t="e">
        <f>VLOOKUP($AL49,#REF!,BN$37,FALSE)</f>
        <v>#REF!</v>
      </c>
      <c r="BO49" s="341" t="e">
        <f>VLOOKUP($AL49,#REF!,BO$37,FALSE)</f>
        <v>#REF!</v>
      </c>
      <c r="BP49" s="341" t="e">
        <f>VLOOKUP($AL49,#REF!,BP$37,FALSE)</f>
        <v>#REF!</v>
      </c>
      <c r="BQ49" s="430" t="e">
        <f>VLOOKUP($AL49,#REF!,BQ$37,FALSE)</f>
        <v>#REF!</v>
      </c>
      <c r="BR49" s="341" t="b">
        <f t="shared" si="20"/>
        <v>0</v>
      </c>
      <c r="BS49" s="429">
        <f t="shared" si="18"/>
        <v>1</v>
      </c>
      <c r="BT49" s="341">
        <f t="shared" si="18"/>
        <v>0.95652173913043481</v>
      </c>
      <c r="BU49" s="341">
        <f t="shared" si="18"/>
        <v>1</v>
      </c>
      <c r="BV49" s="341">
        <f t="shared" si="18"/>
        <v>0.98529411764705888</v>
      </c>
      <c r="BW49" s="430">
        <f t="shared" si="18"/>
        <v>0.96511627906976749</v>
      </c>
    </row>
    <row r="50" spans="1:75" ht="14.25" customHeight="1" x14ac:dyDescent="0.2">
      <c r="A50" s="120"/>
      <c r="B50" s="58"/>
      <c r="C50" s="58"/>
      <c r="D50" s="61"/>
      <c r="E50" s="61"/>
      <c r="F50" s="61"/>
      <c r="G50" s="61"/>
      <c r="H50" s="61"/>
      <c r="I50" s="61"/>
      <c r="J50" s="13"/>
      <c r="K50" s="15"/>
      <c r="L50" s="15"/>
      <c r="M50" s="15"/>
      <c r="N50" s="15"/>
      <c r="O50" s="9"/>
      <c r="P50" s="9"/>
      <c r="Q50" s="9"/>
      <c r="R50" s="9"/>
      <c r="S50" s="9"/>
      <c r="T50" s="9"/>
      <c r="U50" s="9"/>
      <c r="V50" s="119"/>
      <c r="W50" s="138"/>
      <c r="X50" s="288"/>
      <c r="AJ50" s="560" t="b">
        <v>1</v>
      </c>
      <c r="AK50" s="156" t="s">
        <v>11</v>
      </c>
      <c r="AL50" s="89" t="str">
        <f t="shared" si="12"/>
        <v>Oxfordshire</v>
      </c>
      <c r="AM50" s="143">
        <f t="shared" si="13"/>
        <v>40.297450424929174</v>
      </c>
      <c r="AN50" s="143">
        <f t="shared" si="13"/>
        <v>40.267983074753175</v>
      </c>
      <c r="AO50" s="143">
        <f t="shared" si="13"/>
        <v>42.617214835549333</v>
      </c>
      <c r="AP50" s="143">
        <f t="shared" si="13"/>
        <v>47.90794979079498</v>
      </c>
      <c r="AQ50" s="143">
        <f t="shared" si="13"/>
        <v>40.88397790055248</v>
      </c>
      <c r="AR50" s="144">
        <f t="shared" si="19"/>
        <v>10.100000000000001</v>
      </c>
      <c r="AS50" s="429" t="e">
        <f t="shared" si="14"/>
        <v>#N/A</v>
      </c>
      <c r="AT50" s="341" t="e">
        <f t="shared" si="14"/>
        <v>#N/A</v>
      </c>
      <c r="AU50" s="341" t="e">
        <f t="shared" si="14"/>
        <v>#N/A</v>
      </c>
      <c r="AV50" s="341" t="e">
        <f t="shared" si="14"/>
        <v>#N/A</v>
      </c>
      <c r="AW50" s="430">
        <f t="shared" si="14"/>
        <v>6.25E-2</v>
      </c>
      <c r="AX50" s="904" t="e">
        <f t="shared" si="15"/>
        <v>#N/A</v>
      </c>
      <c r="AY50" s="904" t="e">
        <f t="shared" si="15"/>
        <v>#N/A</v>
      </c>
      <c r="AZ50" s="904" t="e">
        <f t="shared" si="15"/>
        <v>#N/A</v>
      </c>
      <c r="BA50" s="904" t="e">
        <f t="shared" si="15"/>
        <v>#N/A</v>
      </c>
      <c r="BB50" s="904" t="e">
        <f t="shared" si="15"/>
        <v>#N/A</v>
      </c>
      <c r="BC50" s="429">
        <f t="shared" si="16"/>
        <v>6.32688927943761E-2</v>
      </c>
      <c r="BD50" s="341">
        <f t="shared" si="16"/>
        <v>4.9645390070921988E-2</v>
      </c>
      <c r="BE50" s="341">
        <f t="shared" si="16"/>
        <v>4.4619422572178477E-2</v>
      </c>
      <c r="BF50" s="341">
        <f t="shared" si="16"/>
        <v>4.0935672514619881E-2</v>
      </c>
      <c r="BG50" s="430">
        <f t="shared" si="16"/>
        <v>6.7938021454112041E-2</v>
      </c>
      <c r="BH50" s="429">
        <f t="shared" si="17"/>
        <v>0.16561514195583596</v>
      </c>
      <c r="BI50" s="341">
        <f t="shared" si="17"/>
        <v>0.2132768361581921</v>
      </c>
      <c r="BJ50" s="341">
        <f t="shared" si="17"/>
        <v>0.18375</v>
      </c>
      <c r="BK50" s="341">
        <f t="shared" si="17"/>
        <v>0.23415265200517466</v>
      </c>
      <c r="BL50" s="430">
        <f t="shared" si="17"/>
        <v>0.21908602150537634</v>
      </c>
      <c r="BM50" s="429" t="e">
        <f>VLOOKUP($AL50,#REF!,BM$37,FALSE)</f>
        <v>#REF!</v>
      </c>
      <c r="BN50" s="341" t="e">
        <f>VLOOKUP($AL50,#REF!,BN$37,FALSE)</f>
        <v>#REF!</v>
      </c>
      <c r="BO50" s="341" t="e">
        <f>VLOOKUP($AL50,#REF!,BO$37,FALSE)</f>
        <v>#REF!</v>
      </c>
      <c r="BP50" s="341" t="e">
        <f>VLOOKUP($AL50,#REF!,BP$37,FALSE)</f>
        <v>#REF!</v>
      </c>
      <c r="BQ50" s="430" t="e">
        <f>VLOOKUP($AL50,#REF!,BQ$37,FALSE)</f>
        <v>#REF!</v>
      </c>
      <c r="BR50" s="341" t="b">
        <f t="shared" si="20"/>
        <v>0</v>
      </c>
      <c r="BS50" s="429">
        <f t="shared" si="18"/>
        <v>0.95454545454545459</v>
      </c>
      <c r="BT50" s="341">
        <f t="shared" si="18"/>
        <v>0.95674300254452926</v>
      </c>
      <c r="BU50" s="341">
        <f t="shared" si="18"/>
        <v>0.97136038186157514</v>
      </c>
      <c r="BV50" s="341">
        <f t="shared" si="18"/>
        <v>0.93724696356275305</v>
      </c>
      <c r="BW50" s="430">
        <f t="shared" si="18"/>
        <v>0.92009685230024219</v>
      </c>
    </row>
    <row r="51" spans="1:75" ht="14.25" customHeight="1" x14ac:dyDescent="0.2">
      <c r="A51" s="120"/>
      <c r="B51" s="356"/>
      <c r="C51" s="356"/>
      <c r="D51" s="58"/>
      <c r="E51" s="58"/>
      <c r="F51" s="58"/>
      <c r="G51" s="58"/>
      <c r="H51" s="58"/>
      <c r="I51" s="58"/>
      <c r="J51" s="13"/>
      <c r="K51" s="15"/>
      <c r="L51" s="15"/>
      <c r="M51" s="15"/>
      <c r="N51" s="15"/>
      <c r="O51" s="9"/>
      <c r="P51" s="9"/>
      <c r="Q51" s="9"/>
      <c r="R51" s="9"/>
      <c r="S51" s="9"/>
      <c r="T51" s="9"/>
      <c r="U51" s="9"/>
      <c r="V51" s="119"/>
      <c r="W51" s="138"/>
      <c r="X51" s="288"/>
      <c r="AJ51" s="560" t="b">
        <v>1</v>
      </c>
      <c r="AK51" s="156" t="s">
        <v>12</v>
      </c>
      <c r="AL51" s="89" t="str">
        <f t="shared" si="12"/>
        <v>Portsmouth</v>
      </c>
      <c r="AM51" s="143">
        <f t="shared" ref="AM51:AQ64" si="21">VLOOKUP($AL51,$B$10:$O$33,AM$37,FALSE)</f>
        <v>53.456221198156683</v>
      </c>
      <c r="AN51" s="143">
        <f t="shared" si="21"/>
        <v>62.785388127853878</v>
      </c>
      <c r="AO51" s="143">
        <f t="shared" si="21"/>
        <v>55</v>
      </c>
      <c r="AP51" s="143">
        <f t="shared" si="21"/>
        <v>64.705882352941174</v>
      </c>
      <c r="AQ51" s="143">
        <f t="shared" si="21"/>
        <v>44.31818181818182</v>
      </c>
      <c r="AR51" s="144">
        <f t="shared" si="19"/>
        <v>20.200000000000003</v>
      </c>
      <c r="AS51" s="429" t="e">
        <f t="shared" ref="AS51:AW64" si="22">VLOOKUP($AL51,$B$112:$H$135,AS$37,FALSE)</f>
        <v>#N/A</v>
      </c>
      <c r="AT51" s="341" t="e">
        <f t="shared" si="22"/>
        <v>#N/A</v>
      </c>
      <c r="AU51" s="341" t="e">
        <f t="shared" si="22"/>
        <v>#N/A</v>
      </c>
      <c r="AV51" s="341" t="e">
        <f t="shared" si="22"/>
        <v>#N/A</v>
      </c>
      <c r="AW51" s="430" t="e">
        <f t="shared" si="22"/>
        <v>#N/A</v>
      </c>
      <c r="AX51" s="904" t="e">
        <f t="shared" ref="AX51:BB64" si="23">VLOOKUP($AL51,$B$148:$H$171,AX$37,FALSE)</f>
        <v>#N/A</v>
      </c>
      <c r="AY51" s="904" t="e">
        <f t="shared" si="23"/>
        <v>#N/A</v>
      </c>
      <c r="AZ51" s="904" t="e">
        <f t="shared" si="23"/>
        <v>#N/A</v>
      </c>
      <c r="BA51" s="904" t="e">
        <f t="shared" si="23"/>
        <v>#N/A</v>
      </c>
      <c r="BB51" s="904" t="e">
        <f t="shared" si="23"/>
        <v>#N/A</v>
      </c>
      <c r="BC51" s="429">
        <f t="shared" ref="BC51:BG64" si="24">VLOOKUP($AL51,$B$220:$H$243,BC$37,FALSE)</f>
        <v>8.984375E-2</v>
      </c>
      <c r="BD51" s="341" t="e">
        <f t="shared" si="24"/>
        <v>#N/A</v>
      </c>
      <c r="BE51" s="341">
        <f t="shared" si="24"/>
        <v>3.9473684210526314E-2</v>
      </c>
      <c r="BF51" s="341">
        <f t="shared" si="24"/>
        <v>5.8091286307053944E-2</v>
      </c>
      <c r="BG51" s="430">
        <f t="shared" si="24"/>
        <v>5.8139534883720929E-2</v>
      </c>
      <c r="BH51" s="429">
        <f t="shared" ref="BH51:BL64" si="25">VLOOKUP($AL51,$B$256:$H$279,BH$37,FALSE)</f>
        <v>0.18217054263565891</v>
      </c>
      <c r="BI51" s="341">
        <f t="shared" si="25"/>
        <v>0.20202020202020202</v>
      </c>
      <c r="BJ51" s="341">
        <f t="shared" si="25"/>
        <v>0.2029520295202952</v>
      </c>
      <c r="BK51" s="341">
        <f t="shared" si="25"/>
        <v>0.25964912280701752</v>
      </c>
      <c r="BL51" s="430">
        <f t="shared" si="25"/>
        <v>0.19762845849802371</v>
      </c>
      <c r="BM51" s="429" t="e">
        <f>VLOOKUP($AL51,#REF!,BM$37,FALSE)</f>
        <v>#REF!</v>
      </c>
      <c r="BN51" s="341" t="e">
        <f>VLOOKUP($AL51,#REF!,BN$37,FALSE)</f>
        <v>#REF!</v>
      </c>
      <c r="BO51" s="341" t="e">
        <f>VLOOKUP($AL51,#REF!,BO$37,FALSE)</f>
        <v>#REF!</v>
      </c>
      <c r="BP51" s="341" t="e">
        <f>VLOOKUP($AL51,#REF!,BP$37,FALSE)</f>
        <v>#REF!</v>
      </c>
      <c r="BQ51" s="430" t="e">
        <f>VLOOKUP($AL51,#REF!,BQ$37,FALSE)</f>
        <v>#REF!</v>
      </c>
      <c r="BR51" s="341" t="b">
        <f t="shared" si="20"/>
        <v>0</v>
      </c>
      <c r="BS51" s="429">
        <f t="shared" ref="BS51:BW64" si="26">VLOOKUP($AL51,$B$184:$H$207,BS$37,FALSE)</f>
        <v>0.99397590361445787</v>
      </c>
      <c r="BT51" s="341">
        <f t="shared" si="26"/>
        <v>0.93577981651376152</v>
      </c>
      <c r="BU51" s="341">
        <f t="shared" si="26"/>
        <v>0.99425287356321834</v>
      </c>
      <c r="BV51" s="341">
        <f t="shared" si="26"/>
        <v>1</v>
      </c>
      <c r="BW51" s="430">
        <f t="shared" si="26"/>
        <v>1</v>
      </c>
    </row>
    <row r="52" spans="1:75" ht="14.25" customHeight="1" x14ac:dyDescent="0.2">
      <c r="A52" s="120"/>
      <c r="B52" s="356"/>
      <c r="C52" s="356"/>
      <c r="D52" s="58"/>
      <c r="E52" s="58"/>
      <c r="F52" s="58"/>
      <c r="G52" s="58"/>
      <c r="H52" s="58"/>
      <c r="I52" s="58"/>
      <c r="J52" s="13"/>
      <c r="K52" s="15"/>
      <c r="L52" s="15"/>
      <c r="M52" s="15"/>
      <c r="N52" s="15"/>
      <c r="O52" s="9"/>
      <c r="P52" s="9"/>
      <c r="Q52" s="9"/>
      <c r="R52" s="9"/>
      <c r="S52" s="9"/>
      <c r="T52" s="9"/>
      <c r="U52" s="9"/>
      <c r="V52" s="119"/>
      <c r="W52" s="138"/>
      <c r="X52" s="288"/>
      <c r="AJ52" s="560" t="b">
        <v>1</v>
      </c>
      <c r="AK52" s="156" t="s">
        <v>3</v>
      </c>
      <c r="AL52" s="89" t="str">
        <f t="shared" si="12"/>
        <v>Reading</v>
      </c>
      <c r="AM52" s="143">
        <f t="shared" si="21"/>
        <v>56.824512534818943</v>
      </c>
      <c r="AN52" s="143">
        <f t="shared" si="21"/>
        <v>69.230769230769226</v>
      </c>
      <c r="AO52" s="143">
        <f t="shared" si="21"/>
        <v>95.355191256830608</v>
      </c>
      <c r="AP52" s="143">
        <f t="shared" si="21"/>
        <v>78.167115902964966</v>
      </c>
      <c r="AQ52" s="143">
        <f t="shared" si="21"/>
        <v>68.733153638814017</v>
      </c>
      <c r="AR52" s="144">
        <f t="shared" si="19"/>
        <v>16</v>
      </c>
      <c r="AS52" s="429" t="e">
        <f t="shared" si="22"/>
        <v>#N/A</v>
      </c>
      <c r="AT52" s="341" t="e">
        <f t="shared" si="22"/>
        <v>#N/A</v>
      </c>
      <c r="AU52" s="341" t="e">
        <f t="shared" si="22"/>
        <v>#N/A</v>
      </c>
      <c r="AV52" s="341" t="e">
        <f t="shared" si="22"/>
        <v>#N/A</v>
      </c>
      <c r="AW52" s="430">
        <f t="shared" si="22"/>
        <v>3.9215686274509803E-2</v>
      </c>
      <c r="AX52" s="904" t="e">
        <f t="shared" si="23"/>
        <v>#N/A</v>
      </c>
      <c r="AY52" s="904" t="e">
        <f t="shared" si="23"/>
        <v>#N/A</v>
      </c>
      <c r="AZ52" s="904" t="e">
        <f t="shared" si="23"/>
        <v>#N/A</v>
      </c>
      <c r="BA52" s="904" t="e">
        <f t="shared" si="23"/>
        <v>#N/A</v>
      </c>
      <c r="BB52" s="904" t="e">
        <f t="shared" si="23"/>
        <v>#N/A</v>
      </c>
      <c r="BC52" s="429">
        <f t="shared" si="24"/>
        <v>6.9306930693069313E-2</v>
      </c>
      <c r="BD52" s="341">
        <f t="shared" si="24"/>
        <v>3.1358885017421602E-2</v>
      </c>
      <c r="BE52" s="341">
        <f t="shared" si="24"/>
        <v>2.6229508196721311E-2</v>
      </c>
      <c r="BF52" s="341">
        <f t="shared" si="24"/>
        <v>3.6764705882352942E-2</v>
      </c>
      <c r="BG52" s="430">
        <f t="shared" si="24"/>
        <v>3.7735849056603772E-2</v>
      </c>
      <c r="BH52" s="429">
        <f t="shared" si="25"/>
        <v>0.23809523809523808</v>
      </c>
      <c r="BI52" s="341">
        <f t="shared" si="25"/>
        <v>0.21791044776119403</v>
      </c>
      <c r="BJ52" s="341">
        <f t="shared" si="25"/>
        <v>0.28878281622911695</v>
      </c>
      <c r="BK52" s="341">
        <f t="shared" si="25"/>
        <v>0.17714285714285713</v>
      </c>
      <c r="BL52" s="430">
        <f t="shared" si="25"/>
        <v>0.28700906344410876</v>
      </c>
      <c r="BM52" s="429" t="e">
        <f>VLOOKUP($AL52,#REF!,BM$37,FALSE)</f>
        <v>#REF!</v>
      </c>
      <c r="BN52" s="341" t="e">
        <f>VLOOKUP($AL52,#REF!,BN$37,FALSE)</f>
        <v>#REF!</v>
      </c>
      <c r="BO52" s="341" t="e">
        <f>VLOOKUP($AL52,#REF!,BO$37,FALSE)</f>
        <v>#REF!</v>
      </c>
      <c r="BP52" s="341" t="e">
        <f>VLOOKUP($AL52,#REF!,BP$37,FALSE)</f>
        <v>#REF!</v>
      </c>
      <c r="BQ52" s="430" t="e">
        <f>VLOOKUP($AL52,#REF!,BQ$37,FALSE)</f>
        <v>#REF!</v>
      </c>
      <c r="BR52" s="341" t="b">
        <f t="shared" si="20"/>
        <v>0</v>
      </c>
      <c r="BS52" s="429">
        <f t="shared" si="26"/>
        <v>0.9850746268656716</v>
      </c>
      <c r="BT52" s="341">
        <f t="shared" si="26"/>
        <v>0.78523489932885904</v>
      </c>
      <c r="BU52" s="341">
        <f t="shared" si="26"/>
        <v>3.3898305084745763E-2</v>
      </c>
      <c r="BV52" s="341">
        <f t="shared" si="26"/>
        <v>0.7142857142857143</v>
      </c>
      <c r="BW52" s="430">
        <f t="shared" si="26"/>
        <v>0.77714285714285714</v>
      </c>
    </row>
    <row r="53" spans="1:75" ht="14.25" customHeight="1" x14ac:dyDescent="0.2">
      <c r="A53" s="120"/>
      <c r="B53" s="356"/>
      <c r="C53" s="356"/>
      <c r="D53" s="58"/>
      <c r="E53" s="58"/>
      <c r="F53" s="58"/>
      <c r="G53" s="58"/>
      <c r="H53" s="58"/>
      <c r="I53" s="58"/>
      <c r="J53" s="13"/>
      <c r="K53" s="15"/>
      <c r="L53" s="15"/>
      <c r="M53" s="15"/>
      <c r="N53" s="15"/>
      <c r="O53" s="9"/>
      <c r="P53" s="9"/>
      <c r="Q53" s="9"/>
      <c r="R53" s="9"/>
      <c r="S53" s="9"/>
      <c r="T53" s="9"/>
      <c r="U53" s="9"/>
      <c r="V53" s="119"/>
      <c r="W53" s="138"/>
      <c r="X53" s="288"/>
      <c r="AJ53" s="560" t="b">
        <v>1</v>
      </c>
      <c r="AK53" s="156" t="s">
        <v>13</v>
      </c>
      <c r="AL53" s="89" t="str">
        <f t="shared" si="12"/>
        <v>Slough</v>
      </c>
      <c r="AM53" s="143">
        <f t="shared" si="21"/>
        <v>28.07017543859649</v>
      </c>
      <c r="AN53" s="143">
        <f t="shared" si="21"/>
        <v>56.650246305418719</v>
      </c>
      <c r="AO53" s="143">
        <f t="shared" si="21"/>
        <v>36.956521739130437</v>
      </c>
      <c r="AP53" s="143">
        <f t="shared" si="21"/>
        <v>38.15165876777251</v>
      </c>
      <c r="AQ53" s="143">
        <f t="shared" si="21"/>
        <v>51.053864168618269</v>
      </c>
      <c r="AR53" s="144">
        <f t="shared" si="19"/>
        <v>14.7</v>
      </c>
      <c r="AS53" s="429" t="e">
        <f t="shared" si="22"/>
        <v>#N/A</v>
      </c>
      <c r="AT53" s="341" t="e">
        <f t="shared" si="22"/>
        <v>#N/A</v>
      </c>
      <c r="AU53" s="341" t="e">
        <f t="shared" si="22"/>
        <v>#N/A</v>
      </c>
      <c r="AV53" s="341" t="e">
        <f t="shared" si="22"/>
        <v>#N/A</v>
      </c>
      <c r="AW53" s="430" t="e">
        <f t="shared" si="22"/>
        <v>#N/A</v>
      </c>
      <c r="AX53" s="904" t="e">
        <f t="shared" si="23"/>
        <v>#N/A</v>
      </c>
      <c r="AY53" s="904" t="e">
        <f t="shared" si="23"/>
        <v>#N/A</v>
      </c>
      <c r="AZ53" s="904" t="e">
        <f t="shared" si="23"/>
        <v>#N/A</v>
      </c>
      <c r="BA53" s="904" t="e">
        <f t="shared" si="23"/>
        <v>#N/A</v>
      </c>
      <c r="BB53" s="904" t="e">
        <f t="shared" si="23"/>
        <v>#N/A</v>
      </c>
      <c r="BC53" s="429" t="e">
        <f t="shared" si="24"/>
        <v>#N/A</v>
      </c>
      <c r="BD53" s="341" t="e">
        <f t="shared" si="24"/>
        <v>#N/A</v>
      </c>
      <c r="BE53" s="341" t="e">
        <f t="shared" si="24"/>
        <v>#N/A</v>
      </c>
      <c r="BF53" s="341" t="e">
        <f t="shared" si="24"/>
        <v>#N/A</v>
      </c>
      <c r="BG53" s="430" t="e">
        <f t="shared" si="24"/>
        <v>#N/A</v>
      </c>
      <c r="BH53" s="429">
        <f t="shared" si="25"/>
        <v>0.14450867052023122</v>
      </c>
      <c r="BI53" s="341">
        <f t="shared" si="25"/>
        <v>0.16772151898734178</v>
      </c>
      <c r="BJ53" s="341">
        <f t="shared" si="25"/>
        <v>0.22602739726027396</v>
      </c>
      <c r="BK53" s="341">
        <f t="shared" si="25"/>
        <v>0.23333333333333334</v>
      </c>
      <c r="BL53" s="430">
        <f t="shared" si="25"/>
        <v>0.20532319391634982</v>
      </c>
      <c r="BM53" s="429" t="e">
        <f>VLOOKUP($AL53,#REF!,BM$37,FALSE)</f>
        <v>#REF!</v>
      </c>
      <c r="BN53" s="341" t="e">
        <f>VLOOKUP($AL53,#REF!,BN$37,FALSE)</f>
        <v>#REF!</v>
      </c>
      <c r="BO53" s="341" t="e">
        <f>VLOOKUP($AL53,#REF!,BO$37,FALSE)</f>
        <v>#REF!</v>
      </c>
      <c r="BP53" s="341" t="e">
        <f>VLOOKUP($AL53,#REF!,BP$37,FALSE)</f>
        <v>#REF!</v>
      </c>
      <c r="BQ53" s="430" t="e">
        <f>VLOOKUP($AL53,#REF!,BQ$37,FALSE)</f>
        <v>#REF!</v>
      </c>
      <c r="BR53" s="341" t="b">
        <f t="shared" si="20"/>
        <v>0</v>
      </c>
      <c r="BS53" s="429">
        <f t="shared" si="26"/>
        <v>0.81333333333333335</v>
      </c>
      <c r="BT53" s="341">
        <f t="shared" si="26"/>
        <v>0.96062992125984248</v>
      </c>
      <c r="BU53" s="341">
        <f t="shared" si="26"/>
        <v>0.9642857142857143</v>
      </c>
      <c r="BV53" s="341">
        <f t="shared" si="26"/>
        <v>0.39175257731958762</v>
      </c>
      <c r="BW53" s="430">
        <f t="shared" si="26"/>
        <v>0.900709219858156</v>
      </c>
    </row>
    <row r="54" spans="1:75" ht="14.25" customHeight="1" x14ac:dyDescent="0.2">
      <c r="A54" s="120"/>
      <c r="B54" s="356"/>
      <c r="C54" s="356"/>
      <c r="D54" s="58"/>
      <c r="E54" s="58"/>
      <c r="F54" s="58"/>
      <c r="G54" s="58"/>
      <c r="H54" s="58"/>
      <c r="I54" s="58"/>
      <c r="J54" s="13"/>
      <c r="K54" s="15"/>
      <c r="L54" s="15"/>
      <c r="M54" s="15"/>
      <c r="N54" s="15"/>
      <c r="O54" s="9"/>
      <c r="P54" s="9"/>
      <c r="Q54" s="9"/>
      <c r="R54" s="9"/>
      <c r="S54" s="9"/>
      <c r="T54" s="9"/>
      <c r="U54" s="9"/>
      <c r="V54" s="119"/>
      <c r="W54" s="138"/>
      <c r="X54" s="288"/>
      <c r="AJ54" s="560" t="b">
        <v>1</v>
      </c>
      <c r="AK54" s="156" t="s">
        <v>93</v>
      </c>
      <c r="AL54" s="89" t="str">
        <f t="shared" si="12"/>
        <v>Somerset</v>
      </c>
      <c r="AM54" s="143">
        <f t="shared" si="21"/>
        <v>47.933884297520663</v>
      </c>
      <c r="AN54" s="143">
        <f t="shared" si="21"/>
        <v>25.641025641025642</v>
      </c>
      <c r="AO54" s="143">
        <f t="shared" si="21"/>
        <v>37.648131267092069</v>
      </c>
      <c r="AP54" s="143">
        <f t="shared" si="21"/>
        <v>38.873751135331517</v>
      </c>
      <c r="AQ54" s="143">
        <f t="shared" si="21"/>
        <v>36.314363143631439</v>
      </c>
      <c r="AR54" s="144">
        <f t="shared" si="19"/>
        <v>13.600000000000001</v>
      </c>
      <c r="AS54" s="429" t="e">
        <f t="shared" si="22"/>
        <v>#N/A</v>
      </c>
      <c r="AT54" s="341" t="e">
        <f t="shared" si="22"/>
        <v>#N/A</v>
      </c>
      <c r="AU54" s="341" t="e">
        <f t="shared" si="22"/>
        <v>#N/A</v>
      </c>
      <c r="AV54" s="341" t="e">
        <f t="shared" si="22"/>
        <v>#N/A</v>
      </c>
      <c r="AW54" s="430">
        <f t="shared" si="22"/>
        <v>1.9900497512437811E-2</v>
      </c>
      <c r="AX54" s="904" t="e">
        <f t="shared" si="23"/>
        <v>#N/A</v>
      </c>
      <c r="AY54" s="904" t="e">
        <f t="shared" si="23"/>
        <v>#N/A</v>
      </c>
      <c r="AZ54" s="904" t="e">
        <f t="shared" si="23"/>
        <v>#N/A</v>
      </c>
      <c r="BA54" s="904" t="e">
        <f t="shared" si="23"/>
        <v>#N/A</v>
      </c>
      <c r="BB54" s="904" t="e">
        <f t="shared" si="23"/>
        <v>#N/A</v>
      </c>
      <c r="BC54" s="429">
        <f t="shared" si="24"/>
        <v>3.3268101761252444E-2</v>
      </c>
      <c r="BD54" s="341">
        <f t="shared" si="24"/>
        <v>4.7473200612557429E-2</v>
      </c>
      <c r="BE54" s="341">
        <f t="shared" si="24"/>
        <v>0.02</v>
      </c>
      <c r="BF54" s="341">
        <f t="shared" si="24"/>
        <v>1.1857707509881422E-2</v>
      </c>
      <c r="BG54" s="430">
        <f t="shared" si="24"/>
        <v>4.1257367387033402E-2</v>
      </c>
      <c r="BH54" s="429">
        <f t="shared" si="25"/>
        <v>0.19935691318327975</v>
      </c>
      <c r="BI54" s="341">
        <f t="shared" si="25"/>
        <v>0.25304136253041365</v>
      </c>
      <c r="BJ54" s="341">
        <f t="shared" si="25"/>
        <v>0.1934931506849315</v>
      </c>
      <c r="BK54" s="341">
        <f t="shared" si="25"/>
        <v>0.21132075471698114</v>
      </c>
      <c r="BL54" s="430">
        <f t="shared" si="25"/>
        <v>0.20289855072463769</v>
      </c>
      <c r="BM54" s="429" t="e">
        <f>VLOOKUP($AL54,#REF!,BM$37,FALSE)</f>
        <v>#REF!</v>
      </c>
      <c r="BN54" s="341" t="e">
        <f>VLOOKUP($AL54,#REF!,BN$37,FALSE)</f>
        <v>#REF!</v>
      </c>
      <c r="BO54" s="341" t="e">
        <f>VLOOKUP($AL54,#REF!,BO$37,FALSE)</f>
        <v>#REF!</v>
      </c>
      <c r="BP54" s="341" t="e">
        <f>VLOOKUP($AL54,#REF!,BP$37,FALSE)</f>
        <v>#REF!</v>
      </c>
      <c r="BQ54" s="430" t="e">
        <f>VLOOKUP($AL54,#REF!,BQ$37,FALSE)</f>
        <v>#REF!</v>
      </c>
      <c r="BR54" s="341" t="b">
        <f t="shared" si="20"/>
        <v>0</v>
      </c>
      <c r="BS54" s="429">
        <f t="shared" si="26"/>
        <v>1</v>
      </c>
      <c r="BT54" s="341">
        <f t="shared" si="26"/>
        <v>0.9732620320855615</v>
      </c>
      <c r="BU54" s="341">
        <f t="shared" si="26"/>
        <v>0.95528455284552849</v>
      </c>
      <c r="BV54" s="341">
        <f t="shared" si="26"/>
        <v>0.96065573770491808</v>
      </c>
      <c r="BW54" s="430">
        <f t="shared" si="26"/>
        <v>0.90073529411764708</v>
      </c>
    </row>
    <row r="55" spans="1:75" ht="14.25" customHeight="1" x14ac:dyDescent="0.2">
      <c r="A55" s="120"/>
      <c r="B55" s="356"/>
      <c r="C55" s="356"/>
      <c r="D55" s="58"/>
      <c r="E55" s="58"/>
      <c r="F55" s="58"/>
      <c r="G55" s="58"/>
      <c r="H55" s="58"/>
      <c r="I55" s="58"/>
      <c r="J55" s="13"/>
      <c r="K55" s="15"/>
      <c r="L55" s="15"/>
      <c r="M55" s="15"/>
      <c r="N55" s="15"/>
      <c r="O55" s="9"/>
      <c r="P55" s="9"/>
      <c r="Q55" s="9"/>
      <c r="R55" s="9"/>
      <c r="S55" s="9"/>
      <c r="T55" s="9"/>
      <c r="U55" s="9"/>
      <c r="V55" s="119"/>
      <c r="W55" s="138"/>
      <c r="X55" s="288"/>
      <c r="AJ55" s="560" t="b">
        <v>1</v>
      </c>
      <c r="AK55" s="156" t="s">
        <v>14</v>
      </c>
      <c r="AL55" s="89" t="str">
        <f t="shared" si="12"/>
        <v>Southampton</v>
      </c>
      <c r="AM55" s="143">
        <f t="shared" si="21"/>
        <v>66.666666666666671</v>
      </c>
      <c r="AN55" s="143">
        <f t="shared" si="21"/>
        <v>67.682926829268297</v>
      </c>
      <c r="AO55" s="143">
        <f t="shared" si="21"/>
        <v>55.31062124248497</v>
      </c>
      <c r="AP55" s="143">
        <f t="shared" si="21"/>
        <v>64.413518886679924</v>
      </c>
      <c r="AQ55" s="143">
        <f t="shared" si="21"/>
        <v>60.039370078740156</v>
      </c>
      <c r="AR55" s="144">
        <f t="shared" si="19"/>
        <v>20.5</v>
      </c>
      <c r="AS55" s="429" t="e">
        <f t="shared" si="22"/>
        <v>#N/A</v>
      </c>
      <c r="AT55" s="341" t="e">
        <f t="shared" si="22"/>
        <v>#N/A</v>
      </c>
      <c r="AU55" s="341" t="e">
        <f t="shared" si="22"/>
        <v>#N/A</v>
      </c>
      <c r="AV55" s="341" t="e">
        <f t="shared" si="22"/>
        <v>#N/A</v>
      </c>
      <c r="AW55" s="430" t="e">
        <f t="shared" si="22"/>
        <v>#N/A</v>
      </c>
      <c r="AX55" s="904" t="e">
        <f t="shared" si="23"/>
        <v>#N/A</v>
      </c>
      <c r="AY55" s="904" t="e">
        <f t="shared" si="23"/>
        <v>#N/A</v>
      </c>
      <c r="AZ55" s="904" t="e">
        <f t="shared" si="23"/>
        <v>#N/A</v>
      </c>
      <c r="BA55" s="904" t="e">
        <f t="shared" si="23"/>
        <v>#N/A</v>
      </c>
      <c r="BB55" s="904" t="e">
        <f t="shared" si="23"/>
        <v>#N/A</v>
      </c>
      <c r="BC55" s="429">
        <f t="shared" si="24"/>
        <v>0</v>
      </c>
      <c r="BD55" s="341">
        <f t="shared" si="24"/>
        <v>1.0849909584086799E-2</v>
      </c>
      <c r="BE55" s="341">
        <f t="shared" si="24"/>
        <v>4.2452830188679243E-2</v>
      </c>
      <c r="BF55" s="341">
        <f t="shared" si="24"/>
        <v>3.0612244897959183E-2</v>
      </c>
      <c r="BG55" s="430">
        <f t="shared" si="24"/>
        <v>1.7199017199017199E-2</v>
      </c>
      <c r="BH55" s="429">
        <f t="shared" si="25"/>
        <v>3.6363636363636362E-2</v>
      </c>
      <c r="BI55" s="341">
        <f t="shared" si="25"/>
        <v>0.29591836734693877</v>
      </c>
      <c r="BJ55" s="341">
        <f t="shared" si="25"/>
        <v>0.28496042216358841</v>
      </c>
      <c r="BK55" s="341">
        <f t="shared" si="25"/>
        <v>0.30626450116009279</v>
      </c>
      <c r="BL55" s="430">
        <f t="shared" si="25"/>
        <v>0.20104438642297651</v>
      </c>
      <c r="BM55" s="429" t="e">
        <f>VLOOKUP($AL55,#REF!,BM$37,FALSE)</f>
        <v>#REF!</v>
      </c>
      <c r="BN55" s="341" t="e">
        <f>VLOOKUP($AL55,#REF!,BN$37,FALSE)</f>
        <v>#REF!</v>
      </c>
      <c r="BO55" s="341" t="e">
        <f>VLOOKUP($AL55,#REF!,BO$37,FALSE)</f>
        <v>#REF!</v>
      </c>
      <c r="BP55" s="341" t="e">
        <f>VLOOKUP($AL55,#REF!,BP$37,FALSE)</f>
        <v>#REF!</v>
      </c>
      <c r="BQ55" s="430" t="e">
        <f>VLOOKUP($AL55,#REF!,BQ$37,FALSE)</f>
        <v>#REF!</v>
      </c>
      <c r="BR55" s="341" t="b">
        <f t="shared" si="20"/>
        <v>0</v>
      </c>
      <c r="BS55" s="429">
        <f t="shared" si="26"/>
        <v>0.73300970873786409</v>
      </c>
      <c r="BT55" s="341">
        <f t="shared" si="26"/>
        <v>0.72</v>
      </c>
      <c r="BU55" s="341">
        <f t="shared" si="26"/>
        <v>0.75</v>
      </c>
      <c r="BV55" s="341">
        <f t="shared" si="26"/>
        <v>0.72033898305084743</v>
      </c>
      <c r="BW55" s="430">
        <f t="shared" si="26"/>
        <v>0.61809045226130654</v>
      </c>
    </row>
    <row r="56" spans="1:75" ht="14.25" customHeight="1" x14ac:dyDescent="0.2">
      <c r="A56" s="120"/>
      <c r="B56" s="356"/>
      <c r="C56" s="356"/>
      <c r="D56" s="58"/>
      <c r="E56" s="58"/>
      <c r="F56" s="58"/>
      <c r="G56" s="58"/>
      <c r="H56" s="58"/>
      <c r="I56" s="58"/>
      <c r="J56" s="13"/>
      <c r="K56" s="15"/>
      <c r="L56" s="15"/>
      <c r="M56" s="15"/>
      <c r="N56" s="15"/>
      <c r="O56" s="9"/>
      <c r="P56" s="9"/>
      <c r="Q56" s="9"/>
      <c r="R56" s="9"/>
      <c r="S56" s="9"/>
      <c r="T56" s="9"/>
      <c r="U56" s="9"/>
      <c r="V56" s="119"/>
      <c r="W56" s="138"/>
      <c r="X56" s="288"/>
      <c r="AJ56" s="560" t="b">
        <v>1</v>
      </c>
      <c r="AK56" s="156" t="s">
        <v>7</v>
      </c>
      <c r="AL56" s="89" t="str">
        <f t="shared" si="12"/>
        <v>Surrey</v>
      </c>
      <c r="AM56" s="143">
        <f t="shared" si="21"/>
        <v>39.080911233307155</v>
      </c>
      <c r="AN56" s="143">
        <f t="shared" si="21"/>
        <v>34.360374414976597</v>
      </c>
      <c r="AO56" s="143">
        <f t="shared" si="21"/>
        <v>32.548262548262549</v>
      </c>
      <c r="AP56" s="143">
        <f t="shared" si="21"/>
        <v>38.26354206684595</v>
      </c>
      <c r="AQ56" s="143">
        <f t="shared" si="21"/>
        <v>36.617029400534555</v>
      </c>
      <c r="AR56" s="144">
        <f t="shared" si="19"/>
        <v>8.3000000000000007</v>
      </c>
      <c r="AS56" s="429" t="e">
        <f t="shared" si="22"/>
        <v>#N/A</v>
      </c>
      <c r="AT56" s="341" t="e">
        <f t="shared" si="22"/>
        <v>#N/A</v>
      </c>
      <c r="AU56" s="341" t="e">
        <f t="shared" si="22"/>
        <v>#N/A</v>
      </c>
      <c r="AV56" s="341" t="e">
        <f t="shared" si="22"/>
        <v>#N/A</v>
      </c>
      <c r="AW56" s="430">
        <f t="shared" si="22"/>
        <v>1.6684045881126174E-2</v>
      </c>
      <c r="AX56" s="904" t="e">
        <f t="shared" si="23"/>
        <v>#N/A</v>
      </c>
      <c r="AY56" s="904" t="e">
        <f t="shared" si="23"/>
        <v>#N/A</v>
      </c>
      <c r="AZ56" s="904" t="e">
        <f t="shared" si="23"/>
        <v>#N/A</v>
      </c>
      <c r="BA56" s="904" t="e">
        <f t="shared" si="23"/>
        <v>#N/A</v>
      </c>
      <c r="BB56" s="904" t="e">
        <f t="shared" si="23"/>
        <v>#N/A</v>
      </c>
      <c r="BC56" s="429">
        <f t="shared" si="24"/>
        <v>6.5261044176706834E-2</v>
      </c>
      <c r="BD56" s="341">
        <f t="shared" si="24"/>
        <v>9.8654708520179366E-2</v>
      </c>
      <c r="BE56" s="341">
        <f t="shared" si="24"/>
        <v>5.5762081784386616E-2</v>
      </c>
      <c r="BF56" s="341">
        <f t="shared" si="24"/>
        <v>6.0544904137235116E-2</v>
      </c>
      <c r="BG56" s="430">
        <f t="shared" si="24"/>
        <v>4.5183290707587385E-2</v>
      </c>
      <c r="BH56" s="429">
        <f t="shared" si="25"/>
        <v>0.17011278195488722</v>
      </c>
      <c r="BI56" s="341">
        <f t="shared" si="25"/>
        <v>0.23084577114427859</v>
      </c>
      <c r="BJ56" s="341">
        <f t="shared" si="25"/>
        <v>0.22447013487475914</v>
      </c>
      <c r="BK56" s="341">
        <f t="shared" si="25"/>
        <v>0.24413553431798435</v>
      </c>
      <c r="BL56" s="430">
        <f t="shared" si="25"/>
        <v>0.21919014084507044</v>
      </c>
      <c r="BM56" s="429" t="e">
        <f>VLOOKUP($AL56,#REF!,BM$37,FALSE)</f>
        <v>#REF!</v>
      </c>
      <c r="BN56" s="341" t="e">
        <f>VLOOKUP($AL56,#REF!,BN$37,FALSE)</f>
        <v>#REF!</v>
      </c>
      <c r="BO56" s="341" t="e">
        <f>VLOOKUP($AL56,#REF!,BO$37,FALSE)</f>
        <v>#REF!</v>
      </c>
      <c r="BP56" s="341" t="e">
        <f>VLOOKUP($AL56,#REF!,BP$37,FALSE)</f>
        <v>#REF!</v>
      </c>
      <c r="BQ56" s="430" t="e">
        <f>VLOOKUP($AL56,#REF!,BQ$37,FALSE)</f>
        <v>#REF!</v>
      </c>
      <c r="BR56" s="341" t="b">
        <f t="shared" si="20"/>
        <v>0</v>
      </c>
      <c r="BS56" s="429">
        <f t="shared" si="26"/>
        <v>0.851123595505618</v>
      </c>
      <c r="BT56" s="341">
        <f t="shared" si="26"/>
        <v>0.97249190938511332</v>
      </c>
      <c r="BU56" s="341">
        <f t="shared" si="26"/>
        <v>0.97734627831715215</v>
      </c>
      <c r="BV56" s="341">
        <f t="shared" si="26"/>
        <v>0.95</v>
      </c>
      <c r="BW56" s="430">
        <f t="shared" si="26"/>
        <v>0.88761174968071521</v>
      </c>
    </row>
    <row r="57" spans="1:75" ht="14.25" customHeight="1" x14ac:dyDescent="0.2">
      <c r="A57" s="271"/>
      <c r="B57" s="356"/>
      <c r="C57" s="356"/>
      <c r="D57" s="58"/>
      <c r="E57" s="58"/>
      <c r="F57" s="58"/>
      <c r="G57" s="58"/>
      <c r="H57" s="58"/>
      <c r="I57" s="58"/>
      <c r="J57" s="13"/>
      <c r="K57" s="15"/>
      <c r="L57" s="15"/>
      <c r="M57" s="15"/>
      <c r="N57" s="15"/>
      <c r="O57" s="9"/>
      <c r="P57" s="9"/>
      <c r="Q57" s="9"/>
      <c r="R57" s="9"/>
      <c r="S57" s="9"/>
      <c r="T57" s="9"/>
      <c r="U57" s="9"/>
      <c r="V57" s="119"/>
      <c r="W57" s="138"/>
      <c r="X57" s="288"/>
      <c r="AJ57" s="560" t="b">
        <v>1</v>
      </c>
      <c r="AK57" s="156" t="s">
        <v>114</v>
      </c>
      <c r="AL57" s="89" t="str">
        <f t="shared" si="12"/>
        <v>Swindon</v>
      </c>
      <c r="AM57" s="143">
        <f t="shared" si="21"/>
        <v>43.827160493827158</v>
      </c>
      <c r="AN57" s="143">
        <f t="shared" si="21"/>
        <v>48.571428571428569</v>
      </c>
      <c r="AO57" s="143">
        <f t="shared" si="21"/>
        <v>49.292929292929294</v>
      </c>
      <c r="AP57" s="143">
        <f t="shared" si="21"/>
        <v>72.545090180360717</v>
      </c>
      <c r="AQ57" s="143">
        <f t="shared" si="21"/>
        <v>66.334661354581669</v>
      </c>
      <c r="AR57" s="144">
        <f t="shared" si="19"/>
        <v>14.899999999999999</v>
      </c>
      <c r="AS57" s="429" t="e">
        <f t="shared" si="22"/>
        <v>#N/A</v>
      </c>
      <c r="AT57" s="341" t="e">
        <f t="shared" si="22"/>
        <v>#N/A</v>
      </c>
      <c r="AU57" s="341" t="e">
        <f t="shared" si="22"/>
        <v>#N/A</v>
      </c>
      <c r="AV57" s="341" t="e">
        <f t="shared" si="22"/>
        <v>#N/A</v>
      </c>
      <c r="AW57" s="430">
        <f t="shared" si="22"/>
        <v>1.8018018018018018E-2</v>
      </c>
      <c r="AX57" s="904" t="e">
        <f t="shared" si="23"/>
        <v>#N/A</v>
      </c>
      <c r="AY57" s="904" t="e">
        <f t="shared" si="23"/>
        <v>#N/A</v>
      </c>
      <c r="AZ57" s="904" t="e">
        <f t="shared" si="23"/>
        <v>#N/A</v>
      </c>
      <c r="BA57" s="904" t="e">
        <f t="shared" si="23"/>
        <v>#N/A</v>
      </c>
      <c r="BB57" s="904" t="e">
        <f t="shared" si="23"/>
        <v>#N/A</v>
      </c>
      <c r="BC57" s="429" t="e">
        <f t="shared" si="24"/>
        <v>#N/A</v>
      </c>
      <c r="BD57" s="341">
        <f t="shared" si="24"/>
        <v>3.125E-2</v>
      </c>
      <c r="BE57" s="341">
        <f t="shared" si="24"/>
        <v>3.5598705501618123E-2</v>
      </c>
      <c r="BF57" s="341">
        <f t="shared" si="24"/>
        <v>1.5706806282722512E-2</v>
      </c>
      <c r="BG57" s="430">
        <f t="shared" si="24"/>
        <v>4.2410714285714288E-2</v>
      </c>
      <c r="BH57" s="429">
        <f t="shared" si="25"/>
        <v>0.19172932330827067</v>
      </c>
      <c r="BI57" s="341">
        <f t="shared" si="25"/>
        <v>0.19031141868512111</v>
      </c>
      <c r="BJ57" s="341">
        <f t="shared" si="25"/>
        <v>0.20170454545454544</v>
      </c>
      <c r="BK57" s="341">
        <f t="shared" si="25"/>
        <v>0.19755600814663951</v>
      </c>
      <c r="BL57" s="430">
        <f t="shared" si="25"/>
        <v>0.12142857142857143</v>
      </c>
      <c r="BM57" s="429" t="e">
        <f>VLOOKUP($AL57,#REF!,BM$37,FALSE)</f>
        <v>#REF!</v>
      </c>
      <c r="BN57" s="341" t="e">
        <f>VLOOKUP($AL57,#REF!,BN$37,FALSE)</f>
        <v>#REF!</v>
      </c>
      <c r="BO57" s="341" t="e">
        <f>VLOOKUP($AL57,#REF!,BO$37,FALSE)</f>
        <v>#REF!</v>
      </c>
      <c r="BP57" s="341" t="e">
        <f>VLOOKUP($AL57,#REF!,BP$37,FALSE)</f>
        <v>#REF!</v>
      </c>
      <c r="BQ57" s="430" t="e">
        <f>VLOOKUP($AL57,#REF!,BQ$37,FALSE)</f>
        <v>#REF!</v>
      </c>
      <c r="BR57" s="341" t="b">
        <f t="shared" si="20"/>
        <v>0</v>
      </c>
      <c r="BS57" s="429">
        <f t="shared" si="26"/>
        <v>0.93377483443708609</v>
      </c>
      <c r="BT57" s="341">
        <f t="shared" si="26"/>
        <v>0.94374999999999998</v>
      </c>
      <c r="BU57" s="341">
        <f t="shared" si="26"/>
        <v>0.91719745222929938</v>
      </c>
      <c r="BV57" s="341">
        <f t="shared" si="26"/>
        <v>0.98473282442748089</v>
      </c>
      <c r="BW57" s="430">
        <f t="shared" si="26"/>
        <v>0.93207547169811322</v>
      </c>
    </row>
    <row r="58" spans="1:75" ht="14.25" customHeight="1" x14ac:dyDescent="0.2">
      <c r="A58" s="271"/>
      <c r="B58" s="356"/>
      <c r="C58" s="356"/>
      <c r="D58" s="58"/>
      <c r="E58" s="58"/>
      <c r="F58" s="58"/>
      <c r="G58" s="58"/>
      <c r="H58" s="58"/>
      <c r="I58" s="58"/>
      <c r="J58" s="13"/>
      <c r="K58" s="15"/>
      <c r="L58" s="15"/>
      <c r="M58" s="15"/>
      <c r="N58" s="15"/>
      <c r="O58" s="9"/>
      <c r="P58" s="9"/>
      <c r="Q58" s="9"/>
      <c r="R58" s="9"/>
      <c r="S58" s="9"/>
      <c r="T58" s="9"/>
      <c r="U58" s="9"/>
      <c r="V58" s="119"/>
      <c r="W58" s="138"/>
      <c r="X58" s="288"/>
      <c r="AJ58" s="560" t="b">
        <v>1</v>
      </c>
      <c r="AK58" s="156" t="s">
        <v>115</v>
      </c>
      <c r="AL58" s="89" t="str">
        <f t="shared" si="12"/>
        <v>Torbay</v>
      </c>
      <c r="AM58" s="143">
        <f t="shared" si="21"/>
        <v>60.159362549800797</v>
      </c>
      <c r="AN58" s="143">
        <f t="shared" si="21"/>
        <v>51.587301587301589</v>
      </c>
      <c r="AO58" s="143">
        <f t="shared" si="21"/>
        <v>83.464566929133852</v>
      </c>
      <c r="AP58" s="143">
        <f t="shared" si="21"/>
        <v>55.511811023622045</v>
      </c>
      <c r="AQ58" s="143">
        <f t="shared" si="21"/>
        <v>70.472440944881896</v>
      </c>
      <c r="AR58" s="144">
        <f t="shared" si="19"/>
        <v>21.9</v>
      </c>
      <c r="AS58" s="429" t="e">
        <f t="shared" si="22"/>
        <v>#N/A</v>
      </c>
      <c r="AT58" s="341" t="e">
        <f t="shared" si="22"/>
        <v>#N/A</v>
      </c>
      <c r="AU58" s="341" t="e">
        <f t="shared" si="22"/>
        <v>#N/A</v>
      </c>
      <c r="AV58" s="341" t="e">
        <f t="shared" si="22"/>
        <v>#N/A</v>
      </c>
      <c r="AW58" s="430">
        <f t="shared" si="22"/>
        <v>0</v>
      </c>
      <c r="AX58" s="904" t="e">
        <f t="shared" si="23"/>
        <v>#N/A</v>
      </c>
      <c r="AY58" s="904" t="e">
        <f t="shared" si="23"/>
        <v>#N/A</v>
      </c>
      <c r="AZ58" s="904" t="e">
        <f t="shared" si="23"/>
        <v>#N/A</v>
      </c>
      <c r="BA58" s="904" t="e">
        <f t="shared" si="23"/>
        <v>#N/A</v>
      </c>
      <c r="BB58" s="904" t="e">
        <f t="shared" si="23"/>
        <v>#N/A</v>
      </c>
      <c r="BC58" s="429">
        <f t="shared" si="24"/>
        <v>2.7777777777777776E-2</v>
      </c>
      <c r="BD58" s="341" t="e">
        <f t="shared" si="24"/>
        <v>#N/A</v>
      </c>
      <c r="BE58" s="341" t="e">
        <f t="shared" si="24"/>
        <v>#N/A</v>
      </c>
      <c r="BF58" s="341">
        <f t="shared" si="24"/>
        <v>3.2967032967032968E-2</v>
      </c>
      <c r="BG58" s="430" t="e">
        <f t="shared" si="24"/>
        <v>#N/A</v>
      </c>
      <c r="BH58" s="429">
        <f t="shared" si="25"/>
        <v>0.16738197424892703</v>
      </c>
      <c r="BI58" s="341">
        <f t="shared" si="25"/>
        <v>0.23134328358208955</v>
      </c>
      <c r="BJ58" s="341">
        <f t="shared" si="25"/>
        <v>0.21212121212121213</v>
      </c>
      <c r="BK58" s="341">
        <f t="shared" si="25"/>
        <v>0.26896551724137929</v>
      </c>
      <c r="BL58" s="430">
        <f t="shared" si="25"/>
        <v>0.3155737704918033</v>
      </c>
      <c r="BM58" s="429" t="e">
        <f>VLOOKUP($AL58,#REF!,BM$37,FALSE)</f>
        <v>#REF!</v>
      </c>
      <c r="BN58" s="341" t="e">
        <f>VLOOKUP($AL58,#REF!,BN$37,FALSE)</f>
        <v>#REF!</v>
      </c>
      <c r="BO58" s="341" t="e">
        <f>VLOOKUP($AL58,#REF!,BO$37,FALSE)</f>
        <v>#REF!</v>
      </c>
      <c r="BP58" s="341" t="e">
        <f>VLOOKUP($AL58,#REF!,BP$37,FALSE)</f>
        <v>#REF!</v>
      </c>
      <c r="BQ58" s="430" t="e">
        <f>VLOOKUP($AL58,#REF!,BQ$37,FALSE)</f>
        <v>#REF!</v>
      </c>
      <c r="BR58" s="341" t="b">
        <f t="shared" si="20"/>
        <v>0</v>
      </c>
      <c r="BS58" s="429">
        <f t="shared" si="26"/>
        <v>0.96842105263157896</v>
      </c>
      <c r="BT58" s="341">
        <f t="shared" si="26"/>
        <v>0.90566037735849059</v>
      </c>
      <c r="BU58" s="341">
        <f t="shared" si="26"/>
        <v>0.80916030534351147</v>
      </c>
      <c r="BV58" s="341">
        <f t="shared" si="26"/>
        <v>0.74117647058823533</v>
      </c>
      <c r="BW58" s="430">
        <f t="shared" si="26"/>
        <v>0.83620689655172409</v>
      </c>
    </row>
    <row r="59" spans="1:75" ht="14.25" customHeight="1" x14ac:dyDescent="0.2">
      <c r="A59" s="120"/>
      <c r="B59" s="356"/>
      <c r="C59" s="356"/>
      <c r="D59" s="58"/>
      <c r="E59" s="58"/>
      <c r="F59" s="58"/>
      <c r="G59" s="58"/>
      <c r="H59" s="58"/>
      <c r="I59" s="58"/>
      <c r="J59" s="13"/>
      <c r="K59" s="15"/>
      <c r="L59" s="15"/>
      <c r="M59" s="15"/>
      <c r="N59" s="15"/>
      <c r="O59" s="9"/>
      <c r="P59" s="9"/>
      <c r="Q59" s="9"/>
      <c r="R59" s="9"/>
      <c r="S59" s="9"/>
      <c r="T59" s="9"/>
      <c r="U59" s="9"/>
      <c r="V59" s="119"/>
      <c r="W59" s="138"/>
      <c r="X59" s="288"/>
      <c r="AJ59" s="560" t="b">
        <v>1</v>
      </c>
      <c r="AK59" s="156" t="s">
        <v>15</v>
      </c>
      <c r="AL59" s="89" t="str">
        <f t="shared" si="12"/>
        <v>West Berkshire</v>
      </c>
      <c r="AM59" s="143">
        <f t="shared" si="21"/>
        <v>35.393258426966291</v>
      </c>
      <c r="AN59" s="143">
        <f t="shared" si="21"/>
        <v>40.616246498599445</v>
      </c>
      <c r="AO59" s="143">
        <f t="shared" si="21"/>
        <v>43.175487465181064</v>
      </c>
      <c r="AP59" s="143">
        <f t="shared" si="21"/>
        <v>46.927374301675975</v>
      </c>
      <c r="AQ59" s="143">
        <f t="shared" si="21"/>
        <v>33.146067415730336</v>
      </c>
      <c r="AR59" s="144">
        <f t="shared" si="19"/>
        <v>8.6999999999999993</v>
      </c>
      <c r="AS59" s="429" t="e">
        <f t="shared" si="22"/>
        <v>#N/A</v>
      </c>
      <c r="AT59" s="341" t="e">
        <f t="shared" si="22"/>
        <v>#N/A</v>
      </c>
      <c r="AU59" s="341" t="e">
        <f t="shared" si="22"/>
        <v>#N/A</v>
      </c>
      <c r="AV59" s="341" t="e">
        <f t="shared" si="22"/>
        <v>#N/A</v>
      </c>
      <c r="AW59" s="430">
        <f t="shared" si="22"/>
        <v>0</v>
      </c>
      <c r="AX59" s="904" t="e">
        <f t="shared" si="23"/>
        <v>#N/A</v>
      </c>
      <c r="AY59" s="904" t="e">
        <f t="shared" si="23"/>
        <v>#N/A</v>
      </c>
      <c r="AZ59" s="904" t="e">
        <f t="shared" si="23"/>
        <v>#N/A</v>
      </c>
      <c r="BA59" s="904" t="e">
        <f t="shared" si="23"/>
        <v>#N/A</v>
      </c>
      <c r="BB59" s="904" t="e">
        <f t="shared" si="23"/>
        <v>#N/A</v>
      </c>
      <c r="BC59" s="429" t="e">
        <f t="shared" si="24"/>
        <v>#N/A</v>
      </c>
      <c r="BD59" s="341" t="e">
        <f t="shared" si="24"/>
        <v>#N/A</v>
      </c>
      <c r="BE59" s="341" t="e">
        <f t="shared" si="24"/>
        <v>#N/A</v>
      </c>
      <c r="BF59" s="341">
        <f t="shared" si="24"/>
        <v>2.2222222222222223E-2</v>
      </c>
      <c r="BG59" s="430" t="e">
        <f t="shared" si="24"/>
        <v>#N/A</v>
      </c>
      <c r="BH59" s="429">
        <f t="shared" si="25"/>
        <v>0.19883040935672514</v>
      </c>
      <c r="BI59" s="341">
        <f t="shared" si="25"/>
        <v>0.10784313725490197</v>
      </c>
      <c r="BJ59" s="341">
        <f t="shared" si="25"/>
        <v>0.22748815165876776</v>
      </c>
      <c r="BK59" s="341">
        <f t="shared" si="25"/>
        <v>0.18181818181818182</v>
      </c>
      <c r="BL59" s="430">
        <f t="shared" si="25"/>
        <v>0.24752475247524752</v>
      </c>
      <c r="BM59" s="429" t="e">
        <f>VLOOKUP($AL59,#REF!,BM$37,FALSE)</f>
        <v>#REF!</v>
      </c>
      <c r="BN59" s="341" t="e">
        <f>VLOOKUP($AL59,#REF!,BN$37,FALSE)</f>
        <v>#REF!</v>
      </c>
      <c r="BO59" s="341" t="e">
        <f>VLOOKUP($AL59,#REF!,BO$37,FALSE)</f>
        <v>#REF!</v>
      </c>
      <c r="BP59" s="341" t="e">
        <f>VLOOKUP($AL59,#REF!,BP$37,FALSE)</f>
        <v>#REF!</v>
      </c>
      <c r="BQ59" s="430" t="e">
        <f>VLOOKUP($AL59,#REF!,BQ$37,FALSE)</f>
        <v>#REF!</v>
      </c>
      <c r="BR59" s="341" t="b">
        <f t="shared" si="20"/>
        <v>0</v>
      </c>
      <c r="BS59" s="429">
        <f t="shared" si="26"/>
        <v>1</v>
      </c>
      <c r="BT59" s="341">
        <f t="shared" si="26"/>
        <v>0.98936170212765961</v>
      </c>
      <c r="BU59" s="341">
        <f t="shared" si="26"/>
        <v>0.98780487804878048</v>
      </c>
      <c r="BV59" s="341">
        <f t="shared" si="26"/>
        <v>1</v>
      </c>
      <c r="BW59" s="430">
        <f t="shared" si="26"/>
        <v>0.98684210526315785</v>
      </c>
    </row>
    <row r="60" spans="1:75" ht="14.25" customHeight="1" x14ac:dyDescent="0.2">
      <c r="A60" s="120"/>
      <c r="B60" s="356"/>
      <c r="C60" s="356"/>
      <c r="D60" s="58"/>
      <c r="E60" s="58"/>
      <c r="F60" s="58"/>
      <c r="G60" s="58"/>
      <c r="H60" s="58"/>
      <c r="I60" s="58"/>
      <c r="J60" s="13"/>
      <c r="K60" s="15"/>
      <c r="L60" s="15"/>
      <c r="M60" s="15"/>
      <c r="N60" s="15"/>
      <c r="O60" s="9"/>
      <c r="P60" s="9"/>
      <c r="Q60" s="9"/>
      <c r="R60" s="9"/>
      <c r="S60" s="9"/>
      <c r="T60" s="9"/>
      <c r="U60" s="9"/>
      <c r="V60" s="119"/>
      <c r="W60" s="138"/>
      <c r="X60" s="288"/>
      <c r="AJ60" s="560" t="b">
        <v>1</v>
      </c>
      <c r="AK60" s="156" t="s">
        <v>5</v>
      </c>
      <c r="AL60" s="89" t="str">
        <f t="shared" si="12"/>
        <v>West Sussex</v>
      </c>
      <c r="AM60" s="143">
        <f t="shared" si="21"/>
        <v>29.739336492890995</v>
      </c>
      <c r="AN60" s="143">
        <f t="shared" si="21"/>
        <v>24.471830985915492</v>
      </c>
      <c r="AO60" s="143">
        <f t="shared" si="21"/>
        <v>31.955762514551804</v>
      </c>
      <c r="AP60" s="143">
        <f t="shared" si="21"/>
        <v>44.720138488170804</v>
      </c>
      <c r="AQ60" s="143">
        <f t="shared" si="21"/>
        <v>35.546651402404123</v>
      </c>
      <c r="AR60" s="144">
        <f t="shared" si="19"/>
        <v>11</v>
      </c>
      <c r="AS60" s="429" t="e">
        <f t="shared" si="22"/>
        <v>#N/A</v>
      </c>
      <c r="AT60" s="341" t="e">
        <f t="shared" si="22"/>
        <v>#N/A</v>
      </c>
      <c r="AU60" s="341" t="e">
        <f t="shared" si="22"/>
        <v>#N/A</v>
      </c>
      <c r="AV60" s="341" t="e">
        <f t="shared" si="22"/>
        <v>#N/A</v>
      </c>
      <c r="AW60" s="430">
        <f t="shared" si="22"/>
        <v>3.0595813204508857E-2</v>
      </c>
      <c r="AX60" s="904" t="e">
        <f t="shared" si="23"/>
        <v>#N/A</v>
      </c>
      <c r="AY60" s="904" t="e">
        <f t="shared" si="23"/>
        <v>#N/A</v>
      </c>
      <c r="AZ60" s="904" t="e">
        <f t="shared" si="23"/>
        <v>#N/A</v>
      </c>
      <c r="BA60" s="904" t="e">
        <f t="shared" si="23"/>
        <v>#N/A</v>
      </c>
      <c r="BB60" s="904" t="e">
        <f t="shared" si="23"/>
        <v>#N/A</v>
      </c>
      <c r="BC60" s="429">
        <f t="shared" si="24"/>
        <v>2.309782608695652E-2</v>
      </c>
      <c r="BD60" s="341">
        <f t="shared" si="24"/>
        <v>3.5294117647058823E-2</v>
      </c>
      <c r="BE60" s="341">
        <f t="shared" si="24"/>
        <v>6.6162570888468802E-2</v>
      </c>
      <c r="BF60" s="341">
        <f t="shared" si="24"/>
        <v>3.5135135135135137E-2</v>
      </c>
      <c r="BG60" s="430">
        <f t="shared" si="24"/>
        <v>3.2596041909196738E-2</v>
      </c>
      <c r="BH60" s="429">
        <f t="shared" si="25"/>
        <v>0.22770919067215364</v>
      </c>
      <c r="BI60" s="341">
        <f t="shared" si="25"/>
        <v>0.22794117647058823</v>
      </c>
      <c r="BJ60" s="341">
        <f t="shared" si="25"/>
        <v>0.22748815165876776</v>
      </c>
      <c r="BK60" s="341">
        <f t="shared" si="25"/>
        <v>0.2437759336099585</v>
      </c>
      <c r="BL60" s="430">
        <f t="shared" si="25"/>
        <v>0.22481572481572482</v>
      </c>
      <c r="BM60" s="429" t="e">
        <f>VLOOKUP($AL60,#REF!,BM$37,FALSE)</f>
        <v>#REF!</v>
      </c>
      <c r="BN60" s="341" t="e">
        <f>VLOOKUP($AL60,#REF!,BN$37,FALSE)</f>
        <v>#REF!</v>
      </c>
      <c r="BO60" s="341" t="e">
        <f>VLOOKUP($AL60,#REF!,BO$37,FALSE)</f>
        <v>#REF!</v>
      </c>
      <c r="BP60" s="341" t="e">
        <f>VLOOKUP($AL60,#REF!,BP$37,FALSE)</f>
        <v>#REF!</v>
      </c>
      <c r="BQ60" s="430" t="e">
        <f>VLOOKUP($AL60,#REF!,BQ$37,FALSE)</f>
        <v>#REF!</v>
      </c>
      <c r="BR60" s="341" t="b">
        <f t="shared" si="20"/>
        <v>0</v>
      </c>
      <c r="BS60" s="429">
        <f t="shared" si="26"/>
        <v>0.98016997167138808</v>
      </c>
      <c r="BT60" s="341">
        <f t="shared" si="26"/>
        <v>0.92086330935251803</v>
      </c>
      <c r="BU60" s="341">
        <f t="shared" si="26"/>
        <v>0.83377308707124009</v>
      </c>
      <c r="BV60" s="341">
        <f t="shared" si="26"/>
        <v>0.88682432432432434</v>
      </c>
      <c r="BW60" s="430">
        <f t="shared" si="26"/>
        <v>0.88167053364269143</v>
      </c>
    </row>
    <row r="61" spans="1:75" s="83" customFormat="1" ht="14.25" customHeight="1" x14ac:dyDescent="0.2">
      <c r="A61" s="120"/>
      <c r="B61" s="356"/>
      <c r="C61" s="356"/>
      <c r="D61" s="58"/>
      <c r="E61" s="58"/>
      <c r="F61" s="58"/>
      <c r="G61" s="58"/>
      <c r="H61" s="58"/>
      <c r="I61" s="58"/>
      <c r="J61" s="13"/>
      <c r="K61" s="15"/>
      <c r="L61" s="15"/>
      <c r="M61" s="15"/>
      <c r="N61" s="15"/>
      <c r="O61" s="9"/>
      <c r="P61" s="9"/>
      <c r="Q61" s="9"/>
      <c r="R61" s="9"/>
      <c r="S61" s="9"/>
      <c r="T61" s="9"/>
      <c r="U61" s="9"/>
      <c r="V61" s="119"/>
      <c r="W61" s="138"/>
      <c r="X61" s="288"/>
      <c r="AJ61" s="560" t="b">
        <v>1</v>
      </c>
      <c r="AK61" s="156" t="s">
        <v>30</v>
      </c>
      <c r="AL61" s="89" t="str">
        <f t="shared" si="12"/>
        <v>Windsor &amp; Maidenhead</v>
      </c>
      <c r="AM61" s="143">
        <f t="shared" si="21"/>
        <v>19.161676646706585</v>
      </c>
      <c r="AN61" s="143">
        <f t="shared" si="21"/>
        <v>43.026706231454007</v>
      </c>
      <c r="AO61" s="143">
        <f t="shared" si="21"/>
        <v>41.228070175438596</v>
      </c>
      <c r="AP61" s="143">
        <f t="shared" si="21"/>
        <v>21.511627906976742</v>
      </c>
      <c r="AQ61" s="143">
        <f t="shared" si="21"/>
        <v>26.01156069364162</v>
      </c>
      <c r="AR61" s="144">
        <f t="shared" si="19"/>
        <v>6.7</v>
      </c>
      <c r="AS61" s="429" t="e">
        <f t="shared" si="22"/>
        <v>#N/A</v>
      </c>
      <c r="AT61" s="341" t="e">
        <f t="shared" si="22"/>
        <v>#N/A</v>
      </c>
      <c r="AU61" s="341" t="e">
        <f t="shared" si="22"/>
        <v>#N/A</v>
      </c>
      <c r="AV61" s="341" t="e">
        <f t="shared" si="22"/>
        <v>#N/A</v>
      </c>
      <c r="AW61" s="430" t="e">
        <f t="shared" si="22"/>
        <v>#N/A</v>
      </c>
      <c r="AX61" s="341" t="e">
        <f t="shared" si="23"/>
        <v>#N/A</v>
      </c>
      <c r="AY61" s="341" t="e">
        <f t="shared" si="23"/>
        <v>#N/A</v>
      </c>
      <c r="AZ61" s="341" t="e">
        <f t="shared" si="23"/>
        <v>#N/A</v>
      </c>
      <c r="BA61" s="341" t="e">
        <f t="shared" si="23"/>
        <v>#N/A</v>
      </c>
      <c r="BB61" s="341" t="e">
        <f t="shared" si="23"/>
        <v>#N/A</v>
      </c>
      <c r="BC61" s="429" t="e">
        <f t="shared" si="24"/>
        <v>#N/A</v>
      </c>
      <c r="BD61" s="341">
        <f t="shared" si="24"/>
        <v>0</v>
      </c>
      <c r="BE61" s="341" t="e">
        <f t="shared" si="24"/>
        <v>#N/A</v>
      </c>
      <c r="BF61" s="341" t="e">
        <f t="shared" si="24"/>
        <v>#N/A</v>
      </c>
      <c r="BG61" s="430" t="e">
        <f t="shared" si="24"/>
        <v>#N/A</v>
      </c>
      <c r="BH61" s="429">
        <f t="shared" si="25"/>
        <v>0.11235955056179775</v>
      </c>
      <c r="BI61" s="341">
        <f t="shared" si="25"/>
        <v>0.13714285714285715</v>
      </c>
      <c r="BJ61" s="341">
        <f t="shared" si="25"/>
        <v>0.30813953488372092</v>
      </c>
      <c r="BK61" s="341">
        <f t="shared" si="25"/>
        <v>0.20634920634920634</v>
      </c>
      <c r="BL61" s="430">
        <f t="shared" si="25"/>
        <v>0.11956521739130435</v>
      </c>
      <c r="BM61" s="429" t="e">
        <f>VLOOKUP($AL61,#REF!,BM$37,FALSE)</f>
        <v>#REF!</v>
      </c>
      <c r="BN61" s="341" t="e">
        <f>VLOOKUP($AL61,#REF!,BN$37,FALSE)</f>
        <v>#REF!</v>
      </c>
      <c r="BO61" s="341" t="e">
        <f>VLOOKUP($AL61,#REF!,BO$37,FALSE)</f>
        <v>#REF!</v>
      </c>
      <c r="BP61" s="341" t="e">
        <f>VLOOKUP($AL61,#REF!,BP$37,FALSE)</f>
        <v>#REF!</v>
      </c>
      <c r="BQ61" s="430" t="e">
        <f>VLOOKUP($AL61,#REF!,BQ$37,FALSE)</f>
        <v>#REF!</v>
      </c>
      <c r="BR61" s="341" t="b">
        <f t="shared" si="20"/>
        <v>0</v>
      </c>
      <c r="BS61" s="429">
        <f t="shared" si="26"/>
        <v>0.98039215686274506</v>
      </c>
      <c r="BT61" s="341">
        <f t="shared" si="26"/>
        <v>1</v>
      </c>
      <c r="BU61" s="341">
        <f t="shared" si="26"/>
        <v>0.96907216494845361</v>
      </c>
      <c r="BV61" s="341">
        <f t="shared" si="26"/>
        <v>0.8</v>
      </c>
      <c r="BW61" s="430">
        <f t="shared" si="26"/>
        <v>0.95</v>
      </c>
    </row>
    <row r="62" spans="1:75" s="83" customFormat="1" ht="14.25" customHeight="1" x14ac:dyDescent="0.2">
      <c r="A62" s="120"/>
      <c r="B62" s="356"/>
      <c r="C62" s="356"/>
      <c r="D62" s="58"/>
      <c r="E62" s="58"/>
      <c r="F62" s="58"/>
      <c r="G62" s="58"/>
      <c r="H62" s="58"/>
      <c r="I62" s="58"/>
      <c r="J62" s="13"/>
      <c r="K62" s="15"/>
      <c r="L62" s="15"/>
      <c r="M62" s="15"/>
      <c r="N62" s="15"/>
      <c r="O62" s="9"/>
      <c r="P62" s="9"/>
      <c r="Q62" s="9"/>
      <c r="R62" s="9"/>
      <c r="S62" s="9"/>
      <c r="T62" s="9"/>
      <c r="U62" s="9"/>
      <c r="V62" s="119"/>
      <c r="W62" s="138"/>
      <c r="X62" s="288"/>
      <c r="AJ62" s="560" t="b">
        <v>1</v>
      </c>
      <c r="AK62" s="156" t="s">
        <v>16</v>
      </c>
      <c r="AL62" s="89" t="str">
        <f t="shared" si="12"/>
        <v>Wokingham</v>
      </c>
      <c r="AM62" s="143">
        <f t="shared" si="21"/>
        <v>13.008130081300813</v>
      </c>
      <c r="AN62" s="143">
        <f t="shared" si="21"/>
        <v>17.426273458445039</v>
      </c>
      <c r="AO62" s="143">
        <f t="shared" si="21"/>
        <v>12.105263157894738</v>
      </c>
      <c r="AP62" s="143">
        <f t="shared" si="21"/>
        <v>32.558139534883722</v>
      </c>
      <c r="AQ62" s="143">
        <f t="shared" si="21"/>
        <v>32.151898734177216</v>
      </c>
      <c r="AR62" s="144">
        <f t="shared" si="19"/>
        <v>5.6000000000000005</v>
      </c>
      <c r="AS62" s="429" t="e">
        <f t="shared" si="22"/>
        <v>#N/A</v>
      </c>
      <c r="AT62" s="341" t="e">
        <f t="shared" si="22"/>
        <v>#N/A</v>
      </c>
      <c r="AU62" s="341" t="e">
        <f t="shared" si="22"/>
        <v>#N/A</v>
      </c>
      <c r="AV62" s="341" t="e">
        <f t="shared" si="22"/>
        <v>#N/A</v>
      </c>
      <c r="AW62" s="430">
        <f t="shared" si="22"/>
        <v>0</v>
      </c>
      <c r="AX62" s="341" t="e">
        <f t="shared" si="23"/>
        <v>#N/A</v>
      </c>
      <c r="AY62" s="341" t="e">
        <f t="shared" si="23"/>
        <v>#N/A</v>
      </c>
      <c r="AZ62" s="341" t="e">
        <f t="shared" si="23"/>
        <v>#N/A</v>
      </c>
      <c r="BA62" s="341" t="e">
        <f t="shared" si="23"/>
        <v>#N/A</v>
      </c>
      <c r="BB62" s="341" t="e">
        <f t="shared" si="23"/>
        <v>#N/A</v>
      </c>
      <c r="BC62" s="429" t="e">
        <f t="shared" si="24"/>
        <v>#N/A</v>
      </c>
      <c r="BD62" s="341" t="e">
        <f t="shared" si="24"/>
        <v>#N/A</v>
      </c>
      <c r="BE62" s="341">
        <f t="shared" si="24"/>
        <v>0</v>
      </c>
      <c r="BF62" s="341">
        <f t="shared" si="24"/>
        <v>0</v>
      </c>
      <c r="BG62" s="430">
        <f t="shared" si="24"/>
        <v>4.1025641025641026E-2</v>
      </c>
      <c r="BH62" s="429">
        <f t="shared" si="25"/>
        <v>0.16393442622950818</v>
      </c>
      <c r="BI62" s="341">
        <f t="shared" si="25"/>
        <v>0.14912280701754385</v>
      </c>
      <c r="BJ62" s="341">
        <f t="shared" si="25"/>
        <v>0.32558139534883723</v>
      </c>
      <c r="BK62" s="341">
        <f t="shared" si="25"/>
        <v>0.24</v>
      </c>
      <c r="BL62" s="430">
        <f t="shared" si="25"/>
        <v>0.14795918367346939</v>
      </c>
      <c r="BM62" s="429" t="e">
        <f>VLOOKUP($AL62,#REF!,BM$37,FALSE)</f>
        <v>#REF!</v>
      </c>
      <c r="BN62" s="341" t="e">
        <f>VLOOKUP($AL62,#REF!,BN$37,FALSE)</f>
        <v>#REF!</v>
      </c>
      <c r="BO62" s="341" t="e">
        <f>VLOOKUP($AL62,#REF!,BO$37,FALSE)</f>
        <v>#REF!</v>
      </c>
      <c r="BP62" s="341" t="e">
        <f>VLOOKUP($AL62,#REF!,BP$37,FALSE)</f>
        <v>#REF!</v>
      </c>
      <c r="BQ62" s="430" t="e">
        <f>VLOOKUP($AL62,#REF!,BQ$37,FALSE)</f>
        <v>#REF!</v>
      </c>
      <c r="BR62" s="341" t="b">
        <f t="shared" si="20"/>
        <v>0</v>
      </c>
      <c r="BS62" s="429">
        <f t="shared" si="26"/>
        <v>1</v>
      </c>
      <c r="BT62" s="341">
        <f t="shared" si="26"/>
        <v>0.94736842105263153</v>
      </c>
      <c r="BU62" s="341">
        <f t="shared" si="26"/>
        <v>0.96551724137931039</v>
      </c>
      <c r="BV62" s="341">
        <f t="shared" si="26"/>
        <v>1</v>
      </c>
      <c r="BW62" s="430">
        <f t="shared" si="26"/>
        <v>0.94117647058823528</v>
      </c>
    </row>
    <row r="63" spans="1:75" s="83" customFormat="1" ht="14.25" customHeight="1" x14ac:dyDescent="0.2">
      <c r="A63" s="120"/>
      <c r="B63" s="356"/>
      <c r="C63" s="356"/>
      <c r="D63" s="58"/>
      <c r="E63" s="58"/>
      <c r="F63" s="58"/>
      <c r="G63" s="58"/>
      <c r="H63" s="58"/>
      <c r="I63" s="58"/>
      <c r="J63" s="13"/>
      <c r="K63" s="15"/>
      <c r="L63" s="15"/>
      <c r="M63" s="15"/>
      <c r="N63" s="15"/>
      <c r="O63" s="9"/>
      <c r="P63" s="9"/>
      <c r="Q63" s="9"/>
      <c r="R63" s="9"/>
      <c r="S63" s="9"/>
      <c r="T63" s="9"/>
      <c r="U63" s="9"/>
      <c r="V63" s="119"/>
      <c r="W63" s="138"/>
      <c r="X63" s="288"/>
      <c r="AJ63" s="560" t="b">
        <v>1</v>
      </c>
      <c r="AK63" s="156" t="s">
        <v>74</v>
      </c>
      <c r="AL63" s="89" t="str">
        <f t="shared" si="12"/>
        <v>South East</v>
      </c>
      <c r="AM63" s="143">
        <f t="shared" si="21"/>
        <v>40.95778197857593</v>
      </c>
      <c r="AN63" s="143">
        <f t="shared" si="21"/>
        <v>42.072884625410566</v>
      </c>
      <c r="AO63" s="143">
        <f t="shared" si="21"/>
        <v>41.280844239822052</v>
      </c>
      <c r="AP63" s="143">
        <f t="shared" si="21"/>
        <v>46.195791964607231</v>
      </c>
      <c r="AQ63" s="143">
        <f t="shared" si="21"/>
        <v>41.432512516603659</v>
      </c>
      <c r="AR63" s="144">
        <f t="shared" si="19"/>
        <v>12.371268250968637</v>
      </c>
      <c r="AS63" s="429" t="e">
        <f t="shared" si="22"/>
        <v>#N/A</v>
      </c>
      <c r="AT63" s="341" t="e">
        <f t="shared" si="22"/>
        <v>#N/A</v>
      </c>
      <c r="AU63" s="341" t="e">
        <f t="shared" si="22"/>
        <v>#N/A</v>
      </c>
      <c r="AV63" s="341" t="e">
        <f t="shared" si="22"/>
        <v>#N/A</v>
      </c>
      <c r="AW63" s="430">
        <f t="shared" si="22"/>
        <v>2.8360049321824909E-2</v>
      </c>
      <c r="AX63" s="341" t="e">
        <f t="shared" si="23"/>
        <v>#N/A</v>
      </c>
      <c r="AY63" s="341" t="e">
        <f t="shared" si="23"/>
        <v>#N/A</v>
      </c>
      <c r="AZ63" s="341" t="e">
        <f t="shared" si="23"/>
        <v>#N/A</v>
      </c>
      <c r="BA63" s="341" t="e">
        <f t="shared" si="23"/>
        <v>#N/A</v>
      </c>
      <c r="BB63" s="341" t="e">
        <f t="shared" si="23"/>
        <v>#N/A</v>
      </c>
      <c r="BC63" s="429">
        <f t="shared" si="24"/>
        <v>4.2889390519187359E-2</v>
      </c>
      <c r="BD63" s="341">
        <f t="shared" si="24"/>
        <v>4.5643153526970952E-2</v>
      </c>
      <c r="BE63" s="341">
        <f t="shared" si="24"/>
        <v>4.4806517311608958E-2</v>
      </c>
      <c r="BF63" s="341">
        <f t="shared" si="24"/>
        <v>4.8574445617740235E-2</v>
      </c>
      <c r="BG63" s="430">
        <f t="shared" si="24"/>
        <v>4.6425255338904362E-2</v>
      </c>
      <c r="BH63" s="429">
        <f t="shared" si="25"/>
        <v>0.17023445463812437</v>
      </c>
      <c r="BI63" s="341">
        <f t="shared" si="25"/>
        <v>0.20675537359263049</v>
      </c>
      <c r="BJ63" s="341">
        <f t="shared" si="25"/>
        <v>0.2223360655737705</v>
      </c>
      <c r="BK63" s="341">
        <f t="shared" si="25"/>
        <v>0.22592945662535749</v>
      </c>
      <c r="BL63" s="430">
        <f t="shared" si="25"/>
        <v>0.21078921078921078</v>
      </c>
      <c r="BM63" s="429" t="e">
        <f>VLOOKUP($AL63,#REF!,BM$37,FALSE)</f>
        <v>#REF!</v>
      </c>
      <c r="BN63" s="341" t="e">
        <f>VLOOKUP($AL63,#REF!,BN$37,FALSE)</f>
        <v>#REF!</v>
      </c>
      <c r="BO63" s="341" t="e">
        <f>VLOOKUP($AL63,#REF!,BO$37,FALSE)</f>
        <v>#REF!</v>
      </c>
      <c r="BP63" s="341" t="e">
        <f>VLOOKUP($AL63,#REF!,BP$37,FALSE)</f>
        <v>#REF!</v>
      </c>
      <c r="BQ63" s="430" t="e">
        <f>VLOOKUP($AL63,#REF!,BQ$37,FALSE)</f>
        <v>#REF!</v>
      </c>
      <c r="BR63" s="341" t="b">
        <f t="shared" si="20"/>
        <v>0</v>
      </c>
      <c r="BS63" s="429">
        <f t="shared" si="26"/>
        <v>0.92727272727272725</v>
      </c>
      <c r="BT63" s="341">
        <f t="shared" si="26"/>
        <v>0.93772241992882566</v>
      </c>
      <c r="BU63" s="341">
        <f t="shared" si="26"/>
        <v>0.88193202146690519</v>
      </c>
      <c r="BV63" s="341">
        <f t="shared" si="26"/>
        <v>0.9007633587786259</v>
      </c>
      <c r="BW63" s="430">
        <f t="shared" si="26"/>
        <v>0.9078498293515358</v>
      </c>
    </row>
    <row r="64" spans="1:75" s="83" customFormat="1" ht="14.25" customHeight="1" x14ac:dyDescent="0.2">
      <c r="A64" s="120"/>
      <c r="B64" s="356"/>
      <c r="C64" s="356"/>
      <c r="D64" s="58"/>
      <c r="E64" s="58"/>
      <c r="F64" s="58"/>
      <c r="G64" s="58"/>
      <c r="H64" s="58"/>
      <c r="I64" s="58"/>
      <c r="J64" s="13"/>
      <c r="K64" s="9"/>
      <c r="L64" s="112"/>
      <c r="M64" s="1468" t="s">
        <v>72</v>
      </c>
      <c r="N64" s="1450"/>
      <c r="O64" s="1450"/>
      <c r="P64" s="1469"/>
      <c r="Q64" s="880"/>
      <c r="R64" s="1462" t="s">
        <v>101</v>
      </c>
      <c r="S64" s="1463"/>
      <c r="T64" s="1463"/>
      <c r="U64" s="1470"/>
      <c r="V64" s="119"/>
      <c r="W64" s="138"/>
      <c r="X64" s="288"/>
      <c r="AJ64" s="560" t="b">
        <v>1</v>
      </c>
      <c r="AK64" s="156" t="s">
        <v>126</v>
      </c>
      <c r="AL64" s="89" t="str">
        <f t="shared" si="12"/>
        <v>England</v>
      </c>
      <c r="AM64" s="143">
        <f t="shared" si="21"/>
        <v>42.875505749803743</v>
      </c>
      <c r="AN64" s="143">
        <f t="shared" si="21"/>
        <v>43.081375932316604</v>
      </c>
      <c r="AO64" s="143">
        <f t="shared" si="21"/>
        <v>43.342129602131465</v>
      </c>
      <c r="AP64" s="143">
        <f t="shared" si="21"/>
        <v>45.327378444425719</v>
      </c>
      <c r="AQ64" s="143">
        <f t="shared" si="21"/>
        <v>43.715389891757148</v>
      </c>
      <c r="AR64" s="144">
        <f t="shared" si="19"/>
        <v>17.084413405029373</v>
      </c>
      <c r="AS64" s="429" t="e">
        <f t="shared" si="22"/>
        <v>#N/A</v>
      </c>
      <c r="AT64" s="341" t="e">
        <f t="shared" si="22"/>
        <v>#N/A</v>
      </c>
      <c r="AU64" s="341" t="e">
        <f t="shared" si="22"/>
        <v>#N/A</v>
      </c>
      <c r="AV64" s="341" t="e">
        <f t="shared" si="22"/>
        <v>#N/A</v>
      </c>
      <c r="AW64" s="430">
        <f t="shared" si="22"/>
        <v>2.1431305013394564E-2</v>
      </c>
      <c r="AX64" s="341" t="e">
        <f t="shared" si="23"/>
        <v>#N/A</v>
      </c>
      <c r="AY64" s="341" t="e">
        <f t="shared" si="23"/>
        <v>#N/A</v>
      </c>
      <c r="AZ64" s="341" t="e">
        <f t="shared" si="23"/>
        <v>#N/A</v>
      </c>
      <c r="BA64" s="341" t="e">
        <f t="shared" si="23"/>
        <v>#N/A</v>
      </c>
      <c r="BB64" s="341" t="e">
        <f t="shared" si="23"/>
        <v>#N/A</v>
      </c>
      <c r="BC64" s="429">
        <f t="shared" si="24"/>
        <v>3.7251655629139076E-2</v>
      </c>
      <c r="BD64" s="341">
        <f t="shared" si="24"/>
        <v>3.8406374501992031E-2</v>
      </c>
      <c r="BE64" s="341">
        <f t="shared" si="24"/>
        <v>3.4087435035157446E-2</v>
      </c>
      <c r="BF64" s="341">
        <f t="shared" si="24"/>
        <v>3.4132281553398057E-2</v>
      </c>
      <c r="BG64" s="430">
        <f t="shared" si="24"/>
        <v>3.3426594021499043E-2</v>
      </c>
      <c r="BH64" s="429">
        <f t="shared" si="25"/>
        <v>0.16572898247870119</v>
      </c>
      <c r="BI64" s="341">
        <f t="shared" si="25"/>
        <v>0.17927657558047702</v>
      </c>
      <c r="BJ64" s="341">
        <f t="shared" si="25"/>
        <v>0.18702002710435175</v>
      </c>
      <c r="BK64" s="341">
        <f t="shared" si="25"/>
        <v>0.20212301875817945</v>
      </c>
      <c r="BL64" s="430">
        <f t="shared" si="25"/>
        <v>0.20785842831433712</v>
      </c>
      <c r="BM64" s="429" t="e">
        <f>VLOOKUP($AL64,#REF!,BM$37,FALSE)</f>
        <v>#REF!</v>
      </c>
      <c r="BN64" s="341" t="e">
        <f>VLOOKUP($AL64,#REF!,BN$37,FALSE)</f>
        <v>#REF!</v>
      </c>
      <c r="BO64" s="341" t="e">
        <f>VLOOKUP($AL64,#REF!,BO$37,FALSE)</f>
        <v>#REF!</v>
      </c>
      <c r="BP64" s="341" t="e">
        <f>VLOOKUP($AL64,#REF!,BP$37,FALSE)</f>
        <v>#REF!</v>
      </c>
      <c r="BQ64" s="430" t="e">
        <f>VLOOKUP($AL64,#REF!,BQ$37,FALSE)</f>
        <v>#REF!</v>
      </c>
      <c r="BR64" s="341" t="b">
        <f t="shared" si="20"/>
        <v>0</v>
      </c>
      <c r="BS64" s="429">
        <f t="shared" si="26"/>
        <v>0.94219653179190754</v>
      </c>
      <c r="BT64" s="341">
        <f t="shared" si="26"/>
        <v>0.93724696356275305</v>
      </c>
      <c r="BU64" s="341">
        <f t="shared" si="26"/>
        <v>0.92191075514874143</v>
      </c>
      <c r="BV64" s="341">
        <f t="shared" si="26"/>
        <v>0.90516782099094295</v>
      </c>
      <c r="BW64" s="430">
        <f t="shared" si="26"/>
        <v>0.91762721394433511</v>
      </c>
    </row>
    <row r="65" spans="1:75" s="83" customFormat="1" ht="14.25" customHeight="1" thickBot="1" x14ac:dyDescent="0.25">
      <c r="A65" s="120"/>
      <c r="B65" s="356"/>
      <c r="C65" s="356"/>
      <c r="D65" s="58"/>
      <c r="E65" s="58"/>
      <c r="F65" s="58"/>
      <c r="G65" s="58"/>
      <c r="H65" s="58"/>
      <c r="I65" s="58"/>
      <c r="J65" s="13"/>
      <c r="K65" s="9"/>
      <c r="L65" s="113"/>
      <c r="M65" s="1462" t="str">
        <f>AA4</f>
        <v>Selected LA- (none)</v>
      </c>
      <c r="N65" s="1463"/>
      <c r="O65" s="1463"/>
      <c r="P65" s="1463"/>
      <c r="Q65" s="112"/>
      <c r="R65" s="1466" t="s">
        <v>184</v>
      </c>
      <c r="S65" s="1466"/>
      <c r="T65" s="1466"/>
      <c r="U65" s="1467"/>
      <c r="V65" s="119"/>
      <c r="W65" s="138"/>
      <c r="X65" s="147"/>
      <c r="AK65" s="157"/>
      <c r="AL65" s="76" t="str">
        <f>AA4</f>
        <v>Selected LA- (none)</v>
      </c>
      <c r="AM65" s="145" t="e">
        <f>VLOOKUP($Z4,$B$10:$O$32,AM$37,FALSE)</f>
        <v>#N/A</v>
      </c>
      <c r="AN65" s="145" t="e">
        <f>VLOOKUP($Z4,$B$10:$O$32,AN$37,FALSE)</f>
        <v>#N/A</v>
      </c>
      <c r="AO65" s="145" t="e">
        <f>VLOOKUP($Z4,$B$10:$O$32,AO$37,FALSE)</f>
        <v>#N/A</v>
      </c>
      <c r="AP65" s="145" t="e">
        <f>VLOOKUP($Z4,$B$10:$O$32,AP$37,FALSE)</f>
        <v>#N/A</v>
      </c>
      <c r="AQ65" s="145" t="e">
        <f>VLOOKUP($Z4,$B$10:$O$32,AQ$37,FALSE)</f>
        <v>#N/A</v>
      </c>
      <c r="AR65" s="144" t="e">
        <f>VLOOKUP(Z4,$B$10:$U$33,$AR$37,FALSE)</f>
        <v>#N/A</v>
      </c>
      <c r="AS65" s="429" t="e">
        <f>VLOOKUP($Z4,$B$112:$H$135,AS$37,FALSE)</f>
        <v>#N/A</v>
      </c>
      <c r="AT65" s="341" t="e">
        <f t="shared" ref="AT65:AW65" si="27">VLOOKUP($Z4,$B$112:$H$135,AT$37,FALSE)</f>
        <v>#N/A</v>
      </c>
      <c r="AU65" s="341" t="e">
        <f t="shared" si="27"/>
        <v>#N/A</v>
      </c>
      <c r="AV65" s="341" t="e">
        <f t="shared" si="27"/>
        <v>#N/A</v>
      </c>
      <c r="AW65" s="430" t="e">
        <f t="shared" si="27"/>
        <v>#N/A</v>
      </c>
      <c r="AX65" s="341" t="e">
        <f>VLOOKUP($Z4,$B$148:$H$171,AX$37,FALSE)</f>
        <v>#N/A</v>
      </c>
      <c r="AY65" s="341" t="e">
        <f t="shared" ref="AY65:BB65" si="28">VLOOKUP($Z4,$B$148:$H$171,AY$37,FALSE)</f>
        <v>#N/A</v>
      </c>
      <c r="AZ65" s="341" t="e">
        <f t="shared" si="28"/>
        <v>#N/A</v>
      </c>
      <c r="BA65" s="341" t="e">
        <f t="shared" si="28"/>
        <v>#N/A</v>
      </c>
      <c r="BB65" s="341" t="e">
        <f t="shared" si="28"/>
        <v>#N/A</v>
      </c>
      <c r="BC65" s="431" t="e">
        <f>VLOOKUP($Z$4,$B$220:$H$243,BC$37,FALSE)</f>
        <v>#N/A</v>
      </c>
      <c r="BD65" s="432" t="e">
        <f>VLOOKUP($Z$4,$B$220:$H$243,BD$37,FALSE)</f>
        <v>#N/A</v>
      </c>
      <c r="BE65" s="432" t="e">
        <f>VLOOKUP($Z$4,$B$220:$H$243,BE$37,FALSE)</f>
        <v>#N/A</v>
      </c>
      <c r="BF65" s="432" t="e">
        <f>VLOOKUP($Z$4,$B$220:$H$243,BF$37,FALSE)</f>
        <v>#N/A</v>
      </c>
      <c r="BG65" s="433" t="e">
        <f>VLOOKUP($Z$4,$B$220:$H$243,BG$37,FALSE)</f>
        <v>#N/A</v>
      </c>
      <c r="BH65" s="431" t="e">
        <f>VLOOKUP($Z$4,$B$256:$H$279,BH$37,FALSE)</f>
        <v>#N/A</v>
      </c>
      <c r="BI65" s="432" t="e">
        <f>VLOOKUP($Z$4,$B$256:$H$279,BI$37,FALSE)</f>
        <v>#N/A</v>
      </c>
      <c r="BJ65" s="432" t="e">
        <f>VLOOKUP($Z$4,$B$256:$H$279,BJ$37,FALSE)</f>
        <v>#N/A</v>
      </c>
      <c r="BK65" s="432" t="e">
        <f>VLOOKUP($Z$4,$B$256:$H$279,BK$37,FALSE)</f>
        <v>#N/A</v>
      </c>
      <c r="BL65" s="433" t="e">
        <f>VLOOKUP($Z$4,$B$256:$H$279,BL$37,FALSE)</f>
        <v>#N/A</v>
      </c>
      <c r="BM65" s="434" t="e">
        <f>VLOOKUP($Z$4,#REF!,BM$37,FALSE)</f>
        <v>#REF!</v>
      </c>
      <c r="BN65" s="435" t="e">
        <f>VLOOKUP($Z$4,#REF!,BN$37,FALSE)</f>
        <v>#REF!</v>
      </c>
      <c r="BO65" s="435" t="e">
        <f>VLOOKUP($Z$4,#REF!,BO$37,FALSE)</f>
        <v>#REF!</v>
      </c>
      <c r="BP65" s="435" t="e">
        <f>VLOOKUP($Z$4,#REF!,BP$37,FALSE)</f>
        <v>#REF!</v>
      </c>
      <c r="BQ65" s="436" t="e">
        <f>VLOOKUP($Z$4,#REF!,BQ$37,FALSE)</f>
        <v>#REF!</v>
      </c>
      <c r="BR65" s="341" t="b">
        <f t="shared" si="20"/>
        <v>0</v>
      </c>
      <c r="BS65" s="431" t="e">
        <f>VLOOKUP($Z$4,$B$184:$H$207,BS$37,FALSE)</f>
        <v>#N/A</v>
      </c>
      <c r="BT65" s="432" t="e">
        <f>VLOOKUP($Z$4,$B$184:$H$207,BT$37,FALSE)</f>
        <v>#N/A</v>
      </c>
      <c r="BU65" s="432" t="e">
        <f>VLOOKUP($Z$4,$B$184:$H$207,BU$37,FALSE)</f>
        <v>#N/A</v>
      </c>
      <c r="BV65" s="432" t="e">
        <f>VLOOKUP($Z$4,$B$184:$H$207,BV$37,FALSE)</f>
        <v>#N/A</v>
      </c>
      <c r="BW65" s="433" t="e">
        <f>VLOOKUP($Z$4,$B$184:$H$207,BW$37,FALSE)</f>
        <v>#N/A</v>
      </c>
    </row>
    <row r="66" spans="1:75" s="83" customFormat="1" ht="42" customHeight="1" x14ac:dyDescent="0.2">
      <c r="A66" s="120"/>
      <c r="B66" s="356"/>
      <c r="C66" s="356"/>
      <c r="D66" s="58"/>
      <c r="E66" s="58"/>
      <c r="F66" s="58"/>
      <c r="G66" s="58"/>
      <c r="H66" s="58"/>
      <c r="I66" s="58"/>
      <c r="J66" s="13"/>
      <c r="K66" s="9"/>
      <c r="L66" s="9"/>
      <c r="M66" s="9"/>
      <c r="N66" s="9"/>
      <c r="O66" s="9"/>
      <c r="P66" s="9"/>
      <c r="Q66" s="9"/>
      <c r="R66" s="9"/>
      <c r="S66" s="9"/>
      <c r="T66" s="9"/>
      <c r="U66" s="9"/>
      <c r="V66" s="119"/>
      <c r="W66" s="138"/>
      <c r="X66" s="147"/>
      <c r="AK66" s="157"/>
    </row>
    <row r="67" spans="1:75" s="89" customFormat="1" ht="42" customHeight="1" x14ac:dyDescent="0.2">
      <c r="A67" s="123"/>
      <c r="B67" s="111"/>
      <c r="C67" s="111"/>
      <c r="D67" s="111"/>
      <c r="E67" s="111"/>
      <c r="F67" s="111"/>
      <c r="G67" s="111"/>
      <c r="H67" s="111"/>
      <c r="I67" s="111"/>
      <c r="J67" s="98"/>
      <c r="K67" s="87"/>
      <c r="L67" s="87"/>
      <c r="M67" s="87"/>
      <c r="N67" s="87"/>
      <c r="O67" s="87"/>
      <c r="P67" s="87"/>
      <c r="Q67" s="87"/>
      <c r="R67" s="87"/>
      <c r="S67" s="87"/>
      <c r="T67" s="87"/>
      <c r="U67" s="87"/>
      <c r="V67" s="124"/>
      <c r="W67" s="140"/>
      <c r="X67" s="149"/>
      <c r="AE67" s="185"/>
      <c r="AF67" s="185"/>
      <c r="AG67" s="185"/>
      <c r="AH67" s="185"/>
      <c r="AI67" s="185"/>
      <c r="AJ67" s="199"/>
      <c r="AK67" s="156"/>
    </row>
    <row r="68" spans="1:75" s="89" customFormat="1" ht="42" customHeight="1" x14ac:dyDescent="0.2">
      <c r="A68" s="123"/>
      <c r="B68" s="111"/>
      <c r="C68" s="111"/>
      <c r="D68" s="111"/>
      <c r="E68" s="111"/>
      <c r="F68" s="111"/>
      <c r="G68" s="111"/>
      <c r="H68" s="111"/>
      <c r="I68" s="111"/>
      <c r="J68" s="98"/>
      <c r="K68" s="87"/>
      <c r="L68" s="87"/>
      <c r="M68" s="87"/>
      <c r="N68" s="87"/>
      <c r="O68" s="87"/>
      <c r="P68" s="87"/>
      <c r="Q68" s="87"/>
      <c r="R68" s="87"/>
      <c r="S68" s="87"/>
      <c r="T68" s="87"/>
      <c r="U68" s="87"/>
      <c r="V68" s="124"/>
      <c r="W68" s="140"/>
      <c r="X68" s="149"/>
      <c r="AE68" s="185"/>
      <c r="AF68" s="185"/>
      <c r="AG68" s="185"/>
      <c r="AH68" s="185"/>
      <c r="AI68" s="185"/>
      <c r="AJ68" s="199"/>
      <c r="AK68" s="156"/>
    </row>
    <row r="69" spans="1:75" ht="7.5" customHeight="1" x14ac:dyDescent="0.2">
      <c r="A69" s="120"/>
      <c r="B69" s="18"/>
      <c r="C69" s="18"/>
      <c r="D69" s="17"/>
      <c r="E69" s="17"/>
      <c r="F69" s="17"/>
      <c r="G69" s="17"/>
      <c r="H69" s="17"/>
      <c r="I69" s="17"/>
      <c r="J69" s="13"/>
      <c r="K69" s="19"/>
      <c r="L69" s="19"/>
      <c r="M69" s="19"/>
      <c r="N69" s="19"/>
      <c r="O69" s="19"/>
      <c r="P69" s="19"/>
      <c r="Q69" s="19"/>
      <c r="R69" s="19"/>
      <c r="S69" s="19"/>
      <c r="T69" s="19"/>
      <c r="U69" s="20"/>
      <c r="V69" s="119"/>
      <c r="W69" s="138"/>
      <c r="X69" s="147"/>
      <c r="Y69" s="89"/>
      <c r="Z69" s="89"/>
      <c r="AA69" s="89"/>
      <c r="AB69" s="89"/>
      <c r="AC69" s="89"/>
      <c r="AD69" s="89"/>
      <c r="AJ69" s="179"/>
      <c r="AK69" s="153"/>
    </row>
    <row r="70" spans="1:75"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1"/>
      <c r="V70" s="1422"/>
      <c r="W70" s="138"/>
      <c r="X70" s="147"/>
      <c r="Y70" s="89"/>
      <c r="Z70" s="89"/>
      <c r="AA70" s="89"/>
      <c r="AB70" s="89"/>
      <c r="AC70" s="89"/>
      <c r="AD70" s="89"/>
      <c r="AJ70" s="179"/>
      <c r="AK70" s="153"/>
    </row>
    <row r="71" spans="1:75"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0"/>
      <c r="J71" s="1429"/>
      <c r="K71" s="1429"/>
      <c r="L71" s="1429"/>
      <c r="M71" s="1429"/>
      <c r="N71" s="1429"/>
      <c r="O71" s="1429"/>
      <c r="P71" s="1431"/>
      <c r="Q71" s="1429"/>
      <c r="R71" s="1429"/>
      <c r="S71" s="1429"/>
      <c r="T71" s="1430"/>
      <c r="U71" s="1429"/>
      <c r="V71" s="1432"/>
      <c r="W71" s="138"/>
      <c r="X71" s="147"/>
      <c r="Y71" s="89"/>
      <c r="Z71" s="89"/>
      <c r="AA71" s="89"/>
      <c r="AB71" s="89"/>
      <c r="AC71" s="89"/>
      <c r="AD71" s="89"/>
      <c r="AJ71" s="179"/>
      <c r="AK71" s="153"/>
    </row>
    <row r="72" spans="1:75" ht="11.25" customHeight="1" x14ac:dyDescent="0.2">
      <c r="A72" s="114"/>
      <c r="B72" s="115"/>
      <c r="C72" s="115"/>
      <c r="D72" s="115"/>
      <c r="E72" s="115"/>
      <c r="F72" s="115"/>
      <c r="G72" s="115"/>
      <c r="H72" s="115"/>
      <c r="I72" s="115"/>
      <c r="J72" s="116"/>
      <c r="K72" s="115"/>
      <c r="L72" s="115"/>
      <c r="M72" s="115"/>
      <c r="N72" s="115"/>
      <c r="O72" s="115"/>
      <c r="P72" s="115"/>
      <c r="Q72" s="115"/>
      <c r="R72" s="115"/>
      <c r="S72" s="115"/>
      <c r="T72" s="115"/>
      <c r="U72" s="115"/>
      <c r="V72" s="117"/>
      <c r="W72" s="138"/>
      <c r="X72" s="147"/>
      <c r="Y72" s="89"/>
      <c r="Z72" s="89"/>
      <c r="AA72" s="89"/>
      <c r="AB72" s="89"/>
      <c r="AC72" s="89"/>
      <c r="AD72" s="89"/>
      <c r="AJ72" s="179"/>
      <c r="AK72" s="153"/>
    </row>
    <row r="73" spans="1:75" s="78" customFormat="1" ht="15" customHeight="1" x14ac:dyDescent="0.2">
      <c r="A73" s="121"/>
      <c r="B73" s="59"/>
      <c r="C73" s="355"/>
      <c r="D73" s="355"/>
      <c r="E73" s="355"/>
      <c r="F73" s="355"/>
      <c r="G73" s="355"/>
      <c r="H73" s="355"/>
      <c r="I73" s="355"/>
      <c r="J73" s="69"/>
      <c r="K73" s="69"/>
      <c r="L73" s="69"/>
      <c r="M73" s="69"/>
      <c r="N73" s="352"/>
      <c r="O73" s="69"/>
      <c r="P73" s="69"/>
      <c r="Q73" s="69"/>
      <c r="R73" s="69"/>
      <c r="S73" s="69"/>
      <c r="T73" s="69"/>
      <c r="U73" s="69"/>
      <c r="V73" s="122"/>
      <c r="W73" s="139"/>
      <c r="X73" s="148"/>
      <c r="Y73" s="183"/>
      <c r="Z73" s="183"/>
      <c r="AA73" s="183"/>
      <c r="AB73" s="183"/>
      <c r="AC73" s="183"/>
      <c r="AD73" s="183"/>
      <c r="AE73" s="183"/>
      <c r="AF73" s="183"/>
      <c r="AG73" s="183"/>
      <c r="AH73" s="183"/>
      <c r="AI73" s="183"/>
      <c r="AJ73" s="183"/>
      <c r="AK73" s="154"/>
    </row>
    <row r="74" spans="1:75" ht="13.5" customHeight="1" x14ac:dyDescent="0.2">
      <c r="A74" s="120"/>
      <c r="B74" s="355"/>
      <c r="C74" s="355"/>
      <c r="D74" s="355"/>
      <c r="E74" s="355"/>
      <c r="F74" s="355"/>
      <c r="G74" s="355"/>
      <c r="H74" s="355"/>
      <c r="I74" s="355"/>
      <c r="J74" s="69"/>
      <c r="K74" s="69"/>
      <c r="L74" s="69"/>
      <c r="M74" s="69"/>
      <c r="N74" s="352"/>
      <c r="O74" s="69"/>
      <c r="P74" s="69"/>
      <c r="Q74" s="69"/>
      <c r="R74" s="10"/>
      <c r="S74" s="69"/>
      <c r="T74" s="69"/>
      <c r="U74" s="69"/>
      <c r="V74" s="119"/>
      <c r="W74" s="138"/>
      <c r="X74" s="147"/>
      <c r="Y74" s="183"/>
      <c r="Z74" s="183"/>
      <c r="AA74" s="191"/>
      <c r="AB74" s="191"/>
      <c r="AC74" s="192"/>
      <c r="AD74" s="192"/>
      <c r="AJ74" s="179"/>
      <c r="AK74" s="153"/>
    </row>
    <row r="75" spans="1:75" s="89" customFormat="1" ht="12" customHeight="1" x14ac:dyDescent="0.2">
      <c r="A75" s="123"/>
      <c r="B75" s="355"/>
      <c r="C75" s="355"/>
      <c r="D75" s="355"/>
      <c r="E75" s="355"/>
      <c r="F75" s="355"/>
      <c r="G75" s="355"/>
      <c r="H75" s="355"/>
      <c r="I75" s="98"/>
      <c r="J75" s="98"/>
      <c r="K75" s="61"/>
      <c r="L75" s="61"/>
      <c r="M75" s="61"/>
      <c r="N75" s="61"/>
      <c r="O75" s="61"/>
      <c r="P75" s="61"/>
      <c r="Q75" s="358"/>
      <c r="R75" s="358"/>
      <c r="S75" s="155"/>
      <c r="T75" s="155"/>
      <c r="U75" s="359"/>
      <c r="V75" s="124"/>
      <c r="W75" s="140"/>
      <c r="X75" s="149"/>
      <c r="Y75" s="183"/>
      <c r="Z75" s="183"/>
      <c r="AA75" s="191"/>
      <c r="AB75" s="191"/>
      <c r="AC75" s="192"/>
      <c r="AD75" s="192"/>
      <c r="AE75" s="194"/>
      <c r="AF75" s="185"/>
      <c r="AG75" s="185"/>
      <c r="AH75" s="185"/>
      <c r="AI75" s="185"/>
      <c r="AJ75" s="199"/>
      <c r="AK75" s="156"/>
    </row>
    <row r="76" spans="1:75" s="89" customFormat="1" ht="24" customHeight="1" x14ac:dyDescent="0.2">
      <c r="A76" s="123"/>
      <c r="B76" s="355"/>
      <c r="C76" s="355"/>
      <c r="D76" s="355"/>
      <c r="E76" s="355"/>
      <c r="F76" s="355"/>
      <c r="G76" s="355"/>
      <c r="H76" s="355"/>
      <c r="I76" s="98"/>
      <c r="J76" s="98"/>
      <c r="K76" s="162"/>
      <c r="L76" s="162"/>
      <c r="M76" s="162"/>
      <c r="N76" s="162"/>
      <c r="O76" s="162"/>
      <c r="P76" s="162"/>
      <c r="Q76" s="162"/>
      <c r="R76" s="163"/>
      <c r="S76" s="155"/>
      <c r="T76" s="155"/>
      <c r="U76" s="162"/>
      <c r="V76" s="124"/>
      <c r="W76" s="140"/>
      <c r="X76" s="149"/>
      <c r="Y76" s="550"/>
      <c r="Z76" s="347" t="s">
        <v>129</v>
      </c>
      <c r="AA76" s="347" t="s">
        <v>130</v>
      </c>
      <c r="AB76" s="191"/>
      <c r="AC76" s="192"/>
      <c r="AD76" s="192"/>
      <c r="AE76" s="194"/>
      <c r="AF76" s="185"/>
      <c r="AG76" s="185"/>
      <c r="AH76" s="185"/>
      <c r="AI76" s="185"/>
      <c r="AJ76" s="199"/>
      <c r="AK76" s="156"/>
    </row>
    <row r="77" spans="1:75" s="89" customFormat="1" ht="12.75" customHeight="1" x14ac:dyDescent="0.2">
      <c r="A77" s="123"/>
      <c r="B77" s="355"/>
      <c r="C77" s="355"/>
      <c r="D77" s="355"/>
      <c r="E77" s="355"/>
      <c r="F77" s="355"/>
      <c r="G77" s="355"/>
      <c r="H77" s="355"/>
      <c r="I77" s="98"/>
      <c r="J77" s="98"/>
      <c r="K77" s="162"/>
      <c r="L77" s="162"/>
      <c r="M77" s="162"/>
      <c r="N77" s="162"/>
      <c r="O77" s="162"/>
      <c r="P77" s="162"/>
      <c r="Q77" s="162"/>
      <c r="R77" s="163"/>
      <c r="S77" s="155"/>
      <c r="T77" s="155"/>
      <c r="U77" s="162"/>
      <c r="V77" s="124"/>
      <c r="W77" s="140"/>
      <c r="X77" s="149"/>
      <c r="Y77" s="551" t="str">
        <f>B10</f>
        <v>Bracknell Forest</v>
      </c>
      <c r="Z77" s="349" t="e">
        <f>IF(Y77=$Z$4,I10,#N/A)</f>
        <v>#N/A</v>
      </c>
      <c r="AA77" s="349" t="e">
        <f>IF(Y77=$Z$4,U10,#N/A)</f>
        <v>#N/A</v>
      </c>
      <c r="AB77" s="191"/>
      <c r="AC77" s="192"/>
      <c r="AD77" s="192"/>
      <c r="AE77" s="194"/>
      <c r="AF77" s="185"/>
      <c r="AG77" s="185"/>
      <c r="AH77" s="185"/>
      <c r="AI77" s="185"/>
      <c r="AJ77" s="199"/>
      <c r="AK77" s="156"/>
    </row>
    <row r="78" spans="1:75" s="89" customFormat="1" ht="12.75" customHeight="1" x14ac:dyDescent="0.2">
      <c r="A78" s="123"/>
      <c r="B78" s="355"/>
      <c r="C78" s="355"/>
      <c r="D78" s="355"/>
      <c r="E78" s="355"/>
      <c r="F78" s="355"/>
      <c r="G78" s="355"/>
      <c r="H78" s="355"/>
      <c r="I78" s="98"/>
      <c r="J78" s="98"/>
      <c r="K78" s="162"/>
      <c r="L78" s="162"/>
      <c r="M78" s="162"/>
      <c r="N78" s="162"/>
      <c r="O78" s="162"/>
      <c r="P78" s="162"/>
      <c r="Q78" s="162"/>
      <c r="R78" s="163"/>
      <c r="S78" s="155"/>
      <c r="T78" s="155"/>
      <c r="U78" s="162"/>
      <c r="V78" s="124"/>
      <c r="W78" s="140"/>
      <c r="X78" s="149"/>
      <c r="Y78" s="551" t="str">
        <f t="shared" ref="Y78:Y98" si="29">B11</f>
        <v>Brighton &amp; Hove</v>
      </c>
      <c r="Z78" s="349" t="e">
        <f t="shared" ref="Z78:Z100" si="30">IF(Y78=$Z$4,I11,#N/A)</f>
        <v>#N/A</v>
      </c>
      <c r="AA78" s="349" t="e">
        <f t="shared" ref="AA78:AA100" si="31">IF(Y78=$Z$4,U11,#N/A)</f>
        <v>#N/A</v>
      </c>
      <c r="AB78" s="191"/>
      <c r="AC78" s="192"/>
      <c r="AD78" s="192"/>
      <c r="AE78" s="194"/>
      <c r="AF78" s="185"/>
      <c r="AG78" s="185"/>
      <c r="AH78" s="185"/>
      <c r="AI78" s="185"/>
      <c r="AJ78" s="199"/>
      <c r="AK78" s="156"/>
    </row>
    <row r="79" spans="1:75" s="89" customFormat="1" ht="12.75" customHeight="1" x14ac:dyDescent="0.2">
      <c r="A79" s="123"/>
      <c r="B79" s="355"/>
      <c r="C79" s="355"/>
      <c r="D79" s="355"/>
      <c r="E79" s="355"/>
      <c r="F79" s="355"/>
      <c r="G79" s="355"/>
      <c r="H79" s="355"/>
      <c r="I79" s="98"/>
      <c r="J79" s="98"/>
      <c r="K79" s="162"/>
      <c r="L79" s="162"/>
      <c r="M79" s="162"/>
      <c r="N79" s="162"/>
      <c r="O79" s="162"/>
      <c r="P79" s="162"/>
      <c r="Q79" s="162"/>
      <c r="R79" s="163"/>
      <c r="S79" s="155"/>
      <c r="T79" s="155"/>
      <c r="U79" s="162"/>
      <c r="V79" s="124"/>
      <c r="W79" s="140"/>
      <c r="X79" s="149"/>
      <c r="Y79" s="551" t="str">
        <f t="shared" si="29"/>
        <v>Buckinghamshire</v>
      </c>
      <c r="Z79" s="349" t="e">
        <f t="shared" si="30"/>
        <v>#N/A</v>
      </c>
      <c r="AA79" s="349" t="e">
        <f t="shared" si="31"/>
        <v>#N/A</v>
      </c>
      <c r="AB79" s="191"/>
      <c r="AC79" s="192"/>
      <c r="AD79" s="192"/>
      <c r="AE79" s="194"/>
      <c r="AF79" s="185"/>
      <c r="AG79" s="185"/>
      <c r="AH79" s="185"/>
      <c r="AI79" s="185"/>
      <c r="AJ79" s="199"/>
      <c r="AK79" s="156"/>
    </row>
    <row r="80" spans="1:75" s="89" customFormat="1" ht="12.75" customHeight="1" x14ac:dyDescent="0.2">
      <c r="A80" s="123"/>
      <c r="B80" s="355"/>
      <c r="C80" s="355"/>
      <c r="D80" s="355"/>
      <c r="E80" s="355"/>
      <c r="F80" s="355"/>
      <c r="G80" s="355"/>
      <c r="H80" s="355"/>
      <c r="I80" s="98"/>
      <c r="J80" s="98"/>
      <c r="K80" s="162"/>
      <c r="L80" s="162"/>
      <c r="M80" s="162"/>
      <c r="N80" s="162"/>
      <c r="O80" s="162"/>
      <c r="P80" s="162"/>
      <c r="Q80" s="162"/>
      <c r="R80" s="163"/>
      <c r="S80" s="155"/>
      <c r="T80" s="155"/>
      <c r="U80" s="162"/>
      <c r="V80" s="124"/>
      <c r="W80" s="140"/>
      <c r="X80" s="149"/>
      <c r="Y80" s="551" t="str">
        <f t="shared" si="29"/>
        <v>East Sussex</v>
      </c>
      <c r="Z80" s="349" t="e">
        <f t="shared" si="30"/>
        <v>#N/A</v>
      </c>
      <c r="AA80" s="349" t="e">
        <f t="shared" si="31"/>
        <v>#N/A</v>
      </c>
      <c r="AB80" s="191"/>
      <c r="AC80" s="192"/>
      <c r="AD80" s="192"/>
      <c r="AE80" s="194"/>
      <c r="AF80" s="185"/>
      <c r="AG80" s="185"/>
      <c r="AH80" s="185"/>
      <c r="AI80" s="185"/>
      <c r="AJ80" s="199"/>
      <c r="AK80" s="156"/>
    </row>
    <row r="81" spans="1:45" s="89" customFormat="1" ht="12.75" customHeight="1" x14ac:dyDescent="0.2">
      <c r="A81" s="123"/>
      <c r="B81" s="355"/>
      <c r="C81" s="355"/>
      <c r="D81" s="355"/>
      <c r="E81" s="355"/>
      <c r="F81" s="355"/>
      <c r="G81" s="355"/>
      <c r="H81" s="355"/>
      <c r="I81" s="98"/>
      <c r="J81" s="98"/>
      <c r="K81" s="162"/>
      <c r="L81" s="162"/>
      <c r="M81" s="162"/>
      <c r="N81" s="162"/>
      <c r="O81" s="162"/>
      <c r="P81" s="162"/>
      <c r="Q81" s="162"/>
      <c r="R81" s="163"/>
      <c r="S81" s="155"/>
      <c r="T81" s="155"/>
      <c r="U81" s="162"/>
      <c r="V81" s="124"/>
      <c r="W81" s="140"/>
      <c r="X81" s="149"/>
      <c r="Y81" s="551" t="str">
        <f t="shared" si="29"/>
        <v>Hampshire</v>
      </c>
      <c r="Z81" s="349" t="e">
        <f t="shared" si="30"/>
        <v>#N/A</v>
      </c>
      <c r="AA81" s="349" t="e">
        <f t="shared" si="31"/>
        <v>#N/A</v>
      </c>
      <c r="AB81" s="191"/>
      <c r="AC81" s="192"/>
      <c r="AD81" s="192"/>
      <c r="AE81" s="194"/>
      <c r="AF81" s="185"/>
      <c r="AG81" s="185"/>
      <c r="AH81" s="185"/>
      <c r="AI81" s="185"/>
      <c r="AJ81" s="199"/>
      <c r="AK81" s="156"/>
      <c r="AS81" s="89" t="s">
        <v>103</v>
      </c>
    </row>
    <row r="82" spans="1:45" s="89" customFormat="1" ht="12.75" customHeight="1" x14ac:dyDescent="0.2">
      <c r="A82" s="123"/>
      <c r="B82" s="355"/>
      <c r="C82" s="355"/>
      <c r="D82" s="355"/>
      <c r="E82" s="355"/>
      <c r="F82" s="355"/>
      <c r="G82" s="355"/>
      <c r="H82" s="355"/>
      <c r="I82" s="98"/>
      <c r="J82" s="98"/>
      <c r="K82" s="162"/>
      <c r="L82" s="162"/>
      <c r="M82" s="162"/>
      <c r="N82" s="162"/>
      <c r="O82" s="162"/>
      <c r="P82" s="162"/>
      <c r="Q82" s="162"/>
      <c r="R82" s="163"/>
      <c r="S82" s="155"/>
      <c r="T82" s="155"/>
      <c r="U82" s="162"/>
      <c r="V82" s="124"/>
      <c r="W82" s="140"/>
      <c r="X82" s="149"/>
      <c r="Y82" s="551" t="str">
        <f t="shared" si="29"/>
        <v>Isle of Wight</v>
      </c>
      <c r="Z82" s="349" t="e">
        <f t="shared" si="30"/>
        <v>#N/A</v>
      </c>
      <c r="AA82" s="349" t="e">
        <f t="shared" si="31"/>
        <v>#N/A</v>
      </c>
      <c r="AB82" s="191"/>
      <c r="AC82" s="192"/>
      <c r="AD82" s="192"/>
      <c r="AE82" s="194"/>
      <c r="AF82" s="185"/>
      <c r="AG82" s="185"/>
      <c r="AH82" s="185"/>
      <c r="AI82" s="185"/>
      <c r="AJ82" s="199"/>
      <c r="AK82" s="156"/>
    </row>
    <row r="83" spans="1:45" s="89" customFormat="1" ht="12.75" customHeight="1" x14ac:dyDescent="0.2">
      <c r="A83" s="123"/>
      <c r="B83" s="355"/>
      <c r="C83" s="355"/>
      <c r="D83" s="355"/>
      <c r="E83" s="355"/>
      <c r="F83" s="355"/>
      <c r="G83" s="355"/>
      <c r="H83" s="355"/>
      <c r="I83" s="98"/>
      <c r="J83" s="98"/>
      <c r="K83" s="162"/>
      <c r="L83" s="162"/>
      <c r="M83" s="162"/>
      <c r="N83" s="162"/>
      <c r="O83" s="162"/>
      <c r="P83" s="162"/>
      <c r="Q83" s="162"/>
      <c r="R83" s="163"/>
      <c r="S83" s="155"/>
      <c r="T83" s="155"/>
      <c r="U83" s="162"/>
      <c r="V83" s="124"/>
      <c r="W83" s="140"/>
      <c r="X83" s="149"/>
      <c r="Y83" s="551" t="str">
        <f t="shared" si="29"/>
        <v>Kent</v>
      </c>
      <c r="Z83" s="349" t="e">
        <f t="shared" si="30"/>
        <v>#N/A</v>
      </c>
      <c r="AA83" s="349" t="e">
        <f t="shared" si="31"/>
        <v>#N/A</v>
      </c>
      <c r="AB83" s="191"/>
      <c r="AC83" s="192"/>
      <c r="AD83" s="192"/>
      <c r="AE83" s="194"/>
      <c r="AF83" s="185"/>
      <c r="AG83" s="185"/>
      <c r="AH83" s="185"/>
      <c r="AI83" s="185"/>
      <c r="AJ83" s="199"/>
      <c r="AK83" s="156"/>
    </row>
    <row r="84" spans="1:45" s="89" customFormat="1" ht="12.75" customHeight="1" x14ac:dyDescent="0.2">
      <c r="A84" s="123"/>
      <c r="B84" s="355"/>
      <c r="C84" s="355"/>
      <c r="D84" s="355"/>
      <c r="E84" s="355"/>
      <c r="F84" s="355"/>
      <c r="G84" s="355"/>
      <c r="H84" s="355"/>
      <c r="I84" s="98"/>
      <c r="J84" s="98"/>
      <c r="K84" s="162"/>
      <c r="L84" s="162"/>
      <c r="M84" s="162"/>
      <c r="N84" s="162"/>
      <c r="O84" s="162"/>
      <c r="P84" s="162"/>
      <c r="Q84" s="162"/>
      <c r="R84" s="163"/>
      <c r="S84" s="155"/>
      <c r="T84" s="155"/>
      <c r="U84" s="162"/>
      <c r="V84" s="124"/>
      <c r="W84" s="140"/>
      <c r="X84" s="149"/>
      <c r="Y84" s="551" t="str">
        <f t="shared" si="29"/>
        <v>Medway</v>
      </c>
      <c r="Z84" s="349" t="e">
        <f t="shared" si="30"/>
        <v>#N/A</v>
      </c>
      <c r="AA84" s="349" t="e">
        <f t="shared" si="31"/>
        <v>#N/A</v>
      </c>
      <c r="AB84" s="191"/>
      <c r="AC84" s="192"/>
      <c r="AD84" s="192"/>
      <c r="AE84" s="194"/>
      <c r="AF84" s="185"/>
      <c r="AG84" s="185"/>
      <c r="AH84" s="185"/>
      <c r="AI84" s="185"/>
      <c r="AJ84" s="199"/>
      <c r="AK84" s="156"/>
    </row>
    <row r="85" spans="1:45" s="89" customFormat="1" ht="12.75" customHeight="1" x14ac:dyDescent="0.2">
      <c r="A85" s="123"/>
      <c r="B85" s="355"/>
      <c r="C85" s="355"/>
      <c r="D85" s="355"/>
      <c r="E85" s="355"/>
      <c r="F85" s="355"/>
      <c r="G85" s="355"/>
      <c r="H85" s="355"/>
      <c r="I85" s="98"/>
      <c r="J85" s="98"/>
      <c r="K85" s="162"/>
      <c r="L85" s="162"/>
      <c r="M85" s="162"/>
      <c r="N85" s="162"/>
      <c r="O85" s="162"/>
      <c r="P85" s="162"/>
      <c r="Q85" s="162"/>
      <c r="R85" s="163"/>
      <c r="S85" s="155"/>
      <c r="T85" s="155"/>
      <c r="U85" s="162"/>
      <c r="V85" s="124"/>
      <c r="W85" s="140"/>
      <c r="X85" s="149"/>
      <c r="Y85" s="551" t="str">
        <f t="shared" si="29"/>
        <v>Milton Keynes</v>
      </c>
      <c r="Z85" s="349" t="e">
        <f t="shared" si="30"/>
        <v>#N/A</v>
      </c>
      <c r="AA85" s="349" t="e">
        <f t="shared" si="31"/>
        <v>#N/A</v>
      </c>
      <c r="AB85" s="191"/>
      <c r="AC85" s="192"/>
      <c r="AD85" s="192"/>
      <c r="AE85" s="194"/>
      <c r="AF85" s="185"/>
      <c r="AG85" s="185"/>
      <c r="AH85" s="185"/>
      <c r="AI85" s="185"/>
      <c r="AJ85" s="199"/>
      <c r="AK85" s="156"/>
    </row>
    <row r="86" spans="1:45" s="89" customFormat="1" ht="12.75" customHeight="1" x14ac:dyDescent="0.2">
      <c r="A86" s="123"/>
      <c r="B86" s="355"/>
      <c r="C86" s="355"/>
      <c r="D86" s="355"/>
      <c r="E86" s="355"/>
      <c r="F86" s="355"/>
      <c r="G86" s="355"/>
      <c r="H86" s="355"/>
      <c r="I86" s="98"/>
      <c r="J86" s="98"/>
      <c r="K86" s="162"/>
      <c r="L86" s="162"/>
      <c r="M86" s="162"/>
      <c r="N86" s="162"/>
      <c r="O86" s="162"/>
      <c r="P86" s="162"/>
      <c r="Q86" s="162"/>
      <c r="R86" s="163"/>
      <c r="S86" s="155"/>
      <c r="T86" s="155"/>
      <c r="U86" s="162"/>
      <c r="V86" s="124"/>
      <c r="W86" s="140"/>
      <c r="X86" s="149"/>
      <c r="Y86" s="551" t="str">
        <f t="shared" si="29"/>
        <v>Oxfordshire</v>
      </c>
      <c r="Z86" s="349" t="e">
        <f t="shared" si="30"/>
        <v>#N/A</v>
      </c>
      <c r="AA86" s="349" t="e">
        <f t="shared" si="31"/>
        <v>#N/A</v>
      </c>
      <c r="AB86" s="191"/>
      <c r="AC86" s="192"/>
      <c r="AD86" s="192"/>
      <c r="AE86" s="194"/>
      <c r="AF86" s="185"/>
      <c r="AG86" s="185"/>
      <c r="AH86" s="185"/>
      <c r="AI86" s="185"/>
      <c r="AJ86" s="199"/>
      <c r="AK86" s="156"/>
    </row>
    <row r="87" spans="1:45" s="89" customFormat="1" ht="12.75" customHeight="1" x14ac:dyDescent="0.2">
      <c r="A87" s="123"/>
      <c r="B87" s="355"/>
      <c r="C87" s="355"/>
      <c r="D87" s="355"/>
      <c r="E87" s="355"/>
      <c r="F87" s="355"/>
      <c r="G87" s="355"/>
      <c r="H87" s="355"/>
      <c r="I87" s="98"/>
      <c r="J87" s="98"/>
      <c r="K87" s="162"/>
      <c r="L87" s="162"/>
      <c r="M87" s="162"/>
      <c r="N87" s="162"/>
      <c r="O87" s="162"/>
      <c r="P87" s="162"/>
      <c r="Q87" s="162"/>
      <c r="R87" s="163"/>
      <c r="S87" s="155"/>
      <c r="T87" s="155"/>
      <c r="U87" s="162"/>
      <c r="V87" s="124"/>
      <c r="W87" s="140"/>
      <c r="X87" s="149"/>
      <c r="Y87" s="551" t="str">
        <f t="shared" si="29"/>
        <v>Portsmouth</v>
      </c>
      <c r="Z87" s="349" t="e">
        <f t="shared" si="30"/>
        <v>#N/A</v>
      </c>
      <c r="AA87" s="349" t="e">
        <f t="shared" si="31"/>
        <v>#N/A</v>
      </c>
      <c r="AB87" s="191"/>
      <c r="AC87" s="192"/>
      <c r="AD87" s="192"/>
      <c r="AE87" s="194"/>
      <c r="AF87" s="185"/>
      <c r="AG87" s="185"/>
      <c r="AH87" s="185"/>
      <c r="AI87" s="185"/>
      <c r="AJ87" s="199"/>
      <c r="AK87" s="156"/>
    </row>
    <row r="88" spans="1:45" s="89" customFormat="1" ht="12.75" customHeight="1" x14ac:dyDescent="0.2">
      <c r="A88" s="123"/>
      <c r="B88" s="355"/>
      <c r="C88" s="355"/>
      <c r="D88" s="355"/>
      <c r="E88" s="355"/>
      <c r="F88" s="355"/>
      <c r="G88" s="355"/>
      <c r="H88" s="355"/>
      <c r="I88" s="98"/>
      <c r="J88" s="98"/>
      <c r="K88" s="162"/>
      <c r="L88" s="162"/>
      <c r="M88" s="162"/>
      <c r="N88" s="162"/>
      <c r="O88" s="162"/>
      <c r="P88" s="162"/>
      <c r="Q88" s="162"/>
      <c r="R88" s="163"/>
      <c r="S88" s="155"/>
      <c r="T88" s="155"/>
      <c r="U88" s="162"/>
      <c r="V88" s="124"/>
      <c r="W88" s="140"/>
      <c r="X88" s="149"/>
      <c r="Y88" s="551" t="str">
        <f t="shared" si="29"/>
        <v>Reading</v>
      </c>
      <c r="Z88" s="349" t="e">
        <f t="shared" si="30"/>
        <v>#N/A</v>
      </c>
      <c r="AA88" s="349" t="e">
        <f t="shared" si="31"/>
        <v>#N/A</v>
      </c>
      <c r="AB88" s="191"/>
      <c r="AC88" s="192"/>
      <c r="AD88" s="192"/>
      <c r="AE88" s="194"/>
      <c r="AF88" s="185"/>
      <c r="AG88" s="185"/>
      <c r="AH88" s="185"/>
      <c r="AI88" s="185"/>
      <c r="AJ88" s="199"/>
      <c r="AK88" s="156"/>
    </row>
    <row r="89" spans="1:45" s="89" customFormat="1" ht="12.75" customHeight="1" x14ac:dyDescent="0.2">
      <c r="A89" s="123"/>
      <c r="B89" s="355"/>
      <c r="C89" s="355"/>
      <c r="D89" s="355"/>
      <c r="E89" s="355"/>
      <c r="F89" s="355"/>
      <c r="G89" s="355"/>
      <c r="H89" s="355"/>
      <c r="I89" s="98"/>
      <c r="J89" s="98"/>
      <c r="K89" s="162"/>
      <c r="L89" s="162"/>
      <c r="M89" s="162"/>
      <c r="N89" s="162"/>
      <c r="O89" s="162"/>
      <c r="P89" s="162"/>
      <c r="Q89" s="162"/>
      <c r="R89" s="163"/>
      <c r="S89" s="155"/>
      <c r="T89" s="155"/>
      <c r="U89" s="162"/>
      <c r="V89" s="124"/>
      <c r="W89" s="140"/>
      <c r="X89" s="149"/>
      <c r="Y89" s="551" t="str">
        <f t="shared" si="29"/>
        <v>Slough</v>
      </c>
      <c r="Z89" s="349" t="e">
        <f t="shared" si="30"/>
        <v>#N/A</v>
      </c>
      <c r="AA89" s="349" t="e">
        <f t="shared" si="31"/>
        <v>#N/A</v>
      </c>
      <c r="AB89" s="191"/>
      <c r="AC89" s="192"/>
      <c r="AD89" s="192"/>
      <c r="AE89" s="194"/>
      <c r="AF89" s="185"/>
      <c r="AG89" s="185"/>
      <c r="AH89" s="185"/>
      <c r="AI89" s="185"/>
      <c r="AJ89" s="199"/>
      <c r="AK89" s="156"/>
    </row>
    <row r="90" spans="1:45" s="89" customFormat="1" ht="12.75" customHeight="1" x14ac:dyDescent="0.2">
      <c r="A90" s="123"/>
      <c r="B90" s="355"/>
      <c r="C90" s="355"/>
      <c r="D90" s="355"/>
      <c r="E90" s="355"/>
      <c r="F90" s="355"/>
      <c r="G90" s="355"/>
      <c r="H90" s="355"/>
      <c r="I90" s="98"/>
      <c r="J90" s="98"/>
      <c r="K90" s="162"/>
      <c r="L90" s="162"/>
      <c r="M90" s="162"/>
      <c r="N90" s="162"/>
      <c r="O90" s="162"/>
      <c r="P90" s="162"/>
      <c r="Q90" s="162"/>
      <c r="R90" s="163"/>
      <c r="S90" s="155"/>
      <c r="T90" s="155"/>
      <c r="U90" s="162"/>
      <c r="V90" s="124"/>
      <c r="W90" s="140"/>
      <c r="X90" s="149"/>
      <c r="Y90" s="551" t="str">
        <f t="shared" si="29"/>
        <v>Somerset</v>
      </c>
      <c r="Z90" s="349" t="e">
        <f t="shared" si="30"/>
        <v>#N/A</v>
      </c>
      <c r="AA90" s="349" t="e">
        <f t="shared" si="31"/>
        <v>#N/A</v>
      </c>
      <c r="AB90" s="191"/>
      <c r="AC90" s="192"/>
      <c r="AD90" s="192"/>
      <c r="AE90" s="194"/>
      <c r="AF90" s="185"/>
      <c r="AG90" s="185"/>
      <c r="AH90" s="185"/>
      <c r="AI90" s="185"/>
      <c r="AJ90" s="199"/>
      <c r="AK90" s="156"/>
    </row>
    <row r="91" spans="1:45" s="89" customFormat="1" ht="12.75" customHeight="1" x14ac:dyDescent="0.2">
      <c r="A91" s="123"/>
      <c r="B91" s="355"/>
      <c r="C91" s="355"/>
      <c r="D91" s="355"/>
      <c r="E91" s="355"/>
      <c r="F91" s="355"/>
      <c r="G91" s="355"/>
      <c r="H91" s="355"/>
      <c r="I91" s="98"/>
      <c r="J91" s="98"/>
      <c r="K91" s="162"/>
      <c r="L91" s="162"/>
      <c r="M91" s="162"/>
      <c r="N91" s="162"/>
      <c r="O91" s="162"/>
      <c r="P91" s="162"/>
      <c r="Q91" s="162"/>
      <c r="R91" s="163"/>
      <c r="S91" s="155"/>
      <c r="T91" s="155"/>
      <c r="U91" s="162"/>
      <c r="V91" s="124"/>
      <c r="W91" s="140"/>
      <c r="X91" s="149"/>
      <c r="Y91" s="551" t="str">
        <f t="shared" si="29"/>
        <v>Southampton</v>
      </c>
      <c r="Z91" s="349" t="e">
        <f t="shared" si="30"/>
        <v>#N/A</v>
      </c>
      <c r="AA91" s="349" t="e">
        <f t="shared" si="31"/>
        <v>#N/A</v>
      </c>
      <c r="AB91" s="191"/>
      <c r="AC91" s="192"/>
      <c r="AD91" s="192"/>
      <c r="AE91" s="194"/>
      <c r="AF91" s="185"/>
      <c r="AG91" s="185"/>
      <c r="AH91" s="185"/>
      <c r="AI91" s="185"/>
      <c r="AJ91" s="199"/>
      <c r="AK91" s="156"/>
    </row>
    <row r="92" spans="1:45" s="89" customFormat="1" ht="12.75" customHeight="1" x14ac:dyDescent="0.2">
      <c r="A92" s="286"/>
      <c r="B92" s="355"/>
      <c r="C92" s="355"/>
      <c r="D92" s="355"/>
      <c r="E92" s="355"/>
      <c r="F92" s="355"/>
      <c r="G92" s="355"/>
      <c r="H92" s="355"/>
      <c r="I92" s="98"/>
      <c r="J92" s="98"/>
      <c r="K92" s="162"/>
      <c r="L92" s="162"/>
      <c r="M92" s="162"/>
      <c r="N92" s="162"/>
      <c r="O92" s="162"/>
      <c r="P92" s="162"/>
      <c r="Q92" s="162"/>
      <c r="R92" s="163"/>
      <c r="S92" s="155"/>
      <c r="T92" s="155"/>
      <c r="U92" s="162"/>
      <c r="V92" s="124"/>
      <c r="W92" s="140"/>
      <c r="X92" s="149"/>
      <c r="Y92" s="551" t="str">
        <f t="shared" si="29"/>
        <v>Surrey</v>
      </c>
      <c r="Z92" s="349" t="e">
        <f t="shared" si="30"/>
        <v>#N/A</v>
      </c>
      <c r="AA92" s="349" t="e">
        <f t="shared" si="31"/>
        <v>#N/A</v>
      </c>
      <c r="AB92" s="191"/>
      <c r="AC92" s="192"/>
      <c r="AD92" s="192"/>
      <c r="AE92" s="194"/>
      <c r="AF92" s="185"/>
      <c r="AG92" s="185"/>
      <c r="AH92" s="185"/>
      <c r="AI92" s="185"/>
      <c r="AJ92" s="199"/>
      <c r="AK92" s="156"/>
    </row>
    <row r="93" spans="1:45" s="89" customFormat="1" ht="12.75" customHeight="1" x14ac:dyDescent="0.2">
      <c r="A93" s="286"/>
      <c r="B93" s="355"/>
      <c r="C93" s="355"/>
      <c r="D93" s="355"/>
      <c r="E93" s="355"/>
      <c r="F93" s="355"/>
      <c r="G93" s="355"/>
      <c r="H93" s="355"/>
      <c r="I93" s="98"/>
      <c r="J93" s="98"/>
      <c r="K93" s="162"/>
      <c r="L93" s="162"/>
      <c r="M93" s="162"/>
      <c r="N93" s="162"/>
      <c r="O93" s="162"/>
      <c r="P93" s="162"/>
      <c r="Q93" s="162"/>
      <c r="R93" s="163"/>
      <c r="S93" s="155"/>
      <c r="T93" s="155"/>
      <c r="U93" s="162"/>
      <c r="V93" s="124"/>
      <c r="W93" s="140"/>
      <c r="X93" s="149"/>
      <c r="Y93" s="551" t="str">
        <f t="shared" si="29"/>
        <v>Swindon</v>
      </c>
      <c r="Z93" s="349" t="e">
        <f t="shared" si="30"/>
        <v>#N/A</v>
      </c>
      <c r="AA93" s="349" t="e">
        <f t="shared" si="31"/>
        <v>#N/A</v>
      </c>
      <c r="AB93" s="191"/>
      <c r="AC93" s="192"/>
      <c r="AD93" s="192"/>
      <c r="AE93" s="194"/>
      <c r="AF93" s="185"/>
      <c r="AG93" s="185"/>
      <c r="AH93" s="185"/>
      <c r="AI93" s="185"/>
      <c r="AJ93" s="199"/>
      <c r="AK93" s="156"/>
    </row>
    <row r="94" spans="1:45" s="89" customFormat="1" ht="12.75" customHeight="1" x14ac:dyDescent="0.2">
      <c r="A94" s="123"/>
      <c r="B94" s="355"/>
      <c r="C94" s="355"/>
      <c r="D94" s="355"/>
      <c r="E94" s="355"/>
      <c r="F94" s="355"/>
      <c r="G94" s="355"/>
      <c r="H94" s="355"/>
      <c r="I94" s="98"/>
      <c r="J94" s="98"/>
      <c r="K94" s="162"/>
      <c r="L94" s="162"/>
      <c r="M94" s="162"/>
      <c r="N94" s="162"/>
      <c r="O94" s="162"/>
      <c r="P94" s="162"/>
      <c r="Q94" s="162"/>
      <c r="R94" s="163"/>
      <c r="S94" s="155"/>
      <c r="T94" s="155"/>
      <c r="U94" s="162"/>
      <c r="V94" s="124"/>
      <c r="W94" s="140"/>
      <c r="X94" s="149"/>
      <c r="Y94" s="551" t="str">
        <f t="shared" si="29"/>
        <v>Torbay</v>
      </c>
      <c r="Z94" s="349" t="e">
        <f t="shared" si="30"/>
        <v>#N/A</v>
      </c>
      <c r="AA94" s="349" t="e">
        <f t="shared" si="31"/>
        <v>#N/A</v>
      </c>
      <c r="AB94" s="191"/>
      <c r="AC94" s="192"/>
      <c r="AD94" s="192"/>
      <c r="AE94" s="194"/>
      <c r="AF94" s="199"/>
      <c r="AG94" s="185"/>
      <c r="AH94" s="185"/>
      <c r="AI94" s="185"/>
      <c r="AJ94" s="199"/>
      <c r="AK94" s="156"/>
    </row>
    <row r="95" spans="1:45" s="89" customFormat="1" ht="12.75" customHeight="1" x14ac:dyDescent="0.2">
      <c r="A95" s="123"/>
      <c r="B95" s="355"/>
      <c r="C95" s="355"/>
      <c r="D95" s="355"/>
      <c r="E95" s="355"/>
      <c r="F95" s="355"/>
      <c r="G95" s="355"/>
      <c r="H95" s="355"/>
      <c r="I95" s="98"/>
      <c r="J95" s="98"/>
      <c r="K95" s="162"/>
      <c r="L95" s="162"/>
      <c r="M95" s="162"/>
      <c r="N95" s="162"/>
      <c r="O95" s="162"/>
      <c r="P95" s="162"/>
      <c r="Q95" s="162"/>
      <c r="R95" s="163"/>
      <c r="S95" s="155"/>
      <c r="T95" s="155"/>
      <c r="U95" s="162"/>
      <c r="V95" s="124"/>
      <c r="W95" s="140"/>
      <c r="X95" s="149"/>
      <c r="Y95" s="551" t="str">
        <f t="shared" si="29"/>
        <v>West Berkshire</v>
      </c>
      <c r="Z95" s="349" t="e">
        <f t="shared" si="30"/>
        <v>#N/A</v>
      </c>
      <c r="AA95" s="349" t="e">
        <f t="shared" si="31"/>
        <v>#N/A</v>
      </c>
      <c r="AB95" s="191"/>
      <c r="AC95" s="192"/>
      <c r="AD95" s="192"/>
      <c r="AE95" s="194"/>
      <c r="AF95" s="199"/>
      <c r="AG95" s="185"/>
      <c r="AH95" s="185"/>
      <c r="AI95" s="185"/>
      <c r="AJ95" s="199"/>
      <c r="AK95" s="156"/>
    </row>
    <row r="96" spans="1:45" s="89" customFormat="1" ht="12.75" customHeight="1" x14ac:dyDescent="0.2">
      <c r="A96" s="123"/>
      <c r="B96" s="355"/>
      <c r="C96" s="355"/>
      <c r="D96" s="355"/>
      <c r="E96" s="355"/>
      <c r="F96" s="355"/>
      <c r="G96" s="355"/>
      <c r="H96" s="355"/>
      <c r="I96" s="98"/>
      <c r="J96" s="98"/>
      <c r="K96" s="162"/>
      <c r="L96" s="162"/>
      <c r="M96" s="162"/>
      <c r="N96" s="162"/>
      <c r="O96" s="162"/>
      <c r="P96" s="162"/>
      <c r="Q96" s="162"/>
      <c r="R96" s="163"/>
      <c r="S96" s="155"/>
      <c r="T96" s="155"/>
      <c r="U96" s="162"/>
      <c r="V96" s="124"/>
      <c r="W96" s="140"/>
      <c r="X96" s="149"/>
      <c r="Y96" s="551" t="str">
        <f t="shared" si="29"/>
        <v>West Sussex</v>
      </c>
      <c r="Z96" s="349" t="e">
        <f t="shared" si="30"/>
        <v>#N/A</v>
      </c>
      <c r="AA96" s="349" t="e">
        <f t="shared" si="31"/>
        <v>#N/A</v>
      </c>
      <c r="AB96" s="191"/>
      <c r="AC96" s="192"/>
      <c r="AD96" s="192"/>
      <c r="AE96" s="194"/>
      <c r="AF96" s="199"/>
      <c r="AG96" s="199"/>
      <c r="AH96" s="199"/>
      <c r="AI96" s="185"/>
      <c r="AJ96" s="199"/>
      <c r="AK96" s="156"/>
    </row>
    <row r="97" spans="1:46" s="89" customFormat="1" ht="12.75" customHeight="1" x14ac:dyDescent="0.2">
      <c r="A97" s="123"/>
      <c r="B97" s="355"/>
      <c r="C97" s="355"/>
      <c r="D97" s="355"/>
      <c r="E97" s="355"/>
      <c r="F97" s="355"/>
      <c r="G97" s="355"/>
      <c r="H97" s="355"/>
      <c r="I97" s="98"/>
      <c r="J97" s="98"/>
      <c r="K97" s="162"/>
      <c r="L97" s="162"/>
      <c r="M97" s="162"/>
      <c r="N97" s="162"/>
      <c r="O97" s="162"/>
      <c r="P97" s="162"/>
      <c r="Q97" s="162"/>
      <c r="R97" s="163"/>
      <c r="S97" s="155"/>
      <c r="T97" s="155"/>
      <c r="U97" s="162"/>
      <c r="V97" s="124"/>
      <c r="W97" s="140"/>
      <c r="X97" s="149"/>
      <c r="Y97" s="551" t="str">
        <f t="shared" si="29"/>
        <v>Windsor &amp; Maidenhead</v>
      </c>
      <c r="Z97" s="349" t="e">
        <f t="shared" si="30"/>
        <v>#N/A</v>
      </c>
      <c r="AA97" s="349" t="e">
        <f t="shared" si="31"/>
        <v>#N/A</v>
      </c>
      <c r="AB97" s="191"/>
      <c r="AC97" s="192"/>
      <c r="AD97" s="192"/>
      <c r="AE97" s="194"/>
      <c r="AF97" s="199"/>
      <c r="AG97" s="199"/>
      <c r="AH97" s="199"/>
      <c r="AI97" s="185"/>
      <c r="AJ97" s="199"/>
      <c r="AK97" s="156"/>
    </row>
    <row r="98" spans="1:46" s="89" customFormat="1" ht="12.75" customHeight="1" x14ac:dyDescent="0.2">
      <c r="A98" s="123"/>
      <c r="B98" s="355"/>
      <c r="C98" s="355"/>
      <c r="D98" s="355"/>
      <c r="E98" s="355"/>
      <c r="F98" s="355"/>
      <c r="G98" s="355"/>
      <c r="H98" s="355"/>
      <c r="I98" s="98"/>
      <c r="J98" s="98"/>
      <c r="K98" s="164"/>
      <c r="L98" s="164"/>
      <c r="M98" s="164"/>
      <c r="N98" s="164"/>
      <c r="O98" s="164"/>
      <c r="P98" s="164"/>
      <c r="Q98" s="164"/>
      <c r="R98" s="165"/>
      <c r="S98" s="155"/>
      <c r="T98" s="155"/>
      <c r="U98" s="166"/>
      <c r="V98" s="124"/>
      <c r="W98" s="140"/>
      <c r="X98" s="149"/>
      <c r="Y98" s="551" t="str">
        <f t="shared" si="29"/>
        <v>Wokingham</v>
      </c>
      <c r="Z98" s="349" t="e">
        <f t="shared" si="30"/>
        <v>#N/A</v>
      </c>
      <c r="AA98" s="349" t="e">
        <f t="shared" si="31"/>
        <v>#N/A</v>
      </c>
      <c r="AB98" s="191"/>
      <c r="AC98" s="192"/>
      <c r="AD98" s="192"/>
      <c r="AE98" s="194"/>
      <c r="AF98" s="199"/>
      <c r="AG98" s="199"/>
      <c r="AH98" s="199"/>
      <c r="AI98" s="185"/>
      <c r="AJ98" s="199"/>
      <c r="AK98" s="156"/>
    </row>
    <row r="99" spans="1:46" s="89" customFormat="1" ht="12.75" customHeight="1" x14ac:dyDescent="0.2">
      <c r="A99" s="123"/>
      <c r="B99" s="355"/>
      <c r="C99" s="355"/>
      <c r="D99" s="355"/>
      <c r="E99" s="355"/>
      <c r="F99" s="355"/>
      <c r="G99" s="355"/>
      <c r="H99" s="355"/>
      <c r="I99" s="98"/>
      <c r="J99" s="98"/>
      <c r="K99" s="164"/>
      <c r="L99" s="164"/>
      <c r="M99" s="164"/>
      <c r="N99" s="164"/>
      <c r="O99" s="164"/>
      <c r="P99" s="164"/>
      <c r="Q99" s="164"/>
      <c r="R99" s="165"/>
      <c r="S99" s="155"/>
      <c r="T99" s="155"/>
      <c r="U99" s="166"/>
      <c r="V99" s="124"/>
      <c r="W99" s="140"/>
      <c r="X99" s="149"/>
      <c r="Y99" s="551" t="str">
        <f>B32</f>
        <v>South East</v>
      </c>
      <c r="Z99" s="349" t="e">
        <f t="shared" si="30"/>
        <v>#N/A</v>
      </c>
      <c r="AA99" s="349" t="e">
        <f t="shared" si="31"/>
        <v>#N/A</v>
      </c>
      <c r="AB99" s="191"/>
      <c r="AC99" s="192"/>
      <c r="AD99" s="192"/>
      <c r="AE99" s="194"/>
      <c r="AF99" s="199"/>
      <c r="AG99" s="199"/>
      <c r="AH99" s="199"/>
      <c r="AI99" s="185"/>
      <c r="AJ99" s="199"/>
      <c r="AK99" s="156"/>
    </row>
    <row r="100" spans="1:46" s="89" customFormat="1" ht="11.25" customHeight="1" x14ac:dyDescent="0.2">
      <c r="A100" s="286"/>
      <c r="B100" s="355"/>
      <c r="C100" s="355"/>
      <c r="D100" s="355"/>
      <c r="E100" s="355"/>
      <c r="F100" s="355"/>
      <c r="G100" s="355"/>
      <c r="H100" s="355"/>
      <c r="I100" s="98"/>
      <c r="J100" s="98"/>
      <c r="K100" s="164"/>
      <c r="L100" s="164"/>
      <c r="M100" s="164"/>
      <c r="N100" s="164"/>
      <c r="O100" s="164"/>
      <c r="P100" s="164"/>
      <c r="Q100" s="164"/>
      <c r="R100" s="165"/>
      <c r="S100" s="155"/>
      <c r="T100" s="155"/>
      <c r="U100" s="166"/>
      <c r="V100" s="124"/>
      <c r="W100" s="140"/>
      <c r="X100" s="149"/>
      <c r="Y100" s="551" t="str">
        <f>B33</f>
        <v>England</v>
      </c>
      <c r="Z100" s="349" t="e">
        <f t="shared" si="30"/>
        <v>#N/A</v>
      </c>
      <c r="AA100" s="349" t="e">
        <f t="shared" si="31"/>
        <v>#N/A</v>
      </c>
      <c r="AB100" s="191"/>
      <c r="AC100" s="192"/>
      <c r="AD100" s="192"/>
      <c r="AE100" s="194"/>
      <c r="AF100" s="199"/>
      <c r="AG100" s="199"/>
      <c r="AH100" s="199"/>
      <c r="AI100" s="185"/>
      <c r="AJ100" s="199"/>
      <c r="AK100" s="156"/>
    </row>
    <row r="101" spans="1:46" s="83" customFormat="1" ht="42" customHeight="1" x14ac:dyDescent="0.2">
      <c r="A101" s="213"/>
      <c r="B101" s="355"/>
      <c r="C101" s="355"/>
      <c r="D101" s="355"/>
      <c r="E101" s="355"/>
      <c r="F101" s="355"/>
      <c r="G101" s="355"/>
      <c r="H101" s="355"/>
      <c r="I101" s="362"/>
      <c r="J101" s="168"/>
      <c r="K101" s="168"/>
      <c r="L101" s="168"/>
      <c r="M101" s="168"/>
      <c r="N101" s="168"/>
      <c r="O101" s="168"/>
      <c r="P101" s="168"/>
      <c r="Q101" s="168"/>
      <c r="R101" s="137"/>
      <c r="S101" s="168"/>
      <c r="T101" s="168"/>
      <c r="U101" s="168"/>
      <c r="V101" s="119"/>
      <c r="W101" s="138"/>
      <c r="X101" s="147"/>
      <c r="AD101" s="192"/>
      <c r="AE101" s="194"/>
      <c r="AF101" s="179"/>
      <c r="AG101" s="179"/>
      <c r="AH101" s="179"/>
      <c r="AJ101" s="179"/>
      <c r="AK101" s="157"/>
    </row>
    <row r="102" spans="1:46" s="83" customFormat="1" ht="42" customHeight="1" x14ac:dyDescent="0.2">
      <c r="A102" s="213"/>
      <c r="B102" s="355"/>
      <c r="C102" s="355"/>
      <c r="D102" s="355"/>
      <c r="E102" s="355"/>
      <c r="F102" s="355"/>
      <c r="G102" s="355"/>
      <c r="H102" s="355"/>
      <c r="I102" s="362"/>
      <c r="J102" s="168"/>
      <c r="K102" s="168"/>
      <c r="L102" s="168"/>
      <c r="M102" s="168"/>
      <c r="N102" s="168"/>
      <c r="O102" s="168"/>
      <c r="P102" s="168"/>
      <c r="Q102" s="168"/>
      <c r="R102" s="137"/>
      <c r="S102" s="168"/>
      <c r="T102" s="168"/>
      <c r="U102" s="168"/>
      <c r="V102" s="119"/>
      <c r="W102" s="138"/>
      <c r="X102" s="147"/>
      <c r="Z102" s="185"/>
      <c r="AE102" s="194"/>
      <c r="AF102" s="179"/>
      <c r="AG102" s="179"/>
      <c r="AH102" s="179"/>
      <c r="AJ102" s="179"/>
      <c r="AK102" s="157"/>
    </row>
    <row r="103" spans="1:46" s="83" customFormat="1" ht="33" customHeight="1" x14ac:dyDescent="0.2">
      <c r="A103" s="213"/>
      <c r="B103" s="362"/>
      <c r="C103" s="362"/>
      <c r="D103" s="362"/>
      <c r="E103" s="362"/>
      <c r="F103" s="362"/>
      <c r="G103" s="362"/>
      <c r="H103" s="362"/>
      <c r="I103" s="362"/>
      <c r="J103" s="168"/>
      <c r="K103" s="168"/>
      <c r="L103" s="168"/>
      <c r="M103" s="168"/>
      <c r="N103" s="168"/>
      <c r="O103" s="168"/>
      <c r="P103" s="168"/>
      <c r="Q103" s="168"/>
      <c r="R103" s="137"/>
      <c r="S103" s="168"/>
      <c r="T103" s="168"/>
      <c r="U103" s="168"/>
      <c r="V103" s="119"/>
      <c r="W103" s="138"/>
      <c r="X103" s="147"/>
      <c r="Z103" s="185"/>
      <c r="AE103" s="194"/>
      <c r="AF103" s="179"/>
      <c r="AG103" s="179"/>
      <c r="AH103" s="179"/>
      <c r="AJ103" s="179"/>
      <c r="AK103" s="157"/>
    </row>
    <row r="104" spans="1:46" s="83" customFormat="1" ht="7.5" customHeight="1" x14ac:dyDescent="0.2">
      <c r="A104" s="120"/>
      <c r="B104" s="18"/>
      <c r="C104" s="18"/>
      <c r="D104" s="17"/>
      <c r="E104" s="17"/>
      <c r="F104" s="17"/>
      <c r="G104" s="17"/>
      <c r="H104" s="17"/>
      <c r="I104" s="17"/>
      <c r="J104" s="13"/>
      <c r="K104" s="19"/>
      <c r="L104" s="19"/>
      <c r="M104" s="19"/>
      <c r="N104" s="19"/>
      <c r="O104" s="19"/>
      <c r="P104" s="19"/>
      <c r="Q104" s="19"/>
      <c r="R104" s="19"/>
      <c r="S104" s="19"/>
      <c r="T104" s="19"/>
      <c r="U104" s="20"/>
      <c r="V104" s="119"/>
      <c r="W104" s="138"/>
      <c r="X104" s="147"/>
      <c r="Z104" s="185"/>
      <c r="AJ104" s="179"/>
      <c r="AK104" s="153"/>
      <c r="AL104" s="76"/>
      <c r="AM104" s="76"/>
      <c r="AN104" s="76"/>
      <c r="AO104" s="76"/>
      <c r="AP104" s="76"/>
      <c r="AQ104" s="76"/>
      <c r="AR104" s="76"/>
    </row>
    <row r="105" spans="1:46" s="83" customFormat="1" ht="15" customHeight="1" x14ac:dyDescent="0.2">
      <c r="A105" s="1399"/>
      <c r="B105" s="1421"/>
      <c r="C105" s="1421"/>
      <c r="D105" s="1421"/>
      <c r="E105" s="1421"/>
      <c r="F105" s="1421"/>
      <c r="G105" s="1421"/>
      <c r="H105" s="1421"/>
      <c r="I105" s="1421"/>
      <c r="J105" s="1421"/>
      <c r="K105" s="1421"/>
      <c r="L105" s="1421"/>
      <c r="M105" s="1421"/>
      <c r="N105" s="1421"/>
      <c r="O105" s="1421"/>
      <c r="P105" s="1421"/>
      <c r="Q105" s="1421"/>
      <c r="R105" s="1421"/>
      <c r="S105" s="1421"/>
      <c r="T105" s="1421"/>
      <c r="U105" s="1421"/>
      <c r="V105" s="1422"/>
      <c r="W105" s="138"/>
      <c r="X105" s="147"/>
      <c r="Y105" s="183"/>
      <c r="Z105" s="183"/>
      <c r="AK105" s="157"/>
      <c r="AT105" s="76"/>
    </row>
    <row r="106" spans="1:46" s="83" customFormat="1" ht="11.25" customHeight="1" x14ac:dyDescent="0.2">
      <c r="A106" s="1428" t="str">
        <f>Home!$A$40</f>
        <v>LA's provide quarterly data on the condition that it is used by the benchmarking group for internal reporting only. Please DO NOT share other LA's data with any external partners or the public</v>
      </c>
      <c r="B106" s="1429"/>
      <c r="C106" s="1429"/>
      <c r="D106" s="1429"/>
      <c r="E106" s="1429"/>
      <c r="F106" s="1429"/>
      <c r="G106" s="1429"/>
      <c r="H106" s="1429"/>
      <c r="I106" s="1430"/>
      <c r="J106" s="1429"/>
      <c r="K106" s="1429"/>
      <c r="L106" s="1429"/>
      <c r="M106" s="1429"/>
      <c r="N106" s="1429"/>
      <c r="O106" s="1429"/>
      <c r="P106" s="1431"/>
      <c r="Q106" s="1429"/>
      <c r="R106" s="1429"/>
      <c r="S106" s="1429"/>
      <c r="T106" s="1430"/>
      <c r="U106" s="1429"/>
      <c r="V106" s="1432"/>
      <c r="W106" s="138"/>
      <c r="X106" s="147"/>
      <c r="Y106" s="183"/>
      <c r="Z106" s="183"/>
      <c r="AJ106" s="179"/>
      <c r="AK106" s="156"/>
      <c r="AL106" s="89"/>
      <c r="AT106" s="76"/>
    </row>
    <row r="107" spans="1:46" ht="11.25" customHeight="1" x14ac:dyDescent="0.2">
      <c r="A107" s="423"/>
      <c r="B107" s="214"/>
      <c r="C107" s="214"/>
      <c r="D107" s="214"/>
      <c r="E107" s="214"/>
      <c r="F107" s="214"/>
      <c r="G107" s="214"/>
      <c r="H107" s="214"/>
      <c r="I107" s="214"/>
      <c r="J107" s="116"/>
      <c r="K107" s="115"/>
      <c r="L107" s="115"/>
      <c r="M107" s="115"/>
      <c r="N107" s="115"/>
      <c r="O107" s="115"/>
      <c r="P107" s="115"/>
      <c r="Q107" s="115"/>
      <c r="R107" s="115"/>
      <c r="S107" s="115"/>
      <c r="T107" s="115"/>
      <c r="U107" s="115"/>
      <c r="V107" s="117"/>
      <c r="W107" s="138"/>
      <c r="X107" s="147"/>
      <c r="Y107" s="193"/>
      <c r="Z107" s="191"/>
      <c r="AA107" s="183"/>
      <c r="AJ107" s="179"/>
      <c r="AK107" s="153"/>
    </row>
    <row r="108" spans="1:46" s="78" customFormat="1" ht="15" customHeight="1" x14ac:dyDescent="0.2">
      <c r="A108" s="901"/>
      <c r="B108" s="1574" t="s">
        <v>679</v>
      </c>
      <c r="C108" s="1574"/>
      <c r="D108" s="1574"/>
      <c r="E108" s="1574"/>
      <c r="F108" s="1574"/>
      <c r="G108" s="1574"/>
      <c r="H108" s="1574"/>
      <c r="I108" s="1574"/>
      <c r="J108" s="69"/>
      <c r="K108" s="69"/>
      <c r="L108" s="69"/>
      <c r="M108" s="69"/>
      <c r="N108" s="771"/>
      <c r="O108" s="69"/>
      <c r="P108" s="69"/>
      <c r="Q108" s="69"/>
      <c r="R108" s="69"/>
      <c r="S108" s="69"/>
      <c r="T108" s="69"/>
      <c r="U108" s="69"/>
      <c r="V108" s="122"/>
      <c r="W108" s="139"/>
      <c r="X108" s="148"/>
      <c r="Y108" s="374" t="s">
        <v>702</v>
      </c>
      <c r="Z108" s="375"/>
      <c r="AA108" s="376"/>
      <c r="AB108" s="376"/>
      <c r="AC108" s="376"/>
      <c r="AD108" s="565"/>
      <c r="AE108" s="83"/>
      <c r="AF108" s="83"/>
      <c r="AG108" s="83"/>
      <c r="AH108" s="83"/>
      <c r="AI108" s="83"/>
      <c r="AJ108" s="179"/>
      <c r="AK108" s="153"/>
      <c r="AL108" s="76"/>
    </row>
    <row r="109" spans="1:46" ht="15" customHeight="1" x14ac:dyDescent="0.2">
      <c r="A109" s="902"/>
      <c r="B109" s="1574"/>
      <c r="C109" s="1574"/>
      <c r="D109" s="1574"/>
      <c r="E109" s="1574"/>
      <c r="F109" s="1574"/>
      <c r="G109" s="1574"/>
      <c r="H109" s="1574"/>
      <c r="I109" s="1574"/>
      <c r="J109" s="69"/>
      <c r="K109" s="69"/>
      <c r="L109" s="69"/>
      <c r="M109" s="69"/>
      <c r="N109" s="771"/>
      <c r="O109" s="69"/>
      <c r="P109" s="69"/>
      <c r="Q109" s="69"/>
      <c r="R109" s="10"/>
      <c r="S109" s="69"/>
      <c r="T109" s="69"/>
      <c r="U109" s="69"/>
      <c r="V109" s="119"/>
      <c r="W109" s="138"/>
      <c r="X109" s="147"/>
      <c r="Y109" s="376"/>
      <c r="Z109" s="375"/>
      <c r="AA109" s="376"/>
      <c r="AB109" s="376"/>
      <c r="AC109" s="376"/>
      <c r="AD109" s="565"/>
      <c r="AJ109" s="179"/>
      <c r="AK109" s="153"/>
    </row>
    <row r="110" spans="1:46" ht="13.5" customHeight="1" x14ac:dyDescent="0.2">
      <c r="A110" s="710"/>
      <c r="B110" s="1419" t="s">
        <v>190</v>
      </c>
      <c r="C110" s="873"/>
      <c r="D110" s="755" t="str">
        <f>Sheet1!$D$25</f>
        <v>2014-15</v>
      </c>
      <c r="E110" s="756" t="str">
        <f>Sheet1!$E$25</f>
        <v>2015-16</v>
      </c>
      <c r="F110" s="756" t="str">
        <f>Sheet1!$F$25</f>
        <v>2016-17</v>
      </c>
      <c r="G110" s="756" t="str">
        <f>Sheet1!$G$25</f>
        <v>2017-18</v>
      </c>
      <c r="H110" s="757" t="str">
        <f>Sheet1!$H$25</f>
        <v>2018-19</v>
      </c>
      <c r="I110" s="879"/>
      <c r="J110" s="69"/>
      <c r="K110" s="69"/>
      <c r="L110" s="69"/>
      <c r="M110" s="69"/>
      <c r="N110" s="870"/>
      <c r="O110" s="69"/>
      <c r="P110" s="69"/>
      <c r="Q110" s="69"/>
      <c r="R110" s="10"/>
      <c r="S110" s="69"/>
      <c r="T110" s="69"/>
      <c r="U110" s="69"/>
      <c r="V110" s="119"/>
      <c r="W110" s="138"/>
      <c r="X110" s="147"/>
      <c r="Y110" s="376"/>
      <c r="Z110" s="375"/>
      <c r="AA110" s="376"/>
      <c r="AB110" s="376"/>
      <c r="AC110" s="376"/>
      <c r="AD110" s="565"/>
      <c r="AJ110" s="179"/>
      <c r="AK110" s="153"/>
    </row>
    <row r="111" spans="1:46" s="89" customFormat="1" ht="13.5" customHeight="1" x14ac:dyDescent="0.2">
      <c r="A111" s="123"/>
      <c r="B111" s="1420"/>
      <c r="C111" s="87"/>
      <c r="D111" s="758" t="e">
        <f>Sheet1!$D$26</f>
        <v>#N/A</v>
      </c>
      <c r="E111" s="758" t="e">
        <f>Sheet1!$E$26</f>
        <v>#N/A</v>
      </c>
      <c r="F111" s="758" t="e">
        <f>Sheet1!$F$26</f>
        <v>#N/A</v>
      </c>
      <c r="G111" s="758" t="e">
        <f>Sheet1!$G$26</f>
        <v>#N/A</v>
      </c>
      <c r="H111" s="759" t="e">
        <f>Sheet1!$H$26</f>
        <v>#N/A</v>
      </c>
      <c r="I111" s="98"/>
      <c r="J111" s="98"/>
      <c r="K111" s="61"/>
      <c r="L111" s="61"/>
      <c r="M111" s="61"/>
      <c r="N111" s="61"/>
      <c r="O111" s="61"/>
      <c r="P111" s="61"/>
      <c r="Q111" s="774"/>
      <c r="R111" s="774"/>
      <c r="S111" s="155"/>
      <c r="T111" s="155"/>
      <c r="U111" s="775"/>
      <c r="V111" s="124"/>
      <c r="W111" s="140"/>
      <c r="X111" s="149"/>
      <c r="Y111" s="552"/>
      <c r="Z111" s="556" t="e">
        <f>D111</f>
        <v>#N/A</v>
      </c>
      <c r="AA111" s="463" t="e">
        <f t="shared" ref="AA111" si="32">E111</f>
        <v>#N/A</v>
      </c>
      <c r="AB111" s="463" t="e">
        <f t="shared" ref="AB111" si="33">F111</f>
        <v>#N/A</v>
      </c>
      <c r="AC111" s="463" t="e">
        <f t="shared" ref="AC111" si="34">G111</f>
        <v>#N/A</v>
      </c>
      <c r="AD111" s="553" t="e">
        <f t="shared" ref="AD111" si="35">H111</f>
        <v>#N/A</v>
      </c>
      <c r="AE111" s="83"/>
      <c r="AF111" s="83"/>
      <c r="AG111" s="83"/>
      <c r="AH111" s="83"/>
      <c r="AI111" s="83"/>
      <c r="AJ111" s="179"/>
      <c r="AK111" s="153"/>
      <c r="AL111" s="76"/>
    </row>
    <row r="112" spans="1:46" s="89" customFormat="1" ht="12.75" customHeight="1" x14ac:dyDescent="0.2">
      <c r="A112" s="462">
        <f>VLOOKUP(B112,Sheet1!$AQ$4:$AR$25,2,FALSE)</f>
        <v>0</v>
      </c>
      <c r="B112" s="95" t="str">
        <f t="shared" ref="B112:B135" si="36">B184</f>
        <v>Bracknell Forest</v>
      </c>
      <c r="C112" s="87"/>
      <c r="D112" s="158" t="e">
        <f t="shared" ref="D112:D135" si="37">IF(AND(ISNUMBER(D10),ISNUMBER(Z112)),Z112/D10,NA())</f>
        <v>#N/A</v>
      </c>
      <c r="E112" s="158" t="e">
        <f t="shared" ref="E112:H112" si="38">IF(AND(ISNUMBER(E10),ISNUMBER(AA112)),AA112/E10,NA())</f>
        <v>#N/A</v>
      </c>
      <c r="F112" s="158" t="e">
        <f t="shared" si="38"/>
        <v>#N/A</v>
      </c>
      <c r="G112" s="158" t="e">
        <f t="shared" si="38"/>
        <v>#N/A</v>
      </c>
      <c r="H112" s="160">
        <f t="shared" si="38"/>
        <v>0</v>
      </c>
      <c r="I112" s="98"/>
      <c r="J112" s="98"/>
      <c r="K112" s="162"/>
      <c r="L112" s="162"/>
      <c r="M112" s="162"/>
      <c r="N112" s="162"/>
      <c r="O112" s="162"/>
      <c r="P112" s="162"/>
      <c r="Q112" s="162"/>
      <c r="R112" s="163"/>
      <c r="S112" s="155"/>
      <c r="T112" s="155"/>
      <c r="U112" s="162"/>
      <c r="V112" s="124"/>
      <c r="W112" s="140"/>
      <c r="X112" s="149"/>
      <c r="Y112" s="552" t="str">
        <f>B112</f>
        <v>Bracknell Forest</v>
      </c>
      <c r="Z112" s="556" t="str">
        <f>IF(Year1_Bracknell_Forest Year1_CP_Plans_2years="","",Year1_Bracknell_Forest Year1_CP_Plans_2years)</f>
        <v/>
      </c>
      <c r="AA112" s="365" t="str">
        <f>IF(Year2_Bracknell_Forest Year2_CP_Plans_2years="","",Year2_Bracknell_Forest Year2_CP_Plans_2years)</f>
        <v/>
      </c>
      <c r="AB112" s="365" t="str">
        <f>IF(Year3_Bracknell_Forest Year3_CP_Plans_2years="","",Year3_Bracknell_Forest Year3_CP_Plans_2years)</f>
        <v/>
      </c>
      <c r="AC112" s="365" t="str">
        <f>IF(Year4_Bracknell_Forest Year4_CP_Plans_2years="","",Year4_Bracknell_Forest Year4_CP_Plans_2years)</f>
        <v/>
      </c>
      <c r="AD112" s="552">
        <f>IF(Year5_Bracknell_Forest Year5_CP_Plans_2years="","",Year5_Bracknell_Forest Year5_CP_Plans_2years)</f>
        <v>0</v>
      </c>
      <c r="AE112" s="83"/>
      <c r="AF112" s="83"/>
      <c r="AG112" s="83"/>
      <c r="AH112" s="83"/>
      <c r="AI112" s="83"/>
      <c r="AJ112" s="179"/>
      <c r="AK112" s="153"/>
      <c r="AL112" s="76"/>
    </row>
    <row r="113" spans="1:45" s="89" customFormat="1" ht="12.75" customHeight="1" x14ac:dyDescent="0.2">
      <c r="A113" s="462">
        <f>VLOOKUP(B113,Sheet1!$AQ$4:$AR$25,2,FALSE)</f>
        <v>0</v>
      </c>
      <c r="B113" s="95" t="str">
        <f t="shared" si="36"/>
        <v>Brighton &amp; Hove</v>
      </c>
      <c r="C113" s="87"/>
      <c r="D113" s="158" t="e">
        <f t="shared" si="37"/>
        <v>#N/A</v>
      </c>
      <c r="E113" s="158" t="e">
        <f t="shared" ref="E113:E135" si="39">IF(AND(ISNUMBER(E11),ISNUMBER(AA113)),AA113/E11,NA())</f>
        <v>#N/A</v>
      </c>
      <c r="F113" s="158" t="e">
        <f t="shared" ref="F113:F135" si="40">IF(AND(ISNUMBER(F11),ISNUMBER(AB113)),AB113/F11,NA())</f>
        <v>#N/A</v>
      </c>
      <c r="G113" s="158" t="e">
        <f t="shared" ref="G113:G135" si="41">IF(AND(ISNUMBER(G11),ISNUMBER(AC113)),AC113/G11,NA())</f>
        <v>#N/A</v>
      </c>
      <c r="H113" s="160">
        <f t="shared" ref="H113:H135" si="42">IF(AND(ISNUMBER(H11),ISNUMBER(AD113)),AD113/H11,NA())</f>
        <v>3.7974683544303799E-2</v>
      </c>
      <c r="I113" s="98"/>
      <c r="J113" s="98"/>
      <c r="K113" s="162"/>
      <c r="L113" s="162"/>
      <c r="M113" s="162"/>
      <c r="N113" s="162"/>
      <c r="O113" s="162"/>
      <c r="P113" s="162"/>
      <c r="Q113" s="162"/>
      <c r="R113" s="163"/>
      <c r="S113" s="155"/>
      <c r="T113" s="155"/>
      <c r="U113" s="162"/>
      <c r="V113" s="124"/>
      <c r="W113" s="140"/>
      <c r="X113" s="149"/>
      <c r="Y113" s="552" t="str">
        <f t="shared" ref="Y113:Y135" si="43">B113</f>
        <v>Brighton &amp; Hove</v>
      </c>
      <c r="Z113" s="556" t="str">
        <f>IF(Year1_Brighton_Hove Year1_CP_Plans_2years="","",Year1_Brighton_Hove Year1_CP_Plans_2years)</f>
        <v/>
      </c>
      <c r="AA113" s="365" t="str">
        <f>IF(Year2_Brighton_Hove Year2_CP_Plans_2years="","",Year2_Brighton_Hove Year2_CP_Plans_2years)</f>
        <v/>
      </c>
      <c r="AB113" s="365" t="str">
        <f>IF(Year3_Brighton_Hove Year3_CP_Plans_2years="","",Year3_Brighton_Hove Year3_CP_Plans_2years)</f>
        <v/>
      </c>
      <c r="AC113" s="365" t="str">
        <f>IF(Year4_Brighton_Hove Year4_CP_Plans_2years="","",Year4_Brighton_Hove Year4_CP_Plans_2years)</f>
        <v/>
      </c>
      <c r="AD113" s="552">
        <f>IF(Year5_Brighton_Hove Year5_CP_Plans_2years="","",Year5_Brighton_Hove Year5_CP_Plans_2years)</f>
        <v>12</v>
      </c>
      <c r="AE113" s="83"/>
      <c r="AF113" s="83"/>
      <c r="AG113" s="83"/>
      <c r="AH113" s="83"/>
      <c r="AI113" s="83"/>
      <c r="AJ113" s="179"/>
      <c r="AK113" s="153"/>
      <c r="AL113" s="76"/>
    </row>
    <row r="114" spans="1:45" s="89" customFormat="1" ht="12.75" customHeight="1" x14ac:dyDescent="0.2">
      <c r="A114" s="462">
        <f>VLOOKUP(B114,Sheet1!$AQ$4:$AR$25,2,FALSE)</f>
        <v>0</v>
      </c>
      <c r="B114" s="95" t="str">
        <f t="shared" si="36"/>
        <v>Buckinghamshire</v>
      </c>
      <c r="C114" s="87"/>
      <c r="D114" s="158" t="e">
        <f t="shared" si="37"/>
        <v>#N/A</v>
      </c>
      <c r="E114" s="158" t="e">
        <f t="shared" si="39"/>
        <v>#N/A</v>
      </c>
      <c r="F114" s="158" t="e">
        <f t="shared" si="40"/>
        <v>#N/A</v>
      </c>
      <c r="G114" s="158" t="e">
        <f t="shared" si="41"/>
        <v>#N/A</v>
      </c>
      <c r="H114" s="160">
        <f t="shared" si="42"/>
        <v>2.491103202846975E-2</v>
      </c>
      <c r="I114" s="98"/>
      <c r="J114" s="98"/>
      <c r="K114" s="162"/>
      <c r="L114" s="162"/>
      <c r="M114" s="162"/>
      <c r="N114" s="162"/>
      <c r="O114" s="162"/>
      <c r="P114" s="162"/>
      <c r="Q114" s="162"/>
      <c r="R114" s="163"/>
      <c r="S114" s="155"/>
      <c r="T114" s="155"/>
      <c r="U114" s="162"/>
      <c r="V114" s="124"/>
      <c r="W114" s="140"/>
      <c r="X114" s="149"/>
      <c r="Y114" s="552" t="str">
        <f t="shared" si="43"/>
        <v>Buckinghamshire</v>
      </c>
      <c r="Z114" s="556" t="str">
        <f>IF(Year1_Buckinghamshire Year1_CP_Plans_2years="","",Year1_Buckinghamshire Year1_CP_Plans_2years)</f>
        <v/>
      </c>
      <c r="AA114" s="365" t="str">
        <f>IF(Year2_Buckinghamshire Year2_CP_Plans_2years="","",Year2_Buckinghamshire Year2_CP_Plans_2years)</f>
        <v/>
      </c>
      <c r="AB114" s="365" t="str">
        <f>IF(Year3_Buckinghamshire Year3_CP_Plans_2years="","",Year3_Buckinghamshire Year3_CP_Plans_2years)</f>
        <v/>
      </c>
      <c r="AC114" s="365" t="str">
        <f>IF(Year4_Buckinghamshire Year4_CP_Plans_2years="","",Year4_Buckinghamshire Year4_CP_Plans_2years)</f>
        <v/>
      </c>
      <c r="AD114" s="552">
        <f>IF(Year5_Buckinghamshire Year5_CP_Plans_2years="","",Year5_Buckinghamshire Year5_CP_Plans_2years)</f>
        <v>14</v>
      </c>
      <c r="AE114" s="83"/>
      <c r="AF114" s="83"/>
      <c r="AG114" s="83"/>
      <c r="AH114" s="83"/>
      <c r="AI114" s="83"/>
      <c r="AJ114" s="179"/>
      <c r="AK114" s="153"/>
      <c r="AL114" s="76"/>
    </row>
    <row r="115" spans="1:45" s="89" customFormat="1" ht="12.75" customHeight="1" x14ac:dyDescent="0.2">
      <c r="A115" s="462">
        <f>VLOOKUP(B115,Sheet1!$AQ$4:$AR$25,2,FALSE)</f>
        <v>0</v>
      </c>
      <c r="B115" s="95" t="str">
        <f t="shared" si="36"/>
        <v>East Sussex</v>
      </c>
      <c r="C115" s="87"/>
      <c r="D115" s="158" t="e">
        <f t="shared" si="37"/>
        <v>#N/A</v>
      </c>
      <c r="E115" s="158" t="e">
        <f t="shared" si="39"/>
        <v>#N/A</v>
      </c>
      <c r="F115" s="158" t="e">
        <f t="shared" si="40"/>
        <v>#N/A</v>
      </c>
      <c r="G115" s="158" t="e">
        <f t="shared" si="41"/>
        <v>#N/A</v>
      </c>
      <c r="H115" s="160">
        <f t="shared" si="42"/>
        <v>4.3936731107205626E-2</v>
      </c>
      <c r="I115" s="98"/>
      <c r="J115" s="98"/>
      <c r="K115" s="162"/>
      <c r="L115" s="162"/>
      <c r="M115" s="162"/>
      <c r="N115" s="162"/>
      <c r="O115" s="162"/>
      <c r="P115" s="162"/>
      <c r="Q115" s="162"/>
      <c r="R115" s="163"/>
      <c r="S115" s="155"/>
      <c r="T115" s="155"/>
      <c r="U115" s="162"/>
      <c r="V115" s="124"/>
      <c r="W115" s="140"/>
      <c r="X115" s="149"/>
      <c r="Y115" s="552" t="str">
        <f t="shared" si="43"/>
        <v>East Sussex</v>
      </c>
      <c r="Z115" s="556" t="str">
        <f>IF(Year1_East_Sussex Year1_CP_Plans_2years="","",Year1_East_Sussex Year1_CP_Plans_2years)</f>
        <v/>
      </c>
      <c r="AA115" s="365" t="str">
        <f>IF(Year2_East_Sussex Year2_CP_Plans_2years="","",Year2_East_Sussex Year2_CP_Plans_2years)</f>
        <v/>
      </c>
      <c r="AB115" s="365" t="str">
        <f>IF(Year3_East_Sussex Year3_CP_Plans_2years="","",Year3_East_Sussex Year3_CP_Plans_2years)</f>
        <v/>
      </c>
      <c r="AC115" s="365" t="str">
        <f>IF(Year4_East_Sussex Year4_CP_Plans_2years="","",Year4_East_Sussex Year4_CP_Plans_2years)</f>
        <v/>
      </c>
      <c r="AD115" s="552">
        <f>IF(Year5_East_Sussex Year5_CP_Plans_2years="","",Year5_East_Sussex Year5_CP_Plans_2years)</f>
        <v>25</v>
      </c>
      <c r="AE115" s="83"/>
      <c r="AF115" s="83"/>
      <c r="AG115" s="83"/>
      <c r="AH115" s="83"/>
      <c r="AI115" s="83"/>
      <c r="AJ115" s="179"/>
      <c r="AK115" s="153"/>
      <c r="AL115" s="76"/>
    </row>
    <row r="116" spans="1:45" s="89" customFormat="1" ht="12.75" customHeight="1" x14ac:dyDescent="0.2">
      <c r="A116" s="462">
        <f>VLOOKUP(B116,Sheet1!$AQ$4:$AR$25,2,FALSE)</f>
        <v>0</v>
      </c>
      <c r="B116" s="95" t="str">
        <f t="shared" si="36"/>
        <v>Hampshire</v>
      </c>
      <c r="C116" s="87"/>
      <c r="D116" s="158" t="e">
        <f t="shared" si="37"/>
        <v>#N/A</v>
      </c>
      <c r="E116" s="158" t="e">
        <f t="shared" si="39"/>
        <v>#N/A</v>
      </c>
      <c r="F116" s="158" t="e">
        <f t="shared" si="40"/>
        <v>#N/A</v>
      </c>
      <c r="G116" s="158" t="e">
        <f t="shared" si="41"/>
        <v>#N/A</v>
      </c>
      <c r="H116" s="160">
        <f t="shared" si="42"/>
        <v>3.1905195989061073E-2</v>
      </c>
      <c r="I116" s="98"/>
      <c r="J116" s="98"/>
      <c r="K116" s="162"/>
      <c r="L116" s="162"/>
      <c r="M116" s="162"/>
      <c r="N116" s="162"/>
      <c r="O116" s="162"/>
      <c r="P116" s="162"/>
      <c r="Q116" s="162"/>
      <c r="R116" s="163"/>
      <c r="S116" s="155"/>
      <c r="T116" s="155"/>
      <c r="U116" s="162"/>
      <c r="V116" s="124"/>
      <c r="W116" s="140"/>
      <c r="X116" s="149"/>
      <c r="Y116" s="552" t="str">
        <f t="shared" si="43"/>
        <v>Hampshire</v>
      </c>
      <c r="Z116" s="556" t="str">
        <f>IF(Year1_Hampshire Year1_CP_Plans_2years="","",Year1_Hampshire Year1_CP_Plans_2years)</f>
        <v/>
      </c>
      <c r="AA116" s="365" t="str">
        <f>IF(Year2_Hampshire Year2_CP_Plans_2years="","",Year2_Hampshire Year2_CP_Plans_2years)</f>
        <v/>
      </c>
      <c r="AB116" s="365" t="str">
        <f>IF(Year3_Hampshire Year3_CP_Plans_2years="","",Year3_Hampshire Year3_CP_Plans_2years)</f>
        <v/>
      </c>
      <c r="AC116" s="365" t="str">
        <f>IF(Year4_Hampshire Year4_CP_Plans_2years="","",Year4_Hampshire Year4_CP_Plans_2years)</f>
        <v/>
      </c>
      <c r="AD116" s="552">
        <f>IF(Year5_Hampshire Year5_CP_Plans_2years="","",Year5_Hampshire Year5_CP_Plans_2years)</f>
        <v>35</v>
      </c>
      <c r="AE116" s="83"/>
      <c r="AF116" s="83"/>
      <c r="AG116" s="83"/>
      <c r="AH116" s="83"/>
      <c r="AI116" s="83"/>
      <c r="AJ116" s="179"/>
      <c r="AK116" s="153"/>
      <c r="AL116" s="76"/>
    </row>
    <row r="117" spans="1:45" s="89" customFormat="1" ht="12.75" customHeight="1" x14ac:dyDescent="0.2">
      <c r="A117" s="462">
        <f>VLOOKUP(B117,Sheet1!$AQ$4:$AR$25,2,FALSE)</f>
        <v>0</v>
      </c>
      <c r="B117" s="95" t="str">
        <f t="shared" si="36"/>
        <v>Isle of Wight</v>
      </c>
      <c r="C117" s="87"/>
      <c r="D117" s="158" t="e">
        <f t="shared" si="37"/>
        <v>#N/A</v>
      </c>
      <c r="E117" s="158" t="e">
        <f t="shared" si="39"/>
        <v>#N/A</v>
      </c>
      <c r="F117" s="158" t="e">
        <f t="shared" si="40"/>
        <v>#N/A</v>
      </c>
      <c r="G117" s="158" t="e">
        <f t="shared" si="41"/>
        <v>#N/A</v>
      </c>
      <c r="H117" s="160" t="e">
        <f t="shared" si="42"/>
        <v>#N/A</v>
      </c>
      <c r="I117" s="98"/>
      <c r="J117" s="98"/>
      <c r="K117" s="162"/>
      <c r="L117" s="162"/>
      <c r="M117" s="162"/>
      <c r="N117" s="162"/>
      <c r="O117" s="162"/>
      <c r="P117" s="162"/>
      <c r="Q117" s="162"/>
      <c r="R117" s="163"/>
      <c r="S117" s="155"/>
      <c r="T117" s="155"/>
      <c r="U117" s="162"/>
      <c r="V117" s="124"/>
      <c r="W117" s="140"/>
      <c r="X117" s="149"/>
      <c r="Y117" s="552" t="str">
        <f t="shared" si="43"/>
        <v>Isle of Wight</v>
      </c>
      <c r="Z117" s="556" t="str">
        <f>IF(Year1_Isle_of_Wight Year1_CP_Plans_2years="","",Year1_Isle_of_Wight Year1_CP_Plans_2years)</f>
        <v/>
      </c>
      <c r="AA117" s="365" t="str">
        <f>IF(Year2_Isle_of_Wight Year2_CP_Plans_2years="","",Year2_Isle_of_Wight Year2_CP_Plans_2years)</f>
        <v/>
      </c>
      <c r="AB117" s="365" t="str">
        <f>IF(Year3_Isle_of_Wight Year3_CP_Plans_2years="","",Year3_Isle_of_Wight Year3_CP_Plans_2years)</f>
        <v/>
      </c>
      <c r="AC117" s="365" t="str">
        <f>IF(Year4_Isle_of_Wight Year4_CP_Plans_2years="","",Year4_Isle_of_Wight Year4_CP_Plans_2years)</f>
        <v/>
      </c>
      <c r="AD117" s="552" t="str">
        <f>IF(Year5_Isle_of_Wight Year5_CP_Plans_2years="","",Year5_Isle_of_Wight Year5_CP_Plans_2years)</f>
        <v>x</v>
      </c>
      <c r="AE117" s="83"/>
      <c r="AF117" s="83"/>
      <c r="AG117" s="83"/>
      <c r="AH117" s="83"/>
      <c r="AI117" s="83"/>
      <c r="AJ117" s="179"/>
      <c r="AK117" s="153"/>
      <c r="AL117" s="76"/>
      <c r="AS117" s="89" t="s">
        <v>103</v>
      </c>
    </row>
    <row r="118" spans="1:45" s="89" customFormat="1" ht="12.75" customHeight="1" x14ac:dyDescent="0.2">
      <c r="A118" s="462">
        <f>VLOOKUP(B118,Sheet1!$AQ$4:$AR$25,2,FALSE)</f>
        <v>0</v>
      </c>
      <c r="B118" s="95" t="str">
        <f t="shared" si="36"/>
        <v>Kent</v>
      </c>
      <c r="C118" s="87"/>
      <c r="D118" s="158" t="e">
        <f t="shared" si="37"/>
        <v>#N/A</v>
      </c>
      <c r="E118" s="158" t="e">
        <f t="shared" si="39"/>
        <v>#N/A</v>
      </c>
      <c r="F118" s="158" t="e">
        <f t="shared" si="40"/>
        <v>#N/A</v>
      </c>
      <c r="G118" s="158" t="e">
        <f t="shared" si="41"/>
        <v>#N/A</v>
      </c>
      <c r="H118" s="160">
        <f t="shared" si="42"/>
        <v>2.6093630084420567E-2</v>
      </c>
      <c r="I118" s="98"/>
      <c r="J118" s="98"/>
      <c r="K118" s="162"/>
      <c r="L118" s="162"/>
      <c r="M118" s="162"/>
      <c r="N118" s="162"/>
      <c r="O118" s="162"/>
      <c r="P118" s="162"/>
      <c r="Q118" s="162"/>
      <c r="R118" s="163"/>
      <c r="S118" s="155"/>
      <c r="T118" s="155"/>
      <c r="U118" s="162"/>
      <c r="V118" s="124"/>
      <c r="W118" s="140"/>
      <c r="X118" s="149"/>
      <c r="Y118" s="552" t="str">
        <f t="shared" si="43"/>
        <v>Kent</v>
      </c>
      <c r="Z118" s="556" t="str">
        <f>IF(Year1_Kent Year1_CP_Plans_2years="","",Year1_Kent Year1_CP_Plans_2years)</f>
        <v/>
      </c>
      <c r="AA118" s="365" t="str">
        <f>IF(Year2_Kent Year2_CP_Plans_2years="","",Year2_Kent Year2_CP_Plans_2years)</f>
        <v/>
      </c>
      <c r="AB118" s="365" t="str">
        <f>IF(Year3_Kent Year3_CP_Plans_2years="","",Year3_Kent Year3_CP_Plans_2years)</f>
        <v/>
      </c>
      <c r="AC118" s="365" t="str">
        <f>IF(Year4_Kent Year4_CP_Plans_2years="","",Year4_Kent Year4_CP_Plans_2years)</f>
        <v/>
      </c>
      <c r="AD118" s="552">
        <f>IF(Year5_Kent Year5_CP_Plans_2years="","",Year5_Kent Year5_CP_Plans_2years)</f>
        <v>34</v>
      </c>
      <c r="AE118" s="83"/>
      <c r="AF118" s="83"/>
      <c r="AG118" s="83"/>
      <c r="AH118" s="83"/>
      <c r="AI118" s="83"/>
      <c r="AJ118" s="179"/>
      <c r="AK118" s="153"/>
      <c r="AL118" s="76"/>
    </row>
    <row r="119" spans="1:45" s="89" customFormat="1" ht="12.75" customHeight="1" x14ac:dyDescent="0.2">
      <c r="A119" s="462">
        <f>VLOOKUP(B119,Sheet1!$AQ$4:$AR$25,2,FALSE)</f>
        <v>0</v>
      </c>
      <c r="B119" s="95" t="str">
        <f t="shared" si="36"/>
        <v>Medway</v>
      </c>
      <c r="C119" s="87"/>
      <c r="D119" s="158" t="e">
        <f t="shared" si="37"/>
        <v>#N/A</v>
      </c>
      <c r="E119" s="158" t="e">
        <f t="shared" si="39"/>
        <v>#N/A</v>
      </c>
      <c r="F119" s="158" t="e">
        <f t="shared" si="40"/>
        <v>#N/A</v>
      </c>
      <c r="G119" s="158" t="e">
        <f t="shared" si="41"/>
        <v>#N/A</v>
      </c>
      <c r="H119" s="160">
        <f t="shared" si="42"/>
        <v>3.3802816901408447E-2</v>
      </c>
      <c r="I119" s="98"/>
      <c r="J119" s="98"/>
      <c r="K119" s="162"/>
      <c r="L119" s="162"/>
      <c r="M119" s="162"/>
      <c r="N119" s="162"/>
      <c r="O119" s="162"/>
      <c r="P119" s="162"/>
      <c r="Q119" s="162"/>
      <c r="R119" s="163"/>
      <c r="S119" s="155"/>
      <c r="T119" s="155"/>
      <c r="U119" s="162"/>
      <c r="V119" s="124"/>
      <c r="W119" s="140"/>
      <c r="X119" s="149"/>
      <c r="Y119" s="552" t="str">
        <f t="shared" si="43"/>
        <v>Medway</v>
      </c>
      <c r="Z119" s="556" t="str">
        <f>IF(Year1_Medway Year1_CP_Plans_2years="","",Year1_Medway Year1_CP_Plans_2years)</f>
        <v/>
      </c>
      <c r="AA119" s="365" t="str">
        <f>IF(Year2_Medway Year2_CP_Plans_2years="","",Year2_Medway Year2_CP_Plans_2years)</f>
        <v/>
      </c>
      <c r="AB119" s="365" t="str">
        <f>IF(Year3_Medway Year3_CP_Plans_2years="","",Year3_Medway Year3_CP_Plans_2years)</f>
        <v/>
      </c>
      <c r="AC119" s="365" t="str">
        <f>IF(Year4_Medway Year4_CP_Plans_2years="","",Year4_Medway Year4_CP_Plans_2years)</f>
        <v/>
      </c>
      <c r="AD119" s="552">
        <f>IF(Year5_Medway Year5_CP_Plans_2years="","",Year5_Medway Year5_CP_Plans_2years)</f>
        <v>12</v>
      </c>
      <c r="AE119" s="83"/>
      <c r="AF119" s="83"/>
      <c r="AG119" s="83"/>
      <c r="AH119" s="83"/>
      <c r="AI119" s="83"/>
      <c r="AJ119" s="179"/>
      <c r="AK119" s="153"/>
      <c r="AL119" s="76"/>
    </row>
    <row r="120" spans="1:45" s="89" customFormat="1" ht="12.75" customHeight="1" x14ac:dyDescent="0.2">
      <c r="A120" s="462">
        <f>VLOOKUP(B120,Sheet1!$AQ$4:$AR$25,2,FALSE)</f>
        <v>0</v>
      </c>
      <c r="B120" s="95" t="str">
        <f t="shared" si="36"/>
        <v>Milton Keynes</v>
      </c>
      <c r="C120" s="87"/>
      <c r="D120" s="158" t="e">
        <f t="shared" si="37"/>
        <v>#N/A</v>
      </c>
      <c r="E120" s="158" t="e">
        <f t="shared" si="39"/>
        <v>#N/A</v>
      </c>
      <c r="F120" s="158" t="e">
        <f t="shared" si="40"/>
        <v>#N/A</v>
      </c>
      <c r="G120" s="158" t="e">
        <f t="shared" si="41"/>
        <v>#N/A</v>
      </c>
      <c r="H120" s="160" t="e">
        <f t="shared" si="42"/>
        <v>#N/A</v>
      </c>
      <c r="I120" s="98"/>
      <c r="J120" s="98"/>
      <c r="K120" s="162"/>
      <c r="L120" s="162"/>
      <c r="M120" s="162"/>
      <c r="N120" s="162"/>
      <c r="O120" s="162"/>
      <c r="P120" s="162"/>
      <c r="Q120" s="162"/>
      <c r="R120" s="163"/>
      <c r="S120" s="155"/>
      <c r="T120" s="155"/>
      <c r="U120" s="162"/>
      <c r="V120" s="124"/>
      <c r="W120" s="140"/>
      <c r="X120" s="149"/>
      <c r="Y120" s="552" t="str">
        <f t="shared" si="43"/>
        <v>Milton Keynes</v>
      </c>
      <c r="Z120" s="556" t="str">
        <f>IF(Year1_Milton_Keynes Year1_CP_Plans_2years="","",Year1_Milton_Keynes Year1_CP_Plans_2years)</f>
        <v/>
      </c>
      <c r="AA120" s="365" t="str">
        <f>IF(Year2_Milton_Keynes Year2_CP_Plans_2years="","",Year2_Milton_Keynes Year2_CP_Plans_2years)</f>
        <v/>
      </c>
      <c r="AB120" s="365" t="str">
        <f>IF(Year3_Milton_Keynes Year3_CP_Plans_2years="","",Year3_Milton_Keynes Year3_CP_Plans_2years)</f>
        <v/>
      </c>
      <c r="AC120" s="365" t="str">
        <f>IF(Year4_Milton_Keynes Year4_CP_Plans_2years="","",Year4_Milton_Keynes Year4_CP_Plans_2years)</f>
        <v/>
      </c>
      <c r="AD120" s="552" t="str">
        <f>IF(Year5_Milton_Keynes Year5_CP_Plans_2years="","",Year5_Milton_Keynes Year5_CP_Plans_2years)</f>
        <v>x</v>
      </c>
      <c r="AE120" s="83"/>
      <c r="AF120" s="83"/>
      <c r="AG120" s="83"/>
      <c r="AH120" s="83"/>
      <c r="AI120" s="83"/>
      <c r="AJ120" s="179"/>
      <c r="AK120" s="153"/>
      <c r="AL120" s="76"/>
    </row>
    <row r="121" spans="1:45" s="89" customFormat="1" ht="12.75" customHeight="1" x14ac:dyDescent="0.2">
      <c r="A121" s="462">
        <f>VLOOKUP(B121,Sheet1!$AQ$4:$AR$25,2,FALSE)</f>
        <v>0</v>
      </c>
      <c r="B121" s="95" t="str">
        <f t="shared" si="36"/>
        <v>Oxfordshire</v>
      </c>
      <c r="C121" s="87"/>
      <c r="D121" s="158" t="e">
        <f t="shared" si="37"/>
        <v>#N/A</v>
      </c>
      <c r="E121" s="158" t="e">
        <f t="shared" si="39"/>
        <v>#N/A</v>
      </c>
      <c r="F121" s="158" t="e">
        <f t="shared" si="40"/>
        <v>#N/A</v>
      </c>
      <c r="G121" s="158" t="e">
        <f t="shared" si="41"/>
        <v>#N/A</v>
      </c>
      <c r="H121" s="160">
        <f t="shared" si="42"/>
        <v>6.25E-2</v>
      </c>
      <c r="I121" s="98"/>
      <c r="J121" s="98"/>
      <c r="K121" s="162"/>
      <c r="L121" s="162"/>
      <c r="M121" s="162"/>
      <c r="N121" s="162"/>
      <c r="O121" s="162"/>
      <c r="P121" s="162"/>
      <c r="Q121" s="162"/>
      <c r="R121" s="163"/>
      <c r="S121" s="155"/>
      <c r="T121" s="155"/>
      <c r="U121" s="162"/>
      <c r="V121" s="124"/>
      <c r="W121" s="140"/>
      <c r="X121" s="149"/>
      <c r="Y121" s="552" t="str">
        <f t="shared" si="43"/>
        <v>Oxfordshire</v>
      </c>
      <c r="Z121" s="556" t="str">
        <f>IF(Year1_Oxfordshire Year1_CP_Plans_2years="","",Year1_Oxfordshire Year1_CP_Plans_2years)</f>
        <v/>
      </c>
      <c r="AA121" s="365" t="str">
        <f>IF(Year2_Oxfordshire Year2_CP_Plans_2years="","",Year2_Oxfordshire Year2_CP_Plans_2years)</f>
        <v/>
      </c>
      <c r="AB121" s="365" t="str">
        <f>IF(Year3_Oxfordshire Year3_CP_Plans_2years="","",Year3_Oxfordshire Year3_CP_Plans_2years)</f>
        <v/>
      </c>
      <c r="AC121" s="365" t="str">
        <f>IF(Year4_Oxfordshire Year4_CP_Plans_2years="","",Year4_Oxfordshire Year4_CP_Plans_2years)</f>
        <v/>
      </c>
      <c r="AD121" s="552">
        <f>IF(Year5_Oxfordshire Year5_CP_Plans_2years="","",Year5_Oxfordshire Year5_CP_Plans_2years)</f>
        <v>37</v>
      </c>
      <c r="AE121" s="83"/>
      <c r="AF121" s="83"/>
      <c r="AG121" s="83"/>
      <c r="AH121" s="83"/>
      <c r="AI121" s="83"/>
      <c r="AJ121" s="179"/>
      <c r="AK121" s="153"/>
      <c r="AL121" s="76"/>
    </row>
    <row r="122" spans="1:45" s="89" customFormat="1" ht="12.75" customHeight="1" x14ac:dyDescent="0.2">
      <c r="A122" s="462">
        <f>VLOOKUP(B122,Sheet1!$AQ$4:$AR$25,2,FALSE)</f>
        <v>0</v>
      </c>
      <c r="B122" s="95" t="str">
        <f t="shared" si="36"/>
        <v>Portsmouth</v>
      </c>
      <c r="C122" s="87"/>
      <c r="D122" s="158" t="e">
        <f t="shared" si="37"/>
        <v>#N/A</v>
      </c>
      <c r="E122" s="158" t="e">
        <f t="shared" si="39"/>
        <v>#N/A</v>
      </c>
      <c r="F122" s="158" t="e">
        <f t="shared" si="40"/>
        <v>#N/A</v>
      </c>
      <c r="G122" s="158" t="e">
        <f t="shared" si="41"/>
        <v>#N/A</v>
      </c>
      <c r="H122" s="160" t="e">
        <f t="shared" si="42"/>
        <v>#N/A</v>
      </c>
      <c r="I122" s="98"/>
      <c r="J122" s="98"/>
      <c r="K122" s="162"/>
      <c r="L122" s="162"/>
      <c r="M122" s="162"/>
      <c r="N122" s="162"/>
      <c r="O122" s="162"/>
      <c r="P122" s="162"/>
      <c r="Q122" s="162"/>
      <c r="R122" s="163"/>
      <c r="S122" s="155"/>
      <c r="T122" s="155"/>
      <c r="U122" s="162"/>
      <c r="V122" s="124"/>
      <c r="W122" s="140"/>
      <c r="X122" s="149"/>
      <c r="Y122" s="552" t="str">
        <f t="shared" si="43"/>
        <v>Portsmouth</v>
      </c>
      <c r="Z122" s="556" t="str">
        <f>IF(Year1_Portsmouth Year1_CP_Plans_2years="","",Year1_Portsmouth Year1_CP_Plans_2years)</f>
        <v/>
      </c>
      <c r="AA122" s="365" t="str">
        <f>IF(Year2_Portsmouth Year2_CP_Plans_2years="","",Year2_Portsmouth Year2_CP_Plans_2years)</f>
        <v/>
      </c>
      <c r="AB122" s="365" t="str">
        <f>IF(Year3_Portsmouth Year3_CP_Plans_2years="","",Year3_Portsmouth Year3_CP_Plans_2years)</f>
        <v/>
      </c>
      <c r="AC122" s="365" t="str">
        <f>IF(Year4_Portsmouth Year4_CP_Plans_2years="","",Year4_Portsmouth Year4_CP_Plans_2years)</f>
        <v/>
      </c>
      <c r="AD122" s="552" t="str">
        <f>IF(Year5_Portsmouth Year5_CP_Plans_2years="","",Year5_Portsmouth Year5_CP_Plans_2years)</f>
        <v>x</v>
      </c>
      <c r="AE122" s="83"/>
      <c r="AF122" s="83"/>
      <c r="AG122" s="83"/>
      <c r="AH122" s="83"/>
      <c r="AI122" s="83"/>
      <c r="AJ122" s="179"/>
      <c r="AK122" s="153"/>
      <c r="AL122" s="76"/>
    </row>
    <row r="123" spans="1:45" s="89" customFormat="1" ht="12.75" customHeight="1" x14ac:dyDescent="0.2">
      <c r="A123" s="462">
        <f>VLOOKUP(B123,Sheet1!$AQ$4:$AR$25,2,FALSE)</f>
        <v>0</v>
      </c>
      <c r="B123" s="95" t="str">
        <f t="shared" si="36"/>
        <v>Reading</v>
      </c>
      <c r="C123" s="87"/>
      <c r="D123" s="158" t="e">
        <f t="shared" si="37"/>
        <v>#N/A</v>
      </c>
      <c r="E123" s="158" t="e">
        <f t="shared" si="39"/>
        <v>#N/A</v>
      </c>
      <c r="F123" s="158" t="e">
        <f t="shared" si="40"/>
        <v>#N/A</v>
      </c>
      <c r="G123" s="158" t="e">
        <f t="shared" si="41"/>
        <v>#N/A</v>
      </c>
      <c r="H123" s="160">
        <f t="shared" si="42"/>
        <v>3.9215686274509803E-2</v>
      </c>
      <c r="I123" s="98"/>
      <c r="J123" s="98"/>
      <c r="K123" s="162"/>
      <c r="L123" s="162"/>
      <c r="M123" s="162"/>
      <c r="N123" s="162"/>
      <c r="O123" s="162"/>
      <c r="P123" s="162"/>
      <c r="Q123" s="162"/>
      <c r="R123" s="163"/>
      <c r="S123" s="155"/>
      <c r="T123" s="155"/>
      <c r="U123" s="162"/>
      <c r="V123" s="124"/>
      <c r="W123" s="140"/>
      <c r="X123" s="149"/>
      <c r="Y123" s="552" t="str">
        <f t="shared" si="43"/>
        <v>Reading</v>
      </c>
      <c r="Z123" s="556" t="str">
        <f>IF(Year1_Reading Year1_CP_Plans_2years="","",Year1_Reading Year1_CP_Plans_2years)</f>
        <v/>
      </c>
      <c r="AA123" s="365" t="str">
        <f>IF(Year2_Reading Year2_CP_Plans_2years="","",Year2_Reading Year2_CP_Plans_2years)</f>
        <v/>
      </c>
      <c r="AB123" s="365" t="str">
        <f>IF(Year3_Reading Year3_CP_Plans_2years="","",Year3_Reading Year3_CP_Plans_2years)</f>
        <v/>
      </c>
      <c r="AC123" s="365" t="str">
        <f>IF(Year4_Reading Year4_CP_Plans_2years="","",Year4_Reading Year4_CP_Plans_2years)</f>
        <v/>
      </c>
      <c r="AD123" s="552">
        <f>IF(Year5_Reading Year5_CP_Plans_2years="","",Year5_Reading Year5_CP_Plans_2years)</f>
        <v>10</v>
      </c>
      <c r="AE123" s="83"/>
      <c r="AF123" s="83"/>
      <c r="AG123" s="83"/>
      <c r="AH123" s="83"/>
      <c r="AI123" s="83"/>
      <c r="AJ123" s="179"/>
      <c r="AK123" s="153"/>
      <c r="AL123" s="76"/>
    </row>
    <row r="124" spans="1:45" s="89" customFormat="1" ht="12.75" customHeight="1" x14ac:dyDescent="0.2">
      <c r="A124" s="462">
        <f>VLOOKUP(B124,Sheet1!$AQ$4:$AR$25,2,FALSE)</f>
        <v>0</v>
      </c>
      <c r="B124" s="95" t="str">
        <f t="shared" si="36"/>
        <v>Slough</v>
      </c>
      <c r="C124" s="87"/>
      <c r="D124" s="158" t="e">
        <f t="shared" si="37"/>
        <v>#N/A</v>
      </c>
      <c r="E124" s="158" t="e">
        <f t="shared" si="39"/>
        <v>#N/A</v>
      </c>
      <c r="F124" s="158" t="e">
        <f t="shared" si="40"/>
        <v>#N/A</v>
      </c>
      <c r="G124" s="158" t="e">
        <f t="shared" si="41"/>
        <v>#N/A</v>
      </c>
      <c r="H124" s="160" t="e">
        <f t="shared" si="42"/>
        <v>#N/A</v>
      </c>
      <c r="I124" s="98"/>
      <c r="J124" s="98"/>
      <c r="K124" s="162"/>
      <c r="L124" s="162"/>
      <c r="M124" s="162"/>
      <c r="N124" s="162"/>
      <c r="O124" s="162"/>
      <c r="P124" s="162"/>
      <c r="Q124" s="162"/>
      <c r="R124" s="163"/>
      <c r="S124" s="155"/>
      <c r="T124" s="155"/>
      <c r="U124" s="162"/>
      <c r="V124" s="124"/>
      <c r="W124" s="140"/>
      <c r="X124" s="149"/>
      <c r="Y124" s="552" t="str">
        <f t="shared" si="43"/>
        <v>Slough</v>
      </c>
      <c r="Z124" s="556" t="str">
        <f>IF(Year1_Slough Year1_CP_Plans_2years="","",Year1_Slough Year1_CP_Plans_2years)</f>
        <v/>
      </c>
      <c r="AA124" s="365" t="str">
        <f>IF(Year2_Slough Year2_CP_Plans_2years="","",Year2_Slough Year2_CP_Plans_2years)</f>
        <v/>
      </c>
      <c r="AB124" s="365" t="str">
        <f>IF(Year3_Slough Year3_CP_Plans_2years="","",Year3_Slough Year3_CP_Plans_2years)</f>
        <v/>
      </c>
      <c r="AC124" s="365" t="str">
        <f>IF(Year4_Slough Year4_CP_Plans_2years="","",Year4_Slough Year4_CP_Plans_2years)</f>
        <v/>
      </c>
      <c r="AD124" s="552" t="str">
        <f>IF(Year5_Slough Year5_CP_Plans_2years="","",Year5_Slough Year5_CP_Plans_2years)</f>
        <v>x</v>
      </c>
      <c r="AE124" s="83"/>
      <c r="AF124" s="83"/>
      <c r="AG124" s="83"/>
      <c r="AH124" s="83"/>
      <c r="AI124" s="83"/>
      <c r="AJ124" s="179"/>
      <c r="AK124" s="153"/>
      <c r="AL124" s="76"/>
    </row>
    <row r="125" spans="1:45" s="89" customFormat="1" ht="12.75" customHeight="1" x14ac:dyDescent="0.2">
      <c r="A125" s="462">
        <f>VLOOKUP(B125,Sheet1!$AQ$4:$AR$25,2,FALSE)</f>
        <v>0</v>
      </c>
      <c r="B125" s="95" t="str">
        <f t="shared" si="36"/>
        <v>Somerset</v>
      </c>
      <c r="C125" s="87"/>
      <c r="D125" s="158" t="e">
        <f t="shared" si="37"/>
        <v>#N/A</v>
      </c>
      <c r="E125" s="158" t="e">
        <f t="shared" si="39"/>
        <v>#N/A</v>
      </c>
      <c r="F125" s="158" t="e">
        <f t="shared" si="40"/>
        <v>#N/A</v>
      </c>
      <c r="G125" s="158" t="e">
        <f t="shared" si="41"/>
        <v>#N/A</v>
      </c>
      <c r="H125" s="160">
        <f t="shared" si="42"/>
        <v>1.9900497512437811E-2</v>
      </c>
      <c r="I125" s="98"/>
      <c r="J125" s="98"/>
      <c r="K125" s="162"/>
      <c r="L125" s="162"/>
      <c r="M125" s="162"/>
      <c r="N125" s="162"/>
      <c r="O125" s="162"/>
      <c r="P125" s="162"/>
      <c r="Q125" s="162"/>
      <c r="R125" s="163"/>
      <c r="S125" s="155"/>
      <c r="T125" s="155"/>
      <c r="U125" s="162"/>
      <c r="V125" s="124"/>
      <c r="W125" s="140"/>
      <c r="X125" s="149"/>
      <c r="Y125" s="552" t="str">
        <f t="shared" si="43"/>
        <v>Somerset</v>
      </c>
      <c r="Z125" s="556" t="str">
        <f>IF(Year1_Somerset Year1_CP_Plans_2years="","",Year1_Somerset Year1_CP_Plans_2years)</f>
        <v/>
      </c>
      <c r="AA125" s="365" t="str">
        <f>IF(Year2_Somerset Year2_CP_Plans_2years="","",Year2_Somerset Year2_CP_Plans_2years)</f>
        <v/>
      </c>
      <c r="AB125" s="365" t="str">
        <f>IF(Year3_Somerset Year3_CP_Plans_2years="","",Year3_Somerset Year3_CP_Plans_2years)</f>
        <v/>
      </c>
      <c r="AC125" s="365" t="str">
        <f>IF(Year4_Somerset Year4_CP_Plans_2years="","",Year4_Somerset Year4_CP_Plans_2years)</f>
        <v/>
      </c>
      <c r="AD125" s="552">
        <f>IF(Year5_Somerset Year5_CP_Plans_2years="","",Year5_Somerset Year5_CP_Plans_2years)</f>
        <v>8</v>
      </c>
      <c r="AE125" s="83"/>
      <c r="AF125" s="83"/>
      <c r="AG125" s="83"/>
      <c r="AH125" s="83"/>
      <c r="AI125" s="83"/>
      <c r="AJ125" s="179"/>
      <c r="AK125" s="153"/>
      <c r="AL125" s="76"/>
    </row>
    <row r="126" spans="1:45" s="89" customFormat="1" ht="12.75" customHeight="1" x14ac:dyDescent="0.2">
      <c r="A126" s="462">
        <f>VLOOKUP(B126,Sheet1!$AQ$4:$AR$25,2,FALSE)</f>
        <v>0</v>
      </c>
      <c r="B126" s="95" t="str">
        <f t="shared" si="36"/>
        <v>Southampton</v>
      </c>
      <c r="C126" s="87"/>
      <c r="D126" s="158" t="e">
        <f t="shared" si="37"/>
        <v>#N/A</v>
      </c>
      <c r="E126" s="158" t="e">
        <f t="shared" si="39"/>
        <v>#N/A</v>
      </c>
      <c r="F126" s="158" t="e">
        <f t="shared" si="40"/>
        <v>#N/A</v>
      </c>
      <c r="G126" s="158" t="e">
        <f t="shared" si="41"/>
        <v>#N/A</v>
      </c>
      <c r="H126" s="160" t="e">
        <f t="shared" si="42"/>
        <v>#N/A</v>
      </c>
      <c r="I126" s="98"/>
      <c r="J126" s="98"/>
      <c r="K126" s="162"/>
      <c r="L126" s="162"/>
      <c r="M126" s="162"/>
      <c r="N126" s="162"/>
      <c r="O126" s="162"/>
      <c r="P126" s="162"/>
      <c r="Q126" s="162"/>
      <c r="R126" s="163"/>
      <c r="S126" s="155"/>
      <c r="T126" s="155"/>
      <c r="U126" s="162"/>
      <c r="V126" s="124"/>
      <c r="W126" s="140"/>
      <c r="X126" s="149"/>
      <c r="Y126" s="552" t="str">
        <f t="shared" si="43"/>
        <v>Southampton</v>
      </c>
      <c r="Z126" s="556" t="str">
        <f>IF(Year1_Southampton Year1_CP_Plans_2years="","",Year1_Southampton Year1_CP_Plans_2years)</f>
        <v/>
      </c>
      <c r="AA126" s="365" t="str">
        <f>IF(Year2_Southampton Year2_CP_Plans_2years="","",Year2_Southampton Year2_CP_Plans_2years)</f>
        <v/>
      </c>
      <c r="AB126" s="365" t="str">
        <f>IF(Year3_Southampton Year3_CP_Plans_2years="","",Year3_Southampton Year3_CP_Plans_2years)</f>
        <v/>
      </c>
      <c r="AC126" s="365" t="str">
        <f>IF(Year4_Southampton Year4_CP_Plans_2years="","",Year4_Southampton Year4_CP_Plans_2years)</f>
        <v/>
      </c>
      <c r="AD126" s="552" t="str">
        <f>IF(Year5_Southampton Year5_CP_Plans_2years="","",Year5_Southampton Year5_CP_Plans_2years)</f>
        <v>x</v>
      </c>
      <c r="AE126" s="83"/>
      <c r="AF126" s="83"/>
      <c r="AG126" s="83"/>
      <c r="AH126" s="83"/>
      <c r="AI126" s="83"/>
      <c r="AJ126" s="179"/>
      <c r="AK126" s="153"/>
      <c r="AL126" s="76"/>
    </row>
    <row r="127" spans="1:45" s="89" customFormat="1" ht="12.75" customHeight="1" x14ac:dyDescent="0.2">
      <c r="A127" s="462">
        <f>VLOOKUP(B127,Sheet1!$AQ$4:$AR$25,2,FALSE)</f>
        <v>0</v>
      </c>
      <c r="B127" s="95" t="str">
        <f t="shared" si="36"/>
        <v>Surrey</v>
      </c>
      <c r="C127" s="87"/>
      <c r="D127" s="158" t="e">
        <f t="shared" si="37"/>
        <v>#N/A</v>
      </c>
      <c r="E127" s="158" t="e">
        <f t="shared" si="39"/>
        <v>#N/A</v>
      </c>
      <c r="F127" s="158" t="e">
        <f t="shared" si="40"/>
        <v>#N/A</v>
      </c>
      <c r="G127" s="158" t="e">
        <f t="shared" si="41"/>
        <v>#N/A</v>
      </c>
      <c r="H127" s="160">
        <f t="shared" si="42"/>
        <v>1.6684045881126174E-2</v>
      </c>
      <c r="I127" s="98"/>
      <c r="J127" s="98"/>
      <c r="K127" s="162"/>
      <c r="L127" s="162"/>
      <c r="M127" s="162"/>
      <c r="N127" s="162"/>
      <c r="O127" s="162"/>
      <c r="P127" s="162"/>
      <c r="Q127" s="162"/>
      <c r="R127" s="163"/>
      <c r="S127" s="155"/>
      <c r="T127" s="155"/>
      <c r="U127" s="162"/>
      <c r="V127" s="124"/>
      <c r="W127" s="140"/>
      <c r="X127" s="149"/>
      <c r="Y127" s="552" t="str">
        <f t="shared" si="43"/>
        <v>Surrey</v>
      </c>
      <c r="Z127" s="556" t="str">
        <f>IF(Year1_Surrey Year1_CP_Plans_2years="","",Year1_Surrey Year1_CP_Plans_2years)</f>
        <v/>
      </c>
      <c r="AA127" s="365" t="str">
        <f>IF(Year2_Surrey Year2_CP_Plans_2years="","",Year2_Surrey Year2_CP_Plans_2years)</f>
        <v/>
      </c>
      <c r="AB127" s="365" t="str">
        <f>IF(Year3_Surrey Year3_CP_Plans_2years="","",Year3_Surrey Year3_CP_Plans_2years)</f>
        <v/>
      </c>
      <c r="AC127" s="365" t="str">
        <f>IF(Year4_Surrey Year4_CP_Plans_2years="","",Year4_Surrey Year4_CP_Plans_2years)</f>
        <v/>
      </c>
      <c r="AD127" s="552">
        <f>IF(Year5_Surrey Year5_CP_Plans_2years="","",Year5_Surrey Year5_CP_Plans_2years)</f>
        <v>16</v>
      </c>
      <c r="AE127" s="83"/>
      <c r="AF127" s="83"/>
      <c r="AG127" s="83"/>
      <c r="AH127" s="83"/>
      <c r="AI127" s="83"/>
      <c r="AJ127" s="179"/>
      <c r="AK127" s="153"/>
      <c r="AL127" s="76"/>
    </row>
    <row r="128" spans="1:45" s="89" customFormat="1" ht="12.75" customHeight="1" x14ac:dyDescent="0.2">
      <c r="A128" s="462">
        <f>VLOOKUP(B128,Sheet1!$AQ$4:$AR$25,2,FALSE)</f>
        <v>0</v>
      </c>
      <c r="B128" s="95" t="str">
        <f t="shared" si="36"/>
        <v>Swindon</v>
      </c>
      <c r="C128" s="87"/>
      <c r="D128" s="158" t="e">
        <f t="shared" si="37"/>
        <v>#N/A</v>
      </c>
      <c r="E128" s="158" t="e">
        <f t="shared" si="39"/>
        <v>#N/A</v>
      </c>
      <c r="F128" s="158" t="e">
        <f t="shared" si="40"/>
        <v>#N/A</v>
      </c>
      <c r="G128" s="158" t="e">
        <f t="shared" si="41"/>
        <v>#N/A</v>
      </c>
      <c r="H128" s="160">
        <f t="shared" si="42"/>
        <v>1.8018018018018018E-2</v>
      </c>
      <c r="I128" s="98"/>
      <c r="J128" s="98"/>
      <c r="K128" s="162"/>
      <c r="L128" s="162"/>
      <c r="M128" s="162"/>
      <c r="N128" s="162"/>
      <c r="O128" s="162"/>
      <c r="P128" s="162"/>
      <c r="Q128" s="162"/>
      <c r="R128" s="163"/>
      <c r="S128" s="155"/>
      <c r="T128" s="155"/>
      <c r="U128" s="162"/>
      <c r="V128" s="124"/>
      <c r="W128" s="140"/>
      <c r="X128" s="149"/>
      <c r="Y128" s="552" t="str">
        <f t="shared" si="43"/>
        <v>Swindon</v>
      </c>
      <c r="Z128" s="556" t="str">
        <f>IF(Year1_Swindon Year1_CP_Plans_2years="","",Year1_Swindon Year1_CP_Plans_2years)</f>
        <v/>
      </c>
      <c r="AA128" s="365" t="str">
        <f>IF(Year2_Swindon Year2_CP_Plans_2years="","",Year2_Swindon Year2_CP_Plans_2years)</f>
        <v/>
      </c>
      <c r="AB128" s="365" t="str">
        <f>IF(Year3_Swindon Year3_CP_Plans_2years="","",Year3_Swindon Year3_CP_Plans_2years)</f>
        <v/>
      </c>
      <c r="AC128" s="365" t="str">
        <f>IF(Year4_Swindon Year4_CP_Plans_2years="","",Year4_Swindon Year4_CP_Plans_2years)</f>
        <v/>
      </c>
      <c r="AD128" s="552">
        <f>IF(Year5_Swindon Year5_CP_Plans_2years="","",Year5_Swindon Year5_CP_Plans_2years)</f>
        <v>6</v>
      </c>
      <c r="AE128" s="83"/>
      <c r="AF128" s="83"/>
      <c r="AG128" s="83"/>
      <c r="AH128" s="83"/>
      <c r="AI128" s="83"/>
      <c r="AJ128" s="179"/>
      <c r="AK128" s="153"/>
      <c r="AL128" s="76"/>
    </row>
    <row r="129" spans="1:46" s="89" customFormat="1" ht="12.75" customHeight="1" x14ac:dyDescent="0.2">
      <c r="A129" s="462">
        <f>VLOOKUP(B129,Sheet1!$AQ$4:$AR$25,2,FALSE)</f>
        <v>0</v>
      </c>
      <c r="B129" s="95" t="str">
        <f t="shared" si="36"/>
        <v>Torbay</v>
      </c>
      <c r="C129" s="87"/>
      <c r="D129" s="158" t="e">
        <f t="shared" si="37"/>
        <v>#N/A</v>
      </c>
      <c r="E129" s="158" t="e">
        <f t="shared" si="39"/>
        <v>#N/A</v>
      </c>
      <c r="F129" s="158" t="e">
        <f t="shared" si="40"/>
        <v>#N/A</v>
      </c>
      <c r="G129" s="158" t="e">
        <f t="shared" si="41"/>
        <v>#N/A</v>
      </c>
      <c r="H129" s="160">
        <f t="shared" si="42"/>
        <v>0</v>
      </c>
      <c r="I129" s="98"/>
      <c r="J129" s="98"/>
      <c r="K129" s="162"/>
      <c r="L129" s="162"/>
      <c r="M129" s="162"/>
      <c r="N129" s="162"/>
      <c r="O129" s="162"/>
      <c r="P129" s="162"/>
      <c r="Q129" s="162"/>
      <c r="R129" s="163"/>
      <c r="S129" s="155"/>
      <c r="T129" s="155"/>
      <c r="U129" s="162"/>
      <c r="V129" s="124"/>
      <c r="W129" s="140"/>
      <c r="X129" s="149"/>
      <c r="Y129" s="552" t="str">
        <f t="shared" si="43"/>
        <v>Torbay</v>
      </c>
      <c r="Z129" s="556" t="str">
        <f>IF(Year1_Torbay Year1_CP_Plans_2years="","",Year1_Torbay Year1_CP_Plans_2years)</f>
        <v/>
      </c>
      <c r="AA129" s="365" t="str">
        <f>IF(Year2_Torbay Year2_CP_Plans_2years="","",Year2_Torbay Year2_CP_Plans_2years)</f>
        <v/>
      </c>
      <c r="AB129" s="365" t="str">
        <f>IF(Year3_Torbay Year3_CP_Plans_2years="","",Year3_Torbay Year3_CP_Plans_2years)</f>
        <v/>
      </c>
      <c r="AC129" s="365" t="str">
        <f>IF(Year4_Torbay Year4_CP_Plans_2years="","",Year4_Torbay Year4_CP_Plans_2years)</f>
        <v/>
      </c>
      <c r="AD129" s="552">
        <f>IF(Year5_Torbay Year5_CP_Plans_2years="","",Year5_Torbay Year5_CP_Plans_2years)</f>
        <v>0</v>
      </c>
      <c r="AE129" s="83"/>
      <c r="AF129" s="83"/>
      <c r="AG129" s="83"/>
      <c r="AH129" s="83"/>
      <c r="AI129" s="83"/>
      <c r="AJ129" s="179"/>
      <c r="AK129" s="153"/>
      <c r="AL129" s="76"/>
    </row>
    <row r="130" spans="1:46" s="89" customFormat="1" ht="12.75" customHeight="1" x14ac:dyDescent="0.2">
      <c r="A130" s="462">
        <f>VLOOKUP(B130,Sheet1!$AQ$4:$AR$25,2,FALSE)</f>
        <v>0</v>
      </c>
      <c r="B130" s="95" t="str">
        <f t="shared" si="36"/>
        <v>West Berkshire</v>
      </c>
      <c r="C130" s="87"/>
      <c r="D130" s="158" t="e">
        <f t="shared" si="37"/>
        <v>#N/A</v>
      </c>
      <c r="E130" s="158" t="e">
        <f t="shared" si="39"/>
        <v>#N/A</v>
      </c>
      <c r="F130" s="158" t="e">
        <f t="shared" si="40"/>
        <v>#N/A</v>
      </c>
      <c r="G130" s="158" t="e">
        <f t="shared" si="41"/>
        <v>#N/A</v>
      </c>
      <c r="H130" s="160">
        <f t="shared" si="42"/>
        <v>0</v>
      </c>
      <c r="I130" s="98"/>
      <c r="J130" s="98"/>
      <c r="K130" s="162"/>
      <c r="L130" s="162"/>
      <c r="M130" s="162"/>
      <c r="N130" s="162"/>
      <c r="O130" s="162"/>
      <c r="P130" s="162"/>
      <c r="Q130" s="162"/>
      <c r="R130" s="163"/>
      <c r="S130" s="155"/>
      <c r="T130" s="155"/>
      <c r="U130" s="162"/>
      <c r="V130" s="124"/>
      <c r="W130" s="140"/>
      <c r="X130" s="149"/>
      <c r="Y130" s="552" t="str">
        <f t="shared" si="43"/>
        <v>West Berkshire</v>
      </c>
      <c r="Z130" s="556" t="str">
        <f>IF(Year1_West_Berkshire Year1_CP_Plans_2years="","",Year1_West_Berkshire Year1_CP_Plans_2years)</f>
        <v/>
      </c>
      <c r="AA130" s="365" t="str">
        <f>IF(Year2_West_Berkshire Year2_CP_Plans_2years="","",Year2_West_Berkshire Year2_CP_Plans_2years)</f>
        <v/>
      </c>
      <c r="AB130" s="365" t="str">
        <f>IF(Year3_West_Berkshire Year3_CP_Plans_2years="","",Year3_West_Berkshire Year3_CP_Plans_2years)</f>
        <v/>
      </c>
      <c r="AC130" s="365" t="str">
        <f>IF(Year4_West_Berkshire Year4_CP_Plans_2years="","",Year4_West_Berkshire Year4_CP_Plans_2years)</f>
        <v/>
      </c>
      <c r="AD130" s="557">
        <f>IF(Year5_West_Berkshire Year5_CP_Plans_2years="","",Year5_West_Berkshire Year5_CP_Plans_2years)</f>
        <v>0</v>
      </c>
      <c r="AE130" s="83"/>
      <c r="AF130" s="83"/>
      <c r="AG130" s="83"/>
      <c r="AH130" s="83"/>
      <c r="AI130" s="83"/>
      <c r="AJ130" s="179"/>
      <c r="AK130" s="153"/>
      <c r="AL130" s="76"/>
    </row>
    <row r="131" spans="1:46" s="89" customFormat="1" ht="12.75" customHeight="1" x14ac:dyDescent="0.2">
      <c r="A131" s="462">
        <f>VLOOKUP(B131,Sheet1!$AQ$4:$AR$25,2,FALSE)</f>
        <v>0</v>
      </c>
      <c r="B131" s="95" t="str">
        <f t="shared" si="36"/>
        <v>West Sussex</v>
      </c>
      <c r="C131" s="87"/>
      <c r="D131" s="158" t="e">
        <f t="shared" si="37"/>
        <v>#N/A</v>
      </c>
      <c r="E131" s="158" t="e">
        <f t="shared" si="39"/>
        <v>#N/A</v>
      </c>
      <c r="F131" s="158" t="e">
        <f t="shared" si="40"/>
        <v>#N/A</v>
      </c>
      <c r="G131" s="158" t="e">
        <f t="shared" si="41"/>
        <v>#N/A</v>
      </c>
      <c r="H131" s="160">
        <f t="shared" si="42"/>
        <v>3.0595813204508857E-2</v>
      </c>
      <c r="I131" s="98"/>
      <c r="J131" s="98"/>
      <c r="K131" s="162"/>
      <c r="L131" s="162"/>
      <c r="M131" s="162"/>
      <c r="N131" s="162"/>
      <c r="O131" s="162"/>
      <c r="P131" s="162"/>
      <c r="Q131" s="162"/>
      <c r="R131" s="163"/>
      <c r="S131" s="155"/>
      <c r="T131" s="155"/>
      <c r="U131" s="162"/>
      <c r="V131" s="124"/>
      <c r="W131" s="140"/>
      <c r="X131" s="149"/>
      <c r="Y131" s="552" t="str">
        <f t="shared" si="43"/>
        <v>West Sussex</v>
      </c>
      <c r="Z131" s="556" t="str">
        <f>IF(Year1_West_Sussex Year1_CP_Plans_2years="","",Year1_West_Sussex Year1_CP_Plans_2years)</f>
        <v/>
      </c>
      <c r="AA131" s="365" t="str">
        <f>IF(Year2_West_Sussex Year2_CP_Plans_2years="","",Year2_West_Sussex Year2_CP_Plans_2years)</f>
        <v/>
      </c>
      <c r="AB131" s="365" t="str">
        <f>IF(Year3_West_Sussex Year3_CP_Plans_2years="","",Year3_West_Sussex Year3_CP_Plans_2years)</f>
        <v/>
      </c>
      <c r="AC131" s="365" t="str">
        <f>IF(Year4_West_Sussex Year4_CP_Plans_2years="","",Year4_West_Sussex Year4_CP_Plans_2years)</f>
        <v/>
      </c>
      <c r="AD131" s="557">
        <f>IF(Year5_West_Sussex Year5_CP_Plans_2years="","",Year5_West_Sussex Year5_CP_Plans_2years)</f>
        <v>19</v>
      </c>
      <c r="AE131" s="83"/>
      <c r="AF131" s="83"/>
      <c r="AG131" s="83"/>
      <c r="AH131" s="83"/>
      <c r="AI131" s="83"/>
      <c r="AJ131" s="179"/>
      <c r="AK131" s="153"/>
      <c r="AL131" s="76"/>
    </row>
    <row r="132" spans="1:46" s="89" customFormat="1" ht="12.75" customHeight="1" x14ac:dyDescent="0.2">
      <c r="A132" s="462">
        <f>VLOOKUP(B132,Sheet1!$AQ$4:$AR$25,2,FALSE)</f>
        <v>0</v>
      </c>
      <c r="B132" s="95" t="str">
        <f t="shared" si="36"/>
        <v>Windsor &amp; Maidenhead</v>
      </c>
      <c r="C132" s="87"/>
      <c r="D132" s="158" t="e">
        <f t="shared" si="37"/>
        <v>#N/A</v>
      </c>
      <c r="E132" s="158" t="e">
        <f t="shared" si="39"/>
        <v>#N/A</v>
      </c>
      <c r="F132" s="158" t="e">
        <f t="shared" si="40"/>
        <v>#N/A</v>
      </c>
      <c r="G132" s="158" t="e">
        <f t="shared" si="41"/>
        <v>#N/A</v>
      </c>
      <c r="H132" s="160" t="e">
        <f t="shared" si="42"/>
        <v>#N/A</v>
      </c>
      <c r="I132" s="98"/>
      <c r="J132" s="98"/>
      <c r="K132" s="162"/>
      <c r="L132" s="162"/>
      <c r="M132" s="162"/>
      <c r="N132" s="162"/>
      <c r="O132" s="162"/>
      <c r="P132" s="162"/>
      <c r="Q132" s="162"/>
      <c r="R132" s="163"/>
      <c r="S132" s="155"/>
      <c r="T132" s="155"/>
      <c r="U132" s="162"/>
      <c r="V132" s="124"/>
      <c r="W132" s="140"/>
      <c r="X132" s="149"/>
      <c r="Y132" s="552" t="str">
        <f t="shared" si="43"/>
        <v>Windsor &amp; Maidenhead</v>
      </c>
      <c r="Z132" s="556" t="str">
        <f>IF(Year1_Windsor_Maidenhead Year1_CP_Plans_2years="","",Year1_Windsor_Maidenhead Year1_CP_Plans_2years)</f>
        <v/>
      </c>
      <c r="AA132" s="365" t="str">
        <f>IF(Year2_Windsor_Maidenhead Year2_CP_Plans_2years="","",Year2_Windsor_Maidenhead Year2_CP_Plans_2years)</f>
        <v/>
      </c>
      <c r="AB132" s="365" t="str">
        <f>IF(Year3_Windsor_Maidenhead Year3_CP_Plans_2years="","",Year3_Windsor_Maidenhead Year3_CP_Plans_2years)</f>
        <v/>
      </c>
      <c r="AC132" s="365" t="str">
        <f>IF(Year4_Windsor_Maidenhead Year4_CP_Plans_2years="","",Year4_Windsor_Maidenhead Year4_CP_Plans_2years)</f>
        <v/>
      </c>
      <c r="AD132" s="557" t="str">
        <f>IF(Year5_Windsor_Maidenhead Year5_CP_Plans_2years="","",Year5_Windsor_Maidenhead Year5_CP_Plans_2years)</f>
        <v>x</v>
      </c>
      <c r="AE132" s="83"/>
      <c r="AF132" s="83"/>
      <c r="AG132" s="83"/>
      <c r="AH132" s="83"/>
      <c r="AI132" s="83"/>
      <c r="AJ132" s="179"/>
      <c r="AK132" s="153"/>
      <c r="AL132" s="76"/>
    </row>
    <row r="133" spans="1:46" s="89" customFormat="1" ht="12.75" customHeight="1" x14ac:dyDescent="0.2">
      <c r="A133" s="462">
        <f>VLOOKUP(B133,Sheet1!$AQ$4:$AR$25,2,FALSE)</f>
        <v>0</v>
      </c>
      <c r="B133" s="95" t="str">
        <f t="shared" si="36"/>
        <v>Wokingham</v>
      </c>
      <c r="C133" s="87"/>
      <c r="D133" s="158" t="e">
        <f t="shared" si="37"/>
        <v>#N/A</v>
      </c>
      <c r="E133" s="158" t="e">
        <f t="shared" si="39"/>
        <v>#N/A</v>
      </c>
      <c r="F133" s="158" t="e">
        <f t="shared" si="40"/>
        <v>#N/A</v>
      </c>
      <c r="G133" s="158" t="e">
        <f t="shared" si="41"/>
        <v>#N/A</v>
      </c>
      <c r="H133" s="160">
        <f t="shared" si="42"/>
        <v>0</v>
      </c>
      <c r="I133" s="98"/>
      <c r="J133" s="98"/>
      <c r="K133" s="162"/>
      <c r="L133" s="162"/>
      <c r="M133" s="162"/>
      <c r="N133" s="162"/>
      <c r="O133" s="162"/>
      <c r="P133" s="162"/>
      <c r="Q133" s="162"/>
      <c r="R133" s="163"/>
      <c r="S133" s="155"/>
      <c r="T133" s="155"/>
      <c r="U133" s="162"/>
      <c r="V133" s="124"/>
      <c r="W133" s="140"/>
      <c r="X133" s="149"/>
      <c r="Y133" s="552" t="str">
        <f t="shared" si="43"/>
        <v>Wokingham</v>
      </c>
      <c r="Z133" s="556" t="str">
        <f>IF(Year1_Wokingham Year1_CP_Plans_2years="","",Year1_Wokingham Year1_CP_Plans_2years)</f>
        <v/>
      </c>
      <c r="AA133" s="365" t="str">
        <f>IF(Year2_Wokingham Year2_CP_Plans_2years="","",Year2_Wokingham Year2_CP_Plans_2years)</f>
        <v/>
      </c>
      <c r="AB133" s="365" t="str">
        <f>IF(Year3_Wokingham Year3_CP_Plans_2years="","",Year3_Wokingham Year3_CP_Plans_2years)</f>
        <v/>
      </c>
      <c r="AC133" s="365" t="str">
        <f>IF(Year4_Wokingham Year4_CP_Plans_2years="","",Year4_Wokingham Year4_CP_Plans_2years)</f>
        <v/>
      </c>
      <c r="AD133" s="557">
        <f>IF(Year5_Wokingham Year5_CP_Plans_2years="","",Year5_Wokingham Year5_CP_Plans_2years)</f>
        <v>0</v>
      </c>
      <c r="AE133" s="83"/>
      <c r="AF133" s="83"/>
      <c r="AG133" s="83"/>
      <c r="AH133" s="83"/>
      <c r="AI133" s="83"/>
      <c r="AJ133" s="179"/>
      <c r="AK133" s="153"/>
      <c r="AL133" s="76"/>
    </row>
    <row r="134" spans="1:46" s="89" customFormat="1" ht="12.75" customHeight="1" x14ac:dyDescent="0.2">
      <c r="A134" s="123"/>
      <c r="B134" s="131" t="str">
        <f t="shared" si="36"/>
        <v>South East</v>
      </c>
      <c r="C134" s="87"/>
      <c r="D134" s="159" t="e">
        <f t="shared" si="37"/>
        <v>#N/A</v>
      </c>
      <c r="E134" s="159" t="e">
        <f t="shared" si="39"/>
        <v>#N/A</v>
      </c>
      <c r="F134" s="159" t="e">
        <f t="shared" si="40"/>
        <v>#N/A</v>
      </c>
      <c r="G134" s="159" t="e">
        <f t="shared" si="41"/>
        <v>#N/A</v>
      </c>
      <c r="H134" s="161">
        <f t="shared" si="42"/>
        <v>2.8360049321824909E-2</v>
      </c>
      <c r="I134" s="98"/>
      <c r="J134" s="98"/>
      <c r="K134" s="164"/>
      <c r="L134" s="164"/>
      <c r="M134" s="164"/>
      <c r="N134" s="164"/>
      <c r="O134" s="164"/>
      <c r="P134" s="164"/>
      <c r="Q134" s="164"/>
      <c r="R134" s="165"/>
      <c r="S134" s="155"/>
      <c r="T134" s="155"/>
      <c r="U134" s="166"/>
      <c r="V134" s="124"/>
      <c r="W134" s="140"/>
      <c r="X134" s="149"/>
      <c r="Y134" s="552" t="str">
        <f t="shared" si="43"/>
        <v>South East</v>
      </c>
      <c r="Z134" s="377" t="str">
        <f>IF(Year1_SouthEast Year1_CP_Plans_2years="","",Year1_SouthEast Year1_CP_Plans_2years)</f>
        <v/>
      </c>
      <c r="AA134" s="365" t="str">
        <f>IF(Year2_SouthEast Year2_CP_Plans_2years="","",Year2_SouthEast Year2_CP_Plans_2years)</f>
        <v/>
      </c>
      <c r="AB134" s="365" t="str">
        <f>IF(Year3_SouthEast Year3_CP_Plans_2years="","",Year3_SouthEast Year3_CP_Plans_2years)</f>
        <v/>
      </c>
      <c r="AC134" s="365" t="str">
        <f>IF(Year4_SouthEast Year4_CP_Plans_2years="","",Year4_SouthEast Year4_CP_Plans_2years)</f>
        <v/>
      </c>
      <c r="AD134" s="552">
        <f>IF(Year5_SouthEast Year5_CP_Plans_2years="","",Year5_SouthEast Year5_CP_Plans_2years)</f>
        <v>230</v>
      </c>
      <c r="AE134" s="83"/>
      <c r="AF134" s="83"/>
      <c r="AG134" s="83"/>
      <c r="AH134" s="83"/>
      <c r="AI134" s="83"/>
      <c r="AJ134" s="179"/>
      <c r="AK134" s="153"/>
      <c r="AL134" s="76"/>
    </row>
    <row r="135" spans="1:46" s="89" customFormat="1" ht="12.75" customHeight="1" x14ac:dyDescent="0.2">
      <c r="A135" s="123"/>
      <c r="B135" s="318" t="str">
        <f t="shared" si="36"/>
        <v>England</v>
      </c>
      <c r="C135" s="87"/>
      <c r="D135" s="344" t="e">
        <f t="shared" si="37"/>
        <v>#N/A</v>
      </c>
      <c r="E135" s="344" t="e">
        <f t="shared" si="39"/>
        <v>#N/A</v>
      </c>
      <c r="F135" s="344" t="e">
        <f t="shared" si="40"/>
        <v>#N/A</v>
      </c>
      <c r="G135" s="344" t="e">
        <f t="shared" si="41"/>
        <v>#N/A</v>
      </c>
      <c r="H135" s="345">
        <f t="shared" si="42"/>
        <v>2.1431305013394564E-2</v>
      </c>
      <c r="I135" s="98"/>
      <c r="J135" s="98"/>
      <c r="K135" s="164"/>
      <c r="L135" s="164"/>
      <c r="M135" s="164"/>
      <c r="N135" s="164"/>
      <c r="O135" s="164"/>
      <c r="P135" s="164"/>
      <c r="Q135" s="164"/>
      <c r="R135" s="165"/>
      <c r="S135" s="155"/>
      <c r="T135" s="155"/>
      <c r="U135" s="166"/>
      <c r="V135" s="124"/>
      <c r="W135" s="140"/>
      <c r="X135" s="149"/>
      <c r="Y135" s="552" t="str">
        <f t="shared" si="43"/>
        <v>England</v>
      </c>
      <c r="Z135" s="575" t="str">
        <f>IF(Year1_England Year1_CP_Plans_2years="","",Year1_England Year1_CP_Plans_2years)</f>
        <v/>
      </c>
      <c r="AA135" s="576" t="str">
        <f>IF(Year2_England Year2_CP_Plans_2years="","",Year2_England Year2_CP_Plans_2years)</f>
        <v/>
      </c>
      <c r="AB135" s="365" t="str">
        <f>IF(Year3_England Year3_CP_Plans_2years="","",Year3_England Year3_CP_Plans_2years)</f>
        <v/>
      </c>
      <c r="AC135" s="365" t="str">
        <f>IF(Year4_England Year4_CP_Plans_2years="","",Year4_England Year4_CP_Plans_2years)</f>
        <v/>
      </c>
      <c r="AD135" s="557">
        <f>IF(Year5_England Year5_CP_Plans_2years="","",Year5_England Year5_CP_Plans_2years)</f>
        <v>1120</v>
      </c>
      <c r="AE135" s="83"/>
      <c r="AF135" s="83"/>
      <c r="AG135" s="83"/>
      <c r="AH135" s="83"/>
      <c r="AI135" s="83"/>
      <c r="AJ135" s="179"/>
      <c r="AK135" s="153"/>
      <c r="AL135" s="76"/>
    </row>
    <row r="136" spans="1:46" s="89" customFormat="1" ht="7.5" customHeight="1" x14ac:dyDescent="0.2">
      <c r="A136" s="286"/>
      <c r="B136" s="98"/>
      <c r="C136" s="98"/>
      <c r="D136" s="98"/>
      <c r="E136" s="98"/>
      <c r="F136" s="98"/>
      <c r="G136" s="98"/>
      <c r="H136" s="98"/>
      <c r="I136" s="98"/>
      <c r="J136" s="98"/>
      <c r="K136" s="164"/>
      <c r="L136" s="164"/>
      <c r="M136" s="164"/>
      <c r="N136" s="164"/>
      <c r="O136" s="164"/>
      <c r="P136" s="164"/>
      <c r="Q136" s="164"/>
      <c r="R136" s="165"/>
      <c r="S136" s="155"/>
      <c r="T136" s="155"/>
      <c r="U136" s="166"/>
      <c r="V136" s="124"/>
      <c r="W136" s="140"/>
      <c r="X136" s="149"/>
      <c r="Y136" s="83"/>
      <c r="Z136" s="83"/>
      <c r="AA136" s="191"/>
      <c r="AB136" s="191"/>
      <c r="AC136" s="192"/>
      <c r="AD136" s="192"/>
      <c r="AE136" s="83"/>
      <c r="AF136" s="83"/>
      <c r="AG136" s="83"/>
      <c r="AH136" s="83"/>
      <c r="AI136" s="83"/>
      <c r="AJ136" s="179"/>
      <c r="AK136" s="153"/>
      <c r="AL136" s="76"/>
    </row>
    <row r="137" spans="1:46" s="83" customFormat="1" ht="38.25" customHeight="1" x14ac:dyDescent="0.2">
      <c r="A137" s="213"/>
      <c r="B137" s="385"/>
      <c r="C137" s="385"/>
      <c r="D137" s="385"/>
      <c r="E137" s="385"/>
      <c r="F137" s="385"/>
      <c r="G137" s="385"/>
      <c r="H137" s="385"/>
      <c r="I137" s="385"/>
      <c r="J137" s="168"/>
      <c r="K137" s="168"/>
      <c r="L137" s="168"/>
      <c r="M137" s="168"/>
      <c r="N137" s="168"/>
      <c r="O137" s="168"/>
      <c r="P137" s="168"/>
      <c r="Q137" s="168"/>
      <c r="R137" s="137"/>
      <c r="S137" s="168"/>
      <c r="T137" s="168"/>
      <c r="U137" s="168"/>
      <c r="V137" s="119"/>
      <c r="W137" s="138"/>
      <c r="X137" s="147"/>
      <c r="AD137" s="192"/>
      <c r="AE137" s="194"/>
      <c r="AF137" s="179"/>
      <c r="AG137" s="179"/>
      <c r="AH137" s="179"/>
      <c r="AJ137" s="179"/>
      <c r="AK137" s="153"/>
      <c r="AL137" s="76"/>
    </row>
    <row r="138" spans="1:46" s="83" customFormat="1" ht="39" customHeight="1" x14ac:dyDescent="0.2">
      <c r="A138" s="213"/>
      <c r="B138" s="385"/>
      <c r="C138" s="385"/>
      <c r="D138" s="385"/>
      <c r="E138" s="385"/>
      <c r="F138" s="385"/>
      <c r="G138" s="385"/>
      <c r="H138" s="385"/>
      <c r="I138" s="385"/>
      <c r="J138" s="168"/>
      <c r="K138" s="168"/>
      <c r="L138" s="168"/>
      <c r="M138" s="168"/>
      <c r="N138" s="168"/>
      <c r="O138" s="168"/>
      <c r="P138" s="168"/>
      <c r="Q138" s="168"/>
      <c r="R138" s="137"/>
      <c r="S138" s="168"/>
      <c r="T138" s="168"/>
      <c r="U138" s="168"/>
      <c r="V138" s="119"/>
      <c r="W138" s="138"/>
      <c r="X138" s="147"/>
      <c r="Z138" s="185"/>
      <c r="AE138" s="194"/>
      <c r="AF138" s="179"/>
      <c r="AG138" s="179"/>
      <c r="AH138" s="179"/>
      <c r="AJ138" s="179"/>
      <c r="AK138" s="153"/>
      <c r="AL138" s="76"/>
    </row>
    <row r="139" spans="1:46" s="83" customFormat="1" ht="38.25" customHeight="1" x14ac:dyDescent="0.2">
      <c r="A139" s="213"/>
      <c r="B139" s="385"/>
      <c r="C139" s="385"/>
      <c r="D139" s="385"/>
      <c r="E139" s="385"/>
      <c r="F139" s="385"/>
      <c r="G139" s="385"/>
      <c r="H139" s="385"/>
      <c r="I139" s="385"/>
      <c r="J139" s="168"/>
      <c r="K139" s="168"/>
      <c r="L139" s="168"/>
      <c r="M139" s="168"/>
      <c r="N139" s="168"/>
      <c r="O139" s="168"/>
      <c r="P139" s="168"/>
      <c r="Q139" s="168"/>
      <c r="R139" s="137"/>
      <c r="S139" s="168"/>
      <c r="T139" s="168"/>
      <c r="U139" s="168"/>
      <c r="V139" s="119"/>
      <c r="W139" s="138"/>
      <c r="X139" s="147"/>
      <c r="Y139" s="219"/>
      <c r="Z139" s="185"/>
      <c r="AE139" s="194"/>
      <c r="AF139" s="179"/>
      <c r="AG139" s="179"/>
      <c r="AH139" s="179"/>
      <c r="AJ139" s="179"/>
      <c r="AK139" s="153"/>
      <c r="AL139" s="76"/>
    </row>
    <row r="140" spans="1:46" s="83" customFormat="1" ht="7.5" customHeight="1" x14ac:dyDescent="0.2">
      <c r="A140" s="120"/>
      <c r="B140" s="18"/>
      <c r="C140" s="18"/>
      <c r="D140" s="17"/>
      <c r="E140" s="17"/>
      <c r="F140" s="17"/>
      <c r="G140" s="17"/>
      <c r="H140" s="17"/>
      <c r="I140" s="17"/>
      <c r="J140" s="13"/>
      <c r="K140" s="19"/>
      <c r="L140" s="19"/>
      <c r="M140" s="19"/>
      <c r="N140" s="19"/>
      <c r="O140" s="19"/>
      <c r="P140" s="19"/>
      <c r="Q140" s="19"/>
      <c r="R140" s="19"/>
      <c r="S140" s="19"/>
      <c r="T140" s="19"/>
      <c r="U140" s="20"/>
      <c r="V140" s="119"/>
      <c r="W140" s="138"/>
      <c r="X140" s="147"/>
      <c r="Z140" s="185"/>
      <c r="AJ140" s="179"/>
      <c r="AK140" s="153"/>
      <c r="AL140" s="76"/>
      <c r="AM140" s="76"/>
      <c r="AN140" s="76"/>
      <c r="AO140" s="76"/>
      <c r="AP140" s="76"/>
      <c r="AQ140" s="76"/>
      <c r="AR140" s="76"/>
    </row>
    <row r="141" spans="1:46" s="83" customFormat="1" ht="15" customHeight="1" x14ac:dyDescent="0.2">
      <c r="A141" s="1399"/>
      <c r="B141" s="1421"/>
      <c r="C141" s="1421"/>
      <c r="D141" s="1421"/>
      <c r="E141" s="1421"/>
      <c r="F141" s="1421"/>
      <c r="G141" s="1421"/>
      <c r="H141" s="1421"/>
      <c r="I141" s="1421"/>
      <c r="J141" s="1421"/>
      <c r="K141" s="1421"/>
      <c r="L141" s="1421"/>
      <c r="M141" s="1421"/>
      <c r="N141" s="1421"/>
      <c r="O141" s="1421"/>
      <c r="P141" s="1421"/>
      <c r="Q141" s="1421"/>
      <c r="R141" s="1421"/>
      <c r="S141" s="1421"/>
      <c r="T141" s="1421"/>
      <c r="U141" s="1421"/>
      <c r="V141" s="1422"/>
      <c r="W141" s="138"/>
      <c r="X141" s="147"/>
      <c r="AK141" s="153"/>
      <c r="AL141" s="76"/>
      <c r="AT141" s="76"/>
    </row>
    <row r="142" spans="1:46" s="83" customFormat="1" ht="11.25" customHeight="1" x14ac:dyDescent="0.2">
      <c r="A142" s="1428" t="str">
        <f>Home!$A$40</f>
        <v>LA's provide quarterly data on the condition that it is used by the benchmarking group for internal reporting only. Please DO NOT share other LA's data with any external partners or the public</v>
      </c>
      <c r="B142" s="1429"/>
      <c r="C142" s="1429"/>
      <c r="D142" s="1429"/>
      <c r="E142" s="1429"/>
      <c r="F142" s="1429"/>
      <c r="G142" s="1429"/>
      <c r="H142" s="1429"/>
      <c r="I142" s="1430"/>
      <c r="J142" s="1429"/>
      <c r="K142" s="1429"/>
      <c r="L142" s="1429"/>
      <c r="M142" s="1429"/>
      <c r="N142" s="1429"/>
      <c r="O142" s="1429"/>
      <c r="P142" s="1431"/>
      <c r="Q142" s="1429"/>
      <c r="R142" s="1429"/>
      <c r="S142" s="1429"/>
      <c r="T142" s="1430"/>
      <c r="U142" s="1429"/>
      <c r="V142" s="1432"/>
      <c r="W142" s="138"/>
      <c r="X142" s="147"/>
      <c r="AJ142" s="179"/>
      <c r="AK142" s="153"/>
      <c r="AL142" s="76"/>
      <c r="AT142" s="76"/>
    </row>
    <row r="143" spans="1:46" ht="11.25" hidden="1" customHeight="1" x14ac:dyDescent="0.2">
      <c r="A143" s="423"/>
      <c r="B143" s="214"/>
      <c r="C143" s="214"/>
      <c r="D143" s="214"/>
      <c r="E143" s="214"/>
      <c r="F143" s="214"/>
      <c r="G143" s="214"/>
      <c r="H143" s="214"/>
      <c r="I143" s="214"/>
      <c r="J143" s="116"/>
      <c r="K143" s="115"/>
      <c r="L143" s="115"/>
      <c r="M143" s="115"/>
      <c r="N143" s="115"/>
      <c r="O143" s="115"/>
      <c r="P143" s="115"/>
      <c r="Q143" s="115"/>
      <c r="R143" s="115"/>
      <c r="S143" s="115"/>
      <c r="T143" s="115"/>
      <c r="U143" s="115"/>
      <c r="V143" s="117"/>
      <c r="W143" s="138"/>
      <c r="X143" s="147"/>
      <c r="Y143" s="193"/>
      <c r="Z143" s="191"/>
      <c r="AA143" s="183"/>
      <c r="AJ143" s="179"/>
      <c r="AK143" s="153"/>
    </row>
    <row r="144" spans="1:46" s="78" customFormat="1" ht="15" hidden="1" customHeight="1" x14ac:dyDescent="0.2">
      <c r="A144" s="901"/>
      <c r="B144" s="1574" t="s">
        <v>947</v>
      </c>
      <c r="C144" s="1574"/>
      <c r="D144" s="1574"/>
      <c r="E144" s="1574"/>
      <c r="F144" s="1574"/>
      <c r="G144" s="1574"/>
      <c r="H144" s="1574"/>
      <c r="I144" s="1574"/>
      <c r="J144" s="69"/>
      <c r="K144" s="69"/>
      <c r="L144" s="69"/>
      <c r="M144" s="69"/>
      <c r="N144" s="771"/>
      <c r="O144" s="69"/>
      <c r="P144" s="69"/>
      <c r="Q144" s="69"/>
      <c r="R144" s="69"/>
      <c r="S144" s="69"/>
      <c r="T144" s="69"/>
      <c r="U144" s="69"/>
      <c r="V144" s="122"/>
      <c r="W144" s="139"/>
      <c r="X144" s="148"/>
      <c r="Y144" s="903" t="s">
        <v>731</v>
      </c>
      <c r="Z144" s="375"/>
      <c r="AA144" s="376"/>
      <c r="AB144" s="376"/>
      <c r="AC144" s="376"/>
      <c r="AD144" s="565"/>
      <c r="AE144" s="565"/>
      <c r="AF144" s="374" t="s">
        <v>732</v>
      </c>
      <c r="AG144" s="375"/>
      <c r="AH144" s="376"/>
      <c r="AI144" s="376"/>
      <c r="AJ144" s="376"/>
      <c r="AK144" s="153"/>
      <c r="AL144" s="76"/>
    </row>
    <row r="145" spans="1:45" ht="15" hidden="1" customHeight="1" x14ac:dyDescent="0.2">
      <c r="A145" s="902"/>
      <c r="B145" s="1574"/>
      <c r="C145" s="1574"/>
      <c r="D145" s="1574"/>
      <c r="E145" s="1574"/>
      <c r="F145" s="1574"/>
      <c r="G145" s="1574"/>
      <c r="H145" s="1574"/>
      <c r="I145" s="1574"/>
      <c r="J145" s="69"/>
      <c r="K145" s="69"/>
      <c r="L145" s="69"/>
      <c r="M145" s="69"/>
      <c r="N145" s="771"/>
      <c r="O145" s="69"/>
      <c r="P145" s="69"/>
      <c r="Q145" s="69"/>
      <c r="R145" s="10"/>
      <c r="S145" s="69"/>
      <c r="T145" s="69"/>
      <c r="U145" s="69"/>
      <c r="V145" s="119"/>
      <c r="W145" s="138"/>
      <c r="X145" s="147"/>
      <c r="Y145" s="376"/>
      <c r="Z145" s="375"/>
      <c r="AA145" s="376"/>
      <c r="AB145" s="376"/>
      <c r="AC145" s="376"/>
      <c r="AD145" s="565"/>
      <c r="AE145" s="565"/>
      <c r="AF145" s="376"/>
      <c r="AG145" s="375"/>
      <c r="AH145" s="376"/>
      <c r="AI145" s="376"/>
      <c r="AJ145" s="376"/>
      <c r="AK145" s="153"/>
    </row>
    <row r="146" spans="1:45" ht="13.5" hidden="1" customHeight="1" x14ac:dyDescent="0.2">
      <c r="A146" s="710"/>
      <c r="B146" s="1419" t="s">
        <v>190</v>
      </c>
      <c r="C146" s="873"/>
      <c r="D146" s="755" t="str">
        <f>Sheet1!$D$25</f>
        <v>2014-15</v>
      </c>
      <c r="E146" s="756" t="str">
        <f>Sheet1!$E$25</f>
        <v>2015-16</v>
      </c>
      <c r="F146" s="756" t="str">
        <f>Sheet1!$F$25</f>
        <v>2016-17</v>
      </c>
      <c r="G146" s="756" t="str">
        <f>Sheet1!$G$25</f>
        <v>2017-18</v>
      </c>
      <c r="H146" s="757" t="str">
        <f>Sheet1!$H$25</f>
        <v>2018-19</v>
      </c>
      <c r="I146" s="879"/>
      <c r="J146" s="69"/>
      <c r="K146" s="69"/>
      <c r="L146" s="69"/>
      <c r="M146" s="69"/>
      <c r="N146" s="870"/>
      <c r="O146" s="69"/>
      <c r="P146" s="69"/>
      <c r="Q146" s="69"/>
      <c r="R146" s="10"/>
      <c r="S146" s="69"/>
      <c r="T146" s="69"/>
      <c r="U146" s="69"/>
      <c r="V146" s="119"/>
      <c r="W146" s="138"/>
      <c r="X146" s="147"/>
      <c r="Y146" s="376"/>
      <c r="Z146" s="375"/>
      <c r="AA146" s="376"/>
      <c r="AB146" s="376"/>
      <c r="AC146" s="376"/>
      <c r="AD146" s="565"/>
      <c r="AE146" s="565"/>
      <c r="AF146" s="376"/>
      <c r="AG146" s="375"/>
      <c r="AH146" s="376"/>
      <c r="AI146" s="376"/>
      <c r="AJ146" s="376"/>
      <c r="AK146" s="153"/>
    </row>
    <row r="147" spans="1:45" s="89" customFormat="1" ht="13.5" hidden="1" customHeight="1" x14ac:dyDescent="0.2">
      <c r="A147" s="123"/>
      <c r="B147" s="1420"/>
      <c r="C147" s="87"/>
      <c r="D147" s="758" t="e">
        <f>Sheet1!$D$26</f>
        <v>#N/A</v>
      </c>
      <c r="E147" s="758" t="e">
        <f>Sheet1!$E$26</f>
        <v>#N/A</v>
      </c>
      <c r="F147" s="758" t="e">
        <f>Sheet1!$F$26</f>
        <v>#N/A</v>
      </c>
      <c r="G147" s="758" t="e">
        <f>Sheet1!$G$26</f>
        <v>#N/A</v>
      </c>
      <c r="H147" s="759" t="e">
        <f>Sheet1!$H$26</f>
        <v>#N/A</v>
      </c>
      <c r="I147" s="98"/>
      <c r="J147" s="98"/>
      <c r="K147" s="61"/>
      <c r="L147" s="61"/>
      <c r="M147" s="61"/>
      <c r="N147" s="61"/>
      <c r="O147" s="61"/>
      <c r="P147" s="61"/>
      <c r="Q147" s="774"/>
      <c r="R147" s="774"/>
      <c r="S147" s="155"/>
      <c r="T147" s="155"/>
      <c r="U147" s="775"/>
      <c r="V147" s="124"/>
      <c r="W147" s="140"/>
      <c r="X147" s="149"/>
      <c r="Y147" s="552"/>
      <c r="Z147" s="556" t="e">
        <f>D147</f>
        <v>#N/A</v>
      </c>
      <c r="AA147" s="463" t="e">
        <f t="shared" ref="AA147" si="44">E147</f>
        <v>#N/A</v>
      </c>
      <c r="AB147" s="463" t="e">
        <f t="shared" ref="AB147" si="45">F147</f>
        <v>#N/A</v>
      </c>
      <c r="AC147" s="463" t="e">
        <f t="shared" ref="AC147" si="46">G147</f>
        <v>#N/A</v>
      </c>
      <c r="AD147" s="553" t="e">
        <f t="shared" ref="AD147" si="47">H147</f>
        <v>#N/A</v>
      </c>
      <c r="AE147" s="377"/>
      <c r="AF147" s="463" t="e">
        <f>Z147</f>
        <v>#N/A</v>
      </c>
      <c r="AG147" s="463" t="e">
        <f t="shared" ref="AG147" si="48">AA147</f>
        <v>#N/A</v>
      </c>
      <c r="AH147" s="463" t="e">
        <f t="shared" ref="AH147" si="49">AB147</f>
        <v>#N/A</v>
      </c>
      <c r="AI147" s="463" t="e">
        <f t="shared" ref="AI147" si="50">AC147</f>
        <v>#N/A</v>
      </c>
      <c r="AJ147" s="463" t="e">
        <f t="shared" ref="AJ147" si="51">AD147</f>
        <v>#N/A</v>
      </c>
      <c r="AK147" s="153"/>
      <c r="AL147" s="76"/>
    </row>
    <row r="148" spans="1:45" s="89" customFormat="1" ht="12.75" hidden="1" customHeight="1" x14ac:dyDescent="0.2">
      <c r="A148" s="462">
        <f>VLOOKUP(B148,Sheet1!$AQ$4:$AR$25,2,FALSE)</f>
        <v>0</v>
      </c>
      <c r="B148" s="95" t="str">
        <f t="shared" ref="B148:B171" si="52">B220</f>
        <v>Bracknell Forest</v>
      </c>
      <c r="C148" s="87"/>
      <c r="D148" s="158" t="e">
        <f>IF(AND(ISNUMBER(AF148),ISNUMBER(Z148)),AF148/Z148,NA())</f>
        <v>#N/A</v>
      </c>
      <c r="E148" s="158" t="e">
        <f t="shared" ref="E148:E171" si="53">IF(AND(ISNUMBER(AG148),ISNUMBER(AA148)),AG148/AA148,NA())</f>
        <v>#N/A</v>
      </c>
      <c r="F148" s="158" t="e">
        <f t="shared" ref="F148:F171" si="54">IF(AND(ISNUMBER(AH148),ISNUMBER(AB148)),AH148/AB148,NA())</f>
        <v>#N/A</v>
      </c>
      <c r="G148" s="158" t="e">
        <f t="shared" ref="G148:G171" si="55">IF(AND(ISNUMBER(AI148),ISNUMBER(AC148)),AI148/AC148,NA())</f>
        <v>#N/A</v>
      </c>
      <c r="H148" s="160" t="e">
        <f t="shared" ref="H148:H171" si="56">IF(AND(ISNUMBER(AJ148),ISNUMBER(AD148)),AJ148/AD148,NA())</f>
        <v>#N/A</v>
      </c>
      <c r="I148" s="98"/>
      <c r="J148" s="98"/>
      <c r="K148" s="162"/>
      <c r="L148" s="162"/>
      <c r="M148" s="162"/>
      <c r="N148" s="162"/>
      <c r="O148" s="162"/>
      <c r="P148" s="162"/>
      <c r="Q148" s="162"/>
      <c r="R148" s="163"/>
      <c r="S148" s="155"/>
      <c r="T148" s="155"/>
      <c r="U148" s="162"/>
      <c r="V148" s="124"/>
      <c r="W148" s="140"/>
      <c r="X148" s="149"/>
      <c r="Y148" s="552" t="str">
        <f>B148</f>
        <v>Bracknell Forest</v>
      </c>
      <c r="Z148" s="556">
        <f>IF(ISNUMBER(AF148),D10,0)</f>
        <v>0</v>
      </c>
      <c r="AA148" s="556">
        <f t="shared" ref="AA148:AD148" si="57">IF(ISNUMBER(AG148),E10,0)</f>
        <v>0</v>
      </c>
      <c r="AB148" s="556">
        <f t="shared" si="57"/>
        <v>0</v>
      </c>
      <c r="AC148" s="556">
        <f t="shared" si="57"/>
        <v>0</v>
      </c>
      <c r="AD148" s="556">
        <f t="shared" si="57"/>
        <v>0</v>
      </c>
      <c r="AE148" s="377" t="str">
        <f>Y148</f>
        <v>Bracknell Forest</v>
      </c>
      <c r="AF148" s="463" t="str">
        <f>IF(Year1_Bracknell_Forest Year1_CP_Plans_Seen_in_Timescales="","",Year1_Bracknell_Forest Year1_CP_Plans_Seen_in_Timescales)</f>
        <v/>
      </c>
      <c r="AG148" s="365" t="str">
        <f>IF(Year2_Bracknell_Forest Year2_CP_Plans_Seen_in_Timescales="","",Year2_Bracknell_Forest Year2_CP_Plans_Seen_in_Timescales)</f>
        <v/>
      </c>
      <c r="AH148" s="365" t="str">
        <f>IF(Year3_Bracknell_Forest Year3_CP_Plans_Seen_in_Timescales="","",Year3_Bracknell_Forest Year3_CP_Plans_Seen_in_Timescales)</f>
        <v/>
      </c>
      <c r="AI148" s="365" t="str">
        <f>IF(Year4_Bracknell_Forest Year4_CP_Plans_Seen_in_Timescales="","",Year4_Bracknell_Forest Year4_CP_Plans_Seen_in_Timescales)</f>
        <v/>
      </c>
      <c r="AJ148" s="365" t="str">
        <f>IF(Year5_Bracknell_Forest Year5_CP_Plans_Seen_in_Timescales="","",Year5_Bracknell_Forest Year5_CP_Plans_Seen_in_Timescales)</f>
        <v/>
      </c>
      <c r="AK148" s="153"/>
      <c r="AL148" s="76"/>
    </row>
    <row r="149" spans="1:45" s="89" customFormat="1" ht="12.75" hidden="1" customHeight="1" x14ac:dyDescent="0.2">
      <c r="A149" s="462">
        <f>VLOOKUP(B149,Sheet1!$AQ$4:$AR$25,2,FALSE)</f>
        <v>0</v>
      </c>
      <c r="B149" s="95" t="str">
        <f t="shared" si="52"/>
        <v>Brighton &amp; Hove</v>
      </c>
      <c r="C149" s="87"/>
      <c r="D149" s="158" t="e">
        <f t="shared" ref="D149:D171" si="58">IF(AND(ISNUMBER(AF149),ISNUMBER(Z149)),AF149/Z149,NA())</f>
        <v>#N/A</v>
      </c>
      <c r="E149" s="158" t="e">
        <f t="shared" si="53"/>
        <v>#N/A</v>
      </c>
      <c r="F149" s="158" t="e">
        <f t="shared" si="54"/>
        <v>#N/A</v>
      </c>
      <c r="G149" s="158" t="e">
        <f t="shared" si="55"/>
        <v>#N/A</v>
      </c>
      <c r="H149" s="160" t="e">
        <f t="shared" si="56"/>
        <v>#N/A</v>
      </c>
      <c r="I149" s="98"/>
      <c r="J149" s="98"/>
      <c r="K149" s="162"/>
      <c r="L149" s="162"/>
      <c r="M149" s="162"/>
      <c r="N149" s="162"/>
      <c r="O149" s="162"/>
      <c r="P149" s="162"/>
      <c r="Q149" s="162"/>
      <c r="R149" s="163"/>
      <c r="S149" s="155"/>
      <c r="T149" s="155"/>
      <c r="U149" s="162"/>
      <c r="V149" s="124"/>
      <c r="W149" s="140"/>
      <c r="X149" s="149"/>
      <c r="Y149" s="552" t="str">
        <f t="shared" ref="Y149:Y171" si="59">B149</f>
        <v>Brighton &amp; Hove</v>
      </c>
      <c r="Z149" s="556">
        <f t="shared" ref="Z149:Z169" si="60">IF(ISNUMBER(AF149),D11,0)</f>
        <v>0</v>
      </c>
      <c r="AA149" s="556">
        <f t="shared" ref="AA149:AA169" si="61">IF(ISNUMBER(AG149),E11,0)</f>
        <v>0</v>
      </c>
      <c r="AB149" s="556">
        <f t="shared" ref="AB149:AB169" si="62">IF(ISNUMBER(AH149),F11,0)</f>
        <v>0</v>
      </c>
      <c r="AC149" s="556">
        <f t="shared" ref="AC149:AC169" si="63">IF(ISNUMBER(AI149),G11,0)</f>
        <v>0</v>
      </c>
      <c r="AD149" s="556">
        <f t="shared" ref="AD149:AD169" si="64">IF(ISNUMBER(AJ149),H11,0)</f>
        <v>0</v>
      </c>
      <c r="AE149" s="377" t="str">
        <f t="shared" ref="AE149:AE171" si="65">Y149</f>
        <v>Brighton &amp; Hove</v>
      </c>
      <c r="AF149" s="463" t="str">
        <f>IF(Year1_Brighton_Hove Year1_CP_Plans_Seen_in_Timescales="","",Year1_Brighton_Hove Year1_CP_Plans_Seen_in_Timescales)</f>
        <v/>
      </c>
      <c r="AG149" s="365" t="str">
        <f>IF(Year2_Brighton_Hove Year2_CP_Plans_Seen_in_Timescales="","",Year2_Brighton_Hove Year2_CP_Plans_Seen_in_Timescales)</f>
        <v/>
      </c>
      <c r="AH149" s="365" t="str">
        <f>IF(Year3_Brighton_Hove Year3_CP_Plans_Seen_in_Timescales="","",Year3_Brighton_Hove Year3_CP_Plans_Seen_in_Timescales)</f>
        <v/>
      </c>
      <c r="AI149" s="365" t="str">
        <f>IF(Year4_Brighton_Hove Year4_CP_Plans_Seen_in_Timescales="","",Year4_Brighton_Hove Year4_CP_Plans_Seen_in_Timescales)</f>
        <v/>
      </c>
      <c r="AJ149" s="365" t="str">
        <f>IF(Year5_Brighton_Hove Year5_CP_Plans_Seen_in_Timescales="","",Year5_Brighton_Hove Year5_CP_Plans_Seen_in_Timescales)</f>
        <v/>
      </c>
      <c r="AK149" s="153"/>
      <c r="AL149" s="76"/>
    </row>
    <row r="150" spans="1:45" s="89" customFormat="1" ht="12.75" hidden="1" customHeight="1" x14ac:dyDescent="0.2">
      <c r="A150" s="462">
        <f>VLOOKUP(B150,Sheet1!$AQ$4:$AR$25,2,FALSE)</f>
        <v>0</v>
      </c>
      <c r="B150" s="95" t="str">
        <f t="shared" si="52"/>
        <v>Buckinghamshire</v>
      </c>
      <c r="C150" s="87"/>
      <c r="D150" s="158" t="e">
        <f t="shared" si="58"/>
        <v>#N/A</v>
      </c>
      <c r="E150" s="158" t="e">
        <f t="shared" si="53"/>
        <v>#N/A</v>
      </c>
      <c r="F150" s="158" t="e">
        <f t="shared" si="54"/>
        <v>#N/A</v>
      </c>
      <c r="G150" s="158" t="e">
        <f t="shared" si="55"/>
        <v>#N/A</v>
      </c>
      <c r="H150" s="160" t="e">
        <f t="shared" si="56"/>
        <v>#N/A</v>
      </c>
      <c r="I150" s="98"/>
      <c r="J150" s="98"/>
      <c r="K150" s="162"/>
      <c r="L150" s="162"/>
      <c r="M150" s="162"/>
      <c r="N150" s="162"/>
      <c r="O150" s="162"/>
      <c r="P150" s="162"/>
      <c r="Q150" s="162"/>
      <c r="R150" s="163"/>
      <c r="S150" s="155"/>
      <c r="T150" s="155"/>
      <c r="U150" s="162"/>
      <c r="V150" s="124"/>
      <c r="W150" s="140"/>
      <c r="X150" s="149"/>
      <c r="Y150" s="552" t="str">
        <f t="shared" si="59"/>
        <v>Buckinghamshire</v>
      </c>
      <c r="Z150" s="556">
        <f t="shared" si="60"/>
        <v>0</v>
      </c>
      <c r="AA150" s="556">
        <f t="shared" si="61"/>
        <v>0</v>
      </c>
      <c r="AB150" s="556">
        <f t="shared" si="62"/>
        <v>0</v>
      </c>
      <c r="AC150" s="556">
        <f t="shared" si="63"/>
        <v>0</v>
      </c>
      <c r="AD150" s="556">
        <f t="shared" si="64"/>
        <v>0</v>
      </c>
      <c r="AE150" s="377" t="str">
        <f t="shared" si="65"/>
        <v>Buckinghamshire</v>
      </c>
      <c r="AF150" s="463" t="str">
        <f>IF(Year1_Buckinghamshire Year1_CP_Plans_Seen_in_Timescales="","",Year1_Buckinghamshire Year1_CP_Plans_Seen_in_Timescales)</f>
        <v/>
      </c>
      <c r="AG150" s="365" t="str">
        <f>IF(Year2_Buckinghamshire Year2_CP_Plans_Seen_in_Timescales="","",Year2_Buckinghamshire Year2_CP_Plans_Seen_in_Timescales)</f>
        <v/>
      </c>
      <c r="AH150" s="365" t="str">
        <f>IF(Year3_Buckinghamshire Year3_CP_Plans_Seen_in_Timescales="","",Year3_Buckinghamshire Year3_CP_Plans_Seen_in_Timescales)</f>
        <v/>
      </c>
      <c r="AI150" s="365" t="str">
        <f>IF(Year4_Buckinghamshire Year4_CP_Plans_Seen_in_Timescales="","",Year4_Buckinghamshire Year4_CP_Plans_Seen_in_Timescales)</f>
        <v/>
      </c>
      <c r="AJ150" s="365" t="str">
        <f>IF(Year5_Buckinghamshire Year5_CP_Plans_Seen_in_Timescales="","",Year5_Buckinghamshire Year5_CP_Plans_Seen_in_Timescales)</f>
        <v/>
      </c>
      <c r="AK150" s="153"/>
      <c r="AL150" s="76"/>
    </row>
    <row r="151" spans="1:45" s="89" customFormat="1" ht="12.75" hidden="1" customHeight="1" x14ac:dyDescent="0.2">
      <c r="A151" s="462">
        <f>VLOOKUP(B151,Sheet1!$AQ$4:$AR$25,2,FALSE)</f>
        <v>0</v>
      </c>
      <c r="B151" s="95" t="str">
        <f t="shared" si="52"/>
        <v>East Sussex</v>
      </c>
      <c r="C151" s="87"/>
      <c r="D151" s="158" t="e">
        <f t="shared" si="58"/>
        <v>#N/A</v>
      </c>
      <c r="E151" s="158" t="e">
        <f t="shared" si="53"/>
        <v>#N/A</v>
      </c>
      <c r="F151" s="158" t="e">
        <f t="shared" si="54"/>
        <v>#N/A</v>
      </c>
      <c r="G151" s="158" t="e">
        <f t="shared" si="55"/>
        <v>#N/A</v>
      </c>
      <c r="H151" s="160" t="e">
        <f t="shared" si="56"/>
        <v>#N/A</v>
      </c>
      <c r="I151" s="98"/>
      <c r="J151" s="98"/>
      <c r="K151" s="162"/>
      <c r="L151" s="162"/>
      <c r="M151" s="162"/>
      <c r="N151" s="162"/>
      <c r="O151" s="162"/>
      <c r="P151" s="162"/>
      <c r="Q151" s="162"/>
      <c r="R151" s="163"/>
      <c r="S151" s="155"/>
      <c r="T151" s="155"/>
      <c r="U151" s="162"/>
      <c r="V151" s="124"/>
      <c r="W151" s="140"/>
      <c r="X151" s="149"/>
      <c r="Y151" s="552" t="str">
        <f t="shared" si="59"/>
        <v>East Sussex</v>
      </c>
      <c r="Z151" s="556">
        <f t="shared" si="60"/>
        <v>0</v>
      </c>
      <c r="AA151" s="556">
        <f t="shared" si="61"/>
        <v>0</v>
      </c>
      <c r="AB151" s="556">
        <f t="shared" si="62"/>
        <v>0</v>
      </c>
      <c r="AC151" s="556">
        <f t="shared" si="63"/>
        <v>0</v>
      </c>
      <c r="AD151" s="556">
        <f t="shared" si="64"/>
        <v>0</v>
      </c>
      <c r="AE151" s="377" t="str">
        <f t="shared" si="65"/>
        <v>East Sussex</v>
      </c>
      <c r="AF151" s="463" t="str">
        <f>IF(Year1_East_Sussex Year1_CP_Plans_Seen_in_Timescales="","",Year1_East_Sussex Year1_CP_Plans_Seen_in_Timescales)</f>
        <v/>
      </c>
      <c r="AG151" s="365" t="str">
        <f>IF(Year2_East_Sussex Year2_CP_Plans_Seen_in_Timescales="","",Year2_East_Sussex Year2_CP_Plans_Seen_in_Timescales)</f>
        <v/>
      </c>
      <c r="AH151" s="365" t="str">
        <f>IF(Year3_East_Sussex Year3_CP_Plans_Seen_in_Timescales="","",Year3_East_Sussex Year3_CP_Plans_Seen_in_Timescales)</f>
        <v/>
      </c>
      <c r="AI151" s="365" t="str">
        <f>IF(Year4_East_Sussex Year4_CP_Plans_Seen_in_Timescales="","",Year4_East_Sussex Year4_CP_Plans_Seen_in_Timescales)</f>
        <v/>
      </c>
      <c r="AJ151" s="365" t="str">
        <f>IF(Year5_East_Sussex Year5_CP_Plans_Seen_in_Timescales="","",Year5_East_Sussex Year5_CP_Plans_Seen_in_Timescales)</f>
        <v/>
      </c>
      <c r="AK151" s="153"/>
      <c r="AL151" s="76"/>
    </row>
    <row r="152" spans="1:45" s="89" customFormat="1" ht="12.75" hidden="1" customHeight="1" x14ac:dyDescent="0.2">
      <c r="A152" s="462">
        <f>VLOOKUP(B152,Sheet1!$AQ$4:$AR$25,2,FALSE)</f>
        <v>0</v>
      </c>
      <c r="B152" s="95" t="str">
        <f t="shared" si="52"/>
        <v>Hampshire</v>
      </c>
      <c r="C152" s="87"/>
      <c r="D152" s="158" t="e">
        <f t="shared" si="58"/>
        <v>#N/A</v>
      </c>
      <c r="E152" s="158" t="e">
        <f t="shared" si="53"/>
        <v>#N/A</v>
      </c>
      <c r="F152" s="158" t="e">
        <f t="shared" si="54"/>
        <v>#N/A</v>
      </c>
      <c r="G152" s="158" t="e">
        <f t="shared" si="55"/>
        <v>#N/A</v>
      </c>
      <c r="H152" s="160" t="e">
        <f t="shared" si="56"/>
        <v>#N/A</v>
      </c>
      <c r="I152" s="98"/>
      <c r="J152" s="98"/>
      <c r="K152" s="162"/>
      <c r="L152" s="162"/>
      <c r="M152" s="162"/>
      <c r="N152" s="162"/>
      <c r="O152" s="162"/>
      <c r="P152" s="162"/>
      <c r="Q152" s="162"/>
      <c r="R152" s="163"/>
      <c r="S152" s="155"/>
      <c r="T152" s="155"/>
      <c r="U152" s="162"/>
      <c r="V152" s="124"/>
      <c r="W152" s="140"/>
      <c r="X152" s="149"/>
      <c r="Y152" s="552" t="str">
        <f t="shared" si="59"/>
        <v>Hampshire</v>
      </c>
      <c r="Z152" s="556">
        <f t="shared" si="60"/>
        <v>0</v>
      </c>
      <c r="AA152" s="556">
        <f t="shared" si="61"/>
        <v>0</v>
      </c>
      <c r="AB152" s="556">
        <f t="shared" si="62"/>
        <v>0</v>
      </c>
      <c r="AC152" s="556">
        <f t="shared" si="63"/>
        <v>0</v>
      </c>
      <c r="AD152" s="556">
        <f t="shared" si="64"/>
        <v>0</v>
      </c>
      <c r="AE152" s="377" t="str">
        <f t="shared" si="65"/>
        <v>Hampshire</v>
      </c>
      <c r="AF152" s="463" t="str">
        <f>IF(Year1_Hampshire Year1_CP_Plans_Seen_in_Timescales="","",Year1_Hampshire Year1_CP_Plans_Seen_in_Timescales)</f>
        <v/>
      </c>
      <c r="AG152" s="365" t="str">
        <f>IF(Year2_Hampshire Year2_CP_Plans_Seen_in_Timescales="","",Year2_Hampshire Year2_CP_Plans_Seen_in_Timescales)</f>
        <v/>
      </c>
      <c r="AH152" s="365" t="str">
        <f>IF(Year3_Hampshire Year3_CP_Plans_Seen_in_Timescales="","",Year3_Hampshire Year3_CP_Plans_Seen_in_Timescales)</f>
        <v/>
      </c>
      <c r="AI152" s="365" t="str">
        <f>IF(Year4_Hampshire Year4_CP_Plans_Seen_in_Timescales="","",Year4_Hampshire Year4_CP_Plans_Seen_in_Timescales)</f>
        <v/>
      </c>
      <c r="AJ152" s="365" t="str">
        <f>IF(Year5_Hampshire Year5_CP_Plans_Seen_in_Timescales="","",Year5_Hampshire Year5_CP_Plans_Seen_in_Timescales)</f>
        <v/>
      </c>
      <c r="AK152" s="153"/>
      <c r="AL152" s="76"/>
    </row>
    <row r="153" spans="1:45" s="89" customFormat="1" ht="12.75" hidden="1" customHeight="1" x14ac:dyDescent="0.2">
      <c r="A153" s="462">
        <f>VLOOKUP(B153,Sheet1!$AQ$4:$AR$25,2,FALSE)</f>
        <v>0</v>
      </c>
      <c r="B153" s="95" t="str">
        <f t="shared" si="52"/>
        <v>Isle of Wight</v>
      </c>
      <c r="C153" s="87"/>
      <c r="D153" s="158" t="e">
        <f t="shared" si="58"/>
        <v>#N/A</v>
      </c>
      <c r="E153" s="158" t="e">
        <f t="shared" si="53"/>
        <v>#N/A</v>
      </c>
      <c r="F153" s="158" t="e">
        <f t="shared" si="54"/>
        <v>#N/A</v>
      </c>
      <c r="G153" s="158" t="e">
        <f t="shared" si="55"/>
        <v>#N/A</v>
      </c>
      <c r="H153" s="160" t="e">
        <f t="shared" si="56"/>
        <v>#N/A</v>
      </c>
      <c r="I153" s="98"/>
      <c r="J153" s="98"/>
      <c r="K153" s="162"/>
      <c r="L153" s="162"/>
      <c r="M153" s="162"/>
      <c r="N153" s="162"/>
      <c r="O153" s="162"/>
      <c r="P153" s="162"/>
      <c r="Q153" s="162"/>
      <c r="R153" s="163"/>
      <c r="S153" s="155"/>
      <c r="T153" s="155"/>
      <c r="U153" s="162"/>
      <c r="V153" s="124"/>
      <c r="W153" s="140"/>
      <c r="X153" s="149"/>
      <c r="Y153" s="552" t="str">
        <f t="shared" si="59"/>
        <v>Isle of Wight</v>
      </c>
      <c r="Z153" s="556">
        <f t="shared" si="60"/>
        <v>0</v>
      </c>
      <c r="AA153" s="556">
        <f t="shared" si="61"/>
        <v>0</v>
      </c>
      <c r="AB153" s="556">
        <f t="shared" si="62"/>
        <v>0</v>
      </c>
      <c r="AC153" s="556">
        <f t="shared" si="63"/>
        <v>0</v>
      </c>
      <c r="AD153" s="556">
        <f t="shared" si="64"/>
        <v>0</v>
      </c>
      <c r="AE153" s="377" t="str">
        <f t="shared" si="65"/>
        <v>Isle of Wight</v>
      </c>
      <c r="AF153" s="463" t="str">
        <f>IF(Year1_Isle_of_Wight Year1_CP_Plans_Seen_in_Timescales="","",Year1_Isle_of_Wight Year1_CP_Plans_Seen_in_Timescales)</f>
        <v/>
      </c>
      <c r="AG153" s="365" t="str">
        <f>IF(Year2_Isle_of_Wight Year2_CP_Plans_Seen_in_Timescales="","",Year2_Isle_of_Wight Year2_CP_Plans_Seen_in_Timescales)</f>
        <v/>
      </c>
      <c r="AH153" s="365" t="str">
        <f>IF(Year3_Isle_of_Wight Year3_CP_Plans_Seen_in_Timescales="","",Year3_Isle_of_Wight Year3_CP_Plans_Seen_in_Timescales)</f>
        <v/>
      </c>
      <c r="AI153" s="365" t="str">
        <f>IF(Year4_Isle_of_Wight Year4_CP_Plans_Seen_in_Timescales="","",Year4_Isle_of_Wight Year4_CP_Plans_Seen_in_Timescales)</f>
        <v/>
      </c>
      <c r="AJ153" s="365" t="str">
        <f>IF(Year5_Isle_of_Wight Year5_CP_Plans_Seen_in_Timescales="","",Year5_Isle_of_Wight Year5_CP_Plans_Seen_in_Timescales)</f>
        <v/>
      </c>
      <c r="AK153" s="153"/>
      <c r="AL153" s="76"/>
      <c r="AS153" s="89" t="s">
        <v>103</v>
      </c>
    </row>
    <row r="154" spans="1:45" s="89" customFormat="1" ht="12.75" hidden="1" customHeight="1" x14ac:dyDescent="0.2">
      <c r="A154" s="462">
        <f>VLOOKUP(B154,Sheet1!$AQ$4:$AR$25,2,FALSE)</f>
        <v>0</v>
      </c>
      <c r="B154" s="95" t="str">
        <f t="shared" si="52"/>
        <v>Kent</v>
      </c>
      <c r="C154" s="87"/>
      <c r="D154" s="158" t="e">
        <f t="shared" si="58"/>
        <v>#N/A</v>
      </c>
      <c r="E154" s="158" t="e">
        <f t="shared" si="53"/>
        <v>#N/A</v>
      </c>
      <c r="F154" s="158" t="e">
        <f t="shared" si="54"/>
        <v>#N/A</v>
      </c>
      <c r="G154" s="158" t="e">
        <f t="shared" si="55"/>
        <v>#N/A</v>
      </c>
      <c r="H154" s="160" t="e">
        <f t="shared" si="56"/>
        <v>#N/A</v>
      </c>
      <c r="I154" s="98"/>
      <c r="J154" s="98"/>
      <c r="K154" s="162"/>
      <c r="L154" s="162"/>
      <c r="M154" s="162"/>
      <c r="N154" s="162"/>
      <c r="O154" s="162"/>
      <c r="P154" s="162"/>
      <c r="Q154" s="162"/>
      <c r="R154" s="163"/>
      <c r="S154" s="155"/>
      <c r="T154" s="155"/>
      <c r="U154" s="162"/>
      <c r="V154" s="124"/>
      <c r="W154" s="140"/>
      <c r="X154" s="149"/>
      <c r="Y154" s="552" t="str">
        <f t="shared" si="59"/>
        <v>Kent</v>
      </c>
      <c r="Z154" s="556">
        <f t="shared" si="60"/>
        <v>0</v>
      </c>
      <c r="AA154" s="556">
        <f t="shared" si="61"/>
        <v>0</v>
      </c>
      <c r="AB154" s="556">
        <f t="shared" si="62"/>
        <v>0</v>
      </c>
      <c r="AC154" s="556">
        <f t="shared" si="63"/>
        <v>0</v>
      </c>
      <c r="AD154" s="556">
        <f t="shared" si="64"/>
        <v>0</v>
      </c>
      <c r="AE154" s="377" t="str">
        <f t="shared" si="65"/>
        <v>Kent</v>
      </c>
      <c r="AF154" s="463" t="str">
        <f>IF(Year1_Kent Year1_CP_Plans_Seen_in_Timescales="","",Year1_Kent Year1_CP_Plans_Seen_in_Timescales)</f>
        <v/>
      </c>
      <c r="AG154" s="365" t="str">
        <f>IF(Year2_Kent Year2_CP_Plans_Seen_in_Timescales="","",Year2_Kent Year2_CP_Plans_Seen_in_Timescales)</f>
        <v/>
      </c>
      <c r="AH154" s="365" t="str">
        <f>IF(Year3_Kent Year3_CP_Plans_Seen_in_Timescales="","",Year3_Kent Year3_CP_Plans_Seen_in_Timescales)</f>
        <v/>
      </c>
      <c r="AI154" s="365" t="str">
        <f>IF(Year4_Kent Year4_CP_Plans_Seen_in_Timescales="","",Year4_Kent Year4_CP_Plans_Seen_in_Timescales)</f>
        <v/>
      </c>
      <c r="AJ154" s="365" t="str">
        <f>IF(Year5_Kent Year5_CP_Plans_Seen_in_Timescales="","",Year5_Kent Year5_CP_Plans_Seen_in_Timescales)</f>
        <v/>
      </c>
      <c r="AK154" s="153"/>
      <c r="AL154" s="76"/>
    </row>
    <row r="155" spans="1:45" s="89" customFormat="1" ht="12.75" hidden="1" customHeight="1" x14ac:dyDescent="0.2">
      <c r="A155" s="462">
        <f>VLOOKUP(B155,Sheet1!$AQ$4:$AR$25,2,FALSE)</f>
        <v>0</v>
      </c>
      <c r="B155" s="95" t="str">
        <f t="shared" si="52"/>
        <v>Medway</v>
      </c>
      <c r="C155" s="87"/>
      <c r="D155" s="158" t="e">
        <f t="shared" si="58"/>
        <v>#N/A</v>
      </c>
      <c r="E155" s="158" t="e">
        <f t="shared" si="53"/>
        <v>#N/A</v>
      </c>
      <c r="F155" s="158" t="e">
        <f t="shared" si="54"/>
        <v>#N/A</v>
      </c>
      <c r="G155" s="158" t="e">
        <f t="shared" si="55"/>
        <v>#N/A</v>
      </c>
      <c r="H155" s="160" t="e">
        <f t="shared" si="56"/>
        <v>#N/A</v>
      </c>
      <c r="I155" s="98"/>
      <c r="J155" s="98"/>
      <c r="K155" s="162"/>
      <c r="L155" s="162"/>
      <c r="M155" s="162"/>
      <c r="N155" s="162"/>
      <c r="O155" s="162"/>
      <c r="P155" s="162"/>
      <c r="Q155" s="162"/>
      <c r="R155" s="163"/>
      <c r="S155" s="155"/>
      <c r="T155" s="155"/>
      <c r="U155" s="162"/>
      <c r="V155" s="124"/>
      <c r="W155" s="140"/>
      <c r="X155" s="149"/>
      <c r="Y155" s="552" t="str">
        <f t="shared" si="59"/>
        <v>Medway</v>
      </c>
      <c r="Z155" s="556">
        <f t="shared" si="60"/>
        <v>0</v>
      </c>
      <c r="AA155" s="556">
        <f t="shared" si="61"/>
        <v>0</v>
      </c>
      <c r="AB155" s="556">
        <f t="shared" si="62"/>
        <v>0</v>
      </c>
      <c r="AC155" s="556">
        <f t="shared" si="63"/>
        <v>0</v>
      </c>
      <c r="AD155" s="556">
        <f t="shared" si="64"/>
        <v>0</v>
      </c>
      <c r="AE155" s="377" t="str">
        <f t="shared" si="65"/>
        <v>Medway</v>
      </c>
      <c r="AF155" s="463" t="str">
        <f>IF(Year1_Medway Year1_CP_Plans_Seen_in_Timescales="","",Year1_Medway Year1_CP_Plans_Seen_in_Timescales)</f>
        <v/>
      </c>
      <c r="AG155" s="365" t="str">
        <f>IF(Year2_Medway Year2_CP_Plans_Seen_in_Timescales="","",Year2_Medway Year2_CP_Plans_Seen_in_Timescales)</f>
        <v/>
      </c>
      <c r="AH155" s="365" t="str">
        <f>IF(Year3_Medway Year3_CP_Plans_Seen_in_Timescales="","",Year3_Medway Year3_CP_Plans_Seen_in_Timescales)</f>
        <v/>
      </c>
      <c r="AI155" s="365" t="str">
        <f>IF(Year4_Medway Year4_CP_Plans_Seen_in_Timescales="","",Year4_Medway Year4_CP_Plans_Seen_in_Timescales)</f>
        <v/>
      </c>
      <c r="AJ155" s="365" t="str">
        <f>IF(Year5_Medway Year5_CP_Plans_Seen_in_Timescales="","",Year5_Medway Year5_CP_Plans_Seen_in_Timescales)</f>
        <v/>
      </c>
      <c r="AK155" s="153"/>
      <c r="AL155" s="76"/>
    </row>
    <row r="156" spans="1:45" s="89" customFormat="1" ht="12.75" hidden="1" customHeight="1" x14ac:dyDescent="0.2">
      <c r="A156" s="462">
        <f>VLOOKUP(B156,Sheet1!$AQ$4:$AR$25,2,FALSE)</f>
        <v>0</v>
      </c>
      <c r="B156" s="95" t="str">
        <f t="shared" si="52"/>
        <v>Milton Keynes</v>
      </c>
      <c r="C156" s="87"/>
      <c r="D156" s="158" t="e">
        <f t="shared" si="58"/>
        <v>#N/A</v>
      </c>
      <c r="E156" s="158" t="e">
        <f t="shared" si="53"/>
        <v>#N/A</v>
      </c>
      <c r="F156" s="158" t="e">
        <f t="shared" si="54"/>
        <v>#N/A</v>
      </c>
      <c r="G156" s="158" t="e">
        <f t="shared" si="55"/>
        <v>#N/A</v>
      </c>
      <c r="H156" s="160" t="e">
        <f t="shared" si="56"/>
        <v>#N/A</v>
      </c>
      <c r="I156" s="98"/>
      <c r="J156" s="98"/>
      <c r="K156" s="162"/>
      <c r="L156" s="162"/>
      <c r="M156" s="162"/>
      <c r="N156" s="162"/>
      <c r="O156" s="162"/>
      <c r="P156" s="162"/>
      <c r="Q156" s="162"/>
      <c r="R156" s="163"/>
      <c r="S156" s="155"/>
      <c r="T156" s="155"/>
      <c r="U156" s="162"/>
      <c r="V156" s="124"/>
      <c r="W156" s="140"/>
      <c r="X156" s="149"/>
      <c r="Y156" s="552" t="str">
        <f t="shared" si="59"/>
        <v>Milton Keynes</v>
      </c>
      <c r="Z156" s="556">
        <f t="shared" si="60"/>
        <v>0</v>
      </c>
      <c r="AA156" s="556">
        <f t="shared" si="61"/>
        <v>0</v>
      </c>
      <c r="AB156" s="556">
        <f t="shared" si="62"/>
        <v>0</v>
      </c>
      <c r="AC156" s="556">
        <f t="shared" si="63"/>
        <v>0</v>
      </c>
      <c r="AD156" s="556">
        <f t="shared" si="64"/>
        <v>0</v>
      </c>
      <c r="AE156" s="377" t="str">
        <f t="shared" si="65"/>
        <v>Milton Keynes</v>
      </c>
      <c r="AF156" s="463" t="str">
        <f>IF(Year1_Milton_Keynes Year1_CP_Plans_Seen_in_Timescales="","",Year1_Milton_Keynes Year1_CP_Plans_Seen_in_Timescales)</f>
        <v/>
      </c>
      <c r="AG156" s="365" t="str">
        <f>IF(Year2_Milton_Keynes Year2_CP_Plans_Seen_in_Timescales="","",Year2_Milton_Keynes Year2_CP_Plans_Seen_in_Timescales)</f>
        <v/>
      </c>
      <c r="AH156" s="365" t="str">
        <f>IF(Year3_Milton_Keynes Year3_CP_Plans_Seen_in_Timescales="","",Year3_Milton_Keynes Year3_CP_Plans_Seen_in_Timescales)</f>
        <v/>
      </c>
      <c r="AI156" s="365" t="str">
        <f>IF(Year4_Milton_Keynes Year4_CP_Plans_Seen_in_Timescales="","",Year4_Milton_Keynes Year4_CP_Plans_Seen_in_Timescales)</f>
        <v/>
      </c>
      <c r="AJ156" s="365" t="str">
        <f>IF(Year5_Milton_Keynes Year5_CP_Plans_Seen_in_Timescales="","",Year5_Milton_Keynes Year5_CP_Plans_Seen_in_Timescales)</f>
        <v/>
      </c>
      <c r="AK156" s="153"/>
      <c r="AL156" s="76"/>
    </row>
    <row r="157" spans="1:45" s="89" customFormat="1" ht="12.75" hidden="1" customHeight="1" x14ac:dyDescent="0.2">
      <c r="A157" s="462">
        <f>VLOOKUP(B157,Sheet1!$AQ$4:$AR$25,2,FALSE)</f>
        <v>0</v>
      </c>
      <c r="B157" s="95" t="str">
        <f t="shared" si="52"/>
        <v>Oxfordshire</v>
      </c>
      <c r="C157" s="87"/>
      <c r="D157" s="158" t="e">
        <f t="shared" si="58"/>
        <v>#N/A</v>
      </c>
      <c r="E157" s="158" t="e">
        <f t="shared" si="53"/>
        <v>#N/A</v>
      </c>
      <c r="F157" s="158" t="e">
        <f t="shared" si="54"/>
        <v>#N/A</v>
      </c>
      <c r="G157" s="158" t="e">
        <f t="shared" si="55"/>
        <v>#N/A</v>
      </c>
      <c r="H157" s="160" t="e">
        <f t="shared" si="56"/>
        <v>#N/A</v>
      </c>
      <c r="I157" s="98"/>
      <c r="J157" s="98"/>
      <c r="K157" s="162"/>
      <c r="L157" s="162"/>
      <c r="M157" s="162"/>
      <c r="N157" s="162"/>
      <c r="O157" s="162"/>
      <c r="P157" s="162"/>
      <c r="Q157" s="162"/>
      <c r="R157" s="163"/>
      <c r="S157" s="155"/>
      <c r="T157" s="155"/>
      <c r="U157" s="162"/>
      <c r="V157" s="124"/>
      <c r="W157" s="140"/>
      <c r="X157" s="149"/>
      <c r="Y157" s="552" t="str">
        <f t="shared" si="59"/>
        <v>Oxfordshire</v>
      </c>
      <c r="Z157" s="556">
        <f t="shared" si="60"/>
        <v>0</v>
      </c>
      <c r="AA157" s="556">
        <f t="shared" si="61"/>
        <v>0</v>
      </c>
      <c r="AB157" s="556">
        <f t="shared" si="62"/>
        <v>0</v>
      </c>
      <c r="AC157" s="556">
        <f t="shared" si="63"/>
        <v>0</v>
      </c>
      <c r="AD157" s="556">
        <f t="shared" si="64"/>
        <v>0</v>
      </c>
      <c r="AE157" s="377" t="str">
        <f t="shared" si="65"/>
        <v>Oxfordshire</v>
      </c>
      <c r="AF157" s="463" t="str">
        <f>IF(Year1_Oxfordshire Year1_CP_Plans_Seen_in_Timescales="","",Year1_Oxfordshire Year1_CP_Plans_Seen_in_Timescales)</f>
        <v/>
      </c>
      <c r="AG157" s="365" t="str">
        <f>IF(Year2_Oxfordshire Year2_CP_Plans_Seen_in_Timescales="","",Year2_Oxfordshire Year2_CP_Plans_Seen_in_Timescales)</f>
        <v/>
      </c>
      <c r="AH157" s="365" t="str">
        <f>IF(Year3_Oxfordshire Year3_CP_Plans_Seen_in_Timescales="","",Year3_Oxfordshire Year3_CP_Plans_Seen_in_Timescales)</f>
        <v/>
      </c>
      <c r="AI157" s="365" t="str">
        <f>IF(Year4_Oxfordshire Year4_CP_Plans_Seen_in_Timescales="","",Year4_Oxfordshire Year4_CP_Plans_Seen_in_Timescales)</f>
        <v/>
      </c>
      <c r="AJ157" s="365" t="str">
        <f>IF(Year5_Oxfordshire Year5_CP_Plans_Seen_in_Timescales="","",Year5_Oxfordshire Year5_CP_Plans_Seen_in_Timescales)</f>
        <v/>
      </c>
      <c r="AK157" s="153"/>
      <c r="AL157" s="76"/>
    </row>
    <row r="158" spans="1:45" s="89" customFormat="1" ht="12.75" hidden="1" customHeight="1" x14ac:dyDescent="0.2">
      <c r="A158" s="462">
        <f>VLOOKUP(B158,Sheet1!$AQ$4:$AR$25,2,FALSE)</f>
        <v>0</v>
      </c>
      <c r="B158" s="95" t="str">
        <f t="shared" si="52"/>
        <v>Portsmouth</v>
      </c>
      <c r="C158" s="87"/>
      <c r="D158" s="158" t="e">
        <f t="shared" si="58"/>
        <v>#N/A</v>
      </c>
      <c r="E158" s="158" t="e">
        <f t="shared" si="53"/>
        <v>#N/A</v>
      </c>
      <c r="F158" s="158" t="e">
        <f t="shared" si="54"/>
        <v>#N/A</v>
      </c>
      <c r="G158" s="158" t="e">
        <f t="shared" si="55"/>
        <v>#N/A</v>
      </c>
      <c r="H158" s="160" t="e">
        <f t="shared" si="56"/>
        <v>#N/A</v>
      </c>
      <c r="I158" s="98"/>
      <c r="J158" s="98"/>
      <c r="K158" s="162"/>
      <c r="L158" s="162"/>
      <c r="M158" s="162"/>
      <c r="N158" s="162"/>
      <c r="O158" s="162"/>
      <c r="P158" s="162"/>
      <c r="Q158" s="162"/>
      <c r="R158" s="163"/>
      <c r="S158" s="155"/>
      <c r="T158" s="155"/>
      <c r="U158" s="162"/>
      <c r="V158" s="124"/>
      <c r="W158" s="140"/>
      <c r="X158" s="149"/>
      <c r="Y158" s="552" t="str">
        <f t="shared" si="59"/>
        <v>Portsmouth</v>
      </c>
      <c r="Z158" s="556">
        <f t="shared" si="60"/>
        <v>0</v>
      </c>
      <c r="AA158" s="556">
        <f t="shared" si="61"/>
        <v>0</v>
      </c>
      <c r="AB158" s="556">
        <f t="shared" si="62"/>
        <v>0</v>
      </c>
      <c r="AC158" s="556">
        <f t="shared" si="63"/>
        <v>0</v>
      </c>
      <c r="AD158" s="556">
        <f t="shared" si="64"/>
        <v>0</v>
      </c>
      <c r="AE158" s="377" t="str">
        <f t="shared" si="65"/>
        <v>Portsmouth</v>
      </c>
      <c r="AF158" s="463" t="str">
        <f>IF(Year1_Portsmouth Year1_CP_Plans_Seen_in_Timescales="","",Year1_Portsmouth Year1_CP_Plans_Seen_in_Timescales)</f>
        <v/>
      </c>
      <c r="AG158" s="365" t="str">
        <f>IF(Year2_Portsmouth Year2_CP_Plans_Seen_in_Timescales="","",Year2_Portsmouth Year2_CP_Plans_Seen_in_Timescales)</f>
        <v/>
      </c>
      <c r="AH158" s="365" t="str">
        <f>IF(Year3_Portsmouth Year3_CP_Plans_Seen_in_Timescales="","",Year3_Portsmouth Year3_CP_Plans_Seen_in_Timescales)</f>
        <v/>
      </c>
      <c r="AI158" s="365" t="str">
        <f>IF(Year4_Portsmouth Year4_CP_Plans_Seen_in_Timescales="","",Year4_Portsmouth Year4_CP_Plans_Seen_in_Timescales)</f>
        <v/>
      </c>
      <c r="AJ158" s="365" t="str">
        <f>IF(Year5_Portsmouth Year5_CP_Plans_Seen_in_Timescales="","",Year5_Portsmouth Year5_CP_Plans_Seen_in_Timescales)</f>
        <v/>
      </c>
      <c r="AK158" s="153"/>
      <c r="AL158" s="76"/>
    </row>
    <row r="159" spans="1:45" s="89" customFormat="1" ht="12.75" hidden="1" customHeight="1" x14ac:dyDescent="0.2">
      <c r="A159" s="462">
        <f>VLOOKUP(B159,Sheet1!$AQ$4:$AR$25,2,FALSE)</f>
        <v>0</v>
      </c>
      <c r="B159" s="95" t="str">
        <f t="shared" si="52"/>
        <v>Reading</v>
      </c>
      <c r="C159" s="87"/>
      <c r="D159" s="158" t="e">
        <f t="shared" si="58"/>
        <v>#N/A</v>
      </c>
      <c r="E159" s="158" t="e">
        <f t="shared" si="53"/>
        <v>#N/A</v>
      </c>
      <c r="F159" s="158" t="e">
        <f t="shared" si="54"/>
        <v>#N/A</v>
      </c>
      <c r="G159" s="158" t="e">
        <f t="shared" si="55"/>
        <v>#N/A</v>
      </c>
      <c r="H159" s="160" t="e">
        <f t="shared" si="56"/>
        <v>#N/A</v>
      </c>
      <c r="I159" s="98"/>
      <c r="J159" s="98"/>
      <c r="K159" s="162"/>
      <c r="L159" s="162"/>
      <c r="M159" s="162"/>
      <c r="N159" s="162"/>
      <c r="O159" s="162"/>
      <c r="P159" s="162"/>
      <c r="Q159" s="162"/>
      <c r="R159" s="163"/>
      <c r="S159" s="155"/>
      <c r="T159" s="155"/>
      <c r="U159" s="162"/>
      <c r="V159" s="124"/>
      <c r="W159" s="140"/>
      <c r="X159" s="149"/>
      <c r="Y159" s="552" t="str">
        <f t="shared" si="59"/>
        <v>Reading</v>
      </c>
      <c r="Z159" s="556">
        <f t="shared" si="60"/>
        <v>0</v>
      </c>
      <c r="AA159" s="556">
        <f t="shared" si="61"/>
        <v>0</v>
      </c>
      <c r="AB159" s="556">
        <f t="shared" si="62"/>
        <v>0</v>
      </c>
      <c r="AC159" s="556">
        <f t="shared" si="63"/>
        <v>0</v>
      </c>
      <c r="AD159" s="556">
        <f t="shared" si="64"/>
        <v>0</v>
      </c>
      <c r="AE159" s="377" t="str">
        <f t="shared" si="65"/>
        <v>Reading</v>
      </c>
      <c r="AF159" s="463" t="str">
        <f>IF(Year1_Reading Year1_CP_Plans_Seen_in_Timescales="","",Year1_Reading Year1_CP_Plans_Seen_in_Timescales)</f>
        <v/>
      </c>
      <c r="AG159" s="365" t="str">
        <f>IF(Year2_Reading Year2_CP_Plans_Seen_in_Timescales="","",Year2_Reading Year2_CP_Plans_Seen_in_Timescales)</f>
        <v/>
      </c>
      <c r="AH159" s="365" t="str">
        <f>IF(Year3_Reading Year3_CP_Plans_Seen_in_Timescales="","",Year3_Reading Year3_CP_Plans_Seen_in_Timescales)</f>
        <v/>
      </c>
      <c r="AI159" s="365" t="str">
        <f>IF(Year4_Reading Year4_CP_Plans_Seen_in_Timescales="","",Year4_Reading Year4_CP_Plans_Seen_in_Timescales)</f>
        <v/>
      </c>
      <c r="AJ159" s="365" t="str">
        <f>IF(Year5_Reading Year5_CP_Plans_Seen_in_Timescales="","",Year5_Reading Year5_CP_Plans_Seen_in_Timescales)</f>
        <v/>
      </c>
      <c r="AK159" s="153"/>
      <c r="AL159" s="76"/>
    </row>
    <row r="160" spans="1:45" s="89" customFormat="1" ht="12.75" hidden="1" customHeight="1" x14ac:dyDescent="0.2">
      <c r="A160" s="462">
        <f>VLOOKUP(B160,Sheet1!$AQ$4:$AR$25,2,FALSE)</f>
        <v>0</v>
      </c>
      <c r="B160" s="95" t="str">
        <f t="shared" si="52"/>
        <v>Slough</v>
      </c>
      <c r="C160" s="87"/>
      <c r="D160" s="158" t="e">
        <f t="shared" si="58"/>
        <v>#N/A</v>
      </c>
      <c r="E160" s="158" t="e">
        <f t="shared" si="53"/>
        <v>#N/A</v>
      </c>
      <c r="F160" s="158" t="e">
        <f t="shared" si="54"/>
        <v>#N/A</v>
      </c>
      <c r="G160" s="158" t="e">
        <f t="shared" si="55"/>
        <v>#N/A</v>
      </c>
      <c r="H160" s="160" t="e">
        <f t="shared" si="56"/>
        <v>#N/A</v>
      </c>
      <c r="I160" s="98"/>
      <c r="J160" s="98"/>
      <c r="K160" s="162"/>
      <c r="L160" s="162"/>
      <c r="M160" s="162"/>
      <c r="N160" s="162"/>
      <c r="O160" s="162"/>
      <c r="P160" s="162"/>
      <c r="Q160" s="162"/>
      <c r="R160" s="163"/>
      <c r="S160" s="155"/>
      <c r="T160" s="155"/>
      <c r="U160" s="162"/>
      <c r="V160" s="124"/>
      <c r="W160" s="140"/>
      <c r="X160" s="149"/>
      <c r="Y160" s="552" t="str">
        <f t="shared" si="59"/>
        <v>Slough</v>
      </c>
      <c r="Z160" s="556">
        <f t="shared" si="60"/>
        <v>0</v>
      </c>
      <c r="AA160" s="556">
        <f t="shared" si="61"/>
        <v>0</v>
      </c>
      <c r="AB160" s="556">
        <f t="shared" si="62"/>
        <v>0</v>
      </c>
      <c r="AC160" s="556">
        <f t="shared" si="63"/>
        <v>0</v>
      </c>
      <c r="AD160" s="556">
        <f t="shared" si="64"/>
        <v>0</v>
      </c>
      <c r="AE160" s="377" t="str">
        <f t="shared" si="65"/>
        <v>Slough</v>
      </c>
      <c r="AF160" s="463" t="str">
        <f>IF(Year1_Slough Year1_CP_Plans_Seen_in_Timescales="","",Year1_Slough Year1_CP_Plans_Seen_in_Timescales)</f>
        <v/>
      </c>
      <c r="AG160" s="365" t="str">
        <f>IF(Year2_Slough Year2_CP_Plans_Seen_in_Timescales="","",Year2_Slough Year2_CP_Plans_Seen_in_Timescales)</f>
        <v/>
      </c>
      <c r="AH160" s="365" t="str">
        <f>IF(Year3_Slough Year3_CP_Plans_Seen_in_Timescales="","",Year3_Slough Year3_CP_Plans_Seen_in_Timescales)</f>
        <v/>
      </c>
      <c r="AI160" s="365" t="str">
        <f>IF(Year4_Slough Year4_CP_Plans_Seen_in_Timescales="","",Year4_Slough Year4_CP_Plans_Seen_in_Timescales)</f>
        <v/>
      </c>
      <c r="AJ160" s="365" t="str">
        <f>IF(Year5_Slough Year5_CP_Plans_Seen_in_Timescales="","",Year5_Slough Year5_CP_Plans_Seen_in_Timescales)</f>
        <v/>
      </c>
      <c r="AK160" s="153"/>
      <c r="AL160" s="76"/>
    </row>
    <row r="161" spans="1:44" s="89" customFormat="1" ht="12.75" hidden="1" customHeight="1" x14ac:dyDescent="0.2">
      <c r="A161" s="462">
        <f>VLOOKUP(B161,Sheet1!$AQ$4:$AR$25,2,FALSE)</f>
        <v>0</v>
      </c>
      <c r="B161" s="95" t="str">
        <f t="shared" si="52"/>
        <v>Somerset</v>
      </c>
      <c r="C161" s="87"/>
      <c r="D161" s="158" t="e">
        <f t="shared" si="58"/>
        <v>#N/A</v>
      </c>
      <c r="E161" s="158" t="e">
        <f t="shared" si="53"/>
        <v>#N/A</v>
      </c>
      <c r="F161" s="158" t="e">
        <f t="shared" si="54"/>
        <v>#N/A</v>
      </c>
      <c r="G161" s="158" t="e">
        <f t="shared" si="55"/>
        <v>#N/A</v>
      </c>
      <c r="H161" s="160" t="e">
        <f t="shared" si="56"/>
        <v>#N/A</v>
      </c>
      <c r="I161" s="98"/>
      <c r="J161" s="98"/>
      <c r="K161" s="162"/>
      <c r="L161" s="162"/>
      <c r="M161" s="162"/>
      <c r="N161" s="162"/>
      <c r="O161" s="162"/>
      <c r="P161" s="162"/>
      <c r="Q161" s="162"/>
      <c r="R161" s="163"/>
      <c r="S161" s="155"/>
      <c r="T161" s="155"/>
      <c r="U161" s="162"/>
      <c r="V161" s="124"/>
      <c r="W161" s="140"/>
      <c r="X161" s="149"/>
      <c r="Y161" s="552" t="str">
        <f t="shared" si="59"/>
        <v>Somerset</v>
      </c>
      <c r="Z161" s="556">
        <f t="shared" si="60"/>
        <v>0</v>
      </c>
      <c r="AA161" s="556">
        <f t="shared" si="61"/>
        <v>0</v>
      </c>
      <c r="AB161" s="556">
        <f t="shared" si="62"/>
        <v>0</v>
      </c>
      <c r="AC161" s="556">
        <f t="shared" si="63"/>
        <v>0</v>
      </c>
      <c r="AD161" s="556">
        <f t="shared" si="64"/>
        <v>0</v>
      </c>
      <c r="AE161" s="377" t="str">
        <f t="shared" si="65"/>
        <v>Somerset</v>
      </c>
      <c r="AF161" s="463" t="str">
        <f>IF(Year1_Somerset Year1_CP_Plans_Seen_in_Timescales="","",Year1_Somerset Year1_CP_Plans_Seen_in_Timescales)</f>
        <v/>
      </c>
      <c r="AG161" s="365" t="str">
        <f>IF(Year2_Somerset Year2_CP_Plans_Seen_in_Timescales="","",Year2_Somerset Year2_CP_Plans_Seen_in_Timescales)</f>
        <v/>
      </c>
      <c r="AH161" s="365" t="str">
        <f>IF(Year3_Somerset Year3_CP_Plans_Seen_in_Timescales="","",Year3_Somerset Year3_CP_Plans_Seen_in_Timescales)</f>
        <v/>
      </c>
      <c r="AI161" s="365" t="str">
        <f>IF(Year4_Somerset Year4_CP_Plans_Seen_in_Timescales="","",Year4_Somerset Year4_CP_Plans_Seen_in_Timescales)</f>
        <v/>
      </c>
      <c r="AJ161" s="365" t="str">
        <f>IF(Year5_Somerset Year5_CP_Plans_Seen_in_Timescales="","",Year5_Somerset Year5_CP_Plans_Seen_in_Timescales)</f>
        <v/>
      </c>
      <c r="AK161" s="153"/>
      <c r="AL161" s="76"/>
    </row>
    <row r="162" spans="1:44" s="89" customFormat="1" ht="12.75" hidden="1" customHeight="1" x14ac:dyDescent="0.2">
      <c r="A162" s="462">
        <f>VLOOKUP(B162,Sheet1!$AQ$4:$AR$25,2,FALSE)</f>
        <v>0</v>
      </c>
      <c r="B162" s="95" t="str">
        <f t="shared" si="52"/>
        <v>Southampton</v>
      </c>
      <c r="C162" s="87"/>
      <c r="D162" s="158" t="e">
        <f t="shared" si="58"/>
        <v>#N/A</v>
      </c>
      <c r="E162" s="158" t="e">
        <f t="shared" si="53"/>
        <v>#N/A</v>
      </c>
      <c r="F162" s="158" t="e">
        <f t="shared" si="54"/>
        <v>#N/A</v>
      </c>
      <c r="G162" s="158" t="e">
        <f t="shared" si="55"/>
        <v>#N/A</v>
      </c>
      <c r="H162" s="160" t="e">
        <f t="shared" si="56"/>
        <v>#N/A</v>
      </c>
      <c r="I162" s="98"/>
      <c r="J162" s="98"/>
      <c r="K162" s="162"/>
      <c r="L162" s="162"/>
      <c r="M162" s="162"/>
      <c r="N162" s="162"/>
      <c r="O162" s="162"/>
      <c r="P162" s="162"/>
      <c r="Q162" s="162"/>
      <c r="R162" s="163"/>
      <c r="S162" s="155"/>
      <c r="T162" s="155"/>
      <c r="U162" s="162"/>
      <c r="V162" s="124"/>
      <c r="W162" s="140"/>
      <c r="X162" s="149"/>
      <c r="Y162" s="552" t="str">
        <f t="shared" si="59"/>
        <v>Southampton</v>
      </c>
      <c r="Z162" s="556">
        <f t="shared" si="60"/>
        <v>0</v>
      </c>
      <c r="AA162" s="556">
        <f t="shared" si="61"/>
        <v>0</v>
      </c>
      <c r="AB162" s="556">
        <f t="shared" si="62"/>
        <v>0</v>
      </c>
      <c r="AC162" s="556">
        <f t="shared" si="63"/>
        <v>0</v>
      </c>
      <c r="AD162" s="556">
        <f t="shared" si="64"/>
        <v>0</v>
      </c>
      <c r="AE162" s="377" t="str">
        <f t="shared" si="65"/>
        <v>Southampton</v>
      </c>
      <c r="AF162" s="463" t="str">
        <f>IF(Year1_Southampton Year1_CP_Plans_Seen_in_Timescales="","",Year1_Southampton Year1_CP_Plans_Seen_in_Timescales)</f>
        <v/>
      </c>
      <c r="AG162" s="365" t="str">
        <f>IF(Year2_Southampton Year2_CP_Plans_Seen_in_Timescales="","",Year2_Southampton Year2_CP_Plans_Seen_in_Timescales)</f>
        <v/>
      </c>
      <c r="AH162" s="365" t="str">
        <f>IF(Year3_Southampton Year3_CP_Plans_Seen_in_Timescales="","",Year3_Southampton Year3_CP_Plans_Seen_in_Timescales)</f>
        <v/>
      </c>
      <c r="AI162" s="365" t="str">
        <f>IF(Year4_Southampton Year4_CP_Plans_Seen_in_Timescales="","",Year4_Southampton Year4_CP_Plans_Seen_in_Timescales)</f>
        <v/>
      </c>
      <c r="AJ162" s="365" t="str">
        <f>IF(Year5_Southampton Year5_CP_Plans_Seen_in_Timescales="","",Year5_Southampton Year5_CP_Plans_Seen_in_Timescales)</f>
        <v/>
      </c>
      <c r="AK162" s="153"/>
      <c r="AL162" s="76"/>
    </row>
    <row r="163" spans="1:44" s="89" customFormat="1" ht="12.75" hidden="1" customHeight="1" x14ac:dyDescent="0.2">
      <c r="A163" s="462">
        <f>VLOOKUP(B163,Sheet1!$AQ$4:$AR$25,2,FALSE)</f>
        <v>0</v>
      </c>
      <c r="B163" s="95" t="str">
        <f t="shared" si="52"/>
        <v>Surrey</v>
      </c>
      <c r="C163" s="87"/>
      <c r="D163" s="158" t="e">
        <f t="shared" si="58"/>
        <v>#N/A</v>
      </c>
      <c r="E163" s="158" t="e">
        <f t="shared" si="53"/>
        <v>#N/A</v>
      </c>
      <c r="F163" s="158" t="e">
        <f t="shared" si="54"/>
        <v>#N/A</v>
      </c>
      <c r="G163" s="158" t="e">
        <f t="shared" si="55"/>
        <v>#N/A</v>
      </c>
      <c r="H163" s="160" t="e">
        <f t="shared" si="56"/>
        <v>#N/A</v>
      </c>
      <c r="I163" s="98"/>
      <c r="J163" s="98"/>
      <c r="K163" s="162"/>
      <c r="L163" s="162"/>
      <c r="M163" s="162"/>
      <c r="N163" s="162"/>
      <c r="O163" s="162"/>
      <c r="P163" s="162"/>
      <c r="Q163" s="162"/>
      <c r="R163" s="163"/>
      <c r="S163" s="155"/>
      <c r="T163" s="155"/>
      <c r="U163" s="162"/>
      <c r="V163" s="124"/>
      <c r="W163" s="140"/>
      <c r="X163" s="149"/>
      <c r="Y163" s="552" t="str">
        <f t="shared" si="59"/>
        <v>Surrey</v>
      </c>
      <c r="Z163" s="556">
        <f t="shared" si="60"/>
        <v>0</v>
      </c>
      <c r="AA163" s="556">
        <f t="shared" si="61"/>
        <v>0</v>
      </c>
      <c r="AB163" s="556">
        <f t="shared" si="62"/>
        <v>0</v>
      </c>
      <c r="AC163" s="556">
        <f t="shared" si="63"/>
        <v>0</v>
      </c>
      <c r="AD163" s="556">
        <f t="shared" si="64"/>
        <v>0</v>
      </c>
      <c r="AE163" s="377" t="str">
        <f t="shared" si="65"/>
        <v>Surrey</v>
      </c>
      <c r="AF163" s="463" t="str">
        <f>IF(Year1_Surrey Year1_CP_Plans_Seen_in_Timescales="","",Year1_Surrey Year1_CP_Plans_Seen_in_Timescales)</f>
        <v/>
      </c>
      <c r="AG163" s="365" t="str">
        <f>IF(Year2_Surrey Year2_CP_Plans_Seen_in_Timescales="","",Year2_Surrey Year2_CP_Plans_Seen_in_Timescales)</f>
        <v/>
      </c>
      <c r="AH163" s="365" t="str">
        <f>IF(Year3_Surrey Year3_CP_Plans_Seen_in_Timescales="","",Year3_Surrey Year3_CP_Plans_Seen_in_Timescales)</f>
        <v/>
      </c>
      <c r="AI163" s="365" t="str">
        <f>IF(Year4_Surrey Year4_CP_Plans_Seen_in_Timescales="","",Year4_Surrey Year4_CP_Plans_Seen_in_Timescales)</f>
        <v/>
      </c>
      <c r="AJ163" s="365" t="str">
        <f>IF(Year5_Surrey Year5_CP_Plans_Seen_in_Timescales="","",Year5_Surrey Year5_CP_Plans_Seen_in_Timescales)</f>
        <v/>
      </c>
      <c r="AK163" s="153"/>
      <c r="AL163" s="76"/>
    </row>
    <row r="164" spans="1:44" s="89" customFormat="1" ht="12.75" hidden="1" customHeight="1" x14ac:dyDescent="0.2">
      <c r="A164" s="462">
        <f>VLOOKUP(B164,Sheet1!$AQ$4:$AR$25,2,FALSE)</f>
        <v>0</v>
      </c>
      <c r="B164" s="95" t="str">
        <f t="shared" si="52"/>
        <v>Swindon</v>
      </c>
      <c r="C164" s="87"/>
      <c r="D164" s="158" t="e">
        <f t="shared" si="58"/>
        <v>#N/A</v>
      </c>
      <c r="E164" s="158" t="e">
        <f t="shared" si="53"/>
        <v>#N/A</v>
      </c>
      <c r="F164" s="158" t="e">
        <f t="shared" si="54"/>
        <v>#N/A</v>
      </c>
      <c r="G164" s="158" t="e">
        <f t="shared" si="55"/>
        <v>#N/A</v>
      </c>
      <c r="H164" s="160" t="e">
        <f t="shared" si="56"/>
        <v>#N/A</v>
      </c>
      <c r="I164" s="98"/>
      <c r="J164" s="98"/>
      <c r="K164" s="162"/>
      <c r="L164" s="162"/>
      <c r="M164" s="162"/>
      <c r="N164" s="162"/>
      <c r="O164" s="162"/>
      <c r="P164" s="162"/>
      <c r="Q164" s="162"/>
      <c r="R164" s="163"/>
      <c r="S164" s="155"/>
      <c r="T164" s="155"/>
      <c r="U164" s="162"/>
      <c r="V164" s="124"/>
      <c r="W164" s="140"/>
      <c r="X164" s="149"/>
      <c r="Y164" s="552" t="str">
        <f t="shared" si="59"/>
        <v>Swindon</v>
      </c>
      <c r="Z164" s="556">
        <f t="shared" si="60"/>
        <v>0</v>
      </c>
      <c r="AA164" s="556">
        <f t="shared" si="61"/>
        <v>0</v>
      </c>
      <c r="AB164" s="556">
        <f t="shared" si="62"/>
        <v>0</v>
      </c>
      <c r="AC164" s="556">
        <f t="shared" si="63"/>
        <v>0</v>
      </c>
      <c r="AD164" s="556">
        <f t="shared" si="64"/>
        <v>0</v>
      </c>
      <c r="AE164" s="377" t="str">
        <f t="shared" si="65"/>
        <v>Swindon</v>
      </c>
      <c r="AF164" s="463" t="str">
        <f>IF(Year1_Swindon Year1_CP_Plans_Seen_in_Timescales="","",Year1_Swindon Year1_CP_Plans_Seen_in_Timescales)</f>
        <v/>
      </c>
      <c r="AG164" s="365" t="str">
        <f>IF(Year2_Swindon Year2_CP_Plans_Seen_in_Timescales="","",Year2_Swindon Year2_CP_Plans_Seen_in_Timescales)</f>
        <v/>
      </c>
      <c r="AH164" s="365" t="str">
        <f>IF(Year3_Swindon Year3_CP_Plans_Seen_in_Timescales="","",Year3_Swindon Year3_CP_Plans_Seen_in_Timescales)</f>
        <v/>
      </c>
      <c r="AI164" s="365" t="str">
        <f>IF(Year4_Swindon Year4_CP_Plans_Seen_in_Timescales="","",Year4_Swindon Year4_CP_Plans_Seen_in_Timescales)</f>
        <v/>
      </c>
      <c r="AJ164" s="365" t="str">
        <f>IF(Year5_Swindon Year5_CP_Plans_Seen_in_Timescales="","",Year5_Swindon Year5_CP_Plans_Seen_in_Timescales)</f>
        <v/>
      </c>
      <c r="AK164" s="153"/>
      <c r="AL164" s="76"/>
    </row>
    <row r="165" spans="1:44" s="89" customFormat="1" ht="12.75" hidden="1" customHeight="1" x14ac:dyDescent="0.2">
      <c r="A165" s="462">
        <f>VLOOKUP(B165,Sheet1!$AQ$4:$AR$25,2,FALSE)</f>
        <v>0</v>
      </c>
      <c r="B165" s="95" t="str">
        <f t="shared" si="52"/>
        <v>Torbay</v>
      </c>
      <c r="C165" s="87"/>
      <c r="D165" s="158" t="e">
        <f t="shared" si="58"/>
        <v>#N/A</v>
      </c>
      <c r="E165" s="158" t="e">
        <f t="shared" si="53"/>
        <v>#N/A</v>
      </c>
      <c r="F165" s="158" t="e">
        <f t="shared" si="54"/>
        <v>#N/A</v>
      </c>
      <c r="G165" s="158" t="e">
        <f t="shared" si="55"/>
        <v>#N/A</v>
      </c>
      <c r="H165" s="160" t="e">
        <f t="shared" si="56"/>
        <v>#N/A</v>
      </c>
      <c r="I165" s="98"/>
      <c r="J165" s="98"/>
      <c r="K165" s="162"/>
      <c r="L165" s="162"/>
      <c r="M165" s="162"/>
      <c r="N165" s="162"/>
      <c r="O165" s="162"/>
      <c r="P165" s="162"/>
      <c r="Q165" s="162"/>
      <c r="R165" s="163"/>
      <c r="S165" s="155"/>
      <c r="T165" s="155"/>
      <c r="U165" s="162"/>
      <c r="V165" s="124"/>
      <c r="W165" s="140"/>
      <c r="X165" s="149"/>
      <c r="Y165" s="552" t="str">
        <f t="shared" si="59"/>
        <v>Torbay</v>
      </c>
      <c r="Z165" s="556">
        <f t="shared" si="60"/>
        <v>0</v>
      </c>
      <c r="AA165" s="556">
        <f t="shared" si="61"/>
        <v>0</v>
      </c>
      <c r="AB165" s="556">
        <f t="shared" si="62"/>
        <v>0</v>
      </c>
      <c r="AC165" s="556">
        <f t="shared" si="63"/>
        <v>0</v>
      </c>
      <c r="AD165" s="556">
        <f t="shared" si="64"/>
        <v>0</v>
      </c>
      <c r="AE165" s="377" t="str">
        <f t="shared" si="65"/>
        <v>Torbay</v>
      </c>
      <c r="AF165" s="463" t="str">
        <f>IF(Year1_Torbay Year1_CP_Plans_Seen_in_Timescales="","",Year1_Torbay Year1_CP_Plans_Seen_in_Timescales)</f>
        <v/>
      </c>
      <c r="AG165" s="365" t="str">
        <f>IF(Year2_Torbay Year2_CP_Plans_Seen_in_Timescales="","",Year2_Torbay Year2_CP_Plans_Seen_in_Timescales)</f>
        <v/>
      </c>
      <c r="AH165" s="365" t="str">
        <f>IF(Year3_Torbay Year3_CP_Plans_Seen_in_Timescales="","",Year3_Torbay Year3_CP_Plans_Seen_in_Timescales)</f>
        <v/>
      </c>
      <c r="AI165" s="365" t="str">
        <f>IF(Year4_Torbay Year4_CP_Plans_Seen_in_Timescales="","",Year4_Torbay Year4_CP_Plans_Seen_in_Timescales)</f>
        <v/>
      </c>
      <c r="AJ165" s="365" t="str">
        <f>IF(Year5_Torbay Year5_CP_Plans_Seen_in_Timescales="","",Year5_Torbay Year5_CP_Plans_Seen_in_Timescales)</f>
        <v/>
      </c>
      <c r="AK165" s="153"/>
      <c r="AL165" s="76"/>
    </row>
    <row r="166" spans="1:44" s="89" customFormat="1" ht="12.75" hidden="1" customHeight="1" x14ac:dyDescent="0.2">
      <c r="A166" s="462">
        <f>VLOOKUP(B166,Sheet1!$AQ$4:$AR$25,2,FALSE)</f>
        <v>0</v>
      </c>
      <c r="B166" s="95" t="str">
        <f t="shared" si="52"/>
        <v>West Berkshire</v>
      </c>
      <c r="C166" s="87"/>
      <c r="D166" s="158" t="e">
        <f t="shared" si="58"/>
        <v>#N/A</v>
      </c>
      <c r="E166" s="158" t="e">
        <f t="shared" si="53"/>
        <v>#N/A</v>
      </c>
      <c r="F166" s="158" t="e">
        <f t="shared" si="54"/>
        <v>#N/A</v>
      </c>
      <c r="G166" s="158" t="e">
        <f t="shared" si="55"/>
        <v>#N/A</v>
      </c>
      <c r="H166" s="160" t="e">
        <f t="shared" si="56"/>
        <v>#N/A</v>
      </c>
      <c r="I166" s="98"/>
      <c r="J166" s="98"/>
      <c r="K166" s="162"/>
      <c r="L166" s="162"/>
      <c r="M166" s="162"/>
      <c r="N166" s="162"/>
      <c r="O166" s="162"/>
      <c r="P166" s="162"/>
      <c r="Q166" s="162"/>
      <c r="R166" s="163"/>
      <c r="S166" s="155"/>
      <c r="T166" s="155"/>
      <c r="U166" s="162"/>
      <c r="V166" s="124"/>
      <c r="W166" s="140"/>
      <c r="X166" s="149"/>
      <c r="Y166" s="552" t="str">
        <f t="shared" si="59"/>
        <v>West Berkshire</v>
      </c>
      <c r="Z166" s="556">
        <f t="shared" si="60"/>
        <v>0</v>
      </c>
      <c r="AA166" s="556">
        <f t="shared" si="61"/>
        <v>0</v>
      </c>
      <c r="AB166" s="556">
        <f t="shared" si="62"/>
        <v>0</v>
      </c>
      <c r="AC166" s="556">
        <f t="shared" si="63"/>
        <v>0</v>
      </c>
      <c r="AD166" s="556">
        <f t="shared" si="64"/>
        <v>0</v>
      </c>
      <c r="AE166" s="377" t="str">
        <f t="shared" si="65"/>
        <v>West Berkshire</v>
      </c>
      <c r="AF166" s="463" t="str">
        <f>IF(Year1_West_Berkshire Year1_CP_Plans_Seen_in_Timescales="","",Year1_West_Berkshire Year1_CP_Plans_Seen_in_Timescales)</f>
        <v/>
      </c>
      <c r="AG166" s="365" t="str">
        <f>IF(Year2_West_Berkshire Year2_CP_Plans_Seen_in_Timescales="","",Year2_West_Berkshire Year2_CP_Plans_Seen_in_Timescales)</f>
        <v/>
      </c>
      <c r="AH166" s="365" t="str">
        <f>IF(Year3_West_Berkshire Year3_CP_Plans_Seen_in_Timescales="","",Year3_West_Berkshire Year3_CP_Plans_Seen_in_Timescales)</f>
        <v/>
      </c>
      <c r="AI166" s="365" t="str">
        <f>IF(Year4_West_Berkshire Year4_CP_Plans_Seen_in_Timescales="","",Year4_West_Berkshire Year4_CP_Plans_Seen_in_Timescales)</f>
        <v/>
      </c>
      <c r="AJ166" s="555" t="str">
        <f>IF(Year5_West_Berkshire Year5_CP_Plans_Seen_in_Timescales="","",Year5_West_Berkshire Year5_CP_Plans_Seen_in_Timescales)</f>
        <v/>
      </c>
      <c r="AK166" s="153"/>
      <c r="AL166" s="76"/>
    </row>
    <row r="167" spans="1:44" s="89" customFormat="1" ht="12.75" hidden="1" customHeight="1" x14ac:dyDescent="0.2">
      <c r="A167" s="462">
        <f>VLOOKUP(B167,Sheet1!$AQ$4:$AR$25,2,FALSE)</f>
        <v>0</v>
      </c>
      <c r="B167" s="95" t="str">
        <f t="shared" si="52"/>
        <v>West Sussex</v>
      </c>
      <c r="C167" s="87"/>
      <c r="D167" s="158" t="e">
        <f t="shared" si="58"/>
        <v>#N/A</v>
      </c>
      <c r="E167" s="158" t="e">
        <f t="shared" si="53"/>
        <v>#N/A</v>
      </c>
      <c r="F167" s="158" t="e">
        <f t="shared" si="54"/>
        <v>#N/A</v>
      </c>
      <c r="G167" s="158" t="e">
        <f t="shared" si="55"/>
        <v>#N/A</v>
      </c>
      <c r="H167" s="160" t="e">
        <f t="shared" si="56"/>
        <v>#N/A</v>
      </c>
      <c r="I167" s="98"/>
      <c r="J167" s="98"/>
      <c r="K167" s="162"/>
      <c r="L167" s="162"/>
      <c r="M167" s="162"/>
      <c r="N167" s="162"/>
      <c r="O167" s="162"/>
      <c r="P167" s="162"/>
      <c r="Q167" s="162"/>
      <c r="R167" s="163"/>
      <c r="S167" s="155"/>
      <c r="T167" s="155"/>
      <c r="U167" s="162"/>
      <c r="V167" s="124"/>
      <c r="W167" s="140"/>
      <c r="X167" s="149"/>
      <c r="Y167" s="552" t="str">
        <f t="shared" si="59"/>
        <v>West Sussex</v>
      </c>
      <c r="Z167" s="556">
        <f t="shared" si="60"/>
        <v>0</v>
      </c>
      <c r="AA167" s="556">
        <f t="shared" si="61"/>
        <v>0</v>
      </c>
      <c r="AB167" s="556">
        <f t="shared" si="62"/>
        <v>0</v>
      </c>
      <c r="AC167" s="556">
        <f t="shared" si="63"/>
        <v>0</v>
      </c>
      <c r="AD167" s="556">
        <f t="shared" si="64"/>
        <v>0</v>
      </c>
      <c r="AE167" s="377" t="str">
        <f t="shared" si="65"/>
        <v>West Sussex</v>
      </c>
      <c r="AF167" s="463" t="str">
        <f>IF(Year1_West_Sussex Year1_CP_Plans_Seen_in_Timescales="","",Year1_West_Sussex Year1_CP_Plans_Seen_in_Timescales)</f>
        <v/>
      </c>
      <c r="AG167" s="365" t="str">
        <f>IF(Year2_West_Sussex Year2_CP_Plans_Seen_in_Timescales="","",Year2_West_Sussex Year2_CP_Plans_Seen_in_Timescales)</f>
        <v/>
      </c>
      <c r="AH167" s="365" t="str">
        <f>IF(Year3_West_Sussex Year3_CP_Plans_Seen_in_Timescales="","",Year3_West_Sussex Year3_CP_Plans_Seen_in_Timescales)</f>
        <v/>
      </c>
      <c r="AI167" s="365" t="str">
        <f>IF(Year4_West_Sussex Year4_CP_Plans_Seen_in_Timescales="","",Year4_West_Sussex Year4_CP_Plans_Seen_in_Timescales)</f>
        <v/>
      </c>
      <c r="AJ167" s="555" t="str">
        <f>IF(Year5_West_Sussex Year5_CP_Plans_Seen_in_Timescales="","",Year5_West_Sussex Year5_CP_Plans_Seen_in_Timescales)</f>
        <v/>
      </c>
      <c r="AK167" s="153"/>
      <c r="AL167" s="76"/>
    </row>
    <row r="168" spans="1:44" s="89" customFormat="1" ht="12.75" hidden="1" customHeight="1" x14ac:dyDescent="0.2">
      <c r="A168" s="462">
        <f>VLOOKUP(B168,Sheet1!$AQ$4:$AR$25,2,FALSE)</f>
        <v>0</v>
      </c>
      <c r="B168" s="95" t="str">
        <f t="shared" si="52"/>
        <v>Windsor &amp; Maidenhead</v>
      </c>
      <c r="C168" s="87"/>
      <c r="D168" s="158" t="e">
        <f t="shared" si="58"/>
        <v>#N/A</v>
      </c>
      <c r="E168" s="158" t="e">
        <f t="shared" si="53"/>
        <v>#N/A</v>
      </c>
      <c r="F168" s="158" t="e">
        <f t="shared" si="54"/>
        <v>#N/A</v>
      </c>
      <c r="G168" s="158" t="e">
        <f t="shared" si="55"/>
        <v>#N/A</v>
      </c>
      <c r="H168" s="160" t="e">
        <f t="shared" si="56"/>
        <v>#N/A</v>
      </c>
      <c r="I168" s="98"/>
      <c r="J168" s="98"/>
      <c r="K168" s="162"/>
      <c r="L168" s="162"/>
      <c r="M168" s="162"/>
      <c r="N168" s="162"/>
      <c r="O168" s="162"/>
      <c r="P168" s="162"/>
      <c r="Q168" s="162"/>
      <c r="R168" s="163"/>
      <c r="S168" s="155"/>
      <c r="T168" s="155"/>
      <c r="U168" s="162"/>
      <c r="V168" s="124"/>
      <c r="W168" s="140"/>
      <c r="X168" s="149"/>
      <c r="Y168" s="552" t="str">
        <f t="shared" si="59"/>
        <v>Windsor &amp; Maidenhead</v>
      </c>
      <c r="Z168" s="556">
        <f t="shared" si="60"/>
        <v>0</v>
      </c>
      <c r="AA168" s="556">
        <f t="shared" si="61"/>
        <v>0</v>
      </c>
      <c r="AB168" s="556">
        <f t="shared" si="62"/>
        <v>0</v>
      </c>
      <c r="AC168" s="556">
        <f t="shared" si="63"/>
        <v>0</v>
      </c>
      <c r="AD168" s="556">
        <f t="shared" si="64"/>
        <v>0</v>
      </c>
      <c r="AE168" s="377" t="str">
        <f t="shared" si="65"/>
        <v>Windsor &amp; Maidenhead</v>
      </c>
      <c r="AF168" s="463" t="str">
        <f>IF(Year1_Windsor_Maidenhead Year1_CP_Plans_Seen_in_Timescales="","",Year1_Windsor_Maidenhead Year1_CP_Plans_Seen_in_Timescales)</f>
        <v/>
      </c>
      <c r="AG168" s="365" t="str">
        <f>IF(Year2_Windsor_Maidenhead Year2_CP_Plans_Seen_in_Timescales="","",Year2_Windsor_Maidenhead Year2_CP_Plans_Seen_in_Timescales)</f>
        <v/>
      </c>
      <c r="AH168" s="365" t="str">
        <f>IF(Year3_Windsor_Maidenhead Year3_CP_Plans_Seen_in_Timescales="","",Year3_Windsor_Maidenhead Year3_CP_Plans_Seen_in_Timescales)</f>
        <v/>
      </c>
      <c r="AI168" s="365" t="str">
        <f>IF(Year4_Windsor_Maidenhead Year4_CP_Plans_Seen_in_Timescales="","",Year4_Windsor_Maidenhead Year4_CP_Plans_Seen_in_Timescales)</f>
        <v/>
      </c>
      <c r="AJ168" s="555" t="str">
        <f>IF(Year5_Windsor_Maidenhead Year5_CP_Plans_Seen_in_Timescales="","",Year5_Windsor_Maidenhead Year5_CP_Plans_Seen_in_Timescales)</f>
        <v/>
      </c>
      <c r="AK168" s="153"/>
      <c r="AL168" s="76"/>
    </row>
    <row r="169" spans="1:44" s="89" customFormat="1" ht="12.75" hidden="1" customHeight="1" x14ac:dyDescent="0.2">
      <c r="A169" s="462">
        <f>VLOOKUP(B169,Sheet1!$AQ$4:$AR$25,2,FALSE)</f>
        <v>0</v>
      </c>
      <c r="B169" s="95" t="str">
        <f t="shared" si="52"/>
        <v>Wokingham</v>
      </c>
      <c r="C169" s="87"/>
      <c r="D169" s="158" t="e">
        <f t="shared" si="58"/>
        <v>#N/A</v>
      </c>
      <c r="E169" s="158" t="e">
        <f t="shared" si="53"/>
        <v>#N/A</v>
      </c>
      <c r="F169" s="158" t="e">
        <f t="shared" si="54"/>
        <v>#N/A</v>
      </c>
      <c r="G169" s="158" t="e">
        <f t="shared" si="55"/>
        <v>#N/A</v>
      </c>
      <c r="H169" s="160" t="e">
        <f t="shared" si="56"/>
        <v>#N/A</v>
      </c>
      <c r="I169" s="98"/>
      <c r="J169" s="98"/>
      <c r="K169" s="162"/>
      <c r="L169" s="162"/>
      <c r="M169" s="162"/>
      <c r="N169" s="162"/>
      <c r="O169" s="162"/>
      <c r="P169" s="162"/>
      <c r="Q169" s="162"/>
      <c r="R169" s="163"/>
      <c r="S169" s="155"/>
      <c r="T169" s="155"/>
      <c r="U169" s="162"/>
      <c r="V169" s="124"/>
      <c r="W169" s="140"/>
      <c r="X169" s="149"/>
      <c r="Y169" s="552" t="str">
        <f t="shared" si="59"/>
        <v>Wokingham</v>
      </c>
      <c r="Z169" s="556">
        <f t="shared" si="60"/>
        <v>0</v>
      </c>
      <c r="AA169" s="556">
        <f t="shared" si="61"/>
        <v>0</v>
      </c>
      <c r="AB169" s="556">
        <f t="shared" si="62"/>
        <v>0</v>
      </c>
      <c r="AC169" s="556">
        <f t="shared" si="63"/>
        <v>0</v>
      </c>
      <c r="AD169" s="556">
        <f t="shared" si="64"/>
        <v>0</v>
      </c>
      <c r="AE169" s="377" t="str">
        <f t="shared" si="65"/>
        <v>Wokingham</v>
      </c>
      <c r="AF169" s="463" t="str">
        <f>IF(Year1_Wokingham Year1_CP_Plans_Seen_in_Timescales="","",Year1_Wokingham Year1_CP_Plans_Seen_in_Timescales)</f>
        <v/>
      </c>
      <c r="AG169" s="365" t="str">
        <f>IF(Year2_Wokingham Year2_CP_Plans_Seen_in_Timescales="","",Year2_Wokingham Year2_CP_Plans_Seen_in_Timescales)</f>
        <v/>
      </c>
      <c r="AH169" s="365" t="str">
        <f>IF(Year3_Wokingham Year3_CP_Plans_Seen_in_Timescales="","",Year3_Wokingham Year3_CP_Plans_Seen_in_Timescales)</f>
        <v/>
      </c>
      <c r="AI169" s="365" t="str">
        <f>IF(Year4_Wokingham Year4_CP_Plans_Seen_in_Timescales="","",Year4_Wokingham Year4_CP_Plans_Seen_in_Timescales)</f>
        <v/>
      </c>
      <c r="AJ169" s="555" t="str">
        <f>IF(Year5_Wokingham Year5_CP_Plans_Seen_in_Timescales="","",Year5_Wokingham Year5_CP_Plans_Seen_in_Timescales)</f>
        <v/>
      </c>
      <c r="AK169" s="153"/>
      <c r="AL169" s="76"/>
    </row>
    <row r="170" spans="1:44" s="89" customFormat="1" ht="12.75" hidden="1" customHeight="1" x14ac:dyDescent="0.2">
      <c r="A170" s="123"/>
      <c r="B170" s="131" t="str">
        <f t="shared" si="52"/>
        <v>South East</v>
      </c>
      <c r="C170" s="87"/>
      <c r="D170" s="159" t="e">
        <f t="shared" si="58"/>
        <v>#N/A</v>
      </c>
      <c r="E170" s="159" t="e">
        <f t="shared" si="53"/>
        <v>#N/A</v>
      </c>
      <c r="F170" s="159" t="e">
        <f t="shared" si="54"/>
        <v>#N/A</v>
      </c>
      <c r="G170" s="159" t="e">
        <f t="shared" si="55"/>
        <v>#N/A</v>
      </c>
      <c r="H170" s="161" t="e">
        <f t="shared" si="56"/>
        <v>#N/A</v>
      </c>
      <c r="I170" s="98"/>
      <c r="J170" s="98"/>
      <c r="K170" s="164"/>
      <c r="L170" s="164"/>
      <c r="M170" s="164"/>
      <c r="N170" s="164"/>
      <c r="O170" s="164"/>
      <c r="P170" s="164"/>
      <c r="Q170" s="164"/>
      <c r="R170" s="165"/>
      <c r="S170" s="155"/>
      <c r="T170" s="155"/>
      <c r="U170" s="166"/>
      <c r="V170" s="124"/>
      <c r="W170" s="140"/>
      <c r="X170" s="149"/>
      <c r="Y170" s="552" t="str">
        <f t="shared" si="59"/>
        <v>South East</v>
      </c>
      <c r="Z170" s="202">
        <f>SUM(Z148:Z160,Z162:Z163,Z166:Z169)</f>
        <v>0</v>
      </c>
      <c r="AA170" s="202">
        <f t="shared" ref="AA170" si="66">SUM(AA148:AA160,AA162:AA163,AA166:AA169)</f>
        <v>0</v>
      </c>
      <c r="AB170" s="202">
        <f t="shared" ref="AB170" si="67">SUM(AB148:AB160,AB162:AB163,AB166:AB169)</f>
        <v>0</v>
      </c>
      <c r="AC170" s="202">
        <f t="shared" ref="AC170" si="68">SUM(AC148:AC160,AC162:AC163,AC166:AC169)</f>
        <v>0</v>
      </c>
      <c r="AD170" s="202">
        <f t="shared" ref="AD170" si="69">SUM(AD148:AD160,AD162:AD163,AD166:AD169)</f>
        <v>0</v>
      </c>
      <c r="AE170" s="377" t="str">
        <f t="shared" si="65"/>
        <v>South East</v>
      </c>
      <c r="AF170" s="365" t="str">
        <f>IF(Year1_SouthEast Year1_CP_Plans_Seen_in_Timescales="","",Year1_SouthEast Year1_CP_Plans_Seen_in_Timescales)</f>
        <v/>
      </c>
      <c r="AG170" s="365" t="str">
        <f>IF(Year2_SouthEast Year2_CP_Plans_Seen_in_Timescales="","",Year2_SouthEast Year2_CP_Plans_Seen_in_Timescales)</f>
        <v/>
      </c>
      <c r="AH170" s="365" t="str">
        <f>IF(Year3_SouthEast Year3_CP_Plans_Seen_in_Timescales="","",Year3_SouthEast Year3_CP_Plans_Seen_in_Timescales)</f>
        <v/>
      </c>
      <c r="AI170" s="365" t="str">
        <f>IF(Year4_SouthEast Year4_CP_Plans_Seen_in_Timescales="","",Year4_SouthEast Year4_CP_Plans_Seen_in_Timescales)</f>
        <v/>
      </c>
      <c r="AJ170" s="365" t="str">
        <f>IF(Year5_SouthEast Year5_CP_Plans_Seen_in_Timescales="","",Year5_SouthEast Year5_CP_Plans_Seen_in_Timescales)</f>
        <v/>
      </c>
      <c r="AK170" s="153"/>
      <c r="AL170" s="76"/>
    </row>
    <row r="171" spans="1:44" s="89" customFormat="1" ht="12.75" hidden="1" customHeight="1" x14ac:dyDescent="0.2">
      <c r="A171" s="123"/>
      <c r="B171" s="318" t="str">
        <f t="shared" si="52"/>
        <v>England</v>
      </c>
      <c r="C171" s="87"/>
      <c r="D171" s="344" t="e">
        <f t="shared" si="58"/>
        <v>#N/A</v>
      </c>
      <c r="E171" s="344" t="e">
        <f t="shared" si="53"/>
        <v>#N/A</v>
      </c>
      <c r="F171" s="344" t="e">
        <f t="shared" si="54"/>
        <v>#N/A</v>
      </c>
      <c r="G171" s="344" t="e">
        <f t="shared" si="55"/>
        <v>#N/A</v>
      </c>
      <c r="H171" s="345" t="e">
        <f t="shared" si="56"/>
        <v>#N/A</v>
      </c>
      <c r="I171" s="98"/>
      <c r="J171" s="98"/>
      <c r="K171" s="164"/>
      <c r="L171" s="164"/>
      <c r="M171" s="164"/>
      <c r="N171" s="164"/>
      <c r="O171" s="164"/>
      <c r="P171" s="164"/>
      <c r="Q171" s="164"/>
      <c r="R171" s="165"/>
      <c r="S171" s="155"/>
      <c r="T171" s="155"/>
      <c r="U171" s="166"/>
      <c r="V171" s="124"/>
      <c r="W171" s="140"/>
      <c r="X171" s="149"/>
      <c r="Y171" s="552" t="str">
        <f t="shared" si="59"/>
        <v>England</v>
      </c>
      <c r="Z171" s="575">
        <f>IF(Year1_England Year1_CP_Plans="","",Year1_England Year1_CP_Plans)</f>
        <v>49700</v>
      </c>
      <c r="AA171" s="576">
        <f>IF(Year2_England Year2_CP_Plans="","",Year2_England Year2_CP_Plans)</f>
        <v>50310</v>
      </c>
      <c r="AB171" s="365">
        <f>IF(Year3_England Year3_CP_Plans="","",Year3_England Year3_CP_Plans)</f>
        <v>51080</v>
      </c>
      <c r="AC171" s="365">
        <f>IF(Year4_England Year4_CP_Plans="","",Year4_England Year4_CP_Plans)</f>
        <v>53790</v>
      </c>
      <c r="AD171" s="557">
        <f>IF(Year5_England Year5_CP_Plans="","",Year5_England Year5_CP_Plans)</f>
        <v>52260</v>
      </c>
      <c r="AE171" s="377" t="str">
        <f t="shared" si="65"/>
        <v>England</v>
      </c>
      <c r="AF171" s="576" t="str">
        <f>IF(Year1_England Year1_CP_Plans_Seen_in_Timescales="","",Year1_England Year1_CP_Plans_Seen_in_Timescales)</f>
        <v/>
      </c>
      <c r="AG171" s="576" t="str">
        <f>IF(Year2_England Year2_CP_Plans_Seen_in_Timescales="","",Year2_England Year2_CP_Plans_Seen_in_Timescales)</f>
        <v/>
      </c>
      <c r="AH171" s="365" t="str">
        <f>IF(Year3_England Year3_CP_Plans_Seen_in_Timescales="","",Year3_England Year3_CP_Plans_Seen_in_Timescales)</f>
        <v/>
      </c>
      <c r="AI171" s="365" t="str">
        <f>IF(Year4_England Year4_CP_Plans_Seen_in_Timescales="","",Year4_England Year4_CP_Plans_Seen_in_Timescales)</f>
        <v/>
      </c>
      <c r="AJ171" s="555" t="str">
        <f>IF(Year5_England Year5_CP_Plans_Seen_in_Timescales="","",Year5_England Year5_CP_Plans_Seen_in_Timescales)</f>
        <v/>
      </c>
      <c r="AK171" s="153"/>
      <c r="AL171" s="76"/>
    </row>
    <row r="172" spans="1:44" s="89" customFormat="1" ht="7.5" hidden="1" customHeight="1" x14ac:dyDescent="0.2">
      <c r="A172" s="286"/>
      <c r="B172" s="98"/>
      <c r="C172" s="98"/>
      <c r="D172" s="98"/>
      <c r="E172" s="98"/>
      <c r="F172" s="98"/>
      <c r="G172" s="98"/>
      <c r="H172" s="98"/>
      <c r="I172" s="98"/>
      <c r="J172" s="98"/>
      <c r="K172" s="164"/>
      <c r="L172" s="164"/>
      <c r="M172" s="164"/>
      <c r="N172" s="164"/>
      <c r="O172" s="164"/>
      <c r="P172" s="164"/>
      <c r="Q172" s="164"/>
      <c r="R172" s="165"/>
      <c r="S172" s="155"/>
      <c r="T172" s="155"/>
      <c r="U172" s="166"/>
      <c r="V172" s="124"/>
      <c r="W172" s="140"/>
      <c r="X172" s="149"/>
      <c r="Y172" s="83"/>
      <c r="Z172" s="83"/>
      <c r="AA172" s="191"/>
      <c r="AB172" s="191"/>
      <c r="AC172" s="192"/>
      <c r="AD172" s="192"/>
      <c r="AE172" s="192"/>
      <c r="AF172" s="192"/>
      <c r="AG172" s="192"/>
      <c r="AH172" s="192"/>
      <c r="AI172" s="192"/>
      <c r="AJ172" s="192"/>
      <c r="AK172" s="153"/>
      <c r="AL172" s="76"/>
    </row>
    <row r="173" spans="1:44" s="83" customFormat="1" ht="38.25" hidden="1" customHeight="1" x14ac:dyDescent="0.2">
      <c r="A173" s="213"/>
      <c r="B173" s="385"/>
      <c r="C173" s="385"/>
      <c r="D173" s="385"/>
      <c r="E173" s="385"/>
      <c r="F173" s="385"/>
      <c r="G173" s="385"/>
      <c r="H173" s="385"/>
      <c r="I173" s="385"/>
      <c r="J173" s="168"/>
      <c r="K173" s="168"/>
      <c r="L173" s="168"/>
      <c r="M173" s="168"/>
      <c r="N173" s="168"/>
      <c r="O173" s="168"/>
      <c r="P173" s="168"/>
      <c r="Q173" s="168"/>
      <c r="R173" s="137"/>
      <c r="S173" s="168"/>
      <c r="T173" s="168"/>
      <c r="U173" s="168"/>
      <c r="V173" s="119"/>
      <c r="W173" s="138"/>
      <c r="X173" s="147"/>
      <c r="AD173" s="192"/>
      <c r="AE173" s="194"/>
      <c r="AF173" s="179"/>
      <c r="AG173" s="179"/>
      <c r="AH173" s="179"/>
      <c r="AJ173" s="179"/>
      <c r="AK173" s="153"/>
      <c r="AL173" s="76"/>
    </row>
    <row r="174" spans="1:44" s="83" customFormat="1" ht="39" hidden="1" customHeight="1" x14ac:dyDescent="0.2">
      <c r="A174" s="213"/>
      <c r="B174" s="385"/>
      <c r="C174" s="385"/>
      <c r="D174" s="385"/>
      <c r="E174" s="385"/>
      <c r="F174" s="385"/>
      <c r="G174" s="385"/>
      <c r="H174" s="385"/>
      <c r="I174" s="385"/>
      <c r="J174" s="168"/>
      <c r="K174" s="168"/>
      <c r="L174" s="168"/>
      <c r="M174" s="168"/>
      <c r="N174" s="168"/>
      <c r="O174" s="168"/>
      <c r="P174" s="168"/>
      <c r="Q174" s="168"/>
      <c r="R174" s="137"/>
      <c r="S174" s="168"/>
      <c r="T174" s="168"/>
      <c r="U174" s="168"/>
      <c r="V174" s="119"/>
      <c r="W174" s="138"/>
      <c r="X174" s="147"/>
      <c r="Z174" s="185"/>
      <c r="AE174" s="194"/>
      <c r="AF174" s="179"/>
      <c r="AG174" s="179"/>
      <c r="AH174" s="179"/>
      <c r="AJ174" s="179"/>
      <c r="AK174" s="153"/>
      <c r="AL174" s="76"/>
    </row>
    <row r="175" spans="1:44" s="83" customFormat="1" ht="38.25" hidden="1" customHeight="1" x14ac:dyDescent="0.2">
      <c r="A175" s="213"/>
      <c r="B175" s="385"/>
      <c r="C175" s="385"/>
      <c r="D175" s="385"/>
      <c r="E175" s="385"/>
      <c r="F175" s="385"/>
      <c r="G175" s="385"/>
      <c r="H175" s="385"/>
      <c r="I175" s="385"/>
      <c r="J175" s="168"/>
      <c r="K175" s="168"/>
      <c r="L175" s="168"/>
      <c r="M175" s="168"/>
      <c r="N175" s="168"/>
      <c r="O175" s="168"/>
      <c r="P175" s="168"/>
      <c r="Q175" s="168"/>
      <c r="R175" s="137"/>
      <c r="S175" s="168"/>
      <c r="T175" s="168"/>
      <c r="U175" s="168"/>
      <c r="V175" s="119"/>
      <c r="W175" s="138"/>
      <c r="X175" s="147"/>
      <c r="Z175" s="185"/>
      <c r="AE175" s="194"/>
      <c r="AF175" s="179"/>
      <c r="AG175" s="179"/>
      <c r="AH175" s="179"/>
      <c r="AJ175" s="179"/>
      <c r="AK175" s="153"/>
      <c r="AL175" s="76"/>
    </row>
    <row r="176" spans="1:44" s="83" customFormat="1" ht="7.5" hidden="1" customHeight="1" x14ac:dyDescent="0.2">
      <c r="A176" s="120"/>
      <c r="B176" s="18"/>
      <c r="C176" s="18"/>
      <c r="D176" s="17"/>
      <c r="E176" s="17"/>
      <c r="F176" s="17"/>
      <c r="G176" s="17"/>
      <c r="H176" s="17"/>
      <c r="I176" s="17"/>
      <c r="J176" s="13"/>
      <c r="K176" s="19"/>
      <c r="L176" s="19"/>
      <c r="M176" s="19"/>
      <c r="N176" s="19"/>
      <c r="O176" s="19"/>
      <c r="P176" s="19"/>
      <c r="Q176" s="19"/>
      <c r="R176" s="19"/>
      <c r="S176" s="19"/>
      <c r="T176" s="19"/>
      <c r="U176" s="20"/>
      <c r="V176" s="119"/>
      <c r="W176" s="138"/>
      <c r="X176" s="147"/>
      <c r="Z176" s="185"/>
      <c r="AJ176" s="179"/>
      <c r="AK176" s="153"/>
      <c r="AL176" s="76"/>
      <c r="AM176" s="76"/>
      <c r="AN176" s="76"/>
      <c r="AO176" s="76"/>
      <c r="AP176" s="76"/>
      <c r="AQ176" s="76"/>
      <c r="AR176" s="76"/>
    </row>
    <row r="177" spans="1:46" s="83" customFormat="1" ht="15" hidden="1" customHeight="1" x14ac:dyDescent="0.2">
      <c r="A177" s="1399"/>
      <c r="B177" s="1421"/>
      <c r="C177" s="1421"/>
      <c r="D177" s="1421"/>
      <c r="E177" s="1421"/>
      <c r="F177" s="1421"/>
      <c r="G177" s="1421"/>
      <c r="H177" s="1421"/>
      <c r="I177" s="1421"/>
      <c r="J177" s="1421"/>
      <c r="K177" s="1421"/>
      <c r="L177" s="1421"/>
      <c r="M177" s="1421"/>
      <c r="N177" s="1421"/>
      <c r="O177" s="1421"/>
      <c r="P177" s="1421"/>
      <c r="Q177" s="1421"/>
      <c r="R177" s="1421"/>
      <c r="S177" s="1421"/>
      <c r="T177" s="1421"/>
      <c r="U177" s="1421"/>
      <c r="V177" s="1422"/>
      <c r="W177" s="138"/>
      <c r="X177" s="147"/>
      <c r="AK177" s="153"/>
      <c r="AL177" s="76"/>
      <c r="AT177" s="76"/>
    </row>
    <row r="178" spans="1:46" s="83" customFormat="1" ht="11.25" hidden="1" customHeight="1" x14ac:dyDescent="0.2">
      <c r="A178" s="1428" t="str">
        <f>Home!$A$40</f>
        <v>LA's provide quarterly data on the condition that it is used by the benchmarking group for internal reporting only. Please DO NOT share other LA's data with any external partners or the public</v>
      </c>
      <c r="B178" s="1429"/>
      <c r="C178" s="1429"/>
      <c r="D178" s="1429"/>
      <c r="E178" s="1429"/>
      <c r="F178" s="1429"/>
      <c r="G178" s="1429"/>
      <c r="H178" s="1429"/>
      <c r="I178" s="1430"/>
      <c r="J178" s="1429"/>
      <c r="K178" s="1429"/>
      <c r="L178" s="1429"/>
      <c r="M178" s="1429"/>
      <c r="N178" s="1429"/>
      <c r="O178" s="1429"/>
      <c r="P178" s="1431"/>
      <c r="Q178" s="1429"/>
      <c r="R178" s="1429"/>
      <c r="S178" s="1429"/>
      <c r="T178" s="1430"/>
      <c r="U178" s="1429"/>
      <c r="V178" s="1432"/>
      <c r="W178" s="138"/>
      <c r="X178" s="147"/>
      <c r="AJ178" s="179"/>
      <c r="AK178" s="153"/>
      <c r="AL178" s="76"/>
      <c r="AT178" s="76"/>
    </row>
    <row r="179" spans="1:46" ht="11.25" customHeight="1" x14ac:dyDescent="0.2">
      <c r="A179" s="114"/>
      <c r="B179" s="115"/>
      <c r="C179" s="115"/>
      <c r="D179" s="115"/>
      <c r="E179" s="115"/>
      <c r="F179" s="115"/>
      <c r="G179" s="115"/>
      <c r="H179" s="115"/>
      <c r="I179" s="115"/>
      <c r="J179" s="116"/>
      <c r="K179" s="115"/>
      <c r="L179" s="115"/>
      <c r="M179" s="115"/>
      <c r="N179" s="115"/>
      <c r="O179" s="115"/>
      <c r="P179" s="115"/>
      <c r="Q179" s="115"/>
      <c r="R179" s="115"/>
      <c r="S179" s="115"/>
      <c r="T179" s="115"/>
      <c r="U179" s="115"/>
      <c r="V179" s="117"/>
      <c r="W179" s="138"/>
      <c r="X179" s="147"/>
      <c r="Y179" s="193"/>
      <c r="Z179" s="191"/>
      <c r="AA179" s="183"/>
      <c r="AJ179" s="179"/>
      <c r="AK179" s="153"/>
    </row>
    <row r="180" spans="1:46" s="78" customFormat="1" ht="15" customHeight="1" x14ac:dyDescent="0.2">
      <c r="A180" s="121"/>
      <c r="B180" s="1574" t="s">
        <v>948</v>
      </c>
      <c r="C180" s="1574"/>
      <c r="D180" s="1574"/>
      <c r="E180" s="1574"/>
      <c r="F180" s="1574"/>
      <c r="G180" s="1574"/>
      <c r="H180" s="1574"/>
      <c r="I180" s="1574"/>
      <c r="J180" s="69"/>
      <c r="K180" s="69"/>
      <c r="L180" s="69"/>
      <c r="M180" s="69"/>
      <c r="N180" s="352"/>
      <c r="O180" s="69"/>
      <c r="P180" s="69"/>
      <c r="Q180" s="69"/>
      <c r="R180" s="69"/>
      <c r="S180" s="69"/>
      <c r="T180" s="69"/>
      <c r="U180" s="69"/>
      <c r="V180" s="122"/>
      <c r="W180" s="139"/>
      <c r="X180" s="148"/>
      <c r="Y180" s="374" t="s">
        <v>142</v>
      </c>
      <c r="Z180" s="375"/>
      <c r="AA180" s="376"/>
      <c r="AB180" s="376"/>
      <c r="AC180" s="376"/>
      <c r="AD180" s="565"/>
      <c r="AE180" s="565"/>
      <c r="AF180" s="374" t="s">
        <v>143</v>
      </c>
      <c r="AG180" s="375"/>
      <c r="AH180" s="376"/>
      <c r="AI180" s="376"/>
      <c r="AJ180" s="376"/>
      <c r="AK180" s="153"/>
      <c r="AL180" s="76"/>
    </row>
    <row r="181" spans="1:46" ht="15" customHeight="1" x14ac:dyDescent="0.2">
      <c r="A181" s="120"/>
      <c r="B181" s="1574"/>
      <c r="C181" s="1574"/>
      <c r="D181" s="1574"/>
      <c r="E181" s="1574"/>
      <c r="F181" s="1574"/>
      <c r="G181" s="1574"/>
      <c r="H181" s="1574"/>
      <c r="I181" s="1574"/>
      <c r="J181" s="69"/>
      <c r="K181" s="69"/>
      <c r="L181" s="69"/>
      <c r="M181" s="69"/>
      <c r="N181" s="352"/>
      <c r="O181" s="69"/>
      <c r="P181" s="69"/>
      <c r="Q181" s="69"/>
      <c r="R181" s="10"/>
      <c r="S181" s="69"/>
      <c r="T181" s="69"/>
      <c r="U181" s="69"/>
      <c r="V181" s="119"/>
      <c r="W181" s="138"/>
      <c r="X181" s="147"/>
      <c r="Y181" s="376"/>
      <c r="Z181" s="375"/>
      <c r="AA181" s="376"/>
      <c r="AB181" s="376"/>
      <c r="AC181" s="376"/>
      <c r="AD181" s="565"/>
      <c r="AE181" s="565"/>
      <c r="AF181" s="376"/>
      <c r="AG181" s="375"/>
      <c r="AH181" s="376"/>
      <c r="AI181" s="376"/>
      <c r="AJ181" s="376"/>
      <c r="AK181" s="153"/>
    </row>
    <row r="182" spans="1:46" ht="13.5" customHeight="1" x14ac:dyDescent="0.2">
      <c r="A182" s="271"/>
      <c r="B182" s="1419" t="s">
        <v>190</v>
      </c>
      <c r="C182" s="873"/>
      <c r="D182" s="755" t="str">
        <f>Sheet1!$D$25</f>
        <v>2014-15</v>
      </c>
      <c r="E182" s="756" t="str">
        <f>Sheet1!$E$25</f>
        <v>2015-16</v>
      </c>
      <c r="F182" s="756" t="str">
        <f>Sheet1!$F$25</f>
        <v>2016-17</v>
      </c>
      <c r="G182" s="756" t="str">
        <f>Sheet1!$G$25</f>
        <v>2017-18</v>
      </c>
      <c r="H182" s="757" t="str">
        <f>Sheet1!$H$25</f>
        <v>2018-19</v>
      </c>
      <c r="I182" s="879"/>
      <c r="J182" s="69"/>
      <c r="K182" s="69"/>
      <c r="L182" s="69"/>
      <c r="M182" s="69"/>
      <c r="N182" s="870"/>
      <c r="O182" s="69"/>
      <c r="P182" s="69"/>
      <c r="Q182" s="69"/>
      <c r="R182" s="10"/>
      <c r="S182" s="69"/>
      <c r="T182" s="69"/>
      <c r="U182" s="69"/>
      <c r="V182" s="119"/>
      <c r="W182" s="138"/>
      <c r="X182" s="147"/>
      <c r="Y182" s="376"/>
      <c r="Z182" s="375"/>
      <c r="AA182" s="376"/>
      <c r="AB182" s="376"/>
      <c r="AC182" s="376"/>
      <c r="AD182" s="565"/>
      <c r="AE182" s="565"/>
      <c r="AF182" s="376"/>
      <c r="AG182" s="375"/>
      <c r="AH182" s="376"/>
      <c r="AI182" s="376"/>
      <c r="AJ182" s="376"/>
      <c r="AK182" s="153"/>
    </row>
    <row r="183" spans="1:46" s="89" customFormat="1" ht="13.5" customHeight="1" x14ac:dyDescent="0.2">
      <c r="A183" s="123"/>
      <c r="B183" s="1420"/>
      <c r="C183" s="87"/>
      <c r="D183" s="758" t="e">
        <f>Sheet1!$D$26</f>
        <v>#N/A</v>
      </c>
      <c r="E183" s="758" t="e">
        <f>Sheet1!$E$26</f>
        <v>#N/A</v>
      </c>
      <c r="F183" s="758" t="e">
        <f>Sheet1!$F$26</f>
        <v>#N/A</v>
      </c>
      <c r="G183" s="758" t="e">
        <f>Sheet1!$G$26</f>
        <v>#N/A</v>
      </c>
      <c r="H183" s="759" t="e">
        <f>Sheet1!$H$26</f>
        <v>#N/A</v>
      </c>
      <c r="I183" s="98"/>
      <c r="J183" s="98"/>
      <c r="K183" s="61"/>
      <c r="L183" s="61"/>
      <c r="M183" s="61"/>
      <c r="N183" s="61"/>
      <c r="O183" s="61"/>
      <c r="P183" s="61"/>
      <c r="Q183" s="358"/>
      <c r="R183" s="358"/>
      <c r="S183" s="155"/>
      <c r="T183" s="155"/>
      <c r="U183" s="359"/>
      <c r="V183" s="124"/>
      <c r="W183" s="140"/>
      <c r="X183" s="149"/>
      <c r="Y183" s="552"/>
      <c r="Z183" s="556" t="e">
        <f>D183</f>
        <v>#N/A</v>
      </c>
      <c r="AA183" s="463" t="e">
        <f>E183</f>
        <v>#N/A</v>
      </c>
      <c r="AB183" s="463" t="e">
        <f>F183</f>
        <v>#N/A</v>
      </c>
      <c r="AC183" s="463" t="e">
        <f>G183</f>
        <v>#N/A</v>
      </c>
      <c r="AD183" s="553" t="e">
        <f>H183</f>
        <v>#N/A</v>
      </c>
      <c r="AE183" s="377"/>
      <c r="AF183" s="463" t="e">
        <f>Z183</f>
        <v>#N/A</v>
      </c>
      <c r="AG183" s="463" t="e">
        <f t="shared" ref="AG183:AJ183" si="70">AA183</f>
        <v>#N/A</v>
      </c>
      <c r="AH183" s="463" t="e">
        <f t="shared" si="70"/>
        <v>#N/A</v>
      </c>
      <c r="AI183" s="463" t="e">
        <f t="shared" si="70"/>
        <v>#N/A</v>
      </c>
      <c r="AJ183" s="463" t="e">
        <f t="shared" si="70"/>
        <v>#N/A</v>
      </c>
      <c r="AK183" s="153"/>
      <c r="AL183" s="76"/>
    </row>
    <row r="184" spans="1:46" s="89" customFormat="1" ht="12.75" customHeight="1" x14ac:dyDescent="0.2">
      <c r="A184" s="462">
        <f>VLOOKUP(B184,Sheet1!$AQ$4:$AR$25,2,FALSE)</f>
        <v>0</v>
      </c>
      <c r="B184" s="95" t="str">
        <f t="shared" ref="B184:B207" si="71">B256</f>
        <v>Bracknell Forest</v>
      </c>
      <c r="C184" s="87"/>
      <c r="D184" s="158">
        <f>IF(AND(ISNUMBER(AF184),ISNUMBER(Z184)),AF184/Z184,NA())</f>
        <v>1</v>
      </c>
      <c r="E184" s="158">
        <f t="shared" ref="E184" si="72">IF(AND(ISNUMBER(AG184),ISNUMBER(AA184)),AG184/AA184,NA())</f>
        <v>0.98484848484848486</v>
      </c>
      <c r="F184" s="158">
        <f t="shared" ref="F184" si="73">IF(AND(ISNUMBER(AH184),ISNUMBER(AB184)),AH184/AB184,NA())</f>
        <v>0.97727272727272729</v>
      </c>
      <c r="G184" s="158">
        <f t="shared" ref="G184" si="74">IF(AND(ISNUMBER(AI184),ISNUMBER(AC184)),AI184/AC184,NA())</f>
        <v>0.98461538461538467</v>
      </c>
      <c r="H184" s="160">
        <f t="shared" ref="H184" si="75">IF(AND(ISNUMBER(AJ184),ISNUMBER(AD184)),AJ184/AD184,NA())</f>
        <v>0.97101449275362317</v>
      </c>
      <c r="I184" s="98"/>
      <c r="J184" s="98"/>
      <c r="K184" s="162"/>
      <c r="L184" s="162"/>
      <c r="M184" s="162"/>
      <c r="N184" s="162"/>
      <c r="O184" s="162"/>
      <c r="P184" s="162"/>
      <c r="Q184" s="162"/>
      <c r="R184" s="163"/>
      <c r="S184" s="155"/>
      <c r="T184" s="155"/>
      <c r="U184" s="162"/>
      <c r="V184" s="124"/>
      <c r="W184" s="140"/>
      <c r="X184" s="149"/>
      <c r="Y184" s="552" t="str">
        <f>B184</f>
        <v>Bracknell Forest</v>
      </c>
      <c r="Z184" s="556">
        <f>IF(Year1_Bracknell_Forest Year1_CP_Plans_3months="","",Year1_Bracknell_Forest Year1_CP_Plans_3months)</f>
        <v>104</v>
      </c>
      <c r="AA184" s="365">
        <f>IF(Year2_Bracknell_Forest Year2_CP_Plans_3months="","",Year2_Bracknell_Forest Year2_CP_Plans_3months)</f>
        <v>66</v>
      </c>
      <c r="AB184" s="365">
        <f>IF(Year3_Bracknell_Forest Year3_CP_Plans_3months="","",Year3_Bracknell_Forest Year3_CP_Plans_3months)</f>
        <v>132</v>
      </c>
      <c r="AC184" s="365">
        <f>IF(Year4_Bracknell_Forest Year4_CP_Plans_3months="","",Year4_Bracknell_Forest Year4_CP_Plans_3months)</f>
        <v>65</v>
      </c>
      <c r="AD184" s="552">
        <f>IF(Year5_Bracknell_Forest Year5_CP_Plans_3months="","",Year5_Bracknell_Forest Year5_CP_Plans_3months)</f>
        <v>69</v>
      </c>
      <c r="AE184" s="377" t="str">
        <f>Y184</f>
        <v>Bracknell Forest</v>
      </c>
      <c r="AF184" s="463">
        <f>IF(Year1_Bracknell_Forest Year1_CP_Plans_3months_timescales="","",Year1_Bracknell_Forest Year1_CP_Plans_3months_timescales)</f>
        <v>104</v>
      </c>
      <c r="AG184" s="365">
        <f>IF(Year2_Bracknell_Forest Year2_CP_Plans_3months_timescales="","",Year2_Bracknell_Forest Year2_CP_Plans_3months_timescales)</f>
        <v>65</v>
      </c>
      <c r="AH184" s="365">
        <f>IF(Year3_Bracknell_Forest Year3_CP_Plans_3months_timescales="","",Year3_Bracknell_Forest Year3_CP_Plans_3months_timescales)</f>
        <v>129</v>
      </c>
      <c r="AI184" s="365">
        <f>IF(Year4_Bracknell_Forest Year4_CP_Plans_3months_timescales="","",Year4_Bracknell_Forest Year4_CP_Plans_3months_timescales)</f>
        <v>64</v>
      </c>
      <c r="AJ184" s="365">
        <f>IF(Year5_Bracknell_Forest Year5_CP_Plans_3months_timescales="","",Year5_Bracknell_Forest Year5_CP_Plans_3months_timescales)</f>
        <v>67</v>
      </c>
      <c r="AK184" s="153"/>
      <c r="AL184" s="76"/>
    </row>
    <row r="185" spans="1:46" s="89" customFormat="1" ht="12.75" customHeight="1" x14ac:dyDescent="0.2">
      <c r="A185" s="462">
        <f>VLOOKUP(B185,Sheet1!$AQ$4:$AR$25,2,FALSE)</f>
        <v>0</v>
      </c>
      <c r="B185" s="95" t="str">
        <f t="shared" si="71"/>
        <v>Brighton &amp; Hove</v>
      </c>
      <c r="C185" s="87"/>
      <c r="D185" s="158">
        <f t="shared" ref="D185:D207" si="76">IF(AND(ISNUMBER(AF185),ISNUMBER(Z185)),AF185/Z185,NA())</f>
        <v>1</v>
      </c>
      <c r="E185" s="158">
        <f t="shared" ref="E185:E207" si="77">IF(AND(ISNUMBER(AG185),ISNUMBER(AA185)),AG185/AA185,NA())</f>
        <v>0.98006644518272423</v>
      </c>
      <c r="F185" s="158">
        <f t="shared" ref="F185:F207" si="78">IF(AND(ISNUMBER(AH185),ISNUMBER(AB185)),AH185/AB185,NA())</f>
        <v>0.72834645669291342</v>
      </c>
      <c r="G185" s="158">
        <f t="shared" ref="G185:G207" si="79">IF(AND(ISNUMBER(AI185),ISNUMBER(AC185)),AI185/AC185,NA())</f>
        <v>0.99293286219081267</v>
      </c>
      <c r="H185" s="160">
        <f t="shared" ref="H185:H207" si="80">IF(AND(ISNUMBER(AJ185),ISNUMBER(AD185)),AJ185/AD185,NA())</f>
        <v>0.96356275303643724</v>
      </c>
      <c r="I185" s="98"/>
      <c r="J185" s="98"/>
      <c r="K185" s="162"/>
      <c r="L185" s="162"/>
      <c r="M185" s="162"/>
      <c r="N185" s="162"/>
      <c r="O185" s="162"/>
      <c r="P185" s="162"/>
      <c r="Q185" s="162"/>
      <c r="R185" s="163"/>
      <c r="S185" s="155"/>
      <c r="T185" s="155"/>
      <c r="U185" s="162"/>
      <c r="V185" s="124"/>
      <c r="W185" s="140"/>
      <c r="X185" s="149"/>
      <c r="Y185" s="552" t="str">
        <f t="shared" ref="Y185:Y207" si="81">B185</f>
        <v>Brighton &amp; Hove</v>
      </c>
      <c r="Z185" s="556">
        <f>IF(Year1_Brighton_Hove Year1_CP_Plans_3months="","",Year1_Brighton_Hove Year1_CP_Plans_3months)</f>
        <v>208</v>
      </c>
      <c r="AA185" s="365">
        <f>IF(Year2_Brighton_Hove Year2_CP_Plans_3months="","",Year2_Brighton_Hove Year2_CP_Plans_3months)</f>
        <v>301</v>
      </c>
      <c r="AB185" s="365">
        <f>IF(Year3_Brighton_Hove Year3_CP_Plans_3months="","",Year3_Brighton_Hove Year3_CP_Plans_3months)</f>
        <v>254</v>
      </c>
      <c r="AC185" s="365">
        <f>IF(Year4_Brighton_Hove Year4_CP_Plans_3months="","",Year4_Brighton_Hove Year4_CP_Plans_3months)</f>
        <v>283</v>
      </c>
      <c r="AD185" s="552">
        <f>IF(Year5_Brighton_Hove Year5_CP_Plans_3months="","",Year5_Brighton_Hove Year5_CP_Plans_3months)</f>
        <v>247</v>
      </c>
      <c r="AE185" s="377" t="str">
        <f t="shared" ref="AE185:AE207" si="82">Y185</f>
        <v>Brighton &amp; Hove</v>
      </c>
      <c r="AF185" s="463">
        <f>IF(Year1_Brighton_Hove Year1_CP_Plans_3months_timescales="","",Year1_Brighton_Hove Year1_CP_Plans_3months_timescales)</f>
        <v>208</v>
      </c>
      <c r="AG185" s="365">
        <f>IF(Year2_Brighton_Hove Year2_CP_Plans_3months_timescales="","",Year2_Brighton_Hove Year2_CP_Plans_3months_timescales)</f>
        <v>295</v>
      </c>
      <c r="AH185" s="365">
        <f>IF(Year3_Brighton_Hove Year3_CP_Plans_3months_timescales="","",Year3_Brighton_Hove Year3_CP_Plans_3months_timescales)</f>
        <v>185</v>
      </c>
      <c r="AI185" s="365">
        <f>IF(Year4_Brighton_Hove Year4_CP_Plans_3months_timescales="","",Year4_Brighton_Hove Year4_CP_Plans_3months_timescales)</f>
        <v>281</v>
      </c>
      <c r="AJ185" s="365">
        <f>IF(Year5_Brighton_Hove Year5_CP_Plans_3months_timescales="","",Year5_Brighton_Hove Year5_CP_Plans_3months_timescales)</f>
        <v>238</v>
      </c>
      <c r="AK185" s="153"/>
      <c r="AL185" s="76"/>
    </row>
    <row r="186" spans="1:46" s="89" customFormat="1" ht="12.75" customHeight="1" x14ac:dyDescent="0.2">
      <c r="A186" s="462">
        <f>VLOOKUP(B186,Sheet1!$AQ$4:$AR$25,2,FALSE)</f>
        <v>0</v>
      </c>
      <c r="B186" s="95" t="str">
        <f t="shared" si="71"/>
        <v>Buckinghamshire</v>
      </c>
      <c r="C186" s="87"/>
      <c r="D186" s="158">
        <f t="shared" si="76"/>
        <v>0.78801843317972353</v>
      </c>
      <c r="E186" s="158">
        <f t="shared" si="77"/>
        <v>0.9285714285714286</v>
      </c>
      <c r="F186" s="158">
        <f t="shared" si="78"/>
        <v>0.84571428571428575</v>
      </c>
      <c r="G186" s="158">
        <f t="shared" si="79"/>
        <v>0.87885010266940455</v>
      </c>
      <c r="H186" s="160">
        <f t="shared" si="80"/>
        <v>0.8542199488491049</v>
      </c>
      <c r="I186" s="98"/>
      <c r="J186" s="98"/>
      <c r="K186" s="162"/>
      <c r="L186" s="162"/>
      <c r="M186" s="162"/>
      <c r="N186" s="162"/>
      <c r="O186" s="162"/>
      <c r="P186" s="162"/>
      <c r="Q186" s="162"/>
      <c r="R186" s="163"/>
      <c r="S186" s="155"/>
      <c r="T186" s="155"/>
      <c r="U186" s="162"/>
      <c r="V186" s="124"/>
      <c r="W186" s="140"/>
      <c r="X186" s="149"/>
      <c r="Y186" s="552" t="str">
        <f t="shared" si="81"/>
        <v>Buckinghamshire</v>
      </c>
      <c r="Z186" s="556">
        <f>IF(Year1_Buckinghamshire Year1_CP_Plans_3months="","",Year1_Buckinghamshire Year1_CP_Plans_3months)</f>
        <v>217</v>
      </c>
      <c r="AA186" s="365">
        <f>IF(Year2_Buckinghamshire Year2_CP_Plans_3months="","",Year2_Buckinghamshire Year2_CP_Plans_3months)</f>
        <v>294</v>
      </c>
      <c r="AB186" s="365">
        <f>IF(Year3_Buckinghamshire Year3_CP_Plans_3months="","",Year3_Buckinghamshire Year3_CP_Plans_3months)</f>
        <v>350</v>
      </c>
      <c r="AC186" s="365">
        <f>IF(Year4_Buckinghamshire Year4_CP_Plans_3months="","",Year4_Buckinghamshire Year4_CP_Plans_3months)</f>
        <v>487</v>
      </c>
      <c r="AD186" s="552">
        <f>IF(Year5_Buckinghamshire Year5_CP_Plans_3months="","",Year5_Buckinghamshire Year5_CP_Plans_3months)</f>
        <v>391</v>
      </c>
      <c r="AE186" s="377" t="str">
        <f t="shared" si="82"/>
        <v>Buckinghamshire</v>
      </c>
      <c r="AF186" s="463">
        <f>IF(Year1_Buckinghamshire Year1_CP_Plans_3months_timescales="","",Year1_Buckinghamshire Year1_CP_Plans_3months_timescales)</f>
        <v>171</v>
      </c>
      <c r="AG186" s="365">
        <f>IF(Year2_Buckinghamshire Year2_CP_Plans_3months_timescales="","",Year2_Buckinghamshire Year2_CP_Plans_3months_timescales)</f>
        <v>273</v>
      </c>
      <c r="AH186" s="365">
        <f>IF(Year3_Buckinghamshire Year3_CP_Plans_3months_timescales="","",Year3_Buckinghamshire Year3_CP_Plans_3months_timescales)</f>
        <v>296</v>
      </c>
      <c r="AI186" s="365">
        <f>IF(Year4_Buckinghamshire Year4_CP_Plans_3months_timescales="","",Year4_Buckinghamshire Year4_CP_Plans_3months_timescales)</f>
        <v>428</v>
      </c>
      <c r="AJ186" s="365">
        <f>IF(Year5_Buckinghamshire Year5_CP_Plans_3months_timescales="","",Year5_Buckinghamshire Year5_CP_Plans_3months_timescales)</f>
        <v>334</v>
      </c>
      <c r="AK186" s="153"/>
      <c r="AL186" s="76"/>
    </row>
    <row r="187" spans="1:46" s="89" customFormat="1" ht="12.75" customHeight="1" x14ac:dyDescent="0.2">
      <c r="A187" s="462">
        <f>VLOOKUP(B187,Sheet1!$AQ$4:$AR$25,2,FALSE)</f>
        <v>0</v>
      </c>
      <c r="B187" s="95" t="str">
        <f t="shared" si="71"/>
        <v>East Sussex</v>
      </c>
      <c r="C187" s="87"/>
      <c r="D187" s="158">
        <f t="shared" si="76"/>
        <v>0.99212598425196852</v>
      </c>
      <c r="E187" s="158">
        <f t="shared" si="77"/>
        <v>0.97667638483965014</v>
      </c>
      <c r="F187" s="158">
        <f t="shared" si="78"/>
        <v>0.92121212121212126</v>
      </c>
      <c r="G187" s="158">
        <f t="shared" si="79"/>
        <v>0.90600522193211486</v>
      </c>
      <c r="H187" s="160">
        <f t="shared" si="80"/>
        <v>0.95100222717149219</v>
      </c>
      <c r="I187" s="98"/>
      <c r="J187" s="98"/>
      <c r="K187" s="162"/>
      <c r="L187" s="162"/>
      <c r="M187" s="162"/>
      <c r="N187" s="162"/>
      <c r="O187" s="162"/>
      <c r="P187" s="162"/>
      <c r="Q187" s="162"/>
      <c r="R187" s="163"/>
      <c r="S187" s="155"/>
      <c r="T187" s="155"/>
      <c r="U187" s="162"/>
      <c r="V187" s="124"/>
      <c r="W187" s="140"/>
      <c r="X187" s="149"/>
      <c r="Y187" s="552" t="str">
        <f t="shared" si="81"/>
        <v>East Sussex</v>
      </c>
      <c r="Z187" s="556">
        <f>IF(Year1_East_Sussex Year1_CP_Plans_3months="","",Year1_East_Sussex Year1_CP_Plans_3months)</f>
        <v>381</v>
      </c>
      <c r="AA187" s="365">
        <f>IF(Year2_East_Sussex Year2_CP_Plans_3months="","",Year2_East_Sussex Year2_CP_Plans_3months)</f>
        <v>343</v>
      </c>
      <c r="AB187" s="365">
        <f>IF(Year3_East_Sussex Year3_CP_Plans_3months="","",Year3_East_Sussex Year3_CP_Plans_3months)</f>
        <v>330</v>
      </c>
      <c r="AC187" s="365">
        <f>IF(Year4_East_Sussex Year4_CP_Plans_3months="","",Year4_East_Sussex Year4_CP_Plans_3months)</f>
        <v>383</v>
      </c>
      <c r="AD187" s="552">
        <f>IF(Year5_East_Sussex Year5_CP_Plans_3months="","",Year5_East_Sussex Year5_CP_Plans_3months)</f>
        <v>449</v>
      </c>
      <c r="AE187" s="377" t="str">
        <f t="shared" si="82"/>
        <v>East Sussex</v>
      </c>
      <c r="AF187" s="463">
        <f>IF(Year1_East_Sussex Year1_CP_Plans_3months_timescales="","",Year1_East_Sussex Year1_CP_Plans_3months_timescales)</f>
        <v>378</v>
      </c>
      <c r="AG187" s="365">
        <f>IF(Year2_East_Sussex Year2_CP_Plans_3months_timescales="","",Year2_East_Sussex Year2_CP_Plans_3months_timescales)</f>
        <v>335</v>
      </c>
      <c r="AH187" s="365">
        <f>IF(Year3_East_Sussex Year3_CP_Plans_3months_timescales="","",Year3_East_Sussex Year3_CP_Plans_3months_timescales)</f>
        <v>304</v>
      </c>
      <c r="AI187" s="365">
        <f>IF(Year4_East_Sussex Year4_CP_Plans_3months_timescales="","",Year4_East_Sussex Year4_CP_Plans_3months_timescales)</f>
        <v>347</v>
      </c>
      <c r="AJ187" s="365">
        <f>IF(Year5_East_Sussex Year5_CP_Plans_3months_timescales="","",Year5_East_Sussex Year5_CP_Plans_3months_timescales)</f>
        <v>427</v>
      </c>
      <c r="AK187" s="153"/>
      <c r="AL187" s="76"/>
    </row>
    <row r="188" spans="1:46" s="89" customFormat="1" ht="12.75" customHeight="1" x14ac:dyDescent="0.2">
      <c r="A188" s="462">
        <f>VLOOKUP(B188,Sheet1!$AQ$4:$AR$25,2,FALSE)</f>
        <v>0</v>
      </c>
      <c r="B188" s="95" t="str">
        <f t="shared" si="71"/>
        <v>Hampshire</v>
      </c>
      <c r="C188" s="87"/>
      <c r="D188" s="158">
        <f t="shared" si="76"/>
        <v>0.8628691983122363</v>
      </c>
      <c r="E188" s="158">
        <f t="shared" si="77"/>
        <v>0.88361683079677711</v>
      </c>
      <c r="F188" s="158">
        <f t="shared" si="78"/>
        <v>0.87581699346405228</v>
      </c>
      <c r="G188" s="158">
        <f t="shared" si="79"/>
        <v>0.80021030494216616</v>
      </c>
      <c r="H188" s="160">
        <f t="shared" si="80"/>
        <v>0.83475091130012147</v>
      </c>
      <c r="I188" s="98"/>
      <c r="J188" s="98"/>
      <c r="K188" s="162"/>
      <c r="L188" s="162"/>
      <c r="M188" s="162"/>
      <c r="N188" s="162"/>
      <c r="O188" s="162"/>
      <c r="P188" s="162"/>
      <c r="Q188" s="162"/>
      <c r="R188" s="163"/>
      <c r="S188" s="155"/>
      <c r="T188" s="155"/>
      <c r="U188" s="162"/>
      <c r="V188" s="124"/>
      <c r="W188" s="140"/>
      <c r="X188" s="149"/>
      <c r="Y188" s="552" t="str">
        <f t="shared" si="81"/>
        <v>Hampshire</v>
      </c>
      <c r="Z188" s="556">
        <f>IF(Year1_Hampshire Year1_CP_Plans_3months="","",Year1_Hampshire Year1_CP_Plans_3months)</f>
        <v>948</v>
      </c>
      <c r="AA188" s="365">
        <f>IF(Year2_Hampshire Year2_CP_Plans_3months="","",Year2_Hampshire Year2_CP_Plans_3months)</f>
        <v>1117</v>
      </c>
      <c r="AB188" s="365">
        <f>IF(Year3_Hampshire Year3_CP_Plans_3months="","",Year3_Hampshire Year3_CP_Plans_3months)</f>
        <v>918</v>
      </c>
      <c r="AC188" s="365">
        <f>IF(Year4_Hampshire Year4_CP_Plans_3months="","",Year4_Hampshire Year4_CP_Plans_3months)</f>
        <v>951</v>
      </c>
      <c r="AD188" s="552">
        <f>IF(Year5_Hampshire Year5_CP_Plans_3months="","",Year5_Hampshire Year5_CP_Plans_3months)</f>
        <v>823</v>
      </c>
      <c r="AE188" s="377" t="str">
        <f t="shared" si="82"/>
        <v>Hampshire</v>
      </c>
      <c r="AF188" s="463">
        <f>IF(Year1_Hampshire Year1_CP_Plans_3months_timescales="","",Year1_Hampshire Year1_CP_Plans_3months_timescales)</f>
        <v>818</v>
      </c>
      <c r="AG188" s="365">
        <f>IF(Year2_Hampshire Year2_CP_Plans_3months_timescales="","",Year2_Hampshire Year2_CP_Plans_3months_timescales)</f>
        <v>987</v>
      </c>
      <c r="AH188" s="365">
        <f>IF(Year3_Hampshire Year3_CP_Plans_3months_timescales="","",Year3_Hampshire Year3_CP_Plans_3months_timescales)</f>
        <v>804</v>
      </c>
      <c r="AI188" s="365">
        <f>IF(Year4_Hampshire Year4_CP_Plans_3months_timescales="","",Year4_Hampshire Year4_CP_Plans_3months_timescales)</f>
        <v>761</v>
      </c>
      <c r="AJ188" s="365">
        <f>IF(Year5_Hampshire Year5_CP_Plans_3months_timescales="","",Year5_Hampshire Year5_CP_Plans_3months_timescales)</f>
        <v>687</v>
      </c>
      <c r="AK188" s="153"/>
      <c r="AL188" s="76"/>
    </row>
    <row r="189" spans="1:46" s="89" customFormat="1" ht="12.75" customHeight="1" x14ac:dyDescent="0.2">
      <c r="A189" s="462">
        <f>VLOOKUP(B189,Sheet1!$AQ$4:$AR$25,2,FALSE)</f>
        <v>0</v>
      </c>
      <c r="B189" s="95" t="str">
        <f t="shared" si="71"/>
        <v>Isle of Wight</v>
      </c>
      <c r="C189" s="87"/>
      <c r="D189" s="158">
        <f t="shared" si="76"/>
        <v>0.88775510204081631</v>
      </c>
      <c r="E189" s="158">
        <f t="shared" si="77"/>
        <v>0.97241379310344822</v>
      </c>
      <c r="F189" s="158">
        <f t="shared" si="78"/>
        <v>0.875</v>
      </c>
      <c r="G189" s="158">
        <f t="shared" si="79"/>
        <v>0.95394736842105265</v>
      </c>
      <c r="H189" s="160">
        <f t="shared" si="80"/>
        <v>0.99199999999999999</v>
      </c>
      <c r="I189" s="98"/>
      <c r="J189" s="98"/>
      <c r="K189" s="162"/>
      <c r="L189" s="162"/>
      <c r="M189" s="162"/>
      <c r="N189" s="162"/>
      <c r="O189" s="162"/>
      <c r="P189" s="162"/>
      <c r="Q189" s="162"/>
      <c r="R189" s="163"/>
      <c r="S189" s="155"/>
      <c r="T189" s="155"/>
      <c r="U189" s="162"/>
      <c r="V189" s="124"/>
      <c r="W189" s="140"/>
      <c r="X189" s="149"/>
      <c r="Y189" s="552" t="str">
        <f t="shared" si="81"/>
        <v>Isle of Wight</v>
      </c>
      <c r="Z189" s="556">
        <f>IF(Year1_Isle_of_Wight Year1_CP_Plans_3months="","",Year1_Isle_of_Wight Year1_CP_Plans_3months)</f>
        <v>196</v>
      </c>
      <c r="AA189" s="365">
        <f>IF(Year2_Isle_of_Wight Year2_CP_Plans_3months="","",Year2_Isle_of_Wight Year2_CP_Plans_3months)</f>
        <v>145</v>
      </c>
      <c r="AB189" s="365">
        <f>IF(Year3_Isle_of_Wight Year3_CP_Plans_3months="","",Year3_Isle_of_Wight Year3_CP_Plans_3months)</f>
        <v>128</v>
      </c>
      <c r="AC189" s="365">
        <f>IF(Year4_Isle_of_Wight Year4_CP_Plans_3months="","",Year4_Isle_of_Wight Year4_CP_Plans_3months)</f>
        <v>152</v>
      </c>
      <c r="AD189" s="552">
        <f>IF(Year5_Isle_of_Wight Year5_CP_Plans_3months="","",Year5_Isle_of_Wight Year5_CP_Plans_3months)</f>
        <v>125</v>
      </c>
      <c r="AE189" s="377" t="str">
        <f t="shared" si="82"/>
        <v>Isle of Wight</v>
      </c>
      <c r="AF189" s="463">
        <f>IF(Year1_Isle_of_Wight Year1_CP_Plans_3months_timescales="","",Year1_Isle_of_Wight Year1_CP_Plans_3months_timescales)</f>
        <v>174</v>
      </c>
      <c r="AG189" s="365">
        <f>IF(Year2_Isle_of_Wight Year2_CP_Plans_3months_timescales="","",Year2_Isle_of_Wight Year2_CP_Plans_3months_timescales)</f>
        <v>141</v>
      </c>
      <c r="AH189" s="365">
        <f>IF(Year3_Isle_of_Wight Year3_CP_Plans_3months_timescales="","",Year3_Isle_of_Wight Year3_CP_Plans_3months_timescales)</f>
        <v>112</v>
      </c>
      <c r="AI189" s="365">
        <f>IF(Year4_Isle_of_Wight Year4_CP_Plans_3months_timescales="","",Year4_Isle_of_Wight Year4_CP_Plans_3months_timescales)</f>
        <v>145</v>
      </c>
      <c r="AJ189" s="365">
        <f>IF(Year5_Isle_of_Wight Year5_CP_Plans_3months_timescales="","",Year5_Isle_of_Wight Year5_CP_Plans_3months_timescales)</f>
        <v>124</v>
      </c>
      <c r="AK189" s="153"/>
      <c r="AL189" s="76"/>
      <c r="AS189" s="89" t="s">
        <v>103</v>
      </c>
    </row>
    <row r="190" spans="1:46" s="89" customFormat="1" ht="12.75" customHeight="1" x14ac:dyDescent="0.2">
      <c r="A190" s="462">
        <f>VLOOKUP(B190,Sheet1!$AQ$4:$AR$25,2,FALSE)</f>
        <v>0</v>
      </c>
      <c r="B190" s="95" t="str">
        <f t="shared" si="71"/>
        <v>Kent</v>
      </c>
      <c r="C190" s="87"/>
      <c r="D190" s="158">
        <f t="shared" si="76"/>
        <v>0.99395405078597343</v>
      </c>
      <c r="E190" s="158">
        <f t="shared" si="77"/>
        <v>1</v>
      </c>
      <c r="F190" s="158">
        <f t="shared" si="78"/>
        <v>1</v>
      </c>
      <c r="G190" s="158">
        <f t="shared" si="79"/>
        <v>0.99653078924544669</v>
      </c>
      <c r="H190" s="160">
        <f t="shared" si="80"/>
        <v>0.99891540130151846</v>
      </c>
      <c r="I190" s="98"/>
      <c r="J190" s="98"/>
      <c r="K190" s="162"/>
      <c r="L190" s="162"/>
      <c r="M190" s="162"/>
      <c r="N190" s="162"/>
      <c r="O190" s="162"/>
      <c r="P190" s="162"/>
      <c r="Q190" s="162"/>
      <c r="R190" s="163"/>
      <c r="S190" s="155"/>
      <c r="T190" s="155"/>
      <c r="U190" s="162"/>
      <c r="V190" s="124"/>
      <c r="W190" s="140"/>
      <c r="X190" s="149"/>
      <c r="Y190" s="552" t="str">
        <f t="shared" si="81"/>
        <v>Kent</v>
      </c>
      <c r="Z190" s="556">
        <f>IF(Year1_Kent Year1_CP_Plans_3months="","",Year1_Kent Year1_CP_Plans_3months)</f>
        <v>827</v>
      </c>
      <c r="AA190" s="365">
        <f>IF(Year2_Kent Year2_CP_Plans_3months="","",Year2_Kent Year2_CP_Plans_3months)</f>
        <v>710</v>
      </c>
      <c r="AB190" s="365">
        <f>IF(Year3_Kent Year3_CP_Plans_3months="","",Year3_Kent Year3_CP_Plans_3months)</f>
        <v>863</v>
      </c>
      <c r="AC190" s="365">
        <f>IF(Year4_Kent Year4_CP_Plans_3months="","",Year4_Kent Year4_CP_Plans_3months)</f>
        <v>1153</v>
      </c>
      <c r="AD190" s="552">
        <f>IF(Year5_Kent Year5_CP_Plans_3months="","",Year5_Kent Year5_CP_Plans_3months)</f>
        <v>922</v>
      </c>
      <c r="AE190" s="377" t="str">
        <f t="shared" si="82"/>
        <v>Kent</v>
      </c>
      <c r="AF190" s="463">
        <f>IF(Year1_Kent Year1_CP_Plans_3months_timescales="","",Year1_Kent Year1_CP_Plans_3months_timescales)</f>
        <v>822</v>
      </c>
      <c r="AG190" s="365">
        <f>IF(Year2_Kent Year2_CP_Plans_3months_timescales="","",Year2_Kent Year2_CP_Plans_3months_timescales)</f>
        <v>710</v>
      </c>
      <c r="AH190" s="365">
        <f>IF(Year3_Kent Year3_CP_Plans_3months_timescales="","",Year3_Kent Year3_CP_Plans_3months_timescales)</f>
        <v>863</v>
      </c>
      <c r="AI190" s="365">
        <f>IF(Year4_Kent Year4_CP_Plans_3months_timescales="","",Year4_Kent Year4_CP_Plans_3months_timescales)</f>
        <v>1149</v>
      </c>
      <c r="AJ190" s="365">
        <f>IF(Year5_Kent Year5_CP_Plans_3months_timescales="","",Year5_Kent Year5_CP_Plans_3months_timescales)</f>
        <v>921</v>
      </c>
      <c r="AK190" s="153"/>
      <c r="AL190" s="76"/>
    </row>
    <row r="191" spans="1:46" s="89" customFormat="1" ht="12.75" customHeight="1" x14ac:dyDescent="0.2">
      <c r="A191" s="462">
        <f>VLOOKUP(B191,Sheet1!$AQ$4:$AR$25,2,FALSE)</f>
        <v>0</v>
      </c>
      <c r="B191" s="95" t="str">
        <f t="shared" si="71"/>
        <v>Medway</v>
      </c>
      <c r="C191" s="87"/>
      <c r="D191" s="158">
        <f t="shared" si="76"/>
        <v>0.96296296296296291</v>
      </c>
      <c r="E191" s="158">
        <f t="shared" si="77"/>
        <v>0.98987341772151893</v>
      </c>
      <c r="F191" s="158">
        <f t="shared" si="78"/>
        <v>0.97844827586206895</v>
      </c>
      <c r="G191" s="158">
        <f t="shared" si="79"/>
        <v>0.9507575757575758</v>
      </c>
      <c r="H191" s="160">
        <f t="shared" si="80"/>
        <v>0.99170124481327804</v>
      </c>
      <c r="I191" s="98"/>
      <c r="J191" s="98"/>
      <c r="K191" s="162"/>
      <c r="L191" s="162"/>
      <c r="M191" s="162"/>
      <c r="N191" s="162"/>
      <c r="O191" s="162"/>
      <c r="P191" s="162"/>
      <c r="Q191" s="162"/>
      <c r="R191" s="163"/>
      <c r="S191" s="155"/>
      <c r="T191" s="155"/>
      <c r="U191" s="162"/>
      <c r="V191" s="124"/>
      <c r="W191" s="140"/>
      <c r="X191" s="149"/>
      <c r="Y191" s="552" t="str">
        <f t="shared" si="81"/>
        <v>Medway</v>
      </c>
      <c r="Z191" s="556">
        <f>IF(Year1_Medway Year1_CP_Plans_3months="","",Year1_Medway Year1_CP_Plans_3months)</f>
        <v>351</v>
      </c>
      <c r="AA191" s="365">
        <f>IF(Year2_Medway Year2_CP_Plans_3months="","",Year2_Medway Year2_CP_Plans_3months)</f>
        <v>395</v>
      </c>
      <c r="AB191" s="365">
        <f>IF(Year3_Medway Year3_CP_Plans_3months="","",Year3_Medway Year3_CP_Plans_3months)</f>
        <v>232</v>
      </c>
      <c r="AC191" s="365">
        <f>IF(Year4_Medway Year4_CP_Plans_3months="","",Year4_Medway Year4_CP_Plans_3months)</f>
        <v>264</v>
      </c>
      <c r="AD191" s="552">
        <f>IF(Year5_Medway Year5_CP_Plans_3months="","",Year5_Medway Year5_CP_Plans_3months)</f>
        <v>241</v>
      </c>
      <c r="AE191" s="377" t="str">
        <f t="shared" si="82"/>
        <v>Medway</v>
      </c>
      <c r="AF191" s="463">
        <f>IF(Year1_Medway Year1_CP_Plans_3months_timescales="","",Year1_Medway Year1_CP_Plans_3months_timescales)</f>
        <v>338</v>
      </c>
      <c r="AG191" s="365">
        <f>IF(Year2_Medway Year2_CP_Plans_3months_timescales="","",Year2_Medway Year2_CP_Plans_3months_timescales)</f>
        <v>391</v>
      </c>
      <c r="AH191" s="365">
        <f>IF(Year3_Medway Year3_CP_Plans_3months_timescales="","",Year3_Medway Year3_CP_Plans_3months_timescales)</f>
        <v>227</v>
      </c>
      <c r="AI191" s="365">
        <f>IF(Year4_Medway Year4_CP_Plans_3months_timescales="","",Year4_Medway Year4_CP_Plans_3months_timescales)</f>
        <v>251</v>
      </c>
      <c r="AJ191" s="365">
        <f>IF(Year5_Medway Year5_CP_Plans_3months_timescales="","",Year5_Medway Year5_CP_Plans_3months_timescales)</f>
        <v>239</v>
      </c>
      <c r="AK191" s="153"/>
      <c r="AL191" s="76"/>
    </row>
    <row r="192" spans="1:46" s="89" customFormat="1" ht="12.75" customHeight="1" x14ac:dyDescent="0.2">
      <c r="A192" s="462">
        <f>VLOOKUP(B192,Sheet1!$AQ$4:$AR$25,2,FALSE)</f>
        <v>0</v>
      </c>
      <c r="B192" s="95" t="str">
        <f t="shared" si="71"/>
        <v>Milton Keynes</v>
      </c>
      <c r="C192" s="87"/>
      <c r="D192" s="158">
        <f t="shared" si="76"/>
        <v>1</v>
      </c>
      <c r="E192" s="158">
        <f t="shared" si="77"/>
        <v>0.95652173913043481</v>
      </c>
      <c r="F192" s="158">
        <f t="shared" si="78"/>
        <v>1</v>
      </c>
      <c r="G192" s="158">
        <f t="shared" si="79"/>
        <v>0.98529411764705888</v>
      </c>
      <c r="H192" s="160">
        <f t="shared" si="80"/>
        <v>0.96511627906976749</v>
      </c>
      <c r="I192" s="98"/>
      <c r="J192" s="98"/>
      <c r="K192" s="162"/>
      <c r="L192" s="162"/>
      <c r="M192" s="162"/>
      <c r="N192" s="162"/>
      <c r="O192" s="162"/>
      <c r="P192" s="162"/>
      <c r="Q192" s="162"/>
      <c r="R192" s="163"/>
      <c r="S192" s="155"/>
      <c r="T192" s="155"/>
      <c r="U192" s="162"/>
      <c r="V192" s="124"/>
      <c r="W192" s="140"/>
      <c r="X192" s="149"/>
      <c r="Y192" s="552" t="str">
        <f t="shared" si="81"/>
        <v>Milton Keynes</v>
      </c>
      <c r="Z192" s="556">
        <f>IF(Year1_Milton_Keynes Year1_CP_Plans_3months="","",Year1_Milton_Keynes Year1_CP_Plans_3months)</f>
        <v>34</v>
      </c>
      <c r="AA192" s="365">
        <f>IF(Year2_Milton_Keynes Year2_CP_Plans_3months="","",Year2_Milton_Keynes Year2_CP_Plans_3months)</f>
        <v>46</v>
      </c>
      <c r="AB192" s="365">
        <f>IF(Year3_Milton_Keynes Year3_CP_Plans_3months="","",Year3_Milton_Keynes Year3_CP_Plans_3months)</f>
        <v>49</v>
      </c>
      <c r="AC192" s="365">
        <f>IF(Year4_Milton_Keynes Year4_CP_Plans_3months="","",Year4_Milton_Keynes Year4_CP_Plans_3months)</f>
        <v>68</v>
      </c>
      <c r="AD192" s="552">
        <f>IF(Year5_Milton_Keynes Year5_CP_Plans_3months="","",Year5_Milton_Keynes Year5_CP_Plans_3months)</f>
        <v>86</v>
      </c>
      <c r="AE192" s="377" t="str">
        <f t="shared" si="82"/>
        <v>Milton Keynes</v>
      </c>
      <c r="AF192" s="463">
        <f>IF(Year1_Milton_Keynes Year1_CP_Plans_3months_timescales="","",Year1_Milton_Keynes Year1_CP_Plans_3months_timescales)</f>
        <v>34</v>
      </c>
      <c r="AG192" s="365">
        <f>IF(Year2_Milton_Keynes Year2_CP_Plans_3months_timescales="","",Year2_Milton_Keynes Year2_CP_Plans_3months_timescales)</f>
        <v>44</v>
      </c>
      <c r="AH192" s="365">
        <f>IF(Year3_Milton_Keynes Year3_CP_Plans_3months_timescales="","",Year3_Milton_Keynes Year3_CP_Plans_3months_timescales)</f>
        <v>49</v>
      </c>
      <c r="AI192" s="365">
        <f>IF(Year4_Milton_Keynes Year4_CP_Plans_3months_timescales="","",Year4_Milton_Keynes Year4_CP_Plans_3months_timescales)</f>
        <v>67</v>
      </c>
      <c r="AJ192" s="365">
        <f>IF(Year5_Milton_Keynes Year5_CP_Plans_3months_timescales="","",Year5_Milton_Keynes Year5_CP_Plans_3months_timescales)</f>
        <v>83</v>
      </c>
      <c r="AK192" s="153"/>
      <c r="AL192" s="76"/>
    </row>
    <row r="193" spans="1:38" s="89" customFormat="1" ht="12.75" customHeight="1" x14ac:dyDescent="0.2">
      <c r="A193" s="462">
        <f>VLOOKUP(B193,Sheet1!$AQ$4:$AR$25,2,FALSE)</f>
        <v>0</v>
      </c>
      <c r="B193" s="95" t="str">
        <f t="shared" si="71"/>
        <v>Oxfordshire</v>
      </c>
      <c r="C193" s="87"/>
      <c r="D193" s="158">
        <f t="shared" si="76"/>
        <v>0.95454545454545459</v>
      </c>
      <c r="E193" s="158">
        <f t="shared" si="77"/>
        <v>0.95674300254452926</v>
      </c>
      <c r="F193" s="158">
        <f t="shared" si="78"/>
        <v>0.97136038186157514</v>
      </c>
      <c r="G193" s="158">
        <f t="shared" si="79"/>
        <v>0.93724696356275305</v>
      </c>
      <c r="H193" s="160">
        <f t="shared" si="80"/>
        <v>0.92009685230024219</v>
      </c>
      <c r="I193" s="98"/>
      <c r="J193" s="98"/>
      <c r="K193" s="162"/>
      <c r="L193" s="162"/>
      <c r="M193" s="162"/>
      <c r="N193" s="162"/>
      <c r="O193" s="162"/>
      <c r="P193" s="162"/>
      <c r="Q193" s="162"/>
      <c r="R193" s="163"/>
      <c r="S193" s="155"/>
      <c r="T193" s="155"/>
      <c r="U193" s="162"/>
      <c r="V193" s="124"/>
      <c r="W193" s="140"/>
      <c r="X193" s="149"/>
      <c r="Y193" s="552" t="str">
        <f t="shared" si="81"/>
        <v>Oxfordshire</v>
      </c>
      <c r="Z193" s="556">
        <f>IF(Year1_Oxfordshire Year1_CP_Plans_3months="","",Year1_Oxfordshire Year1_CP_Plans_3months)</f>
        <v>418</v>
      </c>
      <c r="AA193" s="365">
        <f>IF(Year2_Oxfordshire Year2_CP_Plans_3months="","",Year2_Oxfordshire Year2_CP_Plans_3months)</f>
        <v>393</v>
      </c>
      <c r="AB193" s="365">
        <f>IF(Year3_Oxfordshire Year3_CP_Plans_3months="","",Year3_Oxfordshire Year3_CP_Plans_3months)</f>
        <v>419</v>
      </c>
      <c r="AC193" s="365">
        <f>IF(Year4_Oxfordshire Year4_CP_Plans_3months="","",Year4_Oxfordshire Year4_CP_Plans_3months)</f>
        <v>494</v>
      </c>
      <c r="AD193" s="552">
        <f>IF(Year5_Oxfordshire Year5_CP_Plans_3months="","",Year5_Oxfordshire Year5_CP_Plans_3months)</f>
        <v>413</v>
      </c>
      <c r="AE193" s="377" t="str">
        <f t="shared" si="82"/>
        <v>Oxfordshire</v>
      </c>
      <c r="AF193" s="463">
        <f>IF(Year1_Oxfordshire Year1_CP_Plans_3months_timescales="","",Year1_Oxfordshire Year1_CP_Plans_3months_timescales)</f>
        <v>399</v>
      </c>
      <c r="AG193" s="365">
        <f>IF(Year2_Oxfordshire Year2_CP_Plans_3months_timescales="","",Year2_Oxfordshire Year2_CP_Plans_3months_timescales)</f>
        <v>376</v>
      </c>
      <c r="AH193" s="365">
        <f>IF(Year3_Oxfordshire Year3_CP_Plans_3months_timescales="","",Year3_Oxfordshire Year3_CP_Plans_3months_timescales)</f>
        <v>407</v>
      </c>
      <c r="AI193" s="365">
        <f>IF(Year4_Oxfordshire Year4_CP_Plans_3months_timescales="","",Year4_Oxfordshire Year4_CP_Plans_3months_timescales)</f>
        <v>463</v>
      </c>
      <c r="AJ193" s="365">
        <f>IF(Year5_Oxfordshire Year5_CP_Plans_3months_timescales="","",Year5_Oxfordshire Year5_CP_Plans_3months_timescales)</f>
        <v>380</v>
      </c>
      <c r="AK193" s="153"/>
      <c r="AL193" s="76"/>
    </row>
    <row r="194" spans="1:38" s="89" customFormat="1" ht="12.75" customHeight="1" x14ac:dyDescent="0.2">
      <c r="A194" s="462">
        <f>VLOOKUP(B194,Sheet1!$AQ$4:$AR$25,2,FALSE)</f>
        <v>0</v>
      </c>
      <c r="B194" s="95" t="str">
        <f t="shared" si="71"/>
        <v>Portsmouth</v>
      </c>
      <c r="C194" s="87"/>
      <c r="D194" s="158">
        <f t="shared" si="76"/>
        <v>0.99397590361445787</v>
      </c>
      <c r="E194" s="158">
        <f t="shared" si="77"/>
        <v>0.93577981651376152</v>
      </c>
      <c r="F194" s="158">
        <f t="shared" si="78"/>
        <v>0.99425287356321834</v>
      </c>
      <c r="G194" s="158">
        <f t="shared" si="79"/>
        <v>1</v>
      </c>
      <c r="H194" s="160">
        <f t="shared" si="80"/>
        <v>1</v>
      </c>
      <c r="I194" s="98"/>
      <c r="J194" s="98"/>
      <c r="K194" s="162"/>
      <c r="L194" s="162"/>
      <c r="M194" s="162"/>
      <c r="N194" s="162"/>
      <c r="O194" s="162"/>
      <c r="P194" s="162"/>
      <c r="Q194" s="162"/>
      <c r="R194" s="163"/>
      <c r="S194" s="155"/>
      <c r="T194" s="155"/>
      <c r="U194" s="162"/>
      <c r="V194" s="124"/>
      <c r="W194" s="140"/>
      <c r="X194" s="149"/>
      <c r="Y194" s="552" t="str">
        <f t="shared" si="81"/>
        <v>Portsmouth</v>
      </c>
      <c r="Z194" s="556">
        <f>IF(Year1_Portsmouth Year1_CP_Plans_3months="","",Year1_Portsmouth Year1_CP_Plans_3months)</f>
        <v>166</v>
      </c>
      <c r="AA194" s="365">
        <f>IF(Year2_Portsmouth Year2_CP_Plans_3months="","",Year2_Portsmouth Year2_CP_Plans_3months)</f>
        <v>218</v>
      </c>
      <c r="AB194" s="365">
        <f>IF(Year3_Portsmouth Year3_CP_Plans_3months="","",Year3_Portsmouth Year3_CP_Plans_3months)</f>
        <v>174</v>
      </c>
      <c r="AC194" s="365">
        <f>IF(Year4_Portsmouth Year4_CP_Plans_3months="","",Year4_Portsmouth Year4_CP_Plans_3months)</f>
        <v>217</v>
      </c>
      <c r="AD194" s="552">
        <f>IF(Year5_Portsmouth Year5_CP_Plans_3months="","",Year5_Portsmouth Year5_CP_Plans_3months)</f>
        <v>143</v>
      </c>
      <c r="AE194" s="377" t="str">
        <f t="shared" si="82"/>
        <v>Portsmouth</v>
      </c>
      <c r="AF194" s="463">
        <f>IF(Year1_Portsmouth Year1_CP_Plans_3months_timescales="","",Year1_Portsmouth Year1_CP_Plans_3months_timescales)</f>
        <v>165</v>
      </c>
      <c r="AG194" s="365">
        <f>IF(Year2_Portsmouth Year2_CP_Plans_3months_timescales="","",Year2_Portsmouth Year2_CP_Plans_3months_timescales)</f>
        <v>204</v>
      </c>
      <c r="AH194" s="365">
        <f>IF(Year3_Portsmouth Year3_CP_Plans_3months_timescales="","",Year3_Portsmouth Year3_CP_Plans_3months_timescales)</f>
        <v>173</v>
      </c>
      <c r="AI194" s="365">
        <f>IF(Year4_Portsmouth Year4_CP_Plans_3months_timescales="","",Year4_Portsmouth Year4_CP_Plans_3months_timescales)</f>
        <v>217</v>
      </c>
      <c r="AJ194" s="365">
        <f>IF(Year5_Portsmouth Year5_CP_Plans_3months_timescales="","",Year5_Portsmouth Year5_CP_Plans_3months_timescales)</f>
        <v>143</v>
      </c>
      <c r="AK194" s="153"/>
      <c r="AL194" s="76"/>
    </row>
    <row r="195" spans="1:38" s="89" customFormat="1" ht="12.75" customHeight="1" x14ac:dyDescent="0.2">
      <c r="A195" s="462">
        <f>VLOOKUP(B195,Sheet1!$AQ$4:$AR$25,2,FALSE)</f>
        <v>0</v>
      </c>
      <c r="B195" s="95" t="str">
        <f t="shared" si="71"/>
        <v>Reading</v>
      </c>
      <c r="C195" s="87"/>
      <c r="D195" s="158">
        <f t="shared" si="76"/>
        <v>0.9850746268656716</v>
      </c>
      <c r="E195" s="158">
        <f t="shared" si="77"/>
        <v>0.78523489932885904</v>
      </c>
      <c r="F195" s="158">
        <f t="shared" si="78"/>
        <v>3.3898305084745763E-2</v>
      </c>
      <c r="G195" s="158">
        <f t="shared" si="79"/>
        <v>0.7142857142857143</v>
      </c>
      <c r="H195" s="160">
        <f t="shared" si="80"/>
        <v>0.77714285714285714</v>
      </c>
      <c r="I195" s="98"/>
      <c r="J195" s="98"/>
      <c r="K195" s="162"/>
      <c r="L195" s="162"/>
      <c r="M195" s="162"/>
      <c r="N195" s="162"/>
      <c r="O195" s="162"/>
      <c r="P195" s="162"/>
      <c r="Q195" s="162"/>
      <c r="R195" s="163"/>
      <c r="S195" s="155"/>
      <c r="T195" s="155"/>
      <c r="U195" s="162"/>
      <c r="V195" s="124"/>
      <c r="W195" s="140"/>
      <c r="X195" s="149"/>
      <c r="Y195" s="552" t="str">
        <f t="shared" si="81"/>
        <v>Reading</v>
      </c>
      <c r="Z195" s="556">
        <f>IF(Year1_Reading Year1_CP_Plans_3months="","",Year1_Reading Year1_CP_Plans_3months)</f>
        <v>134</v>
      </c>
      <c r="AA195" s="365">
        <f>IF(Year2_Reading Year2_CP_Plans_3months="","",Year2_Reading Year2_CP_Plans_3months)</f>
        <v>149</v>
      </c>
      <c r="AB195" s="365">
        <f>IF(Year3_Reading Year3_CP_Plans_3months="","",Year3_Reading Year3_CP_Plans_3months)</f>
        <v>236</v>
      </c>
      <c r="AC195" s="365">
        <f>IF(Year4_Reading Year4_CP_Plans_3months="","",Year4_Reading Year4_CP_Plans_3months)</f>
        <v>217</v>
      </c>
      <c r="AD195" s="552">
        <f>IF(Year5_Reading Year5_CP_Plans_3months="","",Year5_Reading Year5_CP_Plans_3months)</f>
        <v>175</v>
      </c>
      <c r="AE195" s="377" t="str">
        <f t="shared" si="82"/>
        <v>Reading</v>
      </c>
      <c r="AF195" s="463">
        <f>IF(Year1_Reading Year1_CP_Plans_3months_timescales="","",Year1_Reading Year1_CP_Plans_3months_timescales)</f>
        <v>132</v>
      </c>
      <c r="AG195" s="365">
        <f>IF(Year2_Reading Year2_CP_Plans_3months_timescales="","",Year2_Reading Year2_CP_Plans_3months_timescales)</f>
        <v>117</v>
      </c>
      <c r="AH195" s="365">
        <f>IF(Year3_Reading Year3_CP_Plans_3months_timescales="","",Year3_Reading Year3_CP_Plans_3months_timescales)</f>
        <v>8</v>
      </c>
      <c r="AI195" s="365">
        <f>IF(Year4_Reading Year4_CP_Plans_3months_timescales="","",Year4_Reading Year4_CP_Plans_3months_timescales)</f>
        <v>155</v>
      </c>
      <c r="AJ195" s="365">
        <f>IF(Year5_Reading Year5_CP_Plans_3months_timescales="","",Year5_Reading Year5_CP_Plans_3months_timescales)</f>
        <v>136</v>
      </c>
      <c r="AK195" s="153"/>
      <c r="AL195" s="76"/>
    </row>
    <row r="196" spans="1:38" s="89" customFormat="1" ht="12.75" customHeight="1" x14ac:dyDescent="0.2">
      <c r="A196" s="462">
        <f>VLOOKUP(B196,Sheet1!$AQ$4:$AR$25,2,FALSE)</f>
        <v>0</v>
      </c>
      <c r="B196" s="95" t="str">
        <f t="shared" si="71"/>
        <v>Slough</v>
      </c>
      <c r="C196" s="87"/>
      <c r="D196" s="158">
        <f t="shared" si="76"/>
        <v>0.81333333333333335</v>
      </c>
      <c r="E196" s="158">
        <f t="shared" si="77"/>
        <v>0.96062992125984248</v>
      </c>
      <c r="F196" s="158">
        <f t="shared" si="78"/>
        <v>0.9642857142857143</v>
      </c>
      <c r="G196" s="158">
        <f t="shared" si="79"/>
        <v>0.39175257731958762</v>
      </c>
      <c r="H196" s="160">
        <f t="shared" si="80"/>
        <v>0.900709219858156</v>
      </c>
      <c r="I196" s="98"/>
      <c r="J196" s="98"/>
      <c r="K196" s="162"/>
      <c r="L196" s="162"/>
      <c r="M196" s="162"/>
      <c r="N196" s="162"/>
      <c r="O196" s="162"/>
      <c r="P196" s="162"/>
      <c r="Q196" s="162"/>
      <c r="R196" s="163"/>
      <c r="S196" s="155"/>
      <c r="T196" s="155"/>
      <c r="U196" s="162"/>
      <c r="V196" s="124"/>
      <c r="W196" s="140"/>
      <c r="X196" s="149"/>
      <c r="Y196" s="552" t="str">
        <f t="shared" si="81"/>
        <v>Slough</v>
      </c>
      <c r="Z196" s="556">
        <f>IF(Year1_Slough Year1_CP_Plans_3months="","",Year1_Slough Year1_CP_Plans_3months)</f>
        <v>75</v>
      </c>
      <c r="AA196" s="365">
        <f>IF(Year2_Slough Year2_CP_Plans_3months="","",Year2_Slough Year2_CP_Plans_3months)</f>
        <v>127</v>
      </c>
      <c r="AB196" s="365">
        <f>IF(Year3_Slough Year3_CP_Plans_3months="","",Year3_Slough Year3_CP_Plans_3months)</f>
        <v>112</v>
      </c>
      <c r="AC196" s="365">
        <f>IF(Year4_Slough Year4_CP_Plans_3months="","",Year4_Slough Year4_CP_Plans_3months)</f>
        <v>97</v>
      </c>
      <c r="AD196" s="552">
        <f>IF(Year5_Slough Year5_CP_Plans_3months="","",Year5_Slough Year5_CP_Plans_3months)</f>
        <v>141</v>
      </c>
      <c r="AE196" s="377" t="str">
        <f t="shared" si="82"/>
        <v>Slough</v>
      </c>
      <c r="AF196" s="463">
        <f>IF(Year1_Slough Year1_CP_Plans_3months_timescales="","",Year1_Slough Year1_CP_Plans_3months_timescales)</f>
        <v>61</v>
      </c>
      <c r="AG196" s="365">
        <f>IF(Year2_Slough Year2_CP_Plans_3months_timescales="","",Year2_Slough Year2_CP_Plans_3months_timescales)</f>
        <v>122</v>
      </c>
      <c r="AH196" s="365">
        <f>IF(Year3_Slough Year3_CP_Plans_3months_timescales="","",Year3_Slough Year3_CP_Plans_3months_timescales)</f>
        <v>108</v>
      </c>
      <c r="AI196" s="365">
        <f>IF(Year4_Slough Year4_CP_Plans_3months_timescales="","",Year4_Slough Year4_CP_Plans_3months_timescales)</f>
        <v>38</v>
      </c>
      <c r="AJ196" s="365">
        <f>IF(Year5_Slough Year5_CP_Plans_3months_timescales="","",Year5_Slough Year5_CP_Plans_3months_timescales)</f>
        <v>127</v>
      </c>
      <c r="AK196" s="153"/>
      <c r="AL196" s="76"/>
    </row>
    <row r="197" spans="1:38" s="89" customFormat="1" ht="12.75" customHeight="1" x14ac:dyDescent="0.2">
      <c r="A197" s="462">
        <f>VLOOKUP(B197,Sheet1!$AQ$4:$AR$25,2,FALSE)</f>
        <v>0</v>
      </c>
      <c r="B197" s="95" t="str">
        <f t="shared" si="71"/>
        <v>Somerset</v>
      </c>
      <c r="C197" s="87"/>
      <c r="D197" s="158">
        <f t="shared" si="76"/>
        <v>1</v>
      </c>
      <c r="E197" s="158">
        <f t="shared" si="77"/>
        <v>0.9732620320855615</v>
      </c>
      <c r="F197" s="158">
        <f t="shared" si="78"/>
        <v>0.95528455284552849</v>
      </c>
      <c r="G197" s="158">
        <f t="shared" si="79"/>
        <v>0.96065573770491808</v>
      </c>
      <c r="H197" s="160">
        <f t="shared" si="80"/>
        <v>0.90073529411764708</v>
      </c>
      <c r="I197" s="98"/>
      <c r="J197" s="98"/>
      <c r="K197" s="162"/>
      <c r="L197" s="162"/>
      <c r="M197" s="162"/>
      <c r="N197" s="162"/>
      <c r="O197" s="162"/>
      <c r="P197" s="162"/>
      <c r="Q197" s="162"/>
      <c r="R197" s="163"/>
      <c r="S197" s="155"/>
      <c r="T197" s="155"/>
      <c r="U197" s="162"/>
      <c r="V197" s="124"/>
      <c r="W197" s="140"/>
      <c r="X197" s="149"/>
      <c r="Y197" s="552" t="str">
        <f t="shared" si="81"/>
        <v>Somerset</v>
      </c>
      <c r="Z197" s="556">
        <f>IF(Year1_Somerset Year1_CP_Plans_3months="","",Year1_Somerset Year1_CP_Plans_3months)</f>
        <v>331</v>
      </c>
      <c r="AA197" s="365">
        <f>IF(Year2_Somerset Year2_CP_Plans_3months="","",Year2_Somerset Year2_CP_Plans_3months)</f>
        <v>187</v>
      </c>
      <c r="AB197" s="365">
        <f>IF(Year3_Somerset Year3_CP_Plans_3months="","",Year3_Somerset Year3_CP_Plans_3months)</f>
        <v>246</v>
      </c>
      <c r="AC197" s="365">
        <f>IF(Year4_Somerset Year4_CP_Plans_3months="","",Year4_Somerset Year4_CP_Plans_3months)</f>
        <v>305</v>
      </c>
      <c r="AD197" s="552">
        <f>IF(Year5_Somerset Year5_CP_Plans_3months="","",Year5_Somerset Year5_CP_Plans_3months)</f>
        <v>272</v>
      </c>
      <c r="AE197" s="377" t="str">
        <f t="shared" si="82"/>
        <v>Somerset</v>
      </c>
      <c r="AF197" s="463">
        <f>IF(Year1_Somerset Year1_CP_Plans_3months_timescales="","",Year1_Somerset Year1_CP_Plans_3months_timescales)</f>
        <v>331</v>
      </c>
      <c r="AG197" s="365">
        <f>IF(Year2_Somerset Year2_CP_Plans_3months_timescales="","",Year2_Somerset Year2_CP_Plans_3months_timescales)</f>
        <v>182</v>
      </c>
      <c r="AH197" s="365">
        <f>IF(Year3_Somerset Year3_CP_Plans_3months_timescales="","",Year3_Somerset Year3_CP_Plans_3months_timescales)</f>
        <v>235</v>
      </c>
      <c r="AI197" s="365">
        <f>IF(Year4_Somerset Year4_CP_Plans_3months_timescales="","",Year4_Somerset Year4_CP_Plans_3months_timescales)</f>
        <v>293</v>
      </c>
      <c r="AJ197" s="365">
        <f>IF(Year5_Somerset Year5_CP_Plans_3months_timescales="","",Year5_Somerset Year5_CP_Plans_3months_timescales)</f>
        <v>245</v>
      </c>
      <c r="AK197" s="153"/>
      <c r="AL197" s="76"/>
    </row>
    <row r="198" spans="1:38" s="89" customFormat="1" ht="12.75" customHeight="1" x14ac:dyDescent="0.2">
      <c r="A198" s="462">
        <f>VLOOKUP(B198,Sheet1!$AQ$4:$AR$25,2,FALSE)</f>
        <v>0</v>
      </c>
      <c r="B198" s="95" t="str">
        <f t="shared" si="71"/>
        <v>Southampton</v>
      </c>
      <c r="C198" s="87"/>
      <c r="D198" s="158">
        <f t="shared" si="76"/>
        <v>0.73300970873786409</v>
      </c>
      <c r="E198" s="158">
        <f t="shared" si="77"/>
        <v>0.72</v>
      </c>
      <c r="F198" s="158">
        <f t="shared" si="78"/>
        <v>0.75</v>
      </c>
      <c r="G198" s="158">
        <f t="shared" si="79"/>
        <v>0.72033898305084743</v>
      </c>
      <c r="H198" s="160">
        <f t="shared" si="80"/>
        <v>0.61809045226130654</v>
      </c>
      <c r="I198" s="98"/>
      <c r="J198" s="98"/>
      <c r="K198" s="162"/>
      <c r="L198" s="162"/>
      <c r="M198" s="162"/>
      <c r="N198" s="162"/>
      <c r="O198" s="162"/>
      <c r="P198" s="162"/>
      <c r="Q198" s="162"/>
      <c r="R198" s="163"/>
      <c r="S198" s="155"/>
      <c r="T198" s="155"/>
      <c r="U198" s="162"/>
      <c r="V198" s="124"/>
      <c r="W198" s="140"/>
      <c r="X198" s="149"/>
      <c r="Y198" s="552" t="str">
        <f t="shared" si="81"/>
        <v>Southampton</v>
      </c>
      <c r="Z198" s="556">
        <f>IF(Year1_Southampton Year1_CP_Plans_3months="","",Year1_Southampton Year1_CP_Plans_3months)</f>
        <v>206</v>
      </c>
      <c r="AA198" s="365">
        <f>IF(Year2_Southampton Year2_CP_Plans_3months="","",Year2_Southampton Year2_CP_Plans_3months)</f>
        <v>200</v>
      </c>
      <c r="AB198" s="365">
        <f>IF(Year3_Southampton Year3_CP_Plans_3months="","",Year3_Southampton Year3_CP_Plans_3months)</f>
        <v>188</v>
      </c>
      <c r="AC198" s="365">
        <f>IF(Year4_Southampton Year4_CP_Plans_3months="","",Year4_Southampton Year4_CP_Plans_3months)</f>
        <v>236</v>
      </c>
      <c r="AD198" s="552">
        <f>IF(Year5_Southampton Year5_CP_Plans_3months="","",Year5_Southampton Year5_CP_Plans_3months)</f>
        <v>199</v>
      </c>
      <c r="AE198" s="377" t="str">
        <f t="shared" si="82"/>
        <v>Southampton</v>
      </c>
      <c r="AF198" s="463">
        <f>IF(Year1_Southampton Year1_CP_Plans_3months_timescales="","",Year1_Southampton Year1_CP_Plans_3months_timescales)</f>
        <v>151</v>
      </c>
      <c r="AG198" s="365">
        <f>IF(Year2_Southampton Year2_CP_Plans_3months_timescales="","",Year2_Southampton Year2_CP_Plans_3months_timescales)</f>
        <v>144</v>
      </c>
      <c r="AH198" s="365">
        <f>IF(Year3_Southampton Year3_CP_Plans_3months_timescales="","",Year3_Southampton Year3_CP_Plans_3months_timescales)</f>
        <v>141</v>
      </c>
      <c r="AI198" s="365">
        <f>IF(Year4_Southampton Year4_CP_Plans_3months_timescales="","",Year4_Southampton Year4_CP_Plans_3months_timescales)</f>
        <v>170</v>
      </c>
      <c r="AJ198" s="365">
        <f>IF(Year5_Southampton Year5_CP_Plans_3months_timescales="","",Year5_Southampton Year5_CP_Plans_3months_timescales)</f>
        <v>123</v>
      </c>
      <c r="AK198" s="153"/>
      <c r="AL198" s="76"/>
    </row>
    <row r="199" spans="1:38" s="89" customFormat="1" ht="12.75" customHeight="1" x14ac:dyDescent="0.2">
      <c r="A199" s="462">
        <f>VLOOKUP(B199,Sheet1!$AQ$4:$AR$25,2,FALSE)</f>
        <v>0</v>
      </c>
      <c r="B199" s="95" t="str">
        <f t="shared" si="71"/>
        <v>Surrey</v>
      </c>
      <c r="C199" s="87"/>
      <c r="D199" s="158">
        <f t="shared" si="76"/>
        <v>0.851123595505618</v>
      </c>
      <c r="E199" s="158">
        <f t="shared" si="77"/>
        <v>0.97249190938511332</v>
      </c>
      <c r="F199" s="158">
        <f t="shared" si="78"/>
        <v>0.97734627831715215</v>
      </c>
      <c r="G199" s="158">
        <f t="shared" si="79"/>
        <v>0.95</v>
      </c>
      <c r="H199" s="160">
        <f t="shared" si="80"/>
        <v>0.88761174968071521</v>
      </c>
      <c r="I199" s="98"/>
      <c r="J199" s="98"/>
      <c r="K199" s="162"/>
      <c r="L199" s="162"/>
      <c r="M199" s="162"/>
      <c r="N199" s="162"/>
      <c r="O199" s="162"/>
      <c r="P199" s="162"/>
      <c r="Q199" s="162"/>
      <c r="R199" s="163"/>
      <c r="S199" s="155"/>
      <c r="T199" s="155"/>
      <c r="U199" s="162"/>
      <c r="V199" s="124"/>
      <c r="W199" s="140"/>
      <c r="X199" s="149"/>
      <c r="Y199" s="552" t="str">
        <f t="shared" si="81"/>
        <v>Surrey</v>
      </c>
      <c r="Z199" s="556">
        <f>IF(Year1_Surrey Year1_CP_Plans_3months="","",Year1_Surrey Year1_CP_Plans_3months)</f>
        <v>712</v>
      </c>
      <c r="AA199" s="365">
        <f>IF(Year2_Surrey Year2_CP_Plans_3months="","",Year2_Surrey Year2_CP_Plans_3months)</f>
        <v>618</v>
      </c>
      <c r="AB199" s="365">
        <f>IF(Year3_Surrey Year3_CP_Plans_3months="","",Year3_Surrey Year3_CP_Plans_3months)</f>
        <v>618</v>
      </c>
      <c r="AC199" s="365">
        <f>IF(Year4_Surrey Year4_CP_Plans_3months="","",Year4_Surrey Year4_CP_Plans_3months)</f>
        <v>660</v>
      </c>
      <c r="AD199" s="552">
        <f>IF(Year5_Surrey Year5_CP_Plans_3months="","",Year5_Surrey Year5_CP_Plans_3months)</f>
        <v>783</v>
      </c>
      <c r="AE199" s="377" t="str">
        <f t="shared" si="82"/>
        <v>Surrey</v>
      </c>
      <c r="AF199" s="463">
        <f>IF(Year1_Surrey Year1_CP_Plans_3months_timescales="","",Year1_Surrey Year1_CP_Plans_3months_timescales)</f>
        <v>606</v>
      </c>
      <c r="AG199" s="365">
        <f>IF(Year2_Surrey Year2_CP_Plans_3months_timescales="","",Year2_Surrey Year2_CP_Plans_3months_timescales)</f>
        <v>601</v>
      </c>
      <c r="AH199" s="365">
        <f>IF(Year3_Surrey Year3_CP_Plans_3months_timescales="","",Year3_Surrey Year3_CP_Plans_3months_timescales)</f>
        <v>604</v>
      </c>
      <c r="AI199" s="365">
        <f>IF(Year4_Surrey Year4_CP_Plans_3months_timescales="","",Year4_Surrey Year4_CP_Plans_3months_timescales)</f>
        <v>627</v>
      </c>
      <c r="AJ199" s="365">
        <f>IF(Year5_Surrey Year5_CP_Plans_3months_timescales="","",Year5_Surrey Year5_CP_Plans_3months_timescales)</f>
        <v>695</v>
      </c>
      <c r="AK199" s="153"/>
      <c r="AL199" s="76"/>
    </row>
    <row r="200" spans="1:38" s="89" customFormat="1" ht="12.75" customHeight="1" x14ac:dyDescent="0.2">
      <c r="A200" s="462">
        <f>VLOOKUP(B200,Sheet1!$AQ$4:$AR$25,2,FALSE)</f>
        <v>0</v>
      </c>
      <c r="B200" s="95" t="str">
        <f t="shared" si="71"/>
        <v>Swindon</v>
      </c>
      <c r="C200" s="87"/>
      <c r="D200" s="158">
        <f t="shared" si="76"/>
        <v>0.93377483443708609</v>
      </c>
      <c r="E200" s="158">
        <f t="shared" si="77"/>
        <v>0.94374999999999998</v>
      </c>
      <c r="F200" s="158">
        <f t="shared" si="78"/>
        <v>0.91719745222929938</v>
      </c>
      <c r="G200" s="158">
        <f t="shared" si="79"/>
        <v>0.98473282442748089</v>
      </c>
      <c r="H200" s="160">
        <f t="shared" si="80"/>
        <v>0.93207547169811322</v>
      </c>
      <c r="I200" s="98"/>
      <c r="J200" s="98"/>
      <c r="K200" s="162"/>
      <c r="L200" s="162"/>
      <c r="M200" s="162"/>
      <c r="N200" s="162"/>
      <c r="O200" s="162"/>
      <c r="P200" s="162"/>
      <c r="Q200" s="162"/>
      <c r="R200" s="163"/>
      <c r="S200" s="155"/>
      <c r="T200" s="155"/>
      <c r="U200" s="162"/>
      <c r="V200" s="124"/>
      <c r="W200" s="140"/>
      <c r="X200" s="149"/>
      <c r="Y200" s="552" t="str">
        <f t="shared" si="81"/>
        <v>Swindon</v>
      </c>
      <c r="Z200" s="556">
        <f>IF(Year1_Swindon Year1_CP_Plans_3months="","",Year1_Swindon Year1_CP_Plans_3months)</f>
        <v>151</v>
      </c>
      <c r="AA200" s="365">
        <f>IF(Year2_Swindon Year2_CP_Plans_3months="","",Year2_Swindon Year2_CP_Plans_3months)</f>
        <v>160</v>
      </c>
      <c r="AB200" s="365">
        <f>IF(Year3_Swindon Year3_CP_Plans_3months="","",Year3_Swindon Year3_CP_Plans_3months)</f>
        <v>157</v>
      </c>
      <c r="AC200" s="365">
        <f>IF(Year4_Swindon Year4_CP_Plans_3months="","",Year4_Swindon Year4_CP_Plans_3months)</f>
        <v>262</v>
      </c>
      <c r="AD200" s="552">
        <f>IF(Year5_Swindon Year5_CP_Plans_3months="","",Year5_Swindon Year5_CP_Plans_3months)</f>
        <v>265</v>
      </c>
      <c r="AE200" s="377" t="str">
        <f t="shared" si="82"/>
        <v>Swindon</v>
      </c>
      <c r="AF200" s="463">
        <f>IF(Year1_Swindon Year1_CP_Plans_3months_timescales="","",Year1_Swindon Year1_CP_Plans_3months_timescales)</f>
        <v>141</v>
      </c>
      <c r="AG200" s="365">
        <f>IF(Year2_Swindon Year2_CP_Plans_3months_timescales="","",Year2_Swindon Year2_CP_Plans_3months_timescales)</f>
        <v>151</v>
      </c>
      <c r="AH200" s="365">
        <f>IF(Year3_Swindon Year3_CP_Plans_3months_timescales="","",Year3_Swindon Year3_CP_Plans_3months_timescales)</f>
        <v>144</v>
      </c>
      <c r="AI200" s="365">
        <f>IF(Year4_Swindon Year4_CP_Plans_3months_timescales="","",Year4_Swindon Year4_CP_Plans_3months_timescales)</f>
        <v>258</v>
      </c>
      <c r="AJ200" s="365">
        <f>IF(Year5_Swindon Year5_CP_Plans_3months_timescales="","",Year5_Swindon Year5_CP_Plans_3months_timescales)</f>
        <v>247</v>
      </c>
      <c r="AK200" s="153"/>
      <c r="AL200" s="76"/>
    </row>
    <row r="201" spans="1:38" s="89" customFormat="1" ht="12.75" customHeight="1" x14ac:dyDescent="0.2">
      <c r="A201" s="462">
        <f>VLOOKUP(B201,Sheet1!$AQ$4:$AR$25,2,FALSE)</f>
        <v>0</v>
      </c>
      <c r="B201" s="95" t="str">
        <f t="shared" si="71"/>
        <v>Torbay</v>
      </c>
      <c r="C201" s="87"/>
      <c r="D201" s="158">
        <f t="shared" si="76"/>
        <v>0.96842105263157896</v>
      </c>
      <c r="E201" s="158">
        <f t="shared" si="77"/>
        <v>0.90566037735849059</v>
      </c>
      <c r="F201" s="158">
        <f t="shared" si="78"/>
        <v>0.80916030534351147</v>
      </c>
      <c r="G201" s="158">
        <f t="shared" si="79"/>
        <v>0.74117647058823533</v>
      </c>
      <c r="H201" s="160">
        <f t="shared" si="80"/>
        <v>0.83620689655172409</v>
      </c>
      <c r="I201" s="98"/>
      <c r="J201" s="98"/>
      <c r="K201" s="162"/>
      <c r="L201" s="162"/>
      <c r="M201" s="162"/>
      <c r="N201" s="162"/>
      <c r="O201" s="162"/>
      <c r="P201" s="162"/>
      <c r="Q201" s="162"/>
      <c r="R201" s="163"/>
      <c r="S201" s="155"/>
      <c r="T201" s="155"/>
      <c r="U201" s="162"/>
      <c r="V201" s="124"/>
      <c r="W201" s="140"/>
      <c r="X201" s="149"/>
      <c r="Y201" s="552" t="str">
        <f t="shared" si="81"/>
        <v>Torbay</v>
      </c>
      <c r="Z201" s="556">
        <f>IF(Year1_Torbay Year1_CP_Plans_3months="","",Year1_Torbay Year1_CP_Plans_3months)</f>
        <v>95</v>
      </c>
      <c r="AA201" s="365">
        <f>IF(Year2_Torbay Year2_CP_Plans_3months="","",Year2_Torbay Year2_CP_Plans_3months)</f>
        <v>106</v>
      </c>
      <c r="AB201" s="365">
        <f>IF(Year3_Torbay Year3_CP_Plans_3months="","",Year3_Torbay Year3_CP_Plans_3months)</f>
        <v>131</v>
      </c>
      <c r="AC201" s="365">
        <f>IF(Year4_Torbay Year4_CP_Plans_3months="","",Year4_Torbay Year4_CP_Plans_3months)</f>
        <v>85</v>
      </c>
      <c r="AD201" s="552">
        <f>IF(Year5_Torbay Year5_CP_Plans_3months="","",Year5_Torbay Year5_CP_Plans_3months)</f>
        <v>116</v>
      </c>
      <c r="AE201" s="377" t="str">
        <f t="shared" si="82"/>
        <v>Torbay</v>
      </c>
      <c r="AF201" s="463">
        <f>IF(Year1_Torbay Year1_CP_Plans_3months_timescales="","",Year1_Torbay Year1_CP_Plans_3months_timescales)</f>
        <v>92</v>
      </c>
      <c r="AG201" s="365">
        <f>IF(Year2_Torbay Year2_CP_Plans_3months_timescales="","",Year2_Torbay Year2_CP_Plans_3months_timescales)</f>
        <v>96</v>
      </c>
      <c r="AH201" s="365">
        <f>IF(Year3_Torbay Year3_CP_Plans_3months_timescales="","",Year3_Torbay Year3_CP_Plans_3months_timescales)</f>
        <v>106</v>
      </c>
      <c r="AI201" s="365">
        <f>IF(Year4_Torbay Year4_CP_Plans_3months_timescales="","",Year4_Torbay Year4_CP_Plans_3months_timescales)</f>
        <v>63</v>
      </c>
      <c r="AJ201" s="365">
        <f>IF(Year5_Torbay Year5_CP_Plans_3months_timescales="","",Year5_Torbay Year5_CP_Plans_3months_timescales)</f>
        <v>97</v>
      </c>
      <c r="AK201" s="153"/>
      <c r="AL201" s="76"/>
    </row>
    <row r="202" spans="1:38" s="89" customFormat="1" ht="12.75" customHeight="1" x14ac:dyDescent="0.2">
      <c r="A202" s="462">
        <f>VLOOKUP(B202,Sheet1!$AQ$4:$AR$25,2,FALSE)</f>
        <v>0</v>
      </c>
      <c r="B202" s="95" t="str">
        <f t="shared" si="71"/>
        <v>West Berkshire</v>
      </c>
      <c r="C202" s="87"/>
      <c r="D202" s="158">
        <f t="shared" si="76"/>
        <v>1</v>
      </c>
      <c r="E202" s="158">
        <f t="shared" si="77"/>
        <v>0.98936170212765961</v>
      </c>
      <c r="F202" s="158">
        <f t="shared" si="78"/>
        <v>0.98780487804878048</v>
      </c>
      <c r="G202" s="158">
        <f t="shared" si="79"/>
        <v>1</v>
      </c>
      <c r="H202" s="160">
        <f t="shared" si="80"/>
        <v>0.98684210526315785</v>
      </c>
      <c r="I202" s="98"/>
      <c r="J202" s="98"/>
      <c r="K202" s="162"/>
      <c r="L202" s="162"/>
      <c r="M202" s="162"/>
      <c r="N202" s="162"/>
      <c r="O202" s="162"/>
      <c r="P202" s="162"/>
      <c r="Q202" s="162"/>
      <c r="R202" s="163"/>
      <c r="S202" s="155"/>
      <c r="T202" s="155"/>
      <c r="U202" s="162"/>
      <c r="V202" s="124"/>
      <c r="W202" s="140"/>
      <c r="X202" s="149"/>
      <c r="Y202" s="552" t="str">
        <f t="shared" si="81"/>
        <v>West Berkshire</v>
      </c>
      <c r="Z202" s="556">
        <f>IF(Year1_West_Berkshire Year1_CP_Plans_3months="","",Year1_West_Berkshire Year1_CP_Plans_3months)</f>
        <v>95</v>
      </c>
      <c r="AA202" s="365">
        <f>IF(Year2_West_Berkshire Year2_CP_Plans_3months="","",Year2_West_Berkshire Year2_CP_Plans_3months)</f>
        <v>94</v>
      </c>
      <c r="AB202" s="365">
        <f>IF(Year3_West_Berkshire Year3_CP_Plans_3months="","",Year3_West_Berkshire Year3_CP_Plans_3months)</f>
        <v>82</v>
      </c>
      <c r="AC202" s="365">
        <f>IF(Year4_West_Berkshire Year4_CP_Plans_3months="","",Year4_West_Berkshire Year4_CP_Plans_3months)</f>
        <v>93</v>
      </c>
      <c r="AD202" s="557">
        <f>IF(Year5_West_Berkshire Year5_CP_Plans_3months="","",Year5_West_Berkshire Year5_CP_Plans_3months)</f>
        <v>76</v>
      </c>
      <c r="AE202" s="377" t="str">
        <f t="shared" si="82"/>
        <v>West Berkshire</v>
      </c>
      <c r="AF202" s="463">
        <f>IF(Year1_West_Berkshire Year1_CP_Plans_3months_timescales="","",Year1_West_Berkshire Year1_CP_Plans_3months_timescales)</f>
        <v>95</v>
      </c>
      <c r="AG202" s="365">
        <f>IF(Year2_West_Berkshire Year2_CP_Plans_3months_timescales="","",Year2_West_Berkshire Year2_CP_Plans_3months_timescales)</f>
        <v>93</v>
      </c>
      <c r="AH202" s="365">
        <f>IF(Year3_West_Berkshire Year3_CP_Plans_3months_timescales="","",Year3_West_Berkshire Year3_CP_Plans_3months_timescales)</f>
        <v>81</v>
      </c>
      <c r="AI202" s="365">
        <f>IF(Year4_West_Berkshire Year4_CP_Plans_3months_timescales="","",Year4_West_Berkshire Year4_CP_Plans_3months_timescales)</f>
        <v>93</v>
      </c>
      <c r="AJ202" s="555">
        <f>IF(Year5_West_Berkshire Year5_CP_Plans_3months_timescales="","",Year5_West_Berkshire Year5_CP_Plans_3months_timescales)</f>
        <v>75</v>
      </c>
      <c r="AK202" s="153"/>
      <c r="AL202" s="76"/>
    </row>
    <row r="203" spans="1:38" s="89" customFormat="1" ht="12.75" customHeight="1" x14ac:dyDescent="0.2">
      <c r="A203" s="462">
        <f>VLOOKUP(B203,Sheet1!$AQ$4:$AR$25,2,FALSE)</f>
        <v>0</v>
      </c>
      <c r="B203" s="95" t="str">
        <f t="shared" si="71"/>
        <v>West Sussex</v>
      </c>
      <c r="C203" s="87"/>
      <c r="D203" s="158">
        <f t="shared" si="76"/>
        <v>0.98016997167138808</v>
      </c>
      <c r="E203" s="158">
        <f t="shared" si="77"/>
        <v>0.92086330935251803</v>
      </c>
      <c r="F203" s="158">
        <f t="shared" si="78"/>
        <v>0.83377308707124009</v>
      </c>
      <c r="G203" s="158">
        <f t="shared" si="79"/>
        <v>0.88682432432432434</v>
      </c>
      <c r="H203" s="160">
        <f t="shared" si="80"/>
        <v>0.88167053364269143</v>
      </c>
      <c r="I203" s="98"/>
      <c r="J203" s="98"/>
      <c r="K203" s="162"/>
      <c r="L203" s="162"/>
      <c r="M203" s="162"/>
      <c r="N203" s="162"/>
      <c r="O203" s="162"/>
      <c r="P203" s="162"/>
      <c r="Q203" s="162"/>
      <c r="R203" s="163"/>
      <c r="S203" s="155"/>
      <c r="T203" s="155"/>
      <c r="U203" s="162"/>
      <c r="V203" s="124"/>
      <c r="W203" s="140"/>
      <c r="X203" s="149"/>
      <c r="Y203" s="552" t="str">
        <f t="shared" si="81"/>
        <v>West Sussex</v>
      </c>
      <c r="Z203" s="556">
        <f>IF(Year1_West_Sussex Year1_CP_Plans_3months="","",Year1_West_Sussex Year1_CP_Plans_3months)</f>
        <v>353</v>
      </c>
      <c r="AA203" s="365">
        <f>IF(Year2_West_Sussex Year2_CP_Plans_3months="","",Year2_West_Sussex Year2_CP_Plans_3months)</f>
        <v>278</v>
      </c>
      <c r="AB203" s="365">
        <f>IF(Year3_West_Sussex Year3_CP_Plans_3months="","",Year3_West_Sussex Year3_CP_Plans_3months)</f>
        <v>379</v>
      </c>
      <c r="AC203" s="365">
        <f>IF(Year4_West_Sussex Year4_CP_Plans_3months="","",Year4_West_Sussex Year4_CP_Plans_3months)</f>
        <v>592</v>
      </c>
      <c r="AD203" s="557">
        <f>IF(Year5_West_Sussex Year5_CP_Plans_3months="","",Year5_West_Sussex Year5_CP_Plans_3months)</f>
        <v>431</v>
      </c>
      <c r="AE203" s="377" t="str">
        <f t="shared" si="82"/>
        <v>West Sussex</v>
      </c>
      <c r="AF203" s="463">
        <f>IF(Year1_West_Sussex Year1_CP_Plans_3months_timescales="","",Year1_West_Sussex Year1_CP_Plans_3months_timescales)</f>
        <v>346</v>
      </c>
      <c r="AG203" s="365">
        <f>IF(Year2_West_Sussex Year2_CP_Plans_3months_timescales="","",Year2_West_Sussex Year2_CP_Plans_3months_timescales)</f>
        <v>256</v>
      </c>
      <c r="AH203" s="365">
        <f>IF(Year3_West_Sussex Year3_CP_Plans_3months_timescales="","",Year3_West_Sussex Year3_CP_Plans_3months_timescales)</f>
        <v>316</v>
      </c>
      <c r="AI203" s="365">
        <f>IF(Year4_West_Sussex Year4_CP_Plans_3months_timescales="","",Year4_West_Sussex Year4_CP_Plans_3months_timescales)</f>
        <v>525</v>
      </c>
      <c r="AJ203" s="555">
        <f>IF(Year5_West_Sussex Year5_CP_Plans_3months_timescales="","",Year5_West_Sussex Year5_CP_Plans_3months_timescales)</f>
        <v>380</v>
      </c>
      <c r="AK203" s="153"/>
      <c r="AL203" s="76"/>
    </row>
    <row r="204" spans="1:38" s="89" customFormat="1" ht="12.75" customHeight="1" x14ac:dyDescent="0.2">
      <c r="A204" s="462">
        <f>VLOOKUP(B204,Sheet1!$AQ$4:$AR$25,2,FALSE)</f>
        <v>0</v>
      </c>
      <c r="B204" s="95" t="str">
        <f t="shared" si="71"/>
        <v>Windsor &amp; Maidenhead</v>
      </c>
      <c r="C204" s="87"/>
      <c r="D204" s="158">
        <f t="shared" si="76"/>
        <v>0.98039215686274506</v>
      </c>
      <c r="E204" s="158">
        <f t="shared" si="77"/>
        <v>1</v>
      </c>
      <c r="F204" s="158">
        <f t="shared" si="78"/>
        <v>0.96907216494845361</v>
      </c>
      <c r="G204" s="158">
        <f t="shared" si="79"/>
        <v>0.8</v>
      </c>
      <c r="H204" s="160">
        <f t="shared" si="80"/>
        <v>0.95</v>
      </c>
      <c r="I204" s="98"/>
      <c r="J204" s="98"/>
      <c r="K204" s="162"/>
      <c r="L204" s="162"/>
      <c r="M204" s="162"/>
      <c r="N204" s="162"/>
      <c r="O204" s="162"/>
      <c r="P204" s="162"/>
      <c r="Q204" s="162"/>
      <c r="R204" s="163"/>
      <c r="S204" s="155"/>
      <c r="T204" s="155"/>
      <c r="U204" s="162"/>
      <c r="V204" s="124"/>
      <c r="W204" s="140"/>
      <c r="X204" s="149"/>
      <c r="Y204" s="552" t="str">
        <f t="shared" si="81"/>
        <v>Windsor &amp; Maidenhead</v>
      </c>
      <c r="Z204" s="556">
        <f>IF(Year1_Windsor_Maidenhead Year1_CP_Plans_3months="","",Year1_Windsor_Maidenhead Year1_CP_Plans_3months)</f>
        <v>51</v>
      </c>
      <c r="AA204" s="365">
        <f>IF(Year2_Windsor_Maidenhead Year2_CP_Plans_3months="","",Year2_Windsor_Maidenhead Year2_CP_Plans_3months)</f>
        <v>83</v>
      </c>
      <c r="AB204" s="365">
        <f>IF(Year3_Windsor_Maidenhead Year3_CP_Plans_3months="","",Year3_Windsor_Maidenhead Year3_CP_Plans_3months)</f>
        <v>97</v>
      </c>
      <c r="AC204" s="365">
        <f>IF(Year4_Windsor_Maidenhead Year4_CP_Plans_3months="","",Year4_Windsor_Maidenhead Year4_CP_Plans_3months)</f>
        <v>55</v>
      </c>
      <c r="AD204" s="557">
        <f>IF(Year5_Windsor_Maidenhead Year5_CP_Plans_3months="","",Year5_Windsor_Maidenhead Year5_CP_Plans_3months)</f>
        <v>60</v>
      </c>
      <c r="AE204" s="377" t="str">
        <f t="shared" si="82"/>
        <v>Windsor &amp; Maidenhead</v>
      </c>
      <c r="AF204" s="463">
        <f>IF(Year1_Windsor_Maidenhead Year1_CP_Plans_3months_timescales="","",Year1_Windsor_Maidenhead Year1_CP_Plans_3months_timescales)</f>
        <v>50</v>
      </c>
      <c r="AG204" s="365">
        <f>IF(Year2_Windsor_Maidenhead Year2_CP_Plans_3months_timescales="","",Year2_Windsor_Maidenhead Year2_CP_Plans_3months_timescales)</f>
        <v>83</v>
      </c>
      <c r="AH204" s="365">
        <f>IF(Year3_Windsor_Maidenhead Year3_CP_Plans_3months_timescales="","",Year3_Windsor_Maidenhead Year3_CP_Plans_3months_timescales)</f>
        <v>94</v>
      </c>
      <c r="AI204" s="365">
        <f>IF(Year4_Windsor_Maidenhead Year4_CP_Plans_3months_timescales="","",Year4_Windsor_Maidenhead Year4_CP_Plans_3months_timescales)</f>
        <v>44</v>
      </c>
      <c r="AJ204" s="555">
        <f>IF(Year5_Windsor_Maidenhead Year5_CP_Plans_3months_timescales="","",Year5_Windsor_Maidenhead Year5_CP_Plans_3months_timescales)</f>
        <v>57</v>
      </c>
      <c r="AK204" s="153"/>
      <c r="AL204" s="76"/>
    </row>
    <row r="205" spans="1:38" s="89" customFormat="1" ht="12.75" customHeight="1" x14ac:dyDescent="0.2">
      <c r="A205" s="462">
        <f>VLOOKUP(B205,Sheet1!$AQ$4:$AR$25,2,FALSE)</f>
        <v>0</v>
      </c>
      <c r="B205" s="95" t="str">
        <f t="shared" si="71"/>
        <v>Wokingham</v>
      </c>
      <c r="C205" s="87"/>
      <c r="D205" s="158">
        <f t="shared" si="76"/>
        <v>1</v>
      </c>
      <c r="E205" s="158">
        <f t="shared" si="77"/>
        <v>0.94736842105263153</v>
      </c>
      <c r="F205" s="158">
        <f t="shared" si="78"/>
        <v>0.96551724137931039</v>
      </c>
      <c r="G205" s="158">
        <f t="shared" si="79"/>
        <v>1</v>
      </c>
      <c r="H205" s="160">
        <f t="shared" si="80"/>
        <v>0.94117647058823528</v>
      </c>
      <c r="I205" s="98"/>
      <c r="J205" s="98"/>
      <c r="K205" s="162"/>
      <c r="L205" s="162"/>
      <c r="M205" s="162"/>
      <c r="N205" s="162"/>
      <c r="O205" s="162"/>
      <c r="P205" s="162"/>
      <c r="Q205" s="162"/>
      <c r="R205" s="163"/>
      <c r="S205" s="155"/>
      <c r="T205" s="155"/>
      <c r="U205" s="162"/>
      <c r="V205" s="124"/>
      <c r="W205" s="140"/>
      <c r="X205" s="149"/>
      <c r="Y205" s="552" t="str">
        <f t="shared" si="81"/>
        <v>Wokingham</v>
      </c>
      <c r="Z205" s="556">
        <f>IF(Year1_Wokingham Year1_CP_Plans_3months="","",Year1_Wokingham Year1_CP_Plans_3months)</f>
        <v>34</v>
      </c>
      <c r="AA205" s="365">
        <f>IF(Year2_Wokingham Year2_CP_Plans_3months="","",Year2_Wokingham Year2_CP_Plans_3months)</f>
        <v>38</v>
      </c>
      <c r="AB205" s="365">
        <f>IF(Year3_Wokingham Year3_CP_Plans_3months="","",Year3_Wokingham Year3_CP_Plans_3months)</f>
        <v>29</v>
      </c>
      <c r="AC205" s="365">
        <f>IF(Year4_Wokingham Year4_CP_Plans_3months="","",Year4_Wokingham Year4_CP_Plans_3months)</f>
        <v>78</v>
      </c>
      <c r="AD205" s="557">
        <f>IF(Year5_Wokingham Year5_CP_Plans_3months="","",Year5_Wokingham Year5_CP_Plans_3months)</f>
        <v>85</v>
      </c>
      <c r="AE205" s="377" t="str">
        <f t="shared" si="82"/>
        <v>Wokingham</v>
      </c>
      <c r="AF205" s="463">
        <f>IF(Year1_Wokingham Year1_CP_Plans_3months_timescales="","",Year1_Wokingham Year1_CP_Plans_3months_timescales)</f>
        <v>34</v>
      </c>
      <c r="AG205" s="365">
        <f>IF(Year2_Wokingham Year2_CP_Plans_3months_timescales="","",Year2_Wokingham Year2_CP_Plans_3months_timescales)</f>
        <v>36</v>
      </c>
      <c r="AH205" s="365">
        <f>IF(Year3_Wokingham Year3_CP_Plans_3months_timescales="","",Year3_Wokingham Year3_CP_Plans_3months_timescales)</f>
        <v>28</v>
      </c>
      <c r="AI205" s="365">
        <f>IF(Year4_Wokingham Year4_CP_Plans_3months_timescales="","",Year4_Wokingham Year4_CP_Plans_3months_timescales)</f>
        <v>78</v>
      </c>
      <c r="AJ205" s="555">
        <f>IF(Year5_Wokingham Year5_CP_Plans_3months_timescales="","",Year5_Wokingham Year5_CP_Plans_3months_timescales)</f>
        <v>80</v>
      </c>
      <c r="AK205" s="153"/>
      <c r="AL205" s="76"/>
    </row>
    <row r="206" spans="1:38" s="89" customFormat="1" ht="12.75" customHeight="1" x14ac:dyDescent="0.2">
      <c r="A206" s="123"/>
      <c r="B206" s="131" t="str">
        <f t="shared" si="71"/>
        <v>South East</v>
      </c>
      <c r="C206" s="87"/>
      <c r="D206" s="159">
        <f t="shared" si="76"/>
        <v>0.92727272727272725</v>
      </c>
      <c r="E206" s="159">
        <f t="shared" si="77"/>
        <v>0.93772241992882566</v>
      </c>
      <c r="F206" s="159">
        <f t="shared" si="78"/>
        <v>0.88193202146690519</v>
      </c>
      <c r="G206" s="159">
        <f t="shared" si="79"/>
        <v>0.9007633587786259</v>
      </c>
      <c r="H206" s="161">
        <f t="shared" si="80"/>
        <v>0.9078498293515358</v>
      </c>
      <c r="I206" s="98"/>
      <c r="J206" s="98"/>
      <c r="K206" s="164"/>
      <c r="L206" s="164"/>
      <c r="M206" s="164"/>
      <c r="N206" s="164"/>
      <c r="O206" s="164"/>
      <c r="P206" s="164"/>
      <c r="Q206" s="164"/>
      <c r="R206" s="165"/>
      <c r="S206" s="155"/>
      <c r="T206" s="155"/>
      <c r="U206" s="166"/>
      <c r="V206" s="124"/>
      <c r="W206" s="140"/>
      <c r="X206" s="149"/>
      <c r="Y206" s="552" t="str">
        <f t="shared" si="81"/>
        <v>South East</v>
      </c>
      <c r="Z206" s="377">
        <f>IF(Year1_SouthEast Year1_CP_Plans_3months="","",Year1_SouthEast Year1_CP_Plans_3months)</f>
        <v>5500</v>
      </c>
      <c r="AA206" s="365">
        <f>IF(Year2_SouthEast Year2_CP_Plans_3months="","",Year2_SouthEast Year2_CP_Plans_3months)</f>
        <v>5620</v>
      </c>
      <c r="AB206" s="365">
        <f>IF(Year3_SouthEast Year3_CP_Plans_3months="","",Year3_SouthEast Year3_CP_Plans_3months)</f>
        <v>5590</v>
      </c>
      <c r="AC206" s="365">
        <f>IF(Year4_SouthEast Year4_CP_Plans_3months="","",Year4_SouthEast Year4_CP_Plans_3months)</f>
        <v>6550</v>
      </c>
      <c r="AD206" s="552">
        <f>IF(Year5_SouthEast Year5_CP_Plans_3months="","",Year5_SouthEast Year5_CP_Plans_3months)</f>
        <v>5860</v>
      </c>
      <c r="AE206" s="377" t="str">
        <f t="shared" si="82"/>
        <v>South East</v>
      </c>
      <c r="AF206" s="365">
        <f>IF(Year1_SouthEast Year1_CP_Plans_3months_timescales="","",Year1_SouthEast Year1_CP_Plans_3months_timescales)</f>
        <v>5100</v>
      </c>
      <c r="AG206" s="365">
        <f>IF(Year2_SouthEast Year2_CP_Plans_3months_timescales="","",Year2_SouthEast Year2_CP_Plans_3months_timescales)</f>
        <v>5270</v>
      </c>
      <c r="AH206" s="365">
        <f>IF(Year3_SouthEast Year3_CP_Plans_3months_timescales="","",Year3_SouthEast Year3_CP_Plans_3months_timescales)</f>
        <v>4930</v>
      </c>
      <c r="AI206" s="365">
        <f>IF(Year4_SouthEast Year4_CP_Plans_3months_timescales="","",Year4_SouthEast Year4_CP_Plans_3months_timescales)</f>
        <v>5900</v>
      </c>
      <c r="AJ206" s="365">
        <f>IF(Year5_SouthEast Year5_CP_Plans_3months_timescales="","",Year5_SouthEast Year5_CP_Plans_3months_timescales)</f>
        <v>5320</v>
      </c>
      <c r="AK206" s="153"/>
      <c r="AL206" s="76"/>
    </row>
    <row r="207" spans="1:38" s="89" customFormat="1" ht="12.75" customHeight="1" x14ac:dyDescent="0.2">
      <c r="A207" s="123"/>
      <c r="B207" s="318" t="str">
        <f t="shared" si="71"/>
        <v>England</v>
      </c>
      <c r="C207" s="87"/>
      <c r="D207" s="344">
        <f t="shared" si="76"/>
        <v>0.94219653179190754</v>
      </c>
      <c r="E207" s="344">
        <f t="shared" si="77"/>
        <v>0.93724696356275305</v>
      </c>
      <c r="F207" s="344">
        <f t="shared" si="78"/>
        <v>0.92191075514874143</v>
      </c>
      <c r="G207" s="344">
        <f t="shared" si="79"/>
        <v>0.90516782099094295</v>
      </c>
      <c r="H207" s="345">
        <f t="shared" si="80"/>
        <v>0.91762721394433511</v>
      </c>
      <c r="I207" s="98"/>
      <c r="J207" s="98"/>
      <c r="K207" s="164"/>
      <c r="L207" s="164"/>
      <c r="M207" s="164"/>
      <c r="N207" s="164"/>
      <c r="O207" s="164"/>
      <c r="P207" s="164"/>
      <c r="Q207" s="164"/>
      <c r="R207" s="165"/>
      <c r="S207" s="155"/>
      <c r="T207" s="155"/>
      <c r="U207" s="166"/>
      <c r="V207" s="124"/>
      <c r="W207" s="140"/>
      <c r="X207" s="149"/>
      <c r="Y207" s="552" t="str">
        <f t="shared" si="81"/>
        <v>England</v>
      </c>
      <c r="Z207" s="575">
        <f>IF(Year1_England Year1_CP_Plans_3months="","",Year1_England Year1_CP_Plans_3months)</f>
        <v>34600</v>
      </c>
      <c r="AA207" s="576">
        <f>IF(Year2_England Year2_CP_Plans_3months="","",Year2_England Year2_CP_Plans_3months)</f>
        <v>34580</v>
      </c>
      <c r="AB207" s="365">
        <f>IF(Year3_England Year3_CP_Plans_3months="","",Year3_England Year3_CP_Plans_3months)</f>
        <v>34960</v>
      </c>
      <c r="AC207" s="365">
        <f>IF(Year4_England Year4_CP_Plans_3months="","",Year4_England Year4_CP_Plans_3months)</f>
        <v>37540</v>
      </c>
      <c r="AD207" s="557">
        <f>IF(Year5_England Year5_CP_Plans_3months="","",Year5_England Year5_CP_Plans_3months)</f>
        <v>35570</v>
      </c>
      <c r="AE207" s="377" t="str">
        <f t="shared" si="82"/>
        <v>England</v>
      </c>
      <c r="AF207" s="576">
        <f>IF(Year1_England Year1_CP_Plans_3months_timescales="","",Year1_England Year1_CP_Plans_3months_timescales)</f>
        <v>32600</v>
      </c>
      <c r="AG207" s="576">
        <f>IF(Year2_England Year2_CP_Plans_3months_timescales="","",Year2_England Year2_CP_Plans_3months_timescales)</f>
        <v>32410</v>
      </c>
      <c r="AH207" s="365">
        <f>IF(Year3_England Year3_CP_Plans_3months_timescales="","",Year3_England Year3_CP_Plans_3months_timescales)</f>
        <v>32230</v>
      </c>
      <c r="AI207" s="365">
        <f>IF(Year4_England Year4_CP_Plans_3months_timescales="","",Year4_England Year4_CP_Plans_3months_timescales)</f>
        <v>33980</v>
      </c>
      <c r="AJ207" s="555">
        <f>IF(Year5_England Year5_CP_Plans_3months_timescales="","",Year5_England Year5_CP_Plans_3months_timescales)</f>
        <v>32640</v>
      </c>
      <c r="AK207" s="153"/>
      <c r="AL207" s="76"/>
    </row>
    <row r="208" spans="1:38" s="89" customFormat="1" ht="7.5" customHeight="1" x14ac:dyDescent="0.2">
      <c r="A208" s="286"/>
      <c r="B208" s="98"/>
      <c r="C208" s="98"/>
      <c r="D208" s="98"/>
      <c r="E208" s="98"/>
      <c r="F208" s="98"/>
      <c r="G208" s="98"/>
      <c r="H208" s="98"/>
      <c r="I208" s="98"/>
      <c r="J208" s="98"/>
      <c r="K208" s="164"/>
      <c r="L208" s="164"/>
      <c r="M208" s="164"/>
      <c r="N208" s="164"/>
      <c r="O208" s="164"/>
      <c r="P208" s="164"/>
      <c r="Q208" s="164"/>
      <c r="R208" s="165"/>
      <c r="S208" s="155"/>
      <c r="T208" s="155"/>
      <c r="U208" s="166"/>
      <c r="V208" s="124"/>
      <c r="W208" s="140"/>
      <c r="X208" s="149"/>
      <c r="Y208" s="83"/>
      <c r="Z208" s="83"/>
      <c r="AA208" s="191"/>
      <c r="AB208" s="191"/>
      <c r="AC208" s="192"/>
      <c r="AD208" s="192"/>
      <c r="AE208" s="192"/>
      <c r="AF208" s="192"/>
      <c r="AG208" s="192"/>
      <c r="AH208" s="192"/>
      <c r="AI208" s="192"/>
      <c r="AJ208" s="192"/>
      <c r="AK208" s="153"/>
      <c r="AL208" s="76"/>
    </row>
    <row r="209" spans="1:46" s="83" customFormat="1" ht="38.25" customHeight="1" x14ac:dyDescent="0.2">
      <c r="A209" s="213"/>
      <c r="B209" s="362"/>
      <c r="C209" s="362"/>
      <c r="D209" s="362"/>
      <c r="E209" s="362"/>
      <c r="F209" s="362"/>
      <c r="G209" s="362"/>
      <c r="H209" s="362"/>
      <c r="I209" s="362"/>
      <c r="J209" s="168"/>
      <c r="K209" s="168"/>
      <c r="L209" s="168"/>
      <c r="M209" s="168"/>
      <c r="N209" s="168"/>
      <c r="O209" s="168"/>
      <c r="P209" s="168"/>
      <c r="Q209" s="168"/>
      <c r="R209" s="137"/>
      <c r="S209" s="168"/>
      <c r="T209" s="168"/>
      <c r="U209" s="168"/>
      <c r="V209" s="119"/>
      <c r="W209" s="138"/>
      <c r="X209" s="147"/>
      <c r="AD209" s="192"/>
      <c r="AE209" s="194"/>
      <c r="AF209" s="179"/>
      <c r="AG209" s="179"/>
      <c r="AH209" s="179"/>
      <c r="AJ209" s="179"/>
      <c r="AK209" s="153"/>
      <c r="AL209" s="76"/>
    </row>
    <row r="210" spans="1:46" s="83" customFormat="1" ht="39" customHeight="1" x14ac:dyDescent="0.2">
      <c r="A210" s="213"/>
      <c r="B210" s="362"/>
      <c r="C210" s="362"/>
      <c r="D210" s="362"/>
      <c r="E210" s="362"/>
      <c r="F210" s="362"/>
      <c r="G210" s="362"/>
      <c r="H210" s="362"/>
      <c r="I210" s="362"/>
      <c r="J210" s="168"/>
      <c r="K210" s="168"/>
      <c r="L210" s="168"/>
      <c r="M210" s="168"/>
      <c r="N210" s="168"/>
      <c r="O210" s="168"/>
      <c r="P210" s="168"/>
      <c r="Q210" s="168"/>
      <c r="R210" s="137"/>
      <c r="S210" s="168"/>
      <c r="T210" s="168"/>
      <c r="U210" s="168"/>
      <c r="V210" s="119"/>
      <c r="W210" s="138"/>
      <c r="X210" s="147"/>
      <c r="Z210" s="185"/>
      <c r="AE210" s="194"/>
      <c r="AF210" s="179"/>
      <c r="AG210" s="179"/>
      <c r="AH210" s="179"/>
      <c r="AJ210" s="179"/>
      <c r="AK210" s="153"/>
      <c r="AL210" s="76"/>
    </row>
    <row r="211" spans="1:46" s="83" customFormat="1" ht="38.25" customHeight="1" x14ac:dyDescent="0.2">
      <c r="A211" s="213"/>
      <c r="B211" s="362"/>
      <c r="C211" s="362"/>
      <c r="D211" s="362"/>
      <c r="E211" s="362"/>
      <c r="F211" s="362"/>
      <c r="G211" s="362"/>
      <c r="H211" s="362"/>
      <c r="I211" s="362"/>
      <c r="J211" s="168"/>
      <c r="K211" s="168"/>
      <c r="L211" s="168"/>
      <c r="M211" s="168"/>
      <c r="N211" s="168"/>
      <c r="O211" s="168"/>
      <c r="P211" s="168"/>
      <c r="Q211" s="168"/>
      <c r="R211" s="137"/>
      <c r="S211" s="168"/>
      <c r="T211" s="168"/>
      <c r="U211" s="168"/>
      <c r="V211" s="119"/>
      <c r="W211" s="138"/>
      <c r="X211" s="147"/>
      <c r="Z211" s="185"/>
      <c r="AE211" s="194"/>
      <c r="AF211" s="179"/>
      <c r="AG211" s="179"/>
      <c r="AH211" s="179"/>
      <c r="AJ211" s="179"/>
      <c r="AK211" s="153"/>
      <c r="AL211" s="76"/>
    </row>
    <row r="212" spans="1:46" s="83" customFormat="1" ht="7.5" customHeight="1" x14ac:dyDescent="0.2">
      <c r="A212" s="120"/>
      <c r="B212" s="18"/>
      <c r="C212" s="18"/>
      <c r="D212" s="17"/>
      <c r="E212" s="17"/>
      <c r="F212" s="17"/>
      <c r="G212" s="17"/>
      <c r="H212" s="17"/>
      <c r="I212" s="17"/>
      <c r="J212" s="13"/>
      <c r="K212" s="19"/>
      <c r="L212" s="19"/>
      <c r="M212" s="19"/>
      <c r="N212" s="19"/>
      <c r="O212" s="19"/>
      <c r="P212" s="19"/>
      <c r="Q212" s="19"/>
      <c r="R212" s="19"/>
      <c r="S212" s="19"/>
      <c r="T212" s="19"/>
      <c r="U212" s="20"/>
      <c r="V212" s="119"/>
      <c r="W212" s="138"/>
      <c r="X212" s="147"/>
      <c r="Z212" s="185"/>
      <c r="AJ212" s="179"/>
      <c r="AK212" s="153"/>
      <c r="AL212" s="76"/>
      <c r="AM212" s="76"/>
      <c r="AN212" s="76"/>
      <c r="AO212" s="76"/>
      <c r="AP212" s="76"/>
      <c r="AQ212" s="76"/>
      <c r="AR212" s="76"/>
    </row>
    <row r="213" spans="1:46" s="83" customFormat="1" ht="15" customHeight="1" x14ac:dyDescent="0.2">
      <c r="A213" s="1399"/>
      <c r="B213" s="1421"/>
      <c r="C213" s="1421"/>
      <c r="D213" s="1421"/>
      <c r="E213" s="1421"/>
      <c r="F213" s="1421"/>
      <c r="G213" s="1421"/>
      <c r="H213" s="1421"/>
      <c r="I213" s="1421"/>
      <c r="J213" s="1421"/>
      <c r="K213" s="1421"/>
      <c r="L213" s="1421"/>
      <c r="M213" s="1421"/>
      <c r="N213" s="1421"/>
      <c r="O213" s="1421"/>
      <c r="P213" s="1421"/>
      <c r="Q213" s="1421"/>
      <c r="R213" s="1421"/>
      <c r="S213" s="1421"/>
      <c r="T213" s="1421"/>
      <c r="U213" s="1421"/>
      <c r="V213" s="1422"/>
      <c r="W213" s="138"/>
      <c r="X213" s="147"/>
      <c r="AK213" s="153"/>
      <c r="AL213" s="76"/>
      <c r="AT213" s="76"/>
    </row>
    <row r="214" spans="1:46" s="83" customFormat="1" ht="11.25" customHeight="1" x14ac:dyDescent="0.2">
      <c r="A214" s="1428" t="str">
        <f>Home!$A$40</f>
        <v>LA's provide quarterly data on the condition that it is used by the benchmarking group for internal reporting only. Please DO NOT share other LA's data with any external partners or the public</v>
      </c>
      <c r="B214" s="1429"/>
      <c r="C214" s="1429"/>
      <c r="D214" s="1429"/>
      <c r="E214" s="1429"/>
      <c r="F214" s="1429"/>
      <c r="G214" s="1429"/>
      <c r="H214" s="1429"/>
      <c r="I214" s="1430"/>
      <c r="J214" s="1429"/>
      <c r="K214" s="1429"/>
      <c r="L214" s="1429"/>
      <c r="M214" s="1429"/>
      <c r="N214" s="1429"/>
      <c r="O214" s="1429"/>
      <c r="P214" s="1431"/>
      <c r="Q214" s="1429"/>
      <c r="R214" s="1429"/>
      <c r="S214" s="1429"/>
      <c r="T214" s="1430"/>
      <c r="U214" s="1429"/>
      <c r="V214" s="1432"/>
      <c r="W214" s="138"/>
      <c r="X214" s="147"/>
      <c r="AJ214" s="179"/>
      <c r="AK214" s="153"/>
      <c r="AL214" s="76"/>
      <c r="AT214" s="76"/>
    </row>
    <row r="215" spans="1:46" ht="11.25" customHeight="1" x14ac:dyDescent="0.2">
      <c r="A215" s="114"/>
      <c r="B215" s="115"/>
      <c r="C215" s="115"/>
      <c r="D215" s="115"/>
      <c r="E215" s="115"/>
      <c r="F215" s="115"/>
      <c r="G215" s="115"/>
      <c r="H215" s="115"/>
      <c r="I215" s="115"/>
      <c r="J215" s="116"/>
      <c r="K215" s="115"/>
      <c r="L215" s="115"/>
      <c r="M215" s="115"/>
      <c r="N215" s="115"/>
      <c r="O215" s="115"/>
      <c r="P215" s="115"/>
      <c r="Q215" s="115"/>
      <c r="R215" s="115"/>
      <c r="S215" s="115"/>
      <c r="T215" s="115"/>
      <c r="U215" s="115"/>
      <c r="V215" s="117"/>
      <c r="W215" s="138"/>
      <c r="X215" s="147"/>
      <c r="Y215" s="183"/>
      <c r="Z215" s="183"/>
      <c r="AJ215" s="179"/>
      <c r="AK215" s="153"/>
    </row>
    <row r="216" spans="1:46" s="78" customFormat="1" ht="17.25" customHeight="1" x14ac:dyDescent="0.2">
      <c r="A216" s="121"/>
      <c r="B216" s="1574" t="s">
        <v>949</v>
      </c>
      <c r="C216" s="1574"/>
      <c r="D216" s="1574"/>
      <c r="E216" s="1574"/>
      <c r="F216" s="1574"/>
      <c r="G216" s="1574"/>
      <c r="H216" s="1574"/>
      <c r="I216" s="1574"/>
      <c r="J216" s="69"/>
      <c r="K216" s="69"/>
      <c r="L216" s="69"/>
      <c r="M216" s="69"/>
      <c r="N216" s="352"/>
      <c r="O216" s="69"/>
      <c r="P216" s="69"/>
      <c r="Q216" s="69"/>
      <c r="R216" s="69"/>
      <c r="S216" s="69"/>
      <c r="T216" s="69"/>
      <c r="U216" s="69"/>
      <c r="V216" s="122"/>
      <c r="W216" s="139"/>
      <c r="X216" s="148"/>
      <c r="Y216" s="374" t="s">
        <v>146</v>
      </c>
      <c r="Z216" s="375"/>
      <c r="AA216" s="376"/>
      <c r="AB216" s="376"/>
      <c r="AC216" s="376"/>
      <c r="AD216" s="565"/>
      <c r="AE216" s="374" t="s">
        <v>147</v>
      </c>
      <c r="AF216" s="375"/>
      <c r="AG216" s="376"/>
      <c r="AH216" s="376"/>
      <c r="AI216" s="376"/>
      <c r="AJ216" s="565"/>
      <c r="AK216" s="154"/>
    </row>
    <row r="217" spans="1:46" ht="20.25" customHeight="1" x14ac:dyDescent="0.2">
      <c r="A217" s="120"/>
      <c r="B217" s="1574"/>
      <c r="C217" s="1574"/>
      <c r="D217" s="1574"/>
      <c r="E217" s="1574"/>
      <c r="F217" s="1574"/>
      <c r="G217" s="1574"/>
      <c r="H217" s="1574"/>
      <c r="I217" s="1574"/>
      <c r="J217" s="69"/>
      <c r="K217" s="69"/>
      <c r="L217" s="69"/>
      <c r="M217" s="69"/>
      <c r="N217" s="352"/>
      <c r="O217" s="69"/>
      <c r="P217" s="69"/>
      <c r="Q217" s="69"/>
      <c r="R217" s="10"/>
      <c r="S217" s="69"/>
      <c r="T217" s="69"/>
      <c r="U217" s="69"/>
      <c r="V217" s="119"/>
      <c r="W217" s="138"/>
      <c r="X217" s="147"/>
      <c r="Y217" s="376"/>
      <c r="Z217" s="375"/>
      <c r="AA217" s="376"/>
      <c r="AB217" s="376"/>
      <c r="AC217" s="376"/>
      <c r="AD217" s="565"/>
      <c r="AE217" s="376"/>
      <c r="AF217" s="375"/>
      <c r="AG217" s="376"/>
      <c r="AH217" s="376"/>
      <c r="AI217" s="376"/>
      <c r="AJ217" s="565"/>
      <c r="AK217" s="153"/>
    </row>
    <row r="218" spans="1:46" ht="13.5" customHeight="1" x14ac:dyDescent="0.2">
      <c r="A218" s="271"/>
      <c r="B218" s="1419" t="s">
        <v>190</v>
      </c>
      <c r="C218" s="873"/>
      <c r="D218" s="755" t="str">
        <f>Sheet1!$D$25</f>
        <v>2014-15</v>
      </c>
      <c r="E218" s="756" t="str">
        <f>Sheet1!$E$25</f>
        <v>2015-16</v>
      </c>
      <c r="F218" s="756" t="str">
        <f>Sheet1!$F$25</f>
        <v>2016-17</v>
      </c>
      <c r="G218" s="756" t="str">
        <f>Sheet1!$G$25</f>
        <v>2017-18</v>
      </c>
      <c r="H218" s="757" t="str">
        <f>Sheet1!$H$25</f>
        <v>2018-19</v>
      </c>
      <c r="I218" s="879"/>
      <c r="J218" s="69"/>
      <c r="K218" s="69"/>
      <c r="L218" s="69"/>
      <c r="M218" s="69"/>
      <c r="N218" s="870"/>
      <c r="O218" s="69"/>
      <c r="P218" s="69"/>
      <c r="Q218" s="69"/>
      <c r="R218" s="10"/>
      <c r="S218" s="69"/>
      <c r="T218" s="69"/>
      <c r="U218" s="69"/>
      <c r="V218" s="119"/>
      <c r="W218" s="138"/>
      <c r="X218" s="147"/>
      <c r="Y218" s="376"/>
      <c r="Z218" s="375"/>
      <c r="AA218" s="376"/>
      <c r="AB218" s="376"/>
      <c r="AC218" s="376"/>
      <c r="AD218" s="565"/>
      <c r="AE218" s="376"/>
      <c r="AF218" s="375"/>
      <c r="AG218" s="376"/>
      <c r="AH218" s="376"/>
      <c r="AI218" s="376"/>
      <c r="AJ218" s="565"/>
      <c r="AK218" s="153"/>
    </row>
    <row r="219" spans="1:46" s="89" customFormat="1" ht="13.5" customHeight="1" x14ac:dyDescent="0.2">
      <c r="A219" s="123"/>
      <c r="B219" s="1420"/>
      <c r="C219" s="87"/>
      <c r="D219" s="758" t="e">
        <f>Sheet1!$D$26</f>
        <v>#N/A</v>
      </c>
      <c r="E219" s="758" t="e">
        <f>Sheet1!$E$26</f>
        <v>#N/A</v>
      </c>
      <c r="F219" s="758" t="e">
        <f>Sheet1!$F$26</f>
        <v>#N/A</v>
      </c>
      <c r="G219" s="758" t="e">
        <f>Sheet1!$G$26</f>
        <v>#N/A</v>
      </c>
      <c r="H219" s="759" t="e">
        <f>Sheet1!$H$26</f>
        <v>#N/A</v>
      </c>
      <c r="I219" s="98"/>
      <c r="J219" s="98"/>
      <c r="K219" s="61"/>
      <c r="L219" s="61"/>
      <c r="M219" s="61"/>
      <c r="N219" s="61"/>
      <c r="O219" s="61"/>
      <c r="P219" s="61"/>
      <c r="Q219" s="358"/>
      <c r="R219" s="358"/>
      <c r="S219" s="155"/>
      <c r="T219" s="155"/>
      <c r="U219" s="359"/>
      <c r="V219" s="124"/>
      <c r="W219" s="140"/>
      <c r="X219" s="149"/>
      <c r="Y219" s="552"/>
      <c r="Z219" s="556" t="e">
        <f>D219</f>
        <v>#N/A</v>
      </c>
      <c r="AA219" s="463" t="e">
        <f>E219</f>
        <v>#N/A</v>
      </c>
      <c r="AB219" s="463" t="e">
        <f>F219</f>
        <v>#N/A</v>
      </c>
      <c r="AC219" s="463" t="e">
        <f>G219</f>
        <v>#N/A</v>
      </c>
      <c r="AD219" s="553" t="e">
        <f>H219</f>
        <v>#N/A</v>
      </c>
      <c r="AE219" s="377"/>
      <c r="AF219" s="463" t="e">
        <f>Z219</f>
        <v>#N/A</v>
      </c>
      <c r="AG219" s="463" t="e">
        <f t="shared" ref="AG219:AJ219" si="83">AA219</f>
        <v>#N/A</v>
      </c>
      <c r="AH219" s="463" t="e">
        <f t="shared" si="83"/>
        <v>#N/A</v>
      </c>
      <c r="AI219" s="463" t="e">
        <f t="shared" si="83"/>
        <v>#N/A</v>
      </c>
      <c r="AJ219" s="463" t="e">
        <f t="shared" si="83"/>
        <v>#N/A</v>
      </c>
      <c r="AK219" s="156"/>
    </row>
    <row r="220" spans="1:46" s="89" customFormat="1" ht="12.75" customHeight="1" x14ac:dyDescent="0.2">
      <c r="A220" s="462">
        <f>VLOOKUP(B220,Sheet1!$AQ$4:$AR$25,2,FALSE)</f>
        <v>0</v>
      </c>
      <c r="B220" s="95" t="str">
        <f t="shared" ref="B220:B243" si="84">B10</f>
        <v>Bracknell Forest</v>
      </c>
      <c r="C220" s="87"/>
      <c r="D220" s="158">
        <f>IF(AND(ISNUMBER(AF220),ISNUMBER(Z220)),AF220/Z220,NA())</f>
        <v>5.3846153846153849E-2</v>
      </c>
      <c r="E220" s="158">
        <f t="shared" ref="E220:H220" si="85">IF(AND(ISNUMBER(AG220),ISNUMBER(AA220)),AG220/AA220,NA())</f>
        <v>0.12162162162162163</v>
      </c>
      <c r="F220" s="158">
        <f t="shared" si="85"/>
        <v>8.9171974522292988E-2</v>
      </c>
      <c r="G220" s="158">
        <f t="shared" si="85"/>
        <v>0</v>
      </c>
      <c r="H220" s="160" t="e">
        <f t="shared" si="85"/>
        <v>#N/A</v>
      </c>
      <c r="I220" s="98"/>
      <c r="J220" s="98"/>
      <c r="K220" s="162"/>
      <c r="L220" s="162"/>
      <c r="M220" s="162"/>
      <c r="N220" s="162"/>
      <c r="O220" s="162"/>
      <c r="P220" s="162"/>
      <c r="Q220" s="162"/>
      <c r="R220" s="163"/>
      <c r="S220" s="155"/>
      <c r="T220" s="155"/>
      <c r="U220" s="162"/>
      <c r="V220" s="124"/>
      <c r="W220" s="140"/>
      <c r="X220" s="149"/>
      <c r="Y220" s="552" t="str">
        <f>B220</f>
        <v>Bracknell Forest</v>
      </c>
      <c r="Z220" s="556">
        <f>IF(Year1_Bracknell_Forest Year1_CP_Plans_ceased="","",Year1_Bracknell_Forest Year1_CP_Plans_ceased)</f>
        <v>130</v>
      </c>
      <c r="AA220" s="365">
        <f>IF(Year2_Bracknell_Forest Year2_CP_Plans_ceased="","",Year2_Bracknell_Forest Year2_CP_Plans_ceased)</f>
        <v>148</v>
      </c>
      <c r="AB220" s="365">
        <f>IF(Year3_Bracknell_Forest Year3_CP_Plans_ceased="","",Year3_Bracknell_Forest Year3_CP_Plans_ceased)</f>
        <v>157</v>
      </c>
      <c r="AC220" s="365">
        <f>IF(Year4_Bracknell_Forest Year4_CP_Plans_ceased="","",Year4_Bracknell_Forest Year4_CP_Plans_ceased)</f>
        <v>235</v>
      </c>
      <c r="AD220" s="552">
        <f>IF(Year5_Bracknell_Forest Year5_CP_Plans_ceased="","",Year5_Bracknell_Forest Year5_CP_Plans_ceased)</f>
        <v>162</v>
      </c>
      <c r="AE220" s="377" t="str">
        <f>Y220</f>
        <v>Bracknell Forest</v>
      </c>
      <c r="AF220" s="463">
        <f>IF(Year1_Bracknell_Forest Year1_CP_Plans_ceased_2years="","",Year1_Bracknell_Forest Year1_CP_Plans_ceased_2years)</f>
        <v>7</v>
      </c>
      <c r="AG220" s="365">
        <f>IF(Year2_Bracknell_Forest Year2_CP_Plans_ceased_2years="","",Year2_Bracknell_Forest Year2_CP_Plans_ceased_2years)</f>
        <v>18</v>
      </c>
      <c r="AH220" s="365">
        <f>IF(Year3_Bracknell_Forest Year3_CP_Plans_ceased_2years="","",Year3_Bracknell_Forest Year3_CP_Plans_ceased_2years)</f>
        <v>14</v>
      </c>
      <c r="AI220" s="365">
        <f>IF(Year4_Bracknell_Forest Year4_CP_Plans_ceased_2years="","",Year4_Bracknell_Forest Year4_CP_Plans_ceased_2years)</f>
        <v>0</v>
      </c>
      <c r="AJ220" s="365" t="str">
        <f>IF(Year5_Bracknell_Forest Year5_CP_Plans_ceased_2years="","",Year5_Bracknell_Forest Year5_CP_Plans_ceased_2years)</f>
        <v>x</v>
      </c>
      <c r="AK220" s="156"/>
    </row>
    <row r="221" spans="1:46" s="89" customFormat="1" ht="12.75" customHeight="1" x14ac:dyDescent="0.2">
      <c r="A221" s="462">
        <f>VLOOKUP(B221,Sheet1!$AQ$4:$AR$25,2,FALSE)</f>
        <v>0</v>
      </c>
      <c r="B221" s="95" t="str">
        <f t="shared" si="84"/>
        <v>Brighton &amp; Hove</v>
      </c>
      <c r="C221" s="87"/>
      <c r="D221" s="158">
        <f t="shared" ref="D221:D243" si="86">IF(AND(ISNUMBER(AF221),ISNUMBER(Z221)),AF221/Z221,NA())</f>
        <v>2.865329512893983E-2</v>
      </c>
      <c r="E221" s="158">
        <f t="shared" ref="E221:E243" si="87">IF(AND(ISNUMBER(AG221),ISNUMBER(AA221)),AG221/AA221,NA())</f>
        <v>7.6704545454545456E-2</v>
      </c>
      <c r="F221" s="158">
        <f t="shared" ref="F221:F243" si="88">IF(AND(ISNUMBER(AH221),ISNUMBER(AB221)),AH221/AB221,NA())</f>
        <v>3.2407407407407406E-2</v>
      </c>
      <c r="G221" s="158">
        <f t="shared" ref="G221:G243" si="89">IF(AND(ISNUMBER(AI221),ISNUMBER(AC221)),AI221/AC221,NA())</f>
        <v>7.575757575757576E-2</v>
      </c>
      <c r="H221" s="160">
        <f t="shared" ref="H221:H243" si="90">IF(AND(ISNUMBER(AJ221),ISNUMBER(AD221)),AJ221/AD221,NA())</f>
        <v>5.1980198019801978E-2</v>
      </c>
      <c r="I221" s="98"/>
      <c r="J221" s="98"/>
      <c r="K221" s="162"/>
      <c r="L221" s="162"/>
      <c r="M221" s="162"/>
      <c r="N221" s="162"/>
      <c r="O221" s="162"/>
      <c r="P221" s="162"/>
      <c r="Q221" s="162"/>
      <c r="R221" s="163"/>
      <c r="S221" s="155"/>
      <c r="T221" s="155"/>
      <c r="U221" s="162"/>
      <c r="V221" s="124"/>
      <c r="W221" s="140"/>
      <c r="X221" s="149"/>
      <c r="Y221" s="552" t="str">
        <f t="shared" ref="Y221:Y243" si="91">B221</f>
        <v>Brighton &amp; Hove</v>
      </c>
      <c r="Z221" s="556">
        <f>IF(Year1_Brighton_Hove Year1_CP_Plans_ceased="","",Year1_Brighton_Hove Year1_CP_Plans_ceased)</f>
        <v>349</v>
      </c>
      <c r="AA221" s="365">
        <f>IF(Year2_Brighton_Hove Year2_CP_Plans_ceased="","",Year2_Brighton_Hove Year2_CP_Plans_ceased)</f>
        <v>352</v>
      </c>
      <c r="AB221" s="365">
        <f>IF(Year3_Brighton_Hove Year3_CP_Plans_ceased="","",Year3_Brighton_Hove Year3_CP_Plans_ceased)</f>
        <v>432</v>
      </c>
      <c r="AC221" s="365">
        <f>IF(Year4_Brighton_Hove Year4_CP_Plans_ceased="","",Year4_Brighton_Hove Year4_CP_Plans_ceased)</f>
        <v>396</v>
      </c>
      <c r="AD221" s="552">
        <f>IF(Year5_Brighton_Hove Year5_CP_Plans_ceased="","",Year5_Brighton_Hove Year5_CP_Plans_ceased)</f>
        <v>404</v>
      </c>
      <c r="AE221" s="377" t="str">
        <f t="shared" ref="AE221:AE243" si="92">Y221</f>
        <v>Brighton &amp; Hove</v>
      </c>
      <c r="AF221" s="463">
        <f>IF(Year1_Brighton_Hove Year1_CP_Plans_ceased_2years="","",Year1_Brighton_Hove Year1_CP_Plans_ceased_2years)</f>
        <v>10</v>
      </c>
      <c r="AG221" s="365">
        <f>IF(Year2_Brighton_Hove Year2_CP_Plans_ceased_2years="","",Year2_Brighton_Hove Year2_CP_Plans_ceased_2years)</f>
        <v>27</v>
      </c>
      <c r="AH221" s="365">
        <f>IF(Year3_Brighton_Hove Year3_CP_Plans_ceased_2years="","",Year3_Brighton_Hove Year3_CP_Plans_ceased_2years)</f>
        <v>14</v>
      </c>
      <c r="AI221" s="365">
        <f>IF(Year4_Brighton_Hove Year4_CP_Plans_ceased_2years="","",Year4_Brighton_Hove Year4_CP_Plans_ceased_2years)</f>
        <v>30</v>
      </c>
      <c r="AJ221" s="365">
        <f>IF(Year5_Brighton_Hove Year5_CP_Plans_ceased_2years="","",Year5_Brighton_Hove Year5_CP_Plans_ceased_2years)</f>
        <v>21</v>
      </c>
      <c r="AK221" s="156"/>
    </row>
    <row r="222" spans="1:46" s="89" customFormat="1" ht="12.75" customHeight="1" x14ac:dyDescent="0.2">
      <c r="A222" s="462">
        <f>VLOOKUP(B222,Sheet1!$AQ$4:$AR$25,2,FALSE)</f>
        <v>0</v>
      </c>
      <c r="B222" s="95" t="str">
        <f t="shared" si="84"/>
        <v>Buckinghamshire</v>
      </c>
      <c r="C222" s="87"/>
      <c r="D222" s="158">
        <f t="shared" si="86"/>
        <v>2.8248587570621469E-2</v>
      </c>
      <c r="E222" s="158">
        <f t="shared" si="87"/>
        <v>3.5490605427974949E-2</v>
      </c>
      <c r="F222" s="158">
        <f t="shared" si="88"/>
        <v>2.3961661341853034E-2</v>
      </c>
      <c r="G222" s="158">
        <f t="shared" si="89"/>
        <v>3.1645569620253167E-2</v>
      </c>
      <c r="H222" s="160">
        <f t="shared" si="90"/>
        <v>3.1088082901554404E-2</v>
      </c>
      <c r="I222" s="98"/>
      <c r="J222" s="98"/>
      <c r="K222" s="162"/>
      <c r="L222" s="162"/>
      <c r="M222" s="162"/>
      <c r="N222" s="162"/>
      <c r="O222" s="162"/>
      <c r="P222" s="162"/>
      <c r="Q222" s="162"/>
      <c r="R222" s="163"/>
      <c r="S222" s="155"/>
      <c r="T222" s="155"/>
      <c r="U222" s="162"/>
      <c r="V222" s="124"/>
      <c r="W222" s="140"/>
      <c r="X222" s="149"/>
      <c r="Y222" s="552" t="str">
        <f t="shared" si="91"/>
        <v>Buckinghamshire</v>
      </c>
      <c r="Z222" s="556">
        <f>IF(Year1_Buckinghamshire Year1_CP_Plans_ceased="","",Year1_Buckinghamshire Year1_CP_Plans_ceased)</f>
        <v>354</v>
      </c>
      <c r="AA222" s="365">
        <f>IF(Year2_Buckinghamshire Year2_CP_Plans_ceased="","",Year2_Buckinghamshire Year2_CP_Plans_ceased)</f>
        <v>479</v>
      </c>
      <c r="AB222" s="365">
        <f>IF(Year3_Buckinghamshire Year3_CP_Plans_ceased="","",Year3_Buckinghamshire Year3_CP_Plans_ceased)</f>
        <v>626</v>
      </c>
      <c r="AC222" s="365">
        <f>IF(Year4_Buckinghamshire Year4_CP_Plans_ceased="","",Year4_Buckinghamshire Year4_CP_Plans_ceased)</f>
        <v>632</v>
      </c>
      <c r="AD222" s="552">
        <f>IF(Year5_Buckinghamshire Year5_CP_Plans_ceased="","",Year5_Buckinghamshire Year5_CP_Plans_ceased)</f>
        <v>772</v>
      </c>
      <c r="AE222" s="377" t="str">
        <f t="shared" si="92"/>
        <v>Buckinghamshire</v>
      </c>
      <c r="AF222" s="463">
        <f>IF(Year1_Buckinghamshire Year1_CP_Plans_ceased_2years="","",Year1_Buckinghamshire Year1_CP_Plans_ceased_2years)</f>
        <v>10</v>
      </c>
      <c r="AG222" s="365">
        <f>IF(Year2_Buckinghamshire Year2_CP_Plans_ceased_2years="","",Year2_Buckinghamshire Year2_CP_Plans_ceased_2years)</f>
        <v>17</v>
      </c>
      <c r="AH222" s="365">
        <f>IF(Year3_Buckinghamshire Year3_CP_Plans_ceased_2years="","",Year3_Buckinghamshire Year3_CP_Plans_ceased_2years)</f>
        <v>15</v>
      </c>
      <c r="AI222" s="365">
        <f>IF(Year4_Buckinghamshire Year4_CP_Plans_ceased_2years="","",Year4_Buckinghamshire Year4_CP_Plans_ceased_2years)</f>
        <v>20</v>
      </c>
      <c r="AJ222" s="365">
        <f>IF(Year5_Buckinghamshire Year5_CP_Plans_ceased_2years="","",Year5_Buckinghamshire Year5_CP_Plans_ceased_2years)</f>
        <v>24</v>
      </c>
      <c r="AK222" s="156"/>
    </row>
    <row r="223" spans="1:46" s="89" customFormat="1" ht="12.75" customHeight="1" x14ac:dyDescent="0.2">
      <c r="A223" s="462">
        <f>VLOOKUP(B223,Sheet1!$AQ$4:$AR$25,2,FALSE)</f>
        <v>0</v>
      </c>
      <c r="B223" s="95" t="str">
        <f t="shared" si="84"/>
        <v>East Sussex</v>
      </c>
      <c r="C223" s="87"/>
      <c r="D223" s="158">
        <f t="shared" si="86"/>
        <v>0.10641399416909621</v>
      </c>
      <c r="E223" s="158">
        <f t="shared" si="87"/>
        <v>7.4626865671641784E-2</v>
      </c>
      <c r="F223" s="158">
        <f t="shared" si="88"/>
        <v>8.8709677419354843E-2</v>
      </c>
      <c r="G223" s="158">
        <f t="shared" si="89"/>
        <v>9.0740740740740747E-2</v>
      </c>
      <c r="H223" s="160">
        <f t="shared" si="90"/>
        <v>7.2580645161290328E-2</v>
      </c>
      <c r="I223" s="98"/>
      <c r="J223" s="98"/>
      <c r="K223" s="162"/>
      <c r="L223" s="162"/>
      <c r="M223" s="162"/>
      <c r="N223" s="162"/>
      <c r="O223" s="162"/>
      <c r="P223" s="162"/>
      <c r="Q223" s="162"/>
      <c r="R223" s="163"/>
      <c r="S223" s="155"/>
      <c r="T223" s="155"/>
      <c r="U223" s="162"/>
      <c r="V223" s="124"/>
      <c r="W223" s="140"/>
      <c r="X223" s="149"/>
      <c r="Y223" s="552" t="str">
        <f t="shared" si="91"/>
        <v>East Sussex</v>
      </c>
      <c r="Z223" s="556">
        <f>IF(Year1_East_Sussex Year1_CP_Plans_ceased="","",Year1_East_Sussex Year1_CP_Plans_ceased)</f>
        <v>686</v>
      </c>
      <c r="AA223" s="365">
        <f>IF(Year2_East_Sussex Year2_CP_Plans_ceased="","",Year2_East_Sussex Year2_CP_Plans_ceased)</f>
        <v>469</v>
      </c>
      <c r="AB223" s="365">
        <f>IF(Year3_East_Sussex Year3_CP_Plans_ceased="","",Year3_East_Sussex Year3_CP_Plans_ceased)</f>
        <v>496</v>
      </c>
      <c r="AC223" s="365">
        <f>IF(Year4_East_Sussex Year4_CP_Plans_ceased="","",Year4_East_Sussex Year4_CP_Plans_ceased)</f>
        <v>540</v>
      </c>
      <c r="AD223" s="552">
        <f>IF(Year5_East_Sussex Year5_CP_Plans_ceased="","",Year5_East_Sussex Year5_CP_Plans_ceased)</f>
        <v>620</v>
      </c>
      <c r="AE223" s="377" t="str">
        <f t="shared" si="92"/>
        <v>East Sussex</v>
      </c>
      <c r="AF223" s="463">
        <f>IF(Year1_East_Sussex Year1_CP_Plans_ceased_2years="","",Year1_East_Sussex Year1_CP_Plans_ceased_2years)</f>
        <v>73</v>
      </c>
      <c r="AG223" s="365">
        <f>IF(Year2_East_Sussex Year2_CP_Plans_ceased_2years="","",Year2_East_Sussex Year2_CP_Plans_ceased_2years)</f>
        <v>35</v>
      </c>
      <c r="AH223" s="365">
        <f>IF(Year3_East_Sussex Year3_CP_Plans_ceased_2years="","",Year3_East_Sussex Year3_CP_Plans_ceased_2years)</f>
        <v>44</v>
      </c>
      <c r="AI223" s="365">
        <f>IF(Year4_East_Sussex Year4_CP_Plans_ceased_2years="","",Year4_East_Sussex Year4_CP_Plans_ceased_2years)</f>
        <v>49</v>
      </c>
      <c r="AJ223" s="365">
        <f>IF(Year5_East_Sussex Year5_CP_Plans_ceased_2years="","",Year5_East_Sussex Year5_CP_Plans_ceased_2years)</f>
        <v>45</v>
      </c>
      <c r="AK223" s="156"/>
    </row>
    <row r="224" spans="1:46" s="89" customFormat="1" ht="12.75" customHeight="1" x14ac:dyDescent="0.2">
      <c r="A224" s="462">
        <f>VLOOKUP(B224,Sheet1!$AQ$4:$AR$25,2,FALSE)</f>
        <v>0</v>
      </c>
      <c r="B224" s="95" t="str">
        <f t="shared" si="84"/>
        <v>Hampshire</v>
      </c>
      <c r="C224" s="87"/>
      <c r="D224" s="158">
        <f t="shared" si="86"/>
        <v>2.7112232030264818E-2</v>
      </c>
      <c r="E224" s="158">
        <f t="shared" si="87"/>
        <v>4.1009463722397478E-2</v>
      </c>
      <c r="F224" s="158">
        <f t="shared" si="88"/>
        <v>4.8891415577032402E-2</v>
      </c>
      <c r="G224" s="158">
        <f t="shared" si="89"/>
        <v>7.1952031978680886E-2</v>
      </c>
      <c r="H224" s="160">
        <f t="shared" si="90"/>
        <v>4.3738765727980827E-2</v>
      </c>
      <c r="I224" s="98"/>
      <c r="J224" s="98"/>
      <c r="K224" s="162"/>
      <c r="L224" s="162"/>
      <c r="M224" s="162"/>
      <c r="N224" s="162"/>
      <c r="O224" s="162"/>
      <c r="P224" s="162"/>
      <c r="Q224" s="162"/>
      <c r="R224" s="163"/>
      <c r="S224" s="155"/>
      <c r="T224" s="155"/>
      <c r="U224" s="162"/>
      <c r="V224" s="124"/>
      <c r="W224" s="140"/>
      <c r="X224" s="149"/>
      <c r="Y224" s="552" t="str">
        <f t="shared" si="91"/>
        <v>Hampshire</v>
      </c>
      <c r="Z224" s="556">
        <f>IF(Year1_Hampshire Year1_CP_Plans_ceased="","",Year1_Hampshire Year1_CP_Plans_ceased)</f>
        <v>1586</v>
      </c>
      <c r="AA224" s="365">
        <f>IF(Year2_Hampshire Year2_CP_Plans_ceased="","",Year2_Hampshire Year2_CP_Plans_ceased)</f>
        <v>1585</v>
      </c>
      <c r="AB224" s="365">
        <f>IF(Year3_Hampshire Year3_CP_Plans_ceased="","",Year3_Hampshire Year3_CP_Plans_ceased)</f>
        <v>1759</v>
      </c>
      <c r="AC224" s="365">
        <f>IF(Year4_Hampshire Year4_CP_Plans_ceased="","",Year4_Hampshire Year4_CP_Plans_ceased)</f>
        <v>1501</v>
      </c>
      <c r="AD224" s="552">
        <f>IF(Year5_Hampshire Year5_CP_Plans_ceased="","",Year5_Hampshire Year5_CP_Plans_ceased)</f>
        <v>1669</v>
      </c>
      <c r="AE224" s="377" t="str">
        <f t="shared" si="92"/>
        <v>Hampshire</v>
      </c>
      <c r="AF224" s="463">
        <f>IF(Year1_Hampshire Year1_CP_Plans_ceased_2years="","",Year1_Hampshire Year1_CP_Plans_ceased_2years)</f>
        <v>43</v>
      </c>
      <c r="AG224" s="365">
        <f>IF(Year2_Hampshire Year2_CP_Plans_ceased_2years="","",Year2_Hampshire Year2_CP_Plans_ceased_2years)</f>
        <v>65</v>
      </c>
      <c r="AH224" s="365">
        <f>IF(Year3_Hampshire Year3_CP_Plans_ceased_2years="","",Year3_Hampshire Year3_CP_Plans_ceased_2years)</f>
        <v>86</v>
      </c>
      <c r="AI224" s="365">
        <f>IF(Year4_Hampshire Year4_CP_Plans_ceased_2years="","",Year4_Hampshire Year4_CP_Plans_ceased_2years)</f>
        <v>108</v>
      </c>
      <c r="AJ224" s="365">
        <f>IF(Year5_Hampshire Year5_CP_Plans_ceased_2years="","",Year5_Hampshire Year5_CP_Plans_ceased_2years)</f>
        <v>73</v>
      </c>
      <c r="AK224" s="156"/>
    </row>
    <row r="225" spans="1:45" s="89" customFormat="1" ht="12.75" customHeight="1" x14ac:dyDescent="0.2">
      <c r="A225" s="462">
        <f>VLOOKUP(B225,Sheet1!$AQ$4:$AR$25,2,FALSE)</f>
        <v>0</v>
      </c>
      <c r="B225" s="95" t="str">
        <f t="shared" si="84"/>
        <v>Isle of Wight</v>
      </c>
      <c r="C225" s="87"/>
      <c r="D225" s="158">
        <f t="shared" si="86"/>
        <v>3.608247422680412E-2</v>
      </c>
      <c r="E225" s="158">
        <f t="shared" si="87"/>
        <v>4.5180722891566265E-2</v>
      </c>
      <c r="F225" s="158">
        <f t="shared" si="88"/>
        <v>3.6885245901639344E-2</v>
      </c>
      <c r="G225" s="158">
        <f t="shared" si="89"/>
        <v>5.7777777777777775E-2</v>
      </c>
      <c r="H225" s="160">
        <f t="shared" si="90"/>
        <v>5.2401746724890827E-2</v>
      </c>
      <c r="I225" s="98"/>
      <c r="J225" s="98"/>
      <c r="K225" s="162"/>
      <c r="L225" s="162"/>
      <c r="M225" s="162"/>
      <c r="N225" s="162"/>
      <c r="O225" s="162"/>
      <c r="P225" s="162"/>
      <c r="Q225" s="162"/>
      <c r="R225" s="163"/>
      <c r="S225" s="155"/>
      <c r="T225" s="155"/>
      <c r="U225" s="162"/>
      <c r="V225" s="124"/>
      <c r="W225" s="140"/>
      <c r="X225" s="149"/>
      <c r="Y225" s="552" t="str">
        <f t="shared" si="91"/>
        <v>Isle of Wight</v>
      </c>
      <c r="Z225" s="556">
        <f>IF(Year1_Isle_of_Wight Year1_CP_Plans_ceased="","",Year1_Isle_of_Wight Year1_CP_Plans_ceased)</f>
        <v>194</v>
      </c>
      <c r="AA225" s="365">
        <f>IF(Year2_Isle_of_Wight Year2_CP_Plans_ceased="","",Year2_Isle_of_Wight Year2_CP_Plans_ceased)</f>
        <v>332</v>
      </c>
      <c r="AB225" s="365">
        <f>IF(Year3_Isle_of_Wight Year3_CP_Plans_ceased="","",Year3_Isle_of_Wight Year3_CP_Plans_ceased)</f>
        <v>244</v>
      </c>
      <c r="AC225" s="365">
        <f>IF(Year4_Isle_of_Wight Year4_CP_Plans_ceased="","",Year4_Isle_of_Wight Year4_CP_Plans_ceased)</f>
        <v>225</v>
      </c>
      <c r="AD225" s="552">
        <f>IF(Year5_Isle_of_Wight Year5_CP_Plans_ceased="","",Year5_Isle_of_Wight Year5_CP_Plans_ceased)</f>
        <v>229</v>
      </c>
      <c r="AE225" s="377" t="str">
        <f t="shared" si="92"/>
        <v>Isle of Wight</v>
      </c>
      <c r="AF225" s="463">
        <f>IF(Year1_Isle_of_Wight Year1_CP_Plans_ceased_2years="","",Year1_Isle_of_Wight Year1_CP_Plans_ceased_2years)</f>
        <v>7</v>
      </c>
      <c r="AG225" s="365">
        <f>IF(Year2_Isle_of_Wight Year2_CP_Plans_ceased_2years="","",Year2_Isle_of_Wight Year2_CP_Plans_ceased_2years)</f>
        <v>15</v>
      </c>
      <c r="AH225" s="365">
        <f>IF(Year3_Isle_of_Wight Year3_CP_Plans_ceased_2years="","",Year3_Isle_of_Wight Year3_CP_Plans_ceased_2years)</f>
        <v>9</v>
      </c>
      <c r="AI225" s="365">
        <f>IF(Year4_Isle_of_Wight Year4_CP_Plans_ceased_2years="","",Year4_Isle_of_Wight Year4_CP_Plans_ceased_2years)</f>
        <v>13</v>
      </c>
      <c r="AJ225" s="365">
        <f>IF(Year5_Isle_of_Wight Year5_CP_Plans_ceased_2years="","",Year5_Isle_of_Wight Year5_CP_Plans_ceased_2years)</f>
        <v>12</v>
      </c>
      <c r="AK225" s="156"/>
      <c r="AS225" s="89" t="s">
        <v>103</v>
      </c>
    </row>
    <row r="226" spans="1:45" s="89" customFormat="1" ht="12.75" customHeight="1" x14ac:dyDescent="0.2">
      <c r="A226" s="462">
        <f>VLOOKUP(B226,Sheet1!$AQ$4:$AR$25,2,FALSE)</f>
        <v>0</v>
      </c>
      <c r="B226" s="95" t="str">
        <f t="shared" si="84"/>
        <v>Kent</v>
      </c>
      <c r="C226" s="87"/>
      <c r="D226" s="158">
        <f t="shared" si="86"/>
        <v>2.176696542893726E-2</v>
      </c>
      <c r="E226" s="158">
        <f t="shared" si="87"/>
        <v>2.911978821972204E-2</v>
      </c>
      <c r="F226" s="158">
        <f t="shared" si="88"/>
        <v>3.7800687285223365E-2</v>
      </c>
      <c r="G226" s="158">
        <f t="shared" si="89"/>
        <v>4.1309431021044424E-2</v>
      </c>
      <c r="H226" s="160">
        <f t="shared" si="90"/>
        <v>5.7124518613607192E-2</v>
      </c>
      <c r="I226" s="98"/>
      <c r="J226" s="98"/>
      <c r="K226" s="162"/>
      <c r="L226" s="162"/>
      <c r="M226" s="162"/>
      <c r="N226" s="162"/>
      <c r="O226" s="162"/>
      <c r="P226" s="162"/>
      <c r="Q226" s="162"/>
      <c r="R226" s="163"/>
      <c r="S226" s="155"/>
      <c r="T226" s="155"/>
      <c r="U226" s="162"/>
      <c r="V226" s="124"/>
      <c r="W226" s="140"/>
      <c r="X226" s="149"/>
      <c r="Y226" s="552" t="str">
        <f t="shared" si="91"/>
        <v>Kent</v>
      </c>
      <c r="Z226" s="556">
        <f>IF(Year1_Kent Year1_CP_Plans_ceased="","",Year1_Kent Year1_CP_Plans_ceased)</f>
        <v>1562</v>
      </c>
      <c r="AA226" s="365">
        <f>IF(Year2_Kent Year2_CP_Plans_ceased="","",Year2_Kent Year2_CP_Plans_ceased)</f>
        <v>1511</v>
      </c>
      <c r="AB226" s="365">
        <f>IF(Year3_Kent Year3_CP_Plans_ceased="","",Year3_Kent Year3_CP_Plans_ceased)</f>
        <v>1164</v>
      </c>
      <c r="AC226" s="365">
        <f>IF(Year4_Kent Year4_CP_Plans_ceased="","",Year4_Kent Year4_CP_Plans_ceased)</f>
        <v>1283</v>
      </c>
      <c r="AD226" s="552">
        <f>IF(Year5_Kent Year5_CP_Plans_ceased="","",Year5_Kent Year5_CP_Plans_ceased)</f>
        <v>1558</v>
      </c>
      <c r="AE226" s="377" t="str">
        <f t="shared" si="92"/>
        <v>Kent</v>
      </c>
      <c r="AF226" s="463">
        <f>IF(Year1_Kent Year1_CP_Plans_ceased_2years="","",Year1_Kent Year1_CP_Plans_ceased_2years)</f>
        <v>34</v>
      </c>
      <c r="AG226" s="365">
        <f>IF(Year2_Kent Year2_CP_Plans_ceased_2years="","",Year2_Kent Year2_CP_Plans_ceased_2years)</f>
        <v>44</v>
      </c>
      <c r="AH226" s="365">
        <f>IF(Year3_Kent Year3_CP_Plans_ceased_2years="","",Year3_Kent Year3_CP_Plans_ceased_2years)</f>
        <v>44</v>
      </c>
      <c r="AI226" s="365">
        <f>IF(Year4_Kent Year4_CP_Plans_ceased_2years="","",Year4_Kent Year4_CP_Plans_ceased_2years)</f>
        <v>53</v>
      </c>
      <c r="AJ226" s="365">
        <f>IF(Year5_Kent Year5_CP_Plans_ceased_2years="","",Year5_Kent Year5_CP_Plans_ceased_2years)</f>
        <v>89</v>
      </c>
      <c r="AK226" s="156"/>
    </row>
    <row r="227" spans="1:45" s="89" customFormat="1" ht="12.75" customHeight="1" x14ac:dyDescent="0.2">
      <c r="A227" s="462">
        <f>VLOOKUP(B227,Sheet1!$AQ$4:$AR$25,2,FALSE)</f>
        <v>0</v>
      </c>
      <c r="B227" s="95" t="str">
        <f t="shared" si="84"/>
        <v>Medway</v>
      </c>
      <c r="C227" s="87"/>
      <c r="D227" s="158">
        <f t="shared" si="86"/>
        <v>5.2132701421800945E-2</v>
      </c>
      <c r="E227" s="158">
        <f t="shared" si="87"/>
        <v>4.4715447154471545E-2</v>
      </c>
      <c r="F227" s="158">
        <f t="shared" si="88"/>
        <v>5.9782608695652176E-2</v>
      </c>
      <c r="G227" s="158">
        <f t="shared" si="89"/>
        <v>5.089820359281437E-2</v>
      </c>
      <c r="H227" s="160">
        <f t="shared" si="90"/>
        <v>7.2052401746724892E-2</v>
      </c>
      <c r="I227" s="98"/>
      <c r="J227" s="98"/>
      <c r="K227" s="162"/>
      <c r="L227" s="162"/>
      <c r="M227" s="162"/>
      <c r="N227" s="162"/>
      <c r="O227" s="162"/>
      <c r="P227" s="162"/>
      <c r="Q227" s="162"/>
      <c r="R227" s="163"/>
      <c r="S227" s="155"/>
      <c r="T227" s="155"/>
      <c r="U227" s="162"/>
      <c r="V227" s="124"/>
      <c r="W227" s="140"/>
      <c r="X227" s="149"/>
      <c r="Y227" s="552" t="str">
        <f t="shared" si="91"/>
        <v>Medway</v>
      </c>
      <c r="Z227" s="556">
        <f>IF(Year1_Medway Year1_CP_Plans_ceased="","",Year1_Medway Year1_CP_Plans_ceased)</f>
        <v>422</v>
      </c>
      <c r="AA227" s="365">
        <f>IF(Year2_Medway Year2_CP_Plans_ceased="","",Year2_Medway Year2_CP_Plans_ceased)</f>
        <v>492</v>
      </c>
      <c r="AB227" s="365">
        <f>IF(Year3_Medway Year3_CP_Plans_ceased="","",Year3_Medway Year3_CP_Plans_ceased)</f>
        <v>552</v>
      </c>
      <c r="AC227" s="365">
        <f>IF(Year4_Medway Year4_CP_Plans_ceased="","",Year4_Medway Year4_CP_Plans_ceased)</f>
        <v>334</v>
      </c>
      <c r="AD227" s="552">
        <f>IF(Year5_Medway Year5_CP_Plans_ceased="","",Year5_Medway Year5_CP_Plans_ceased)</f>
        <v>458</v>
      </c>
      <c r="AE227" s="377" t="str">
        <f t="shared" si="92"/>
        <v>Medway</v>
      </c>
      <c r="AF227" s="463">
        <f>IF(Year1_Medway Year1_CP_Plans_ceased_2years="","",Year1_Medway Year1_CP_Plans_ceased_2years)</f>
        <v>22</v>
      </c>
      <c r="AG227" s="365">
        <f>IF(Year2_Medway Year2_CP_Plans_ceased_2years="","",Year2_Medway Year2_CP_Plans_ceased_2years)</f>
        <v>22</v>
      </c>
      <c r="AH227" s="365">
        <f>IF(Year3_Medway Year3_CP_Plans_ceased_2years="","",Year3_Medway Year3_CP_Plans_ceased_2years)</f>
        <v>33</v>
      </c>
      <c r="AI227" s="365">
        <f>IF(Year4_Medway Year4_CP_Plans_ceased_2years="","",Year4_Medway Year4_CP_Plans_ceased_2years)</f>
        <v>17</v>
      </c>
      <c r="AJ227" s="365">
        <f>IF(Year5_Medway Year5_CP_Plans_ceased_2years="","",Year5_Medway Year5_CP_Plans_ceased_2years)</f>
        <v>33</v>
      </c>
      <c r="AK227" s="156"/>
    </row>
    <row r="228" spans="1:45" s="89" customFormat="1" ht="12.75" customHeight="1" x14ac:dyDescent="0.2">
      <c r="A228" s="462">
        <f>VLOOKUP(B228,Sheet1!$AQ$4:$AR$25,2,FALSE)</f>
        <v>0</v>
      </c>
      <c r="B228" s="95" t="str">
        <f t="shared" si="84"/>
        <v>Milton Keynes</v>
      </c>
      <c r="C228" s="87"/>
      <c r="D228" s="158">
        <f t="shared" si="86"/>
        <v>0</v>
      </c>
      <c r="E228" s="158" t="e">
        <f t="shared" si="87"/>
        <v>#N/A</v>
      </c>
      <c r="F228" s="158">
        <f t="shared" si="88"/>
        <v>0</v>
      </c>
      <c r="G228" s="158">
        <f t="shared" si="89"/>
        <v>0</v>
      </c>
      <c r="H228" s="160" t="e">
        <f t="shared" si="90"/>
        <v>#N/A</v>
      </c>
      <c r="I228" s="98"/>
      <c r="J228" s="98"/>
      <c r="K228" s="162"/>
      <c r="L228" s="162"/>
      <c r="M228" s="162"/>
      <c r="N228" s="162"/>
      <c r="O228" s="162"/>
      <c r="P228" s="162"/>
      <c r="Q228" s="162"/>
      <c r="R228" s="163"/>
      <c r="S228" s="155"/>
      <c r="T228" s="155"/>
      <c r="U228" s="162"/>
      <c r="V228" s="124"/>
      <c r="W228" s="140"/>
      <c r="X228" s="149"/>
      <c r="Y228" s="552" t="str">
        <f t="shared" si="91"/>
        <v>Milton Keynes</v>
      </c>
      <c r="Z228" s="556">
        <f>IF(Year1_Milton_Keynes Year1_CP_Plans_ceased="","",Year1_Milton_Keynes Year1_CP_Plans_ceased)</f>
        <v>73</v>
      </c>
      <c r="AA228" s="365">
        <f>IF(Year2_Milton_Keynes Year2_CP_Plans_ceased="","",Year2_Milton_Keynes Year2_CP_Plans_ceased)</f>
        <v>74</v>
      </c>
      <c r="AB228" s="365">
        <f>IF(Year3_Milton_Keynes Year3_CP_Plans_ceased="","",Year3_Milton_Keynes Year3_CP_Plans_ceased)</f>
        <v>140</v>
      </c>
      <c r="AC228" s="365">
        <f>IF(Year4_Milton_Keynes Year4_CP_Plans_ceased="","",Year4_Milton_Keynes Year4_CP_Plans_ceased)</f>
        <v>148</v>
      </c>
      <c r="AD228" s="552">
        <f>IF(Year5_Milton_Keynes Year5_CP_Plans_ceased="","",Year5_Milton_Keynes Year5_CP_Plans_ceased)</f>
        <v>171</v>
      </c>
      <c r="AE228" s="377" t="str">
        <f t="shared" si="92"/>
        <v>Milton Keynes</v>
      </c>
      <c r="AF228" s="463">
        <f>IF(Year1_Milton_Keynes Year1_CP_Plans_ceased_2years="","",Year1_Milton_Keynes Year1_CP_Plans_ceased_2years)</f>
        <v>0</v>
      </c>
      <c r="AG228" s="365" t="str">
        <f>IF(Year2_Milton_Keynes Year2_CP_Plans_ceased_2years="","",Year2_Milton_Keynes Year2_CP_Plans_ceased_2years)</f>
        <v>x</v>
      </c>
      <c r="AH228" s="365">
        <f>IF(Year3_Milton_Keynes Year3_CP_Plans_ceased_2years="","",Year3_Milton_Keynes Year3_CP_Plans_ceased_2years)</f>
        <v>0</v>
      </c>
      <c r="AI228" s="365">
        <f>IF(Year4_Milton_Keynes Year4_CP_Plans_ceased_2years="","",Year4_Milton_Keynes Year4_CP_Plans_ceased_2years)</f>
        <v>0</v>
      </c>
      <c r="AJ228" s="365" t="str">
        <f>IF(Year5_Milton_Keynes Year5_CP_Plans_ceased_2years="","",Year5_Milton_Keynes Year5_CP_Plans_ceased_2years)</f>
        <v>x</v>
      </c>
      <c r="AK228" s="156"/>
    </row>
    <row r="229" spans="1:45" s="89" customFormat="1" ht="12.75" customHeight="1" x14ac:dyDescent="0.2">
      <c r="A229" s="462">
        <f>VLOOKUP(B229,Sheet1!$AQ$4:$AR$25,2,FALSE)</f>
        <v>0</v>
      </c>
      <c r="B229" s="95" t="str">
        <f t="shared" si="84"/>
        <v>Oxfordshire</v>
      </c>
      <c r="C229" s="87"/>
      <c r="D229" s="158">
        <f t="shared" si="86"/>
        <v>6.32688927943761E-2</v>
      </c>
      <c r="E229" s="158">
        <f t="shared" si="87"/>
        <v>4.9645390070921988E-2</v>
      </c>
      <c r="F229" s="158">
        <f t="shared" si="88"/>
        <v>4.4619422572178477E-2</v>
      </c>
      <c r="G229" s="158">
        <f t="shared" si="89"/>
        <v>4.0935672514619881E-2</v>
      </c>
      <c r="H229" s="160">
        <f t="shared" si="90"/>
        <v>6.7938021454112041E-2</v>
      </c>
      <c r="I229" s="98"/>
      <c r="J229" s="98"/>
      <c r="K229" s="162"/>
      <c r="L229" s="162"/>
      <c r="M229" s="162"/>
      <c r="N229" s="162"/>
      <c r="O229" s="162"/>
      <c r="P229" s="162"/>
      <c r="Q229" s="162"/>
      <c r="R229" s="163"/>
      <c r="S229" s="155"/>
      <c r="T229" s="155"/>
      <c r="U229" s="162"/>
      <c r="V229" s="124"/>
      <c r="W229" s="140"/>
      <c r="X229" s="149"/>
      <c r="Y229" s="552" t="str">
        <f t="shared" si="91"/>
        <v>Oxfordshire</v>
      </c>
      <c r="Z229" s="556">
        <f>IF(Year1_Oxfordshire Year1_CP_Plans_ceased="","",Year1_Oxfordshire Year1_CP_Plans_ceased)</f>
        <v>569</v>
      </c>
      <c r="AA229" s="365">
        <f>IF(Year2_Oxfordshire Year2_CP_Plans_ceased="","",Year2_Oxfordshire Year2_CP_Plans_ceased)</f>
        <v>705</v>
      </c>
      <c r="AB229" s="365">
        <f>IF(Year3_Oxfordshire Year3_CP_Plans_ceased="","",Year3_Oxfordshire Year3_CP_Plans_ceased)</f>
        <v>762</v>
      </c>
      <c r="AC229" s="365">
        <f>IF(Year4_Oxfordshire Year4_CP_Plans_ceased="","",Year4_Oxfordshire Year4_CP_Plans_ceased)</f>
        <v>684</v>
      </c>
      <c r="AD229" s="552">
        <f>IF(Year5_Oxfordshire Year5_CP_Plans_ceased="","",Year5_Oxfordshire Year5_CP_Plans_ceased)</f>
        <v>839</v>
      </c>
      <c r="AE229" s="377" t="str">
        <f t="shared" si="92"/>
        <v>Oxfordshire</v>
      </c>
      <c r="AF229" s="463">
        <f>IF(Year1_Oxfordshire Year1_CP_Plans_ceased_2years="","",Year1_Oxfordshire Year1_CP_Plans_ceased_2years)</f>
        <v>36</v>
      </c>
      <c r="AG229" s="365">
        <f>IF(Year2_Oxfordshire Year2_CP_Plans_ceased_2years="","",Year2_Oxfordshire Year2_CP_Plans_ceased_2years)</f>
        <v>35</v>
      </c>
      <c r="AH229" s="365">
        <f>IF(Year3_Oxfordshire Year3_CP_Plans_ceased_2years="","",Year3_Oxfordshire Year3_CP_Plans_ceased_2years)</f>
        <v>34</v>
      </c>
      <c r="AI229" s="365">
        <f>IF(Year4_Oxfordshire Year4_CP_Plans_ceased_2years="","",Year4_Oxfordshire Year4_CP_Plans_ceased_2years)</f>
        <v>28</v>
      </c>
      <c r="AJ229" s="365">
        <f>IF(Year5_Oxfordshire Year5_CP_Plans_ceased_2years="","",Year5_Oxfordshire Year5_CP_Plans_ceased_2years)</f>
        <v>57</v>
      </c>
      <c r="AK229" s="156"/>
    </row>
    <row r="230" spans="1:45" s="89" customFormat="1" ht="12.75" customHeight="1" x14ac:dyDescent="0.2">
      <c r="A230" s="462">
        <f>VLOOKUP(B230,Sheet1!$AQ$4:$AR$25,2,FALSE)</f>
        <v>0</v>
      </c>
      <c r="B230" s="95" t="str">
        <f t="shared" si="84"/>
        <v>Portsmouth</v>
      </c>
      <c r="C230" s="87"/>
      <c r="D230" s="158">
        <f t="shared" si="86"/>
        <v>8.984375E-2</v>
      </c>
      <c r="E230" s="158" t="e">
        <f t="shared" si="87"/>
        <v>#N/A</v>
      </c>
      <c r="F230" s="158">
        <f t="shared" si="88"/>
        <v>3.9473684210526314E-2</v>
      </c>
      <c r="G230" s="158">
        <f t="shared" si="89"/>
        <v>5.8091286307053944E-2</v>
      </c>
      <c r="H230" s="160">
        <f t="shared" si="90"/>
        <v>5.8139534883720929E-2</v>
      </c>
      <c r="I230" s="98"/>
      <c r="J230" s="98"/>
      <c r="K230" s="162"/>
      <c r="L230" s="162"/>
      <c r="M230" s="162"/>
      <c r="N230" s="162"/>
      <c r="O230" s="162"/>
      <c r="P230" s="162"/>
      <c r="Q230" s="162"/>
      <c r="R230" s="163"/>
      <c r="S230" s="155"/>
      <c r="T230" s="155"/>
      <c r="U230" s="162"/>
      <c r="V230" s="124"/>
      <c r="W230" s="140"/>
      <c r="X230" s="149"/>
      <c r="Y230" s="552" t="str">
        <f t="shared" si="91"/>
        <v>Portsmouth</v>
      </c>
      <c r="Z230" s="556">
        <f>IF(Year1_Portsmouth Year1_CP_Plans_ceased="","",Year1_Portsmouth Year1_CP_Plans_ceased)</f>
        <v>256</v>
      </c>
      <c r="AA230" s="365">
        <f>IF(Year2_Portsmouth Year2_CP_Plans_ceased="","",Year2_Portsmouth Year2_CP_Plans_ceased)</f>
        <v>260</v>
      </c>
      <c r="AB230" s="365">
        <f>IF(Year3_Portsmouth Year3_CP_Plans_ceased="","",Year3_Portsmouth Year3_CP_Plans_ceased)</f>
        <v>304</v>
      </c>
      <c r="AC230" s="365">
        <f>IF(Year4_Portsmouth Year4_CP_Plans_ceased="","",Year4_Portsmouth Year4_CP_Plans_ceased)</f>
        <v>241</v>
      </c>
      <c r="AD230" s="552">
        <f>IF(Year5_Portsmouth Year5_CP_Plans_ceased="","",Year5_Portsmouth Year5_CP_Plans_ceased)</f>
        <v>344</v>
      </c>
      <c r="AE230" s="377" t="str">
        <f t="shared" si="92"/>
        <v>Portsmouth</v>
      </c>
      <c r="AF230" s="463">
        <f>IF(Year1_Portsmouth Year1_CP_Plans_ceased_2years="","",Year1_Portsmouth Year1_CP_Plans_ceased_2years)</f>
        <v>23</v>
      </c>
      <c r="AG230" s="365" t="str">
        <f>IF(Year2_Portsmouth Year2_CP_Plans_ceased_2years="","",Year2_Portsmouth Year2_CP_Plans_ceased_2years)</f>
        <v>x</v>
      </c>
      <c r="AH230" s="365">
        <f>IF(Year3_Portsmouth Year3_CP_Plans_ceased_2years="","",Year3_Portsmouth Year3_CP_Plans_ceased_2years)</f>
        <v>12</v>
      </c>
      <c r="AI230" s="365">
        <f>IF(Year4_Portsmouth Year4_CP_Plans_ceased_2years="","",Year4_Portsmouth Year4_CP_Plans_ceased_2years)</f>
        <v>14</v>
      </c>
      <c r="AJ230" s="365">
        <f>IF(Year5_Portsmouth Year5_CP_Plans_ceased_2years="","",Year5_Portsmouth Year5_CP_Plans_ceased_2years)</f>
        <v>20</v>
      </c>
      <c r="AK230" s="156"/>
    </row>
    <row r="231" spans="1:45" s="89" customFormat="1" ht="12.75" customHeight="1" x14ac:dyDescent="0.2">
      <c r="A231" s="462">
        <f>VLOOKUP(B231,Sheet1!$AQ$4:$AR$25,2,FALSE)</f>
        <v>0</v>
      </c>
      <c r="B231" s="95" t="str">
        <f t="shared" si="84"/>
        <v>Reading</v>
      </c>
      <c r="C231" s="87"/>
      <c r="D231" s="158">
        <f t="shared" si="86"/>
        <v>6.9306930693069313E-2</v>
      </c>
      <c r="E231" s="158">
        <f t="shared" si="87"/>
        <v>3.1358885017421602E-2</v>
      </c>
      <c r="F231" s="158">
        <f t="shared" si="88"/>
        <v>2.6229508196721311E-2</v>
      </c>
      <c r="G231" s="158">
        <f t="shared" si="89"/>
        <v>3.6764705882352942E-2</v>
      </c>
      <c r="H231" s="160">
        <f t="shared" si="90"/>
        <v>3.7735849056603772E-2</v>
      </c>
      <c r="I231" s="98"/>
      <c r="J231" s="98"/>
      <c r="K231" s="162"/>
      <c r="L231" s="162"/>
      <c r="M231" s="162"/>
      <c r="N231" s="162"/>
      <c r="O231" s="162"/>
      <c r="P231" s="162"/>
      <c r="Q231" s="162"/>
      <c r="R231" s="163"/>
      <c r="S231" s="155"/>
      <c r="T231" s="155"/>
      <c r="U231" s="162"/>
      <c r="V231" s="124"/>
      <c r="W231" s="140"/>
      <c r="X231" s="149"/>
      <c r="Y231" s="552" t="str">
        <f t="shared" si="91"/>
        <v>Reading</v>
      </c>
      <c r="Z231" s="556">
        <f>IF(Year1_Reading Year1_CP_Plans_ceased="","",Year1_Reading Year1_CP_Plans_ceased)</f>
        <v>202</v>
      </c>
      <c r="AA231" s="365">
        <f>IF(Year2_Reading Year2_CP_Plans_ceased="","",Year2_Reading Year2_CP_Plans_ceased)</f>
        <v>287</v>
      </c>
      <c r="AB231" s="365">
        <f>IF(Year3_Reading Year3_CP_Plans_ceased="","",Year3_Reading Year3_CP_Plans_ceased)</f>
        <v>305</v>
      </c>
      <c r="AC231" s="365">
        <f>IF(Year4_Reading Year4_CP_Plans_ceased="","",Year4_Reading Year4_CP_Plans_ceased)</f>
        <v>408</v>
      </c>
      <c r="AD231" s="552">
        <f>IF(Year5_Reading Year5_CP_Plans_ceased="","",Year5_Reading Year5_CP_Plans_ceased)</f>
        <v>371</v>
      </c>
      <c r="AE231" s="377" t="str">
        <f t="shared" si="92"/>
        <v>Reading</v>
      </c>
      <c r="AF231" s="463">
        <f>IF(Year1_Reading Year1_CP_Plans_ceased_2years="","",Year1_Reading Year1_CP_Plans_ceased_2years)</f>
        <v>14</v>
      </c>
      <c r="AG231" s="365">
        <f>IF(Year2_Reading Year2_CP_Plans_ceased_2years="","",Year2_Reading Year2_CP_Plans_ceased_2years)</f>
        <v>9</v>
      </c>
      <c r="AH231" s="365">
        <f>IF(Year3_Reading Year3_CP_Plans_ceased_2years="","",Year3_Reading Year3_CP_Plans_ceased_2years)</f>
        <v>8</v>
      </c>
      <c r="AI231" s="365">
        <f>IF(Year4_Reading Year4_CP_Plans_ceased_2years="","",Year4_Reading Year4_CP_Plans_ceased_2years)</f>
        <v>15</v>
      </c>
      <c r="AJ231" s="365">
        <f>IF(Year5_Reading Year5_CP_Plans_ceased_2years="","",Year5_Reading Year5_CP_Plans_ceased_2years)</f>
        <v>14</v>
      </c>
      <c r="AK231" s="156"/>
    </row>
    <row r="232" spans="1:45" s="89" customFormat="1" ht="12.75" customHeight="1" x14ac:dyDescent="0.2">
      <c r="A232" s="462">
        <f>VLOOKUP(B232,Sheet1!$AQ$4:$AR$25,2,FALSE)</f>
        <v>0</v>
      </c>
      <c r="B232" s="95" t="str">
        <f t="shared" si="84"/>
        <v>Slough</v>
      </c>
      <c r="C232" s="87"/>
      <c r="D232" s="158" t="e">
        <f t="shared" si="86"/>
        <v>#N/A</v>
      </c>
      <c r="E232" s="158" t="e">
        <f t="shared" si="87"/>
        <v>#N/A</v>
      </c>
      <c r="F232" s="158" t="e">
        <f t="shared" si="88"/>
        <v>#N/A</v>
      </c>
      <c r="G232" s="158" t="e">
        <f t="shared" si="89"/>
        <v>#N/A</v>
      </c>
      <c r="H232" s="160" t="e">
        <f t="shared" si="90"/>
        <v>#N/A</v>
      </c>
      <c r="I232" s="98"/>
      <c r="J232" s="98"/>
      <c r="K232" s="162"/>
      <c r="L232" s="162"/>
      <c r="M232" s="162"/>
      <c r="N232" s="162"/>
      <c r="O232" s="162"/>
      <c r="P232" s="162"/>
      <c r="Q232" s="162"/>
      <c r="R232" s="163"/>
      <c r="S232" s="155"/>
      <c r="T232" s="155"/>
      <c r="U232" s="162"/>
      <c r="V232" s="124"/>
      <c r="W232" s="140"/>
      <c r="X232" s="149"/>
      <c r="Y232" s="552" t="str">
        <f t="shared" si="91"/>
        <v>Slough</v>
      </c>
      <c r="Z232" s="556">
        <f>IF(Year1_Slough Year1_CP_Plans_ceased="","",Year1_Slough Year1_CP_Plans_ceased)</f>
        <v>193</v>
      </c>
      <c r="AA232" s="365">
        <f>IF(Year2_Slough Year2_CP_Plans_ceased="","",Year2_Slough Year2_CP_Plans_ceased)</f>
        <v>311</v>
      </c>
      <c r="AB232" s="365">
        <f>IF(Year3_Slough Year3_CP_Plans_ceased="","",Year3_Slough Year3_CP_Plans_ceased)</f>
        <v>365</v>
      </c>
      <c r="AC232" s="365">
        <f>IF(Year4_Slough Year4_CP_Plans_ceased="","",Year4_Slough Year4_CP_Plans_ceased)</f>
        <v>232</v>
      </c>
      <c r="AD232" s="552">
        <f>IF(Year5_Slough Year5_CP_Plans_ceased="","",Year5_Slough Year5_CP_Plans_ceased)</f>
        <v>210</v>
      </c>
      <c r="AE232" s="377" t="str">
        <f t="shared" si="92"/>
        <v>Slough</v>
      </c>
      <c r="AF232" s="463" t="str">
        <f>IF(Year1_Slough Year1_CP_Plans_ceased_2years="","",Year1_Slough Year1_CP_Plans_ceased_2years)</f>
        <v>x</v>
      </c>
      <c r="AG232" s="365" t="str">
        <f>IF(Year2_Slough Year2_CP_Plans_ceased_2years="","",Year2_Slough Year2_CP_Plans_ceased_2years)</f>
        <v>x</v>
      </c>
      <c r="AH232" s="365" t="str">
        <f>IF(Year3_Slough Year3_CP_Plans_ceased_2years="","",Year3_Slough Year3_CP_Plans_ceased_2years)</f>
        <v>x</v>
      </c>
      <c r="AI232" s="365" t="str">
        <f>IF(Year4_Slough Year4_CP_Plans_ceased_2years="","",Year4_Slough Year4_CP_Plans_ceased_2years)</f>
        <v>x</v>
      </c>
      <c r="AJ232" s="365" t="str">
        <f>IF(Year5_Slough Year5_CP_Plans_ceased_2years="","",Year5_Slough Year5_CP_Plans_ceased_2years)</f>
        <v>x</v>
      </c>
      <c r="AK232" s="156"/>
    </row>
    <row r="233" spans="1:45" s="89" customFormat="1" ht="12.75" customHeight="1" x14ac:dyDescent="0.2">
      <c r="A233" s="462">
        <f>VLOOKUP(B233,Sheet1!$AQ$4:$AR$25,2,FALSE)</f>
        <v>0</v>
      </c>
      <c r="B233" s="95" t="str">
        <f t="shared" si="84"/>
        <v>Somerset</v>
      </c>
      <c r="C233" s="87"/>
      <c r="D233" s="158">
        <f t="shared" si="86"/>
        <v>3.3268101761252444E-2</v>
      </c>
      <c r="E233" s="158">
        <f t="shared" si="87"/>
        <v>4.7473200612557429E-2</v>
      </c>
      <c r="F233" s="158">
        <f t="shared" si="88"/>
        <v>0.02</v>
      </c>
      <c r="G233" s="158">
        <f t="shared" si="89"/>
        <v>1.1857707509881422E-2</v>
      </c>
      <c r="H233" s="160">
        <f t="shared" si="90"/>
        <v>4.1257367387033402E-2</v>
      </c>
      <c r="I233" s="98"/>
      <c r="J233" s="98"/>
      <c r="K233" s="162"/>
      <c r="L233" s="162"/>
      <c r="M233" s="162"/>
      <c r="N233" s="162"/>
      <c r="O233" s="162"/>
      <c r="P233" s="162"/>
      <c r="Q233" s="162"/>
      <c r="R233" s="163"/>
      <c r="S233" s="155"/>
      <c r="T233" s="155"/>
      <c r="U233" s="162"/>
      <c r="V233" s="124"/>
      <c r="W233" s="140"/>
      <c r="X233" s="149"/>
      <c r="Y233" s="552" t="str">
        <f t="shared" si="91"/>
        <v>Somerset</v>
      </c>
      <c r="Z233" s="556">
        <f>IF(Year1_Somerset Year1_CP_Plans_ceased="","",Year1_Somerset Year1_CP_Plans_ceased)</f>
        <v>511</v>
      </c>
      <c r="AA233" s="365">
        <f>IF(Year2_Somerset Year2_CP_Plans_ceased="","",Year2_Somerset Year2_CP_Plans_ceased)</f>
        <v>653</v>
      </c>
      <c r="AB233" s="365">
        <f>IF(Year3_Somerset Year3_CP_Plans_ceased="","",Year3_Somerset Year3_CP_Plans_ceased)</f>
        <v>450</v>
      </c>
      <c r="AC233" s="365">
        <f>IF(Year4_Somerset Year4_CP_Plans_ceased="","",Year4_Somerset Year4_CP_Plans_ceased)</f>
        <v>506</v>
      </c>
      <c r="AD233" s="552">
        <f>IF(Year5_Somerset Year5_CP_Plans_ceased="","",Year5_Somerset Year5_CP_Plans_ceased)</f>
        <v>509</v>
      </c>
      <c r="AE233" s="377" t="str">
        <f t="shared" si="92"/>
        <v>Somerset</v>
      </c>
      <c r="AF233" s="463">
        <f>IF(Year1_Somerset Year1_CP_Plans_ceased_2years="","",Year1_Somerset Year1_CP_Plans_ceased_2years)</f>
        <v>17</v>
      </c>
      <c r="AG233" s="365">
        <f>IF(Year2_Somerset Year2_CP_Plans_ceased_2years="","",Year2_Somerset Year2_CP_Plans_ceased_2years)</f>
        <v>31</v>
      </c>
      <c r="AH233" s="365">
        <f>IF(Year3_Somerset Year3_CP_Plans_ceased_2years="","",Year3_Somerset Year3_CP_Plans_ceased_2years)</f>
        <v>9</v>
      </c>
      <c r="AI233" s="365">
        <f>IF(Year4_Somerset Year4_CP_Plans_ceased_2years="","",Year4_Somerset Year4_CP_Plans_ceased_2years)</f>
        <v>6</v>
      </c>
      <c r="AJ233" s="365">
        <f>IF(Year5_Somerset Year5_CP_Plans_ceased_2years="","",Year5_Somerset Year5_CP_Plans_ceased_2years)</f>
        <v>21</v>
      </c>
      <c r="AK233" s="156"/>
    </row>
    <row r="234" spans="1:45" s="89" customFormat="1" ht="12.75" customHeight="1" x14ac:dyDescent="0.2">
      <c r="A234" s="462">
        <f>VLOOKUP(B234,Sheet1!$AQ$4:$AR$25,2,FALSE)</f>
        <v>0</v>
      </c>
      <c r="B234" s="95" t="str">
        <f t="shared" si="84"/>
        <v>Southampton</v>
      </c>
      <c r="C234" s="87"/>
      <c r="D234" s="158">
        <f t="shared" si="86"/>
        <v>0</v>
      </c>
      <c r="E234" s="158">
        <f t="shared" si="87"/>
        <v>1.0849909584086799E-2</v>
      </c>
      <c r="F234" s="158">
        <f t="shared" si="88"/>
        <v>4.2452830188679243E-2</v>
      </c>
      <c r="G234" s="158">
        <f t="shared" si="89"/>
        <v>3.0612244897959183E-2</v>
      </c>
      <c r="H234" s="160">
        <f t="shared" si="90"/>
        <v>1.7199017199017199E-2</v>
      </c>
      <c r="I234" s="98"/>
      <c r="J234" s="98"/>
      <c r="K234" s="162"/>
      <c r="L234" s="162"/>
      <c r="M234" s="162"/>
      <c r="N234" s="162"/>
      <c r="O234" s="162"/>
      <c r="P234" s="162"/>
      <c r="Q234" s="162"/>
      <c r="R234" s="163"/>
      <c r="S234" s="155"/>
      <c r="T234" s="155"/>
      <c r="U234" s="162"/>
      <c r="V234" s="124"/>
      <c r="W234" s="140"/>
      <c r="X234" s="149"/>
      <c r="Y234" s="552" t="str">
        <f t="shared" si="91"/>
        <v>Southampton</v>
      </c>
      <c r="Z234" s="556">
        <f>IF(Year1_Southampton Year1_CP_Plans_ceased="","",Year1_Southampton Year1_CP_Plans_ceased)</f>
        <v>171</v>
      </c>
      <c r="AA234" s="365">
        <f>IF(Year2_Southampton Year2_CP_Plans_ceased="","",Year2_Southampton Year2_CP_Plans_ceased)</f>
        <v>553</v>
      </c>
      <c r="AB234" s="365">
        <f>IF(Year3_Southampton Year3_CP_Plans_ceased="","",Year3_Southampton Year3_CP_Plans_ceased)</f>
        <v>424</v>
      </c>
      <c r="AC234" s="365">
        <f>IF(Year4_Southampton Year4_CP_Plans_ceased="","",Year4_Southampton Year4_CP_Plans_ceased)</f>
        <v>392</v>
      </c>
      <c r="AD234" s="552">
        <f>IF(Year5_Southampton Year5_CP_Plans_ceased="","",Year5_Southampton Year5_CP_Plans_ceased)</f>
        <v>407</v>
      </c>
      <c r="AE234" s="377" t="str">
        <f t="shared" si="92"/>
        <v>Southampton</v>
      </c>
      <c r="AF234" s="463">
        <f>IF(Year1_Southampton Year1_CP_Plans_ceased_2years="","",Year1_Southampton Year1_CP_Plans_ceased_2years)</f>
        <v>0</v>
      </c>
      <c r="AG234" s="365">
        <f>IF(Year2_Southampton Year2_CP_Plans_ceased_2years="","",Year2_Southampton Year2_CP_Plans_ceased_2years)</f>
        <v>6</v>
      </c>
      <c r="AH234" s="365">
        <f>IF(Year3_Southampton Year3_CP_Plans_ceased_2years="","",Year3_Southampton Year3_CP_Plans_ceased_2years)</f>
        <v>18</v>
      </c>
      <c r="AI234" s="365">
        <f>IF(Year4_Southampton Year4_CP_Plans_ceased_2years="","",Year4_Southampton Year4_CP_Plans_ceased_2years)</f>
        <v>12</v>
      </c>
      <c r="AJ234" s="365">
        <f>IF(Year5_Southampton Year5_CP_Plans_ceased_2years="","",Year5_Southampton Year5_CP_Plans_ceased_2years)</f>
        <v>7</v>
      </c>
      <c r="AK234" s="156"/>
    </row>
    <row r="235" spans="1:45" s="89" customFormat="1" ht="12.75" customHeight="1" x14ac:dyDescent="0.2">
      <c r="A235" s="462">
        <f>VLOOKUP(B235,Sheet1!$AQ$4:$AR$25,2,FALSE)</f>
        <v>0</v>
      </c>
      <c r="B235" s="95" t="str">
        <f t="shared" si="84"/>
        <v>Surrey</v>
      </c>
      <c r="C235" s="87"/>
      <c r="D235" s="158">
        <f t="shared" si="86"/>
        <v>6.5261044176706834E-2</v>
      </c>
      <c r="E235" s="158">
        <f t="shared" si="87"/>
        <v>9.8654708520179366E-2</v>
      </c>
      <c r="F235" s="158">
        <f t="shared" si="88"/>
        <v>5.5762081784386616E-2</v>
      </c>
      <c r="G235" s="158">
        <f t="shared" si="89"/>
        <v>6.0544904137235116E-2</v>
      </c>
      <c r="H235" s="160">
        <f t="shared" si="90"/>
        <v>4.5183290707587385E-2</v>
      </c>
      <c r="I235" s="98"/>
      <c r="J235" s="98"/>
      <c r="K235" s="162"/>
      <c r="L235" s="162"/>
      <c r="M235" s="162"/>
      <c r="N235" s="162"/>
      <c r="O235" s="162"/>
      <c r="P235" s="162"/>
      <c r="Q235" s="162"/>
      <c r="R235" s="163"/>
      <c r="S235" s="155"/>
      <c r="T235" s="155"/>
      <c r="U235" s="162"/>
      <c r="V235" s="124"/>
      <c r="W235" s="140"/>
      <c r="X235" s="149"/>
      <c r="Y235" s="552" t="str">
        <f t="shared" si="91"/>
        <v>Surrey</v>
      </c>
      <c r="Z235" s="556">
        <f>IF(Year1_Surrey Year1_CP_Plans_ceased="","",Year1_Surrey Year1_CP_Plans_ceased)</f>
        <v>996</v>
      </c>
      <c r="AA235" s="365">
        <f>IF(Year2_Surrey Year2_CP_Plans_ceased="","",Year2_Surrey Year2_CP_Plans_ceased)</f>
        <v>1115</v>
      </c>
      <c r="AB235" s="365">
        <f>IF(Year3_Surrey Year3_CP_Plans_ceased="","",Year3_Surrey Year3_CP_Plans_ceased)</f>
        <v>1076</v>
      </c>
      <c r="AC235" s="365">
        <f>IF(Year4_Surrey Year4_CP_Plans_ceased="","",Year4_Surrey Year4_CP_Plans_ceased)</f>
        <v>991</v>
      </c>
      <c r="AD235" s="552">
        <f>IF(Year5_Surrey Year5_CP_Plans_ceased="","",Year5_Surrey Year5_CP_Plans_ceased)</f>
        <v>1173</v>
      </c>
      <c r="AE235" s="377" t="str">
        <f t="shared" si="92"/>
        <v>Surrey</v>
      </c>
      <c r="AF235" s="463">
        <f>IF(Year1_Surrey Year1_CP_Plans_ceased_2years="","",Year1_Surrey Year1_CP_Plans_ceased_2years)</f>
        <v>65</v>
      </c>
      <c r="AG235" s="365">
        <f>IF(Year2_Surrey Year2_CP_Plans_ceased_2years="","",Year2_Surrey Year2_CP_Plans_ceased_2years)</f>
        <v>110</v>
      </c>
      <c r="AH235" s="365">
        <f>IF(Year3_Surrey Year3_CP_Plans_ceased_2years="","",Year3_Surrey Year3_CP_Plans_ceased_2years)</f>
        <v>60</v>
      </c>
      <c r="AI235" s="365">
        <f>IF(Year4_Surrey Year4_CP_Plans_ceased_2years="","",Year4_Surrey Year4_CP_Plans_ceased_2years)</f>
        <v>60</v>
      </c>
      <c r="AJ235" s="365">
        <f>IF(Year5_Surrey Year5_CP_Plans_ceased_2years="","",Year5_Surrey Year5_CP_Plans_ceased_2years)</f>
        <v>53</v>
      </c>
      <c r="AK235" s="156"/>
    </row>
    <row r="236" spans="1:45" s="89" customFormat="1" ht="12.75" customHeight="1" x14ac:dyDescent="0.2">
      <c r="A236" s="462">
        <f>VLOOKUP(B236,Sheet1!$AQ$4:$AR$25,2,FALSE)</f>
        <v>0</v>
      </c>
      <c r="B236" s="95" t="str">
        <f t="shared" si="84"/>
        <v>Swindon</v>
      </c>
      <c r="C236" s="87"/>
      <c r="D236" s="158" t="e">
        <f t="shared" si="86"/>
        <v>#N/A</v>
      </c>
      <c r="E236" s="158">
        <f t="shared" si="87"/>
        <v>3.125E-2</v>
      </c>
      <c r="F236" s="158">
        <f t="shared" si="88"/>
        <v>3.5598705501618123E-2</v>
      </c>
      <c r="G236" s="158">
        <f t="shared" si="89"/>
        <v>1.5706806282722512E-2</v>
      </c>
      <c r="H236" s="160">
        <f t="shared" si="90"/>
        <v>4.2410714285714288E-2</v>
      </c>
      <c r="I236" s="98"/>
      <c r="J236" s="98"/>
      <c r="K236" s="162"/>
      <c r="L236" s="162"/>
      <c r="M236" s="162"/>
      <c r="N236" s="162"/>
      <c r="O236" s="162"/>
      <c r="P236" s="162"/>
      <c r="Q236" s="162"/>
      <c r="R236" s="163"/>
      <c r="S236" s="155"/>
      <c r="T236" s="155"/>
      <c r="U236" s="162"/>
      <c r="V236" s="124"/>
      <c r="W236" s="140"/>
      <c r="X236" s="149"/>
      <c r="Y236" s="552" t="str">
        <f t="shared" si="91"/>
        <v>Swindon</v>
      </c>
      <c r="Z236" s="556">
        <f>IF(Year1_Swindon Year1_CP_Plans_ceased="","",Year1_Swindon Year1_CP_Plans_ceased)</f>
        <v>263</v>
      </c>
      <c r="AA236" s="365">
        <f>IF(Year2_Swindon Year2_CP_Plans_ceased="","",Year2_Swindon Year2_CP_Plans_ceased)</f>
        <v>256</v>
      </c>
      <c r="AB236" s="365">
        <f>IF(Year3_Swindon Year3_CP_Plans_ceased="","",Year3_Swindon Year3_CP_Plans_ceased)</f>
        <v>309</v>
      </c>
      <c r="AC236" s="555">
        <f>IF(Year4_Swindon Year4_CP_Plans_ceased="","",Year4_Swindon Year4_CP_Plans_ceased)</f>
        <v>382</v>
      </c>
      <c r="AD236" s="573">
        <f>IF(Year5_Swindon Year5_CP_Plans_ceased="","",Year5_Swindon Year5_CP_Plans_ceased)</f>
        <v>448</v>
      </c>
      <c r="AE236" s="377" t="str">
        <f t="shared" si="92"/>
        <v>Swindon</v>
      </c>
      <c r="AF236" s="463" t="str">
        <f>IF(Year1_Swindon Year1_CP_Plans_ceased_2years="","",Year1_Swindon Year1_CP_Plans_ceased_2years)</f>
        <v>x</v>
      </c>
      <c r="AG236" s="365">
        <f>IF(Year2_Swindon Year2_CP_Plans_ceased_2years="","",Year2_Swindon Year2_CP_Plans_ceased_2years)</f>
        <v>8</v>
      </c>
      <c r="AH236" s="365">
        <f>IF(Year3_Swindon Year3_CP_Plans_ceased_2years="","",Year3_Swindon Year3_CP_Plans_ceased_2years)</f>
        <v>11</v>
      </c>
      <c r="AI236" s="555">
        <f>IF(Year4_Swindon Year4_CP_Plans_ceased_2years="","",Year4_Swindon Year4_CP_Plans_ceased_2years)</f>
        <v>6</v>
      </c>
      <c r="AJ236" s="574">
        <f>IF(Year5_Swindon Year5_CP_Plans_ceased_2years="","",Year5_Swindon Year5_CP_Plans_ceased_2years)</f>
        <v>19</v>
      </c>
      <c r="AK236" s="156"/>
    </row>
    <row r="237" spans="1:45" s="89" customFormat="1" ht="12.75" customHeight="1" x14ac:dyDescent="0.2">
      <c r="A237" s="462">
        <f>VLOOKUP(B237,Sheet1!$AQ$4:$AR$25,2,FALSE)</f>
        <v>0</v>
      </c>
      <c r="B237" s="95" t="str">
        <f t="shared" si="84"/>
        <v>Torbay</v>
      </c>
      <c r="C237" s="87"/>
      <c r="D237" s="158">
        <f t="shared" si="86"/>
        <v>2.7777777777777776E-2</v>
      </c>
      <c r="E237" s="158" t="e">
        <f t="shared" si="87"/>
        <v>#N/A</v>
      </c>
      <c r="F237" s="158" t="e">
        <f t="shared" si="88"/>
        <v>#N/A</v>
      </c>
      <c r="G237" s="158">
        <f t="shared" si="89"/>
        <v>3.2967032967032968E-2</v>
      </c>
      <c r="H237" s="160" t="e">
        <f t="shared" si="90"/>
        <v>#N/A</v>
      </c>
      <c r="I237" s="98"/>
      <c r="J237" s="98"/>
      <c r="K237" s="162"/>
      <c r="L237" s="162"/>
      <c r="M237" s="162"/>
      <c r="N237" s="162"/>
      <c r="O237" s="162"/>
      <c r="P237" s="162"/>
      <c r="Q237" s="162"/>
      <c r="R237" s="163"/>
      <c r="S237" s="155"/>
      <c r="T237" s="155"/>
      <c r="U237" s="162"/>
      <c r="V237" s="124"/>
      <c r="W237" s="140"/>
      <c r="X237" s="149"/>
      <c r="Y237" s="552" t="str">
        <f t="shared" si="91"/>
        <v>Torbay</v>
      </c>
      <c r="Z237" s="556">
        <f>IF(Year1_Torbay Year1_CP_Plans_ceased="","",Year1_Torbay Year1_CP_Plans_ceased)</f>
        <v>252</v>
      </c>
      <c r="AA237" s="365">
        <f>IF(Year2_Torbay Year2_CP_Plans_ceased="","",Year2_Torbay Year2_CP_Plans_ceased)</f>
        <v>292</v>
      </c>
      <c r="AB237" s="365">
        <f>IF(Year3_Torbay Year3_CP_Plans_ceased="","",Year3_Torbay Year3_CP_Plans_ceased)</f>
        <v>217</v>
      </c>
      <c r="AC237" s="555">
        <f>IF(Year4_Torbay Year4_CP_Plans_ceased="","",Year4_Torbay Year4_CP_Plans_ceased)</f>
        <v>364</v>
      </c>
      <c r="AD237" s="557">
        <f>IF(Year5_Torbay Year5_CP_Plans_ceased="","",Year5_Torbay Year5_CP_Plans_ceased)</f>
        <v>211</v>
      </c>
      <c r="AE237" s="377" t="str">
        <f t="shared" si="92"/>
        <v>Torbay</v>
      </c>
      <c r="AF237" s="463">
        <f>IF(Year1_Torbay Year1_CP_Plans_ceased_2years="","",Year1_Torbay Year1_CP_Plans_ceased_2years)</f>
        <v>7</v>
      </c>
      <c r="AG237" s="365" t="str">
        <f>IF(Year2_Torbay Year2_CP_Plans_ceased_2years="","",Year2_Torbay Year2_CP_Plans_ceased_2years)</f>
        <v>x</v>
      </c>
      <c r="AH237" s="365" t="str">
        <f>IF(Year3_Torbay Year3_CP_Plans_ceased_2years="","",Year3_Torbay Year3_CP_Plans_ceased_2years)</f>
        <v>x</v>
      </c>
      <c r="AI237" s="555">
        <f>IF(Year4_Torbay Year4_CP_Plans_ceased_2years="","",Year4_Torbay Year4_CP_Plans_ceased_2years)</f>
        <v>12</v>
      </c>
      <c r="AJ237" s="555" t="str">
        <f>IF(Year5_Torbay Year5_CP_Plans_ceased_2years="","",Year5_Torbay Year5_CP_Plans_ceased_2years)</f>
        <v>x</v>
      </c>
      <c r="AK237" s="156"/>
    </row>
    <row r="238" spans="1:45" s="89" customFormat="1" ht="12.75" customHeight="1" x14ac:dyDescent="0.2">
      <c r="A238" s="462">
        <f>VLOOKUP(B238,Sheet1!$AQ$4:$AR$25,2,FALSE)</f>
        <v>0</v>
      </c>
      <c r="B238" s="95" t="str">
        <f t="shared" si="84"/>
        <v>West Berkshire</v>
      </c>
      <c r="C238" s="87"/>
      <c r="D238" s="158" t="e">
        <f t="shared" si="86"/>
        <v>#N/A</v>
      </c>
      <c r="E238" s="158" t="e">
        <f t="shared" si="87"/>
        <v>#N/A</v>
      </c>
      <c r="F238" s="158" t="e">
        <f t="shared" si="88"/>
        <v>#N/A</v>
      </c>
      <c r="G238" s="158">
        <f t="shared" si="89"/>
        <v>2.2222222222222223E-2</v>
      </c>
      <c r="H238" s="160" t="e">
        <f t="shared" si="90"/>
        <v>#N/A</v>
      </c>
      <c r="I238" s="98"/>
      <c r="J238" s="98"/>
      <c r="K238" s="162"/>
      <c r="L238" s="162"/>
      <c r="M238" s="162"/>
      <c r="N238" s="162"/>
      <c r="O238" s="162"/>
      <c r="P238" s="162"/>
      <c r="Q238" s="162"/>
      <c r="R238" s="163"/>
      <c r="S238" s="155"/>
      <c r="T238" s="155"/>
      <c r="U238" s="162"/>
      <c r="V238" s="124"/>
      <c r="W238" s="140"/>
      <c r="X238" s="149"/>
      <c r="Y238" s="552" t="str">
        <f t="shared" si="91"/>
        <v>West Berkshire</v>
      </c>
      <c r="Z238" s="556">
        <f>IF(Year1_West_Berkshire Year1_CP_Plans_ceased="","",Year1_West_Berkshire Year1_CP_Plans_ceased)</f>
        <v>156</v>
      </c>
      <c r="AA238" s="365">
        <f>IF(Year2_West_Berkshire Year2_CP_Plans_ceased="","",Year2_West_Berkshire Year2_CP_Plans_ceased)</f>
        <v>183</v>
      </c>
      <c r="AB238" s="365">
        <f>IF(Year3_West_Berkshire Year3_CP_Plans_ceased="","",Year3_West_Berkshire Year3_CP_Plans_ceased)</f>
        <v>200</v>
      </c>
      <c r="AC238" s="365">
        <f>IF(Year4_West_Berkshire Year4_CP_Plans_ceased="","",Year4_West_Berkshire Year4_CP_Plans_ceased)</f>
        <v>225</v>
      </c>
      <c r="AD238" s="552">
        <f>IF(Year5_West_Berkshire Year5_CP_Plans_ceased="","",Year5_West_Berkshire Year5_CP_Plans_ceased)</f>
        <v>251</v>
      </c>
      <c r="AE238" s="377" t="str">
        <f t="shared" si="92"/>
        <v>West Berkshire</v>
      </c>
      <c r="AF238" s="463" t="str">
        <f>IF(Year1_West_Berkshire Year1_CP_Plans_ceased_2years="","",Year1_West_Berkshire Year1_CP_Plans_ceased_2years)</f>
        <v>x</v>
      </c>
      <c r="AG238" s="365" t="str">
        <f>IF(Year2_West_Berkshire Year2_CP_Plans_ceased_2years="","",Year2_West_Berkshire Year2_CP_Plans_ceased_2years)</f>
        <v>x</v>
      </c>
      <c r="AH238" s="365" t="str">
        <f>IF(Year3_West_Berkshire Year3_CP_Plans_ceased_2years="","",Year3_West_Berkshire Year3_CP_Plans_ceased_2years)</f>
        <v>x</v>
      </c>
      <c r="AI238" s="365">
        <f>IF(Year4_West_Berkshire Year4_CP_Plans_ceased_2years="","",Year4_West_Berkshire Year4_CP_Plans_ceased_2years)</f>
        <v>5</v>
      </c>
      <c r="AJ238" s="365" t="str">
        <f>IF(Year5_West_Berkshire Year5_CP_Plans_ceased_2years="","",Year5_West_Berkshire Year5_CP_Plans_ceased_2years)</f>
        <v>x</v>
      </c>
      <c r="AK238" s="156"/>
    </row>
    <row r="239" spans="1:45" s="89" customFormat="1" ht="12.75" customHeight="1" x14ac:dyDescent="0.2">
      <c r="A239" s="462">
        <f>VLOOKUP(B239,Sheet1!$AQ$4:$AR$25,2,FALSE)</f>
        <v>0</v>
      </c>
      <c r="B239" s="95" t="str">
        <f t="shared" si="84"/>
        <v>West Sussex</v>
      </c>
      <c r="C239" s="87"/>
      <c r="D239" s="158">
        <f t="shared" si="86"/>
        <v>2.309782608695652E-2</v>
      </c>
      <c r="E239" s="158">
        <f t="shared" si="87"/>
        <v>3.5294117647058823E-2</v>
      </c>
      <c r="F239" s="158">
        <f t="shared" si="88"/>
        <v>6.6162570888468802E-2</v>
      </c>
      <c r="G239" s="158">
        <f t="shared" si="89"/>
        <v>3.5135135135135137E-2</v>
      </c>
      <c r="H239" s="160">
        <f t="shared" si="90"/>
        <v>3.2596041909196738E-2</v>
      </c>
      <c r="I239" s="98"/>
      <c r="J239" s="98"/>
      <c r="K239" s="162"/>
      <c r="L239" s="162"/>
      <c r="M239" s="162"/>
      <c r="N239" s="162"/>
      <c r="O239" s="162"/>
      <c r="P239" s="162"/>
      <c r="Q239" s="162"/>
      <c r="R239" s="163"/>
      <c r="S239" s="155"/>
      <c r="T239" s="155"/>
      <c r="U239" s="162"/>
      <c r="V239" s="124"/>
      <c r="W239" s="140"/>
      <c r="X239" s="149"/>
      <c r="Y239" s="552" t="str">
        <f t="shared" si="91"/>
        <v>West Sussex</v>
      </c>
      <c r="Z239" s="556">
        <f>IF(Year1_West_Sussex Year1_CP_Plans_ceased="","",Year1_West_Sussex Year1_CP_Plans_ceased)</f>
        <v>736</v>
      </c>
      <c r="AA239" s="365">
        <f>IF(Year2_West_Sussex Year2_CP_Plans_ceased="","",Year2_West_Sussex Year2_CP_Plans_ceased)</f>
        <v>595</v>
      </c>
      <c r="AB239" s="365">
        <f>IF(Year3_West_Sussex Year3_CP_Plans_ceased="","",Year3_West_Sussex Year3_CP_Plans_ceased)</f>
        <v>529</v>
      </c>
      <c r="AC239" s="365">
        <f>IF(Year4_West_Sussex Year4_CP_Plans_ceased="","",Year4_West_Sussex Year4_CP_Plans_ceased)</f>
        <v>740</v>
      </c>
      <c r="AD239" s="552">
        <f>IF(Year5_West_Sussex Year5_CP_Plans_ceased="","",Year5_West_Sussex Year5_CP_Plans_ceased)</f>
        <v>859</v>
      </c>
      <c r="AE239" s="377" t="str">
        <f t="shared" si="92"/>
        <v>West Sussex</v>
      </c>
      <c r="AF239" s="463">
        <f>IF(Year1_West_Sussex Year1_CP_Plans_ceased_2years="","",Year1_West_Sussex Year1_CP_Plans_ceased_2years)</f>
        <v>17</v>
      </c>
      <c r="AG239" s="365">
        <f>IF(Year2_West_Sussex Year2_CP_Plans_ceased_2years="","",Year2_West_Sussex Year2_CP_Plans_ceased_2years)</f>
        <v>21</v>
      </c>
      <c r="AH239" s="365">
        <f>IF(Year3_West_Sussex Year3_CP_Plans_ceased_2years="","",Year3_West_Sussex Year3_CP_Plans_ceased_2years)</f>
        <v>35</v>
      </c>
      <c r="AI239" s="365">
        <f>IF(Year4_West_Sussex Year4_CP_Plans_ceased_2years="","",Year4_West_Sussex Year4_CP_Plans_ceased_2years)</f>
        <v>26</v>
      </c>
      <c r="AJ239" s="365">
        <f>IF(Year5_West_Sussex Year5_CP_Plans_ceased_2years="","",Year5_West_Sussex Year5_CP_Plans_ceased_2years)</f>
        <v>28</v>
      </c>
      <c r="AK239" s="156"/>
    </row>
    <row r="240" spans="1:45" s="89" customFormat="1" ht="12.75" customHeight="1" x14ac:dyDescent="0.2">
      <c r="A240" s="462">
        <f>VLOOKUP(B240,Sheet1!$AQ$4:$AR$25,2,FALSE)</f>
        <v>0</v>
      </c>
      <c r="B240" s="95" t="str">
        <f t="shared" si="84"/>
        <v>Windsor &amp; Maidenhead</v>
      </c>
      <c r="C240" s="87"/>
      <c r="D240" s="158" t="e">
        <f t="shared" si="86"/>
        <v>#N/A</v>
      </c>
      <c r="E240" s="158">
        <f t="shared" si="87"/>
        <v>0</v>
      </c>
      <c r="F240" s="158" t="e">
        <f t="shared" si="88"/>
        <v>#N/A</v>
      </c>
      <c r="G240" s="158" t="e">
        <f t="shared" si="89"/>
        <v>#N/A</v>
      </c>
      <c r="H240" s="160" t="e">
        <f t="shared" si="90"/>
        <v>#N/A</v>
      </c>
      <c r="I240" s="98"/>
      <c r="J240" s="98"/>
      <c r="K240" s="162"/>
      <c r="L240" s="162"/>
      <c r="M240" s="162"/>
      <c r="N240" s="162"/>
      <c r="O240" s="162"/>
      <c r="P240" s="162"/>
      <c r="Q240" s="162"/>
      <c r="R240" s="163"/>
      <c r="S240" s="155"/>
      <c r="T240" s="155"/>
      <c r="U240" s="162"/>
      <c r="V240" s="124"/>
      <c r="W240" s="140"/>
      <c r="X240" s="149"/>
      <c r="Y240" s="552" t="str">
        <f t="shared" si="91"/>
        <v>Windsor &amp; Maidenhead</v>
      </c>
      <c r="Z240" s="556">
        <f>IF(Year1_Windsor_Maidenhead Year1_CP_Plans_ceased="","",Year1_Windsor_Maidenhead Year1_CP_Plans_ceased)</f>
        <v>114</v>
      </c>
      <c r="AA240" s="365">
        <f>IF(Year2_Windsor_Maidenhead Year2_CP_Plans_ceased="","",Year2_Windsor_Maidenhead Year2_CP_Plans_ceased)</f>
        <v>94</v>
      </c>
      <c r="AB240" s="365">
        <f>IF(Year3_Windsor_Maidenhead Year3_CP_Plans_ceased="","",Year3_Windsor_Maidenhead Year3_CP_Plans_ceased)</f>
        <v>176</v>
      </c>
      <c r="AC240" s="365">
        <f>IF(Year4_Windsor_Maidenhead Year4_CP_Plans_ceased="","",Year4_Windsor_Maidenhead Year4_CP_Plans_ceased)</f>
        <v>193</v>
      </c>
      <c r="AD240" s="552">
        <f>IF(Year5_Windsor_Maidenhead Year5_CP_Plans_ceased="","",Year5_Windsor_Maidenhead Year5_CP_Plans_ceased)</f>
        <v>76</v>
      </c>
      <c r="AE240" s="377" t="str">
        <f t="shared" si="92"/>
        <v>Windsor &amp; Maidenhead</v>
      </c>
      <c r="AF240" s="463" t="str">
        <f>IF(Year1_Windsor_Maidenhead Year1_CP_Plans_ceased_2years="","",Year1_Windsor_Maidenhead Year1_CP_Plans_ceased_2years)</f>
        <v>x</v>
      </c>
      <c r="AG240" s="365">
        <f>IF(Year2_Windsor_Maidenhead Year2_CP_Plans_ceased_2years="","",Year2_Windsor_Maidenhead Year2_CP_Plans_ceased_2years)</f>
        <v>0</v>
      </c>
      <c r="AH240" s="365" t="str">
        <f>IF(Year3_Windsor_Maidenhead Year3_CP_Plans_ceased_2years="","",Year3_Windsor_Maidenhead Year3_CP_Plans_ceased_2years)</f>
        <v>x</v>
      </c>
      <c r="AI240" s="365" t="str">
        <f>IF(Year4_Windsor_Maidenhead Year4_CP_Plans_ceased_2years="","",Year4_Windsor_Maidenhead Year4_CP_Plans_ceased_2years)</f>
        <v>x</v>
      </c>
      <c r="AJ240" s="365" t="str">
        <f>IF(Year5_Windsor_Maidenhead Year5_CP_Plans_ceased_2years="","",Year5_Windsor_Maidenhead Year5_CP_Plans_ceased_2years)</f>
        <v>x</v>
      </c>
      <c r="AK240" s="156"/>
    </row>
    <row r="241" spans="1:46" s="89" customFormat="1" ht="12.75" customHeight="1" x14ac:dyDescent="0.2">
      <c r="A241" s="462">
        <f>VLOOKUP(B241,Sheet1!$AQ$4:$AR$25,2,FALSE)</f>
        <v>0</v>
      </c>
      <c r="B241" s="95" t="str">
        <f t="shared" si="84"/>
        <v>Wokingham</v>
      </c>
      <c r="C241" s="87"/>
      <c r="D241" s="158" t="e">
        <f t="shared" si="86"/>
        <v>#N/A</v>
      </c>
      <c r="E241" s="158" t="e">
        <f t="shared" si="87"/>
        <v>#N/A</v>
      </c>
      <c r="F241" s="158">
        <f t="shared" si="88"/>
        <v>0</v>
      </c>
      <c r="G241" s="158">
        <f t="shared" si="89"/>
        <v>0</v>
      </c>
      <c r="H241" s="160">
        <f t="shared" si="90"/>
        <v>4.1025641025641026E-2</v>
      </c>
      <c r="I241" s="98"/>
      <c r="J241" s="98"/>
      <c r="K241" s="162"/>
      <c r="L241" s="162"/>
      <c r="M241" s="162"/>
      <c r="N241" s="162"/>
      <c r="O241" s="162"/>
      <c r="P241" s="162"/>
      <c r="Q241" s="162"/>
      <c r="R241" s="163"/>
      <c r="S241" s="155"/>
      <c r="T241" s="155"/>
      <c r="U241" s="162"/>
      <c r="V241" s="124"/>
      <c r="W241" s="140"/>
      <c r="X241" s="149"/>
      <c r="Y241" s="552" t="str">
        <f t="shared" si="91"/>
        <v>Wokingham</v>
      </c>
      <c r="Z241" s="556">
        <f>IF(Year1_Wokingham Year1_CP_Plans_ceased="","",Year1_Wokingham Year1_CP_Plans_ceased)</f>
        <v>108</v>
      </c>
      <c r="AA241" s="365">
        <f>IF(Year2_Wokingham Year2_CP_Plans_ceased="","",Year2_Wokingham Year2_CP_Plans_ceased)</f>
        <v>97</v>
      </c>
      <c r="AB241" s="365">
        <f>IF(Year3_Wokingham Year3_CP_Plans_ceased="","",Year3_Wokingham Year3_CP_Plans_ceased)</f>
        <v>105</v>
      </c>
      <c r="AC241" s="365">
        <f>IF(Year4_Wokingham Year4_CP_Plans_ceased="","",Year4_Wokingham Year4_CP_Plans_ceased)</f>
        <v>70</v>
      </c>
      <c r="AD241" s="552">
        <f>IF(Year5_Wokingham Year5_CP_Plans_ceased="","",Year5_Wokingham Year5_CP_Plans_ceased)</f>
        <v>195</v>
      </c>
      <c r="AE241" s="377" t="str">
        <f t="shared" si="92"/>
        <v>Wokingham</v>
      </c>
      <c r="AF241" s="463" t="str">
        <f>IF(Year1_Wokingham Year1_CP_Plans_ceased_2years="","",Year1_Wokingham Year1_CP_Plans_ceased_2years)</f>
        <v>x</v>
      </c>
      <c r="AG241" s="365" t="str">
        <f>IF(Year2_Wokingham Year2_CP_Plans_ceased_2years="","",Year2_Wokingham Year2_CP_Plans_ceased_2years)</f>
        <v>x</v>
      </c>
      <c r="AH241" s="365">
        <f>IF(Year3_Wokingham Year3_CP_Plans_ceased_2years="","",Year3_Wokingham Year3_CP_Plans_ceased_2years)</f>
        <v>0</v>
      </c>
      <c r="AI241" s="365">
        <f>IF(Year4_Wokingham Year4_CP_Plans_ceased_2years="","",Year4_Wokingham Year4_CP_Plans_ceased_2years)</f>
        <v>0</v>
      </c>
      <c r="AJ241" s="365">
        <f>IF(Year5_Wokingham Year5_CP_Plans_ceased_2years="","",Year5_Wokingham Year5_CP_Plans_ceased_2years)</f>
        <v>8</v>
      </c>
      <c r="AK241" s="156"/>
    </row>
    <row r="242" spans="1:46" s="89" customFormat="1" ht="12.75" customHeight="1" x14ac:dyDescent="0.2">
      <c r="A242" s="123"/>
      <c r="B242" s="131" t="str">
        <f t="shared" si="84"/>
        <v>South East</v>
      </c>
      <c r="C242" s="87"/>
      <c r="D242" s="159">
        <f t="shared" si="86"/>
        <v>4.2889390519187359E-2</v>
      </c>
      <c r="E242" s="159">
        <f t="shared" si="87"/>
        <v>4.5643153526970952E-2</v>
      </c>
      <c r="F242" s="159">
        <f t="shared" si="88"/>
        <v>4.4806517311608958E-2</v>
      </c>
      <c r="G242" s="159">
        <f t="shared" si="89"/>
        <v>4.8574445617740235E-2</v>
      </c>
      <c r="H242" s="161">
        <f t="shared" si="90"/>
        <v>4.6425255338904362E-2</v>
      </c>
      <c r="I242" s="98"/>
      <c r="J242" s="98"/>
      <c r="K242" s="164"/>
      <c r="L242" s="164"/>
      <c r="M242" s="164"/>
      <c r="N242" s="164"/>
      <c r="O242" s="164"/>
      <c r="P242" s="164"/>
      <c r="Q242" s="164"/>
      <c r="R242" s="165"/>
      <c r="S242" s="155"/>
      <c r="T242" s="155"/>
      <c r="U242" s="166"/>
      <c r="V242" s="124"/>
      <c r="W242" s="140"/>
      <c r="X242" s="149"/>
      <c r="Y242" s="552" t="str">
        <f>B242</f>
        <v>South East</v>
      </c>
      <c r="Z242" s="575">
        <f>IF(Year1_SouthEast Year1_CP_Plans_ceased="","",Year1_SouthEast Year1_CP_Plans_ceased)</f>
        <v>8860</v>
      </c>
      <c r="AA242" s="576">
        <f>IF(Year2_SouthEast Year2_CP_Plans_ceased="","",Year2_SouthEast Year2_CP_Plans_ceased)</f>
        <v>9640</v>
      </c>
      <c r="AB242" s="576">
        <f>IF(Year3_SouthEast Year3_CP_Plans_ceased="","",Year3_SouthEast Year3_CP_Plans_ceased)</f>
        <v>9820</v>
      </c>
      <c r="AC242" s="365">
        <f>IF(Year4_SouthEast Year4_CP_Plans_ceased="","",Year4_SouthEast Year4_CP_Plans_ceased)</f>
        <v>9470</v>
      </c>
      <c r="AD242" s="552">
        <f>IF(Year5_SouthEast Year5_CP_Plans_ceased="","",Year5_SouthEast Year5_CP_Plans_ceased)</f>
        <v>10770</v>
      </c>
      <c r="AE242" s="377" t="str">
        <f t="shared" si="92"/>
        <v>South East</v>
      </c>
      <c r="AF242" s="576">
        <f>IF(Year1_SouthEast Year1_CP_Plans_ceased_2years="","",Year1_SouthEast Year1_CP_Plans_ceased_2years)</f>
        <v>380</v>
      </c>
      <c r="AG242" s="576">
        <f>IF(Year2_SouthEast Year2_CP_Plans_ceased_2years="","",Year2_SouthEast Year2_CP_Plans_ceased_2years)</f>
        <v>440</v>
      </c>
      <c r="AH242" s="576">
        <f>IF(Year3_SouthEast Year3_CP_Plans_ceased_2years="","",Year3_SouthEast Year3_CP_Plans_ceased_2years)</f>
        <v>440</v>
      </c>
      <c r="AI242" s="365">
        <f>IF(Year4_SouthEast Year4_CP_Plans_ceased_2years="","",Year4_SouthEast Year4_CP_Plans_ceased_2years)</f>
        <v>460</v>
      </c>
      <c r="AJ242" s="365">
        <f>IF(Year5_SouthEast Year5_CP_Plans_ceased_2years="","",Year5_SouthEast Year5_CP_Plans_ceased_2years)</f>
        <v>500</v>
      </c>
      <c r="AK242" s="156"/>
    </row>
    <row r="243" spans="1:46" s="89" customFormat="1" ht="12.75" customHeight="1" x14ac:dyDescent="0.2">
      <c r="A243" s="123"/>
      <c r="B243" s="318" t="str">
        <f t="shared" si="84"/>
        <v>England</v>
      </c>
      <c r="C243" s="87"/>
      <c r="D243" s="344">
        <f t="shared" si="86"/>
        <v>3.7251655629139076E-2</v>
      </c>
      <c r="E243" s="344">
        <f t="shared" si="87"/>
        <v>3.8406374501992031E-2</v>
      </c>
      <c r="F243" s="344">
        <f t="shared" si="88"/>
        <v>3.4087435035157446E-2</v>
      </c>
      <c r="G243" s="344">
        <f t="shared" si="89"/>
        <v>3.4132281553398057E-2</v>
      </c>
      <c r="H243" s="345">
        <f t="shared" si="90"/>
        <v>3.3426594021499043E-2</v>
      </c>
      <c r="I243" s="98"/>
      <c r="J243" s="98"/>
      <c r="K243" s="164"/>
      <c r="L243" s="164"/>
      <c r="M243" s="164"/>
      <c r="N243" s="164"/>
      <c r="O243" s="164"/>
      <c r="P243" s="164"/>
      <c r="Q243" s="164"/>
      <c r="R243" s="165"/>
      <c r="S243" s="155"/>
      <c r="T243" s="155"/>
      <c r="U243" s="166"/>
      <c r="V243" s="124"/>
      <c r="W243" s="140"/>
      <c r="X243" s="149"/>
      <c r="Y243" s="552" t="str">
        <f t="shared" si="91"/>
        <v>England</v>
      </c>
      <c r="Z243" s="575">
        <f>IF(Year1_England Year1_CP_Plans_ceased="","",Year1_England Year1_CP_Plans_ceased)</f>
        <v>60400</v>
      </c>
      <c r="AA243" s="576">
        <f>IF(Year2_England Year2_CP_Plans_ceased="","",Year2_England Year2_CP_Plans_ceased)</f>
        <v>62750</v>
      </c>
      <c r="AB243" s="576">
        <f>IF(Year3_England Year3_CP_Plans_ceased="","",Year3_England Year3_CP_Plans_ceased)</f>
        <v>65420</v>
      </c>
      <c r="AC243" s="365">
        <f>IF(Year4_England Year4_CP_Plans_ceased="","",Year4_England Year4_CP_Plans_ceased)</f>
        <v>65920</v>
      </c>
      <c r="AD243" s="552">
        <f>IF(Year5_England Year5_CP_Plans_ceased="","",Year5_England Year5_CP_Plans_ceased)</f>
        <v>67910</v>
      </c>
      <c r="AE243" s="377" t="str">
        <f t="shared" si="92"/>
        <v>England</v>
      </c>
      <c r="AF243" s="576">
        <f>IF(Year1_England Year1_CP_Plans_ceased_2years="","",Year1_England Year1_CP_Plans_ceased_2years)</f>
        <v>2250</v>
      </c>
      <c r="AG243" s="576">
        <f>IF(Year2_England Year2_CP_Plans_ceased_2years="","",Year2_England Year2_CP_Plans_ceased_2years)</f>
        <v>2410</v>
      </c>
      <c r="AH243" s="576">
        <f>IF(Year3_England Year3_CP_Plans_ceased_2years="","",Year3_England Year3_CP_Plans_ceased_2years)</f>
        <v>2230</v>
      </c>
      <c r="AI243" s="365">
        <f>IF(Year4_England Year4_CP_Plans_ceased_2years="","",Year4_England Year4_CP_Plans_ceased_2years)</f>
        <v>2250</v>
      </c>
      <c r="AJ243" s="365">
        <f>IF(Year5_England Year5_CP_Plans_ceased_2years="","",Year5_England Year5_CP_Plans_ceased_2years)</f>
        <v>2270</v>
      </c>
      <c r="AK243" s="156"/>
    </row>
    <row r="244" spans="1:46" s="89" customFormat="1" ht="6" customHeight="1" x14ac:dyDescent="0.2">
      <c r="A244" s="286"/>
      <c r="B244" s="98"/>
      <c r="C244" s="98"/>
      <c r="D244" s="98"/>
      <c r="E244" s="98"/>
      <c r="F244" s="98"/>
      <c r="G244" s="98"/>
      <c r="H244" s="98"/>
      <c r="I244" s="98"/>
      <c r="J244" s="98"/>
      <c r="K244" s="164"/>
      <c r="L244" s="164"/>
      <c r="M244" s="164"/>
      <c r="N244" s="164"/>
      <c r="O244" s="164"/>
      <c r="P244" s="164"/>
      <c r="Q244" s="164"/>
      <c r="R244" s="165"/>
      <c r="S244" s="155"/>
      <c r="T244" s="155"/>
      <c r="U244" s="166"/>
      <c r="V244" s="124"/>
      <c r="W244" s="140"/>
      <c r="X244" s="149"/>
      <c r="Y244" s="183"/>
      <c r="Z244" s="183"/>
      <c r="AA244" s="83"/>
      <c r="AB244" s="83"/>
      <c r="AC244" s="83"/>
      <c r="AD244" s="83"/>
      <c r="AE244" s="83"/>
      <c r="AF244" s="199"/>
      <c r="AG244" s="199"/>
      <c r="AH244" s="199"/>
      <c r="AI244" s="185"/>
      <c r="AJ244" s="199"/>
      <c r="AK244" s="156"/>
    </row>
    <row r="245" spans="1:46" s="83" customFormat="1" ht="36.75" customHeight="1" x14ac:dyDescent="0.2">
      <c r="A245" s="213"/>
      <c r="B245" s="362"/>
      <c r="C245" s="362"/>
      <c r="D245" s="362"/>
      <c r="E245" s="362"/>
      <c r="F245" s="362"/>
      <c r="G245" s="362"/>
      <c r="H245" s="362"/>
      <c r="I245" s="362"/>
      <c r="J245" s="168"/>
      <c r="K245" s="168"/>
      <c r="L245" s="168"/>
      <c r="M245" s="168"/>
      <c r="N245" s="168"/>
      <c r="O245" s="168"/>
      <c r="P245" s="168"/>
      <c r="Q245" s="168"/>
      <c r="R245" s="137"/>
      <c r="S245" s="168"/>
      <c r="T245" s="168"/>
      <c r="U245" s="168"/>
      <c r="V245" s="119"/>
      <c r="W245" s="138"/>
      <c r="X245" s="147"/>
      <c r="AD245" s="192"/>
      <c r="AE245" s="194"/>
      <c r="AF245" s="179"/>
      <c r="AG245" s="179"/>
      <c r="AH245" s="179"/>
      <c r="AJ245" s="179"/>
      <c r="AK245" s="157"/>
    </row>
    <row r="246" spans="1:46" s="83" customFormat="1" ht="36" customHeight="1" x14ac:dyDescent="0.2">
      <c r="A246" s="213"/>
      <c r="B246" s="362"/>
      <c r="C246" s="362"/>
      <c r="D246" s="362"/>
      <c r="E246" s="362"/>
      <c r="F246" s="362"/>
      <c r="G246" s="362"/>
      <c r="H246" s="362"/>
      <c r="I246" s="362"/>
      <c r="J246" s="168"/>
      <c r="K246" s="168"/>
      <c r="L246" s="168"/>
      <c r="M246" s="168"/>
      <c r="N246" s="168"/>
      <c r="O246" s="168"/>
      <c r="P246" s="168"/>
      <c r="Q246" s="168"/>
      <c r="R246" s="137"/>
      <c r="S246" s="168"/>
      <c r="T246" s="168"/>
      <c r="U246" s="168"/>
      <c r="V246" s="119"/>
      <c r="W246" s="138"/>
      <c r="X246" s="147"/>
      <c r="Z246" s="185"/>
      <c r="AE246" s="194"/>
      <c r="AF246" s="179"/>
      <c r="AG246" s="179"/>
      <c r="AH246" s="179"/>
      <c r="AJ246" s="179"/>
      <c r="AK246" s="157"/>
    </row>
    <row r="247" spans="1:46" s="83" customFormat="1" ht="36.75" customHeight="1" x14ac:dyDescent="0.2">
      <c r="A247" s="213"/>
      <c r="B247" s="362"/>
      <c r="C247" s="362"/>
      <c r="D247" s="362"/>
      <c r="E247" s="362"/>
      <c r="F247" s="362"/>
      <c r="G247" s="362"/>
      <c r="H247" s="362"/>
      <c r="I247" s="362"/>
      <c r="J247" s="168"/>
      <c r="K247" s="168"/>
      <c r="L247" s="168"/>
      <c r="M247" s="168"/>
      <c r="N247" s="168"/>
      <c r="O247" s="168"/>
      <c r="P247" s="168"/>
      <c r="Q247" s="168"/>
      <c r="R247" s="137"/>
      <c r="S247" s="168"/>
      <c r="T247" s="168"/>
      <c r="U247" s="168"/>
      <c r="V247" s="119"/>
      <c r="W247" s="138"/>
      <c r="X247" s="147"/>
      <c r="Z247" s="185"/>
      <c r="AE247" s="194"/>
      <c r="AF247" s="179"/>
      <c r="AG247" s="179"/>
      <c r="AH247" s="179"/>
      <c r="AJ247" s="179"/>
      <c r="AK247" s="157"/>
    </row>
    <row r="248" spans="1:46" s="83" customFormat="1" ht="7.5" customHeight="1" x14ac:dyDescent="0.2">
      <c r="A248" s="120"/>
      <c r="B248" s="18"/>
      <c r="C248" s="18"/>
      <c r="D248" s="17"/>
      <c r="E248" s="17"/>
      <c r="F248" s="17"/>
      <c r="G248" s="17"/>
      <c r="H248" s="17"/>
      <c r="I248" s="17"/>
      <c r="J248" s="13"/>
      <c r="K248" s="19"/>
      <c r="L248" s="19"/>
      <c r="M248" s="19"/>
      <c r="N248" s="19"/>
      <c r="O248" s="19"/>
      <c r="P248" s="19"/>
      <c r="Q248" s="19"/>
      <c r="R248" s="19"/>
      <c r="S248" s="19"/>
      <c r="T248" s="19"/>
      <c r="U248" s="20"/>
      <c r="V248" s="119"/>
      <c r="W248" s="138"/>
      <c r="X248" s="147"/>
      <c r="Z248" s="185"/>
      <c r="AJ248" s="179"/>
      <c r="AK248" s="153"/>
      <c r="AL248" s="76"/>
      <c r="AM248" s="76"/>
      <c r="AN248" s="76"/>
      <c r="AO248" s="76"/>
      <c r="AP248" s="76"/>
      <c r="AQ248" s="76"/>
      <c r="AR248" s="76"/>
    </row>
    <row r="249" spans="1:46" s="83" customFormat="1" ht="15" customHeight="1" x14ac:dyDescent="0.2">
      <c r="A249" s="1399"/>
      <c r="B249" s="1421"/>
      <c r="C249" s="1421"/>
      <c r="D249" s="1421"/>
      <c r="E249" s="1421"/>
      <c r="F249" s="1421"/>
      <c r="G249" s="1421"/>
      <c r="H249" s="1421"/>
      <c r="I249" s="1421"/>
      <c r="J249" s="1421"/>
      <c r="K249" s="1421"/>
      <c r="L249" s="1421"/>
      <c r="M249" s="1421"/>
      <c r="N249" s="1421"/>
      <c r="O249" s="1421"/>
      <c r="P249" s="1421"/>
      <c r="Q249" s="1421"/>
      <c r="R249" s="1421"/>
      <c r="S249" s="1421"/>
      <c r="T249" s="1421"/>
      <c r="U249" s="1421"/>
      <c r="V249" s="1422"/>
      <c r="W249" s="138"/>
      <c r="X249" s="147"/>
      <c r="AK249" s="157"/>
      <c r="AT249" s="76"/>
    </row>
    <row r="250" spans="1:46" s="83" customFormat="1" ht="11.25" customHeight="1" x14ac:dyDescent="0.2">
      <c r="A250" s="1428" t="str">
        <f>Home!$A$40</f>
        <v>LA's provide quarterly data on the condition that it is used by the benchmarking group for internal reporting only. Please DO NOT share other LA's data with any external partners or the public</v>
      </c>
      <c r="B250" s="1429"/>
      <c r="C250" s="1429"/>
      <c r="D250" s="1429"/>
      <c r="E250" s="1429"/>
      <c r="F250" s="1429"/>
      <c r="G250" s="1429"/>
      <c r="H250" s="1429"/>
      <c r="I250" s="1430"/>
      <c r="J250" s="1429"/>
      <c r="K250" s="1429"/>
      <c r="L250" s="1429"/>
      <c r="M250" s="1429"/>
      <c r="N250" s="1429"/>
      <c r="O250" s="1429"/>
      <c r="P250" s="1431"/>
      <c r="Q250" s="1429"/>
      <c r="R250" s="1429"/>
      <c r="S250" s="1429"/>
      <c r="T250" s="1430"/>
      <c r="U250" s="1429"/>
      <c r="V250" s="1432"/>
      <c r="W250" s="138"/>
      <c r="X250" s="147"/>
      <c r="AJ250" s="179"/>
      <c r="AK250" s="156"/>
      <c r="AL250" s="89"/>
      <c r="AT250" s="76"/>
    </row>
    <row r="251" spans="1:46" ht="11.25" customHeight="1" x14ac:dyDescent="0.2">
      <c r="A251" s="114"/>
      <c r="B251" s="115"/>
      <c r="C251" s="115"/>
      <c r="D251" s="115"/>
      <c r="E251" s="115"/>
      <c r="F251" s="115"/>
      <c r="G251" s="115"/>
      <c r="H251" s="115"/>
      <c r="I251" s="115"/>
      <c r="J251" s="116"/>
      <c r="K251" s="115"/>
      <c r="L251" s="115"/>
      <c r="M251" s="115"/>
      <c r="N251" s="115"/>
      <c r="O251" s="115"/>
      <c r="P251" s="115"/>
      <c r="Q251" s="115"/>
      <c r="R251" s="115"/>
      <c r="S251" s="115"/>
      <c r="T251" s="115"/>
      <c r="U251" s="115"/>
      <c r="V251" s="117"/>
      <c r="W251" s="138"/>
      <c r="X251" s="147"/>
      <c r="Y251" s="193"/>
      <c r="Z251" s="191"/>
      <c r="AA251" s="183"/>
      <c r="AJ251" s="179"/>
      <c r="AK251" s="157"/>
    </row>
    <row r="252" spans="1:46" s="78" customFormat="1" ht="15" customHeight="1" x14ac:dyDescent="0.2">
      <c r="A252" s="121"/>
      <c r="B252" s="1574" t="s">
        <v>657</v>
      </c>
      <c r="C252" s="1574"/>
      <c r="D252" s="1574"/>
      <c r="E252" s="1574"/>
      <c r="F252" s="1574"/>
      <c r="G252" s="1574"/>
      <c r="H252" s="1574"/>
      <c r="I252" s="1574"/>
      <c r="J252" s="69"/>
      <c r="K252" s="69"/>
      <c r="L252" s="69"/>
      <c r="M252" s="69"/>
      <c r="N252" s="352"/>
      <c r="O252" s="69"/>
      <c r="P252" s="69"/>
      <c r="Q252" s="69"/>
      <c r="R252" s="69"/>
      <c r="S252" s="69"/>
      <c r="T252" s="69"/>
      <c r="U252" s="69"/>
      <c r="V252" s="122"/>
      <c r="W252" s="139"/>
      <c r="X252" s="148"/>
      <c r="Y252" s="374" t="s">
        <v>144</v>
      </c>
      <c r="Z252" s="375"/>
      <c r="AA252" s="376"/>
      <c r="AB252" s="376"/>
      <c r="AC252" s="376"/>
      <c r="AD252" s="565"/>
      <c r="AE252" s="374" t="s">
        <v>145</v>
      </c>
      <c r="AF252" s="375"/>
      <c r="AG252" s="376"/>
      <c r="AH252" s="376"/>
      <c r="AI252" s="376"/>
      <c r="AJ252" s="565"/>
      <c r="AK252" s="156"/>
    </row>
    <row r="253" spans="1:46" ht="15" customHeight="1" x14ac:dyDescent="0.2">
      <c r="A253" s="120"/>
      <c r="B253" s="1574"/>
      <c r="C253" s="1574"/>
      <c r="D253" s="1574"/>
      <c r="E253" s="1574"/>
      <c r="F253" s="1574"/>
      <c r="G253" s="1574"/>
      <c r="H253" s="1574"/>
      <c r="I253" s="1574"/>
      <c r="J253" s="69"/>
      <c r="K253" s="69"/>
      <c r="L253" s="69"/>
      <c r="M253" s="69"/>
      <c r="N253" s="352"/>
      <c r="O253" s="69"/>
      <c r="P253" s="69"/>
      <c r="Q253" s="69"/>
      <c r="R253" s="10"/>
      <c r="S253" s="69"/>
      <c r="T253" s="69"/>
      <c r="U253" s="69"/>
      <c r="V253" s="119"/>
      <c r="W253" s="138"/>
      <c r="X253" s="147"/>
      <c r="Y253" s="376"/>
      <c r="Z253" s="375"/>
      <c r="AA253" s="376"/>
      <c r="AB253" s="376"/>
      <c r="AC253" s="376"/>
      <c r="AD253" s="565"/>
      <c r="AE253" s="376"/>
      <c r="AF253" s="375"/>
      <c r="AG253" s="376"/>
      <c r="AH253" s="376"/>
      <c r="AI253" s="376"/>
      <c r="AJ253" s="565"/>
      <c r="AK253" s="157"/>
    </row>
    <row r="254" spans="1:46" ht="13.5" customHeight="1" x14ac:dyDescent="0.2">
      <c r="A254" s="271"/>
      <c r="B254" s="1419" t="s">
        <v>190</v>
      </c>
      <c r="C254" s="873"/>
      <c r="D254" s="755" t="str">
        <f>Sheet1!$D$25</f>
        <v>2014-15</v>
      </c>
      <c r="E254" s="756" t="str">
        <f>Sheet1!$E$25</f>
        <v>2015-16</v>
      </c>
      <c r="F254" s="756" t="str">
        <f>Sheet1!$F$25</f>
        <v>2016-17</v>
      </c>
      <c r="G254" s="756" t="str">
        <f>Sheet1!$G$25</f>
        <v>2017-18</v>
      </c>
      <c r="H254" s="757" t="str">
        <f>Sheet1!$H$25</f>
        <v>2018-19</v>
      </c>
      <c r="I254" s="879"/>
      <c r="J254" s="69"/>
      <c r="K254" s="69"/>
      <c r="L254" s="69"/>
      <c r="M254" s="69"/>
      <c r="N254" s="870"/>
      <c r="O254" s="69"/>
      <c r="P254" s="69"/>
      <c r="Q254" s="69"/>
      <c r="R254" s="10"/>
      <c r="S254" s="69"/>
      <c r="T254" s="69"/>
      <c r="U254" s="69"/>
      <c r="V254" s="119"/>
      <c r="W254" s="138"/>
      <c r="X254" s="147"/>
      <c r="Y254" s="376"/>
      <c r="Z254" s="375"/>
      <c r="AA254" s="376"/>
      <c r="AB254" s="376"/>
      <c r="AC254" s="376"/>
      <c r="AD254" s="565"/>
      <c r="AE254" s="376"/>
      <c r="AF254" s="375"/>
      <c r="AG254" s="376"/>
      <c r="AH254" s="376"/>
      <c r="AI254" s="376"/>
      <c r="AJ254" s="565"/>
      <c r="AK254" s="157"/>
    </row>
    <row r="255" spans="1:46" s="89" customFormat="1" ht="13.5" customHeight="1" x14ac:dyDescent="0.2">
      <c r="A255" s="123"/>
      <c r="B255" s="1420"/>
      <c r="C255" s="87"/>
      <c r="D255" s="758" t="e">
        <f>Sheet1!$D$26</f>
        <v>#N/A</v>
      </c>
      <c r="E255" s="758" t="e">
        <f>Sheet1!$E$26</f>
        <v>#N/A</v>
      </c>
      <c r="F255" s="758" t="e">
        <f>Sheet1!$F$26</f>
        <v>#N/A</v>
      </c>
      <c r="G255" s="758" t="e">
        <f>Sheet1!$G$26</f>
        <v>#N/A</v>
      </c>
      <c r="H255" s="759" t="e">
        <f>Sheet1!$H$26</f>
        <v>#N/A</v>
      </c>
      <c r="I255" s="98"/>
      <c r="J255" s="98"/>
      <c r="K255" s="61"/>
      <c r="L255" s="61"/>
      <c r="M255" s="61"/>
      <c r="N255" s="61"/>
      <c r="O255" s="61"/>
      <c r="P255" s="61"/>
      <c r="Q255" s="358"/>
      <c r="R255" s="358"/>
      <c r="S255" s="155"/>
      <c r="T255" s="155"/>
      <c r="U255" s="359"/>
      <c r="V255" s="124"/>
      <c r="W255" s="140"/>
      <c r="X255" s="149"/>
      <c r="Y255" s="717"/>
      <c r="Z255" s="718" t="e">
        <f>D255</f>
        <v>#N/A</v>
      </c>
      <c r="AA255" s="719" t="e">
        <f>E255</f>
        <v>#N/A</v>
      </c>
      <c r="AB255" s="719" t="e">
        <f>F255</f>
        <v>#N/A</v>
      </c>
      <c r="AC255" s="719" t="e">
        <f>G255</f>
        <v>#N/A</v>
      </c>
      <c r="AD255" s="720" t="e">
        <f>H255</f>
        <v>#N/A</v>
      </c>
      <c r="AE255" s="721"/>
      <c r="AF255" s="719" t="e">
        <f>Z255</f>
        <v>#N/A</v>
      </c>
      <c r="AG255" s="719" t="e">
        <f>AA255</f>
        <v>#N/A</v>
      </c>
      <c r="AH255" s="719" t="e">
        <f>AB255</f>
        <v>#N/A</v>
      </c>
      <c r="AI255" s="719" t="e">
        <f>AC255</f>
        <v>#N/A</v>
      </c>
      <c r="AJ255" s="719" t="e">
        <f>AD255</f>
        <v>#N/A</v>
      </c>
      <c r="AK255" s="156"/>
    </row>
    <row r="256" spans="1:46" s="89" customFormat="1" ht="12.75" customHeight="1" x14ac:dyDescent="0.2">
      <c r="A256" s="462">
        <f>VLOOKUP(B256,Sheet1!$AQ$4:$AR$25,2,FALSE)</f>
        <v>0</v>
      </c>
      <c r="B256" s="95" t="str">
        <f t="shared" ref="B256:B279" si="93">B10</f>
        <v>Bracknell Forest</v>
      </c>
      <c r="C256" s="87"/>
      <c r="D256" s="158">
        <f>IF(AND(ISNUMBER(AF256),ISNUMBER(Z256)),AF256/Z256,NA())</f>
        <v>0.1388888888888889</v>
      </c>
      <c r="E256" s="158">
        <f t="shared" ref="E256:E279" si="94">IF(AND(ISNUMBER(AG256),ISNUMBER(AA256)),AG256/AA256,NA())</f>
        <v>0.24822695035460993</v>
      </c>
      <c r="F256" s="158">
        <f t="shared" ref="F256:F279" si="95">IF(AND(ISNUMBER(AH256),ISNUMBER(AB256)),AH256/AB256,NA())</f>
        <v>0.26146788990825687</v>
      </c>
      <c r="G256" s="158">
        <f t="shared" ref="G256:G279" si="96">IF(AND(ISNUMBER(AI256),ISNUMBER(AC256)),AI256/AC256,NA())</f>
        <v>0.17751479289940827</v>
      </c>
      <c r="H256" s="160">
        <f t="shared" ref="H256:H279" si="97">IF(AND(ISNUMBER(AJ256),ISNUMBER(AD256)),AJ256/AD256,NA())</f>
        <v>0.23529411764705882</v>
      </c>
      <c r="I256" s="98"/>
      <c r="J256" s="98"/>
      <c r="K256" s="162"/>
      <c r="L256" s="162"/>
      <c r="M256" s="162"/>
      <c r="N256" s="162"/>
      <c r="O256" s="162"/>
      <c r="P256" s="162"/>
      <c r="Q256" s="162"/>
      <c r="R256" s="163"/>
      <c r="S256" s="155"/>
      <c r="T256" s="155"/>
      <c r="U256" s="162"/>
      <c r="V256" s="124"/>
      <c r="W256" s="140"/>
      <c r="X256" s="149"/>
      <c r="Y256" s="717" t="str">
        <f>B256</f>
        <v>Bracknell Forest</v>
      </c>
      <c r="Z256" s="718">
        <f>IF(Year1_Bracknell_Forest Year1_CP_Plans_became_subject="","",Year1_Bracknell_Forest Year1_CP_Plans_became_subject)</f>
        <v>144</v>
      </c>
      <c r="AA256" s="722">
        <f>IF(Year2_Bracknell_Forest Year2_CP_Plans_became_subject="","",Year2_Bracknell_Forest Year2_CP_Plans_became_subject)</f>
        <v>141</v>
      </c>
      <c r="AB256" s="722">
        <f>IF(Year3_Bracknell_Forest Year3_CP_Plans_became_subject="","",Year3_Bracknell_Forest Year3_CP_Plans_became_subject)</f>
        <v>218</v>
      </c>
      <c r="AC256" s="722">
        <f>IF(Year4_Bracknell_Forest Year4_CP_Plans_became_subject="","",Year4_Bracknell_Forest Year4_CP_Plans_became_subject)</f>
        <v>169</v>
      </c>
      <c r="AD256" s="717">
        <f>IF(Year5_Bracknell_Forest Year5_CP_Plans_became_subject="","",Year5_Bracknell_Forest Year5_CP_Plans_became_subject)</f>
        <v>187</v>
      </c>
      <c r="AE256" s="721" t="str">
        <f>Y256</f>
        <v>Bracknell Forest</v>
      </c>
      <c r="AF256" s="719">
        <f>IF(Year1_Bracknell_Forest Year1_CP_Plans_became_subject_second="","",Year1_Bracknell_Forest Year1_CP_Plans_became_subject_second)</f>
        <v>20</v>
      </c>
      <c r="AG256" s="722">
        <f>IF(Year2_Bracknell_Forest Year2_CP_Plans_became_subject_second="","",Year2_Bracknell_Forest Year2_CP_Plans_became_subject_second)</f>
        <v>35</v>
      </c>
      <c r="AH256" s="722">
        <f>IF(Year3_Bracknell_Forest Year3_CP_Plans_became_subject_second="","",Year3_Bracknell_Forest Year3_CP_Plans_became_subject_second)</f>
        <v>57</v>
      </c>
      <c r="AI256" s="722">
        <f>IF(Year4_Bracknell_Forest Year4_CP_Plans_became_subject_second="","",Year4_Bracknell_Forest Year4_CP_Plans_became_subject_second)</f>
        <v>30</v>
      </c>
      <c r="AJ256" s="722">
        <f>IF(Year5_Bracknell_Forest Year5_CP_Plans_became_subject_second="","",Year5_Bracknell_Forest Year5_CP_Plans_became_subject_second)</f>
        <v>44</v>
      </c>
      <c r="AK256" s="157"/>
    </row>
    <row r="257" spans="1:45" s="89" customFormat="1" ht="12.75" customHeight="1" x14ac:dyDescent="0.2">
      <c r="A257" s="462">
        <f>VLOOKUP(B257,Sheet1!$AQ$4:$AR$25,2,FALSE)</f>
        <v>0</v>
      </c>
      <c r="B257" s="95" t="str">
        <f t="shared" si="93"/>
        <v>Brighton &amp; Hove</v>
      </c>
      <c r="C257" s="87"/>
      <c r="D257" s="158">
        <f t="shared" ref="D257:D279" si="98">IF(AND(ISNUMBER(AF257),ISNUMBER(Z257)),AF257/Z257,NA())</f>
        <v>0.21832884097035041</v>
      </c>
      <c r="E257" s="158">
        <f t="shared" si="94"/>
        <v>0.25517241379310346</v>
      </c>
      <c r="F257" s="158">
        <f t="shared" si="95"/>
        <v>0.21897810218978103</v>
      </c>
      <c r="G257" s="158">
        <f t="shared" si="96"/>
        <v>0.23820754716981132</v>
      </c>
      <c r="H257" s="160">
        <f t="shared" si="97"/>
        <v>0.27692307692307694</v>
      </c>
      <c r="I257" s="98"/>
      <c r="J257" s="98"/>
      <c r="K257" s="162"/>
      <c r="L257" s="162"/>
      <c r="M257" s="162"/>
      <c r="N257" s="162"/>
      <c r="O257" s="162"/>
      <c r="P257" s="162"/>
      <c r="Q257" s="162"/>
      <c r="R257" s="163"/>
      <c r="S257" s="155"/>
      <c r="T257" s="155"/>
      <c r="U257" s="162"/>
      <c r="V257" s="124"/>
      <c r="W257" s="140"/>
      <c r="X257" s="149"/>
      <c r="Y257" s="717" t="str">
        <f t="shared" ref="Y257:Y279" si="99">B257</f>
        <v>Brighton &amp; Hove</v>
      </c>
      <c r="Z257" s="718">
        <f>IF(Year1_Brighton_Hove Year1_CP_Plans_became_subject="","",Year1_Brighton_Hove Year1_CP_Plans_became_subject)</f>
        <v>371</v>
      </c>
      <c r="AA257" s="722">
        <f>IF(Year2_Brighton_Hove Year2_CP_Plans_became_subject="","",Year2_Brighton_Hove Year2_CP_Plans_became_subject)</f>
        <v>435</v>
      </c>
      <c r="AB257" s="722">
        <f>IF(Year3_Brighton_Hove Year3_CP_Plans_became_subject="","",Year3_Brighton_Hove Year3_CP_Plans_became_subject)</f>
        <v>411</v>
      </c>
      <c r="AC257" s="722">
        <f>IF(Year4_Brighton_Hove Year4_CP_Plans_became_subject="","",Year4_Brighton_Hove Year4_CP_Plans_became_subject)</f>
        <v>424</v>
      </c>
      <c r="AD257" s="717">
        <f>IF(Year5_Brighton_Hove Year5_CP_Plans_became_subject="","",Year5_Brighton_Hove Year5_CP_Plans_became_subject)</f>
        <v>325</v>
      </c>
      <c r="AE257" s="721" t="str">
        <f t="shared" ref="AE257:AE279" si="100">Y257</f>
        <v>Brighton &amp; Hove</v>
      </c>
      <c r="AF257" s="719">
        <f>IF(Year1_Brighton_Hove Year1_CP_Plans_became_subject_second="","",Year1_Brighton_Hove Year1_CP_Plans_became_subject_second)</f>
        <v>81</v>
      </c>
      <c r="AG257" s="722">
        <f>IF(Year2_Brighton_Hove Year2_CP_Plans_became_subject_second="","",Year2_Brighton_Hove Year2_CP_Plans_became_subject_second)</f>
        <v>111</v>
      </c>
      <c r="AH257" s="722">
        <f>IF(Year3_Brighton_Hove Year3_CP_Plans_became_subject_second="","",Year3_Brighton_Hove Year3_CP_Plans_became_subject_second)</f>
        <v>90</v>
      </c>
      <c r="AI257" s="722">
        <f>IF(Year4_Brighton_Hove Year4_CP_Plans_became_subject_second="","",Year4_Brighton_Hove Year4_CP_Plans_became_subject_second)</f>
        <v>101</v>
      </c>
      <c r="AJ257" s="722">
        <f>IF(Year5_Brighton_Hove Year5_CP_Plans_became_subject_second="","",Year5_Brighton_Hove Year5_CP_Plans_became_subject_second)</f>
        <v>90</v>
      </c>
      <c r="AK257" s="156"/>
    </row>
    <row r="258" spans="1:45" s="89" customFormat="1" ht="12.75" customHeight="1" x14ac:dyDescent="0.2">
      <c r="A258" s="462">
        <f>VLOOKUP(B258,Sheet1!$AQ$4:$AR$25,2,FALSE)</f>
        <v>0</v>
      </c>
      <c r="B258" s="95" t="str">
        <f t="shared" si="93"/>
        <v>Buckinghamshire</v>
      </c>
      <c r="C258" s="87"/>
      <c r="D258" s="158">
        <f t="shared" si="98"/>
        <v>0.16816143497757849</v>
      </c>
      <c r="E258" s="158">
        <f t="shared" si="94"/>
        <v>0.19281045751633988</v>
      </c>
      <c r="F258" s="158">
        <f t="shared" si="95"/>
        <v>0.14344827586206896</v>
      </c>
      <c r="G258" s="158">
        <f t="shared" si="96"/>
        <v>0.18784530386740331</v>
      </c>
      <c r="H258" s="160">
        <f t="shared" si="97"/>
        <v>0.20114942528735633</v>
      </c>
      <c r="I258" s="98"/>
      <c r="J258" s="98"/>
      <c r="K258" s="162"/>
      <c r="L258" s="162"/>
      <c r="M258" s="162"/>
      <c r="N258" s="162"/>
      <c r="O258" s="162"/>
      <c r="P258" s="162"/>
      <c r="Q258" s="162"/>
      <c r="R258" s="163"/>
      <c r="S258" s="155"/>
      <c r="T258" s="155"/>
      <c r="U258" s="162"/>
      <c r="V258" s="124"/>
      <c r="W258" s="140"/>
      <c r="X258" s="149"/>
      <c r="Y258" s="717" t="str">
        <f t="shared" si="99"/>
        <v>Buckinghamshire</v>
      </c>
      <c r="Z258" s="718">
        <f>IF(Year1_Buckinghamshire Year1_CP_Plans_became_subject="","",Year1_Buckinghamshire Year1_CP_Plans_became_subject)</f>
        <v>446</v>
      </c>
      <c r="AA258" s="722">
        <f>IF(Year2_Buckinghamshire Year2_CP_Plans_became_subject="","",Year2_Buckinghamshire Year2_CP_Plans_became_subject)</f>
        <v>612</v>
      </c>
      <c r="AB258" s="722">
        <f>IF(Year3_Buckinghamshire Year3_CP_Plans_became_subject="","",Year3_Buckinghamshire Year3_CP_Plans_became_subject)</f>
        <v>725</v>
      </c>
      <c r="AC258" s="722">
        <f>IF(Year4_Buckinghamshire Year4_CP_Plans_became_subject="","",Year4_Buckinghamshire Year4_CP_Plans_became_subject)</f>
        <v>724</v>
      </c>
      <c r="AD258" s="717">
        <f>IF(Year5_Buckinghamshire Year5_CP_Plans_became_subject="","",Year5_Buckinghamshire Year5_CP_Plans_became_subject)</f>
        <v>696</v>
      </c>
      <c r="AE258" s="721" t="str">
        <f t="shared" si="100"/>
        <v>Buckinghamshire</v>
      </c>
      <c r="AF258" s="719">
        <f>IF(Year1_Buckinghamshire Year1_CP_Plans_became_subject_second="","",Year1_Buckinghamshire Year1_CP_Plans_became_subject_second)</f>
        <v>75</v>
      </c>
      <c r="AG258" s="722">
        <f>IF(Year2_Buckinghamshire Year2_CP_Plans_became_subject_second="","",Year2_Buckinghamshire Year2_CP_Plans_became_subject_second)</f>
        <v>118</v>
      </c>
      <c r="AH258" s="722">
        <f>IF(Year3_Buckinghamshire Year3_CP_Plans_became_subject_second="","",Year3_Buckinghamshire Year3_CP_Plans_became_subject_second)</f>
        <v>104</v>
      </c>
      <c r="AI258" s="722">
        <f>IF(Year4_Buckinghamshire Year4_CP_Plans_became_subject_second="","",Year4_Buckinghamshire Year4_CP_Plans_became_subject_second)</f>
        <v>136</v>
      </c>
      <c r="AJ258" s="722">
        <f>IF(Year5_Buckinghamshire Year5_CP_Plans_became_subject_second="","",Year5_Buckinghamshire Year5_CP_Plans_became_subject_second)</f>
        <v>140</v>
      </c>
      <c r="AK258" s="157"/>
    </row>
    <row r="259" spans="1:45" s="89" customFormat="1" ht="12.75" customHeight="1" x14ac:dyDescent="0.2">
      <c r="A259" s="462">
        <f>VLOOKUP(B259,Sheet1!$AQ$4:$AR$25,2,FALSE)</f>
        <v>0</v>
      </c>
      <c r="B259" s="95" t="str">
        <f t="shared" si="93"/>
        <v>East Sussex</v>
      </c>
      <c r="C259" s="87"/>
      <c r="D259" s="158">
        <f t="shared" si="98"/>
        <v>0.20446096654275092</v>
      </c>
      <c r="E259" s="158">
        <f t="shared" si="94"/>
        <v>0.24943820224719102</v>
      </c>
      <c r="F259" s="158">
        <f t="shared" si="95"/>
        <v>0.28298279158699807</v>
      </c>
      <c r="G259" s="158">
        <f t="shared" si="96"/>
        <v>0.25</v>
      </c>
      <c r="H259" s="160">
        <f t="shared" si="97"/>
        <v>0.21870047543581617</v>
      </c>
      <c r="I259" s="98"/>
      <c r="J259" s="98"/>
      <c r="K259" s="162"/>
      <c r="L259" s="162"/>
      <c r="M259" s="162"/>
      <c r="N259" s="162"/>
      <c r="O259" s="162"/>
      <c r="P259" s="162"/>
      <c r="Q259" s="162"/>
      <c r="R259" s="163"/>
      <c r="S259" s="155"/>
      <c r="T259" s="155"/>
      <c r="U259" s="162"/>
      <c r="V259" s="124"/>
      <c r="W259" s="140"/>
      <c r="X259" s="149"/>
      <c r="Y259" s="717" t="str">
        <f t="shared" si="99"/>
        <v>East Sussex</v>
      </c>
      <c r="Z259" s="718">
        <f>IF(Year1_East_Sussex Year1_CP_Plans_became_subject="","",Year1_East_Sussex Year1_CP_Plans_became_subject)</f>
        <v>538</v>
      </c>
      <c r="AA259" s="722">
        <f>IF(Year2_East_Sussex Year2_CP_Plans_became_subject="","",Year2_East_Sussex Year2_CP_Plans_became_subject)</f>
        <v>445</v>
      </c>
      <c r="AB259" s="722">
        <f>IF(Year3_East_Sussex Year3_CP_Plans_became_subject="","",Year3_East_Sussex Year3_CP_Plans_became_subject)</f>
        <v>523</v>
      </c>
      <c r="AC259" s="722">
        <f>IF(Year4_East_Sussex Year4_CP_Plans_became_subject="","",Year4_East_Sussex Year4_CP_Plans_became_subject)</f>
        <v>624</v>
      </c>
      <c r="AD259" s="717">
        <f>IF(Year5_East_Sussex Year5_CP_Plans_became_subject="","",Year5_East_Sussex Year5_CP_Plans_became_subject)</f>
        <v>631</v>
      </c>
      <c r="AE259" s="721" t="str">
        <f t="shared" si="100"/>
        <v>East Sussex</v>
      </c>
      <c r="AF259" s="719">
        <f>IF(Year1_East_Sussex Year1_CP_Plans_became_subject_second="","",Year1_East_Sussex Year1_CP_Plans_became_subject_second)</f>
        <v>110</v>
      </c>
      <c r="AG259" s="722">
        <f>IF(Year2_East_Sussex Year2_CP_Plans_became_subject_second="","",Year2_East_Sussex Year2_CP_Plans_became_subject_second)</f>
        <v>111</v>
      </c>
      <c r="AH259" s="722">
        <f>IF(Year3_East_Sussex Year3_CP_Plans_became_subject_second="","",Year3_East_Sussex Year3_CP_Plans_became_subject_second)</f>
        <v>148</v>
      </c>
      <c r="AI259" s="722">
        <f>IF(Year4_East_Sussex Year4_CP_Plans_became_subject_second="","",Year4_East_Sussex Year4_CP_Plans_became_subject_second)</f>
        <v>156</v>
      </c>
      <c r="AJ259" s="722">
        <f>IF(Year5_East_Sussex Year5_CP_Plans_became_subject_second="","",Year5_East_Sussex Year5_CP_Plans_became_subject_second)</f>
        <v>138</v>
      </c>
      <c r="AK259" s="156"/>
    </row>
    <row r="260" spans="1:45" s="89" customFormat="1" ht="12.75" customHeight="1" x14ac:dyDescent="0.2">
      <c r="A260" s="462">
        <f>VLOOKUP(B260,Sheet1!$AQ$4:$AR$25,2,FALSE)</f>
        <v>0</v>
      </c>
      <c r="B260" s="95" t="str">
        <f t="shared" si="93"/>
        <v>Hampshire</v>
      </c>
      <c r="C260" s="87"/>
      <c r="D260" s="158">
        <f t="shared" si="98"/>
        <v>0.1632208922742111</v>
      </c>
      <c r="E260" s="158">
        <f t="shared" si="94"/>
        <v>0.20095693779904306</v>
      </c>
      <c r="F260" s="158">
        <f t="shared" si="95"/>
        <v>0.24273072060682679</v>
      </c>
      <c r="G260" s="158">
        <f t="shared" si="96"/>
        <v>0.23046875</v>
      </c>
      <c r="H260" s="160">
        <f t="shared" si="97"/>
        <v>0.21476964769647697</v>
      </c>
      <c r="I260" s="98"/>
      <c r="J260" s="98"/>
      <c r="K260" s="162"/>
      <c r="L260" s="162"/>
      <c r="M260" s="162"/>
      <c r="N260" s="162"/>
      <c r="O260" s="162"/>
      <c r="P260" s="162"/>
      <c r="Q260" s="162"/>
      <c r="R260" s="163"/>
      <c r="S260" s="155"/>
      <c r="T260" s="155"/>
      <c r="U260" s="162"/>
      <c r="V260" s="124"/>
      <c r="W260" s="140"/>
      <c r="X260" s="149"/>
      <c r="Y260" s="717" t="str">
        <f t="shared" si="99"/>
        <v>Hampshire</v>
      </c>
      <c r="Z260" s="718">
        <f>IF(Year1_Hampshire Year1_CP_Plans_became_subject="","",Year1_Hampshire Year1_CP_Plans_became_subject)</f>
        <v>1838</v>
      </c>
      <c r="AA260" s="722">
        <f>IF(Year2_Hampshire Year2_CP_Plans_became_subject="","",Year2_Hampshire Year2_CP_Plans_became_subject)</f>
        <v>1672</v>
      </c>
      <c r="AB260" s="722">
        <f>IF(Year3_Hampshire Year3_CP_Plans_became_subject="","",Year3_Hampshire Year3_CP_Plans_became_subject)</f>
        <v>1582</v>
      </c>
      <c r="AC260" s="722">
        <f>IF(Year4_Hampshire Year4_CP_Plans_became_subject="","",Year4_Hampshire Year4_CP_Plans_became_subject)</f>
        <v>1536</v>
      </c>
      <c r="AD260" s="717">
        <f>IF(Year5_Hampshire Year5_CP_Plans_became_subject="","",Year5_Hampshire Year5_CP_Plans_became_subject)</f>
        <v>1476</v>
      </c>
      <c r="AE260" s="721" t="str">
        <f t="shared" si="100"/>
        <v>Hampshire</v>
      </c>
      <c r="AF260" s="719">
        <f>IF(Year1_Hampshire Year1_CP_Plans_became_subject_second="","",Year1_Hampshire Year1_CP_Plans_became_subject_second)</f>
        <v>300</v>
      </c>
      <c r="AG260" s="722">
        <f>IF(Year2_Hampshire Year2_CP_Plans_became_subject_second="","",Year2_Hampshire Year2_CP_Plans_became_subject_second)</f>
        <v>336</v>
      </c>
      <c r="AH260" s="722">
        <f>IF(Year3_Hampshire Year3_CP_Plans_became_subject_second="","",Year3_Hampshire Year3_CP_Plans_became_subject_second)</f>
        <v>384</v>
      </c>
      <c r="AI260" s="722">
        <f>IF(Year4_Hampshire Year4_CP_Plans_became_subject_second="","",Year4_Hampshire Year4_CP_Plans_became_subject_second)</f>
        <v>354</v>
      </c>
      <c r="AJ260" s="722">
        <f>IF(Year5_Hampshire Year5_CP_Plans_became_subject_second="","",Year5_Hampshire Year5_CP_Plans_became_subject_second)</f>
        <v>317</v>
      </c>
      <c r="AK260" s="157"/>
    </row>
    <row r="261" spans="1:45" s="89" customFormat="1" ht="12.75" customHeight="1" x14ac:dyDescent="0.2">
      <c r="A261" s="462">
        <f>VLOOKUP(B261,Sheet1!$AQ$4:$AR$25,2,FALSE)</f>
        <v>0</v>
      </c>
      <c r="B261" s="95" t="str">
        <f t="shared" si="93"/>
        <v>Isle of Wight</v>
      </c>
      <c r="C261" s="87"/>
      <c r="D261" s="158">
        <f t="shared" si="98"/>
        <v>0.15438596491228071</v>
      </c>
      <c r="E261" s="158">
        <f t="shared" si="94"/>
        <v>0.14726027397260275</v>
      </c>
      <c r="F261" s="158">
        <f t="shared" si="95"/>
        <v>0.20779220779220781</v>
      </c>
      <c r="G261" s="158">
        <f t="shared" si="96"/>
        <v>0.23287671232876711</v>
      </c>
      <c r="H261" s="160">
        <f t="shared" si="97"/>
        <v>0.21782178217821782</v>
      </c>
      <c r="I261" s="98"/>
      <c r="J261" s="98"/>
      <c r="K261" s="162"/>
      <c r="L261" s="162"/>
      <c r="M261" s="162"/>
      <c r="N261" s="162"/>
      <c r="O261" s="162"/>
      <c r="P261" s="162"/>
      <c r="Q261" s="162"/>
      <c r="R261" s="163"/>
      <c r="S261" s="155"/>
      <c r="T261" s="155"/>
      <c r="U261" s="162"/>
      <c r="V261" s="124"/>
      <c r="W261" s="140"/>
      <c r="X261" s="149"/>
      <c r="Y261" s="717" t="str">
        <f t="shared" si="99"/>
        <v>Isle of Wight</v>
      </c>
      <c r="Z261" s="718">
        <f>IF(Year1_Isle_of_Wight Year1_CP_Plans_became_subject="","",Year1_Isle_of_Wight Year1_CP_Plans_became_subject)</f>
        <v>285</v>
      </c>
      <c r="AA261" s="722">
        <f>IF(Year2_Isle_of_Wight Year2_CP_Plans_became_subject="","",Year2_Isle_of_Wight Year2_CP_Plans_became_subject)</f>
        <v>292</v>
      </c>
      <c r="AB261" s="722">
        <f>IF(Year3_Isle_of_Wight Year3_CP_Plans_became_subject="","",Year3_Isle_of_Wight Year3_CP_Plans_became_subject)</f>
        <v>231</v>
      </c>
      <c r="AC261" s="722">
        <f>IF(Year4_Isle_of_Wight Year4_CP_Plans_became_subject="","",Year4_Isle_of_Wight Year4_CP_Plans_became_subject)</f>
        <v>219</v>
      </c>
      <c r="AD261" s="717">
        <f>IF(Year5_Isle_of_Wight Year5_CP_Plans_became_subject="","",Year5_Isle_of_Wight Year5_CP_Plans_became_subject)</f>
        <v>202</v>
      </c>
      <c r="AE261" s="721" t="str">
        <f t="shared" si="100"/>
        <v>Isle of Wight</v>
      </c>
      <c r="AF261" s="719">
        <f>IF(Year1_Isle_of_Wight Year1_CP_Plans_became_subject_second="","",Year1_Isle_of_Wight Year1_CP_Plans_became_subject_second)</f>
        <v>44</v>
      </c>
      <c r="AG261" s="722">
        <f>IF(Year2_Isle_of_Wight Year2_CP_Plans_became_subject_second="","",Year2_Isle_of_Wight Year2_CP_Plans_became_subject_second)</f>
        <v>43</v>
      </c>
      <c r="AH261" s="722">
        <f>IF(Year3_Isle_of_Wight Year3_CP_Plans_became_subject_second="","",Year3_Isle_of_Wight Year3_CP_Plans_became_subject_second)</f>
        <v>48</v>
      </c>
      <c r="AI261" s="722">
        <f>IF(Year4_Isle_of_Wight Year4_CP_Plans_became_subject_second="","",Year4_Isle_of_Wight Year4_CP_Plans_became_subject_second)</f>
        <v>51</v>
      </c>
      <c r="AJ261" s="722">
        <f>IF(Year5_Isle_of_Wight Year5_CP_Plans_became_subject_second="","",Year5_Isle_of_Wight Year5_CP_Plans_became_subject_second)</f>
        <v>44</v>
      </c>
      <c r="AK261" s="156"/>
      <c r="AS261" s="89" t="s">
        <v>103</v>
      </c>
    </row>
    <row r="262" spans="1:45" s="89" customFormat="1" ht="12.75" customHeight="1" x14ac:dyDescent="0.2">
      <c r="A262" s="462">
        <f>VLOOKUP(B262,Sheet1!$AQ$4:$AR$25,2,FALSE)</f>
        <v>0</v>
      </c>
      <c r="B262" s="95" t="str">
        <f t="shared" si="93"/>
        <v>Kent</v>
      </c>
      <c r="C262" s="87"/>
      <c r="D262" s="158">
        <f t="shared" si="98"/>
        <v>0.18411330049261085</v>
      </c>
      <c r="E262" s="158">
        <f t="shared" si="94"/>
        <v>0.20090978013646701</v>
      </c>
      <c r="F262" s="158">
        <f t="shared" si="95"/>
        <v>0.19384615384615383</v>
      </c>
      <c r="G262" s="158">
        <f t="shared" si="96"/>
        <v>0.20397690827453496</v>
      </c>
      <c r="H262" s="160">
        <f t="shared" si="97"/>
        <v>0.19088319088319089</v>
      </c>
      <c r="I262" s="98"/>
      <c r="J262" s="98"/>
      <c r="K262" s="162"/>
      <c r="L262" s="162"/>
      <c r="M262" s="162"/>
      <c r="N262" s="162"/>
      <c r="O262" s="162"/>
      <c r="P262" s="162"/>
      <c r="Q262" s="162"/>
      <c r="R262" s="163"/>
      <c r="S262" s="155"/>
      <c r="T262" s="155"/>
      <c r="U262" s="162"/>
      <c r="V262" s="124"/>
      <c r="W262" s="140"/>
      <c r="X262" s="149"/>
      <c r="Y262" s="717" t="str">
        <f t="shared" si="99"/>
        <v>Kent</v>
      </c>
      <c r="Z262" s="718">
        <f>IF(Year1_Kent Year1_CP_Plans_became_subject="","",Year1_Kent Year1_CP_Plans_became_subject)</f>
        <v>1624</v>
      </c>
      <c r="AA262" s="722">
        <f>IF(Year2_Kent Year2_CP_Plans_became_subject="","",Year2_Kent Year2_CP_Plans_became_subject)</f>
        <v>1319</v>
      </c>
      <c r="AB262" s="722">
        <f>IF(Year3_Kent Year3_CP_Plans_became_subject="","",Year3_Kent Year3_CP_Plans_became_subject)</f>
        <v>1300</v>
      </c>
      <c r="AC262" s="722">
        <f>IF(Year4_Kent Year4_CP_Plans_became_subject="","",Year4_Kent Year4_CP_Plans_became_subject)</f>
        <v>1559</v>
      </c>
      <c r="AD262" s="717">
        <f>IF(Year5_Kent Year5_CP_Plans_became_subject="","",Year5_Kent Year5_CP_Plans_became_subject)</f>
        <v>1404</v>
      </c>
      <c r="AE262" s="721" t="str">
        <f t="shared" si="100"/>
        <v>Kent</v>
      </c>
      <c r="AF262" s="719">
        <f>IF(Year1_Kent Year1_CP_Plans_became_subject_second="","",Year1_Kent Year1_CP_Plans_became_subject_second)</f>
        <v>299</v>
      </c>
      <c r="AG262" s="722">
        <f>IF(Year2_Kent Year2_CP_Plans_became_subject_second="","",Year2_Kent Year2_CP_Plans_became_subject_second)</f>
        <v>265</v>
      </c>
      <c r="AH262" s="722">
        <f>IF(Year3_Kent Year3_CP_Plans_became_subject_second="","",Year3_Kent Year3_CP_Plans_became_subject_second)</f>
        <v>252</v>
      </c>
      <c r="AI262" s="722">
        <f>IF(Year4_Kent Year4_CP_Plans_became_subject_second="","",Year4_Kent Year4_CP_Plans_became_subject_second)</f>
        <v>318</v>
      </c>
      <c r="AJ262" s="722">
        <f>IF(Year5_Kent Year5_CP_Plans_became_subject_second="","",Year5_Kent Year5_CP_Plans_became_subject_second)</f>
        <v>268</v>
      </c>
      <c r="AK262" s="157"/>
    </row>
    <row r="263" spans="1:45" s="89" customFormat="1" ht="12.75" customHeight="1" x14ac:dyDescent="0.2">
      <c r="A263" s="462">
        <f>VLOOKUP(B263,Sheet1!$AQ$4:$AR$25,2,FALSE)</f>
        <v>0</v>
      </c>
      <c r="B263" s="95" t="str">
        <f t="shared" si="93"/>
        <v>Medway</v>
      </c>
      <c r="C263" s="87"/>
      <c r="D263" s="158">
        <f t="shared" si="98"/>
        <v>0.14842300556586271</v>
      </c>
      <c r="E263" s="158">
        <f t="shared" si="94"/>
        <v>0.18165467625899281</v>
      </c>
      <c r="F263" s="158">
        <f t="shared" si="95"/>
        <v>0.2073170731707317</v>
      </c>
      <c r="G263" s="158">
        <f t="shared" si="96"/>
        <v>0.22465753424657534</v>
      </c>
      <c r="H263" s="160">
        <f t="shared" si="97"/>
        <v>0.17484008528784648</v>
      </c>
      <c r="I263" s="98"/>
      <c r="J263" s="98"/>
      <c r="K263" s="162"/>
      <c r="L263" s="162"/>
      <c r="M263" s="162"/>
      <c r="N263" s="162"/>
      <c r="O263" s="162"/>
      <c r="P263" s="162"/>
      <c r="Q263" s="162"/>
      <c r="R263" s="163"/>
      <c r="S263" s="155"/>
      <c r="T263" s="155"/>
      <c r="U263" s="162"/>
      <c r="V263" s="124"/>
      <c r="W263" s="140"/>
      <c r="X263" s="149"/>
      <c r="Y263" s="717" t="str">
        <f t="shared" si="99"/>
        <v>Medway</v>
      </c>
      <c r="Z263" s="718">
        <f>IF(Year1_Medway Year1_CP_Plans_became_subject="","",Year1_Medway Year1_CP_Plans_became_subject)</f>
        <v>539</v>
      </c>
      <c r="AA263" s="722">
        <f>IF(Year2_Medway Year2_CP_Plans_became_subject="","",Year2_Medway Year2_CP_Plans_became_subject)</f>
        <v>556</v>
      </c>
      <c r="AB263" s="722">
        <f>IF(Year3_Medway Year3_CP_Plans_became_subject="","",Year3_Medway Year3_CP_Plans_became_subject)</f>
        <v>328</v>
      </c>
      <c r="AC263" s="722">
        <f>IF(Year4_Medway Year4_CP_Plans_became_subject="","",Year4_Medway Year4_CP_Plans_became_subject)</f>
        <v>365</v>
      </c>
      <c r="AD263" s="717">
        <f>IF(Year5_Medway Year5_CP_Plans_became_subject="","",Year5_Medway Year5_CP_Plans_became_subject)</f>
        <v>469</v>
      </c>
      <c r="AE263" s="721" t="str">
        <f t="shared" si="100"/>
        <v>Medway</v>
      </c>
      <c r="AF263" s="719">
        <f>IF(Year1_Medway Year1_CP_Plans_became_subject_second="","",Year1_Medway Year1_CP_Plans_became_subject_second)</f>
        <v>80</v>
      </c>
      <c r="AG263" s="722">
        <f>IF(Year2_Medway Year2_CP_Plans_became_subject_second="","",Year2_Medway Year2_CP_Plans_became_subject_second)</f>
        <v>101</v>
      </c>
      <c r="AH263" s="722">
        <f>IF(Year3_Medway Year3_CP_Plans_became_subject_second="","",Year3_Medway Year3_CP_Plans_became_subject_second)</f>
        <v>68</v>
      </c>
      <c r="AI263" s="722">
        <f>IF(Year4_Medway Year4_CP_Plans_became_subject_second="","",Year4_Medway Year4_CP_Plans_became_subject_second)</f>
        <v>82</v>
      </c>
      <c r="AJ263" s="722">
        <f>IF(Year5_Medway Year5_CP_Plans_became_subject_second="","",Year5_Medway Year5_CP_Plans_became_subject_second)</f>
        <v>82</v>
      </c>
      <c r="AK263" s="156"/>
    </row>
    <row r="264" spans="1:45" s="89" customFormat="1" ht="12.75" customHeight="1" x14ac:dyDescent="0.2">
      <c r="A264" s="462">
        <f>VLOOKUP(B264,Sheet1!$AQ$4:$AR$25,2,FALSE)</f>
        <v>0</v>
      </c>
      <c r="B264" s="95" t="str">
        <f t="shared" si="93"/>
        <v>Milton Keynes</v>
      </c>
      <c r="C264" s="87"/>
      <c r="D264" s="158">
        <f t="shared" si="98"/>
        <v>8.247422680412371E-2</v>
      </c>
      <c r="E264" s="158" t="e">
        <f t="shared" si="94"/>
        <v>#N/A</v>
      </c>
      <c r="F264" s="158">
        <f t="shared" si="95"/>
        <v>8.6956521739130432E-2</v>
      </c>
      <c r="G264" s="158">
        <f t="shared" si="96"/>
        <v>8.0246913580246909E-2</v>
      </c>
      <c r="H264" s="160">
        <f t="shared" si="97"/>
        <v>0.13861386138613863</v>
      </c>
      <c r="I264" s="98"/>
      <c r="J264" s="98"/>
      <c r="K264" s="162"/>
      <c r="L264" s="162"/>
      <c r="M264" s="162"/>
      <c r="N264" s="162"/>
      <c r="O264" s="162"/>
      <c r="P264" s="162"/>
      <c r="Q264" s="162"/>
      <c r="R264" s="163"/>
      <c r="S264" s="155"/>
      <c r="T264" s="155"/>
      <c r="U264" s="162"/>
      <c r="V264" s="124"/>
      <c r="W264" s="140"/>
      <c r="X264" s="149"/>
      <c r="Y264" s="717" t="str">
        <f t="shared" si="99"/>
        <v>Milton Keynes</v>
      </c>
      <c r="Z264" s="718">
        <f>IF(Year1_Milton_Keynes Year1_CP_Plans_became_subject="","",Year1_Milton_Keynes Year1_CP_Plans_became_subject)</f>
        <v>97</v>
      </c>
      <c r="AA264" s="722">
        <f>IF(Year2_Milton_Keynes Year2_CP_Plans_became_subject="","",Year2_Milton_Keynes Year2_CP_Plans_became_subject)</f>
        <v>109</v>
      </c>
      <c r="AB264" s="722">
        <f>IF(Year3_Milton_Keynes Year3_CP_Plans_became_subject="","",Year3_Milton_Keynes Year3_CP_Plans_became_subject)</f>
        <v>138</v>
      </c>
      <c r="AC264" s="722">
        <f>IF(Year4_Milton_Keynes Year4_CP_Plans_became_subject="","",Year4_Milton_Keynes Year4_CP_Plans_became_subject)</f>
        <v>162</v>
      </c>
      <c r="AD264" s="717">
        <f>IF(Year5_Milton_Keynes Year5_CP_Plans_became_subject="","",Year5_Milton_Keynes Year5_CP_Plans_became_subject)</f>
        <v>202</v>
      </c>
      <c r="AE264" s="721" t="str">
        <f t="shared" si="100"/>
        <v>Milton Keynes</v>
      </c>
      <c r="AF264" s="719">
        <f>IF(Year1_Milton_Keynes Year1_CP_Plans_became_subject_second="","",Year1_Milton_Keynes Year1_CP_Plans_became_subject_second)</f>
        <v>8</v>
      </c>
      <c r="AG264" s="722" t="str">
        <f>IF(Year2_Milton_Keynes Year2_CP_Plans_became_subject_second="","",Year2_Milton_Keynes Year2_CP_Plans_became_subject_second)</f>
        <v>x</v>
      </c>
      <c r="AH264" s="722">
        <f>IF(Year3_Milton_Keynes Year3_CP_Plans_became_subject_second="","",Year3_Milton_Keynes Year3_CP_Plans_became_subject_second)</f>
        <v>12</v>
      </c>
      <c r="AI264" s="722">
        <f>IF(Year4_Milton_Keynes Year4_CP_Plans_became_subject_second="","",Year4_Milton_Keynes Year4_CP_Plans_became_subject_second)</f>
        <v>13</v>
      </c>
      <c r="AJ264" s="722">
        <f>IF(Year5_Milton_Keynes Year5_CP_Plans_became_subject_second="","",Year5_Milton_Keynes Year5_CP_Plans_became_subject_second)</f>
        <v>28</v>
      </c>
      <c r="AK264" s="157"/>
    </row>
    <row r="265" spans="1:45" s="89" customFormat="1" ht="12.75" customHeight="1" x14ac:dyDescent="0.2">
      <c r="A265" s="462">
        <f>VLOOKUP(B265,Sheet1!$AQ$4:$AR$25,2,FALSE)</f>
        <v>0</v>
      </c>
      <c r="B265" s="95" t="str">
        <f t="shared" si="93"/>
        <v>Oxfordshire</v>
      </c>
      <c r="C265" s="87"/>
      <c r="D265" s="158">
        <f t="shared" si="98"/>
        <v>0.16561514195583596</v>
      </c>
      <c r="E265" s="158">
        <f t="shared" si="94"/>
        <v>0.2132768361581921</v>
      </c>
      <c r="F265" s="158">
        <f t="shared" si="95"/>
        <v>0.18375</v>
      </c>
      <c r="G265" s="603">
        <f t="shared" si="96"/>
        <v>0.23415265200517466</v>
      </c>
      <c r="H265" s="160">
        <f t="shared" si="97"/>
        <v>0.21908602150537634</v>
      </c>
      <c r="I265" s="98"/>
      <c r="J265" s="98"/>
      <c r="K265" s="162"/>
      <c r="L265" s="162"/>
      <c r="M265" s="162"/>
      <c r="N265" s="162"/>
      <c r="O265" s="162"/>
      <c r="P265" s="162"/>
      <c r="Q265" s="162"/>
      <c r="R265" s="163"/>
      <c r="S265" s="155"/>
      <c r="T265" s="155"/>
      <c r="U265" s="162"/>
      <c r="V265" s="124"/>
      <c r="W265" s="140"/>
      <c r="X265" s="149"/>
      <c r="Y265" s="717" t="str">
        <f t="shared" si="99"/>
        <v>Oxfordshire</v>
      </c>
      <c r="Z265" s="718">
        <f>IF(Year1_Oxfordshire Year1_CP_Plans_became_subject="","",Year1_Oxfordshire Year1_CP_Plans_became_subject)</f>
        <v>634</v>
      </c>
      <c r="AA265" s="722">
        <f>IF(Year2_Oxfordshire Year2_CP_Plans_became_subject="","",Year2_Oxfordshire Year2_CP_Plans_became_subject)</f>
        <v>708</v>
      </c>
      <c r="AB265" s="722">
        <f>IF(Year3_Oxfordshire Year3_CP_Plans_became_subject="","",Year3_Oxfordshire Year3_CP_Plans_became_subject)</f>
        <v>800</v>
      </c>
      <c r="AC265" s="722">
        <f>IF(Year4_Oxfordshire Year4_CP_Plans_became_subject="","",Year4_Oxfordshire Year4_CP_Plans_became_subject)</f>
        <v>773</v>
      </c>
      <c r="AD265" s="717">
        <f>IF(Year5_Oxfordshire Year5_CP_Plans_became_subject="","",Year5_Oxfordshire Year5_CP_Plans_became_subject)</f>
        <v>744</v>
      </c>
      <c r="AE265" s="721" t="str">
        <f t="shared" si="100"/>
        <v>Oxfordshire</v>
      </c>
      <c r="AF265" s="719">
        <f>IF(Year1_Oxfordshire Year1_CP_Plans_became_subject_second="","",Year1_Oxfordshire Year1_CP_Plans_became_subject_second)</f>
        <v>105</v>
      </c>
      <c r="AG265" s="722">
        <f>IF(Year2_Oxfordshire Year2_CP_Plans_became_subject_second="","",Year2_Oxfordshire Year2_CP_Plans_became_subject_second)</f>
        <v>151</v>
      </c>
      <c r="AH265" s="722">
        <f>IF(Year3_Oxfordshire Year3_CP_Plans_became_subject_second="","",Year3_Oxfordshire Year3_CP_Plans_became_subject_second)</f>
        <v>147</v>
      </c>
      <c r="AI265" s="722">
        <f>IF(Year4_Oxfordshire Year4_CP_Plans_became_subject_second="","",Year4_Oxfordshire Year4_CP_Plans_became_subject_second)</f>
        <v>181</v>
      </c>
      <c r="AJ265" s="722">
        <f>IF(Year5_Oxfordshire Year5_CP_Plans_became_subject_second="","",Year5_Oxfordshire Year5_CP_Plans_became_subject_second)</f>
        <v>163</v>
      </c>
      <c r="AK265" s="156"/>
    </row>
    <row r="266" spans="1:45" s="89" customFormat="1" ht="12.75" customHeight="1" x14ac:dyDescent="0.2">
      <c r="A266" s="462">
        <f>VLOOKUP(B266,Sheet1!$AQ$4:$AR$25,2,FALSE)</f>
        <v>0</v>
      </c>
      <c r="B266" s="95" t="str">
        <f t="shared" si="93"/>
        <v>Portsmouth</v>
      </c>
      <c r="C266" s="87"/>
      <c r="D266" s="158">
        <f t="shared" si="98"/>
        <v>0.18217054263565891</v>
      </c>
      <c r="E266" s="158">
        <f t="shared" si="94"/>
        <v>0.20202020202020202</v>
      </c>
      <c r="F266" s="158">
        <f t="shared" si="95"/>
        <v>0.2029520295202952</v>
      </c>
      <c r="G266" s="158">
        <f t="shared" si="96"/>
        <v>0.25964912280701752</v>
      </c>
      <c r="H266" s="160">
        <f t="shared" si="97"/>
        <v>0.19762845849802371</v>
      </c>
      <c r="I266" s="98"/>
      <c r="J266" s="98"/>
      <c r="K266" s="162"/>
      <c r="L266" s="162"/>
      <c r="M266" s="162"/>
      <c r="N266" s="162"/>
      <c r="O266" s="162"/>
      <c r="P266" s="162"/>
      <c r="Q266" s="162"/>
      <c r="R266" s="163"/>
      <c r="S266" s="155"/>
      <c r="T266" s="155"/>
      <c r="U266" s="162"/>
      <c r="V266" s="124"/>
      <c r="W266" s="140"/>
      <c r="X266" s="149"/>
      <c r="Y266" s="717" t="str">
        <f t="shared" si="99"/>
        <v>Portsmouth</v>
      </c>
      <c r="Z266" s="718">
        <f>IF(Year1_Portsmouth Year1_CP_Plans_became_subject="","",Year1_Portsmouth Year1_CP_Plans_became_subject)</f>
        <v>258</v>
      </c>
      <c r="AA266" s="722">
        <f>IF(Year2_Portsmouth Year2_CP_Plans_became_subject="","",Year2_Portsmouth Year2_CP_Plans_became_subject)</f>
        <v>297</v>
      </c>
      <c r="AB266" s="722">
        <f>IF(Year3_Portsmouth Year3_CP_Plans_became_subject="","",Year3_Portsmouth Year3_CP_Plans_became_subject)</f>
        <v>271</v>
      </c>
      <c r="AC266" s="722">
        <f>IF(Year4_Portsmouth Year4_CP_Plans_became_subject="","",Year4_Portsmouth Year4_CP_Plans_became_subject)</f>
        <v>285</v>
      </c>
      <c r="AD266" s="717">
        <f>IF(Year5_Portsmouth Year5_CP_Plans_became_subject="","",Year5_Portsmouth Year5_CP_Plans_became_subject)</f>
        <v>253</v>
      </c>
      <c r="AE266" s="721" t="str">
        <f t="shared" si="100"/>
        <v>Portsmouth</v>
      </c>
      <c r="AF266" s="719">
        <f>IF(Year1_Portsmouth Year1_CP_Plans_became_subject_second="","",Year1_Portsmouth Year1_CP_Plans_became_subject_second)</f>
        <v>47</v>
      </c>
      <c r="AG266" s="722">
        <f>IF(Year2_Portsmouth Year2_CP_Plans_became_subject_second="","",Year2_Portsmouth Year2_CP_Plans_became_subject_second)</f>
        <v>60</v>
      </c>
      <c r="AH266" s="722">
        <f>IF(Year3_Portsmouth Year3_CP_Plans_became_subject_second="","",Year3_Portsmouth Year3_CP_Plans_became_subject_second)</f>
        <v>55</v>
      </c>
      <c r="AI266" s="722">
        <f>IF(Year4_Portsmouth Year4_CP_Plans_became_subject_second="","",Year4_Portsmouth Year4_CP_Plans_became_subject_second)</f>
        <v>74</v>
      </c>
      <c r="AJ266" s="722">
        <f>IF(Year5_Portsmouth Year5_CP_Plans_became_subject_second="","",Year5_Portsmouth Year5_CP_Plans_became_subject_second)</f>
        <v>50</v>
      </c>
      <c r="AK266" s="157"/>
    </row>
    <row r="267" spans="1:45" s="89" customFormat="1" ht="12.75" customHeight="1" x14ac:dyDescent="0.2">
      <c r="A267" s="462">
        <f>VLOOKUP(B267,Sheet1!$AQ$4:$AR$25,2,FALSE)</f>
        <v>0</v>
      </c>
      <c r="B267" s="95" t="str">
        <f t="shared" si="93"/>
        <v>Reading</v>
      </c>
      <c r="C267" s="87"/>
      <c r="D267" s="158">
        <f t="shared" si="98"/>
        <v>0.23809523809523808</v>
      </c>
      <c r="E267" s="158">
        <f t="shared" si="94"/>
        <v>0.21791044776119403</v>
      </c>
      <c r="F267" s="158">
        <f t="shared" si="95"/>
        <v>0.28878281622911695</v>
      </c>
      <c r="G267" s="158">
        <f t="shared" si="96"/>
        <v>0.17714285714285713</v>
      </c>
      <c r="H267" s="160">
        <f t="shared" si="97"/>
        <v>0.28700906344410876</v>
      </c>
      <c r="I267" s="98"/>
      <c r="J267" s="98"/>
      <c r="K267" s="162"/>
      <c r="L267" s="162"/>
      <c r="M267" s="162"/>
      <c r="N267" s="162"/>
      <c r="O267" s="162"/>
      <c r="P267" s="162"/>
      <c r="Q267" s="162"/>
      <c r="R267" s="163"/>
      <c r="S267" s="155"/>
      <c r="T267" s="155"/>
      <c r="U267" s="162"/>
      <c r="V267" s="124"/>
      <c r="W267" s="140"/>
      <c r="X267" s="149"/>
      <c r="Y267" s="717" t="str">
        <f t="shared" si="99"/>
        <v>Reading</v>
      </c>
      <c r="Z267" s="718">
        <f>IF(Year1_Reading Year1_CP_Plans_became_subject="","",Year1_Reading Year1_CP_Plans_became_subject)</f>
        <v>252</v>
      </c>
      <c r="AA267" s="722">
        <f>IF(Year2_Reading Year2_CP_Plans_became_subject="","",Year2_Reading Year2_CP_Plans_became_subject)</f>
        <v>335</v>
      </c>
      <c r="AB267" s="722">
        <f>IF(Year3_Reading Year3_CP_Plans_became_subject="","",Year3_Reading Year3_CP_Plans_became_subject)</f>
        <v>419</v>
      </c>
      <c r="AC267" s="722">
        <f>IF(Year4_Reading Year4_CP_Plans_became_subject="","",Year4_Reading Year4_CP_Plans_became_subject)</f>
        <v>350</v>
      </c>
      <c r="AD267" s="717">
        <f>IF(Year5_Reading Year5_CP_Plans_became_subject="","",Year5_Reading Year5_CP_Plans_became_subject)</f>
        <v>331</v>
      </c>
      <c r="AE267" s="721" t="str">
        <f t="shared" si="100"/>
        <v>Reading</v>
      </c>
      <c r="AF267" s="719">
        <f>IF(Year1_Reading Year1_CP_Plans_became_subject_second="","",Year1_Reading Year1_CP_Plans_became_subject_second)</f>
        <v>60</v>
      </c>
      <c r="AG267" s="722">
        <f>IF(Year2_Reading Year2_CP_Plans_became_subject_second="","",Year2_Reading Year2_CP_Plans_became_subject_second)</f>
        <v>73</v>
      </c>
      <c r="AH267" s="722">
        <f>IF(Year3_Reading Year3_CP_Plans_became_subject_second="","",Year3_Reading Year3_CP_Plans_became_subject_second)</f>
        <v>121</v>
      </c>
      <c r="AI267" s="722">
        <f>IF(Year4_Reading Year4_CP_Plans_became_subject_second="","",Year4_Reading Year4_CP_Plans_became_subject_second)</f>
        <v>62</v>
      </c>
      <c r="AJ267" s="722">
        <f>IF(Year5_Reading Year5_CP_Plans_became_subject_second="","",Year5_Reading Year5_CP_Plans_became_subject_second)</f>
        <v>95</v>
      </c>
      <c r="AK267" s="156"/>
    </row>
    <row r="268" spans="1:45" s="89" customFormat="1" ht="12.75" customHeight="1" x14ac:dyDescent="0.2">
      <c r="A268" s="462">
        <f>VLOOKUP(B268,Sheet1!$AQ$4:$AR$25,2,FALSE)</f>
        <v>0</v>
      </c>
      <c r="B268" s="95" t="str">
        <f t="shared" si="93"/>
        <v>Slough</v>
      </c>
      <c r="C268" s="87"/>
      <c r="D268" s="158">
        <f t="shared" si="98"/>
        <v>0.14450867052023122</v>
      </c>
      <c r="E268" s="158">
        <f t="shared" si="94"/>
        <v>0.16772151898734178</v>
      </c>
      <c r="F268" s="158">
        <f t="shared" si="95"/>
        <v>0.22602739726027396</v>
      </c>
      <c r="G268" s="158">
        <f t="shared" si="96"/>
        <v>0.23333333333333334</v>
      </c>
      <c r="H268" s="160">
        <f t="shared" si="97"/>
        <v>0.20532319391634982</v>
      </c>
      <c r="I268" s="98"/>
      <c r="J268" s="98"/>
      <c r="K268" s="162"/>
      <c r="L268" s="162"/>
      <c r="M268" s="162"/>
      <c r="N268" s="162"/>
      <c r="O268" s="162"/>
      <c r="P268" s="162"/>
      <c r="Q268" s="162"/>
      <c r="R268" s="163"/>
      <c r="S268" s="155"/>
      <c r="T268" s="155"/>
      <c r="U268" s="162"/>
      <c r="V268" s="124"/>
      <c r="W268" s="140"/>
      <c r="X268" s="149"/>
      <c r="Y268" s="717" t="str">
        <f t="shared" si="99"/>
        <v>Slough</v>
      </c>
      <c r="Z268" s="718">
        <f>IF(Year1_Slough Year1_CP_Plans_became_subject="","",Year1_Slough Year1_CP_Plans_became_subject)</f>
        <v>173</v>
      </c>
      <c r="AA268" s="722">
        <f>IF(Year2_Slough Year2_CP_Plans_became_subject="","",Year2_Slough Year2_CP_Plans_became_subject)</f>
        <v>316</v>
      </c>
      <c r="AB268" s="722">
        <f>IF(Year3_Slough Year3_CP_Plans_became_subject="","",Year3_Slough Year3_CP_Plans_became_subject)</f>
        <v>292</v>
      </c>
      <c r="AC268" s="722">
        <f>IF(Year4_Slough Year4_CP_Plans_became_subject="","",Year4_Slough Year4_CP_Plans_became_subject)</f>
        <v>240</v>
      </c>
      <c r="AD268" s="717">
        <f>IF(Year5_Slough Year5_CP_Plans_became_subject="","",Year5_Slough Year5_CP_Plans_became_subject)</f>
        <v>263</v>
      </c>
      <c r="AE268" s="721" t="str">
        <f t="shared" si="100"/>
        <v>Slough</v>
      </c>
      <c r="AF268" s="719">
        <f>IF(Year1_Slough Year1_CP_Plans_became_subject_second="","",Year1_Slough Year1_CP_Plans_became_subject_second)</f>
        <v>25</v>
      </c>
      <c r="AG268" s="722">
        <f>IF(Year2_Slough Year2_CP_Plans_became_subject_second="","",Year2_Slough Year2_CP_Plans_became_subject_second)</f>
        <v>53</v>
      </c>
      <c r="AH268" s="722">
        <f>IF(Year3_Slough Year3_CP_Plans_became_subject_second="","",Year3_Slough Year3_CP_Plans_became_subject_second)</f>
        <v>66</v>
      </c>
      <c r="AI268" s="722">
        <f>IF(Year4_Slough Year4_CP_Plans_became_subject_second="","",Year4_Slough Year4_CP_Plans_became_subject_second)</f>
        <v>56</v>
      </c>
      <c r="AJ268" s="722">
        <f>IF(Year5_Slough Year5_CP_Plans_became_subject_second="","",Year5_Slough Year5_CP_Plans_became_subject_second)</f>
        <v>54</v>
      </c>
      <c r="AK268" s="157"/>
    </row>
    <row r="269" spans="1:45" s="89" customFormat="1" ht="12.75" customHeight="1" x14ac:dyDescent="0.2">
      <c r="A269" s="462">
        <f>VLOOKUP(B269,Sheet1!$AQ$4:$AR$25,2,FALSE)</f>
        <v>0</v>
      </c>
      <c r="B269" s="95" t="str">
        <f t="shared" si="93"/>
        <v>Somerset</v>
      </c>
      <c r="C269" s="87"/>
      <c r="D269" s="158">
        <f t="shared" si="98"/>
        <v>0.19935691318327975</v>
      </c>
      <c r="E269" s="158">
        <f t="shared" si="94"/>
        <v>0.25304136253041365</v>
      </c>
      <c r="F269" s="158">
        <f t="shared" si="95"/>
        <v>0.1934931506849315</v>
      </c>
      <c r="G269" s="158">
        <f t="shared" si="96"/>
        <v>0.21132075471698114</v>
      </c>
      <c r="H269" s="160">
        <f t="shared" si="97"/>
        <v>0.20289855072463769</v>
      </c>
      <c r="I269" s="98"/>
      <c r="J269" s="98"/>
      <c r="K269" s="162"/>
      <c r="L269" s="162"/>
      <c r="M269" s="162"/>
      <c r="N269" s="162"/>
      <c r="O269" s="162"/>
      <c r="P269" s="162"/>
      <c r="Q269" s="162"/>
      <c r="R269" s="163"/>
      <c r="S269" s="155"/>
      <c r="T269" s="155"/>
      <c r="U269" s="162"/>
      <c r="V269" s="124"/>
      <c r="W269" s="140"/>
      <c r="X269" s="149"/>
      <c r="Y269" s="717" t="str">
        <f t="shared" si="99"/>
        <v>Somerset</v>
      </c>
      <c r="Z269" s="718">
        <f>IF(Year1_Somerset Year1_CP_Plans_became_subject="","",Year1_Somerset Year1_CP_Plans_became_subject)</f>
        <v>622</v>
      </c>
      <c r="AA269" s="722">
        <f>IF(Year2_Somerset Year2_CP_Plans_became_subject="","",Year2_Somerset Year2_CP_Plans_became_subject)</f>
        <v>411</v>
      </c>
      <c r="AB269" s="722">
        <f>IF(Year3_Somerset Year3_CP_Plans_became_subject="","",Year3_Somerset Year3_CP_Plans_became_subject)</f>
        <v>584</v>
      </c>
      <c r="AC269" s="722">
        <f>IF(Year4_Somerset Year4_CP_Plans_became_subject="","",Year4_Somerset Year4_CP_Plans_became_subject)</f>
        <v>530</v>
      </c>
      <c r="AD269" s="717">
        <f>IF(Year5_Somerset Year5_CP_Plans_became_subject="","",Year5_Somerset Year5_CP_Plans_became_subject)</f>
        <v>483</v>
      </c>
      <c r="AE269" s="721" t="str">
        <f t="shared" si="100"/>
        <v>Somerset</v>
      </c>
      <c r="AF269" s="719">
        <f>IF(Year1_Somerset Year1_CP_Plans_became_subject_second="","",Year1_Somerset Year1_CP_Plans_became_subject_second)</f>
        <v>124</v>
      </c>
      <c r="AG269" s="722">
        <f>IF(Year2_Somerset Year2_CP_Plans_became_subject_second="","",Year2_Somerset Year2_CP_Plans_became_subject_second)</f>
        <v>104</v>
      </c>
      <c r="AH269" s="722">
        <f>IF(Year3_Somerset Year3_CP_Plans_became_subject_second="","",Year3_Somerset Year3_CP_Plans_became_subject_second)</f>
        <v>113</v>
      </c>
      <c r="AI269" s="722">
        <f>IF(Year4_Somerset Year4_CP_Plans_became_subject_second="","",Year4_Somerset Year4_CP_Plans_became_subject_second)</f>
        <v>112</v>
      </c>
      <c r="AJ269" s="722">
        <f>IF(Year5_Somerset Year5_CP_Plans_became_subject_second="","",Year5_Somerset Year5_CP_Plans_became_subject_second)</f>
        <v>98</v>
      </c>
      <c r="AK269" s="156"/>
    </row>
    <row r="270" spans="1:45" s="89" customFormat="1" ht="12.75" customHeight="1" x14ac:dyDescent="0.2">
      <c r="A270" s="462">
        <f>VLOOKUP(B270,Sheet1!$AQ$4:$AR$25,2,FALSE)</f>
        <v>0</v>
      </c>
      <c r="B270" s="95" t="str">
        <f t="shared" si="93"/>
        <v>Southampton</v>
      </c>
      <c r="C270" s="87"/>
      <c r="D270" s="158">
        <f t="shared" si="98"/>
        <v>3.6363636363636362E-2</v>
      </c>
      <c r="E270" s="158">
        <f t="shared" si="94"/>
        <v>0.29591836734693877</v>
      </c>
      <c r="F270" s="158">
        <f t="shared" si="95"/>
        <v>0.28496042216358841</v>
      </c>
      <c r="G270" s="158">
        <f t="shared" si="96"/>
        <v>0.30626450116009279</v>
      </c>
      <c r="H270" s="160">
        <f t="shared" si="97"/>
        <v>0.20104438642297651</v>
      </c>
      <c r="I270" s="98"/>
      <c r="J270" s="98"/>
      <c r="K270" s="162"/>
      <c r="L270" s="162"/>
      <c r="M270" s="162"/>
      <c r="N270" s="162"/>
      <c r="O270" s="162"/>
      <c r="P270" s="162"/>
      <c r="Q270" s="162"/>
      <c r="R270" s="163"/>
      <c r="S270" s="155"/>
      <c r="T270" s="155"/>
      <c r="U270" s="162"/>
      <c r="V270" s="124"/>
      <c r="W270" s="140"/>
      <c r="X270" s="149"/>
      <c r="Y270" s="717" t="str">
        <f t="shared" si="99"/>
        <v>Southampton</v>
      </c>
      <c r="Z270" s="718">
        <f>IF(Year1_Southampton Year1_CP_Plans_became_subject="","",Year1_Southampton Year1_CP_Plans_became_subject)</f>
        <v>495</v>
      </c>
      <c r="AA270" s="722">
        <f>IF(Year2_Southampton Year2_CP_Plans_became_subject="","",Year2_Southampton Year2_CP_Plans_became_subject)</f>
        <v>490</v>
      </c>
      <c r="AB270" s="722">
        <f>IF(Year3_Southampton Year3_CP_Plans_became_subject="","",Year3_Southampton Year3_CP_Plans_became_subject)</f>
        <v>379</v>
      </c>
      <c r="AC270" s="722">
        <f>IF(Year4_Southampton Year4_CP_Plans_became_subject="","",Year4_Southampton Year4_CP_Plans_became_subject)</f>
        <v>431</v>
      </c>
      <c r="AD270" s="717">
        <f>IF(Year5_Southampton Year5_CP_Plans_became_subject="","",Year5_Southampton Year5_CP_Plans_became_subject)</f>
        <v>383</v>
      </c>
      <c r="AE270" s="721" t="str">
        <f t="shared" si="100"/>
        <v>Southampton</v>
      </c>
      <c r="AF270" s="719">
        <f>IF(Year1_Southampton Year1_CP_Plans_became_subject_second="","",Year1_Southampton Year1_CP_Plans_became_subject_second)</f>
        <v>18</v>
      </c>
      <c r="AG270" s="722">
        <f>IF(Year2_Southampton Year2_CP_Plans_became_subject_second="","",Year2_Southampton Year2_CP_Plans_became_subject_second)</f>
        <v>145</v>
      </c>
      <c r="AH270" s="722">
        <f>IF(Year3_Southampton Year3_CP_Plans_became_subject_second="","",Year3_Southampton Year3_CP_Plans_became_subject_second)</f>
        <v>108</v>
      </c>
      <c r="AI270" s="722">
        <f>IF(Year4_Southampton Year4_CP_Plans_became_subject_second="","",Year4_Southampton Year4_CP_Plans_became_subject_second)</f>
        <v>132</v>
      </c>
      <c r="AJ270" s="722">
        <f>IF(Year5_Southampton Year5_CP_Plans_became_subject_second="","",Year5_Southampton Year5_CP_Plans_became_subject_second)</f>
        <v>77</v>
      </c>
      <c r="AK270" s="157"/>
    </row>
    <row r="271" spans="1:45" s="89" customFormat="1" ht="12.75" customHeight="1" x14ac:dyDescent="0.2">
      <c r="A271" s="462">
        <f>VLOOKUP(B271,Sheet1!$AQ$4:$AR$25,2,FALSE)</f>
        <v>0</v>
      </c>
      <c r="B271" s="95" t="str">
        <f t="shared" si="93"/>
        <v>Surrey</v>
      </c>
      <c r="C271" s="87"/>
      <c r="D271" s="158">
        <f t="shared" si="98"/>
        <v>0.17011278195488722</v>
      </c>
      <c r="E271" s="158">
        <f t="shared" si="94"/>
        <v>0.23084577114427859</v>
      </c>
      <c r="F271" s="158">
        <f t="shared" si="95"/>
        <v>0.22447013487475914</v>
      </c>
      <c r="G271" s="158">
        <f t="shared" si="96"/>
        <v>0.24413553431798435</v>
      </c>
      <c r="H271" s="160">
        <f t="shared" si="97"/>
        <v>0.21919014084507044</v>
      </c>
      <c r="I271" s="98"/>
      <c r="J271" s="98"/>
      <c r="K271" s="162"/>
      <c r="L271" s="162"/>
      <c r="M271" s="162"/>
      <c r="N271" s="162"/>
      <c r="O271" s="162"/>
      <c r="P271" s="162"/>
      <c r="Q271" s="162"/>
      <c r="R271" s="163"/>
      <c r="S271" s="155"/>
      <c r="T271" s="155"/>
      <c r="U271" s="162"/>
      <c r="V271" s="124"/>
      <c r="W271" s="140"/>
      <c r="X271" s="149"/>
      <c r="Y271" s="717" t="str">
        <f t="shared" si="99"/>
        <v>Surrey</v>
      </c>
      <c r="Z271" s="718">
        <f>IF(Year1_Surrey Year1_CP_Plans_became_subject="","",Year1_Surrey Year1_CP_Plans_became_subject)</f>
        <v>1064</v>
      </c>
      <c r="AA271" s="722">
        <f>IF(Year2_Surrey Year2_CP_Plans_became_subject="","",Year2_Surrey Year2_CP_Plans_became_subject)</f>
        <v>1005</v>
      </c>
      <c r="AB271" s="722">
        <f>IF(Year3_Surrey Year3_CP_Plans_became_subject="","",Year3_Surrey Year3_CP_Plans_became_subject)</f>
        <v>1038</v>
      </c>
      <c r="AC271" s="722">
        <f>IF(Year4_Surrey Year4_CP_Plans_became_subject="","",Year4_Surrey Year4_CP_Plans_became_subject)</f>
        <v>1151</v>
      </c>
      <c r="AD271" s="717">
        <f>IF(Year5_Surrey Year5_CP_Plans_became_subject="","",Year5_Surrey Year5_CP_Plans_became_subject)</f>
        <v>1136</v>
      </c>
      <c r="AE271" s="721" t="str">
        <f t="shared" si="100"/>
        <v>Surrey</v>
      </c>
      <c r="AF271" s="719">
        <f>IF(Year1_Surrey Year1_CP_Plans_became_subject_second="","",Year1_Surrey Year1_CP_Plans_became_subject_second)</f>
        <v>181</v>
      </c>
      <c r="AG271" s="722">
        <f>IF(Year2_Surrey Year2_CP_Plans_became_subject_second="","",Year2_Surrey Year2_CP_Plans_became_subject_second)</f>
        <v>232</v>
      </c>
      <c r="AH271" s="722">
        <f>IF(Year3_Surrey Year3_CP_Plans_became_subject_second="","",Year3_Surrey Year3_CP_Plans_became_subject_second)</f>
        <v>233</v>
      </c>
      <c r="AI271" s="722">
        <f>IF(Year4_Surrey Year4_CP_Plans_became_subject_second="","",Year4_Surrey Year4_CP_Plans_became_subject_second)</f>
        <v>281</v>
      </c>
      <c r="AJ271" s="722">
        <f>IF(Year5_Surrey Year5_CP_Plans_became_subject_second="","",Year5_Surrey Year5_CP_Plans_became_subject_second)</f>
        <v>249</v>
      </c>
      <c r="AK271" s="156"/>
    </row>
    <row r="272" spans="1:45" s="89" customFormat="1" ht="12.75" customHeight="1" x14ac:dyDescent="0.2">
      <c r="A272" s="462">
        <f>VLOOKUP(B272,Sheet1!$AQ$4:$AR$25,2,FALSE)</f>
        <v>0</v>
      </c>
      <c r="B272" s="95" t="str">
        <f t="shared" si="93"/>
        <v>Swindon</v>
      </c>
      <c r="C272" s="87"/>
      <c r="D272" s="158">
        <f t="shared" si="98"/>
        <v>0.19172932330827067</v>
      </c>
      <c r="E272" s="158">
        <f t="shared" si="94"/>
        <v>0.19031141868512111</v>
      </c>
      <c r="F272" s="158">
        <f t="shared" si="95"/>
        <v>0.20170454545454544</v>
      </c>
      <c r="G272" s="158">
        <f t="shared" si="96"/>
        <v>0.19755600814663951</v>
      </c>
      <c r="H272" s="160">
        <f t="shared" si="97"/>
        <v>0.12142857142857143</v>
      </c>
      <c r="I272" s="98"/>
      <c r="J272" s="98"/>
      <c r="K272" s="162"/>
      <c r="L272" s="162"/>
      <c r="M272" s="162"/>
      <c r="N272" s="162"/>
      <c r="O272" s="162"/>
      <c r="P272" s="162"/>
      <c r="Q272" s="162"/>
      <c r="R272" s="163"/>
      <c r="S272" s="155"/>
      <c r="T272" s="155"/>
      <c r="U272" s="162"/>
      <c r="V272" s="124"/>
      <c r="W272" s="140"/>
      <c r="X272" s="149"/>
      <c r="Y272" s="717" t="str">
        <f t="shared" si="99"/>
        <v>Swindon</v>
      </c>
      <c r="Z272" s="718">
        <f>IF(Year1_Swindon Year1_CP_Plans_became_subject="","",Year1_Swindon Year1_CP_Plans_became_subject)</f>
        <v>266</v>
      </c>
      <c r="AA272" s="722">
        <f>IF(Year2_Swindon Year2_CP_Plans_became_subject="","",Year2_Swindon Year2_CP_Plans_became_subject)</f>
        <v>289</v>
      </c>
      <c r="AB272" s="722">
        <f>IF(Year3_Swindon Year3_CP_Plans_became_subject="","",Year3_Swindon Year3_CP_Plans_became_subject)</f>
        <v>352</v>
      </c>
      <c r="AC272" s="722">
        <f>IF(Year4_Swindon Year4_CP_Plans_became_subject="","",Year4_Swindon Year4_CP_Plans_became_subject)</f>
        <v>491</v>
      </c>
      <c r="AD272" s="717">
        <f>IF(Year5_Swindon Year5_CP_Plans_became_subject="","",Year5_Swindon Year5_CP_Plans_became_subject)</f>
        <v>420</v>
      </c>
      <c r="AE272" s="721" t="str">
        <f t="shared" si="100"/>
        <v>Swindon</v>
      </c>
      <c r="AF272" s="719">
        <f>IF(Year1_Swindon Year1_CP_Plans_became_subject_second="","",Year1_Swindon Year1_CP_Plans_became_subject_second)</f>
        <v>51</v>
      </c>
      <c r="AG272" s="722">
        <f>IF(Year2_Swindon Year2_CP_Plans_became_subject_second="","",Year2_Swindon Year2_CP_Plans_became_subject_second)</f>
        <v>55</v>
      </c>
      <c r="AH272" s="722">
        <f>IF(Year3_Swindon Year3_CP_Plans_became_subject_second="","",Year3_Swindon Year3_CP_Plans_became_subject_second)</f>
        <v>71</v>
      </c>
      <c r="AI272" s="722">
        <f>IF(Year4_Swindon Year4_CP_Plans_became_subject_second="","",Year4_Swindon Year4_CP_Plans_became_subject_second)</f>
        <v>97</v>
      </c>
      <c r="AJ272" s="722">
        <f>IF(Year5_Swindon Year5_CP_Plans_became_subject_second="","",Year5_Swindon Year5_CP_Plans_became_subject_second)</f>
        <v>51</v>
      </c>
      <c r="AK272" s="157"/>
    </row>
    <row r="273" spans="1:46" s="89" customFormat="1" ht="12.75" customHeight="1" x14ac:dyDescent="0.2">
      <c r="A273" s="462">
        <f>VLOOKUP(B273,Sheet1!$AQ$4:$AR$25,2,FALSE)</f>
        <v>0</v>
      </c>
      <c r="B273" s="95" t="str">
        <f t="shared" si="93"/>
        <v>Torbay</v>
      </c>
      <c r="C273" s="87"/>
      <c r="D273" s="158">
        <f t="shared" si="98"/>
        <v>0.16738197424892703</v>
      </c>
      <c r="E273" s="158">
        <f t="shared" si="94"/>
        <v>0.23134328358208955</v>
      </c>
      <c r="F273" s="158">
        <f t="shared" si="95"/>
        <v>0.21212121212121213</v>
      </c>
      <c r="G273" s="158">
        <f t="shared" si="96"/>
        <v>0.26896551724137929</v>
      </c>
      <c r="H273" s="160">
        <f t="shared" si="97"/>
        <v>0.3155737704918033</v>
      </c>
      <c r="I273" s="98"/>
      <c r="J273" s="98"/>
      <c r="K273" s="162"/>
      <c r="L273" s="162"/>
      <c r="M273" s="162"/>
      <c r="N273" s="162"/>
      <c r="O273" s="162"/>
      <c r="P273" s="162"/>
      <c r="Q273" s="162"/>
      <c r="R273" s="163"/>
      <c r="S273" s="155"/>
      <c r="T273" s="155"/>
      <c r="U273" s="162"/>
      <c r="V273" s="124"/>
      <c r="W273" s="140"/>
      <c r="X273" s="149"/>
      <c r="Y273" s="717" t="str">
        <f t="shared" si="99"/>
        <v>Torbay</v>
      </c>
      <c r="Z273" s="718">
        <f>IF(Year1_Torbay Year1_CP_Plans_became_subject="","",Year1_Torbay Year1_CP_Plans_became_subject)</f>
        <v>233</v>
      </c>
      <c r="AA273" s="722">
        <f>IF(Year2_Torbay Year2_CP_Plans_became_subject="","",Year2_Torbay Year2_CP_Plans_became_subject)</f>
        <v>268</v>
      </c>
      <c r="AB273" s="722">
        <f>IF(Year3_Torbay Year3_CP_Plans_became_subject="","",Year3_Torbay Year3_CP_Plans_became_subject)</f>
        <v>297</v>
      </c>
      <c r="AC273" s="722">
        <f>IF(Year4_Torbay Year4_CP_Plans_became_subject="","",Year4_Torbay Year4_CP_Plans_became_subject)</f>
        <v>290</v>
      </c>
      <c r="AD273" s="717">
        <f>IF(Year5_Torbay Year5_CP_Plans_became_subject="","",Year5_Torbay Year5_CP_Plans_became_subject)</f>
        <v>244</v>
      </c>
      <c r="AE273" s="721" t="str">
        <f t="shared" si="100"/>
        <v>Torbay</v>
      </c>
      <c r="AF273" s="719">
        <f>IF(Year1_Torbay Year1_CP_Plans_became_subject_second="","",Year1_Torbay Year1_CP_Plans_became_subject_second)</f>
        <v>39</v>
      </c>
      <c r="AG273" s="722">
        <f>IF(Year2_Torbay Year2_CP_Plans_became_subject_second="","",Year2_Torbay Year2_CP_Plans_became_subject_second)</f>
        <v>62</v>
      </c>
      <c r="AH273" s="722">
        <f>IF(Year3_Torbay Year3_CP_Plans_became_subject_second="","",Year3_Torbay Year3_CP_Plans_became_subject_second)</f>
        <v>63</v>
      </c>
      <c r="AI273" s="722">
        <f>IF(Year4_Torbay Year4_CP_Plans_became_subject_second="","",Year4_Torbay Year4_CP_Plans_became_subject_second)</f>
        <v>78</v>
      </c>
      <c r="AJ273" s="722">
        <f>IF(Year5_Torbay Year5_CP_Plans_became_subject_second="","",Year5_Torbay Year5_CP_Plans_became_subject_second)</f>
        <v>77</v>
      </c>
      <c r="AK273" s="156"/>
    </row>
    <row r="274" spans="1:46" s="89" customFormat="1" ht="12.75" customHeight="1" x14ac:dyDescent="0.2">
      <c r="A274" s="462">
        <f>VLOOKUP(B274,Sheet1!$AQ$4:$AR$25,2,FALSE)</f>
        <v>0</v>
      </c>
      <c r="B274" s="95" t="str">
        <f t="shared" si="93"/>
        <v>West Berkshire</v>
      </c>
      <c r="C274" s="87"/>
      <c r="D274" s="158">
        <f t="shared" si="98"/>
        <v>0.19883040935672514</v>
      </c>
      <c r="E274" s="158">
        <f t="shared" si="94"/>
        <v>0.10784313725490197</v>
      </c>
      <c r="F274" s="158">
        <f t="shared" si="95"/>
        <v>0.22748815165876776</v>
      </c>
      <c r="G274" s="158">
        <f t="shared" si="96"/>
        <v>0.18181818181818182</v>
      </c>
      <c r="H274" s="160">
        <f t="shared" si="97"/>
        <v>0.24752475247524752</v>
      </c>
      <c r="I274" s="98"/>
      <c r="J274" s="98"/>
      <c r="K274" s="162"/>
      <c r="L274" s="162"/>
      <c r="M274" s="162"/>
      <c r="N274" s="162"/>
      <c r="O274" s="162"/>
      <c r="P274" s="162"/>
      <c r="Q274" s="162"/>
      <c r="R274" s="163"/>
      <c r="S274" s="155"/>
      <c r="T274" s="155"/>
      <c r="U274" s="162"/>
      <c r="V274" s="124"/>
      <c r="W274" s="140"/>
      <c r="X274" s="149"/>
      <c r="Y274" s="717" t="str">
        <f t="shared" si="99"/>
        <v>West Berkshire</v>
      </c>
      <c r="Z274" s="718">
        <f>IF(Year1_West_Berkshire Year1_CP_Plans_became_subject="","",Year1_West_Berkshire Year1_CP_Plans_became_subject)</f>
        <v>171</v>
      </c>
      <c r="AA274" s="722">
        <f>IF(Year2_West_Berkshire Year2_CP_Plans_became_subject="","",Year2_West_Berkshire Year2_CP_Plans_became_subject)</f>
        <v>204</v>
      </c>
      <c r="AB274" s="722">
        <f>IF(Year3_West_Berkshire Year3_CP_Plans_became_subject="","",Year3_West_Berkshire Year3_CP_Plans_became_subject)</f>
        <v>211</v>
      </c>
      <c r="AC274" s="722">
        <f>IF(Year4_West_Berkshire Year4_CP_Plans_became_subject="","",Year4_West_Berkshire Year4_CP_Plans_became_subject)</f>
        <v>242</v>
      </c>
      <c r="AD274" s="422">
        <f>IF(Year5_West_Berkshire Year5_CP_Plans_became_subject="","",Year5_West_Berkshire Year5_CP_Plans_became_subject)</f>
        <v>202</v>
      </c>
      <c r="AE274" s="721" t="str">
        <f t="shared" si="100"/>
        <v>West Berkshire</v>
      </c>
      <c r="AF274" s="719">
        <f>IF(Year1_West_Berkshire Year1_CP_Plans_became_subject_second="","",Year1_West_Berkshire Year1_CP_Plans_became_subject_second)</f>
        <v>34</v>
      </c>
      <c r="AG274" s="722">
        <f>IF(Year2_West_Berkshire Year2_CP_Plans_became_subject_second="","",Year2_West_Berkshire Year2_CP_Plans_became_subject_second)</f>
        <v>22</v>
      </c>
      <c r="AH274" s="722">
        <f>IF(Year3_West_Berkshire Year3_CP_Plans_became_subject_second="","",Year3_West_Berkshire Year3_CP_Plans_became_subject_second)</f>
        <v>48</v>
      </c>
      <c r="AI274" s="722">
        <f>IF(Year4_West_Berkshire Year4_CP_Plans_became_subject_second="","",Year4_West_Berkshire Year4_CP_Plans_became_subject_second)</f>
        <v>44</v>
      </c>
      <c r="AJ274" s="554">
        <f>IF(Year5_West_Berkshire Year5_CP_Plans_became_subject_second="","",Year5_West_Berkshire Year5_CP_Plans_became_subject_second)</f>
        <v>50</v>
      </c>
      <c r="AK274" s="157"/>
    </row>
    <row r="275" spans="1:46" s="89" customFormat="1" ht="12.75" customHeight="1" x14ac:dyDescent="0.2">
      <c r="A275" s="462">
        <f>VLOOKUP(B275,Sheet1!$AQ$4:$AR$25,2,FALSE)</f>
        <v>0</v>
      </c>
      <c r="B275" s="95" t="str">
        <f t="shared" si="93"/>
        <v>West Sussex</v>
      </c>
      <c r="C275" s="87"/>
      <c r="D275" s="158">
        <f t="shared" si="98"/>
        <v>0.22770919067215364</v>
      </c>
      <c r="E275" s="158">
        <f t="shared" si="94"/>
        <v>0.22794117647058823</v>
      </c>
      <c r="F275" s="158">
        <f t="shared" si="95"/>
        <v>0.22748815165876776</v>
      </c>
      <c r="G275" s="158">
        <f t="shared" si="96"/>
        <v>0.2437759336099585</v>
      </c>
      <c r="H275" s="160">
        <f t="shared" si="97"/>
        <v>0.22481572481572482</v>
      </c>
      <c r="I275" s="98"/>
      <c r="J275" s="98"/>
      <c r="K275" s="162"/>
      <c r="L275" s="162"/>
      <c r="M275" s="162"/>
      <c r="N275" s="162"/>
      <c r="O275" s="162"/>
      <c r="P275" s="162"/>
      <c r="Q275" s="162"/>
      <c r="R275" s="163"/>
      <c r="S275" s="155"/>
      <c r="T275" s="155"/>
      <c r="U275" s="162"/>
      <c r="V275" s="124"/>
      <c r="W275" s="140"/>
      <c r="X275" s="149"/>
      <c r="Y275" s="717" t="str">
        <f t="shared" si="99"/>
        <v>West Sussex</v>
      </c>
      <c r="Z275" s="718">
        <f>IF(Year1_West_Sussex Year1_CP_Plans_became_subject="","",Year1_West_Sussex Year1_CP_Plans_became_subject)</f>
        <v>729</v>
      </c>
      <c r="AA275" s="722">
        <f>IF(Year2_West_Sussex Year2_CP_Plans_became_subject="","",Year2_West_Sussex Year2_CP_Plans_became_subject)</f>
        <v>544</v>
      </c>
      <c r="AB275" s="722">
        <f>IF(Year3_West_Sussex Year3_CP_Plans_became_subject="","",Year3_West_Sussex Year3_CP_Plans_became_subject)</f>
        <v>633</v>
      </c>
      <c r="AC275" s="722">
        <f>IF(Year4_West_Sussex Year4_CP_Plans_became_subject="","",Year4_West_Sussex Year4_CP_Plans_became_subject)</f>
        <v>964</v>
      </c>
      <c r="AD275" s="422">
        <f>IF(Year5_West_Sussex Year5_CP_Plans_became_subject="","",Year5_West_Sussex Year5_CP_Plans_became_subject)</f>
        <v>814</v>
      </c>
      <c r="AE275" s="721" t="str">
        <f t="shared" si="100"/>
        <v>West Sussex</v>
      </c>
      <c r="AF275" s="719">
        <f>IF(Year1_West_Sussex Year1_CP_Plans_became_subject_second="","",Year1_West_Sussex Year1_CP_Plans_became_subject_second)</f>
        <v>166</v>
      </c>
      <c r="AG275" s="722">
        <f>IF(Year2_West_Sussex Year2_CP_Plans_became_subject_second="","",Year2_West_Sussex Year2_CP_Plans_became_subject_second)</f>
        <v>124</v>
      </c>
      <c r="AH275" s="722">
        <f>IF(Year3_West_Sussex Year3_CP_Plans_became_subject_second="","",Year3_West_Sussex Year3_CP_Plans_became_subject_second)</f>
        <v>144</v>
      </c>
      <c r="AI275" s="722">
        <f>IF(Year4_West_Sussex Year4_CP_Plans_became_subject_second="","",Year4_West_Sussex Year4_CP_Plans_became_subject_second)</f>
        <v>235</v>
      </c>
      <c r="AJ275" s="554">
        <f>IF(Year5_West_Sussex Year5_CP_Plans_became_subject_second="","",Year5_West_Sussex Year5_CP_Plans_became_subject_second)</f>
        <v>183</v>
      </c>
      <c r="AK275" s="156"/>
    </row>
    <row r="276" spans="1:46" s="89" customFormat="1" ht="12.75" customHeight="1" x14ac:dyDescent="0.2">
      <c r="A276" s="462">
        <f>VLOOKUP(B276,Sheet1!$AQ$4:$AR$25,2,FALSE)</f>
        <v>0</v>
      </c>
      <c r="B276" s="95" t="str">
        <f t="shared" si="93"/>
        <v>Windsor &amp; Maidenhead</v>
      </c>
      <c r="C276" s="87"/>
      <c r="D276" s="158">
        <f t="shared" si="98"/>
        <v>0.11235955056179775</v>
      </c>
      <c r="E276" s="158">
        <f t="shared" si="94"/>
        <v>0.13714285714285715</v>
      </c>
      <c r="F276" s="158">
        <f t="shared" si="95"/>
        <v>0.30813953488372092</v>
      </c>
      <c r="G276" s="158">
        <f t="shared" si="96"/>
        <v>0.20634920634920634</v>
      </c>
      <c r="H276" s="160">
        <f t="shared" si="97"/>
        <v>0.11956521739130435</v>
      </c>
      <c r="I276" s="98"/>
      <c r="J276" s="98"/>
      <c r="K276" s="162"/>
      <c r="L276" s="162"/>
      <c r="M276" s="162"/>
      <c r="N276" s="162"/>
      <c r="O276" s="162"/>
      <c r="P276" s="162"/>
      <c r="Q276" s="162"/>
      <c r="R276" s="163"/>
      <c r="S276" s="155"/>
      <c r="T276" s="155"/>
      <c r="U276" s="162"/>
      <c r="V276" s="124"/>
      <c r="W276" s="140"/>
      <c r="X276" s="149"/>
      <c r="Y276" s="717" t="str">
        <f t="shared" si="99"/>
        <v>Windsor &amp; Maidenhead</v>
      </c>
      <c r="Z276" s="718">
        <f>IF(Year1_Windsor_Maidenhead Year1_CP_Plans_became_subject="","",Year1_Windsor_Maidenhead Year1_CP_Plans_became_subject)</f>
        <v>89</v>
      </c>
      <c r="AA276" s="722">
        <f>IF(Year2_Windsor_Maidenhead Year2_CP_Plans_became_subject="","",Year2_Windsor_Maidenhead Year2_CP_Plans_became_subject)</f>
        <v>175</v>
      </c>
      <c r="AB276" s="722">
        <f>IF(Year3_Windsor_Maidenhead Year3_CP_Plans_became_subject="","",Year3_Windsor_Maidenhead Year3_CP_Plans_became_subject)</f>
        <v>172</v>
      </c>
      <c r="AC276" s="722">
        <f>IF(Year4_Windsor_Maidenhead Year4_CP_Plans_became_subject="","",Year4_Windsor_Maidenhead Year4_CP_Plans_became_subject)</f>
        <v>126</v>
      </c>
      <c r="AD276" s="422">
        <f>IF(Year5_Windsor_Maidenhead Year5_CP_Plans_became_subject="","",Year5_Windsor_Maidenhead Year5_CP_Plans_became_subject)</f>
        <v>92</v>
      </c>
      <c r="AE276" s="721" t="str">
        <f t="shared" si="100"/>
        <v>Windsor &amp; Maidenhead</v>
      </c>
      <c r="AF276" s="719">
        <f>IF(Year1_Windsor_Maidenhead Year1_CP_Plans_became_subject_second="","",Year1_Windsor_Maidenhead Year1_CP_Plans_became_subject_second)</f>
        <v>10</v>
      </c>
      <c r="AG276" s="722">
        <f>IF(Year2_Windsor_Maidenhead Year2_CP_Plans_became_subject_second="","",Year2_Windsor_Maidenhead Year2_CP_Plans_became_subject_second)</f>
        <v>24</v>
      </c>
      <c r="AH276" s="722">
        <f>IF(Year3_Windsor_Maidenhead Year3_CP_Plans_became_subject_second="","",Year3_Windsor_Maidenhead Year3_CP_Plans_became_subject_second)</f>
        <v>53</v>
      </c>
      <c r="AI276" s="722">
        <f>IF(Year4_Windsor_Maidenhead Year4_CP_Plans_became_subject_second="","",Year4_Windsor_Maidenhead Year4_CP_Plans_became_subject_second)</f>
        <v>26</v>
      </c>
      <c r="AJ276" s="554">
        <f>IF(Year5_Windsor_Maidenhead Year5_CP_Plans_became_subject_second="","",Year5_Windsor_Maidenhead Year5_CP_Plans_became_subject_second)</f>
        <v>11</v>
      </c>
      <c r="AK276" s="157"/>
    </row>
    <row r="277" spans="1:46" s="89" customFormat="1" ht="12.75" customHeight="1" x14ac:dyDescent="0.2">
      <c r="A277" s="462">
        <f>VLOOKUP(B277,Sheet1!$AQ$4:$AR$25,2,FALSE)</f>
        <v>0</v>
      </c>
      <c r="B277" s="95" t="str">
        <f t="shared" si="93"/>
        <v>Wokingham</v>
      </c>
      <c r="C277" s="87"/>
      <c r="D277" s="158">
        <f t="shared" si="98"/>
        <v>0.16393442622950818</v>
      </c>
      <c r="E277" s="158">
        <f t="shared" si="94"/>
        <v>0.14912280701754385</v>
      </c>
      <c r="F277" s="158">
        <f t="shared" si="95"/>
        <v>0.32558139534883723</v>
      </c>
      <c r="G277" s="158">
        <f t="shared" si="96"/>
        <v>0.24</v>
      </c>
      <c r="H277" s="160">
        <f t="shared" si="97"/>
        <v>0.14795918367346939</v>
      </c>
      <c r="I277" s="98"/>
      <c r="J277" s="98"/>
      <c r="K277" s="162"/>
      <c r="L277" s="162"/>
      <c r="M277" s="162"/>
      <c r="N277" s="162"/>
      <c r="O277" s="162"/>
      <c r="P277" s="162"/>
      <c r="Q277" s="162"/>
      <c r="R277" s="163"/>
      <c r="S277" s="155"/>
      <c r="T277" s="155"/>
      <c r="U277" s="162"/>
      <c r="V277" s="124"/>
      <c r="W277" s="140"/>
      <c r="X277" s="149"/>
      <c r="Y277" s="717" t="str">
        <f t="shared" si="99"/>
        <v>Wokingham</v>
      </c>
      <c r="Z277" s="718">
        <f>IF(Year1_Wokingham Year1_CP_Plans_became_subject="","",Year1_Wokingham Year1_CP_Plans_became_subject)</f>
        <v>61</v>
      </c>
      <c r="AA277" s="722">
        <f>IF(Year2_Wokingham Year2_CP_Plans_became_subject="","",Year2_Wokingham Year2_CP_Plans_became_subject)</f>
        <v>114</v>
      </c>
      <c r="AB277" s="722">
        <f>IF(Year3_Wokingham Year3_CP_Plans_became_subject="","",Year3_Wokingham Year3_CP_Plans_became_subject)</f>
        <v>86</v>
      </c>
      <c r="AC277" s="722">
        <f>IF(Year4_Wokingham Year4_CP_Plans_became_subject="","",Year4_Wokingham Year4_CP_Plans_became_subject)</f>
        <v>150</v>
      </c>
      <c r="AD277" s="422">
        <f>IF(Year5_Wokingham Year5_CP_Plans_became_subject="","",Year5_Wokingham Year5_CP_Plans_became_subject)</f>
        <v>196</v>
      </c>
      <c r="AE277" s="721" t="str">
        <f t="shared" si="100"/>
        <v>Wokingham</v>
      </c>
      <c r="AF277" s="719">
        <f>IF(Year1_Wokingham Year1_CP_Plans_became_subject_second="","",Year1_Wokingham Year1_CP_Plans_became_subject_second)</f>
        <v>10</v>
      </c>
      <c r="AG277" s="722">
        <f>IF(Year2_Wokingham Year2_CP_Plans_became_subject_second="","",Year2_Wokingham Year2_CP_Plans_became_subject_second)</f>
        <v>17</v>
      </c>
      <c r="AH277" s="722">
        <f>IF(Year3_Wokingham Year3_CP_Plans_became_subject_second="","",Year3_Wokingham Year3_CP_Plans_became_subject_second)</f>
        <v>28</v>
      </c>
      <c r="AI277" s="722">
        <f>IF(Year4_Wokingham Year4_CP_Plans_became_subject_second="","",Year4_Wokingham Year4_CP_Plans_became_subject_second)</f>
        <v>36</v>
      </c>
      <c r="AJ277" s="554">
        <f>IF(Year5_Wokingham Year5_CP_Plans_became_subject_second="","",Year5_Wokingham Year5_CP_Plans_became_subject_second)</f>
        <v>29</v>
      </c>
      <c r="AK277" s="156"/>
    </row>
    <row r="278" spans="1:46" s="89" customFormat="1" ht="12.75" customHeight="1" x14ac:dyDescent="0.2">
      <c r="A278" s="123"/>
      <c r="B278" s="131" t="str">
        <f t="shared" si="93"/>
        <v>South East</v>
      </c>
      <c r="C278" s="87"/>
      <c r="D278" s="159">
        <f t="shared" si="98"/>
        <v>0.17023445463812437</v>
      </c>
      <c r="E278" s="159">
        <f t="shared" si="94"/>
        <v>0.20675537359263049</v>
      </c>
      <c r="F278" s="159">
        <f t="shared" si="95"/>
        <v>0.2223360655737705</v>
      </c>
      <c r="G278" s="159">
        <f t="shared" si="96"/>
        <v>0.22592945662535749</v>
      </c>
      <c r="H278" s="161">
        <f t="shared" si="97"/>
        <v>0.21078921078921078</v>
      </c>
      <c r="I278" s="98"/>
      <c r="J278" s="98"/>
      <c r="K278" s="164"/>
      <c r="L278" s="164"/>
      <c r="M278" s="164"/>
      <c r="N278" s="164"/>
      <c r="O278" s="164"/>
      <c r="P278" s="164"/>
      <c r="Q278" s="164"/>
      <c r="R278" s="165"/>
      <c r="S278" s="155"/>
      <c r="T278" s="155"/>
      <c r="U278" s="166"/>
      <c r="V278" s="124"/>
      <c r="W278" s="140"/>
      <c r="X278" s="149"/>
      <c r="Y278" s="717" t="str">
        <f t="shared" si="99"/>
        <v>South East</v>
      </c>
      <c r="Z278" s="721">
        <f>IF(Year1_SouthEast Year1_CP_Plans_became_subject="","",Year1_SouthEast Year1_CP_Plans_became_subject)</f>
        <v>9810</v>
      </c>
      <c r="AA278" s="722">
        <f>IF(Year2_SouthEast Year2_CP_Plans_became_subject="","",Year2_SouthEast Year2_CP_Plans_became_subject)</f>
        <v>9770</v>
      </c>
      <c r="AB278" s="722">
        <f>IF(Year3_SouthEast Year3_CP_Plans_became_subject="","",Year3_SouthEast Year3_CP_Plans_became_subject)</f>
        <v>9760</v>
      </c>
      <c r="AC278" s="722">
        <f>IF(Year4_SouthEast Year4_CP_Plans_became_subject="","",Year4_SouthEast Year4_CP_Plans_became_subject)</f>
        <v>10490</v>
      </c>
      <c r="AD278" s="717">
        <f>IF(Year5_SouthEast Year5_CP_Plans_became_subject="","",Year5_SouthEast Year5_CP_Plans_became_subject)</f>
        <v>10010</v>
      </c>
      <c r="AE278" s="721" t="str">
        <f t="shared" si="100"/>
        <v>South East</v>
      </c>
      <c r="AF278" s="722">
        <f>IF(Year1_SouthEast Year1_CP_Plans_became_subject_second="","",Year1_SouthEast Year1_CP_Plans_became_subject_second)</f>
        <v>1670</v>
      </c>
      <c r="AG278" s="722">
        <f>IF(Year2_SouthEast Year2_CP_Plans_became_subject_second="","",Year2_SouthEast Year2_CP_Plans_became_subject_second)</f>
        <v>2020</v>
      </c>
      <c r="AH278" s="722">
        <f>IF(Year3_SouthEast Year3_CP_Plans_became_subject_second="","",Year3_SouthEast Year3_CP_Plans_became_subject_second)</f>
        <v>2170</v>
      </c>
      <c r="AI278" s="722">
        <f>IF(Year4_SouthEast Year4_CP_Plans_became_subject_second="","",Year4_SouthEast Year4_CP_Plans_became_subject_second)</f>
        <v>2370</v>
      </c>
      <c r="AJ278" s="722">
        <f>IF(Year5_SouthEast Year5_CP_Plans_became_subject_second="","",Year5_SouthEast Year5_CP_Plans_became_subject_second)</f>
        <v>2110</v>
      </c>
      <c r="AK278" s="157"/>
    </row>
    <row r="279" spans="1:46" s="89" customFormat="1" ht="12.75" customHeight="1" x14ac:dyDescent="0.2">
      <c r="A279" s="123"/>
      <c r="B279" s="318" t="str">
        <f t="shared" si="93"/>
        <v>England</v>
      </c>
      <c r="C279" s="87"/>
      <c r="D279" s="344">
        <f t="shared" si="98"/>
        <v>0.16572898247870119</v>
      </c>
      <c r="E279" s="344">
        <f t="shared" si="94"/>
        <v>0.17927657558047702</v>
      </c>
      <c r="F279" s="344">
        <f t="shared" si="95"/>
        <v>0.18702002710435175</v>
      </c>
      <c r="G279" s="344">
        <f t="shared" si="96"/>
        <v>0.20212301875817945</v>
      </c>
      <c r="H279" s="345">
        <f t="shared" si="97"/>
        <v>0.20785842831433712</v>
      </c>
      <c r="I279" s="98"/>
      <c r="J279" s="98"/>
      <c r="K279" s="164"/>
      <c r="L279" s="164"/>
      <c r="M279" s="164"/>
      <c r="N279" s="164"/>
      <c r="O279" s="164"/>
      <c r="P279" s="164"/>
      <c r="Q279" s="164"/>
      <c r="R279" s="165"/>
      <c r="S279" s="155"/>
      <c r="T279" s="155"/>
      <c r="U279" s="166"/>
      <c r="V279" s="124"/>
      <c r="W279" s="140"/>
      <c r="X279" s="149"/>
      <c r="Y279" s="717" t="str">
        <f t="shared" si="99"/>
        <v>England</v>
      </c>
      <c r="Z279" s="723">
        <f>IF(Year1_England Year1_CP_Plans_became_subject="","",Year1_England Year1_CP_Plans_became_subject)</f>
        <v>62210</v>
      </c>
      <c r="AA279" s="724">
        <f>IF(Year2_England Year2_CP_Plans_became_subject="","",Year2_England Year2_CP_Plans_became_subject)</f>
        <v>63310</v>
      </c>
      <c r="AB279" s="722">
        <f>IF(Year3_England Year3_CP_Plans_became_subject="","",Year3_England Year3_CP_Plans_became_subject)</f>
        <v>66410</v>
      </c>
      <c r="AC279" s="722">
        <f>IF(Year4_England Year4_CP_Plans_became_subject="","",Year4_England Year4_CP_Plans_became_subject)</f>
        <v>68770</v>
      </c>
      <c r="AD279" s="422">
        <f>IF(Year5_England Year5_CP_Plans_became_subject="","",Year5_England Year5_CP_Plans_became_subject)</f>
        <v>66680</v>
      </c>
      <c r="AE279" s="721" t="str">
        <f t="shared" si="100"/>
        <v>England</v>
      </c>
      <c r="AF279" s="724">
        <f>IF(Year1_England Year1_CP_Plans_became_subject_second="","",Year1_England Year1_CP_Plans_became_subject_second)</f>
        <v>10310</v>
      </c>
      <c r="AG279" s="724">
        <f>IF(Year2_England Year2_CP_Plans_became_subject_second="","",Year2_England Year2_CP_Plans_became_subject_second)</f>
        <v>11350</v>
      </c>
      <c r="AH279" s="722">
        <f>IF(Year3_England Year3_CP_Plans_became_subject_second="","",Year3_England Year3_CP_Plans_became_subject_second)</f>
        <v>12420</v>
      </c>
      <c r="AI279" s="722">
        <f>IF(Year4_England Year4_CP_Plans_became_subject_second="","",Year4_England Year4_CP_Plans_became_subject_second)</f>
        <v>13900</v>
      </c>
      <c r="AJ279" s="554">
        <f>IF(Year5_England Year5_CP_Plans_became_subject_second="","",Year5_England Year5_CP_Plans_became_subject_second)</f>
        <v>13860</v>
      </c>
      <c r="AK279" s="156"/>
    </row>
    <row r="280" spans="1:46" s="89" customFormat="1" ht="7.5" customHeight="1" x14ac:dyDescent="0.2">
      <c r="A280" s="286"/>
      <c r="B280" s="98"/>
      <c r="C280" s="98"/>
      <c r="D280" s="98"/>
      <c r="E280" s="98"/>
      <c r="F280" s="98"/>
      <c r="G280" s="98"/>
      <c r="H280" s="98"/>
      <c r="I280" s="98"/>
      <c r="J280" s="98"/>
      <c r="K280" s="164"/>
      <c r="L280" s="164"/>
      <c r="M280" s="164"/>
      <c r="N280" s="164"/>
      <c r="O280" s="164"/>
      <c r="P280" s="164"/>
      <c r="Q280" s="164"/>
      <c r="R280" s="165"/>
      <c r="S280" s="155"/>
      <c r="T280" s="155"/>
      <c r="U280" s="166"/>
      <c r="V280" s="124"/>
      <c r="W280" s="140"/>
      <c r="X280" s="149"/>
      <c r="Y280" s="83"/>
      <c r="Z280" s="83"/>
      <c r="AA280" s="191"/>
      <c r="AB280" s="191"/>
      <c r="AC280" s="192"/>
      <c r="AD280" s="192"/>
      <c r="AE280" s="194"/>
      <c r="AF280" s="199"/>
      <c r="AG280" s="199"/>
      <c r="AH280" s="199"/>
      <c r="AI280" s="185"/>
      <c r="AJ280" s="199"/>
      <c r="AK280" s="156"/>
    </row>
    <row r="281" spans="1:46" s="83" customFormat="1" ht="38.25" customHeight="1" x14ac:dyDescent="0.2">
      <c r="A281" s="213"/>
      <c r="B281" s="362"/>
      <c r="C281" s="362"/>
      <c r="D281" s="362"/>
      <c r="E281" s="362"/>
      <c r="F281" s="362"/>
      <c r="G281" s="362"/>
      <c r="H281" s="362"/>
      <c r="I281" s="362"/>
      <c r="J281" s="168"/>
      <c r="K281" s="168"/>
      <c r="L281" s="168"/>
      <c r="M281" s="168"/>
      <c r="N281" s="168"/>
      <c r="O281" s="168"/>
      <c r="P281" s="168"/>
      <c r="Q281" s="168"/>
      <c r="R281" s="137"/>
      <c r="S281" s="168"/>
      <c r="T281" s="168"/>
      <c r="U281" s="168"/>
      <c r="V281" s="119"/>
      <c r="W281" s="138"/>
      <c r="X281" s="147"/>
      <c r="AD281" s="192"/>
      <c r="AE281" s="194"/>
      <c r="AF281" s="179"/>
      <c r="AG281" s="179"/>
      <c r="AH281" s="179"/>
      <c r="AJ281" s="179"/>
      <c r="AK281" s="157"/>
    </row>
    <row r="282" spans="1:46" s="83" customFormat="1" ht="39" customHeight="1" x14ac:dyDescent="0.2">
      <c r="A282" s="213"/>
      <c r="B282" s="362"/>
      <c r="C282" s="362"/>
      <c r="D282" s="362"/>
      <c r="E282" s="362"/>
      <c r="F282" s="362"/>
      <c r="G282" s="362"/>
      <c r="H282" s="362"/>
      <c r="I282" s="362"/>
      <c r="J282" s="168"/>
      <c r="K282" s="168"/>
      <c r="L282" s="168"/>
      <c r="M282" s="168"/>
      <c r="N282" s="168"/>
      <c r="O282" s="168"/>
      <c r="P282" s="168"/>
      <c r="Q282" s="168"/>
      <c r="R282" s="137"/>
      <c r="S282" s="168"/>
      <c r="T282" s="168"/>
      <c r="U282" s="168"/>
      <c r="V282" s="119"/>
      <c r="W282" s="138"/>
      <c r="X282" s="147"/>
      <c r="Z282" s="185"/>
      <c r="AE282" s="194"/>
      <c r="AF282" s="179"/>
      <c r="AG282" s="179"/>
      <c r="AH282" s="179"/>
      <c r="AJ282" s="179"/>
      <c r="AK282" s="157"/>
    </row>
    <row r="283" spans="1:46" s="83" customFormat="1" ht="38.25" customHeight="1" x14ac:dyDescent="0.2">
      <c r="A283" s="213"/>
      <c r="B283" s="362"/>
      <c r="C283" s="362"/>
      <c r="D283" s="362"/>
      <c r="E283" s="362"/>
      <c r="F283" s="362"/>
      <c r="G283" s="362"/>
      <c r="H283" s="362"/>
      <c r="I283" s="362"/>
      <c r="J283" s="168"/>
      <c r="K283" s="168"/>
      <c r="L283" s="168"/>
      <c r="M283" s="168"/>
      <c r="N283" s="168"/>
      <c r="O283" s="168"/>
      <c r="P283" s="168"/>
      <c r="Q283" s="168"/>
      <c r="R283" s="137"/>
      <c r="S283" s="168"/>
      <c r="T283" s="168"/>
      <c r="U283" s="168"/>
      <c r="V283" s="119"/>
      <c r="W283" s="138"/>
      <c r="X283" s="147"/>
      <c r="Z283" s="185"/>
      <c r="AE283" s="194"/>
      <c r="AF283" s="179"/>
      <c r="AG283" s="179"/>
      <c r="AH283" s="179"/>
      <c r="AJ283" s="179"/>
      <c r="AK283" s="157"/>
    </row>
    <row r="284" spans="1:46" s="83" customFormat="1" ht="7.5" customHeight="1" x14ac:dyDescent="0.2">
      <c r="A284" s="120"/>
      <c r="B284" s="18"/>
      <c r="C284" s="18"/>
      <c r="D284" s="17"/>
      <c r="E284" s="17"/>
      <c r="F284" s="17"/>
      <c r="G284" s="17"/>
      <c r="H284" s="17"/>
      <c r="I284" s="17"/>
      <c r="J284" s="13"/>
      <c r="K284" s="19"/>
      <c r="L284" s="19"/>
      <c r="M284" s="19"/>
      <c r="N284" s="19"/>
      <c r="O284" s="19"/>
      <c r="P284" s="19"/>
      <c r="Q284" s="19"/>
      <c r="R284" s="19"/>
      <c r="S284" s="19"/>
      <c r="T284" s="19"/>
      <c r="U284" s="20"/>
      <c r="V284" s="119"/>
      <c r="W284" s="138"/>
      <c r="X284" s="147"/>
      <c r="Z284" s="185"/>
      <c r="AJ284" s="179"/>
      <c r="AK284" s="153"/>
      <c r="AL284" s="76"/>
      <c r="AM284" s="76"/>
      <c r="AN284" s="76"/>
      <c r="AO284" s="76"/>
      <c r="AP284" s="76"/>
      <c r="AQ284" s="76"/>
      <c r="AR284" s="76"/>
    </row>
    <row r="285" spans="1:46" s="83" customFormat="1" ht="15" customHeight="1" x14ac:dyDescent="0.2">
      <c r="A285" s="1399"/>
      <c r="B285" s="1421"/>
      <c r="C285" s="1421"/>
      <c r="D285" s="1421"/>
      <c r="E285" s="1421"/>
      <c r="F285" s="1421"/>
      <c r="G285" s="1421"/>
      <c r="H285" s="1421"/>
      <c r="I285" s="1421"/>
      <c r="J285" s="1421"/>
      <c r="K285" s="1421"/>
      <c r="L285" s="1421"/>
      <c r="M285" s="1421"/>
      <c r="N285" s="1421"/>
      <c r="O285" s="1421"/>
      <c r="P285" s="1421"/>
      <c r="Q285" s="1421"/>
      <c r="R285" s="1421"/>
      <c r="S285" s="1421"/>
      <c r="T285" s="1421"/>
      <c r="U285" s="1421"/>
      <c r="V285" s="1422"/>
      <c r="W285" s="138"/>
      <c r="X285" s="147"/>
      <c r="AK285" s="157"/>
      <c r="AT285" s="76"/>
    </row>
    <row r="286" spans="1:46" s="83" customFormat="1" ht="11.25" customHeight="1" x14ac:dyDescent="0.2">
      <c r="A286" s="1428" t="str">
        <f>Home!$A$40</f>
        <v>LA's provide quarterly data on the condition that it is used by the benchmarking group for internal reporting only. Please DO NOT share other LA's data with any external partners or the public</v>
      </c>
      <c r="B286" s="1429"/>
      <c r="C286" s="1429"/>
      <c r="D286" s="1429"/>
      <c r="E286" s="1429"/>
      <c r="F286" s="1429"/>
      <c r="G286" s="1429"/>
      <c r="H286" s="1429"/>
      <c r="I286" s="1430"/>
      <c r="J286" s="1429"/>
      <c r="K286" s="1429"/>
      <c r="L286" s="1429"/>
      <c r="M286" s="1429"/>
      <c r="N286" s="1429"/>
      <c r="O286" s="1429"/>
      <c r="P286" s="1431"/>
      <c r="Q286" s="1429"/>
      <c r="R286" s="1429"/>
      <c r="S286" s="1429"/>
      <c r="T286" s="1430"/>
      <c r="U286" s="1429"/>
      <c r="V286" s="1432"/>
      <c r="W286" s="138"/>
      <c r="X286" s="147"/>
      <c r="AJ286" s="179"/>
      <c r="AK286" s="156"/>
      <c r="AL286" s="89"/>
      <c r="AT286" s="76"/>
    </row>
    <row r="287" spans="1:46" ht="11.25" customHeight="1" x14ac:dyDescent="0.2">
      <c r="A287" s="141"/>
      <c r="B287" s="1109"/>
      <c r="C287" s="9"/>
      <c r="D287" s="9"/>
      <c r="E287" s="9"/>
      <c r="F287" s="9"/>
      <c r="G287" s="9"/>
      <c r="H287" s="9"/>
      <c r="I287" s="9"/>
      <c r="J287" s="13"/>
      <c r="K287" s="9"/>
      <c r="L287" s="9"/>
      <c r="M287" s="9"/>
      <c r="N287" s="9"/>
      <c r="O287" s="9"/>
      <c r="P287" s="9"/>
      <c r="Q287" s="9"/>
      <c r="R287" s="9"/>
      <c r="S287" s="9"/>
      <c r="T287" s="9"/>
      <c r="U287" s="11"/>
      <c r="V287" s="11"/>
      <c r="W287" s="1311"/>
      <c r="X287" s="12"/>
      <c r="Y287" s="12"/>
      <c r="Z287" s="12"/>
      <c r="AA287" s="12"/>
      <c r="AB287" s="12"/>
      <c r="AC287" s="241"/>
      <c r="AF287" s="84"/>
      <c r="AI287" s="179"/>
      <c r="AJ287" s="179"/>
      <c r="AK287" s="153"/>
      <c r="AM287" s="83"/>
      <c r="AN287" s="83"/>
      <c r="AO287" s="83"/>
      <c r="AP287" s="83"/>
      <c r="AQ287" s="83"/>
      <c r="AR287" s="83"/>
    </row>
    <row r="288" spans="1:46" ht="11.25" customHeight="1" x14ac:dyDescent="0.2">
      <c r="A288" s="141"/>
      <c r="B288" s="1109"/>
      <c r="C288" s="9"/>
      <c r="D288" s="9"/>
      <c r="E288" s="9"/>
      <c r="F288" s="9"/>
      <c r="G288" s="9"/>
      <c r="H288" s="9"/>
      <c r="I288" s="9"/>
      <c r="J288" s="13"/>
      <c r="K288" s="9"/>
      <c r="L288" s="9"/>
      <c r="M288" s="9"/>
      <c r="N288" s="9"/>
      <c r="O288" s="9"/>
      <c r="P288" s="9"/>
      <c r="Q288" s="9"/>
      <c r="R288" s="9"/>
      <c r="S288" s="9"/>
      <c r="T288" s="9"/>
      <c r="U288" s="11"/>
      <c r="V288" s="11"/>
      <c r="W288" s="11"/>
      <c r="X288" s="12"/>
      <c r="Y288" s="12"/>
      <c r="Z288" s="12"/>
      <c r="AA288" s="12"/>
      <c r="AB288" s="12"/>
      <c r="AC288" s="241"/>
      <c r="AF288" s="84"/>
      <c r="AI288" s="179"/>
      <c r="AJ288" s="179"/>
      <c r="AK288" s="153"/>
      <c r="AM288" s="83"/>
      <c r="AN288" s="83"/>
      <c r="AO288" s="83"/>
      <c r="AP288" s="83"/>
      <c r="AQ288" s="83"/>
      <c r="AR288" s="83"/>
    </row>
    <row r="289" spans="1:44" ht="11.25" customHeight="1" x14ac:dyDescent="0.2">
      <c r="A289" s="141"/>
      <c r="B289" s="1367" t="s">
        <v>82</v>
      </c>
      <c r="C289" s="15"/>
      <c r="D289" s="1306"/>
      <c r="E289" s="1306"/>
      <c r="F289" s="9"/>
      <c r="G289" s="9"/>
      <c r="H289" s="9"/>
      <c r="I289" s="9"/>
      <c r="J289" s="13"/>
      <c r="K289" s="9"/>
      <c r="L289" s="9"/>
      <c r="M289" s="9"/>
      <c r="N289" s="9"/>
      <c r="O289" s="9"/>
      <c r="P289" s="9"/>
      <c r="Q289" s="9"/>
      <c r="R289" s="9"/>
      <c r="S289" s="9"/>
      <c r="T289" s="9"/>
      <c r="U289" s="11"/>
      <c r="V289" s="11"/>
      <c r="W289" s="11"/>
      <c r="X289" s="12"/>
      <c r="Y289" s="12"/>
      <c r="Z289" s="12"/>
      <c r="AA289" s="12"/>
      <c r="AB289" s="12"/>
      <c r="AC289" s="241"/>
      <c r="AF289" s="84"/>
      <c r="AI289" s="179"/>
      <c r="AJ289" s="179"/>
      <c r="AK289" s="153"/>
      <c r="AM289" s="83"/>
      <c r="AN289" s="83"/>
      <c r="AO289" s="83"/>
      <c r="AP289" s="83"/>
      <c r="AQ289" s="83"/>
      <c r="AR289" s="83"/>
    </row>
    <row r="290" spans="1:44" ht="11.25" customHeight="1" x14ac:dyDescent="0.2">
      <c r="A290" s="141"/>
      <c r="B290" s="1368"/>
      <c r="C290" s="9"/>
      <c r="D290" s="1306"/>
      <c r="E290" s="1306"/>
      <c r="F290" s="9"/>
      <c r="G290" s="9"/>
      <c r="H290" s="9"/>
      <c r="I290" s="9"/>
      <c r="J290" s="13"/>
      <c r="K290" s="9"/>
      <c r="L290" s="9"/>
      <c r="M290" s="9"/>
      <c r="N290" s="9"/>
      <c r="O290" s="9"/>
      <c r="P290" s="9"/>
      <c r="Q290" s="9"/>
      <c r="R290" s="9"/>
      <c r="S290" s="9"/>
      <c r="T290" s="9"/>
      <c r="U290" s="11"/>
      <c r="V290" s="11"/>
      <c r="W290" s="11"/>
      <c r="X290" s="12"/>
      <c r="Y290" s="12"/>
      <c r="Z290" s="12"/>
      <c r="AA290" s="12"/>
      <c r="AB290" s="12"/>
      <c r="AC290" s="241"/>
      <c r="AF290" s="84"/>
      <c r="AI290" s="179"/>
      <c r="AJ290" s="179"/>
      <c r="AK290" s="153"/>
    </row>
    <row r="291" spans="1:44" ht="11.25" customHeight="1" x14ac:dyDescent="0.2">
      <c r="A291" s="141"/>
      <c r="B291" s="1366" t="s">
        <v>806</v>
      </c>
      <c r="C291" s="1366"/>
      <c r="D291" s="1366"/>
      <c r="E291" s="1366"/>
      <c r="F291" s="9"/>
      <c r="G291" s="9"/>
      <c r="H291" s="9"/>
      <c r="I291" s="9"/>
      <c r="J291" s="13"/>
      <c r="K291" s="9"/>
      <c r="L291" s="9"/>
      <c r="M291" s="9"/>
      <c r="N291" s="9"/>
      <c r="O291" s="9"/>
      <c r="P291" s="9"/>
      <c r="Q291" s="9"/>
      <c r="R291" s="9"/>
      <c r="S291" s="9"/>
      <c r="T291" s="9"/>
      <c r="U291" s="11"/>
      <c r="V291" s="11"/>
      <c r="W291" s="11"/>
      <c r="X291" s="12"/>
      <c r="Y291" s="12"/>
      <c r="Z291" s="12"/>
      <c r="AA291" s="12"/>
      <c r="AB291" s="12"/>
      <c r="AC291" s="241"/>
      <c r="AF291" s="84"/>
      <c r="AI291" s="179"/>
      <c r="AJ291" s="179"/>
      <c r="AK291" s="153"/>
    </row>
    <row r="292" spans="1:44" ht="11.25" customHeight="1" x14ac:dyDescent="0.2">
      <c r="A292" s="141"/>
      <c r="B292" s="1366"/>
      <c r="C292" s="1366"/>
      <c r="D292" s="1366"/>
      <c r="E292" s="1366"/>
      <c r="F292" s="9"/>
      <c r="G292" s="9"/>
      <c r="H292" s="9"/>
      <c r="I292" s="9"/>
      <c r="J292" s="13"/>
      <c r="K292" s="9"/>
      <c r="L292" s="9"/>
      <c r="M292" s="9"/>
      <c r="N292" s="9"/>
      <c r="O292" s="9"/>
      <c r="P292" s="9"/>
      <c r="Q292" s="9"/>
      <c r="R292" s="9"/>
      <c r="S292" s="9"/>
      <c r="T292" s="9"/>
      <c r="U292" s="11"/>
      <c r="V292" s="11"/>
      <c r="W292" s="11"/>
      <c r="X292" s="12"/>
      <c r="Y292" s="12"/>
      <c r="Z292" s="12"/>
      <c r="AA292" s="12"/>
      <c r="AB292" s="12"/>
      <c r="AC292" s="241"/>
      <c r="AF292" s="84"/>
      <c r="AI292" s="183"/>
      <c r="AJ292" s="183"/>
      <c r="AK292" s="153"/>
    </row>
    <row r="293" spans="1:44" s="78" customFormat="1" ht="11.25" customHeight="1" x14ac:dyDescent="0.2">
      <c r="A293" s="141"/>
      <c r="B293" s="1366" t="s">
        <v>81</v>
      </c>
      <c r="C293" s="1366"/>
      <c r="D293" s="1366"/>
      <c r="E293" s="1366"/>
      <c r="F293" s="9"/>
      <c r="G293" s="9"/>
      <c r="H293" s="9"/>
      <c r="I293" s="9"/>
      <c r="J293" s="13"/>
      <c r="K293" s="9"/>
      <c r="L293" s="9"/>
      <c r="M293" s="9"/>
      <c r="N293" s="9"/>
      <c r="O293" s="9"/>
      <c r="P293" s="9"/>
      <c r="Q293" s="9"/>
      <c r="R293" s="9"/>
      <c r="S293" s="9"/>
      <c r="T293" s="9"/>
      <c r="U293" s="11"/>
      <c r="V293" s="11"/>
      <c r="W293" s="11"/>
      <c r="X293" s="12"/>
      <c r="Y293" s="12"/>
      <c r="Z293" s="12"/>
      <c r="AA293" s="12"/>
      <c r="AB293" s="12"/>
      <c r="AC293" s="241"/>
      <c r="AD293" s="83"/>
      <c r="AE293" s="83"/>
      <c r="AF293" s="84"/>
      <c r="AG293" s="83"/>
      <c r="AH293" s="83"/>
      <c r="AI293" s="179"/>
      <c r="AJ293" s="179"/>
      <c r="AK293" s="153"/>
      <c r="AL293" s="76"/>
    </row>
    <row r="294" spans="1:44" ht="11.25" customHeight="1" x14ac:dyDescent="0.2">
      <c r="A294" s="141"/>
      <c r="B294" s="1366"/>
      <c r="C294" s="1366"/>
      <c r="D294" s="1366"/>
      <c r="E294" s="1366"/>
      <c r="F294" s="9"/>
      <c r="G294" s="9"/>
      <c r="H294" s="9"/>
      <c r="I294" s="9"/>
      <c r="J294" s="13"/>
      <c r="K294" s="9"/>
      <c r="L294" s="9"/>
      <c r="M294" s="9"/>
      <c r="N294" s="9"/>
      <c r="O294" s="9"/>
      <c r="P294" s="9"/>
      <c r="Q294" s="9"/>
      <c r="R294" s="9"/>
      <c r="S294" s="9"/>
      <c r="T294" s="9"/>
      <c r="U294" s="11"/>
      <c r="V294" s="11"/>
      <c r="W294" s="11"/>
      <c r="X294" s="12"/>
      <c r="Y294" s="12"/>
      <c r="Z294" s="12"/>
      <c r="AA294" s="12"/>
      <c r="AB294" s="12"/>
      <c r="AC294" s="241"/>
      <c r="AF294" s="84"/>
      <c r="AI294" s="179"/>
      <c r="AJ294" s="179"/>
      <c r="AK294" s="153"/>
    </row>
    <row r="295" spans="1:44" ht="11.25" customHeight="1" x14ac:dyDescent="0.2">
      <c r="A295" s="141"/>
      <c r="B295" s="1366" t="s">
        <v>78</v>
      </c>
      <c r="C295" s="1366"/>
      <c r="D295" s="1366"/>
      <c r="E295" s="1366"/>
      <c r="F295" s="9"/>
      <c r="G295" s="9"/>
      <c r="H295" s="9"/>
      <c r="I295" s="9"/>
      <c r="J295" s="13"/>
      <c r="K295" s="9"/>
      <c r="L295" s="9"/>
      <c r="M295" s="9"/>
      <c r="N295" s="9"/>
      <c r="O295" s="9"/>
      <c r="P295" s="9"/>
      <c r="Q295" s="9"/>
      <c r="R295" s="9"/>
      <c r="S295" s="9"/>
      <c r="T295" s="9"/>
      <c r="U295" s="11"/>
      <c r="V295" s="11"/>
      <c r="W295" s="11"/>
      <c r="X295" s="12"/>
      <c r="Y295" s="12"/>
      <c r="Z295" s="12"/>
      <c r="AA295" s="12"/>
      <c r="AB295" s="12"/>
      <c r="AC295" s="241"/>
      <c r="AF295" s="84"/>
      <c r="AI295" s="179"/>
      <c r="AJ295" s="179"/>
      <c r="AK295" s="153"/>
    </row>
    <row r="296" spans="1:44" ht="11.25" customHeight="1" x14ac:dyDescent="0.2">
      <c r="A296" s="141"/>
      <c r="B296" s="1366"/>
      <c r="C296" s="1366"/>
      <c r="D296" s="1366"/>
      <c r="E296" s="1366"/>
      <c r="F296" s="9"/>
      <c r="G296" s="9"/>
      <c r="H296" s="9"/>
      <c r="I296" s="9"/>
      <c r="J296" s="13"/>
      <c r="K296" s="9"/>
      <c r="L296" s="9"/>
      <c r="M296" s="9"/>
      <c r="N296" s="9"/>
      <c r="O296" s="9"/>
      <c r="P296" s="9"/>
      <c r="Q296" s="9"/>
      <c r="R296" s="9"/>
      <c r="S296" s="9"/>
      <c r="T296" s="9"/>
      <c r="U296" s="11"/>
      <c r="V296" s="11"/>
      <c r="W296" s="11"/>
      <c r="X296" s="12"/>
      <c r="Y296" s="12"/>
      <c r="Z296" s="12"/>
      <c r="AA296" s="12"/>
      <c r="AB296" s="12"/>
      <c r="AC296" s="241"/>
      <c r="AF296" s="84"/>
      <c r="AI296" s="179"/>
      <c r="AJ296" s="179"/>
      <c r="AK296" s="153"/>
    </row>
    <row r="297" spans="1:44" ht="11.25" customHeight="1" x14ac:dyDescent="0.2">
      <c r="A297" s="141"/>
      <c r="B297" s="1366" t="s">
        <v>17</v>
      </c>
      <c r="C297" s="1366"/>
      <c r="D297" s="1366"/>
      <c r="E297" s="1366"/>
      <c r="F297" s="9"/>
      <c r="G297" s="9"/>
      <c r="H297" s="9"/>
      <c r="I297" s="9"/>
      <c r="J297" s="13"/>
      <c r="K297" s="9"/>
      <c r="L297" s="9"/>
      <c r="M297" s="9"/>
      <c r="N297" s="9"/>
      <c r="O297" s="9"/>
      <c r="P297" s="9"/>
      <c r="Q297" s="9"/>
      <c r="R297" s="9"/>
      <c r="S297" s="9"/>
      <c r="T297" s="9"/>
      <c r="U297" s="11"/>
      <c r="V297" s="11"/>
      <c r="W297" s="11"/>
      <c r="X297" s="12"/>
      <c r="Y297" s="12"/>
      <c r="Z297" s="12"/>
      <c r="AA297" s="12"/>
      <c r="AB297" s="12"/>
      <c r="AC297" s="241"/>
      <c r="AF297" s="84"/>
      <c r="AI297" s="179"/>
      <c r="AJ297" s="179"/>
      <c r="AK297" s="153"/>
      <c r="AL297" s="153"/>
    </row>
    <row r="298" spans="1:44" ht="11.25" customHeight="1" x14ac:dyDescent="0.2">
      <c r="A298" s="141"/>
      <c r="B298" s="1366"/>
      <c r="C298" s="1366"/>
      <c r="D298" s="1366"/>
      <c r="E298" s="1366"/>
      <c r="F298" s="9"/>
      <c r="G298" s="9"/>
      <c r="H298" s="9"/>
      <c r="I298" s="9"/>
      <c r="J298" s="13"/>
      <c r="K298" s="9"/>
      <c r="L298" s="9"/>
      <c r="M298" s="9"/>
      <c r="N298" s="9"/>
      <c r="O298" s="9"/>
      <c r="P298" s="9"/>
      <c r="Q298" s="9"/>
      <c r="R298" s="9"/>
      <c r="S298" s="9"/>
      <c r="T298" s="9"/>
      <c r="U298" s="11"/>
      <c r="V298" s="11"/>
      <c r="W298" s="11"/>
      <c r="X298" s="12"/>
      <c r="Y298" s="12"/>
      <c r="Z298" s="12"/>
      <c r="AA298" s="12"/>
      <c r="AB298" s="12"/>
      <c r="AC298" s="241"/>
      <c r="AF298" s="84"/>
      <c r="AI298" s="179"/>
      <c r="AJ298" s="179"/>
      <c r="AK298" s="153"/>
      <c r="AL298" s="153"/>
    </row>
    <row r="299" spans="1:44" ht="11.25" customHeight="1" x14ac:dyDescent="0.2">
      <c r="A299" s="141"/>
      <c r="B299" s="1366" t="s">
        <v>80</v>
      </c>
      <c r="C299" s="1366"/>
      <c r="D299" s="1366"/>
      <c r="E299" s="1366"/>
      <c r="F299" s="9"/>
      <c r="G299" s="9"/>
      <c r="H299" s="9"/>
      <c r="I299" s="9"/>
      <c r="J299" s="13"/>
      <c r="K299" s="9"/>
      <c r="L299" s="9"/>
      <c r="M299" s="9"/>
      <c r="N299" s="9"/>
      <c r="O299" s="9"/>
      <c r="P299" s="9"/>
      <c r="Q299" s="9"/>
      <c r="R299" s="9"/>
      <c r="S299" s="9"/>
      <c r="T299" s="9"/>
      <c r="U299" s="11"/>
      <c r="V299" s="11"/>
      <c r="W299" s="11"/>
      <c r="X299" s="12"/>
      <c r="Y299" s="12"/>
      <c r="Z299" s="12"/>
      <c r="AA299" s="12"/>
      <c r="AB299" s="12"/>
      <c r="AC299" s="241"/>
      <c r="AF299" s="84"/>
      <c r="AI299" s="179"/>
      <c r="AJ299" s="179"/>
      <c r="AK299" s="153"/>
      <c r="AL299" s="153"/>
    </row>
    <row r="300" spans="1:44" ht="11.25" customHeight="1" x14ac:dyDescent="0.2">
      <c r="A300" s="141"/>
      <c r="B300" s="1366"/>
      <c r="C300" s="1366"/>
      <c r="D300" s="1366"/>
      <c r="E300" s="1366"/>
      <c r="F300" s="9"/>
      <c r="G300" s="9"/>
      <c r="H300" s="9"/>
      <c r="I300" s="9"/>
      <c r="J300" s="13"/>
      <c r="K300" s="9"/>
      <c r="L300" s="9"/>
      <c r="M300" s="9"/>
      <c r="N300" s="9"/>
      <c r="O300" s="9"/>
      <c r="P300" s="9"/>
      <c r="Q300" s="9"/>
      <c r="R300" s="9"/>
      <c r="S300" s="9"/>
      <c r="T300" s="9"/>
      <c r="U300" s="11"/>
      <c r="V300" s="11"/>
      <c r="W300" s="11"/>
      <c r="X300" s="12"/>
      <c r="Y300" s="12"/>
      <c r="Z300" s="12"/>
      <c r="AA300" s="12"/>
      <c r="AB300" s="12"/>
      <c r="AC300" s="241"/>
      <c r="AF300" s="84"/>
      <c r="AI300" s="179"/>
      <c r="AJ300" s="179"/>
      <c r="AK300" s="153"/>
      <c r="AL300" s="153"/>
    </row>
    <row r="301" spans="1:44" ht="11.25" customHeight="1" x14ac:dyDescent="0.2">
      <c r="A301" s="141"/>
      <c r="B301" s="1366" t="s">
        <v>69</v>
      </c>
      <c r="C301" s="1366"/>
      <c r="D301" s="1366"/>
      <c r="E301" s="1366"/>
      <c r="F301" s="9"/>
      <c r="G301" s="9"/>
      <c r="H301" s="9"/>
      <c r="I301" s="9"/>
      <c r="J301" s="13"/>
      <c r="K301" s="9"/>
      <c r="L301" s="9"/>
      <c r="M301" s="9"/>
      <c r="N301" s="9"/>
      <c r="O301" s="9"/>
      <c r="P301" s="9"/>
      <c r="Q301" s="9"/>
      <c r="R301" s="9"/>
      <c r="S301" s="9"/>
      <c r="T301" s="9"/>
      <c r="U301" s="11"/>
      <c r="V301" s="11"/>
      <c r="W301" s="11"/>
      <c r="X301" s="12"/>
      <c r="Y301" s="12"/>
      <c r="Z301" s="12"/>
      <c r="AA301" s="12"/>
      <c r="AB301" s="12"/>
      <c r="AC301" s="241"/>
      <c r="AF301" s="84"/>
      <c r="AI301" s="179"/>
      <c r="AJ301" s="179"/>
      <c r="AK301" s="153"/>
      <c r="AL301" s="153"/>
    </row>
    <row r="302" spans="1:44" ht="11.25" customHeight="1" x14ac:dyDescent="0.2">
      <c r="A302" s="141"/>
      <c r="B302" s="1366"/>
      <c r="C302" s="1366"/>
      <c r="D302" s="1366"/>
      <c r="E302" s="1366"/>
      <c r="F302" s="9"/>
      <c r="G302" s="9"/>
      <c r="H302" s="9"/>
      <c r="I302" s="9"/>
      <c r="J302" s="13"/>
      <c r="K302" s="9"/>
      <c r="L302" s="9"/>
      <c r="M302" s="9"/>
      <c r="N302" s="9"/>
      <c r="O302" s="9"/>
      <c r="P302" s="9"/>
      <c r="Q302" s="9"/>
      <c r="R302" s="9"/>
      <c r="S302" s="9"/>
      <c r="T302" s="9"/>
      <c r="U302" s="11"/>
      <c r="V302" s="11"/>
      <c r="W302" s="11"/>
      <c r="X302" s="12"/>
      <c r="Y302" s="12"/>
      <c r="Z302" s="12"/>
      <c r="AA302" s="12"/>
      <c r="AB302" s="12"/>
      <c r="AC302" s="241"/>
      <c r="AF302" s="84"/>
      <c r="AI302" s="179"/>
      <c r="AJ302" s="179"/>
      <c r="AK302" s="153"/>
      <c r="AL302" s="153"/>
    </row>
    <row r="303" spans="1:44" ht="11.25" customHeight="1" x14ac:dyDescent="0.2">
      <c r="A303" s="141"/>
      <c r="B303" s="1366" t="s">
        <v>24</v>
      </c>
      <c r="C303" s="1366"/>
      <c r="D303" s="1366"/>
      <c r="E303" s="1366"/>
      <c r="F303" s="9"/>
      <c r="G303" s="9"/>
      <c r="H303" s="9"/>
      <c r="I303" s="9"/>
      <c r="J303" s="13"/>
      <c r="K303" s="9"/>
      <c r="L303" s="9"/>
      <c r="M303" s="9"/>
      <c r="N303" s="9"/>
      <c r="O303" s="9"/>
      <c r="P303" s="9"/>
      <c r="Q303" s="9"/>
      <c r="R303" s="9"/>
      <c r="S303" s="9"/>
      <c r="T303" s="9"/>
      <c r="U303" s="11"/>
      <c r="V303" s="11"/>
      <c r="W303" s="11"/>
      <c r="X303" s="12"/>
      <c r="Y303" s="12"/>
      <c r="Z303" s="12"/>
      <c r="AA303" s="12"/>
      <c r="AB303" s="12"/>
      <c r="AC303" s="241"/>
      <c r="AF303" s="84"/>
      <c r="AI303" s="179"/>
      <c r="AJ303" s="179"/>
      <c r="AK303" s="153"/>
    </row>
    <row r="304" spans="1:44" ht="11.25" customHeight="1" x14ac:dyDescent="0.2">
      <c r="A304" s="141"/>
      <c r="B304" s="1366"/>
      <c r="C304" s="1366"/>
      <c r="D304" s="1366"/>
      <c r="E304" s="1366"/>
      <c r="F304" s="9"/>
      <c r="G304" s="9"/>
      <c r="H304" s="9"/>
      <c r="I304" s="9"/>
      <c r="J304" s="13"/>
      <c r="K304" s="9"/>
      <c r="L304" s="9"/>
      <c r="M304" s="9"/>
      <c r="N304" s="9"/>
      <c r="O304" s="9"/>
      <c r="P304" s="9"/>
      <c r="Q304" s="9"/>
      <c r="R304" s="9"/>
      <c r="S304" s="9"/>
      <c r="T304" s="9"/>
      <c r="U304" s="11"/>
      <c r="V304" s="11"/>
      <c r="W304" s="11"/>
      <c r="X304" s="12"/>
      <c r="Y304" s="12"/>
      <c r="Z304" s="12"/>
      <c r="AA304" s="12"/>
      <c r="AB304" s="12"/>
      <c r="AC304" s="241"/>
      <c r="AF304" s="84"/>
      <c r="AI304" s="179"/>
      <c r="AJ304" s="179"/>
      <c r="AK304" s="153"/>
    </row>
    <row r="305" spans="1:37" ht="11.25" customHeight="1" x14ac:dyDescent="0.2">
      <c r="A305" s="141"/>
      <c r="B305" s="1366" t="s">
        <v>22</v>
      </c>
      <c r="C305" s="1366"/>
      <c r="D305" s="1366"/>
      <c r="E305" s="1366"/>
      <c r="F305" s="9"/>
      <c r="G305" s="9"/>
      <c r="H305" s="9"/>
      <c r="I305" s="9"/>
      <c r="J305" s="13"/>
      <c r="K305" s="9"/>
      <c r="L305" s="9"/>
      <c r="M305" s="9"/>
      <c r="N305" s="9"/>
      <c r="O305" s="9"/>
      <c r="P305" s="9"/>
      <c r="Q305" s="9"/>
      <c r="R305" s="9"/>
      <c r="S305" s="9"/>
      <c r="T305" s="9"/>
      <c r="U305" s="11"/>
      <c r="V305" s="11"/>
      <c r="W305" s="11"/>
      <c r="X305" s="12"/>
      <c r="Y305" s="12"/>
      <c r="Z305" s="12"/>
      <c r="AA305" s="12"/>
      <c r="AB305" s="12"/>
      <c r="AC305" s="241"/>
      <c r="AF305" s="84"/>
      <c r="AI305" s="179"/>
      <c r="AJ305" s="179"/>
      <c r="AK305" s="153"/>
    </row>
    <row r="306" spans="1:37" ht="11.25" customHeight="1" x14ac:dyDescent="0.2">
      <c r="A306" s="141"/>
      <c r="B306" s="1366"/>
      <c r="C306" s="1366"/>
      <c r="D306" s="1366"/>
      <c r="E306" s="1366"/>
      <c r="F306" s="9"/>
      <c r="G306" s="9"/>
      <c r="H306" s="9"/>
      <c r="I306" s="9"/>
      <c r="J306" s="13"/>
      <c r="K306" s="9"/>
      <c r="L306" s="9"/>
      <c r="M306" s="9"/>
      <c r="N306" s="9"/>
      <c r="O306" s="9"/>
      <c r="P306" s="9"/>
      <c r="Q306" s="9"/>
      <c r="R306" s="9"/>
      <c r="S306" s="9"/>
      <c r="T306" s="9"/>
      <c r="U306" s="11"/>
      <c r="V306" s="11"/>
      <c r="W306" s="11"/>
      <c r="X306" s="12"/>
      <c r="Y306" s="12"/>
      <c r="Z306" s="12"/>
      <c r="AA306" s="12"/>
      <c r="AB306" s="12"/>
      <c r="AC306" s="241"/>
      <c r="AF306" s="84"/>
      <c r="AI306" s="179"/>
      <c r="AJ306" s="179"/>
      <c r="AK306" s="153"/>
    </row>
    <row r="307" spans="1:37" ht="11.25" customHeight="1" x14ac:dyDescent="0.2">
      <c r="A307" s="141"/>
      <c r="B307" s="1366" t="s">
        <v>25</v>
      </c>
      <c r="C307" s="1366"/>
      <c r="D307" s="1366"/>
      <c r="E307" s="1366"/>
      <c r="F307" s="9"/>
      <c r="G307" s="9"/>
      <c r="H307" s="9"/>
      <c r="I307" s="9"/>
      <c r="J307" s="13"/>
      <c r="K307" s="9"/>
      <c r="L307" s="9"/>
      <c r="M307" s="9"/>
      <c r="N307" s="9"/>
      <c r="O307" s="9"/>
      <c r="P307" s="9"/>
      <c r="Q307" s="9"/>
      <c r="R307" s="9"/>
      <c r="S307" s="9"/>
      <c r="T307" s="9"/>
      <c r="U307" s="11"/>
      <c r="V307" s="11"/>
      <c r="W307" s="11"/>
      <c r="X307" s="12"/>
      <c r="Y307" s="12"/>
      <c r="Z307" s="12"/>
      <c r="AA307" s="12"/>
      <c r="AB307" s="12"/>
      <c r="AC307" s="241"/>
      <c r="AF307" s="84"/>
      <c r="AI307" s="179"/>
      <c r="AJ307" s="179"/>
      <c r="AK307" s="153"/>
    </row>
    <row r="308" spans="1:37" ht="11.25" customHeight="1" x14ac:dyDescent="0.2">
      <c r="A308" s="141"/>
      <c r="B308" s="1366"/>
      <c r="C308" s="1366"/>
      <c r="D308" s="1366"/>
      <c r="E308" s="1366"/>
      <c r="F308" s="9"/>
      <c r="G308" s="9"/>
      <c r="H308" s="9"/>
      <c r="I308" s="9"/>
      <c r="J308" s="13"/>
      <c r="K308" s="9"/>
      <c r="L308" s="9"/>
      <c r="M308" s="9"/>
      <c r="N308" s="9"/>
      <c r="O308" s="9"/>
      <c r="P308" s="9"/>
      <c r="Q308" s="9"/>
      <c r="R308" s="9"/>
      <c r="S308" s="9"/>
      <c r="T308" s="9"/>
      <c r="U308" s="11"/>
      <c r="V308" s="11"/>
      <c r="W308" s="11"/>
      <c r="X308" s="12"/>
      <c r="Y308" s="12"/>
      <c r="Z308" s="12"/>
      <c r="AA308" s="12"/>
      <c r="AB308" s="12"/>
      <c r="AC308" s="241"/>
      <c r="AF308" s="84"/>
      <c r="AI308" s="179"/>
      <c r="AJ308" s="179"/>
      <c r="AK308" s="153"/>
    </row>
    <row r="309" spans="1:37" ht="11.25" customHeight="1" x14ac:dyDescent="0.2">
      <c r="A309" s="141"/>
      <c r="B309" s="1366" t="s">
        <v>18</v>
      </c>
      <c r="C309" s="1366"/>
      <c r="D309" s="1366"/>
      <c r="E309" s="1366"/>
      <c r="F309" s="9"/>
      <c r="G309" s="9"/>
      <c r="H309" s="9"/>
      <c r="I309" s="9"/>
      <c r="J309" s="13"/>
      <c r="K309" s="9"/>
      <c r="L309" s="9"/>
      <c r="M309" s="9"/>
      <c r="N309" s="9"/>
      <c r="O309" s="9"/>
      <c r="P309" s="9"/>
      <c r="Q309" s="9"/>
      <c r="R309" s="9"/>
      <c r="S309" s="9"/>
      <c r="T309" s="9"/>
      <c r="U309" s="11"/>
      <c r="V309" s="11"/>
      <c r="W309" s="11"/>
      <c r="X309" s="12"/>
      <c r="Y309" s="12"/>
      <c r="Z309" s="12"/>
      <c r="AA309" s="12"/>
      <c r="AB309" s="12"/>
      <c r="AC309" s="241"/>
      <c r="AF309" s="84"/>
      <c r="AI309" s="179"/>
      <c r="AJ309" s="179"/>
      <c r="AK309" s="153"/>
    </row>
    <row r="310" spans="1:37" ht="11.25" customHeight="1" x14ac:dyDescent="0.2">
      <c r="A310" s="141"/>
      <c r="B310" s="1366"/>
      <c r="C310" s="1366"/>
      <c r="D310" s="1366"/>
      <c r="E310" s="1366"/>
      <c r="F310" s="9"/>
      <c r="G310" s="9"/>
      <c r="H310" s="9"/>
      <c r="I310" s="9"/>
      <c r="J310" s="13"/>
      <c r="K310" s="9"/>
      <c r="L310" s="9"/>
      <c r="M310" s="9"/>
      <c r="N310" s="9"/>
      <c r="O310" s="9"/>
      <c r="P310" s="9"/>
      <c r="Q310" s="9"/>
      <c r="R310" s="9"/>
      <c r="S310" s="9"/>
      <c r="T310" s="9"/>
      <c r="U310" s="11"/>
      <c r="V310" s="11"/>
      <c r="W310" s="11"/>
      <c r="X310" s="12"/>
      <c r="Y310" s="12"/>
      <c r="Z310" s="12"/>
      <c r="AA310" s="12"/>
      <c r="AB310" s="12"/>
      <c r="AC310" s="241"/>
      <c r="AF310" s="84"/>
      <c r="AI310" s="179"/>
      <c r="AJ310" s="179"/>
      <c r="AK310" s="153"/>
    </row>
    <row r="311" spans="1:37" ht="11.25" customHeight="1" x14ac:dyDescent="0.2">
      <c r="A311" s="141"/>
      <c r="B311" s="1366" t="s">
        <v>19</v>
      </c>
      <c r="C311" s="1366"/>
      <c r="D311" s="1366"/>
      <c r="E311" s="1366"/>
      <c r="F311" s="1366"/>
      <c r="G311" s="9"/>
      <c r="H311" s="9"/>
      <c r="I311" s="9"/>
      <c r="J311" s="13"/>
      <c r="K311" s="9"/>
      <c r="L311" s="9"/>
      <c r="M311" s="9"/>
      <c r="N311" s="9"/>
      <c r="O311" s="9"/>
      <c r="P311" s="9"/>
      <c r="Q311" s="9"/>
      <c r="R311" s="9"/>
      <c r="S311" s="9"/>
      <c r="T311" s="9"/>
      <c r="U311" s="11"/>
      <c r="V311" s="11"/>
      <c r="W311" s="11"/>
      <c r="X311" s="12"/>
      <c r="Y311" s="12"/>
      <c r="Z311" s="12"/>
      <c r="AA311" s="12"/>
      <c r="AB311" s="12"/>
      <c r="AC311" s="241"/>
      <c r="AF311" s="84"/>
      <c r="AI311" s="179"/>
      <c r="AJ311" s="179"/>
      <c r="AK311" s="153"/>
    </row>
    <row r="312" spans="1:37" ht="11.25" customHeight="1" x14ac:dyDescent="0.2">
      <c r="A312" s="141"/>
      <c r="B312" s="1366"/>
      <c r="C312" s="1366"/>
      <c r="D312" s="1366"/>
      <c r="E312" s="1366"/>
      <c r="F312" s="1366"/>
      <c r="G312" s="9"/>
      <c r="H312" s="9"/>
      <c r="I312" s="9"/>
      <c r="J312" s="13"/>
      <c r="K312" s="9"/>
      <c r="L312" s="9"/>
      <c r="M312" s="9"/>
      <c r="N312" s="9"/>
      <c r="O312" s="9"/>
      <c r="P312" s="9"/>
      <c r="Q312" s="9"/>
      <c r="R312" s="9"/>
      <c r="S312" s="9"/>
      <c r="T312" s="9"/>
      <c r="U312" s="11"/>
      <c r="V312" s="11"/>
      <c r="W312" s="11"/>
      <c r="X312" s="12"/>
      <c r="Y312" s="12"/>
      <c r="Z312" s="12"/>
      <c r="AA312" s="12"/>
      <c r="AB312" s="12"/>
      <c r="AC312" s="241"/>
      <c r="AF312" s="84"/>
      <c r="AI312" s="179"/>
      <c r="AJ312" s="179"/>
      <c r="AK312" s="153"/>
    </row>
    <row r="313" spans="1:37" ht="11.25" customHeight="1" x14ac:dyDescent="0.2">
      <c r="A313" s="141"/>
      <c r="B313" s="1366" t="s">
        <v>20</v>
      </c>
      <c r="C313" s="1366"/>
      <c r="D313" s="1366"/>
      <c r="E313" s="1366"/>
      <c r="F313" s="9"/>
      <c r="G313" s="9"/>
      <c r="H313" s="9"/>
      <c r="I313" s="9"/>
      <c r="J313" s="13"/>
      <c r="K313" s="9"/>
      <c r="L313" s="9"/>
      <c r="M313" s="9"/>
      <c r="N313" s="9"/>
      <c r="O313" s="9"/>
      <c r="P313" s="9"/>
      <c r="Q313" s="9"/>
      <c r="R313" s="9"/>
      <c r="S313" s="9"/>
      <c r="T313" s="9"/>
      <c r="U313" s="11"/>
      <c r="V313" s="11"/>
      <c r="W313" s="11"/>
      <c r="X313" s="12"/>
      <c r="Y313" s="12"/>
      <c r="Z313" s="12"/>
      <c r="AA313" s="12"/>
      <c r="AB313" s="12"/>
      <c r="AC313" s="241"/>
      <c r="AF313" s="84"/>
      <c r="AI313" s="179"/>
      <c r="AJ313" s="179"/>
      <c r="AK313" s="153"/>
    </row>
    <row r="314" spans="1:37" ht="11.25" customHeight="1" x14ac:dyDescent="0.2">
      <c r="A314" s="141"/>
      <c r="B314" s="1366"/>
      <c r="C314" s="1366"/>
      <c r="D314" s="1366"/>
      <c r="E314" s="1366"/>
      <c r="F314" s="9"/>
      <c r="G314" s="9"/>
      <c r="H314" s="9"/>
      <c r="I314" s="9"/>
      <c r="J314" s="13"/>
      <c r="K314" s="9"/>
      <c r="L314" s="9"/>
      <c r="M314" s="9"/>
      <c r="N314" s="9"/>
      <c r="O314" s="9"/>
      <c r="P314" s="9"/>
      <c r="Q314" s="9"/>
      <c r="R314" s="9"/>
      <c r="S314" s="9"/>
      <c r="T314" s="9"/>
      <c r="U314" s="11"/>
      <c r="V314" s="11"/>
      <c r="W314" s="11"/>
      <c r="X314" s="12"/>
      <c r="Y314" s="12"/>
      <c r="Z314" s="12"/>
      <c r="AA314" s="12"/>
      <c r="AB314" s="12"/>
      <c r="AC314" s="241"/>
      <c r="AF314" s="84"/>
      <c r="AI314" s="179"/>
      <c r="AJ314" s="179"/>
      <c r="AK314" s="153"/>
    </row>
    <row r="315" spans="1:37" ht="11.25" customHeight="1" x14ac:dyDescent="0.2">
      <c r="A315" s="141"/>
      <c r="B315" s="1366" t="s">
        <v>26</v>
      </c>
      <c r="C315" s="1366"/>
      <c r="D315" s="1366"/>
      <c r="E315" s="1366"/>
      <c r="F315" s="9"/>
      <c r="G315" s="9"/>
      <c r="H315" s="9"/>
      <c r="I315" s="9"/>
      <c r="J315" s="13"/>
      <c r="K315" s="9"/>
      <c r="L315" s="9"/>
      <c r="M315" s="9"/>
      <c r="N315" s="9"/>
      <c r="O315" s="9"/>
      <c r="P315" s="9"/>
      <c r="Q315" s="9"/>
      <c r="R315" s="9"/>
      <c r="S315" s="9"/>
      <c r="T315" s="9"/>
      <c r="U315" s="11"/>
      <c r="V315" s="11"/>
      <c r="W315" s="11"/>
      <c r="X315" s="12"/>
      <c r="Y315" s="12"/>
      <c r="Z315" s="12"/>
      <c r="AA315" s="12"/>
      <c r="AB315" s="12"/>
      <c r="AC315" s="241"/>
      <c r="AF315" s="84"/>
      <c r="AI315" s="179"/>
      <c r="AJ315" s="179"/>
      <c r="AK315" s="153"/>
    </row>
    <row r="316" spans="1:37" ht="11.25" customHeight="1" x14ac:dyDescent="0.2">
      <c r="A316" s="141"/>
      <c r="B316" s="1366"/>
      <c r="C316" s="1366"/>
      <c r="D316" s="1366"/>
      <c r="E316" s="1366"/>
      <c r="F316" s="9"/>
      <c r="G316" s="9"/>
      <c r="H316" s="9"/>
      <c r="I316" s="9"/>
      <c r="J316" s="13"/>
      <c r="K316" s="9"/>
      <c r="L316" s="9"/>
      <c r="M316" s="9"/>
      <c r="N316" s="9"/>
      <c r="O316" s="9"/>
      <c r="P316" s="9"/>
      <c r="Q316" s="9"/>
      <c r="R316" s="9"/>
      <c r="S316" s="9"/>
      <c r="T316" s="9"/>
      <c r="U316" s="11"/>
      <c r="V316" s="11"/>
      <c r="W316" s="11"/>
      <c r="X316" s="12"/>
      <c r="Y316" s="12"/>
      <c r="Z316" s="12"/>
      <c r="AA316" s="12"/>
      <c r="AB316" s="12"/>
      <c r="AC316" s="241"/>
      <c r="AF316" s="84"/>
      <c r="AI316" s="179"/>
      <c r="AJ316" s="179"/>
      <c r="AK316" s="153"/>
    </row>
    <row r="317" spans="1:37" ht="11.25" customHeight="1" x14ac:dyDescent="0.2">
      <c r="A317" s="141"/>
      <c r="B317" s="1366" t="s">
        <v>21</v>
      </c>
      <c r="C317" s="1366"/>
      <c r="D317" s="1366"/>
      <c r="E317" s="1366"/>
      <c r="F317" s="9"/>
      <c r="G317" s="9"/>
      <c r="H317" s="9"/>
      <c r="I317" s="9"/>
      <c r="J317" s="13"/>
      <c r="K317" s="9"/>
      <c r="L317" s="9"/>
      <c r="M317" s="9"/>
      <c r="N317" s="9"/>
      <c r="O317" s="9"/>
      <c r="P317" s="9"/>
      <c r="Q317" s="9"/>
      <c r="R317" s="9"/>
      <c r="S317" s="9"/>
      <c r="T317" s="9"/>
      <c r="U317" s="11"/>
      <c r="V317" s="11"/>
      <c r="W317" s="11"/>
      <c r="X317" s="12"/>
      <c r="Y317" s="12"/>
      <c r="Z317" s="12"/>
      <c r="AA317" s="12"/>
      <c r="AB317" s="12"/>
      <c r="AC317" s="241"/>
      <c r="AF317" s="84"/>
      <c r="AI317" s="179"/>
      <c r="AJ317" s="179"/>
      <c r="AK317" s="153"/>
    </row>
    <row r="318" spans="1:37" ht="11.25" customHeight="1" x14ac:dyDescent="0.2">
      <c r="A318" s="141"/>
      <c r="B318" s="1366"/>
      <c r="C318" s="1366"/>
      <c r="D318" s="1366"/>
      <c r="E318" s="1366"/>
      <c r="F318" s="9"/>
      <c r="G318" s="9"/>
      <c r="H318" s="9"/>
      <c r="I318" s="9"/>
      <c r="J318" s="13"/>
      <c r="K318" s="9"/>
      <c r="L318" s="9"/>
      <c r="M318" s="9"/>
      <c r="N318" s="9"/>
      <c r="O318" s="9"/>
      <c r="P318" s="9"/>
      <c r="Q318" s="9"/>
      <c r="R318" s="9"/>
      <c r="S318" s="9"/>
      <c r="T318" s="9"/>
      <c r="U318" s="11"/>
      <c r="V318" s="11"/>
      <c r="W318" s="11"/>
      <c r="X318" s="12"/>
      <c r="Y318" s="12"/>
      <c r="Z318" s="12"/>
      <c r="AA318" s="12"/>
      <c r="AB318" s="12"/>
      <c r="AC318" s="241"/>
      <c r="AF318" s="84"/>
      <c r="AI318" s="179"/>
      <c r="AJ318" s="179"/>
      <c r="AK318" s="153"/>
    </row>
    <row r="319" spans="1:37" ht="11.25" customHeight="1" x14ac:dyDescent="0.2">
      <c r="A319" s="141"/>
      <c r="B319" s="1366" t="s">
        <v>930</v>
      </c>
      <c r="C319" s="1366"/>
      <c r="D319" s="1366"/>
      <c r="E319" s="1366"/>
      <c r="F319" s="1366"/>
      <c r="G319" s="9"/>
      <c r="H319" s="9"/>
      <c r="I319" s="9"/>
      <c r="J319" s="13"/>
      <c r="K319" s="9"/>
      <c r="L319" s="9"/>
      <c r="M319" s="9"/>
      <c r="N319" s="9"/>
      <c r="O319" s="9"/>
      <c r="P319" s="9"/>
      <c r="Q319" s="9"/>
      <c r="R319" s="9"/>
      <c r="S319" s="9"/>
      <c r="T319" s="9"/>
      <c r="U319" s="11"/>
      <c r="V319" s="11"/>
      <c r="W319" s="11"/>
      <c r="X319" s="12"/>
      <c r="Y319" s="12"/>
      <c r="Z319" s="12"/>
      <c r="AA319" s="12"/>
      <c r="AB319" s="12"/>
      <c r="AC319" s="241"/>
      <c r="AF319" s="84"/>
      <c r="AI319" s="179"/>
      <c r="AJ319" s="179"/>
      <c r="AK319" s="153"/>
    </row>
    <row r="320" spans="1:37" ht="11.25" customHeight="1" x14ac:dyDescent="0.2">
      <c r="A320" s="141"/>
      <c r="B320" s="1366"/>
      <c r="C320" s="1366"/>
      <c r="D320" s="1366"/>
      <c r="E320" s="1366"/>
      <c r="F320" s="1366"/>
      <c r="G320" s="9"/>
      <c r="H320" s="9"/>
      <c r="I320" s="9"/>
      <c r="J320" s="13"/>
      <c r="K320" s="9"/>
      <c r="L320" s="9"/>
      <c r="M320" s="9"/>
      <c r="N320" s="9"/>
      <c r="O320" s="9"/>
      <c r="P320" s="9"/>
      <c r="Q320" s="9"/>
      <c r="R320" s="9"/>
      <c r="S320" s="9"/>
      <c r="T320" s="9"/>
      <c r="U320" s="11"/>
      <c r="V320" s="11"/>
      <c r="W320" s="11"/>
      <c r="X320" s="12"/>
      <c r="Y320" s="12"/>
      <c r="Z320" s="12"/>
      <c r="AA320" s="12"/>
      <c r="AB320" s="12"/>
      <c r="AC320" s="241"/>
      <c r="AF320" s="84"/>
      <c r="AI320" s="179"/>
      <c r="AJ320" s="179"/>
      <c r="AK320" s="153"/>
    </row>
    <row r="321" spans="1:77" ht="11.25" customHeight="1" x14ac:dyDescent="0.2">
      <c r="A321" s="141"/>
      <c r="B321" s="1366" t="s">
        <v>680</v>
      </c>
      <c r="C321" s="1366"/>
      <c r="D321" s="1366"/>
      <c r="E321" s="1366"/>
      <c r="F321" s="9"/>
      <c r="G321" s="9"/>
      <c r="H321" s="9"/>
      <c r="I321" s="9"/>
      <c r="J321" s="13"/>
      <c r="K321" s="9"/>
      <c r="L321" s="9"/>
      <c r="M321" s="9"/>
      <c r="N321" s="9"/>
      <c r="O321" s="9"/>
      <c r="P321" s="9"/>
      <c r="Q321" s="9"/>
      <c r="R321" s="9"/>
      <c r="S321" s="9"/>
      <c r="T321" s="9"/>
      <c r="U321" s="11"/>
      <c r="V321" s="11"/>
      <c r="W321" s="11"/>
      <c r="X321" s="12"/>
      <c r="Y321" s="12"/>
      <c r="Z321" s="12"/>
      <c r="AA321" s="12"/>
      <c r="AB321" s="12"/>
      <c r="AC321" s="241"/>
      <c r="AF321" s="84"/>
      <c r="AI321" s="179"/>
      <c r="AJ321" s="179"/>
      <c r="AK321" s="153"/>
    </row>
    <row r="322" spans="1:77" ht="11.25" customHeight="1" x14ac:dyDescent="0.2">
      <c r="A322" s="141"/>
      <c r="B322" s="1366"/>
      <c r="C322" s="1366"/>
      <c r="D322" s="1366"/>
      <c r="E322" s="1366"/>
      <c r="F322" s="9"/>
      <c r="G322" s="9"/>
      <c r="H322" s="9"/>
      <c r="I322" s="9"/>
      <c r="J322" s="13"/>
      <c r="K322" s="9"/>
      <c r="L322" s="9"/>
      <c r="M322" s="9"/>
      <c r="N322" s="9"/>
      <c r="O322" s="9"/>
      <c r="P322" s="9"/>
      <c r="Q322" s="9"/>
      <c r="R322" s="9"/>
      <c r="S322" s="9"/>
      <c r="T322" s="9"/>
      <c r="U322" s="11"/>
      <c r="V322" s="11"/>
      <c r="W322" s="11"/>
      <c r="X322" s="12"/>
      <c r="Y322" s="12"/>
      <c r="Z322" s="12"/>
      <c r="AA322" s="12"/>
      <c r="AB322" s="12"/>
      <c r="AC322" s="241"/>
      <c r="AF322" s="84"/>
      <c r="AI322" s="179"/>
      <c r="AJ322" s="179"/>
      <c r="AK322" s="153"/>
    </row>
    <row r="323" spans="1:77" ht="11.25" customHeight="1" x14ac:dyDescent="0.2">
      <c r="A323" s="141"/>
      <c r="B323" s="1366" t="s">
        <v>32</v>
      </c>
      <c r="C323" s="1366"/>
      <c r="D323" s="1366"/>
      <c r="E323" s="1366"/>
      <c r="F323" s="9"/>
      <c r="G323" s="9"/>
      <c r="H323" s="9"/>
      <c r="I323" s="9"/>
      <c r="J323" s="13"/>
      <c r="K323" s="9"/>
      <c r="L323" s="9"/>
      <c r="M323" s="9"/>
      <c r="N323" s="9"/>
      <c r="O323" s="9"/>
      <c r="P323" s="9"/>
      <c r="Q323" s="9"/>
      <c r="R323" s="9"/>
      <c r="S323" s="9"/>
      <c r="T323" s="9"/>
      <c r="U323" s="11"/>
      <c r="V323" s="11"/>
      <c r="W323" s="11"/>
      <c r="X323" s="12"/>
      <c r="Y323" s="12"/>
      <c r="Z323" s="12"/>
      <c r="AA323" s="12"/>
      <c r="AB323" s="12"/>
      <c r="AC323" s="241"/>
      <c r="AF323" s="84"/>
      <c r="AI323" s="179"/>
      <c r="AJ323" s="179"/>
      <c r="AK323" s="153"/>
    </row>
    <row r="324" spans="1:77" ht="11.25" customHeight="1" x14ac:dyDescent="0.2">
      <c r="A324" s="141"/>
      <c r="B324" s="1366"/>
      <c r="C324" s="1366"/>
      <c r="D324" s="1366"/>
      <c r="E324" s="1366"/>
      <c r="F324" s="9"/>
      <c r="G324" s="9"/>
      <c r="H324" s="9"/>
      <c r="I324" s="9"/>
      <c r="J324" s="13"/>
      <c r="K324" s="9"/>
      <c r="L324" s="9"/>
      <c r="M324" s="9"/>
      <c r="N324" s="9"/>
      <c r="O324" s="9"/>
      <c r="P324" s="9"/>
      <c r="Q324" s="9"/>
      <c r="R324" s="9"/>
      <c r="S324" s="9"/>
      <c r="T324" s="9"/>
      <c r="U324" s="11"/>
      <c r="V324" s="11"/>
      <c r="W324" s="11"/>
      <c r="X324" s="12"/>
      <c r="Y324" s="12"/>
      <c r="Z324" s="12"/>
      <c r="AA324" s="12"/>
      <c r="AB324" s="12"/>
      <c r="AC324" s="241"/>
      <c r="AF324" s="84"/>
      <c r="AI324" s="179"/>
      <c r="AJ324" s="179"/>
      <c r="AK324" s="153"/>
    </row>
    <row r="325" spans="1:77" ht="11.25" customHeight="1" x14ac:dyDescent="0.2">
      <c r="A325" s="248"/>
      <c r="B325" s="1110"/>
      <c r="C325" s="246"/>
      <c r="D325" s="246"/>
      <c r="E325" s="246"/>
      <c r="F325" s="246"/>
      <c r="G325" s="246"/>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1307"/>
      <c r="AF325" s="84"/>
      <c r="AI325" s="179"/>
      <c r="AJ325" s="179"/>
      <c r="AK325" s="242"/>
    </row>
    <row r="326" spans="1:77" ht="11.25" customHeight="1" x14ac:dyDescent="0.2">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c r="AB326" s="77"/>
      <c r="AC326" s="77"/>
      <c r="AF326" s="84"/>
      <c r="AI326" s="179"/>
      <c r="AJ326" s="179"/>
    </row>
    <row r="327" spans="1:77" ht="18.75" customHeight="1" x14ac:dyDescent="0.2">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c r="AB327" s="77"/>
      <c r="AC327" s="77"/>
      <c r="AF327" s="84"/>
      <c r="AI327" s="179"/>
      <c r="AJ327" s="179"/>
    </row>
    <row r="328" spans="1:77" s="82" customFormat="1" ht="11.25" customHeight="1" x14ac:dyDescent="0.2">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c r="AB328" s="77"/>
      <c r="AC328" s="77"/>
      <c r="AD328" s="83"/>
      <c r="AE328" s="83"/>
      <c r="AF328" s="84"/>
      <c r="AG328" s="83"/>
      <c r="AH328" s="83"/>
      <c r="AI328" s="179"/>
      <c r="AJ328" s="179"/>
      <c r="AL328" s="76"/>
      <c r="AM328" s="76"/>
      <c r="AN328" s="76"/>
      <c r="AO328" s="76"/>
      <c r="AP328" s="76"/>
      <c r="AQ328" s="76"/>
      <c r="AR328" s="76"/>
      <c r="AS328" s="76"/>
      <c r="AT328" s="76"/>
      <c r="AU328" s="76"/>
      <c r="AV328" s="76"/>
      <c r="AW328" s="76"/>
      <c r="AX328" s="76"/>
      <c r="AY328" s="76"/>
      <c r="AZ328" s="76"/>
      <c r="BA328" s="76"/>
      <c r="BB328" s="76"/>
      <c r="BC328" s="76"/>
      <c r="BD328" s="76"/>
      <c r="BE328" s="76"/>
      <c r="BF328" s="76"/>
      <c r="BG328" s="76"/>
      <c r="BH328" s="76"/>
      <c r="BI328" s="76"/>
      <c r="BJ328" s="76"/>
      <c r="BK328" s="76"/>
      <c r="BL328" s="76"/>
      <c r="BM328" s="76"/>
      <c r="BN328" s="76"/>
      <c r="BO328" s="76"/>
      <c r="BP328" s="76"/>
      <c r="BQ328" s="76"/>
      <c r="BR328" s="76"/>
      <c r="BS328" s="76"/>
      <c r="BT328" s="76"/>
      <c r="BU328" s="76"/>
      <c r="BV328" s="76"/>
      <c r="BW328" s="76"/>
      <c r="BX328" s="76"/>
      <c r="BY328" s="76"/>
    </row>
    <row r="329" spans="1:77" ht="11.25" customHeight="1" x14ac:dyDescent="0.2">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c r="AB329" s="77"/>
      <c r="AC329" s="77"/>
      <c r="AF329" s="84"/>
      <c r="AI329" s="179"/>
      <c r="AJ329" s="179"/>
    </row>
    <row r="330" spans="1:77" ht="11.25" customHeight="1" x14ac:dyDescent="0.2">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c r="AB330" s="77"/>
      <c r="AC330" s="77"/>
      <c r="AF330" s="84"/>
      <c r="AI330" s="179"/>
      <c r="AJ330" s="179"/>
    </row>
    <row r="331" spans="1:77" ht="11.25" customHeight="1" x14ac:dyDescent="0.2">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c r="AB331" s="77"/>
      <c r="AC331" s="77"/>
      <c r="AF331" s="84"/>
      <c r="AI331" s="179"/>
      <c r="AJ331" s="179"/>
    </row>
    <row r="332" spans="1:77" ht="11.25" customHeight="1" x14ac:dyDescent="0.2">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c r="AB332" s="77"/>
      <c r="AC332" s="77"/>
      <c r="AF332" s="84"/>
      <c r="AI332" s="179"/>
      <c r="AJ332" s="179"/>
    </row>
    <row r="333" spans="1:77" ht="11.25" customHeight="1" x14ac:dyDescent="0.2">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c r="AB333" s="77"/>
      <c r="AC333" s="77"/>
      <c r="AF333" s="84"/>
      <c r="AI333" s="179"/>
      <c r="AJ333" s="179"/>
    </row>
    <row r="334" spans="1:77" ht="11.25" customHeight="1" x14ac:dyDescent="0.2">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c r="AB334" s="77"/>
      <c r="AC334" s="77"/>
      <c r="AF334" s="84"/>
      <c r="AI334" s="179"/>
      <c r="AJ334" s="179"/>
    </row>
    <row r="335" spans="1:77" ht="11.25" customHeight="1" x14ac:dyDescent="0.2">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c r="AB335" s="77"/>
      <c r="AC335" s="77"/>
      <c r="AF335" s="84"/>
      <c r="AI335" s="179"/>
      <c r="AJ335" s="179"/>
    </row>
    <row r="336" spans="1:77" ht="11.25" customHeight="1" x14ac:dyDescent="0.2">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c r="AB336" s="77"/>
      <c r="AC336" s="77"/>
      <c r="AF336" s="84"/>
      <c r="AI336" s="179"/>
      <c r="AJ336" s="179"/>
    </row>
    <row r="337" spans="1:36" ht="11.25" customHeight="1" x14ac:dyDescent="0.2">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F337" s="84"/>
      <c r="AI337" s="179"/>
      <c r="AJ337" s="179"/>
    </row>
    <row r="338" spans="1:36" ht="11.25" customHeight="1" x14ac:dyDescent="0.2">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F338" s="84"/>
      <c r="AI338" s="179"/>
      <c r="AJ338" s="179"/>
    </row>
    <row r="339" spans="1:36" ht="11.25" customHeight="1" x14ac:dyDescent="0.2">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F339" s="84"/>
      <c r="AI339" s="179"/>
      <c r="AJ339" s="179"/>
    </row>
    <row r="340" spans="1:36" ht="11.25" customHeight="1" x14ac:dyDescent="0.2">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F340" s="84"/>
      <c r="AI340" s="179"/>
      <c r="AJ340" s="179"/>
    </row>
    <row r="341" spans="1:36" ht="11.25" customHeight="1" x14ac:dyDescent="0.2">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F341" s="84"/>
      <c r="AI341" s="179"/>
      <c r="AJ341" s="179"/>
    </row>
    <row r="342" spans="1:36" ht="11.25" customHeight="1" x14ac:dyDescent="0.2">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c r="AB342" s="77"/>
      <c r="AC342" s="77"/>
      <c r="AF342" s="84"/>
      <c r="AI342" s="179"/>
      <c r="AJ342" s="179"/>
    </row>
    <row r="343" spans="1:36" ht="11.25" customHeight="1" x14ac:dyDescent="0.2">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c r="AB343" s="77"/>
      <c r="AC343" s="77"/>
      <c r="AD343" s="197"/>
      <c r="AE343" s="197"/>
      <c r="AF343" s="1132"/>
      <c r="AG343" s="197"/>
      <c r="AH343" s="197"/>
      <c r="AI343" s="198"/>
      <c r="AJ343" s="198"/>
    </row>
    <row r="454" spans="38:38" ht="11.25" customHeight="1" x14ac:dyDescent="0.2">
      <c r="AL454" s="76" t="b">
        <v>1</v>
      </c>
    </row>
  </sheetData>
  <sheetProtection sheet="1" objects="1" scenarios="1"/>
  <mergeCells count="67">
    <mergeCell ref="S7:U8"/>
    <mergeCell ref="AA8:AA9"/>
    <mergeCell ref="BS38:BW38"/>
    <mergeCell ref="BR37:BR40"/>
    <mergeCell ref="BM38:BQ38"/>
    <mergeCell ref="BH38:BL38"/>
    <mergeCell ref="BC38:BG38"/>
    <mergeCell ref="A285:V285"/>
    <mergeCell ref="A286:V286"/>
    <mergeCell ref="B5:N6"/>
    <mergeCell ref="AX38:BB38"/>
    <mergeCell ref="AS38:AW38"/>
    <mergeCell ref="A141:V141"/>
    <mergeCell ref="A142:V142"/>
    <mergeCell ref="B108:I109"/>
    <mergeCell ref="B110:B111"/>
    <mergeCell ref="K7:P7"/>
    <mergeCell ref="O8:P8"/>
    <mergeCell ref="D7:H7"/>
    <mergeCell ref="I7:I9"/>
    <mergeCell ref="Q7:Q9"/>
    <mergeCell ref="B7:B9"/>
    <mergeCell ref="O9:P9"/>
    <mergeCell ref="A105:V105"/>
    <mergeCell ref="A106:V106"/>
    <mergeCell ref="A178:V178"/>
    <mergeCell ref="A249:V249"/>
    <mergeCell ref="B144:I145"/>
    <mergeCell ref="A177:V177"/>
    <mergeCell ref="B146:B147"/>
    <mergeCell ref="B182:B183"/>
    <mergeCell ref="B218:B219"/>
    <mergeCell ref="B180:I181"/>
    <mergeCell ref="A213:V213"/>
    <mergeCell ref="A214:V214"/>
    <mergeCell ref="B216:I217"/>
    <mergeCell ref="B313:E314"/>
    <mergeCell ref="B311:F312"/>
    <mergeCell ref="B289:B290"/>
    <mergeCell ref="Z8:Z9"/>
    <mergeCell ref="A70:V70"/>
    <mergeCell ref="M64:P64"/>
    <mergeCell ref="M65:P65"/>
    <mergeCell ref="R65:U65"/>
    <mergeCell ref="B35:U35"/>
    <mergeCell ref="A37:V37"/>
    <mergeCell ref="A38:V38"/>
    <mergeCell ref="A250:V250"/>
    <mergeCell ref="B252:I253"/>
    <mergeCell ref="B254:B255"/>
    <mergeCell ref="R64:U64"/>
    <mergeCell ref="A71:V71"/>
    <mergeCell ref="B315:E316"/>
    <mergeCell ref="B317:E318"/>
    <mergeCell ref="B321:E322"/>
    <mergeCell ref="B323:E324"/>
    <mergeCell ref="B319:F320"/>
    <mergeCell ref="B291:E292"/>
    <mergeCell ref="B293:E294"/>
    <mergeCell ref="B295:E296"/>
    <mergeCell ref="B297:E298"/>
    <mergeCell ref="B299:E300"/>
    <mergeCell ref="B301:E302"/>
    <mergeCell ref="B303:E304"/>
    <mergeCell ref="B305:E306"/>
    <mergeCell ref="B307:E308"/>
    <mergeCell ref="B309:E310"/>
  </mergeCells>
  <conditionalFormatting sqref="B10:B31 K10:O31 D10:H31 Q10:Q31 B51:C66 B256:B277 D256:H277 B184:B205 B220:B241 D220:H241 B148:B169 B112:B133">
    <cfRule type="expression" dxfId="391" priority="95">
      <formula>$B10=$Z$4</formula>
    </cfRule>
    <cfRule type="containsErrors" dxfId="390" priority="96">
      <formula>ISERROR(B10)</formula>
    </cfRule>
  </conditionalFormatting>
  <conditionalFormatting sqref="I10:I31 P10:P32 S10:U31 D184:H205 D148:H169 D112:H133">
    <cfRule type="expression" dxfId="389" priority="80">
      <formula>$B10=$Z$4</formula>
    </cfRule>
  </conditionalFormatting>
  <conditionalFormatting sqref="D184:H205 S10:T31">
    <cfRule type="containsErrors" dxfId="388" priority="81">
      <formula>ISERROR(D10)</formula>
    </cfRule>
  </conditionalFormatting>
  <conditionalFormatting sqref="A10:A31">
    <cfRule type="cellIs" dxfId="387" priority="77" operator="equal">
      <formula>0</formula>
    </cfRule>
  </conditionalFormatting>
  <conditionalFormatting sqref="A220:A241">
    <cfRule type="cellIs" dxfId="386" priority="76" operator="equal">
      <formula>0</formula>
    </cfRule>
  </conditionalFormatting>
  <conditionalFormatting sqref="A256:A277">
    <cfRule type="cellIs" dxfId="385" priority="75" operator="equal">
      <formula>0</formula>
    </cfRule>
  </conditionalFormatting>
  <conditionalFormatting sqref="A184:A205">
    <cfRule type="cellIs" dxfId="384" priority="73" operator="equal">
      <formula>0</formula>
    </cfRule>
  </conditionalFormatting>
  <conditionalFormatting sqref="A1:A37 A39:A70 A72:A105 A215:A249 A251:A285 A179:A213 A344:A1048576">
    <cfRule type="containsErrors" dxfId="383" priority="72">
      <formula>ISERROR(A1)</formula>
    </cfRule>
  </conditionalFormatting>
  <conditionalFormatting sqref="AG10:AH28">
    <cfRule type="containsErrors" dxfId="382" priority="71">
      <formula>ISERROR(AG10)</formula>
    </cfRule>
  </conditionalFormatting>
  <conditionalFormatting sqref="AG10:AH21 AH11:AH28">
    <cfRule type="expression" dxfId="381" priority="70">
      <formula>$B10=$X$4</formula>
    </cfRule>
  </conditionalFormatting>
  <conditionalFormatting sqref="I10:I31">
    <cfRule type="containsErrors" dxfId="380" priority="69">
      <formula>ISERROR(I10)</formula>
    </cfRule>
  </conditionalFormatting>
  <conditionalFormatting sqref="A38">
    <cfRule type="cellIs" dxfId="379" priority="65" operator="equal">
      <formula>0</formula>
    </cfRule>
    <cfRule type="containsErrors" dxfId="378" priority="66">
      <formula>ISERROR(A38)</formula>
    </cfRule>
  </conditionalFormatting>
  <conditionalFormatting sqref="A71">
    <cfRule type="cellIs" dxfId="377" priority="63" operator="equal">
      <formula>0</formula>
    </cfRule>
    <cfRule type="containsErrors" dxfId="376" priority="64">
      <formula>ISERROR(A71)</formula>
    </cfRule>
  </conditionalFormatting>
  <conditionalFormatting sqref="A106">
    <cfRule type="cellIs" dxfId="375" priority="61" operator="equal">
      <formula>0</formula>
    </cfRule>
    <cfRule type="containsErrors" dxfId="374" priority="62">
      <formula>ISERROR(A106)</formula>
    </cfRule>
  </conditionalFormatting>
  <conditionalFormatting sqref="A250">
    <cfRule type="cellIs" dxfId="373" priority="59" operator="equal">
      <formula>0</formula>
    </cfRule>
    <cfRule type="containsErrors" dxfId="372" priority="60">
      <formula>ISERROR(A250)</formula>
    </cfRule>
  </conditionalFormatting>
  <conditionalFormatting sqref="A286">
    <cfRule type="cellIs" dxfId="371" priority="57" operator="equal">
      <formula>0</formula>
    </cfRule>
    <cfRule type="containsErrors" dxfId="370" priority="58">
      <formula>ISERROR(A286)</formula>
    </cfRule>
  </conditionalFormatting>
  <conditionalFormatting sqref="A214">
    <cfRule type="cellIs" dxfId="369" priority="53" operator="equal">
      <formula>0</formula>
    </cfRule>
    <cfRule type="containsErrors" dxfId="368" priority="54">
      <formula>ISERROR(A214)</formula>
    </cfRule>
  </conditionalFormatting>
  <conditionalFormatting sqref="D148:H169">
    <cfRule type="containsErrors" dxfId="367" priority="50">
      <formula>ISERROR(D148)</formula>
    </cfRule>
  </conditionalFormatting>
  <conditionalFormatting sqref="A148:A169">
    <cfRule type="cellIs" dxfId="366" priority="48" operator="equal">
      <formula>0</formula>
    </cfRule>
  </conditionalFormatting>
  <conditionalFormatting sqref="A143:A177">
    <cfRule type="containsErrors" dxfId="365" priority="47">
      <formula>ISERROR(A143)</formula>
    </cfRule>
  </conditionalFormatting>
  <conditionalFormatting sqref="A178">
    <cfRule type="cellIs" dxfId="364" priority="45" operator="equal">
      <formula>0</formula>
    </cfRule>
    <cfRule type="containsErrors" dxfId="363" priority="46">
      <formula>ISERROR(A178)</formula>
    </cfRule>
  </conditionalFormatting>
  <conditionalFormatting sqref="D112:H133">
    <cfRule type="containsErrors" dxfId="362" priority="42">
      <formula>ISERROR(D112)</formula>
    </cfRule>
  </conditionalFormatting>
  <conditionalFormatting sqref="A112:A133">
    <cfRule type="cellIs" dxfId="361" priority="40" operator="equal">
      <formula>0</formula>
    </cfRule>
  </conditionalFormatting>
  <conditionalFormatting sqref="A107:A141">
    <cfRule type="containsErrors" dxfId="360" priority="39">
      <formula>ISERROR(A107)</formula>
    </cfRule>
  </conditionalFormatting>
  <conditionalFormatting sqref="A142">
    <cfRule type="cellIs" dxfId="359" priority="37" operator="equal">
      <formula>0</formula>
    </cfRule>
    <cfRule type="containsErrors" dxfId="358" priority="38">
      <formula>ISERROR(A142)</formula>
    </cfRule>
  </conditionalFormatting>
  <conditionalFormatting sqref="D8:H8">
    <cfRule type="containsErrors" dxfId="357" priority="34">
      <formula>ISERROR(D8)</formula>
    </cfRule>
  </conditionalFormatting>
  <conditionalFormatting sqref="D9:H9">
    <cfRule type="containsErrors" dxfId="356" priority="36">
      <formula>ISERROR(D9)</formula>
    </cfRule>
  </conditionalFormatting>
  <conditionalFormatting sqref="K8:O8">
    <cfRule type="containsErrors" dxfId="355" priority="33">
      <formula>ISERROR(K8)</formula>
    </cfRule>
  </conditionalFormatting>
  <conditionalFormatting sqref="K9:O9">
    <cfRule type="containsErrors" dxfId="354" priority="97">
      <formula>ISERROR(K9)</formula>
    </cfRule>
  </conditionalFormatting>
  <conditionalFormatting sqref="Y3">
    <cfRule type="containsErrors" dxfId="353" priority="30">
      <formula>ISERROR(Y3)</formula>
    </cfRule>
  </conditionalFormatting>
  <conditionalFormatting sqref="P33">
    <cfRule type="containsErrors" dxfId="352" priority="28">
      <formula>ISERROR(P33)</formula>
    </cfRule>
  </conditionalFormatting>
  <conditionalFormatting sqref="P32">
    <cfRule type="containsErrors" dxfId="351" priority="26">
      <formula>ISERROR(P32)</formula>
    </cfRule>
  </conditionalFormatting>
  <conditionalFormatting sqref="P10:P32">
    <cfRule type="containsErrors" dxfId="350" priority="24">
      <formula>ISERROR(P10)</formula>
    </cfRule>
    <cfRule type="dataBar" priority="25">
      <dataBar showValue="0">
        <cfvo type="min"/>
        <cfvo type="max"/>
        <color theme="9"/>
      </dataBar>
      <extLst>
        <ext xmlns:x14="http://schemas.microsoft.com/office/spreadsheetml/2009/9/main" uri="{B025F937-C7B1-47D3-B67F-A62EFF666E3E}">
          <x14:id>{50CEE49D-8871-448E-8CDD-B879413DF560}</x14:id>
        </ext>
      </extLst>
    </cfRule>
  </conditionalFormatting>
  <conditionalFormatting sqref="U10:U31">
    <cfRule type="containsErrors" dxfId="349" priority="23">
      <formula>ISERROR(U10)</formula>
    </cfRule>
  </conditionalFormatting>
  <conditionalFormatting sqref="U32">
    <cfRule type="containsErrors" dxfId="348" priority="21">
      <formula>ISERROR(U32)</formula>
    </cfRule>
  </conditionalFormatting>
  <conditionalFormatting sqref="U33">
    <cfRule type="containsErrors" dxfId="347" priority="20">
      <formula>ISERROR(U33)</formula>
    </cfRule>
  </conditionalFormatting>
  <conditionalFormatting sqref="D110:H110">
    <cfRule type="containsErrors" dxfId="346" priority="18">
      <formula>ISERROR(D110)</formula>
    </cfRule>
  </conditionalFormatting>
  <conditionalFormatting sqref="D111:H111">
    <cfRule type="containsErrors" dxfId="345" priority="19">
      <formula>ISERROR(D111)</formula>
    </cfRule>
  </conditionalFormatting>
  <conditionalFormatting sqref="D146:H146">
    <cfRule type="containsErrors" dxfId="344" priority="16">
      <formula>ISERROR(D146)</formula>
    </cfRule>
  </conditionalFormatting>
  <conditionalFormatting sqref="D147:H147">
    <cfRule type="containsErrors" dxfId="343" priority="17">
      <formula>ISERROR(D147)</formula>
    </cfRule>
  </conditionalFormatting>
  <conditionalFormatting sqref="D218:H218">
    <cfRule type="containsErrors" dxfId="342" priority="12">
      <formula>ISERROR(D218)</formula>
    </cfRule>
  </conditionalFormatting>
  <conditionalFormatting sqref="D182:H182">
    <cfRule type="containsErrors" dxfId="341" priority="14">
      <formula>ISERROR(D182)</formula>
    </cfRule>
  </conditionalFormatting>
  <conditionalFormatting sqref="D183:H183">
    <cfRule type="containsErrors" dxfId="340" priority="15">
      <formula>ISERROR(D183)</formula>
    </cfRule>
  </conditionalFormatting>
  <conditionalFormatting sqref="D219:H219">
    <cfRule type="containsErrors" dxfId="339" priority="13">
      <formula>ISERROR(D219)</formula>
    </cfRule>
  </conditionalFormatting>
  <conditionalFormatting sqref="D254:H254">
    <cfRule type="containsErrors" dxfId="338" priority="10">
      <formula>ISERROR(D254)</formula>
    </cfRule>
  </conditionalFormatting>
  <conditionalFormatting sqref="D255:H255">
    <cfRule type="containsErrors" dxfId="337" priority="11">
      <formula>ISERROR(D255)</formula>
    </cfRule>
  </conditionalFormatting>
  <conditionalFormatting sqref="AB9:AF9">
    <cfRule type="cellIs" dxfId="336" priority="7" stopIfTrue="1" operator="equal">
      <formula>0</formula>
    </cfRule>
  </conditionalFormatting>
  <conditionalFormatting sqref="Y2">
    <cfRule type="containsErrors" dxfId="335" priority="6">
      <formula>ISERROR(Y2)</formula>
    </cfRule>
  </conditionalFormatting>
  <conditionalFormatting sqref="D33:I33 K33:P33 B135:H135 B171:H171 B207:H207 B243:H243 B279:H279">
    <cfRule type="containsErrors" dxfId="334" priority="5">
      <formula>ISERROR(B33)</formula>
    </cfRule>
  </conditionalFormatting>
  <conditionalFormatting sqref="Z3:AD3">
    <cfRule type="containsErrors" dxfId="333" priority="4">
      <formula>ISERROR(Z3)</formula>
    </cfRule>
  </conditionalFormatting>
  <conditionalFormatting sqref="Z2:AD2">
    <cfRule type="containsErrors" dxfId="332" priority="3">
      <formula>ISERROR(Z2)</formula>
    </cfRule>
  </conditionalFormatting>
  <conditionalFormatting sqref="Q10:Q31">
    <cfRule type="containsErrors" dxfId="331" priority="2">
      <formula>ISERROR(Q10)</formula>
    </cfRule>
  </conditionalFormatting>
  <conditionalFormatting sqref="D170:G170">
    <cfRule type="containsErrors" dxfId="330" priority="99">
      <formula>ISERROR(D170)</formula>
    </cfRule>
  </conditionalFormatting>
  <hyperlinks>
    <hyperlink ref="B293:B294" location="Coverage!A1" display="Participating LA's" xr:uid="{DFDE5DDF-35BB-4781-96E7-7EE45BF55617}"/>
    <hyperlink ref="B295:B296" location="IDACI!A1" display="IDACI" xr:uid="{E36FC983-DEFD-439A-B98E-51D68209AA29}"/>
    <hyperlink ref="B323:B324" location="Adoption!A1" display="Adoption" xr:uid="{93B82A97-72D8-46BA-A459-1892F80F5FEA}"/>
    <hyperlink ref="B317:B318" location="'Looked After Children'!A1" display="Looked After Children" xr:uid="{E73196C0-64A2-49D7-8F5F-C610238C3FED}"/>
    <hyperlink ref="B315:B316" location="'Court Applications'!A1" display="Court Applications" xr:uid="{3EE8600D-BA5F-48DD-83DF-531E2D0CEACB}"/>
    <hyperlink ref="B313:B314" location="'Child Protection Plans'!A1" display="Child Protection Plans" xr:uid="{6990596D-3C50-478E-AC6E-C62ABEED5972}"/>
    <hyperlink ref="B311:B312" location="'Initial CP Conferences'!A1" display="Initial Child Protection Conferences" xr:uid="{54CCFD21-7FE8-4C73-B31B-6C6C5790762D}"/>
    <hyperlink ref="B309:B310" location="'Section 47 Enquiries'!A1" display="Section 47 Enquiries" xr:uid="{2AFF6CE4-B63C-4077-B4DD-3F4F85893C98}"/>
    <hyperlink ref="B307:B308" location="'Children in Need'!A1" display="Children in Need" xr:uid="{03ED1C59-BF7E-4FFB-9BD7-757E83936D42}"/>
    <hyperlink ref="B305:B306" location="Assessments!A1" display="Assessments" xr:uid="{D79E1B60-F85B-4371-AFAB-A03E9C4E5878}"/>
    <hyperlink ref="B303:B304" location="'Re-referrals'!A1" display="Re-referrals" xr:uid="{65F595B0-CDB1-4775-9322-129DD7583A8F}"/>
    <hyperlink ref="B301:B302" location="Referral_Source!A1" display="Referral Source" xr:uid="{01B483F6-C073-4DF1-88FB-3D304B2D8B7D}"/>
    <hyperlink ref="B299:B300" location="Referrals!A1" display="Referrals" xr:uid="{4F67B64D-2248-4DDE-9A47-18A183C31148}"/>
    <hyperlink ref="B297:B298" location="Population!A1" display="Population" xr:uid="{FBA4FA15-B788-4807-B171-22454F4CA9C4}"/>
    <hyperlink ref="B295:C296" location="IDACI!A1" display="IDACI" xr:uid="{4E9B3C6C-8E50-49C3-AFD2-02D08B4564EC}"/>
    <hyperlink ref="B291:B292" location="Coverage!A1" display="Participating LA's" xr:uid="{604CE641-CD53-45F4-B397-19C9E485C638}"/>
    <hyperlink ref="B291:C292" location="Indicators!A1" display="Indicators" xr:uid="{104376B5-9943-4906-BFE5-1F969A063AD8}"/>
    <hyperlink ref="B321:B322" location="'Looked After Children'!A1" display="Looked After Children" xr:uid="{5BE6CCE1-1C91-4953-B25E-BD0E53D25215}"/>
    <hyperlink ref="B319:B320" location="'Court Applications'!A1" display="Court Applications" xr:uid="{1B53AE03-6974-4D0F-A49D-0FB118ABFE16}"/>
    <hyperlink ref="B319:C320" location="New_Ceased_LAC!A1" display="New/ Ceased Looked After Children" xr:uid="{A163BF03-2152-4549-8249-A0AAA8FF6346}"/>
    <hyperlink ref="B321:C322" location="Care_Leavers!A1" display="Care Leavers" xr:uid="{388DE889-5916-4DD3-8702-9A7D916C279C}"/>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5" manualBreakCount="5">
    <brk id="38" max="21" man="1"/>
    <brk id="71" max="21" man="1"/>
    <brk id="178" max="21" man="1"/>
    <brk id="214" max="21" man="1"/>
    <brk id="250" max="21" man="1"/>
  </rowBreaks>
  <ignoredErrors>
    <ignoredError sqref="A256:A277 A220:A241 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99329" r:id="rId4" name="Check Box 1">
              <controlPr defaultSize="0" autoFill="0" autoLine="0" autoPict="0" macro="[0]!CheckBox1_Click" altText="">
                <anchor>
                  <from>
                    <xdr:col>23</xdr:col>
                    <xdr:colOff>76200</xdr:colOff>
                    <xdr:row>39</xdr:row>
                    <xdr:rowOff>28575</xdr:rowOff>
                  </from>
                  <to>
                    <xdr:col>36</xdr:col>
                    <xdr:colOff>47625</xdr:colOff>
                    <xdr:row>41</xdr:row>
                    <xdr:rowOff>28575</xdr:rowOff>
                  </to>
                </anchor>
              </controlPr>
            </control>
          </mc:Choice>
        </mc:AlternateContent>
        <mc:AlternateContent xmlns:mc="http://schemas.openxmlformats.org/markup-compatibility/2006">
          <mc:Choice Requires="x14">
            <control shapeId="99330" r:id="rId5" name="Check Box 2">
              <controlPr defaultSize="0" autoFill="0" autoLine="0" autoPict="0" macro="[0]!CheckBox1_Click" altText="">
                <anchor>
                  <from>
                    <xdr:col>23</xdr:col>
                    <xdr:colOff>76200</xdr:colOff>
                    <xdr:row>40</xdr:row>
                    <xdr:rowOff>161925</xdr:rowOff>
                  </from>
                  <to>
                    <xdr:col>36</xdr:col>
                    <xdr:colOff>47625</xdr:colOff>
                    <xdr:row>42</xdr:row>
                    <xdr:rowOff>28575</xdr:rowOff>
                  </to>
                </anchor>
              </controlPr>
            </control>
          </mc:Choice>
        </mc:AlternateContent>
        <mc:AlternateContent xmlns:mc="http://schemas.openxmlformats.org/markup-compatibility/2006">
          <mc:Choice Requires="x14">
            <control shapeId="99331" r:id="rId6" name="Check Box 3">
              <controlPr defaultSize="0" autoFill="0" autoLine="0" autoPict="0" macro="[0]!CheckBox1_Click" altText="">
                <anchor>
                  <from>
                    <xdr:col>23</xdr:col>
                    <xdr:colOff>76200</xdr:colOff>
                    <xdr:row>41</xdr:row>
                    <xdr:rowOff>161925</xdr:rowOff>
                  </from>
                  <to>
                    <xdr:col>36</xdr:col>
                    <xdr:colOff>47625</xdr:colOff>
                    <xdr:row>43</xdr:row>
                    <xdr:rowOff>28575</xdr:rowOff>
                  </to>
                </anchor>
              </controlPr>
            </control>
          </mc:Choice>
        </mc:AlternateContent>
        <mc:AlternateContent xmlns:mc="http://schemas.openxmlformats.org/markup-compatibility/2006">
          <mc:Choice Requires="x14">
            <control shapeId="99332" r:id="rId7" name="Check Box 4">
              <controlPr defaultSize="0" autoFill="0" autoLine="0" autoPict="0" macro="[0]!CheckBox1_Click" altText="">
                <anchor>
                  <from>
                    <xdr:col>23</xdr:col>
                    <xdr:colOff>76200</xdr:colOff>
                    <xdr:row>42</xdr:row>
                    <xdr:rowOff>161925</xdr:rowOff>
                  </from>
                  <to>
                    <xdr:col>36</xdr:col>
                    <xdr:colOff>47625</xdr:colOff>
                    <xdr:row>44</xdr:row>
                    <xdr:rowOff>28575</xdr:rowOff>
                  </to>
                </anchor>
              </controlPr>
            </control>
          </mc:Choice>
        </mc:AlternateContent>
        <mc:AlternateContent xmlns:mc="http://schemas.openxmlformats.org/markup-compatibility/2006">
          <mc:Choice Requires="x14">
            <control shapeId="99333" r:id="rId8" name="Check Box 5">
              <controlPr defaultSize="0" autoFill="0" autoLine="0" autoPict="0" macro="[0]!CheckBox1_Click" altText="">
                <anchor>
                  <from>
                    <xdr:col>23</xdr:col>
                    <xdr:colOff>76200</xdr:colOff>
                    <xdr:row>43</xdr:row>
                    <xdr:rowOff>161925</xdr:rowOff>
                  </from>
                  <to>
                    <xdr:col>36</xdr:col>
                    <xdr:colOff>47625</xdr:colOff>
                    <xdr:row>45</xdr:row>
                    <xdr:rowOff>28575</xdr:rowOff>
                  </to>
                </anchor>
              </controlPr>
            </control>
          </mc:Choice>
        </mc:AlternateContent>
        <mc:AlternateContent xmlns:mc="http://schemas.openxmlformats.org/markup-compatibility/2006">
          <mc:Choice Requires="x14">
            <control shapeId="99334" r:id="rId9" name="Check Box 6">
              <controlPr defaultSize="0" autoFill="0" autoLine="0" autoPict="0" macro="[0]!CheckBox1_Click" altText="">
                <anchor>
                  <from>
                    <xdr:col>23</xdr:col>
                    <xdr:colOff>76200</xdr:colOff>
                    <xdr:row>44</xdr:row>
                    <xdr:rowOff>161925</xdr:rowOff>
                  </from>
                  <to>
                    <xdr:col>36</xdr:col>
                    <xdr:colOff>47625</xdr:colOff>
                    <xdr:row>46</xdr:row>
                    <xdr:rowOff>28575</xdr:rowOff>
                  </to>
                </anchor>
              </controlPr>
            </control>
          </mc:Choice>
        </mc:AlternateContent>
        <mc:AlternateContent xmlns:mc="http://schemas.openxmlformats.org/markup-compatibility/2006">
          <mc:Choice Requires="x14">
            <control shapeId="99335" r:id="rId10" name="Check Box 7">
              <controlPr defaultSize="0" autoFill="0" autoLine="0" autoPict="0" macro="[0]!CheckBox1_Click" altText="">
                <anchor>
                  <from>
                    <xdr:col>23</xdr:col>
                    <xdr:colOff>76200</xdr:colOff>
                    <xdr:row>45</xdr:row>
                    <xdr:rowOff>161925</xdr:rowOff>
                  </from>
                  <to>
                    <xdr:col>36</xdr:col>
                    <xdr:colOff>47625</xdr:colOff>
                    <xdr:row>47</xdr:row>
                    <xdr:rowOff>28575</xdr:rowOff>
                  </to>
                </anchor>
              </controlPr>
            </control>
          </mc:Choice>
        </mc:AlternateContent>
        <mc:AlternateContent xmlns:mc="http://schemas.openxmlformats.org/markup-compatibility/2006">
          <mc:Choice Requires="x14">
            <control shapeId="99336" r:id="rId11" name="Check Box 8">
              <controlPr defaultSize="0" autoFill="0" autoLine="0" autoPict="0" macro="[0]!CheckBox1_Click" altText="">
                <anchor>
                  <from>
                    <xdr:col>23</xdr:col>
                    <xdr:colOff>76200</xdr:colOff>
                    <xdr:row>46</xdr:row>
                    <xdr:rowOff>161925</xdr:rowOff>
                  </from>
                  <to>
                    <xdr:col>36</xdr:col>
                    <xdr:colOff>47625</xdr:colOff>
                    <xdr:row>48</xdr:row>
                    <xdr:rowOff>28575</xdr:rowOff>
                  </to>
                </anchor>
              </controlPr>
            </control>
          </mc:Choice>
        </mc:AlternateContent>
        <mc:AlternateContent xmlns:mc="http://schemas.openxmlformats.org/markup-compatibility/2006">
          <mc:Choice Requires="x14">
            <control shapeId="99337" r:id="rId12" name="Check Box 9">
              <controlPr defaultSize="0" autoFill="0" autoLine="0" autoPict="0" macro="[0]!CheckBox1_Click" altText="">
                <anchor>
                  <from>
                    <xdr:col>23</xdr:col>
                    <xdr:colOff>76200</xdr:colOff>
                    <xdr:row>47</xdr:row>
                    <xdr:rowOff>161925</xdr:rowOff>
                  </from>
                  <to>
                    <xdr:col>36</xdr:col>
                    <xdr:colOff>47625</xdr:colOff>
                    <xdr:row>49</xdr:row>
                    <xdr:rowOff>28575</xdr:rowOff>
                  </to>
                </anchor>
              </controlPr>
            </control>
          </mc:Choice>
        </mc:AlternateContent>
        <mc:AlternateContent xmlns:mc="http://schemas.openxmlformats.org/markup-compatibility/2006">
          <mc:Choice Requires="x14">
            <control shapeId="99338" r:id="rId13" name="Check Box 10">
              <controlPr defaultSize="0" autoFill="0" autoLine="0" autoPict="0" macro="[0]!CheckBox1_Click" altText="">
                <anchor>
                  <from>
                    <xdr:col>23</xdr:col>
                    <xdr:colOff>76200</xdr:colOff>
                    <xdr:row>48</xdr:row>
                    <xdr:rowOff>161925</xdr:rowOff>
                  </from>
                  <to>
                    <xdr:col>36</xdr:col>
                    <xdr:colOff>47625</xdr:colOff>
                    <xdr:row>50</xdr:row>
                    <xdr:rowOff>28575</xdr:rowOff>
                  </to>
                </anchor>
              </controlPr>
            </control>
          </mc:Choice>
        </mc:AlternateContent>
        <mc:AlternateContent xmlns:mc="http://schemas.openxmlformats.org/markup-compatibility/2006">
          <mc:Choice Requires="x14">
            <control shapeId="99339" r:id="rId14" name="Check Box 11">
              <controlPr defaultSize="0" autoFill="0" autoLine="0" autoPict="0" macro="[0]!CheckBox1_Click" altText="">
                <anchor>
                  <from>
                    <xdr:col>23</xdr:col>
                    <xdr:colOff>76200</xdr:colOff>
                    <xdr:row>49</xdr:row>
                    <xdr:rowOff>161925</xdr:rowOff>
                  </from>
                  <to>
                    <xdr:col>36</xdr:col>
                    <xdr:colOff>47625</xdr:colOff>
                    <xdr:row>51</xdr:row>
                    <xdr:rowOff>28575</xdr:rowOff>
                  </to>
                </anchor>
              </controlPr>
            </control>
          </mc:Choice>
        </mc:AlternateContent>
        <mc:AlternateContent xmlns:mc="http://schemas.openxmlformats.org/markup-compatibility/2006">
          <mc:Choice Requires="x14">
            <control shapeId="99340" r:id="rId15" name="Check Box 12">
              <controlPr defaultSize="0" autoFill="0" autoLine="0" autoPict="0" macro="[0]!CheckBox1_Click" altText="">
                <anchor>
                  <from>
                    <xdr:col>23</xdr:col>
                    <xdr:colOff>76200</xdr:colOff>
                    <xdr:row>50</xdr:row>
                    <xdr:rowOff>161925</xdr:rowOff>
                  </from>
                  <to>
                    <xdr:col>36</xdr:col>
                    <xdr:colOff>47625</xdr:colOff>
                    <xdr:row>52</xdr:row>
                    <xdr:rowOff>28575</xdr:rowOff>
                  </to>
                </anchor>
              </controlPr>
            </control>
          </mc:Choice>
        </mc:AlternateContent>
        <mc:AlternateContent xmlns:mc="http://schemas.openxmlformats.org/markup-compatibility/2006">
          <mc:Choice Requires="x14">
            <control shapeId="99341" r:id="rId16" name="Check Box 13">
              <controlPr defaultSize="0" autoFill="0" autoLine="0" autoPict="0" macro="[0]!CheckBox1_Click" altText="">
                <anchor>
                  <from>
                    <xdr:col>23</xdr:col>
                    <xdr:colOff>76200</xdr:colOff>
                    <xdr:row>51</xdr:row>
                    <xdr:rowOff>161925</xdr:rowOff>
                  </from>
                  <to>
                    <xdr:col>36</xdr:col>
                    <xdr:colOff>47625</xdr:colOff>
                    <xdr:row>53</xdr:row>
                    <xdr:rowOff>28575</xdr:rowOff>
                  </to>
                </anchor>
              </controlPr>
            </control>
          </mc:Choice>
        </mc:AlternateContent>
        <mc:AlternateContent xmlns:mc="http://schemas.openxmlformats.org/markup-compatibility/2006">
          <mc:Choice Requires="x14">
            <control shapeId="99342" r:id="rId17" name="Check Box 14">
              <controlPr defaultSize="0" autoFill="0" autoLine="0" autoPict="0" macro="[0]!CheckBox1_Click" altText="">
                <anchor>
                  <from>
                    <xdr:col>23</xdr:col>
                    <xdr:colOff>76200</xdr:colOff>
                    <xdr:row>52</xdr:row>
                    <xdr:rowOff>161925</xdr:rowOff>
                  </from>
                  <to>
                    <xdr:col>36</xdr:col>
                    <xdr:colOff>47625</xdr:colOff>
                    <xdr:row>54</xdr:row>
                    <xdr:rowOff>28575</xdr:rowOff>
                  </to>
                </anchor>
              </controlPr>
            </control>
          </mc:Choice>
        </mc:AlternateContent>
        <mc:AlternateContent xmlns:mc="http://schemas.openxmlformats.org/markup-compatibility/2006">
          <mc:Choice Requires="x14">
            <control shapeId="99343" r:id="rId18" name="Check Box 15">
              <controlPr defaultSize="0" autoFill="0" autoLine="0" autoPict="0" macro="[0]!CheckBox1_Click" altText="">
                <anchor>
                  <from>
                    <xdr:col>23</xdr:col>
                    <xdr:colOff>76200</xdr:colOff>
                    <xdr:row>53</xdr:row>
                    <xdr:rowOff>161925</xdr:rowOff>
                  </from>
                  <to>
                    <xdr:col>36</xdr:col>
                    <xdr:colOff>47625</xdr:colOff>
                    <xdr:row>55</xdr:row>
                    <xdr:rowOff>28575</xdr:rowOff>
                  </to>
                </anchor>
              </controlPr>
            </control>
          </mc:Choice>
        </mc:AlternateContent>
        <mc:AlternateContent xmlns:mc="http://schemas.openxmlformats.org/markup-compatibility/2006">
          <mc:Choice Requires="x14">
            <control shapeId="99344" r:id="rId19" name="Check Box 16">
              <controlPr defaultSize="0" autoFill="0" autoLine="0" autoPict="0" macro="[0]!CheckBox1_Click" altText="">
                <anchor>
                  <from>
                    <xdr:col>23</xdr:col>
                    <xdr:colOff>76200</xdr:colOff>
                    <xdr:row>54</xdr:row>
                    <xdr:rowOff>161925</xdr:rowOff>
                  </from>
                  <to>
                    <xdr:col>36</xdr:col>
                    <xdr:colOff>47625</xdr:colOff>
                    <xdr:row>56</xdr:row>
                    <xdr:rowOff>28575</xdr:rowOff>
                  </to>
                </anchor>
              </controlPr>
            </control>
          </mc:Choice>
        </mc:AlternateContent>
        <mc:AlternateContent xmlns:mc="http://schemas.openxmlformats.org/markup-compatibility/2006">
          <mc:Choice Requires="x14">
            <control shapeId="99345" r:id="rId20" name="Check Box 17">
              <controlPr defaultSize="0" autoFill="0" autoLine="0" autoPict="0" macro="[0]!CheckBox1_Click" altText="">
                <anchor>
                  <from>
                    <xdr:col>23</xdr:col>
                    <xdr:colOff>76200</xdr:colOff>
                    <xdr:row>57</xdr:row>
                    <xdr:rowOff>161925</xdr:rowOff>
                  </from>
                  <to>
                    <xdr:col>36</xdr:col>
                    <xdr:colOff>47625</xdr:colOff>
                    <xdr:row>59</xdr:row>
                    <xdr:rowOff>28575</xdr:rowOff>
                  </to>
                </anchor>
              </controlPr>
            </control>
          </mc:Choice>
        </mc:AlternateContent>
        <mc:AlternateContent xmlns:mc="http://schemas.openxmlformats.org/markup-compatibility/2006">
          <mc:Choice Requires="x14">
            <control shapeId="99346" r:id="rId21" name="Check Box 18">
              <controlPr defaultSize="0" autoFill="0" autoLine="0" autoPict="0" macro="[0]!CheckBox1_Click" altText="">
                <anchor>
                  <from>
                    <xdr:col>23</xdr:col>
                    <xdr:colOff>76200</xdr:colOff>
                    <xdr:row>58</xdr:row>
                    <xdr:rowOff>161925</xdr:rowOff>
                  </from>
                  <to>
                    <xdr:col>36</xdr:col>
                    <xdr:colOff>47625</xdr:colOff>
                    <xdr:row>60</xdr:row>
                    <xdr:rowOff>28575</xdr:rowOff>
                  </to>
                </anchor>
              </controlPr>
            </control>
          </mc:Choice>
        </mc:AlternateContent>
        <mc:AlternateContent xmlns:mc="http://schemas.openxmlformats.org/markup-compatibility/2006">
          <mc:Choice Requires="x14">
            <control shapeId="99347" r:id="rId22" name="Check Box 19">
              <controlPr defaultSize="0" autoFill="0" autoLine="0" autoPict="0" macro="[0]!CheckBox1_Click" altText="">
                <anchor>
                  <from>
                    <xdr:col>23</xdr:col>
                    <xdr:colOff>76200</xdr:colOff>
                    <xdr:row>59</xdr:row>
                    <xdr:rowOff>161925</xdr:rowOff>
                  </from>
                  <to>
                    <xdr:col>36</xdr:col>
                    <xdr:colOff>47625</xdr:colOff>
                    <xdr:row>61</xdr:row>
                    <xdr:rowOff>28575</xdr:rowOff>
                  </to>
                </anchor>
              </controlPr>
            </control>
          </mc:Choice>
        </mc:AlternateContent>
        <mc:AlternateContent xmlns:mc="http://schemas.openxmlformats.org/markup-compatibility/2006">
          <mc:Choice Requires="x14">
            <control shapeId="99348" r:id="rId23" name="Check Box 20">
              <controlPr defaultSize="0" autoFill="0" autoLine="0" autoPict="0" macro="[0]!CheckBox1_Click" altText="">
                <anchor>
                  <from>
                    <xdr:col>23</xdr:col>
                    <xdr:colOff>76200</xdr:colOff>
                    <xdr:row>60</xdr:row>
                    <xdr:rowOff>161925</xdr:rowOff>
                  </from>
                  <to>
                    <xdr:col>36</xdr:col>
                    <xdr:colOff>47625</xdr:colOff>
                    <xdr:row>62</xdr:row>
                    <xdr:rowOff>28575</xdr:rowOff>
                  </to>
                </anchor>
              </controlPr>
            </control>
          </mc:Choice>
        </mc:AlternateContent>
        <mc:AlternateContent xmlns:mc="http://schemas.openxmlformats.org/markup-compatibility/2006">
          <mc:Choice Requires="x14">
            <control shapeId="99349" r:id="rId24" name="Check Box 21">
              <controlPr defaultSize="0" autoFill="0" autoLine="0" autoPict="0" macro="[0]!CheckBox1_Click" altText="">
                <anchor>
                  <from>
                    <xdr:col>23</xdr:col>
                    <xdr:colOff>76200</xdr:colOff>
                    <xdr:row>61</xdr:row>
                    <xdr:rowOff>161925</xdr:rowOff>
                  </from>
                  <to>
                    <xdr:col>36</xdr:col>
                    <xdr:colOff>47625</xdr:colOff>
                    <xdr:row>63</xdr:row>
                    <xdr:rowOff>28575</xdr:rowOff>
                  </to>
                </anchor>
              </controlPr>
            </control>
          </mc:Choice>
        </mc:AlternateContent>
        <mc:AlternateContent xmlns:mc="http://schemas.openxmlformats.org/markup-compatibility/2006">
          <mc:Choice Requires="x14">
            <control shapeId="99350" r:id="rId25" name="Check Box 22">
              <controlPr defaultSize="0" autoFill="0" autoLine="0" autoPict="0" macro="[0]!CheckBox1_Click" altText="">
                <anchor>
                  <from>
                    <xdr:col>23</xdr:col>
                    <xdr:colOff>76200</xdr:colOff>
                    <xdr:row>55</xdr:row>
                    <xdr:rowOff>161925</xdr:rowOff>
                  </from>
                  <to>
                    <xdr:col>36</xdr:col>
                    <xdr:colOff>47625</xdr:colOff>
                    <xdr:row>57</xdr:row>
                    <xdr:rowOff>28575</xdr:rowOff>
                  </to>
                </anchor>
              </controlPr>
            </control>
          </mc:Choice>
        </mc:AlternateContent>
        <mc:AlternateContent xmlns:mc="http://schemas.openxmlformats.org/markup-compatibility/2006">
          <mc:Choice Requires="x14">
            <control shapeId="99351" r:id="rId26" name="Check Box 23">
              <controlPr defaultSize="0" autoFill="0" autoLine="0" autoPict="0" macro="[0]!CheckBox1_Click" altText="">
                <anchor>
                  <from>
                    <xdr:col>23</xdr:col>
                    <xdr:colOff>76200</xdr:colOff>
                    <xdr:row>56</xdr:row>
                    <xdr:rowOff>161925</xdr:rowOff>
                  </from>
                  <to>
                    <xdr:col>36</xdr:col>
                    <xdr:colOff>47625</xdr:colOff>
                    <xdr:row>58</xdr:row>
                    <xdr:rowOff>28575</xdr:rowOff>
                  </to>
                </anchor>
              </controlPr>
            </control>
          </mc:Choice>
        </mc:AlternateContent>
        <mc:AlternateContent xmlns:mc="http://schemas.openxmlformats.org/markup-compatibility/2006">
          <mc:Choice Requires="x14">
            <control shapeId="99352" r:id="rId27" name="Check Box 24">
              <controlPr defaultSize="0" autoFill="0" autoLine="0" autoPict="0" macro="[0]!CheckBox1_Click" altText="">
                <anchor>
                  <from>
                    <xdr:col>23</xdr:col>
                    <xdr:colOff>76200</xdr:colOff>
                    <xdr:row>62</xdr:row>
                    <xdr:rowOff>161925</xdr:rowOff>
                  </from>
                  <to>
                    <xdr:col>36</xdr:col>
                    <xdr:colOff>47625</xdr:colOff>
                    <xdr:row>64</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50CEE49D-8871-448E-8CDD-B879413DF560}">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3">
    <tabColor rgb="FFFFC000"/>
  </sheetPr>
  <dimension ref="A1:AZ380"/>
  <sheetViews>
    <sheetView showRowColHeaders="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8" width="6.85546875" style="76" customWidth="1"/>
    <col min="9" max="9" width="7.42578125" style="76" customWidth="1"/>
    <col min="10" max="10" width="1.42578125" style="90" customWidth="1"/>
    <col min="11" max="15" width="6.85546875" style="76" customWidth="1"/>
    <col min="16" max="16" width="7.140625" style="76" customWidth="1"/>
    <col min="17" max="17" width="7.42578125" style="76" customWidth="1"/>
    <col min="18" max="18" width="1.42578125" style="76" customWidth="1"/>
    <col min="19" max="19" width="5.7109375" style="76" customWidth="1"/>
    <col min="20" max="20" width="8.28515625" style="76" customWidth="1"/>
    <col min="21" max="21" width="7.7109375" style="76" customWidth="1"/>
    <col min="22" max="22" width="2.140625" style="76" customWidth="1"/>
    <col min="23" max="23" width="6.42578125" style="82" customWidth="1"/>
    <col min="24" max="24" width="4.85546875" style="82" customWidth="1"/>
    <col min="25" max="25" width="17.85546875" style="83" hidden="1" customWidth="1"/>
    <col min="26" max="26" width="19.42578125" style="83" hidden="1" customWidth="1"/>
    <col min="27" max="27" width="19.85546875" style="83" hidden="1" customWidth="1"/>
    <col min="28" max="29" width="16.5703125" style="83" hidden="1" customWidth="1"/>
    <col min="30" max="31" width="8.5703125" style="83" hidden="1" customWidth="1"/>
    <col min="32" max="32" width="7.85546875" style="83" hidden="1" customWidth="1"/>
    <col min="33" max="33" width="17" style="83" hidden="1" customWidth="1"/>
    <col min="34" max="34" width="5.5703125" style="83" hidden="1" customWidth="1"/>
    <col min="35" max="35" width="4.85546875" style="83" hidden="1" customWidth="1"/>
    <col min="36" max="36" width="5.5703125" style="76" hidden="1" customWidth="1"/>
    <col min="37" max="37" width="31.5703125" style="76" customWidth="1"/>
    <col min="38" max="38" width="17" style="76" hidden="1" customWidth="1"/>
    <col min="39" max="43" width="13.5703125" style="76" hidden="1" customWidth="1"/>
    <col min="44" max="51" width="9.140625" style="76" hidden="1" customWidth="1"/>
    <col min="52" max="53" width="9.140625" style="76" customWidth="1"/>
    <col min="54" max="16384" width="9.140625" style="76"/>
  </cols>
  <sheetData>
    <row r="1" spans="1:50" ht="18.75" customHeight="1" thickBot="1" x14ac:dyDescent="0.25">
      <c r="A1" s="114"/>
      <c r="B1" s="115"/>
      <c r="C1" s="115"/>
      <c r="D1" s="115"/>
      <c r="E1" s="115"/>
      <c r="F1" s="115"/>
      <c r="G1" s="115"/>
      <c r="H1" s="115"/>
      <c r="I1" s="115"/>
      <c r="J1" s="116"/>
      <c r="K1" s="115"/>
      <c r="L1" s="115"/>
      <c r="M1" s="115"/>
      <c r="N1" s="115"/>
      <c r="O1" s="115"/>
      <c r="P1" s="115"/>
      <c r="Q1" s="115"/>
      <c r="R1" s="115"/>
      <c r="S1" s="115"/>
      <c r="T1" s="115"/>
      <c r="U1" s="115"/>
      <c r="V1" s="117"/>
      <c r="W1" s="268"/>
      <c r="X1" s="151"/>
      <c r="Y1" s="175"/>
      <c r="Z1" s="891" t="str">
        <f>IF(Sheet1!$C$3="Annual"," the year ending 31st March"," the quarter")</f>
        <v xml:space="preserve"> the year ending 31st March</v>
      </c>
      <c r="AA1" s="175"/>
      <c r="AB1" s="175"/>
      <c r="AC1" s="175"/>
      <c r="AD1" s="175"/>
      <c r="AE1" s="175"/>
      <c r="AF1" s="175"/>
      <c r="AG1" s="175"/>
      <c r="AH1" s="175"/>
      <c r="AI1" s="175"/>
      <c r="AJ1" s="176"/>
      <c r="AK1" s="152"/>
    </row>
    <row r="2" spans="1:50" ht="18.75" customHeight="1" x14ac:dyDescent="0.2">
      <c r="A2" s="120"/>
      <c r="B2" s="130" t="s">
        <v>148</v>
      </c>
      <c r="C2" s="9"/>
      <c r="D2" s="9"/>
      <c r="E2" s="9"/>
      <c r="F2" s="9"/>
      <c r="G2" s="9"/>
      <c r="H2" s="9"/>
      <c r="I2" s="9"/>
      <c r="J2" s="13"/>
      <c r="K2" s="9"/>
      <c r="L2" s="9"/>
      <c r="M2" s="9"/>
      <c r="N2" s="9"/>
      <c r="O2" s="9"/>
      <c r="P2" s="9"/>
      <c r="Q2" s="9"/>
      <c r="R2" s="9"/>
      <c r="S2" s="9"/>
      <c r="T2" s="9"/>
      <c r="U2" s="9"/>
      <c r="V2" s="119"/>
      <c r="W2" s="157"/>
      <c r="X2" s="147"/>
      <c r="Y2" s="800">
        <f>IF(Sheet1!$C$3="Annual",1,4)</f>
        <v>1</v>
      </c>
      <c r="Z2" s="760" t="str">
        <f>IF(Sheet1!$C$3="Annual","",Sheet1!$D$26)</f>
        <v/>
      </c>
      <c r="AA2" s="761" t="str">
        <f>IF(Sheet1!$C$3="Annual","",Sheet1!$E$26)</f>
        <v/>
      </c>
      <c r="AB2" s="761" t="str">
        <f>IF(Sheet1!$C$3="Annual","",Sheet1!$F$26)</f>
        <v/>
      </c>
      <c r="AC2" s="761" t="str">
        <f>IF(Sheet1!$C$3="Annual","",Sheet1!$G$26)</f>
        <v/>
      </c>
      <c r="AD2" s="762" t="str">
        <f>IF(Sheet1!$C$3="Annual","",Sheet1!$H$26)</f>
        <v/>
      </c>
      <c r="AJ2" s="179"/>
      <c r="AK2" s="153"/>
    </row>
    <row r="3" spans="1:50" ht="18.75" customHeight="1" thickBot="1" x14ac:dyDescent="0.25">
      <c r="A3" s="126"/>
      <c r="B3" s="127"/>
      <c r="C3" s="127"/>
      <c r="D3" s="127"/>
      <c r="E3" s="127"/>
      <c r="F3" s="127"/>
      <c r="G3" s="127"/>
      <c r="H3" s="127"/>
      <c r="I3" s="260"/>
      <c r="J3" s="128"/>
      <c r="K3" s="127"/>
      <c r="L3" s="127"/>
      <c r="M3" s="127"/>
      <c r="N3" s="127"/>
      <c r="O3" s="127"/>
      <c r="P3" s="528"/>
      <c r="Q3" s="127"/>
      <c r="R3" s="127"/>
      <c r="S3" s="127"/>
      <c r="T3" s="260"/>
      <c r="U3" s="127"/>
      <c r="V3" s="129"/>
      <c r="W3" s="157"/>
      <c r="X3" s="147"/>
      <c r="Y3" s="763"/>
      <c r="Z3" s="763" t="str">
        <f>Sheet1!$D$25</f>
        <v>2014-15</v>
      </c>
      <c r="AA3" s="764" t="str">
        <f>Sheet1!$E$25</f>
        <v>2015-16</v>
      </c>
      <c r="AB3" s="764" t="str">
        <f>Sheet1!$F$25</f>
        <v>2016-17</v>
      </c>
      <c r="AC3" s="764" t="str">
        <f>Sheet1!$G$25</f>
        <v>2017-18</v>
      </c>
      <c r="AD3" s="765" t="str">
        <f>Sheet1!$H$25</f>
        <v>2018-19</v>
      </c>
      <c r="AJ3" s="179"/>
      <c r="AK3" s="153"/>
      <c r="AR3" s="76">
        <v>0</v>
      </c>
    </row>
    <row r="4" spans="1:50" ht="11.25" customHeight="1" x14ac:dyDescent="0.2">
      <c r="A4" s="114"/>
      <c r="B4" s="115"/>
      <c r="C4" s="115"/>
      <c r="D4" s="115"/>
      <c r="E4" s="115"/>
      <c r="F4" s="115"/>
      <c r="G4" s="115"/>
      <c r="H4" s="115"/>
      <c r="I4" s="115"/>
      <c r="J4" s="116"/>
      <c r="K4" s="115"/>
      <c r="L4" s="115"/>
      <c r="M4" s="115"/>
      <c r="N4" s="115"/>
      <c r="O4" s="115"/>
      <c r="P4" s="115"/>
      <c r="Q4" s="115"/>
      <c r="R4" s="115"/>
      <c r="S4" s="115"/>
      <c r="T4" s="115"/>
      <c r="U4" s="115"/>
      <c r="V4" s="117"/>
      <c r="W4" s="138"/>
      <c r="X4" s="147"/>
      <c r="Y4" s="183"/>
      <c r="Z4" s="181" t="str">
        <f>Home!$D$10</f>
        <v>(none)</v>
      </c>
      <c r="AA4" s="43" t="str">
        <f>"Selected LA- "&amp;Z4</f>
        <v>Selected LA- (none)</v>
      </c>
      <c r="AJ4" s="179"/>
      <c r="AK4" s="153"/>
    </row>
    <row r="5" spans="1:50" s="78" customFormat="1" ht="15" customHeight="1" x14ac:dyDescent="0.2">
      <c r="A5" s="121"/>
      <c r="B5" s="1435" t="str">
        <f>"Care Applications to Court during"&amp;Z1</f>
        <v>Care Applications to Court during the year ending 31st March</v>
      </c>
      <c r="C5" s="1318"/>
      <c r="D5" s="1318"/>
      <c r="E5" s="1318"/>
      <c r="F5" s="1318"/>
      <c r="G5" s="1318"/>
      <c r="H5" s="1318"/>
      <c r="I5" s="1318"/>
      <c r="J5" s="1318"/>
      <c r="K5" s="1318"/>
      <c r="L5" s="1318"/>
      <c r="M5" s="1318"/>
      <c r="N5" s="1318"/>
      <c r="O5" s="69"/>
      <c r="P5" s="69"/>
      <c r="Q5" s="69"/>
      <c r="R5" s="69"/>
      <c r="S5" s="69"/>
      <c r="T5" s="69"/>
      <c r="U5" s="69"/>
      <c r="V5" s="122"/>
      <c r="W5" s="139"/>
      <c r="X5" s="148"/>
      <c r="Y5" s="183"/>
      <c r="Z5" s="183"/>
      <c r="AA5" s="183"/>
      <c r="AB5" s="183"/>
      <c r="AC5" s="183"/>
      <c r="AD5" s="183"/>
      <c r="AE5" s="183"/>
      <c r="AF5" s="183"/>
      <c r="AG5" s="183"/>
      <c r="AH5" s="183"/>
      <c r="AI5" s="183"/>
      <c r="AJ5" s="183"/>
      <c r="AK5" s="154"/>
      <c r="AL5" s="183" t="str">
        <f>CONCATENATE($I$7,"in Number of "&amp;$B5)</f>
        <v>Average Annual Change in Number of Care Applications to Court during the year ending 31st March</v>
      </c>
      <c r="AR5" s="887" t="s">
        <v>692</v>
      </c>
    </row>
    <row r="6" spans="1:50" ht="13.5" customHeight="1" x14ac:dyDescent="0.2">
      <c r="A6" s="120"/>
      <c r="B6" s="1318"/>
      <c r="C6" s="1318"/>
      <c r="D6" s="1318"/>
      <c r="E6" s="1318"/>
      <c r="F6" s="1318"/>
      <c r="G6" s="1318"/>
      <c r="H6" s="1318"/>
      <c r="I6" s="1318"/>
      <c r="J6" s="1318"/>
      <c r="K6" s="1318"/>
      <c r="L6" s="1318"/>
      <c r="M6" s="1318"/>
      <c r="N6" s="1318"/>
      <c r="O6" s="69"/>
      <c r="P6" s="69"/>
      <c r="Q6" s="69"/>
      <c r="R6" s="69"/>
      <c r="S6" s="69"/>
      <c r="T6" s="69"/>
      <c r="U6" s="69"/>
      <c r="V6" s="119"/>
      <c r="W6" s="138"/>
      <c r="X6" s="147"/>
      <c r="Z6" s="185"/>
      <c r="AJ6" s="179"/>
      <c r="AK6" s="153"/>
    </row>
    <row r="7" spans="1:50" s="89" customFormat="1" ht="12.75" customHeight="1" x14ac:dyDescent="0.2">
      <c r="A7" s="123"/>
      <c r="B7" s="1449" t="s">
        <v>190</v>
      </c>
      <c r="C7" s="87"/>
      <c r="D7" s="1545" t="s">
        <v>88</v>
      </c>
      <c r="E7" s="1557"/>
      <c r="F7" s="1557"/>
      <c r="G7" s="1557"/>
      <c r="H7" s="1558"/>
      <c r="I7" s="1439" t="str">
        <f>"Average "&amp;Sheet1!C3&amp;" Change "</f>
        <v xml:space="preserve">Average Annual Change </v>
      </c>
      <c r="J7" s="98"/>
      <c r="K7" s="1562" t="s">
        <v>89</v>
      </c>
      <c r="L7" s="1563"/>
      <c r="M7" s="1563"/>
      <c r="N7" s="1563"/>
      <c r="O7" s="1563"/>
      <c r="P7" s="1563"/>
      <c r="Q7" s="1446" t="str">
        <f>IF(ISNA(O9),"SE Rank "&amp;O8,"SE Rank "&amp;O9)</f>
        <v>SE Rank 2018-19</v>
      </c>
      <c r="R7" s="69"/>
      <c r="S7" s="1451" t="str">
        <f>"Distance from Expected "&amp;Sheet1!$B$8</f>
        <v>Distance from Expected 2019</v>
      </c>
      <c r="T7" s="1452"/>
      <c r="U7" s="1453"/>
      <c r="V7" s="124"/>
      <c r="W7" s="140"/>
      <c r="X7" s="149"/>
      <c r="Y7" s="199"/>
      <c r="Z7" s="199"/>
      <c r="AB7" s="200" t="s">
        <v>79</v>
      </c>
      <c r="AC7" s="185"/>
      <c r="AD7" s="185"/>
      <c r="AE7" s="194"/>
      <c r="AF7" s="194"/>
      <c r="AG7" s="201" t="s">
        <v>92</v>
      </c>
      <c r="AH7" s="185"/>
      <c r="AI7" s="185"/>
      <c r="AJ7" s="199"/>
      <c r="AK7" s="156"/>
      <c r="AL7" s="550"/>
      <c r="AM7" s="550"/>
      <c r="AN7" s="550"/>
      <c r="AO7" s="550"/>
      <c r="AP7" s="550"/>
      <c r="AQ7" s="76"/>
    </row>
    <row r="8" spans="1:50" s="89" customFormat="1" ht="12.75" customHeight="1" x14ac:dyDescent="0.2">
      <c r="A8" s="286"/>
      <c r="B8" s="1449"/>
      <c r="C8" s="87"/>
      <c r="D8" s="755" t="str">
        <f>Sheet1!$D$25</f>
        <v>2014-15</v>
      </c>
      <c r="E8" s="756" t="str">
        <f>Sheet1!$E$25</f>
        <v>2015-16</v>
      </c>
      <c r="F8" s="756" t="str">
        <f>Sheet1!$F$25</f>
        <v>2016-17</v>
      </c>
      <c r="G8" s="756" t="str">
        <f>Sheet1!$G$25</f>
        <v>2017-18</v>
      </c>
      <c r="H8" s="757" t="str">
        <f>Sheet1!$H$25</f>
        <v>2018-19</v>
      </c>
      <c r="I8" s="1440"/>
      <c r="J8" s="98"/>
      <c r="K8" s="768" t="str">
        <f>Sheet1!$D$25</f>
        <v>2014-15</v>
      </c>
      <c r="L8" s="769" t="str">
        <f>Sheet1!$E$25</f>
        <v>2015-16</v>
      </c>
      <c r="M8" s="769" t="str">
        <f>Sheet1!$F$25</f>
        <v>2016-17</v>
      </c>
      <c r="N8" s="769" t="str">
        <f>Sheet1!$G$25</f>
        <v>2017-18</v>
      </c>
      <c r="O8" s="1457" t="str">
        <f>Sheet1!$H$25</f>
        <v>2018-19</v>
      </c>
      <c r="P8" s="1458"/>
      <c r="Q8" s="1447"/>
      <c r="R8" s="69"/>
      <c r="S8" s="1454"/>
      <c r="T8" s="1455"/>
      <c r="U8" s="1456"/>
      <c r="V8" s="124"/>
      <c r="W8" s="140"/>
      <c r="X8" s="149"/>
      <c r="Y8" s="199"/>
      <c r="Z8" s="1423" t="s">
        <v>76</v>
      </c>
      <c r="AA8" s="1423" t="s">
        <v>77</v>
      </c>
      <c r="AB8" s="730" t="str">
        <f>Sheet1!$D$25</f>
        <v>2014-15</v>
      </c>
      <c r="AC8" s="730" t="str">
        <f>Sheet1!$E$25</f>
        <v>2015-16</v>
      </c>
      <c r="AD8" s="730" t="str">
        <f>Sheet1!$F$25</f>
        <v>2016-17</v>
      </c>
      <c r="AE8" s="730" t="str">
        <f>Sheet1!$G$25</f>
        <v>2017-18</v>
      </c>
      <c r="AF8" s="730" t="str">
        <f>Sheet1!$H$25</f>
        <v>2018-19</v>
      </c>
      <c r="AG8" s="201"/>
      <c r="AH8" s="185"/>
      <c r="AI8" s="185"/>
      <c r="AJ8" s="199"/>
      <c r="AK8" s="156"/>
      <c r="AL8" s="874"/>
      <c r="AM8" s="874"/>
      <c r="AN8" s="874"/>
      <c r="AO8" s="874"/>
      <c r="AP8" s="874"/>
    </row>
    <row r="9" spans="1:50" s="89" customFormat="1" ht="12.75" customHeight="1" x14ac:dyDescent="0.2">
      <c r="A9" s="123"/>
      <c r="B9" s="1450"/>
      <c r="C9" s="87"/>
      <c r="D9" s="758" t="e">
        <f>Sheet1!$D$26</f>
        <v>#N/A</v>
      </c>
      <c r="E9" s="758" t="e">
        <f>Sheet1!$E$26</f>
        <v>#N/A</v>
      </c>
      <c r="F9" s="758" t="e">
        <f>Sheet1!$F$26</f>
        <v>#N/A</v>
      </c>
      <c r="G9" s="758" t="e">
        <f>Sheet1!$G$26</f>
        <v>#N/A</v>
      </c>
      <c r="H9" s="759" t="e">
        <f>Sheet1!$H$26</f>
        <v>#N/A</v>
      </c>
      <c r="I9" s="1441"/>
      <c r="J9" s="98"/>
      <c r="K9" s="758" t="e">
        <f>Sheet1!$D$26</f>
        <v>#N/A</v>
      </c>
      <c r="L9" s="758" t="e">
        <f>Sheet1!$E$26</f>
        <v>#N/A</v>
      </c>
      <c r="M9" s="758" t="e">
        <f>Sheet1!$F$26</f>
        <v>#N/A</v>
      </c>
      <c r="N9" s="758" t="e">
        <f>Sheet1!$G$26</f>
        <v>#N/A</v>
      </c>
      <c r="O9" s="1433" t="e">
        <f>Sheet1!$H$26</f>
        <v>#N/A</v>
      </c>
      <c r="P9" s="1434"/>
      <c r="Q9" s="1448"/>
      <c r="R9" s="69"/>
      <c r="S9" s="871" t="s">
        <v>78</v>
      </c>
      <c r="T9" s="794" t="s">
        <v>127</v>
      </c>
      <c r="U9" s="795" t="s">
        <v>128</v>
      </c>
      <c r="V9" s="124"/>
      <c r="W9" s="140"/>
      <c r="X9" s="149"/>
      <c r="Y9" s="199"/>
      <c r="Z9" s="1424"/>
      <c r="AA9" s="1424"/>
      <c r="AB9" s="730" t="e">
        <f>Sheet1!$D$26</f>
        <v>#N/A</v>
      </c>
      <c r="AC9" s="730" t="e">
        <f>Sheet1!$E$26</f>
        <v>#N/A</v>
      </c>
      <c r="AD9" s="730" t="e">
        <f>Sheet1!$F$26</f>
        <v>#N/A</v>
      </c>
      <c r="AE9" s="730" t="e">
        <f>Sheet1!$G$26</f>
        <v>#N/A</v>
      </c>
      <c r="AF9" s="730" t="e">
        <f>Sheet1!$H$26</f>
        <v>#N/A</v>
      </c>
      <c r="AG9" s="185"/>
      <c r="AH9" s="185">
        <f>COLUMNS($B$4:O$4)</f>
        <v>14</v>
      </c>
      <c r="AI9" s="185"/>
      <c r="AJ9" s="199"/>
      <c r="AK9" s="156"/>
      <c r="AL9" s="878" t="s">
        <v>686</v>
      </c>
      <c r="AM9" s="878" t="s">
        <v>687</v>
      </c>
      <c r="AN9" s="878" t="s">
        <v>688</v>
      </c>
      <c r="AO9" s="878" t="s">
        <v>689</v>
      </c>
      <c r="AP9" s="878" t="s">
        <v>690</v>
      </c>
      <c r="AR9" s="889" t="s">
        <v>693</v>
      </c>
      <c r="AS9" s="889" t="s">
        <v>694</v>
      </c>
      <c r="AT9" s="889" t="s">
        <v>695</v>
      </c>
      <c r="AU9" s="889" t="s">
        <v>696</v>
      </c>
      <c r="AV9" s="890" t="s">
        <v>697</v>
      </c>
      <c r="AW9" s="890" t="s">
        <v>698</v>
      </c>
      <c r="AX9" s="890" t="s">
        <v>699</v>
      </c>
    </row>
    <row r="10" spans="1:50" s="89" customFormat="1" ht="13.5" customHeight="1" x14ac:dyDescent="0.2">
      <c r="A10" s="462">
        <f>VLOOKUP(B10,Sheet1!$AQ$4:$AR$25,2,FALSE)</f>
        <v>0</v>
      </c>
      <c r="B10" s="95" t="str">
        <f>Sheet1!$K$4</f>
        <v>Bracknell Forest</v>
      </c>
      <c r="C10" s="87"/>
      <c r="D10" s="96">
        <f>IF(Year1_Bracknell_Forest Year1_Care_Applications="","",Year1_Bracknell_Forest Year1_Care_Applications)</f>
        <v>16</v>
      </c>
      <c r="E10" s="96">
        <f>IF(Year2_Bracknell_Forest Year2_Care_Applications="","",Year2_Bracknell_Forest Year2_Care_Applications)</f>
        <v>35</v>
      </c>
      <c r="F10" s="96">
        <f>IF(Year3_Bracknell_Forest Year3_Care_Applications="","",Year3_Bracknell_Forest Year3_Care_Applications)</f>
        <v>35</v>
      </c>
      <c r="G10" s="96">
        <f>IF(Year4_Bracknell_Forest Year4_Care_Applications="","",Year4_Bracknell_Forest Year4_Care_Applications)</f>
        <v>55</v>
      </c>
      <c r="H10" s="97">
        <f>IF(Year5_Bracknell_Forest Year5_Care_Applications="","",Year5_Bracknell_Forest Year5_Care_Applications)</f>
        <v>42</v>
      </c>
      <c r="I10" s="337">
        <f>AP10</f>
        <v>0.38064123376623377</v>
      </c>
      <c r="J10" s="98"/>
      <c r="K10" s="99">
        <f>IF(ISNUMBER(D10),D10/Population!D10*10000,NA())</f>
        <v>5.7553956834532372</v>
      </c>
      <c r="L10" s="99">
        <f>IF(ISNUMBER(E10),E10/Population!E10*10000,NA())</f>
        <v>12.411347517730498</v>
      </c>
      <c r="M10" s="99">
        <f>IF(ISNUMBER(F10),F10/Population!F10*10000,NA())</f>
        <v>12.411347517730498</v>
      </c>
      <c r="N10" s="99">
        <f>IF(ISNUMBER(G10),G10/Population!G10*10000,NA())</f>
        <v>19.572953736654803</v>
      </c>
      <c r="O10" s="100">
        <f>IF(ISNUMBER(H10),H10/Population!H10*10000,NA())</f>
        <v>14.840989399293287</v>
      </c>
      <c r="P10" s="101">
        <f>IF(ISNUMBER(O10),O10,"")</f>
        <v>14.840989399293287</v>
      </c>
      <c r="Q10" s="770">
        <f>IF(ISNA(VLOOKUP(B10,$AG$10:$AI$28,3,FALSE)),"--",IF(ISNUMBER(H10),VLOOKUP(B10,$AG$10:$AI$28,3,FALSE),NA()))</f>
        <v>15</v>
      </c>
      <c r="R10" s="69"/>
      <c r="S10" s="333">
        <f>IDACI!C9</f>
        <v>8.9</v>
      </c>
      <c r="T10" s="334">
        <f t="shared" ref="T10:T33" si="0">((S10*$Z$44)+$AA$44)/$Y$2</f>
        <v>7.513423994562654</v>
      </c>
      <c r="U10" s="335">
        <f>O10-T10</f>
        <v>7.3275654047306329</v>
      </c>
      <c r="V10" s="124"/>
      <c r="W10" s="140"/>
      <c r="X10" s="149"/>
      <c r="Y10" s="71" t="str">
        <f>B10</f>
        <v>Bracknell Forest</v>
      </c>
      <c r="Z10" s="45">
        <f>IF(H10&gt;0,IDACI!D9,0)</f>
        <v>24849</v>
      </c>
      <c r="AA10" s="45">
        <f>IF(H10&gt;0,IDACI!E9,0)</f>
        <v>2211.5610000000001</v>
      </c>
      <c r="AB10" s="202">
        <f>IF(ISNUMBER(D10),Population!D10,"")</f>
        <v>27800</v>
      </c>
      <c r="AC10" s="202">
        <f>IF(ISNUMBER(E10),Population!E10,"")</f>
        <v>28200</v>
      </c>
      <c r="AD10" s="202">
        <f>IF(ISNUMBER(F10),Population!F10,"")</f>
        <v>28200</v>
      </c>
      <c r="AE10" s="202">
        <f>IF(ISNUMBER(G10),Population!G10,"")</f>
        <v>28100</v>
      </c>
      <c r="AF10" s="202">
        <f>IF(ISNUMBER(H10),Population!H10,"")</f>
        <v>28300</v>
      </c>
      <c r="AG10" s="95" t="str">
        <f>B10</f>
        <v>Bracknell Forest</v>
      </c>
      <c r="AH10" s="225">
        <f>IFERROR(VLOOKUP(AG10,$B$10:$O$31,$AH$9,FALSE),"")</f>
        <v>14.840989399293287</v>
      </c>
      <c r="AI10" s="203">
        <f>RANK(AH10,$AH$10:$AH$28,1)</f>
        <v>15</v>
      </c>
      <c r="AJ10" s="199"/>
      <c r="AK10" s="156"/>
      <c r="AL10" s="792">
        <f>IF(ISERROR((E10-D10)/D10),"x",(E10-D10)/D10)</f>
        <v>1.1875</v>
      </c>
      <c r="AM10" s="792">
        <f>IF(ISERROR((F10-E10)/E10),"x",(F10-E10)/E10)</f>
        <v>0</v>
      </c>
      <c r="AN10" s="792">
        <f>IF(ISERROR((G10-F10)/F10),"x",(G10-F10)/F10)</f>
        <v>0.5714285714285714</v>
      </c>
      <c r="AO10" s="792">
        <f>IF(ISERROR((H10-G10)/G10),"x",(H10-G10)/G10)</f>
        <v>-0.23636363636363636</v>
      </c>
      <c r="AP10" s="792">
        <f>AVERAGE(AL10:AO10)</f>
        <v>0.38064123376623377</v>
      </c>
      <c r="AR10" s="888">
        <f>IF(ISNUMBER(L10),L10,"")</f>
        <v>12.411347517730498</v>
      </c>
      <c r="AS10" s="888">
        <f t="shared" ref="AR10:AU25" si="1">IF(ISNUMBER(M10),M10,"")</f>
        <v>12.411347517730498</v>
      </c>
      <c r="AT10" s="888">
        <f t="shared" si="1"/>
        <v>19.572953736654803</v>
      </c>
      <c r="AU10" s="888">
        <f t="shared" si="1"/>
        <v>14.840989399293287</v>
      </c>
      <c r="AV10" s="888">
        <f t="shared" ref="AV10:AV22" si="2">SUM(AR10:AU10)</f>
        <v>59.236638171409083</v>
      </c>
      <c r="AW10" s="550">
        <f t="shared" ref="AW10:AW22" si="3">COUNTBLANK(AR10:AU10)</f>
        <v>0</v>
      </c>
      <c r="AX10" s="888">
        <f>AV10/(4-AW10)*4</f>
        <v>59.236638171409083</v>
      </c>
    </row>
    <row r="11" spans="1:50" s="89" customFormat="1" ht="13.5" customHeight="1" x14ac:dyDescent="0.2">
      <c r="A11" s="462">
        <f>VLOOKUP(B11,Sheet1!$AQ$4:$AR$25,2,FALSE)</f>
        <v>0</v>
      </c>
      <c r="B11" s="95" t="str">
        <f>Sheet1!$K$5</f>
        <v>Brighton &amp; Hove</v>
      </c>
      <c r="C11" s="87"/>
      <c r="D11" s="96">
        <f>IF(Year1_Brighton_Hove Year1_Care_Applications="","",Year1_Brighton_Hove Year1_Care_Applications)</f>
        <v>80</v>
      </c>
      <c r="E11" s="96">
        <f>IF(Year2_Brighton_Hove Year2_Care_Applications="","",Year2_Brighton_Hove Year2_Care_Applications)</f>
        <v>99</v>
      </c>
      <c r="F11" s="96">
        <f>IF(Year3_Brighton_Hove Year3_Care_Applications="","",Year3_Brighton_Hove Year3_Care_Applications)</f>
        <v>104</v>
      </c>
      <c r="G11" s="96">
        <f>IF(Year4_Brighton_Hove Year4_Care_Applications="","",Year4_Brighton_Hove Year4_Care_Applications)</f>
        <v>77</v>
      </c>
      <c r="H11" s="97">
        <f>IF(Year5_Brighton_Hove Year5_Care_Applications="","",Year5_Brighton_Hove Year5_Care_Applications)</f>
        <v>61</v>
      </c>
      <c r="I11" s="337">
        <f t="shared" ref="I11:I33" si="4">AP11</f>
        <v>-4.4850635475635489E-2</v>
      </c>
      <c r="J11" s="98"/>
      <c r="K11" s="99">
        <f>IF(ISNUMBER(D11),D11/Population!D11*10000,NA())</f>
        <v>15.686274509803921</v>
      </c>
      <c r="L11" s="99">
        <f>IF(ISNUMBER(E11),E11/Population!E11*10000,NA())</f>
        <v>19.3359375</v>
      </c>
      <c r="M11" s="99">
        <f>IF(ISNUMBER(F11),F11/Population!F11*10000,NA())</f>
        <v>20.2729044834308</v>
      </c>
      <c r="N11" s="99">
        <f>IF(ISNUMBER(G11),G11/Population!G11*10000,NA())</f>
        <v>15.098039215686274</v>
      </c>
      <c r="O11" s="100">
        <f>IF(ISNUMBER(H11),H11/Population!H11*10000,NA())</f>
        <v>11.96078431372549</v>
      </c>
      <c r="P11" s="101">
        <f t="shared" ref="P11:P32" si="5">IF(ISNUMBER(O11),O11,"")</f>
        <v>11.96078431372549</v>
      </c>
      <c r="Q11" s="770">
        <f t="shared" ref="Q11:Q33" si="6">IF(ISNA(VLOOKUP(B11,$AG$10:$AI$28,3,FALSE)),"--",IF(ISNUMBER(H11),VLOOKUP(B11,$AG$10:$AI$28,3,FALSE),NA()))</f>
        <v>13</v>
      </c>
      <c r="R11" s="69"/>
      <c r="S11" s="333">
        <f>IDACI!C10</f>
        <v>15.299999999999999</v>
      </c>
      <c r="T11" s="334">
        <f t="shared" si="0"/>
        <v>11.241073306541889</v>
      </c>
      <c r="U11" s="335">
        <f t="shared" ref="U11:U33" si="7">O11-T11</f>
        <v>0.71971100718360148</v>
      </c>
      <c r="V11" s="124"/>
      <c r="W11" s="140"/>
      <c r="X11" s="149"/>
      <c r="Y11" s="71" t="str">
        <f t="shared" ref="Y11:Y33" si="8">B11</f>
        <v>Brighton &amp; Hove</v>
      </c>
      <c r="Z11" s="45">
        <f>IF(H11&gt;0,IDACI!D10,0)</f>
        <v>45576</v>
      </c>
      <c r="AA11" s="45">
        <f>IF(H11&gt;0,IDACI!E10,0)</f>
        <v>6973.1279999999997</v>
      </c>
      <c r="AB11" s="202">
        <f>IF(ISNUMBER(D11),Population!D11,"")</f>
        <v>51000</v>
      </c>
      <c r="AC11" s="202">
        <f>IF(ISNUMBER(E11),Population!E11,"")</f>
        <v>51200</v>
      </c>
      <c r="AD11" s="202">
        <f>IF(ISNUMBER(F11),Population!F11,"")</f>
        <v>51300</v>
      </c>
      <c r="AE11" s="202">
        <f>IF(ISNUMBER(G11),Population!G11,"")</f>
        <v>51000</v>
      </c>
      <c r="AF11" s="202">
        <f>IF(ISNUMBER(H11),Population!H11,"")</f>
        <v>51000</v>
      </c>
      <c r="AG11" s="95" t="s">
        <v>31</v>
      </c>
      <c r="AH11" s="225">
        <f t="shared" ref="AH11:AH28" si="9">IFERROR(VLOOKUP(AG11,$B$10:$O$31,$AH$9,FALSE),"")</f>
        <v>11.96078431372549</v>
      </c>
      <c r="AI11" s="203">
        <f t="shared" ref="AI11:AI28" si="10">RANK(AH11,$AH$10:$AH$28,1)</f>
        <v>13</v>
      </c>
      <c r="AJ11" s="199"/>
      <c r="AK11" s="156"/>
      <c r="AL11" s="792">
        <f t="shared" ref="AL11:AO33" si="11">IF(ISERROR((E11-D11)/D11),"x",(E11-D11)/D11)</f>
        <v>0.23749999999999999</v>
      </c>
      <c r="AM11" s="792">
        <f t="shared" si="11"/>
        <v>5.0505050505050504E-2</v>
      </c>
      <c r="AN11" s="792">
        <f t="shared" si="11"/>
        <v>-0.25961538461538464</v>
      </c>
      <c r="AO11" s="792">
        <f t="shared" si="11"/>
        <v>-0.20779220779220781</v>
      </c>
      <c r="AP11" s="792">
        <f t="shared" ref="AP11:AP32" si="12">AVERAGE(AL11:AO11)</f>
        <v>-4.4850635475635489E-2</v>
      </c>
      <c r="AR11" s="888">
        <f t="shared" si="1"/>
        <v>19.3359375</v>
      </c>
      <c r="AS11" s="888">
        <f t="shared" si="1"/>
        <v>20.2729044834308</v>
      </c>
      <c r="AT11" s="888">
        <f t="shared" si="1"/>
        <v>15.098039215686274</v>
      </c>
      <c r="AU11" s="888">
        <f t="shared" si="1"/>
        <v>11.96078431372549</v>
      </c>
      <c r="AV11" s="888">
        <f t="shared" si="2"/>
        <v>66.667665512842575</v>
      </c>
      <c r="AW11" s="550">
        <f t="shared" si="3"/>
        <v>0</v>
      </c>
      <c r="AX11" s="888">
        <f t="shared" ref="AX11:AX33" si="13">AV11/(4-AW11)*4</f>
        <v>66.667665512842575</v>
      </c>
    </row>
    <row r="12" spans="1:50" s="89" customFormat="1" ht="13.5" customHeight="1" x14ac:dyDescent="0.2">
      <c r="A12" s="462">
        <f>VLOOKUP(B12,Sheet1!$AQ$4:$AR$25,2,FALSE)</f>
        <v>0</v>
      </c>
      <c r="B12" s="95" t="str">
        <f>Sheet1!$K$6</f>
        <v>Buckinghamshire</v>
      </c>
      <c r="C12" s="87"/>
      <c r="D12" s="96">
        <f>IF(Year1_Buckinghamshire Year1_Care_Applications="","",Year1_Buckinghamshire Year1_Care_Applications)</f>
        <v>55</v>
      </c>
      <c r="E12" s="96">
        <f>IF(Year2_Buckinghamshire Year2_Care_Applications="","",Year2_Buckinghamshire Year2_Care_Applications)</f>
        <v>120</v>
      </c>
      <c r="F12" s="96">
        <f>IF(Year3_Buckinghamshire Year3_Care_Applications="","",Year3_Buckinghamshire Year3_Care_Applications)</f>
        <v>102</v>
      </c>
      <c r="G12" s="96">
        <f>IF(Year4_Buckinghamshire Year4_Care_Applications="","",Year4_Buckinghamshire Year4_Care_Applications)</f>
        <v>87</v>
      </c>
      <c r="H12" s="97">
        <f>IF(Year5_Buckinghamshire Year5_Care_Applications="","",Year5_Buckinghamshire Year5_Care_Applications)</f>
        <v>104</v>
      </c>
      <c r="I12" s="337">
        <f t="shared" si="4"/>
        <v>0.27004041428483622</v>
      </c>
      <c r="J12" s="98"/>
      <c r="K12" s="99">
        <f>IF(ISNUMBER(D12),D12/Population!D12*10000,NA())</f>
        <v>4.6257359125315389</v>
      </c>
      <c r="L12" s="99">
        <f>IF(ISNUMBER(E12),E12/Population!E12*10000,NA())</f>
        <v>9.9502487562189046</v>
      </c>
      <c r="M12" s="99">
        <f>IF(ISNUMBER(F12),F12/Population!F12*10000,NA())</f>
        <v>8.3469721767594116</v>
      </c>
      <c r="N12" s="99">
        <f>IF(ISNUMBER(G12),G12/Population!G12*10000,NA())</f>
        <v>7.0674248578391552</v>
      </c>
      <c r="O12" s="100">
        <f>IF(ISNUMBER(H12),H12/Population!H12*10000,NA())</f>
        <v>8.3668543845534984</v>
      </c>
      <c r="P12" s="101">
        <f t="shared" si="5"/>
        <v>8.3668543845534984</v>
      </c>
      <c r="Q12" s="770">
        <f t="shared" si="6"/>
        <v>6</v>
      </c>
      <c r="R12" s="69"/>
      <c r="S12" s="333">
        <f>IDACI!C11</f>
        <v>8.5</v>
      </c>
      <c r="T12" s="334">
        <f t="shared" si="0"/>
        <v>7.2804459125639518</v>
      </c>
      <c r="U12" s="335">
        <f t="shared" si="7"/>
        <v>1.0864084719895466</v>
      </c>
      <c r="V12" s="124"/>
      <c r="W12" s="140"/>
      <c r="X12" s="149"/>
      <c r="Y12" s="71" t="str">
        <f t="shared" si="8"/>
        <v>Buckinghamshire</v>
      </c>
      <c r="Z12" s="45">
        <f>IF(H12&gt;0,IDACI!D11,0)</f>
        <v>107385</v>
      </c>
      <c r="AA12" s="45">
        <f>IF(H12&gt;0,IDACI!E11,0)</f>
        <v>9127.7250000000004</v>
      </c>
      <c r="AB12" s="202">
        <f>IF(ISNUMBER(D12),Population!D12,"")</f>
        <v>118900</v>
      </c>
      <c r="AC12" s="202">
        <f>IF(ISNUMBER(E12),Population!E12,"")</f>
        <v>120600</v>
      </c>
      <c r="AD12" s="202">
        <f>IF(ISNUMBER(F12),Population!F12,"")</f>
        <v>122200</v>
      </c>
      <c r="AE12" s="202">
        <f>IF(ISNUMBER(G12),Population!G12,"")</f>
        <v>123100</v>
      </c>
      <c r="AF12" s="202">
        <f>IF(ISNUMBER(H12),Population!H12,"")</f>
        <v>124300</v>
      </c>
      <c r="AG12" s="95" t="s">
        <v>8</v>
      </c>
      <c r="AH12" s="225">
        <f t="shared" si="9"/>
        <v>8.3668543845534984</v>
      </c>
      <c r="AI12" s="203">
        <f t="shared" si="10"/>
        <v>6</v>
      </c>
      <c r="AJ12" s="199"/>
      <c r="AK12" s="156"/>
      <c r="AL12" s="792">
        <f t="shared" si="11"/>
        <v>1.1818181818181819</v>
      </c>
      <c r="AM12" s="792">
        <f t="shared" si="11"/>
        <v>-0.15</v>
      </c>
      <c r="AN12" s="792">
        <f t="shared" si="11"/>
        <v>-0.14705882352941177</v>
      </c>
      <c r="AO12" s="792">
        <f t="shared" si="11"/>
        <v>0.19540229885057472</v>
      </c>
      <c r="AP12" s="792">
        <f t="shared" si="12"/>
        <v>0.27004041428483622</v>
      </c>
      <c r="AR12" s="888">
        <f t="shared" si="1"/>
        <v>9.9502487562189046</v>
      </c>
      <c r="AS12" s="888">
        <f t="shared" si="1"/>
        <v>8.3469721767594116</v>
      </c>
      <c r="AT12" s="888">
        <f t="shared" si="1"/>
        <v>7.0674248578391552</v>
      </c>
      <c r="AU12" s="888">
        <f t="shared" si="1"/>
        <v>8.3668543845534984</v>
      </c>
      <c r="AV12" s="888">
        <f t="shared" si="2"/>
        <v>33.731500175370968</v>
      </c>
      <c r="AW12" s="550">
        <f t="shared" si="3"/>
        <v>0</v>
      </c>
      <c r="AX12" s="888">
        <f t="shared" si="13"/>
        <v>33.731500175370968</v>
      </c>
    </row>
    <row r="13" spans="1:50" s="89" customFormat="1" ht="13.5" customHeight="1" x14ac:dyDescent="0.2">
      <c r="A13" s="462">
        <f>VLOOKUP(B13,Sheet1!$AQ$4:$AR$25,2,FALSE)</f>
        <v>0</v>
      </c>
      <c r="B13" s="95" t="str">
        <f>Sheet1!$K$7</f>
        <v>East Sussex</v>
      </c>
      <c r="C13" s="87"/>
      <c r="D13" s="96">
        <f>IF(Year1_East_Sussex Year1_Care_Applications="","",Year1_East_Sussex Year1_Care_Applications)</f>
        <v>63</v>
      </c>
      <c r="E13" s="102">
        <f>IF(Year2_East_Sussex Year2_Care_Applications="","",Year2_East_Sussex Year2_Care_Applications)</f>
        <v>82</v>
      </c>
      <c r="F13" s="96">
        <f>IF(Year3_East_Sussex Year3_Care_Applications="","",Year3_East_Sussex Year3_Care_Applications)</f>
        <v>99</v>
      </c>
      <c r="G13" s="96">
        <f>IF(Year4_East_Sussex Year4_Care_Applications="","",Year4_East_Sussex Year4_Care_Applications)</f>
        <v>90</v>
      </c>
      <c r="H13" s="97">
        <f>IF(Year5_East_Sussex Year5_Care_Applications="","",Year5_East_Sussex Year5_Care_Applications)</f>
        <v>82</v>
      </c>
      <c r="I13" s="337">
        <f t="shared" si="4"/>
        <v>8.2276598740013362E-2</v>
      </c>
      <c r="J13" s="98"/>
      <c r="K13" s="99">
        <f>IF(ISNUMBER(D13),D13/Population!D13*10000,NA())</f>
        <v>5.9772296015180268</v>
      </c>
      <c r="L13" s="99">
        <f>IF(ISNUMBER(E13),E13/Population!E13*10000,NA())</f>
        <v>7.7431539187913128</v>
      </c>
      <c r="M13" s="99">
        <f>IF(ISNUMBER(F13),F13/Population!F13*10000,NA())</f>
        <v>9.3484419263456093</v>
      </c>
      <c r="N13" s="99">
        <f>IF(ISNUMBER(G13),G13/Population!G13*10000,NA())</f>
        <v>8.4905660377358494</v>
      </c>
      <c r="O13" s="100">
        <f>IF(ISNUMBER(H13),H13/Population!H13*10000,NA())</f>
        <v>7.7067669172932334</v>
      </c>
      <c r="P13" s="101">
        <f t="shared" si="5"/>
        <v>7.7067669172932334</v>
      </c>
      <c r="Q13" s="770">
        <f t="shared" si="6"/>
        <v>5</v>
      </c>
      <c r="R13" s="69"/>
      <c r="S13" s="333">
        <f>IDACI!C12</f>
        <v>16.100000000000001</v>
      </c>
      <c r="T13" s="334">
        <f t="shared" si="0"/>
        <v>11.707029470539293</v>
      </c>
      <c r="U13" s="335">
        <f t="shared" si="7"/>
        <v>-4.0002625532460598</v>
      </c>
      <c r="V13" s="124"/>
      <c r="W13" s="140"/>
      <c r="X13" s="149"/>
      <c r="Y13" s="71" t="str">
        <f t="shared" si="8"/>
        <v>East Sussex</v>
      </c>
      <c r="Z13" s="45">
        <f>IF(H13&gt;0,IDACI!D12,0)</f>
        <v>93130</v>
      </c>
      <c r="AA13" s="45">
        <f>IF(H13&gt;0,IDACI!E12,0)</f>
        <v>14993.93</v>
      </c>
      <c r="AB13" s="202">
        <f>IF(ISNUMBER(D13),Population!D13,"")</f>
        <v>105400</v>
      </c>
      <c r="AC13" s="202">
        <f>IF(ISNUMBER(E13),Population!E13,"")</f>
        <v>105900</v>
      </c>
      <c r="AD13" s="202">
        <f>IF(ISNUMBER(F13),Population!F13,"")</f>
        <v>105900</v>
      </c>
      <c r="AE13" s="202">
        <f>IF(ISNUMBER(G13),Population!G13,"")</f>
        <v>106000</v>
      </c>
      <c r="AF13" s="202">
        <f>IF(ISNUMBER(H13),Population!H13,"")</f>
        <v>106400</v>
      </c>
      <c r="AG13" s="95" t="s">
        <v>4</v>
      </c>
      <c r="AH13" s="225">
        <f t="shared" si="9"/>
        <v>7.7067669172932334</v>
      </c>
      <c r="AI13" s="203">
        <f t="shared" si="10"/>
        <v>5</v>
      </c>
      <c r="AJ13" s="199"/>
      <c r="AK13" s="156"/>
      <c r="AL13" s="792">
        <f t="shared" si="11"/>
        <v>0.30158730158730157</v>
      </c>
      <c r="AM13" s="792">
        <f t="shared" si="11"/>
        <v>0.2073170731707317</v>
      </c>
      <c r="AN13" s="792">
        <f t="shared" si="11"/>
        <v>-9.0909090909090912E-2</v>
      </c>
      <c r="AO13" s="792">
        <f t="shared" si="11"/>
        <v>-8.8888888888888892E-2</v>
      </c>
      <c r="AP13" s="792">
        <f t="shared" si="12"/>
        <v>8.2276598740013362E-2</v>
      </c>
      <c r="AR13" s="888">
        <f t="shared" si="1"/>
        <v>7.7431539187913128</v>
      </c>
      <c r="AS13" s="888">
        <f t="shared" si="1"/>
        <v>9.3484419263456093</v>
      </c>
      <c r="AT13" s="888">
        <f t="shared" si="1"/>
        <v>8.4905660377358494</v>
      </c>
      <c r="AU13" s="888">
        <f t="shared" si="1"/>
        <v>7.7067669172932334</v>
      </c>
      <c r="AV13" s="888">
        <f t="shared" si="2"/>
        <v>33.288928800166005</v>
      </c>
      <c r="AW13" s="550">
        <f t="shared" si="3"/>
        <v>0</v>
      </c>
      <c r="AX13" s="888">
        <f t="shared" si="13"/>
        <v>33.288928800166005</v>
      </c>
    </row>
    <row r="14" spans="1:50" s="89" customFormat="1" ht="13.5" customHeight="1" x14ac:dyDescent="0.2">
      <c r="A14" s="462">
        <f>VLOOKUP(B14,Sheet1!$AQ$4:$AR$25,2,FALSE)</f>
        <v>0</v>
      </c>
      <c r="B14" s="95" t="str">
        <f>Sheet1!$K$8</f>
        <v>Hampshire</v>
      </c>
      <c r="C14" s="87"/>
      <c r="D14" s="96">
        <f>IF(Year1_Hampshire Year1_Care_Applications="","",Year1_Hampshire Year1_Care_Applications)</f>
        <v>171</v>
      </c>
      <c r="E14" s="96">
        <f>IF(Year2_Hampshire Year2_Care_Applications="","",Year2_Hampshire Year2_Care_Applications)</f>
        <v>194</v>
      </c>
      <c r="F14" s="103">
        <f>IF(Year3_Hampshire Year3_Care_Applications="","",Year3_Hampshire Year3_Care_Applications)</f>
        <v>227</v>
      </c>
      <c r="G14" s="103">
        <f>IF(Year4_Hampshire Year4_Care_Applications="","",Year4_Hampshire Year4_Care_Applications)</f>
        <v>259</v>
      </c>
      <c r="H14" s="97">
        <f>IF(Year5_Hampshire Year5_Care_Applications="","",Year5_Hampshire Year5_Care_Applications)</f>
        <v>264</v>
      </c>
      <c r="I14" s="337">
        <f t="shared" si="4"/>
        <v>0.11622004976518184</v>
      </c>
      <c r="J14" s="98"/>
      <c r="K14" s="99">
        <f>IF(ISNUMBER(D14),D14/Population!D14*10000,NA())</f>
        <v>6.0746003552397871</v>
      </c>
      <c r="L14" s="99">
        <f>IF(ISNUMBER(E14),E14/Population!E14*10000,NA())</f>
        <v>6.8818730046115641</v>
      </c>
      <c r="M14" s="99">
        <f>IF(ISNUMBER(F14),F14/Population!F14*10000,NA())</f>
        <v>8.026874115983027</v>
      </c>
      <c r="N14" s="99">
        <f>IF(ISNUMBER(G14),G14/Population!G14*10000,NA())</f>
        <v>9.1422520296505478</v>
      </c>
      <c r="O14" s="100">
        <f>IF(ISNUMBER(H14),H14/Population!H14*10000,NA())</f>
        <v>9.295774647887324</v>
      </c>
      <c r="P14" s="101">
        <f t="shared" si="5"/>
        <v>9.295774647887324</v>
      </c>
      <c r="Q14" s="770">
        <f t="shared" si="6"/>
        <v>9</v>
      </c>
      <c r="R14" s="69"/>
      <c r="S14" s="333">
        <f>IDACI!C13</f>
        <v>10.100000000000001</v>
      </c>
      <c r="T14" s="334">
        <f t="shared" si="0"/>
        <v>8.2123582405587605</v>
      </c>
      <c r="U14" s="335">
        <f t="shared" si="7"/>
        <v>1.0834164073285635</v>
      </c>
      <c r="V14" s="124"/>
      <c r="W14" s="140"/>
      <c r="X14" s="149"/>
      <c r="Y14" s="71" t="str">
        <f t="shared" si="8"/>
        <v>Hampshire</v>
      </c>
      <c r="Z14" s="45">
        <f>IF(H14&gt;0,IDACI!D13,0)</f>
        <v>249483</v>
      </c>
      <c r="AA14" s="45">
        <f>IF(H14&gt;0,IDACI!E13,0)</f>
        <v>25197.783000000007</v>
      </c>
      <c r="AB14" s="202">
        <f>IF(ISNUMBER(D14),Population!D14,"")</f>
        <v>281500</v>
      </c>
      <c r="AC14" s="202">
        <f>IF(ISNUMBER(E14),Population!E14,"")</f>
        <v>281900</v>
      </c>
      <c r="AD14" s="202">
        <f>IF(ISNUMBER(F14),Population!F14,"")</f>
        <v>282800</v>
      </c>
      <c r="AE14" s="202">
        <f>IF(ISNUMBER(G14),Population!G14,"")</f>
        <v>283300</v>
      </c>
      <c r="AF14" s="202">
        <f>IF(ISNUMBER(H14),Population!H14,"")</f>
        <v>284000</v>
      </c>
      <c r="AG14" s="95" t="s">
        <v>6</v>
      </c>
      <c r="AH14" s="225">
        <f t="shared" si="9"/>
        <v>9.295774647887324</v>
      </c>
      <c r="AI14" s="203">
        <f t="shared" si="10"/>
        <v>9</v>
      </c>
      <c r="AJ14" s="199"/>
      <c r="AK14" s="156"/>
      <c r="AL14" s="792">
        <f t="shared" si="11"/>
        <v>0.13450292397660818</v>
      </c>
      <c r="AM14" s="792">
        <f t="shared" si="11"/>
        <v>0.17010309278350516</v>
      </c>
      <c r="AN14" s="792">
        <f t="shared" si="11"/>
        <v>0.14096916299559473</v>
      </c>
      <c r="AO14" s="792">
        <f t="shared" si="11"/>
        <v>1.9305019305019305E-2</v>
      </c>
      <c r="AP14" s="792">
        <f t="shared" si="12"/>
        <v>0.11622004976518184</v>
      </c>
      <c r="AR14" s="888">
        <f t="shared" si="1"/>
        <v>6.8818730046115641</v>
      </c>
      <c r="AS14" s="888">
        <f t="shared" si="1"/>
        <v>8.026874115983027</v>
      </c>
      <c r="AT14" s="888">
        <f t="shared" si="1"/>
        <v>9.1422520296505478</v>
      </c>
      <c r="AU14" s="888">
        <f t="shared" si="1"/>
        <v>9.295774647887324</v>
      </c>
      <c r="AV14" s="888">
        <f t="shared" si="2"/>
        <v>33.34677379813246</v>
      </c>
      <c r="AW14" s="550">
        <f t="shared" si="3"/>
        <v>0</v>
      </c>
      <c r="AX14" s="888">
        <f t="shared" si="13"/>
        <v>33.34677379813246</v>
      </c>
    </row>
    <row r="15" spans="1:50" s="89" customFormat="1" ht="13.5" customHeight="1" x14ac:dyDescent="0.2">
      <c r="A15" s="462">
        <f>VLOOKUP(B15,Sheet1!$AQ$4:$AR$25,2,FALSE)</f>
        <v>0</v>
      </c>
      <c r="B15" s="95" t="str">
        <f>Sheet1!$K$9</f>
        <v>Isle of Wight</v>
      </c>
      <c r="C15" s="87"/>
      <c r="D15" s="96">
        <f>IF(Year1_Isle_of_Wight Year1_Care_Applications="","",Year1_Isle_of_Wight Year1_Care_Applications)</f>
        <v>38</v>
      </c>
      <c r="E15" s="96">
        <f>IF(Year2_Isle_of_Wight Year2_Care_Applications="","",Year2_Isle_of_Wight Year2_Care_Applications)</f>
        <v>32</v>
      </c>
      <c r="F15" s="96">
        <f>IF(Year3_Isle_of_Wight Year3_Care_Applications="","",Year3_Isle_of_Wight Year3_Care_Applications)</f>
        <v>43</v>
      </c>
      <c r="G15" s="96">
        <f>IF(Year4_Isle_of_Wight Year4_Care_Applications="","",Year4_Isle_of_Wight Year4_Care_Applications)</f>
        <v>41</v>
      </c>
      <c r="H15" s="97">
        <f>IF(Year5_Isle_of_Wight Year5_Care_Applications="","",Year5_Isle_of_Wight Year5_Care_Applications)</f>
        <v>40</v>
      </c>
      <c r="I15" s="337">
        <f t="shared" si="4"/>
        <v>2.8738347837119746E-2</v>
      </c>
      <c r="J15" s="98"/>
      <c r="K15" s="99">
        <f>IF(ISNUMBER(D15),D15/Population!D15*10000,NA())</f>
        <v>14.901960784313726</v>
      </c>
      <c r="L15" s="99">
        <f>IF(ISNUMBER(E15),E15/Population!E15*10000,NA())</f>
        <v>12.648221343873518</v>
      </c>
      <c r="M15" s="99">
        <f>IF(ISNUMBER(F15),F15/Population!F15*10000,NA())</f>
        <v>17.063492063492063</v>
      </c>
      <c r="N15" s="99">
        <f>IF(ISNUMBER(G15),G15/Population!G15*10000,NA())</f>
        <v>16.334661354581673</v>
      </c>
      <c r="O15" s="100">
        <f>IF(ISNUMBER(H15),H15/Population!H15*10000,NA())</f>
        <v>16.064257028112451</v>
      </c>
      <c r="P15" s="101">
        <f t="shared" si="5"/>
        <v>16.064257028112451</v>
      </c>
      <c r="Q15" s="770">
        <f t="shared" si="6"/>
        <v>18</v>
      </c>
      <c r="R15" s="69"/>
      <c r="S15" s="333">
        <f>IDACI!C14</f>
        <v>18</v>
      </c>
      <c r="T15" s="334">
        <f t="shared" si="0"/>
        <v>12.813675360033129</v>
      </c>
      <c r="U15" s="335">
        <f t="shared" si="7"/>
        <v>3.250581668079322</v>
      </c>
      <c r="V15" s="124"/>
      <c r="W15" s="140"/>
      <c r="X15" s="149"/>
      <c r="Y15" s="71" t="str">
        <f t="shared" si="8"/>
        <v>Isle of Wight</v>
      </c>
      <c r="Z15" s="45">
        <f>IF(H15&gt;0,IDACI!D14,0)</f>
        <v>22123</v>
      </c>
      <c r="AA15" s="45">
        <f>IF(H15&gt;0,IDACI!E14,0)</f>
        <v>3982.14</v>
      </c>
      <c r="AB15" s="202">
        <f>IF(ISNUMBER(D15),Population!D15,"")</f>
        <v>25500</v>
      </c>
      <c r="AC15" s="202">
        <f>IF(ISNUMBER(E15),Population!E15,"")</f>
        <v>25300</v>
      </c>
      <c r="AD15" s="202">
        <f>IF(ISNUMBER(F15),Population!F15,"")</f>
        <v>25200</v>
      </c>
      <c r="AE15" s="202">
        <f>IF(ISNUMBER(G15),Population!G15,"")</f>
        <v>25100</v>
      </c>
      <c r="AF15" s="202">
        <f>IF(ISNUMBER(H15),Population!H15,"")</f>
        <v>24900</v>
      </c>
      <c r="AG15" s="95" t="s">
        <v>1</v>
      </c>
      <c r="AH15" s="225">
        <f t="shared" si="9"/>
        <v>16.064257028112451</v>
      </c>
      <c r="AI15" s="203">
        <f t="shared" si="10"/>
        <v>18</v>
      </c>
      <c r="AJ15" s="199"/>
      <c r="AK15" s="156"/>
      <c r="AL15" s="792">
        <f t="shared" si="11"/>
        <v>-0.15789473684210525</v>
      </c>
      <c r="AM15" s="792">
        <f t="shared" si="11"/>
        <v>0.34375</v>
      </c>
      <c r="AN15" s="792">
        <f t="shared" si="11"/>
        <v>-4.6511627906976744E-2</v>
      </c>
      <c r="AO15" s="792">
        <f t="shared" si="11"/>
        <v>-2.4390243902439025E-2</v>
      </c>
      <c r="AP15" s="792">
        <f t="shared" si="12"/>
        <v>2.8738347837119746E-2</v>
      </c>
      <c r="AR15" s="888">
        <f t="shared" si="1"/>
        <v>12.648221343873518</v>
      </c>
      <c r="AS15" s="888">
        <f t="shared" si="1"/>
        <v>17.063492063492063</v>
      </c>
      <c r="AT15" s="888">
        <f t="shared" si="1"/>
        <v>16.334661354581673</v>
      </c>
      <c r="AU15" s="888">
        <f t="shared" si="1"/>
        <v>16.064257028112451</v>
      </c>
      <c r="AV15" s="888">
        <f t="shared" si="2"/>
        <v>62.110631790059699</v>
      </c>
      <c r="AW15" s="550">
        <f t="shared" si="3"/>
        <v>0</v>
      </c>
      <c r="AX15" s="888">
        <f t="shared" si="13"/>
        <v>62.110631790059699</v>
      </c>
    </row>
    <row r="16" spans="1:50" s="89" customFormat="1" ht="13.5" customHeight="1" x14ac:dyDescent="0.2">
      <c r="A16" s="462">
        <f>VLOOKUP(B16,Sheet1!$AQ$4:$AR$25,2,FALSE)</f>
        <v>0</v>
      </c>
      <c r="B16" s="95" t="str">
        <f>Sheet1!$K$10</f>
        <v>Kent</v>
      </c>
      <c r="C16" s="87"/>
      <c r="D16" s="96">
        <f>IF(Year1_Kent Year1_Care_Applications="","",Year1_Kent Year1_Care_Applications)</f>
        <v>245</v>
      </c>
      <c r="E16" s="96">
        <f>IF(Year2_Kent Year2_Care_Applications="","",Year2_Kent Year2_Care_Applications)</f>
        <v>260</v>
      </c>
      <c r="F16" s="96">
        <f>IF(Year3_Kent Year3_Care_Applications="","",Year3_Kent Year3_Care_Applications)</f>
        <v>305</v>
      </c>
      <c r="G16" s="96">
        <f>IF(Year4_Kent Year4_Care_Applications="","",Year4_Kent Year4_Care_Applications)</f>
        <v>296</v>
      </c>
      <c r="H16" s="97">
        <f>IF(Year5_Kent Year5_Care_Applications="","",Year5_Kent Year5_Care_Applications)</f>
        <v>240</v>
      </c>
      <c r="I16" s="337">
        <f t="shared" si="4"/>
        <v>3.9010067405851959E-3</v>
      </c>
      <c r="J16" s="98"/>
      <c r="K16" s="99">
        <f>IF(ISNUMBER(D16),D16/Population!D16*10000,NA())</f>
        <v>7.4626865671641793</v>
      </c>
      <c r="L16" s="99">
        <f>IF(ISNUMBER(E16),E16/Population!E16*10000,NA())</f>
        <v>7.8692493946731235</v>
      </c>
      <c r="M16" s="99">
        <f>IF(ISNUMBER(F16),F16/Population!F16*10000,NA())</f>
        <v>9.1591591591591595</v>
      </c>
      <c r="N16" s="99">
        <f>IF(ISNUMBER(G16),G16/Population!G16*10000,NA())</f>
        <v>8.8069027075275219</v>
      </c>
      <c r="O16" s="100">
        <f>IF(ISNUMBER(H16),H16/Population!H16*10000,NA())</f>
        <v>7.0567480152896209</v>
      </c>
      <c r="P16" s="101">
        <f t="shared" si="5"/>
        <v>7.0567480152896209</v>
      </c>
      <c r="Q16" s="770">
        <f t="shared" si="6"/>
        <v>3</v>
      </c>
      <c r="R16" s="69"/>
      <c r="S16" s="333">
        <f>IDACI!C15</f>
        <v>15.8</v>
      </c>
      <c r="T16" s="334">
        <f t="shared" si="0"/>
        <v>11.532295909040267</v>
      </c>
      <c r="U16" s="335">
        <f t="shared" si="7"/>
        <v>-4.4755478937506457</v>
      </c>
      <c r="V16" s="124"/>
      <c r="W16" s="140"/>
      <c r="X16" s="149"/>
      <c r="Y16" s="71" t="str">
        <f t="shared" si="8"/>
        <v>Kent</v>
      </c>
      <c r="Z16" s="45">
        <f>IF(H16&gt;0,IDACI!D15,0)</f>
        <v>291866</v>
      </c>
      <c r="AA16" s="45">
        <f>IF(H16&gt;0,IDACI!E15,0)</f>
        <v>46114.828000000001</v>
      </c>
      <c r="AB16" s="202">
        <f>IF(ISNUMBER(D16),Population!D16,"")</f>
        <v>328300</v>
      </c>
      <c r="AC16" s="202">
        <f>IF(ISNUMBER(E16),Population!E16,"")</f>
        <v>330400</v>
      </c>
      <c r="AD16" s="202">
        <f>IF(ISNUMBER(F16),Population!F16,"")</f>
        <v>333000</v>
      </c>
      <c r="AE16" s="202">
        <f>IF(ISNUMBER(G16),Population!G16,"")</f>
        <v>336100</v>
      </c>
      <c r="AF16" s="202">
        <f>IF(ISNUMBER(H16),Population!H16,"")</f>
        <v>340100</v>
      </c>
      <c r="AG16" s="95" t="s">
        <v>9</v>
      </c>
      <c r="AH16" s="225">
        <f t="shared" si="9"/>
        <v>7.0567480152896209</v>
      </c>
      <c r="AI16" s="203">
        <f t="shared" si="10"/>
        <v>3</v>
      </c>
      <c r="AJ16" s="199"/>
      <c r="AK16" s="156"/>
      <c r="AL16" s="792">
        <f t="shared" si="11"/>
        <v>6.1224489795918366E-2</v>
      </c>
      <c r="AM16" s="792">
        <f t="shared" si="11"/>
        <v>0.17307692307692307</v>
      </c>
      <c r="AN16" s="792">
        <f t="shared" si="11"/>
        <v>-2.9508196721311476E-2</v>
      </c>
      <c r="AO16" s="792">
        <f t="shared" si="11"/>
        <v>-0.1891891891891892</v>
      </c>
      <c r="AP16" s="792">
        <f t="shared" si="12"/>
        <v>3.9010067405851959E-3</v>
      </c>
      <c r="AR16" s="888">
        <f t="shared" si="1"/>
        <v>7.8692493946731235</v>
      </c>
      <c r="AS16" s="888">
        <f t="shared" si="1"/>
        <v>9.1591591591591595</v>
      </c>
      <c r="AT16" s="888">
        <f t="shared" si="1"/>
        <v>8.8069027075275219</v>
      </c>
      <c r="AU16" s="888">
        <f t="shared" si="1"/>
        <v>7.0567480152896209</v>
      </c>
      <c r="AV16" s="888">
        <f t="shared" si="2"/>
        <v>32.892059276649427</v>
      </c>
      <c r="AW16" s="550">
        <f t="shared" si="3"/>
        <v>0</v>
      </c>
      <c r="AX16" s="888">
        <f t="shared" si="13"/>
        <v>32.892059276649427</v>
      </c>
    </row>
    <row r="17" spans="1:50" s="89" customFormat="1" ht="13.5" customHeight="1" x14ac:dyDescent="0.2">
      <c r="A17" s="462">
        <f>VLOOKUP(B17,Sheet1!$AQ$4:$AR$25,2,FALSE)</f>
        <v>0</v>
      </c>
      <c r="B17" s="95" t="str">
        <f>Sheet1!$K$11</f>
        <v>Medway</v>
      </c>
      <c r="C17" s="87"/>
      <c r="D17" s="96">
        <f>IF(Year1_Medway Year1_Care_Applications="","",Year1_Medway Year1_Care_Applications)</f>
        <v>90</v>
      </c>
      <c r="E17" s="290">
        <f>IF(Year2_Medway Year2_Care_Applications="","",Year2_Medway Year2_Care_Applications)</f>
        <v>142</v>
      </c>
      <c r="F17" s="290">
        <f>IF(Year3_Medway Year3_Care_Applications="","",Year3_Medway Year3_Care_Applications)</f>
        <v>59</v>
      </c>
      <c r="G17" s="290">
        <f>IF(Year4_Medway Year4_Care_Applications="","",Year4_Medway Year4_Care_Applications)</f>
        <v>84</v>
      </c>
      <c r="H17" s="97">
        <f>IF(Year5_Medway Year5_Care_Applications="","",Year5_Medway Year5_Care_Applications)</f>
        <v>72</v>
      </c>
      <c r="I17" s="337">
        <f t="shared" si="4"/>
        <v>6.8535601556608941E-2</v>
      </c>
      <c r="J17" s="98"/>
      <c r="K17" s="99">
        <f>IF(ISNUMBER(D17),D17/Population!D17*10000,NA())</f>
        <v>14.4</v>
      </c>
      <c r="L17" s="99">
        <f>IF(ISNUMBER(E17),E17/Population!E17*10000,NA())</f>
        <v>22.468354430379748</v>
      </c>
      <c r="M17" s="99">
        <f>IF(ISNUMBER(F17),F17/Population!F17*10000,NA())</f>
        <v>9.2621664050235477</v>
      </c>
      <c r="N17" s="99">
        <f>IF(ISNUMBER(G17),G17/Population!G17*10000,NA())</f>
        <v>13.145539906103286</v>
      </c>
      <c r="O17" s="100">
        <f>IF(ISNUMBER(H17),H17/Population!H17*10000,NA())</f>
        <v>11.180124223602483</v>
      </c>
      <c r="P17" s="101">
        <f t="shared" si="5"/>
        <v>11.180124223602483</v>
      </c>
      <c r="Q17" s="770">
        <f t="shared" si="6"/>
        <v>12</v>
      </c>
      <c r="R17" s="69"/>
      <c r="S17" s="333">
        <f>IDACI!C16</f>
        <v>18.899999999999999</v>
      </c>
      <c r="T17" s="334">
        <f t="shared" si="0"/>
        <v>13.337876044530208</v>
      </c>
      <c r="U17" s="335">
        <f t="shared" si="7"/>
        <v>-2.1577518209277251</v>
      </c>
      <c r="V17" s="124"/>
      <c r="W17" s="140"/>
      <c r="X17" s="149"/>
      <c r="Y17" s="71" t="str">
        <f t="shared" si="8"/>
        <v>Medway</v>
      </c>
      <c r="Z17" s="45">
        <f>IF(H17&gt;0,IDACI!D16,0)</f>
        <v>55993</v>
      </c>
      <c r="AA17" s="45">
        <f>IF(H17&gt;0,IDACI!E16,0)</f>
        <v>10582.676999999998</v>
      </c>
      <c r="AB17" s="202">
        <f>IF(ISNUMBER(D17),Population!D17,"")</f>
        <v>62500</v>
      </c>
      <c r="AC17" s="202">
        <f>IF(ISNUMBER(E17),Population!E17,"")</f>
        <v>63200</v>
      </c>
      <c r="AD17" s="202">
        <f>IF(ISNUMBER(F17),Population!F17,"")</f>
        <v>63700</v>
      </c>
      <c r="AE17" s="202">
        <f>IF(ISNUMBER(G17),Population!G17,"")</f>
        <v>63900</v>
      </c>
      <c r="AF17" s="202">
        <f>IF(ISNUMBER(H17),Population!H17,"")</f>
        <v>64400</v>
      </c>
      <c r="AG17" s="95" t="s">
        <v>2</v>
      </c>
      <c r="AH17" s="225">
        <f t="shared" si="9"/>
        <v>11.180124223602483</v>
      </c>
      <c r="AI17" s="203">
        <f t="shared" si="10"/>
        <v>12</v>
      </c>
      <c r="AJ17" s="199"/>
      <c r="AK17" s="156"/>
      <c r="AL17" s="792">
        <f t="shared" si="11"/>
        <v>0.57777777777777772</v>
      </c>
      <c r="AM17" s="792">
        <f t="shared" si="11"/>
        <v>-0.58450704225352113</v>
      </c>
      <c r="AN17" s="792">
        <f t="shared" si="11"/>
        <v>0.42372881355932202</v>
      </c>
      <c r="AO17" s="792">
        <f t="shared" si="11"/>
        <v>-0.14285714285714285</v>
      </c>
      <c r="AP17" s="792">
        <f t="shared" si="12"/>
        <v>6.8535601556608941E-2</v>
      </c>
      <c r="AR17" s="888">
        <f t="shared" si="1"/>
        <v>22.468354430379748</v>
      </c>
      <c r="AS17" s="888">
        <f t="shared" si="1"/>
        <v>9.2621664050235477</v>
      </c>
      <c r="AT17" s="888">
        <f t="shared" si="1"/>
        <v>13.145539906103286</v>
      </c>
      <c r="AU17" s="888">
        <f t="shared" si="1"/>
        <v>11.180124223602483</v>
      </c>
      <c r="AV17" s="888">
        <f t="shared" si="2"/>
        <v>56.056184965109068</v>
      </c>
      <c r="AW17" s="550">
        <f t="shared" si="3"/>
        <v>0</v>
      </c>
      <c r="AX17" s="888">
        <f t="shared" si="13"/>
        <v>56.056184965109068</v>
      </c>
    </row>
    <row r="18" spans="1:50" s="89" customFormat="1" ht="13.5" customHeight="1" x14ac:dyDescent="0.2">
      <c r="A18" s="462">
        <f>VLOOKUP(B18,Sheet1!$AQ$4:$AR$25,2,FALSE)</f>
        <v>0</v>
      </c>
      <c r="B18" s="95" t="str">
        <f>Sheet1!$K$12</f>
        <v>Milton Keynes</v>
      </c>
      <c r="C18" s="87"/>
      <c r="D18" s="96">
        <f>IF(Year1_Milton_Keynes Year1_Care_Applications="","",Year1_Milton_Keynes Year1_Care_Applications)</f>
        <v>39</v>
      </c>
      <c r="E18" s="96">
        <f>IF(Year2_Milton_Keynes Year2_Care_Applications="","",Year2_Milton_Keynes Year2_Care_Applications)</f>
        <v>61</v>
      </c>
      <c r="F18" s="96">
        <f>IF(Year3_Milton_Keynes Year3_Care_Applications="","",Year3_Milton_Keynes Year3_Care_Applications)</f>
        <v>82</v>
      </c>
      <c r="G18" s="96">
        <f>IF(Year4_Milton_Keynes Year4_Care_Applications="","",Year4_Milton_Keynes Year4_Care_Applications)</f>
        <v>59</v>
      </c>
      <c r="H18" s="97">
        <f>IF(Year5_Milton_Keynes Year5_Care_Applications="","",Year5_Milton_Keynes Year5_Care_Applications)</f>
        <v>71</v>
      </c>
      <c r="I18" s="337">
        <f t="shared" si="4"/>
        <v>0.20781672120373926</v>
      </c>
      <c r="J18" s="98"/>
      <c r="K18" s="99">
        <f>IF(ISNUMBER(D18),D18/Population!D18*10000,NA())</f>
        <v>5.9815950920245395</v>
      </c>
      <c r="L18" s="99">
        <f>IF(ISNUMBER(E18),E18/Population!E18*10000,NA())</f>
        <v>9.2284417549167923</v>
      </c>
      <c r="M18" s="99">
        <f>IF(ISNUMBER(F18),F18/Population!F18*10000,NA())</f>
        <v>12.220566318926975</v>
      </c>
      <c r="N18" s="99">
        <f>IF(ISNUMBER(G18),G18/Population!G18*10000,NA())</f>
        <v>8.7278106508875748</v>
      </c>
      <c r="O18" s="100">
        <f>IF(ISNUMBER(H18),H18/Population!H18*10000,NA())</f>
        <v>10.395314787701318</v>
      </c>
      <c r="P18" s="101">
        <f t="shared" si="5"/>
        <v>10.395314787701318</v>
      </c>
      <c r="Q18" s="770">
        <f t="shared" si="6"/>
        <v>10</v>
      </c>
      <c r="R18" s="69"/>
      <c r="S18" s="333">
        <f>IDACI!C17</f>
        <v>15</v>
      </c>
      <c r="T18" s="334">
        <f t="shared" si="0"/>
        <v>11.066339745042862</v>
      </c>
      <c r="U18" s="335">
        <f t="shared" si="7"/>
        <v>-0.67102495734154388</v>
      </c>
      <c r="V18" s="124"/>
      <c r="W18" s="140"/>
      <c r="X18" s="149"/>
      <c r="Y18" s="71" t="str">
        <f t="shared" si="8"/>
        <v>Milton Keynes</v>
      </c>
      <c r="Z18" s="45">
        <f>IF(H18&gt;0,IDACI!D17,0)</f>
        <v>59903</v>
      </c>
      <c r="AA18" s="45">
        <f>IF(H18&gt;0,IDACI!E17,0)</f>
        <v>8985.4499999999989</v>
      </c>
      <c r="AB18" s="202">
        <f>IF(ISNUMBER(D18),Population!D18,"")</f>
        <v>65200</v>
      </c>
      <c r="AC18" s="202">
        <f>IF(ISNUMBER(E18),Population!E18,"")</f>
        <v>66100</v>
      </c>
      <c r="AD18" s="202">
        <f>IF(ISNUMBER(F18),Population!F18,"")</f>
        <v>67100</v>
      </c>
      <c r="AE18" s="202">
        <f>IF(ISNUMBER(G18),Population!G18,"")</f>
        <v>67600</v>
      </c>
      <c r="AF18" s="202">
        <f>IF(ISNUMBER(H18),Population!H18,"")</f>
        <v>68300</v>
      </c>
      <c r="AG18" s="95" t="s">
        <v>10</v>
      </c>
      <c r="AH18" s="225">
        <f t="shared" si="9"/>
        <v>10.395314787701318</v>
      </c>
      <c r="AI18" s="203">
        <f t="shared" si="10"/>
        <v>10</v>
      </c>
      <c r="AJ18" s="199"/>
      <c r="AK18" s="156"/>
      <c r="AL18" s="792">
        <f t="shared" si="11"/>
        <v>0.5641025641025641</v>
      </c>
      <c r="AM18" s="792">
        <f t="shared" si="11"/>
        <v>0.34426229508196721</v>
      </c>
      <c r="AN18" s="792">
        <f t="shared" si="11"/>
        <v>-0.28048780487804881</v>
      </c>
      <c r="AO18" s="792">
        <f t="shared" si="11"/>
        <v>0.20338983050847459</v>
      </c>
      <c r="AP18" s="792">
        <f t="shared" si="12"/>
        <v>0.20781672120373926</v>
      </c>
      <c r="AR18" s="888">
        <f t="shared" si="1"/>
        <v>9.2284417549167923</v>
      </c>
      <c r="AS18" s="888">
        <f t="shared" si="1"/>
        <v>12.220566318926975</v>
      </c>
      <c r="AT18" s="888">
        <f t="shared" si="1"/>
        <v>8.7278106508875748</v>
      </c>
      <c r="AU18" s="888">
        <f t="shared" si="1"/>
        <v>10.395314787701318</v>
      </c>
      <c r="AV18" s="888">
        <f t="shared" si="2"/>
        <v>40.572133512432657</v>
      </c>
      <c r="AW18" s="550">
        <f t="shared" si="3"/>
        <v>0</v>
      </c>
      <c r="AX18" s="888">
        <f t="shared" si="13"/>
        <v>40.572133512432657</v>
      </c>
    </row>
    <row r="19" spans="1:50" s="89" customFormat="1" ht="13.5" customHeight="1" x14ac:dyDescent="0.2">
      <c r="A19" s="462">
        <f>VLOOKUP(B19,Sheet1!$AQ$4:$AR$25,2,FALSE)</f>
        <v>0</v>
      </c>
      <c r="B19" s="95" t="str">
        <f>Sheet1!$K$13</f>
        <v>Oxfordshire</v>
      </c>
      <c r="C19" s="87"/>
      <c r="D19" s="96">
        <f>IF(Year1_Oxfordshire Year1_Care_Applications="","",Year1_Oxfordshire Year1_Care_Applications)</f>
        <v>112</v>
      </c>
      <c r="E19" s="96">
        <f>IF(Year2_Oxfordshire Year2_Care_Applications="","",Year2_Oxfordshire Year2_Care_Applications)</f>
        <v>154</v>
      </c>
      <c r="F19" s="96">
        <f>IF(Year3_Oxfordshire Year3_Care_Applications="","",Year3_Oxfordshire Year3_Care_Applications)</f>
        <v>159</v>
      </c>
      <c r="G19" s="96">
        <f>IF(Year4_Oxfordshire Year4_Care_Applications="","",Year4_Oxfordshire Year4_Care_Applications)</f>
        <v>135</v>
      </c>
      <c r="H19" s="97">
        <f>IF(Year5_Oxfordshire Year5_Care_Applications="","",Year5_Oxfordshire Year5_Care_Applications)</f>
        <v>158</v>
      </c>
      <c r="I19" s="337">
        <f t="shared" si="4"/>
        <v>0.10672362665287194</v>
      </c>
      <c r="J19" s="98"/>
      <c r="K19" s="99">
        <f>IF(ISNUMBER(D19),D19/Population!D19*10000,NA())</f>
        <v>7.9320113314447589</v>
      </c>
      <c r="L19" s="99">
        <f>IF(ISNUMBER(E19),E19/Population!E19*10000,NA())</f>
        <v>10.860366713681241</v>
      </c>
      <c r="M19" s="99">
        <f>IF(ISNUMBER(F19),F19/Population!F19*10000,NA())</f>
        <v>11.126662001399581</v>
      </c>
      <c r="N19" s="99">
        <f>IF(ISNUMBER(G19),G19/Population!G19*10000,NA())</f>
        <v>9.4142259414225933</v>
      </c>
      <c r="O19" s="100">
        <f>IF(ISNUMBER(H19),H19/Population!H19*10000,NA())</f>
        <v>10.911602209944752</v>
      </c>
      <c r="P19" s="101">
        <f t="shared" si="5"/>
        <v>10.911602209944752</v>
      </c>
      <c r="Q19" s="770">
        <f t="shared" si="6"/>
        <v>11</v>
      </c>
      <c r="R19" s="69"/>
      <c r="S19" s="333">
        <f>IDACI!C18</f>
        <v>10.100000000000001</v>
      </c>
      <c r="T19" s="334">
        <f t="shared" si="0"/>
        <v>8.2123582405587605</v>
      </c>
      <c r="U19" s="335">
        <f t="shared" si="7"/>
        <v>2.6992439693859911</v>
      </c>
      <c r="V19" s="124"/>
      <c r="W19" s="140"/>
      <c r="X19" s="149"/>
      <c r="Y19" s="71" t="str">
        <f t="shared" si="8"/>
        <v>Oxfordshire</v>
      </c>
      <c r="Z19" s="45">
        <f>IF(H19&gt;0,IDACI!D18,0)</f>
        <v>126119</v>
      </c>
      <c r="AA19" s="45">
        <f>IF(H19&gt;0,IDACI!E18,0)</f>
        <v>12738.019000000002</v>
      </c>
      <c r="AB19" s="202">
        <f>IF(ISNUMBER(D19),Population!D19,"")</f>
        <v>141200</v>
      </c>
      <c r="AC19" s="202">
        <f>IF(ISNUMBER(E19),Population!E19,"")</f>
        <v>141800</v>
      </c>
      <c r="AD19" s="202">
        <f>IF(ISNUMBER(F19),Population!F19,"")</f>
        <v>142900</v>
      </c>
      <c r="AE19" s="202">
        <f>IF(ISNUMBER(G19),Population!G19,"")</f>
        <v>143400</v>
      </c>
      <c r="AF19" s="202">
        <f>IF(ISNUMBER(H19),Population!H19,"")</f>
        <v>144800</v>
      </c>
      <c r="AG19" s="95" t="s">
        <v>11</v>
      </c>
      <c r="AH19" s="225">
        <f t="shared" si="9"/>
        <v>10.911602209944752</v>
      </c>
      <c r="AI19" s="203">
        <f t="shared" si="10"/>
        <v>11</v>
      </c>
      <c r="AJ19" s="199"/>
      <c r="AK19" s="156"/>
      <c r="AL19" s="792">
        <f t="shared" si="11"/>
        <v>0.375</v>
      </c>
      <c r="AM19" s="792">
        <f t="shared" si="11"/>
        <v>3.2467532467532464E-2</v>
      </c>
      <c r="AN19" s="792">
        <f t="shared" si="11"/>
        <v>-0.15094339622641509</v>
      </c>
      <c r="AO19" s="792">
        <f t="shared" si="11"/>
        <v>0.17037037037037037</v>
      </c>
      <c r="AP19" s="792">
        <f t="shared" si="12"/>
        <v>0.10672362665287194</v>
      </c>
      <c r="AR19" s="888">
        <f t="shared" si="1"/>
        <v>10.860366713681241</v>
      </c>
      <c r="AS19" s="888">
        <f t="shared" si="1"/>
        <v>11.126662001399581</v>
      </c>
      <c r="AT19" s="888">
        <f t="shared" si="1"/>
        <v>9.4142259414225933</v>
      </c>
      <c r="AU19" s="888">
        <f t="shared" si="1"/>
        <v>10.911602209944752</v>
      </c>
      <c r="AV19" s="888">
        <f t="shared" si="2"/>
        <v>42.312856866448165</v>
      </c>
      <c r="AW19" s="550">
        <f t="shared" si="3"/>
        <v>0</v>
      </c>
      <c r="AX19" s="888">
        <f t="shared" si="13"/>
        <v>42.312856866448165</v>
      </c>
    </row>
    <row r="20" spans="1:50" s="89" customFormat="1" ht="13.5" customHeight="1" x14ac:dyDescent="0.2">
      <c r="A20" s="462">
        <f>VLOOKUP(B20,Sheet1!$AQ$4:$AR$25,2,FALSE)</f>
        <v>0</v>
      </c>
      <c r="B20" s="95" t="str">
        <f>Sheet1!$K$14</f>
        <v>Portsmouth</v>
      </c>
      <c r="C20" s="87"/>
      <c r="D20" s="96">
        <f>IF(Year1_Portsmouth Year1_Care_Applications="","",Year1_Portsmouth Year1_Care_Applications)</f>
        <v>59</v>
      </c>
      <c r="E20" s="96">
        <f>IF(Year2_Portsmouth Year2_Care_Applications="","",Year2_Portsmouth Year2_Care_Applications)</f>
        <v>45</v>
      </c>
      <c r="F20" s="96">
        <f>IF(Year3_Portsmouth Year3_Care_Applications="","",Year3_Portsmouth Year3_Care_Applications)</f>
        <v>48</v>
      </c>
      <c r="G20" s="96">
        <f>IF(Year4_Portsmouth Year4_Care_Applications="","",Year4_Portsmouth Year4_Care_Applications)</f>
        <v>73</v>
      </c>
      <c r="H20" s="97">
        <f>IF(Year5_Portsmouth Year5_Care_Applications="","",Year5_Portsmouth Year5_Care_Applications)</f>
        <v>68</v>
      </c>
      <c r="I20" s="337">
        <f t="shared" si="4"/>
        <v>7.042967843046205E-2</v>
      </c>
      <c r="J20" s="98"/>
      <c r="K20" s="99">
        <f>IF(ISNUMBER(D20),D20/Population!D20*10000,NA())</f>
        <v>13.59447004608295</v>
      </c>
      <c r="L20" s="99">
        <f>IF(ISNUMBER(E20),E20/Population!E20*10000,NA())</f>
        <v>10.273972602739725</v>
      </c>
      <c r="M20" s="99">
        <f>IF(ISNUMBER(F20),F20/Population!F20*10000,NA())</f>
        <v>10.90909090909091</v>
      </c>
      <c r="N20" s="99">
        <f>IF(ISNUMBER(G20),G20/Population!G20*10000,NA())</f>
        <v>16.5158371040724</v>
      </c>
      <c r="O20" s="100">
        <f>IF(ISNUMBER(H20),H20/Population!H20*10000,NA())</f>
        <v>15.454545454545453</v>
      </c>
      <c r="P20" s="101">
        <f t="shared" si="5"/>
        <v>15.454545454545453</v>
      </c>
      <c r="Q20" s="770">
        <f t="shared" si="6"/>
        <v>16</v>
      </c>
      <c r="R20" s="69"/>
      <c r="S20" s="333">
        <f>IDACI!C19</f>
        <v>20.200000000000003</v>
      </c>
      <c r="T20" s="334">
        <f t="shared" si="0"/>
        <v>14.095054811025992</v>
      </c>
      <c r="U20" s="335">
        <f t="shared" si="7"/>
        <v>1.3594906435194609</v>
      </c>
      <c r="V20" s="124"/>
      <c r="W20" s="140"/>
      <c r="X20" s="149"/>
      <c r="Y20" s="71" t="str">
        <f t="shared" si="8"/>
        <v>Portsmouth</v>
      </c>
      <c r="Z20" s="45">
        <f>IF(H20&gt;0,IDACI!D19,0)</f>
        <v>39325</v>
      </c>
      <c r="AA20" s="45">
        <f>IF(H20&gt;0,IDACI!E19,0)</f>
        <v>7943.6500000000015</v>
      </c>
      <c r="AB20" s="202">
        <f>IF(ISNUMBER(D20),Population!D20,"")</f>
        <v>43400</v>
      </c>
      <c r="AC20" s="202">
        <f>IF(ISNUMBER(E20),Population!E20,"")</f>
        <v>43800</v>
      </c>
      <c r="AD20" s="202">
        <f>IF(ISNUMBER(F20),Population!F20,"")</f>
        <v>44000</v>
      </c>
      <c r="AE20" s="202">
        <f>IF(ISNUMBER(G20),Population!G20,"")</f>
        <v>44200</v>
      </c>
      <c r="AF20" s="202">
        <f>IF(ISNUMBER(H20),Population!H20,"")</f>
        <v>44000</v>
      </c>
      <c r="AG20" s="95" t="s">
        <v>12</v>
      </c>
      <c r="AH20" s="225">
        <f t="shared" si="9"/>
        <v>15.454545454545453</v>
      </c>
      <c r="AI20" s="203">
        <f t="shared" si="10"/>
        <v>16</v>
      </c>
      <c r="AJ20" s="199"/>
      <c r="AK20" s="156"/>
      <c r="AL20" s="792">
        <f t="shared" si="11"/>
        <v>-0.23728813559322035</v>
      </c>
      <c r="AM20" s="792">
        <f t="shared" si="11"/>
        <v>6.6666666666666666E-2</v>
      </c>
      <c r="AN20" s="792">
        <f t="shared" si="11"/>
        <v>0.52083333333333337</v>
      </c>
      <c r="AO20" s="792">
        <f t="shared" si="11"/>
        <v>-6.8493150684931503E-2</v>
      </c>
      <c r="AP20" s="792">
        <f t="shared" si="12"/>
        <v>7.042967843046205E-2</v>
      </c>
      <c r="AR20" s="888">
        <f t="shared" si="1"/>
        <v>10.273972602739725</v>
      </c>
      <c r="AS20" s="888">
        <f t="shared" si="1"/>
        <v>10.90909090909091</v>
      </c>
      <c r="AT20" s="888">
        <f t="shared" si="1"/>
        <v>16.5158371040724</v>
      </c>
      <c r="AU20" s="888">
        <f t="shared" si="1"/>
        <v>15.454545454545453</v>
      </c>
      <c r="AV20" s="888">
        <f t="shared" si="2"/>
        <v>53.153446070448489</v>
      </c>
      <c r="AW20" s="550">
        <f t="shared" si="3"/>
        <v>0</v>
      </c>
      <c r="AX20" s="888">
        <f t="shared" si="13"/>
        <v>53.153446070448489</v>
      </c>
    </row>
    <row r="21" spans="1:50" s="89" customFormat="1" ht="13.5" customHeight="1" x14ac:dyDescent="0.2">
      <c r="A21" s="462">
        <f>VLOOKUP(B21,Sheet1!$AQ$4:$AR$25,2,FALSE)</f>
        <v>0</v>
      </c>
      <c r="B21" s="95" t="str">
        <f>Sheet1!$K$15</f>
        <v>Reading</v>
      </c>
      <c r="C21" s="87"/>
      <c r="D21" s="96">
        <f>IF(Year1_Reading Year1_Care_Applications="","",Year1_Reading Year1_Care_Applications)</f>
        <v>39</v>
      </c>
      <c r="E21" s="96">
        <f>IF(Year2_Reading Year2_Care_Applications="","",Year2_Reading Year2_Care_Applications)</f>
        <v>67</v>
      </c>
      <c r="F21" s="96">
        <f>IF(Year3_Reading Year3_Care_Applications="","",Year3_Reading Year3_Care_Applications)</f>
        <v>78</v>
      </c>
      <c r="G21" s="96">
        <f>IF(Year4_Reading Year4_Care_Applications="","",Year4_Reading Year4_Care_Applications)</f>
        <v>63</v>
      </c>
      <c r="H21" s="97">
        <f>IF(Year5_Reading Year5_Care_Applications="","",Year5_Reading Year5_Care_Applications)</f>
        <v>73</v>
      </c>
      <c r="I21" s="337">
        <f t="shared" si="4"/>
        <v>0.21213757221219909</v>
      </c>
      <c r="J21" s="98"/>
      <c r="K21" s="99">
        <f>IF(ISNUMBER(D21),D21/Population!D21*10000,NA())</f>
        <v>10.863509749303622</v>
      </c>
      <c r="L21" s="99">
        <f>IF(ISNUMBER(E21),E21/Population!E21*10000,NA())</f>
        <v>18.406593406593409</v>
      </c>
      <c r="M21" s="99">
        <f>IF(ISNUMBER(F21),F21/Population!F21*10000,NA())</f>
        <v>21.311475409836067</v>
      </c>
      <c r="N21" s="99">
        <f>IF(ISNUMBER(G21),G21/Population!G21*10000,NA())</f>
        <v>16.981132075471699</v>
      </c>
      <c r="O21" s="100">
        <f>IF(ISNUMBER(H21),H21/Population!H21*10000,NA())</f>
        <v>19.676549865229113</v>
      </c>
      <c r="P21" s="101">
        <f t="shared" si="5"/>
        <v>19.676549865229113</v>
      </c>
      <c r="Q21" s="770">
        <f t="shared" si="6"/>
        <v>19</v>
      </c>
      <c r="R21" s="69"/>
      <c r="S21" s="333">
        <f>IDACI!C20</f>
        <v>16</v>
      </c>
      <c r="T21" s="334">
        <f t="shared" si="0"/>
        <v>11.648784950039618</v>
      </c>
      <c r="U21" s="335">
        <f t="shared" si="7"/>
        <v>8.0277649151894952</v>
      </c>
      <c r="V21" s="124"/>
      <c r="W21" s="140"/>
      <c r="X21" s="149"/>
      <c r="Y21" s="71" t="str">
        <f t="shared" si="8"/>
        <v>Reading</v>
      </c>
      <c r="Z21" s="45">
        <f>IF(H21&gt;0,IDACI!D20,0)</f>
        <v>33203</v>
      </c>
      <c r="AA21" s="45">
        <f>IF(H21&gt;0,IDACI!E20,0)</f>
        <v>5312.4800000000005</v>
      </c>
      <c r="AB21" s="202">
        <f>IF(ISNUMBER(D21),Population!D21,"")</f>
        <v>35900</v>
      </c>
      <c r="AC21" s="202">
        <f>IF(ISNUMBER(E21),Population!E21,"")</f>
        <v>36400</v>
      </c>
      <c r="AD21" s="202">
        <f>IF(ISNUMBER(F21),Population!F21,"")</f>
        <v>36600</v>
      </c>
      <c r="AE21" s="202">
        <f>IF(ISNUMBER(G21),Population!G21,"")</f>
        <v>37100</v>
      </c>
      <c r="AF21" s="202">
        <f>IF(ISNUMBER(H21),Population!H21,"")</f>
        <v>37100</v>
      </c>
      <c r="AG21" s="95" t="s">
        <v>3</v>
      </c>
      <c r="AH21" s="225">
        <f t="shared" si="9"/>
        <v>19.676549865229113</v>
      </c>
      <c r="AI21" s="203">
        <f t="shared" si="10"/>
        <v>19</v>
      </c>
      <c r="AJ21" s="199"/>
      <c r="AK21" s="156"/>
      <c r="AL21" s="792">
        <f t="shared" si="11"/>
        <v>0.71794871794871795</v>
      </c>
      <c r="AM21" s="792">
        <f t="shared" si="11"/>
        <v>0.16417910447761194</v>
      </c>
      <c r="AN21" s="792">
        <f t="shared" si="11"/>
        <v>-0.19230769230769232</v>
      </c>
      <c r="AO21" s="792">
        <f t="shared" si="11"/>
        <v>0.15873015873015872</v>
      </c>
      <c r="AP21" s="792">
        <f t="shared" si="12"/>
        <v>0.21213757221219909</v>
      </c>
      <c r="AR21" s="888">
        <f t="shared" si="1"/>
        <v>18.406593406593409</v>
      </c>
      <c r="AS21" s="888">
        <f t="shared" si="1"/>
        <v>21.311475409836067</v>
      </c>
      <c r="AT21" s="888">
        <f t="shared" si="1"/>
        <v>16.981132075471699</v>
      </c>
      <c r="AU21" s="888">
        <f t="shared" si="1"/>
        <v>19.676549865229113</v>
      </c>
      <c r="AV21" s="888">
        <f t="shared" si="2"/>
        <v>76.375750757130291</v>
      </c>
      <c r="AW21" s="550">
        <f t="shared" si="3"/>
        <v>0</v>
      </c>
      <c r="AX21" s="888">
        <f t="shared" si="13"/>
        <v>76.375750757130291</v>
      </c>
    </row>
    <row r="22" spans="1:50" s="89" customFormat="1" ht="13.5" customHeight="1" x14ac:dyDescent="0.2">
      <c r="A22" s="462">
        <f>VLOOKUP(B22,Sheet1!$AQ$4:$AR$25,2,FALSE)</f>
        <v>0</v>
      </c>
      <c r="B22" s="95" t="str">
        <f>Sheet1!$K$16</f>
        <v>Slough</v>
      </c>
      <c r="C22" s="87"/>
      <c r="D22" s="96">
        <f>IF(Year1_Slough Year1_Care_Applications="","",Year1_Slough Year1_Care_Applications)</f>
        <v>37</v>
      </c>
      <c r="E22" s="96">
        <f>IF(Year2_Slough Year2_Care_Applications="","",Year2_Slough Year2_Care_Applications)</f>
        <v>57</v>
      </c>
      <c r="F22" s="96">
        <f>IF(Year3_Slough Year3_Care_Applications="","",Year3_Slough Year3_Care_Applications)</f>
        <v>52</v>
      </c>
      <c r="G22" s="96">
        <f>IF(Year4_Slough Year4_Care_Applications="","",Year4_Slough Year4_Care_Applications)</f>
        <v>57</v>
      </c>
      <c r="H22" s="97">
        <f>IF(Year5_Slough Year5_Care_Applications="","",Year5_Slough Year5_Care_Applications)</f>
        <v>54</v>
      </c>
      <c r="I22" s="337">
        <f t="shared" si="4"/>
        <v>0.12408587737535108</v>
      </c>
      <c r="J22" s="98"/>
      <c r="K22" s="99">
        <f>IF(ISNUMBER(D22),D22/Population!D22*10000,NA())</f>
        <v>9.2731829573934839</v>
      </c>
      <c r="L22" s="99">
        <f>IF(ISNUMBER(E22),E22/Population!E22*10000,NA())</f>
        <v>14.039408866995075</v>
      </c>
      <c r="M22" s="99">
        <f>IF(ISNUMBER(F22),F22/Population!F22*10000,NA())</f>
        <v>12.560386473429951</v>
      </c>
      <c r="N22" s="99">
        <f>IF(ISNUMBER(G22),G22/Population!G22*10000,NA())</f>
        <v>13.507109004739338</v>
      </c>
      <c r="O22" s="100">
        <f>IF(ISNUMBER(H22),H22/Population!H22*10000,NA())</f>
        <v>12.646370023419204</v>
      </c>
      <c r="P22" s="101">
        <f t="shared" si="5"/>
        <v>12.646370023419204</v>
      </c>
      <c r="Q22" s="770">
        <f t="shared" si="6"/>
        <v>14</v>
      </c>
      <c r="R22" s="69"/>
      <c r="S22" s="333">
        <f>IDACI!C21</f>
        <v>14.7</v>
      </c>
      <c r="T22" s="334">
        <f t="shared" si="0"/>
        <v>10.891606183543836</v>
      </c>
      <c r="U22" s="335">
        <f t="shared" si="7"/>
        <v>1.754763839875368</v>
      </c>
      <c r="V22" s="124"/>
      <c r="W22" s="140"/>
      <c r="X22" s="149"/>
      <c r="Y22" s="71" t="str">
        <f t="shared" si="8"/>
        <v>Slough</v>
      </c>
      <c r="Z22" s="45">
        <f>IF(H22&gt;0,IDACI!D21,0)</f>
        <v>37031</v>
      </c>
      <c r="AA22" s="45">
        <f>IF(H22&gt;0,IDACI!E21,0)</f>
        <v>5443.5569999999998</v>
      </c>
      <c r="AB22" s="202">
        <f>IF(ISNUMBER(D22),Population!D22,"")</f>
        <v>39900</v>
      </c>
      <c r="AC22" s="202">
        <f>IF(ISNUMBER(E22),Population!E22,"")</f>
        <v>40600</v>
      </c>
      <c r="AD22" s="202">
        <f>IF(ISNUMBER(F22),Population!F22,"")</f>
        <v>41400</v>
      </c>
      <c r="AE22" s="202">
        <f>IF(ISNUMBER(G22),Population!G22,"")</f>
        <v>42200</v>
      </c>
      <c r="AF22" s="202">
        <f>IF(ISNUMBER(H22),Population!H22,"")</f>
        <v>42700</v>
      </c>
      <c r="AG22" s="95" t="s">
        <v>13</v>
      </c>
      <c r="AH22" s="225">
        <f t="shared" si="9"/>
        <v>12.646370023419204</v>
      </c>
      <c r="AI22" s="203">
        <f t="shared" si="10"/>
        <v>14</v>
      </c>
      <c r="AJ22" s="199"/>
      <c r="AK22" s="156"/>
      <c r="AL22" s="792">
        <f t="shared" si="11"/>
        <v>0.54054054054054057</v>
      </c>
      <c r="AM22" s="792">
        <f t="shared" si="11"/>
        <v>-8.771929824561403E-2</v>
      </c>
      <c r="AN22" s="792">
        <f t="shared" si="11"/>
        <v>9.6153846153846159E-2</v>
      </c>
      <c r="AO22" s="792">
        <f t="shared" si="11"/>
        <v>-5.2631578947368418E-2</v>
      </c>
      <c r="AP22" s="792">
        <f t="shared" si="12"/>
        <v>0.12408587737535108</v>
      </c>
      <c r="AR22" s="888">
        <f t="shared" si="1"/>
        <v>14.039408866995075</v>
      </c>
      <c r="AS22" s="888">
        <f t="shared" si="1"/>
        <v>12.560386473429951</v>
      </c>
      <c r="AT22" s="888">
        <f t="shared" si="1"/>
        <v>13.507109004739338</v>
      </c>
      <c r="AU22" s="888">
        <f t="shared" si="1"/>
        <v>12.646370023419204</v>
      </c>
      <c r="AV22" s="888">
        <f t="shared" si="2"/>
        <v>52.753274368583568</v>
      </c>
      <c r="AW22" s="550">
        <f t="shared" si="3"/>
        <v>0</v>
      </c>
      <c r="AX22" s="888">
        <f t="shared" si="13"/>
        <v>52.753274368583568</v>
      </c>
    </row>
    <row r="23" spans="1:50" s="89" customFormat="1" ht="13.5" customHeight="1" x14ac:dyDescent="0.2">
      <c r="A23" s="462">
        <f>VLOOKUP(B23,Sheet1!$AQ$4:$AR$25,2,FALSE)</f>
        <v>0</v>
      </c>
      <c r="B23" s="95" t="str">
        <f>Sheet1!$K$17</f>
        <v>Somerset</v>
      </c>
      <c r="C23" s="87"/>
      <c r="D23" s="96">
        <f>IF(Year1_Somerset Year1_Care_Applications="","",Year1_Somerset Year1_Care_Applications)</f>
        <v>129</v>
      </c>
      <c r="E23" s="96">
        <f>IF(Year2_Somerset Year2_Care_Applications="","",Year2_Somerset Year2_Care_Applications)</f>
        <v>149</v>
      </c>
      <c r="F23" s="96">
        <f>IF(Year3_Somerset Year3_Care_Applications="","",Year3_Somerset Year3_Care_Applications)</f>
        <v>146</v>
      </c>
      <c r="G23" s="96">
        <f>IF(Year4_Somerset Year4_Care_Applications="","",Year4_Somerset Year4_Care_Applications)</f>
        <v>132</v>
      </c>
      <c r="H23" s="97">
        <f>IF(Year5_Somerset Year5_Care_Applications="","",Year5_Somerset Year5_Care_Applications)</f>
        <v>118</v>
      </c>
      <c r="I23" s="337">
        <f t="shared" si="4"/>
        <v>-1.6761621379376788E-2</v>
      </c>
      <c r="J23" s="98"/>
      <c r="K23" s="99">
        <f>IF(ISNUMBER(D23),D23/Population!D23*10000,NA())</f>
        <v>11.845730027548209</v>
      </c>
      <c r="L23" s="99">
        <f>IF(ISNUMBER(E23),E23/Population!E23*10000,NA())</f>
        <v>13.644688644688646</v>
      </c>
      <c r="M23" s="99">
        <f>IF(ISNUMBER(F23),F23/Population!F23*10000,NA())</f>
        <v>13.309024612579764</v>
      </c>
      <c r="N23" s="99">
        <f>IF(ISNUMBER(G23),G23/Population!G23*10000,NA())</f>
        <v>11.989100817438691</v>
      </c>
      <c r="O23" s="100">
        <f>IF(ISNUMBER(H23),H23/Population!H23*10000,NA())</f>
        <v>10.659439927732612</v>
      </c>
      <c r="P23" s="101">
        <f t="shared" si="5"/>
        <v>10.659439927732612</v>
      </c>
      <c r="Q23" s="766" t="str">
        <f t="shared" si="6"/>
        <v>--</v>
      </c>
      <c r="R23" s="69"/>
      <c r="S23" s="333">
        <f>IDACI!C22</f>
        <v>13.600000000000001</v>
      </c>
      <c r="T23" s="334">
        <f t="shared" si="0"/>
        <v>10.250916458047406</v>
      </c>
      <c r="U23" s="335">
        <f t="shared" si="7"/>
        <v>0.40852346968520514</v>
      </c>
      <c r="V23" s="124"/>
      <c r="W23" s="140"/>
      <c r="X23" s="149"/>
      <c r="Y23" s="71" t="str">
        <f t="shared" si="8"/>
        <v>Somerset</v>
      </c>
      <c r="Z23" s="45">
        <f>IF(H23&gt;0,IDACI!D22,0)</f>
        <v>95875</v>
      </c>
      <c r="AA23" s="45">
        <f>IF(H23&gt;0,IDACI!E22,0)</f>
        <v>13039.000000000002</v>
      </c>
      <c r="AB23" s="202">
        <f>IF(ISNUMBER(D23),Population!D23,"")</f>
        <v>108900</v>
      </c>
      <c r="AC23" s="202">
        <f>IF(ISNUMBER(E23),Population!E23,"")</f>
        <v>109200</v>
      </c>
      <c r="AD23" s="202">
        <f>IF(ISNUMBER(F23),Population!F23,"")</f>
        <v>109700</v>
      </c>
      <c r="AE23" s="202">
        <f>IF(ISNUMBER(G23),Population!G23,"")</f>
        <v>110100</v>
      </c>
      <c r="AF23" s="202">
        <f>IF(ISNUMBER(H23),Population!H23,"")</f>
        <v>110700</v>
      </c>
      <c r="AG23" s="95" t="s">
        <v>14</v>
      </c>
      <c r="AH23" s="225">
        <f t="shared" si="9"/>
        <v>15.748031496062993</v>
      </c>
      <c r="AI23" s="203">
        <f t="shared" si="10"/>
        <v>17</v>
      </c>
      <c r="AJ23" s="199"/>
      <c r="AK23" s="156"/>
      <c r="AL23" s="792">
        <f t="shared" si="11"/>
        <v>0.15503875968992248</v>
      </c>
      <c r="AM23" s="792">
        <f t="shared" si="11"/>
        <v>-2.0134228187919462E-2</v>
      </c>
      <c r="AN23" s="792">
        <f t="shared" si="11"/>
        <v>-9.5890410958904104E-2</v>
      </c>
      <c r="AO23" s="792">
        <f t="shared" si="11"/>
        <v>-0.10606060606060606</v>
      </c>
      <c r="AP23" s="792">
        <f t="shared" si="12"/>
        <v>-1.6761621379376788E-2</v>
      </c>
      <c r="AR23" s="888">
        <f t="shared" si="1"/>
        <v>13.644688644688646</v>
      </c>
      <c r="AS23" s="888">
        <f t="shared" si="1"/>
        <v>13.309024612579764</v>
      </c>
      <c r="AT23" s="888">
        <f t="shared" si="1"/>
        <v>11.989100817438691</v>
      </c>
      <c r="AU23" s="888">
        <f>IF(ISNUMBER(O23),O23,"")</f>
        <v>10.659439927732612</v>
      </c>
      <c r="AV23" s="888">
        <f>SUM(AR23:AU23)</f>
        <v>49.602254002439714</v>
      </c>
      <c r="AW23" s="550">
        <f>COUNTBLANK(AR23:AU23)</f>
        <v>0</v>
      </c>
      <c r="AX23" s="888">
        <f>AV23/(4-AW23)*4</f>
        <v>49.602254002439714</v>
      </c>
    </row>
    <row r="24" spans="1:50" s="89" customFormat="1" ht="13.5" customHeight="1" x14ac:dyDescent="0.2">
      <c r="A24" s="462">
        <f>VLOOKUP(B24,Sheet1!$AQ$4:$AR$25,2,FALSE)</f>
        <v>0</v>
      </c>
      <c r="B24" s="95" t="str">
        <f>Sheet1!$K$18</f>
        <v>Southampton</v>
      </c>
      <c r="C24" s="87"/>
      <c r="D24" s="96">
        <f>IF(Year1_Southampton Year1_Care_Applications="","",Year1_Southampton Year1_Care_Applications)</f>
        <v>96</v>
      </c>
      <c r="E24" s="96">
        <f>IF(Year2_Southampton Year2_Care_Applications="","",Year2_Southampton Year2_Care_Applications)</f>
        <v>93</v>
      </c>
      <c r="F24" s="96">
        <f>IF(Year3_Southampton Year3_Care_Applications="","",Year3_Southampton Year3_Care_Applications)</f>
        <v>87</v>
      </c>
      <c r="G24" s="96">
        <f>IF(Year4_Southampton Year4_Care_Applications="","",Year4_Southampton Year4_Care_Applications)</f>
        <v>90</v>
      </c>
      <c r="H24" s="97">
        <f>IF(Year5_Southampton Year5_Care_Applications="","",Year5_Southampton Year5_Care_Applications)</f>
        <v>80</v>
      </c>
      <c r="I24" s="337">
        <f t="shared" si="4"/>
        <v>-4.3098620380669875E-2</v>
      </c>
      <c r="J24" s="98"/>
      <c r="K24" s="99">
        <f>IF(ISNUMBER(D24),D24/Population!D24*10000,NA())</f>
        <v>19.753086419753085</v>
      </c>
      <c r="L24" s="99">
        <f>IF(ISNUMBER(E24),E24/Population!E24*10000,NA())</f>
        <v>18.902439024390244</v>
      </c>
      <c r="M24" s="99">
        <f>IF(ISNUMBER(F24),F24/Population!F24*10000,NA())</f>
        <v>17.434869739478959</v>
      </c>
      <c r="N24" s="99">
        <f>IF(ISNUMBER(G24),G24/Population!G24*10000,NA())</f>
        <v>17.892644135188867</v>
      </c>
      <c r="O24" s="100">
        <f>IF(ISNUMBER(H24),H24/Population!H24*10000,NA())</f>
        <v>15.748031496062993</v>
      </c>
      <c r="P24" s="101">
        <f t="shared" si="5"/>
        <v>15.748031496062993</v>
      </c>
      <c r="Q24" s="770">
        <f t="shared" si="6"/>
        <v>17</v>
      </c>
      <c r="R24" s="69"/>
      <c r="S24" s="333">
        <f>IDACI!C23</f>
        <v>20.5</v>
      </c>
      <c r="T24" s="334">
        <f t="shared" si="0"/>
        <v>14.269788372525017</v>
      </c>
      <c r="U24" s="335">
        <f t="shared" si="7"/>
        <v>1.4782431235379754</v>
      </c>
      <c r="V24" s="124"/>
      <c r="W24" s="140"/>
      <c r="X24" s="149"/>
      <c r="Y24" s="71" t="str">
        <f t="shared" si="8"/>
        <v>Southampton</v>
      </c>
      <c r="Z24" s="45">
        <f>IF(H24&gt;0,IDACI!D23,0)</f>
        <v>44295</v>
      </c>
      <c r="AA24" s="45">
        <f>IF(H24&gt;0,IDACI!E23,0)</f>
        <v>9080.4750000000004</v>
      </c>
      <c r="AB24" s="202">
        <f>IF(ISNUMBER(D24),Population!D24,"")</f>
        <v>48600</v>
      </c>
      <c r="AC24" s="202">
        <f>IF(ISNUMBER(E24),Population!E24,"")</f>
        <v>49200</v>
      </c>
      <c r="AD24" s="202">
        <f>IF(ISNUMBER(F24),Population!F24,"")</f>
        <v>49900</v>
      </c>
      <c r="AE24" s="202">
        <f>IF(ISNUMBER(G24),Population!G24,"")</f>
        <v>50300</v>
      </c>
      <c r="AF24" s="202">
        <f>IF(ISNUMBER(H24),Population!H24,"")</f>
        <v>50800</v>
      </c>
      <c r="AG24" s="95" t="s">
        <v>7</v>
      </c>
      <c r="AH24" s="225">
        <f t="shared" si="9"/>
        <v>7.5219549446353575</v>
      </c>
      <c r="AI24" s="203">
        <f t="shared" si="10"/>
        <v>4</v>
      </c>
      <c r="AJ24" s="199"/>
      <c r="AK24" s="156"/>
      <c r="AL24" s="792">
        <f t="shared" si="11"/>
        <v>-3.125E-2</v>
      </c>
      <c r="AM24" s="792">
        <f t="shared" si="11"/>
        <v>-6.4516129032258063E-2</v>
      </c>
      <c r="AN24" s="792">
        <f t="shared" si="11"/>
        <v>3.4482758620689655E-2</v>
      </c>
      <c r="AO24" s="792">
        <f t="shared" si="11"/>
        <v>-0.1111111111111111</v>
      </c>
      <c r="AP24" s="792">
        <f t="shared" si="12"/>
        <v>-4.3098620380669875E-2</v>
      </c>
      <c r="AR24" s="888">
        <f t="shared" si="1"/>
        <v>18.902439024390244</v>
      </c>
      <c r="AS24" s="888">
        <f t="shared" si="1"/>
        <v>17.434869739478959</v>
      </c>
      <c r="AT24" s="888">
        <f t="shared" si="1"/>
        <v>17.892644135188867</v>
      </c>
      <c r="AU24" s="888">
        <f t="shared" si="1"/>
        <v>15.748031496062993</v>
      </c>
      <c r="AV24" s="888">
        <f t="shared" ref="AV24:AV33" si="14">SUM(AR24:AU24)</f>
        <v>69.977984395121069</v>
      </c>
      <c r="AW24" s="550">
        <f t="shared" ref="AW24:AW33" si="15">COUNTBLANK(AR24:AU24)</f>
        <v>0</v>
      </c>
      <c r="AX24" s="888">
        <f t="shared" si="13"/>
        <v>69.977984395121069</v>
      </c>
    </row>
    <row r="25" spans="1:50" s="89" customFormat="1" ht="13.5" customHeight="1" x14ac:dyDescent="0.2">
      <c r="A25" s="462">
        <f>VLOOKUP(B25,Sheet1!$AQ$4:$AR$25,2,FALSE)</f>
        <v>0</v>
      </c>
      <c r="B25" s="95" t="str">
        <f>Sheet1!$K$19</f>
        <v>Surrey</v>
      </c>
      <c r="C25" s="87"/>
      <c r="D25" s="96">
        <f>IF(Year1_Surrey Year1_Care_Applications="","",Year1_Surrey Year1_Care_Applications)</f>
        <v>107</v>
      </c>
      <c r="E25" s="96">
        <f>IF(Year2_Surrey Year2_Care_Applications="","",Year2_Surrey Year2_Care_Applications)</f>
        <v>141</v>
      </c>
      <c r="F25" s="96">
        <f>IF(Year3_Surrey Year3_Care_Applications="","",Year3_Surrey Year3_Care_Applications)</f>
        <v>180</v>
      </c>
      <c r="G25" s="96">
        <f>IF(Year4_Surrey Year4_Care_Applications="","",Year4_Surrey Year4_Care_Applications)</f>
        <v>205</v>
      </c>
      <c r="H25" s="97">
        <f>IF(Year5_Surrey Year5_Care_Applications="","",Year5_Surrey Year5_Care_Applications)</f>
        <v>197</v>
      </c>
      <c r="I25" s="337">
        <f t="shared" si="4"/>
        <v>0.17355431316790798</v>
      </c>
      <c r="J25" s="98"/>
      <c r="K25" s="99">
        <f>IF(ISNUMBER(D25),D25/Population!D25*10000,NA())</f>
        <v>4.2026708562450903</v>
      </c>
      <c r="L25" s="99">
        <f>IF(ISNUMBER(E25),E25/Population!E25*10000,NA())</f>
        <v>5.4992199687987515</v>
      </c>
      <c r="M25" s="99">
        <f>IF(ISNUMBER(F25),F25/Population!F25*10000,NA())</f>
        <v>6.9498069498069492</v>
      </c>
      <c r="N25" s="99">
        <f>IF(ISNUMBER(G25),G25/Population!G25*10000,NA())</f>
        <v>7.8755282366500197</v>
      </c>
      <c r="O25" s="100">
        <f>IF(ISNUMBER(H25),H25/Population!H25*10000,NA())</f>
        <v>7.5219549446353575</v>
      </c>
      <c r="P25" s="101">
        <f t="shared" si="5"/>
        <v>7.5219549446353575</v>
      </c>
      <c r="Q25" s="770">
        <f t="shared" si="6"/>
        <v>4</v>
      </c>
      <c r="R25" s="69"/>
      <c r="S25" s="333">
        <f>IDACI!C24</f>
        <v>8.3000000000000007</v>
      </c>
      <c r="T25" s="334">
        <f t="shared" si="0"/>
        <v>7.1639568715646007</v>
      </c>
      <c r="U25" s="335">
        <f t="shared" si="7"/>
        <v>0.35799807307075682</v>
      </c>
      <c r="V25" s="124"/>
      <c r="W25" s="140"/>
      <c r="X25" s="149"/>
      <c r="Y25" s="71" t="str">
        <f t="shared" si="8"/>
        <v>Surrey</v>
      </c>
      <c r="Z25" s="45">
        <f>IF(H25&gt;0,IDACI!D24,0)</f>
        <v>228466</v>
      </c>
      <c r="AA25" s="45">
        <f>IF(H25&gt;0,IDACI!E24,0)</f>
        <v>18962.678</v>
      </c>
      <c r="AB25" s="202">
        <f>IF(ISNUMBER(D25),Population!D25,"")</f>
        <v>254600</v>
      </c>
      <c r="AC25" s="202">
        <f>IF(ISNUMBER(E25),Population!E25,"")</f>
        <v>256400</v>
      </c>
      <c r="AD25" s="202">
        <f>IF(ISNUMBER(F25),Population!F25,"")</f>
        <v>259000</v>
      </c>
      <c r="AE25" s="202">
        <f>IF(ISNUMBER(G25),Population!G25,"")</f>
        <v>260300</v>
      </c>
      <c r="AF25" s="202">
        <f>IF(ISNUMBER(H25),Population!H25,"")</f>
        <v>261900</v>
      </c>
      <c r="AG25" s="95" t="s">
        <v>15</v>
      </c>
      <c r="AH25" s="225">
        <f t="shared" si="9"/>
        <v>9.2696629213483153</v>
      </c>
      <c r="AI25" s="203">
        <f t="shared" si="10"/>
        <v>8</v>
      </c>
      <c r="AJ25" s="199"/>
      <c r="AK25" s="156"/>
      <c r="AL25" s="792">
        <f t="shared" si="11"/>
        <v>0.31775700934579437</v>
      </c>
      <c r="AM25" s="792">
        <f t="shared" si="11"/>
        <v>0.27659574468085107</v>
      </c>
      <c r="AN25" s="792">
        <f t="shared" si="11"/>
        <v>0.1388888888888889</v>
      </c>
      <c r="AO25" s="792">
        <f t="shared" si="11"/>
        <v>-3.9024390243902439E-2</v>
      </c>
      <c r="AP25" s="792">
        <f t="shared" si="12"/>
        <v>0.17355431316790798</v>
      </c>
      <c r="AR25" s="888">
        <f t="shared" si="1"/>
        <v>5.4992199687987515</v>
      </c>
      <c r="AS25" s="888">
        <f t="shared" si="1"/>
        <v>6.9498069498069492</v>
      </c>
      <c r="AT25" s="888">
        <f t="shared" si="1"/>
        <v>7.8755282366500197</v>
      </c>
      <c r="AU25" s="888">
        <f t="shared" si="1"/>
        <v>7.5219549446353575</v>
      </c>
      <c r="AV25" s="888">
        <f t="shared" si="14"/>
        <v>27.846510099891077</v>
      </c>
      <c r="AW25" s="550">
        <f t="shared" si="15"/>
        <v>0</v>
      </c>
      <c r="AX25" s="888">
        <f t="shared" si="13"/>
        <v>27.846510099891077</v>
      </c>
    </row>
    <row r="26" spans="1:50" s="89" customFormat="1" ht="13.5" customHeight="1" x14ac:dyDescent="0.2">
      <c r="A26" s="462">
        <f>VLOOKUP(B26,Sheet1!$AQ$4:$AR$25,2,FALSE)</f>
        <v>0</v>
      </c>
      <c r="B26" s="95" t="str">
        <f>Sheet1!$K$20</f>
        <v>Swindon</v>
      </c>
      <c r="C26" s="87"/>
      <c r="D26" s="96">
        <f>IF(Year1_Swindon Year1_Care_Applications="","",Year1_Swindon Year1_Care_Applications)</f>
        <v>47</v>
      </c>
      <c r="E26" s="96">
        <f>IF(Year2_Swindon Year2_Care_Applications="","",Year2_Swindon Year2_Care_Applications)</f>
        <v>53</v>
      </c>
      <c r="F26" s="96">
        <f>IF(Year3_Swindon Year3_Care_Applications="","",Year3_Swindon Year3_Care_Applications)</f>
        <v>78</v>
      </c>
      <c r="G26" s="96">
        <f>IF(Year4_Swindon Year4_Care_Applications="","",Year4_Swindon Year4_Care_Applications)</f>
        <v>86</v>
      </c>
      <c r="H26" s="97">
        <f>IF(Year5_Swindon Year5_Care_Applications="","",Year5_Swindon Year5_Care_Applications)</f>
        <v>73</v>
      </c>
      <c r="I26" s="337">
        <f t="shared" si="4"/>
        <v>0.13768974988551508</v>
      </c>
      <c r="J26" s="98"/>
      <c r="K26" s="99">
        <f>IF(ISNUMBER(D26),D26/Population!D26*10000,NA())</f>
        <v>9.6707818930041149</v>
      </c>
      <c r="L26" s="99">
        <f>IF(ISNUMBER(E26),E26/Population!E26*10000,NA())</f>
        <v>10.816326530612246</v>
      </c>
      <c r="M26" s="99">
        <f>IF(ISNUMBER(F26),F26/Population!F26*10000,NA())</f>
        <v>15.757575757575758</v>
      </c>
      <c r="N26" s="99">
        <f>IF(ISNUMBER(G26),G26/Population!G26*10000,NA())</f>
        <v>17.234468937875754</v>
      </c>
      <c r="O26" s="100">
        <f>IF(ISNUMBER(H26),H26/Population!H26*10000,NA())</f>
        <v>14.541832669322709</v>
      </c>
      <c r="P26" s="101">
        <f t="shared" si="5"/>
        <v>14.541832669322709</v>
      </c>
      <c r="Q26" s="766" t="str">
        <f t="shared" si="6"/>
        <v>--</v>
      </c>
      <c r="R26" s="69"/>
      <c r="S26" s="333">
        <f>IDACI!C25</f>
        <v>14.899999999999999</v>
      </c>
      <c r="T26" s="334">
        <f t="shared" si="0"/>
        <v>11.008095224543187</v>
      </c>
      <c r="U26" s="335">
        <f t="shared" si="7"/>
        <v>3.533737444779522</v>
      </c>
      <c r="V26" s="124"/>
      <c r="W26" s="140"/>
      <c r="X26" s="149"/>
      <c r="Y26" s="71" t="str">
        <f t="shared" si="8"/>
        <v>Swindon</v>
      </c>
      <c r="Z26" s="45">
        <f>IF(H26&gt;0,IDACI!D25,0)</f>
        <v>43899</v>
      </c>
      <c r="AA26" s="45">
        <f>IF(H26&gt;0,IDACI!E25,0)</f>
        <v>6540.951</v>
      </c>
      <c r="AB26" s="202">
        <f>IF(ISNUMBER(D26),Population!D26,"")</f>
        <v>48600</v>
      </c>
      <c r="AC26" s="202">
        <f>IF(ISNUMBER(E26),Population!E26,"")</f>
        <v>49000</v>
      </c>
      <c r="AD26" s="202">
        <f>IF(ISNUMBER(F26),Population!F26,"")</f>
        <v>49500</v>
      </c>
      <c r="AE26" s="202">
        <f>IF(ISNUMBER(G26),Population!G26,"")</f>
        <v>49900</v>
      </c>
      <c r="AF26" s="202">
        <f>IF(ISNUMBER(H26),Population!H26,"")</f>
        <v>50200</v>
      </c>
      <c r="AG26" s="95" t="s">
        <v>5</v>
      </c>
      <c r="AH26" s="225">
        <f t="shared" si="9"/>
        <v>8.5289066971951915</v>
      </c>
      <c r="AI26" s="203">
        <f t="shared" si="10"/>
        <v>7</v>
      </c>
      <c r="AJ26" s="199"/>
      <c r="AK26" s="156"/>
      <c r="AL26" s="792">
        <f t="shared" si="11"/>
        <v>0.1276595744680851</v>
      </c>
      <c r="AM26" s="792">
        <f t="shared" si="11"/>
        <v>0.47169811320754718</v>
      </c>
      <c r="AN26" s="792">
        <f t="shared" si="11"/>
        <v>0.10256410256410256</v>
      </c>
      <c r="AO26" s="792">
        <f t="shared" si="11"/>
        <v>-0.15116279069767441</v>
      </c>
      <c r="AP26" s="792">
        <f t="shared" si="12"/>
        <v>0.13768974988551508</v>
      </c>
      <c r="AR26" s="888">
        <f t="shared" ref="AR26:AU33" si="16">IF(ISNUMBER(L26),L26,"")</f>
        <v>10.816326530612246</v>
      </c>
      <c r="AS26" s="888">
        <f t="shared" si="16"/>
        <v>15.757575757575758</v>
      </c>
      <c r="AT26" s="888">
        <f t="shared" si="16"/>
        <v>17.234468937875754</v>
      </c>
      <c r="AU26" s="888">
        <f t="shared" si="16"/>
        <v>14.541832669322709</v>
      </c>
      <c r="AV26" s="888">
        <f t="shared" si="14"/>
        <v>58.350203895386464</v>
      </c>
      <c r="AW26" s="550">
        <f t="shared" si="15"/>
        <v>0</v>
      </c>
      <c r="AX26" s="888">
        <f t="shared" si="13"/>
        <v>58.350203895386464</v>
      </c>
    </row>
    <row r="27" spans="1:50" s="89" customFormat="1" ht="13.5" customHeight="1" x14ac:dyDescent="0.2">
      <c r="A27" s="462">
        <f>VLOOKUP(B27,Sheet1!$AQ$4:$AR$25,2,FALSE)</f>
        <v>0</v>
      </c>
      <c r="B27" s="95" t="str">
        <f>Sheet1!$K$21</f>
        <v>Torbay</v>
      </c>
      <c r="C27" s="87"/>
      <c r="D27" s="96">
        <f>IF(Year1_Torbay Year1_Care_Applications="","",Year1_Torbay Year1_Care_Applications)</f>
        <v>58</v>
      </c>
      <c r="E27" s="96">
        <f>IF(Year2_Torbay Year2_Care_Applications="","",Year2_Torbay Year2_Care_Applications)</f>
        <v>55</v>
      </c>
      <c r="F27" s="96">
        <f>IF(Year3_Torbay Year3_Care_Applications="","",Year3_Torbay Year3_Care_Applications)</f>
        <v>56</v>
      </c>
      <c r="G27" s="96">
        <f>IF(Year4_Torbay Year4_Care_Applications="","",Year4_Torbay Year4_Care_Applications)</f>
        <v>60</v>
      </c>
      <c r="H27" s="97">
        <f>IF(Year5_Torbay Year5_Care_Applications="","",Year5_Torbay Year5_Care_Applications)</f>
        <v>63</v>
      </c>
      <c r="I27" s="337">
        <f t="shared" si="4"/>
        <v>2.1971562919838782E-2</v>
      </c>
      <c r="J27" s="98"/>
      <c r="K27" s="99">
        <f>IF(ISNUMBER(D27),D27/Population!D27*10000,NA())</f>
        <v>23.107569721115539</v>
      </c>
      <c r="L27" s="99">
        <f>IF(ISNUMBER(E27),E27/Population!E27*10000,NA())</f>
        <v>21.825396825396826</v>
      </c>
      <c r="M27" s="99">
        <f>IF(ISNUMBER(F27),F27/Population!F27*10000,NA())</f>
        <v>22.047244094488189</v>
      </c>
      <c r="N27" s="99">
        <f>IF(ISNUMBER(G27),G27/Population!G27*10000,NA())</f>
        <v>23.622047244094489</v>
      </c>
      <c r="O27" s="100">
        <f>IF(ISNUMBER(H27),H27/Population!H27*10000,NA())</f>
        <v>24.803149606299211</v>
      </c>
      <c r="P27" s="101">
        <f t="shared" si="5"/>
        <v>24.803149606299211</v>
      </c>
      <c r="Q27" s="766" t="str">
        <f t="shared" si="6"/>
        <v>--</v>
      </c>
      <c r="R27" s="69"/>
      <c r="S27" s="333">
        <f>IDACI!C26</f>
        <v>21.9</v>
      </c>
      <c r="T27" s="334">
        <f t="shared" si="0"/>
        <v>15.085211659520475</v>
      </c>
      <c r="U27" s="335">
        <f t="shared" si="7"/>
        <v>9.7179379467787363</v>
      </c>
      <c r="V27" s="124"/>
      <c r="W27" s="140"/>
      <c r="X27" s="149"/>
      <c r="Y27" s="71" t="str">
        <f t="shared" si="8"/>
        <v>Torbay</v>
      </c>
      <c r="Z27" s="45">
        <f>IF(H27&gt;0,IDACI!D26,0)</f>
        <v>22257</v>
      </c>
      <c r="AA27" s="45">
        <f>IF(H27&gt;0,IDACI!E26,0)</f>
        <v>4874.2829999999994</v>
      </c>
      <c r="AB27" s="202">
        <f>IF(ISNUMBER(D27),Population!D27,"")</f>
        <v>25100</v>
      </c>
      <c r="AC27" s="202">
        <f>IF(ISNUMBER(E27),Population!E27,"")</f>
        <v>25200</v>
      </c>
      <c r="AD27" s="202">
        <f>IF(ISNUMBER(F27),Population!F27,"")</f>
        <v>25400</v>
      </c>
      <c r="AE27" s="202">
        <f>IF(ISNUMBER(G27),Population!G27,"")</f>
        <v>25400</v>
      </c>
      <c r="AF27" s="202">
        <f>IF(ISNUMBER(H27),Population!H27,"")</f>
        <v>25400</v>
      </c>
      <c r="AG27" s="95" t="s">
        <v>30</v>
      </c>
      <c r="AH27" s="225">
        <f t="shared" si="9"/>
        <v>6.6473988439306355</v>
      </c>
      <c r="AI27" s="203">
        <f t="shared" si="10"/>
        <v>1</v>
      </c>
      <c r="AJ27" s="199"/>
      <c r="AK27" s="156"/>
      <c r="AL27" s="792">
        <f t="shared" si="11"/>
        <v>-5.1724137931034482E-2</v>
      </c>
      <c r="AM27" s="792">
        <f t="shared" si="11"/>
        <v>1.8181818181818181E-2</v>
      </c>
      <c r="AN27" s="792">
        <f t="shared" si="11"/>
        <v>7.1428571428571425E-2</v>
      </c>
      <c r="AO27" s="792">
        <f t="shared" si="11"/>
        <v>0.05</v>
      </c>
      <c r="AP27" s="792">
        <f t="shared" si="12"/>
        <v>2.1971562919838782E-2</v>
      </c>
      <c r="AR27" s="888">
        <f t="shared" si="16"/>
        <v>21.825396825396826</v>
      </c>
      <c r="AS27" s="888">
        <f t="shared" si="16"/>
        <v>22.047244094488189</v>
      </c>
      <c r="AT27" s="888">
        <f t="shared" si="16"/>
        <v>23.622047244094489</v>
      </c>
      <c r="AU27" s="888">
        <f t="shared" si="16"/>
        <v>24.803149606299211</v>
      </c>
      <c r="AV27" s="888">
        <f t="shared" si="14"/>
        <v>92.297837770278718</v>
      </c>
      <c r="AW27" s="550">
        <f t="shared" si="15"/>
        <v>0</v>
      </c>
      <c r="AX27" s="888">
        <f t="shared" si="13"/>
        <v>92.297837770278718</v>
      </c>
    </row>
    <row r="28" spans="1:50" s="89" customFormat="1" ht="13.5" customHeight="1" x14ac:dyDescent="0.2">
      <c r="A28" s="462">
        <f>VLOOKUP(B28,Sheet1!$AQ$4:$AR$25,2,FALSE)</f>
        <v>0</v>
      </c>
      <c r="B28" s="95" t="str">
        <f>Sheet1!$K$22</f>
        <v>West Berkshire</v>
      </c>
      <c r="C28" s="87"/>
      <c r="D28" s="96">
        <f>IF(Year1_West_Berkshire Year1_Care_Applications="","",Year1_West_Berkshire Year1_Care_Applications)</f>
        <v>30</v>
      </c>
      <c r="E28" s="102">
        <f>IF(Year2_West_Berkshire Year2_Care_Applications="","",Year2_West_Berkshire Year2_Care_Applications)</f>
        <v>49</v>
      </c>
      <c r="F28" s="96">
        <f>IF(Year3_West_Berkshire Year3_Care_Applications="","",Year3_West_Berkshire Year3_Care_Applications)</f>
        <v>39</v>
      </c>
      <c r="G28" s="96">
        <f>IF(Year4_West_Berkshire Year4_Care_Applications="","",Year4_West_Berkshire Year4_Care_Applications)</f>
        <v>36</v>
      </c>
      <c r="H28" s="97">
        <f>IF(Year5_West_Berkshire Year5_Care_Applications="","",Year5_West_Berkshire Year5_Care_Applications)</f>
        <v>33</v>
      </c>
      <c r="I28" s="337">
        <f t="shared" si="4"/>
        <v>6.7248822605965458E-2</v>
      </c>
      <c r="J28" s="98"/>
      <c r="K28" s="99">
        <f>IF(ISNUMBER(D28),D28/Population!D28*10000,NA())</f>
        <v>8.4269662921348321</v>
      </c>
      <c r="L28" s="99">
        <f>IF(ISNUMBER(E28),E28/Population!E28*10000,NA())</f>
        <v>13.725490196078432</v>
      </c>
      <c r="M28" s="99">
        <f>IF(ISNUMBER(F28),F28/Population!F28*10000,NA())</f>
        <v>10.863509749303622</v>
      </c>
      <c r="N28" s="99">
        <f>IF(ISNUMBER(G28),G28/Population!G28*10000,NA())</f>
        <v>10.05586592178771</v>
      </c>
      <c r="O28" s="100">
        <f>IF(ISNUMBER(H28),H28/Population!H28*10000,NA())</f>
        <v>9.2696629213483153</v>
      </c>
      <c r="P28" s="101">
        <f t="shared" si="5"/>
        <v>9.2696629213483153</v>
      </c>
      <c r="Q28" s="770">
        <f t="shared" si="6"/>
        <v>8</v>
      </c>
      <c r="R28" s="69"/>
      <c r="S28" s="333">
        <f>IDACI!C27</f>
        <v>8.6999999999999993</v>
      </c>
      <c r="T28" s="334">
        <f t="shared" si="0"/>
        <v>7.3969349535633029</v>
      </c>
      <c r="U28" s="335">
        <f t="shared" si="7"/>
        <v>1.8727279677850124</v>
      </c>
      <c r="V28" s="124"/>
      <c r="W28" s="140"/>
      <c r="X28" s="149"/>
      <c r="Y28" s="71" t="str">
        <f t="shared" si="8"/>
        <v>West Berkshire</v>
      </c>
      <c r="Z28" s="45">
        <f>IF(H28&gt;0,IDACI!D27,0)</f>
        <v>31625</v>
      </c>
      <c r="AA28" s="45">
        <f>IF(H28&gt;0,IDACI!E27,0)</f>
        <v>2751.375</v>
      </c>
      <c r="AB28" s="202">
        <f>IF(ISNUMBER(D28),Population!D28,"")</f>
        <v>35600</v>
      </c>
      <c r="AC28" s="202">
        <f>IF(ISNUMBER(E28),Population!E28,"")</f>
        <v>35700</v>
      </c>
      <c r="AD28" s="202">
        <f>IF(ISNUMBER(F28),Population!F28,"")</f>
        <v>35900</v>
      </c>
      <c r="AE28" s="202">
        <f>IF(ISNUMBER(G28),Population!G28,"")</f>
        <v>35800</v>
      </c>
      <c r="AF28" s="202">
        <f>IF(ISNUMBER(H28),Population!H28,"")</f>
        <v>35600</v>
      </c>
      <c r="AG28" s="95" t="s">
        <v>16</v>
      </c>
      <c r="AH28" s="225">
        <f t="shared" si="9"/>
        <v>6.8354430379746836</v>
      </c>
      <c r="AI28" s="203">
        <f t="shared" si="10"/>
        <v>2</v>
      </c>
      <c r="AJ28" s="199"/>
      <c r="AK28" s="156"/>
      <c r="AL28" s="792">
        <f t="shared" si="11"/>
        <v>0.6333333333333333</v>
      </c>
      <c r="AM28" s="792">
        <f t="shared" si="11"/>
        <v>-0.20408163265306123</v>
      </c>
      <c r="AN28" s="792">
        <f t="shared" si="11"/>
        <v>-7.6923076923076927E-2</v>
      </c>
      <c r="AO28" s="792">
        <f t="shared" si="11"/>
        <v>-8.3333333333333329E-2</v>
      </c>
      <c r="AP28" s="792">
        <f t="shared" si="12"/>
        <v>6.7248822605965458E-2</v>
      </c>
      <c r="AR28" s="888">
        <f t="shared" si="16"/>
        <v>13.725490196078432</v>
      </c>
      <c r="AS28" s="888">
        <f t="shared" si="16"/>
        <v>10.863509749303622</v>
      </c>
      <c r="AT28" s="888">
        <f t="shared" si="16"/>
        <v>10.05586592178771</v>
      </c>
      <c r="AU28" s="888">
        <f t="shared" si="16"/>
        <v>9.2696629213483153</v>
      </c>
      <c r="AV28" s="888">
        <f t="shared" si="14"/>
        <v>43.914528788518084</v>
      </c>
      <c r="AW28" s="550">
        <f t="shared" si="15"/>
        <v>0</v>
      </c>
      <c r="AX28" s="888">
        <f t="shared" si="13"/>
        <v>43.914528788518084</v>
      </c>
    </row>
    <row r="29" spans="1:50" s="89" customFormat="1" ht="13.5" customHeight="1" x14ac:dyDescent="0.2">
      <c r="A29" s="462">
        <f>VLOOKUP(B29,Sheet1!$AQ$4:$AR$25,2,FALSE)</f>
        <v>0</v>
      </c>
      <c r="B29" s="95" t="str">
        <f>Sheet1!$K$23</f>
        <v>West Sussex</v>
      </c>
      <c r="C29" s="87"/>
      <c r="D29" s="96">
        <f>IF(Year1_West_Sussex Year1_Care_Applications="","",Year1_West_Sussex Year1_Care_Applications)</f>
        <v>88</v>
      </c>
      <c r="E29" s="102">
        <f>IF(Year2_West_Sussex Year2_Care_Applications="","",Year2_West_Sussex Year2_Care_Applications)</f>
        <v>138</v>
      </c>
      <c r="F29" s="96">
        <f>IF(Year3_West_Sussex Year3_Care_Applications="","",Year3_West_Sussex Year3_Care_Applications)</f>
        <v>161</v>
      </c>
      <c r="G29" s="96">
        <f>IF(Year4_West_Sussex Year4_Care_Applications="","",Year4_West_Sussex Year4_Care_Applications)</f>
        <v>164</v>
      </c>
      <c r="H29" s="97">
        <f>IF(Year5_West_Sussex Year5_Care_Applications="","",Year5_West_Sussex Year5_Care_Applications)</f>
        <v>149</v>
      </c>
      <c r="I29" s="337">
        <f t="shared" si="4"/>
        <v>0.16550465264675235</v>
      </c>
      <c r="J29" s="98"/>
      <c r="K29" s="99">
        <f>IF(ISNUMBER(D29),D29/Population!D29*10000,NA())</f>
        <v>5.2132701421800949</v>
      </c>
      <c r="L29" s="99">
        <f>IF(ISNUMBER(E29),E29/Population!E29*10000,NA())</f>
        <v>8.0985915492957741</v>
      </c>
      <c r="M29" s="99">
        <f>IF(ISNUMBER(F29),F29/Population!F29*10000,NA())</f>
        <v>9.3713620488940634</v>
      </c>
      <c r="N29" s="99">
        <f>IF(ISNUMBER(G29),G29/Population!G29*10000,NA())</f>
        <v>9.4633583381419513</v>
      </c>
      <c r="O29" s="100">
        <f>IF(ISNUMBER(H29),H29/Population!H29*10000,NA())</f>
        <v>8.5289066971951915</v>
      </c>
      <c r="P29" s="101">
        <f t="shared" si="5"/>
        <v>8.5289066971951915</v>
      </c>
      <c r="Q29" s="770">
        <f t="shared" si="6"/>
        <v>7</v>
      </c>
      <c r="R29" s="69"/>
      <c r="S29" s="333">
        <f>IDACI!C28</f>
        <v>11</v>
      </c>
      <c r="T29" s="334">
        <f t="shared" si="0"/>
        <v>8.7365589250558404</v>
      </c>
      <c r="U29" s="335">
        <f t="shared" si="7"/>
        <v>-0.20765222786064896</v>
      </c>
      <c r="V29" s="124"/>
      <c r="W29" s="140"/>
      <c r="X29" s="149"/>
      <c r="Y29" s="71" t="str">
        <f t="shared" si="8"/>
        <v>West Sussex</v>
      </c>
      <c r="Z29" s="45">
        <f>IF(H29&gt;0,IDACI!D28,0)</f>
        <v>151487</v>
      </c>
      <c r="AA29" s="45">
        <f>IF(H29&gt;0,IDACI!E28,0)</f>
        <v>16663.57</v>
      </c>
      <c r="AB29" s="202">
        <f>IF(ISNUMBER(D29),Population!D29,"")</f>
        <v>168800</v>
      </c>
      <c r="AC29" s="202">
        <f>IF(ISNUMBER(E29),Population!E29,"")</f>
        <v>170400</v>
      </c>
      <c r="AD29" s="202">
        <f>IF(ISNUMBER(F29),Population!F29,"")</f>
        <v>171800</v>
      </c>
      <c r="AE29" s="202">
        <f>IF(ISNUMBER(G29),Population!G29,"")</f>
        <v>173300</v>
      </c>
      <c r="AF29" s="202">
        <f>IF(ISNUMBER(H29),Population!H29,"")</f>
        <v>174700</v>
      </c>
      <c r="AG29" s="199"/>
      <c r="AH29" s="199"/>
      <c r="AI29" s="185"/>
      <c r="AJ29" s="199"/>
      <c r="AK29" s="156"/>
      <c r="AL29" s="792">
        <f t="shared" si="11"/>
        <v>0.56818181818181823</v>
      </c>
      <c r="AM29" s="792">
        <f t="shared" si="11"/>
        <v>0.16666666666666666</v>
      </c>
      <c r="AN29" s="792">
        <f t="shared" si="11"/>
        <v>1.8633540372670808E-2</v>
      </c>
      <c r="AO29" s="792">
        <f t="shared" si="11"/>
        <v>-9.1463414634146339E-2</v>
      </c>
      <c r="AP29" s="792">
        <f t="shared" si="12"/>
        <v>0.16550465264675235</v>
      </c>
      <c r="AR29" s="888">
        <f t="shared" si="16"/>
        <v>8.0985915492957741</v>
      </c>
      <c r="AS29" s="888">
        <f t="shared" si="16"/>
        <v>9.3713620488940634</v>
      </c>
      <c r="AT29" s="888">
        <f t="shared" si="16"/>
        <v>9.4633583381419513</v>
      </c>
      <c r="AU29" s="888">
        <f t="shared" si="16"/>
        <v>8.5289066971951915</v>
      </c>
      <c r="AV29" s="888">
        <f t="shared" si="14"/>
        <v>35.46221863352698</v>
      </c>
      <c r="AW29" s="550">
        <f t="shared" si="15"/>
        <v>0</v>
      </c>
      <c r="AX29" s="888">
        <f t="shared" si="13"/>
        <v>35.46221863352698</v>
      </c>
    </row>
    <row r="30" spans="1:50" s="89" customFormat="1" ht="13.5" customHeight="1" x14ac:dyDescent="0.2">
      <c r="A30" s="462">
        <f>VLOOKUP(B30,Sheet1!$AQ$4:$AR$25,2,FALSE)</f>
        <v>0</v>
      </c>
      <c r="B30" s="95" t="str">
        <f>Sheet1!$K$24</f>
        <v>Windsor &amp; Maidenhead</v>
      </c>
      <c r="C30" s="87"/>
      <c r="D30" s="102">
        <f>IF(Year1_Windsor_Maidenhead Year1_Care_Applications="","",Year1_Windsor_Maidenhead Year1_Care_Applications)</f>
        <v>12</v>
      </c>
      <c r="E30" s="96">
        <f>IF(Year2_Windsor_Maidenhead Year2_Care_Applications="","",Year2_Windsor_Maidenhead Year2_Care_Applications)</f>
        <v>17</v>
      </c>
      <c r="F30" s="96">
        <f>IF(Year3_Windsor_Maidenhead Year3_Care_Applications="","",Year3_Windsor_Maidenhead Year3_Care_Applications)</f>
        <v>26</v>
      </c>
      <c r="G30" s="96">
        <f>IF(Year4_Windsor_Maidenhead Year4_Care_Applications="","",Year4_Windsor_Maidenhead Year4_Care_Applications)</f>
        <v>19</v>
      </c>
      <c r="H30" s="97">
        <f>IF(Year5_Windsor_Maidenhead Year5_Care_Applications="","",Year5_Windsor_Maidenhead Year5_Care_Applications)</f>
        <v>23</v>
      </c>
      <c r="I30" s="337">
        <f t="shared" si="4"/>
        <v>0.22184349448281337</v>
      </c>
      <c r="J30" s="98"/>
      <c r="K30" s="99">
        <f>IF(ISNUMBER(D30),D30/Population!D30*10000,NA())</f>
        <v>3.5928143712574849</v>
      </c>
      <c r="L30" s="99">
        <f>IF(ISNUMBER(E30),E30/Population!E30*10000,NA())</f>
        <v>5.0445103857566771</v>
      </c>
      <c r="M30" s="99">
        <f>IF(ISNUMBER(F30),F30/Population!F30*10000,NA())</f>
        <v>7.6023391812865491</v>
      </c>
      <c r="N30" s="99">
        <f>IF(ISNUMBER(G30),G30/Population!G30*10000,NA())</f>
        <v>5.5232558139534884</v>
      </c>
      <c r="O30" s="100">
        <f>IF(ISNUMBER(H30),H30/Population!H30*10000,NA())</f>
        <v>6.6473988439306355</v>
      </c>
      <c r="P30" s="101">
        <f t="shared" si="5"/>
        <v>6.6473988439306355</v>
      </c>
      <c r="Q30" s="770">
        <f t="shared" si="6"/>
        <v>1</v>
      </c>
      <c r="R30" s="69"/>
      <c r="S30" s="333">
        <f>IDACI!C29</f>
        <v>6.7</v>
      </c>
      <c r="T30" s="334">
        <f t="shared" si="0"/>
        <v>6.232044543569792</v>
      </c>
      <c r="U30" s="335">
        <f t="shared" si="7"/>
        <v>0.41535430036084353</v>
      </c>
      <c r="V30" s="124"/>
      <c r="W30" s="140"/>
      <c r="X30" s="149"/>
      <c r="Y30" s="71" t="str">
        <f t="shared" si="8"/>
        <v>Windsor &amp; Maidenhead</v>
      </c>
      <c r="Z30" s="45">
        <f>IF(H30&gt;0,IDACI!D29,0)</f>
        <v>29792</v>
      </c>
      <c r="AA30" s="45">
        <f>IF(H30&gt;0,IDACI!E29,0)</f>
        <v>1996.0640000000001</v>
      </c>
      <c r="AB30" s="202">
        <f>IF(ISNUMBER(D30),Population!D30,"")</f>
        <v>33400</v>
      </c>
      <c r="AC30" s="202">
        <f>IF(ISNUMBER(E30),Population!E30,"")</f>
        <v>33700</v>
      </c>
      <c r="AD30" s="202">
        <f>IF(ISNUMBER(F30),Population!F30,"")</f>
        <v>34200</v>
      </c>
      <c r="AE30" s="202">
        <f>IF(ISNUMBER(G30),Population!G30,"")</f>
        <v>34400</v>
      </c>
      <c r="AF30" s="202">
        <f>IF(ISNUMBER(H30),Population!H30,"")</f>
        <v>34600</v>
      </c>
      <c r="AG30" s="199"/>
      <c r="AH30" s="199"/>
      <c r="AI30" s="185"/>
      <c r="AJ30" s="199"/>
      <c r="AK30" s="156"/>
      <c r="AL30" s="792">
        <f t="shared" si="11"/>
        <v>0.41666666666666669</v>
      </c>
      <c r="AM30" s="792">
        <f t="shared" si="11"/>
        <v>0.52941176470588236</v>
      </c>
      <c r="AN30" s="792">
        <f t="shared" si="11"/>
        <v>-0.26923076923076922</v>
      </c>
      <c r="AO30" s="792">
        <f t="shared" si="11"/>
        <v>0.21052631578947367</v>
      </c>
      <c r="AP30" s="792">
        <f t="shared" si="12"/>
        <v>0.22184349448281337</v>
      </c>
      <c r="AR30" s="888">
        <f t="shared" si="16"/>
        <v>5.0445103857566771</v>
      </c>
      <c r="AS30" s="888">
        <f t="shared" si="16"/>
        <v>7.6023391812865491</v>
      </c>
      <c r="AT30" s="888">
        <f t="shared" si="16"/>
        <v>5.5232558139534884</v>
      </c>
      <c r="AU30" s="888">
        <f t="shared" si="16"/>
        <v>6.6473988439306355</v>
      </c>
      <c r="AV30" s="888">
        <f t="shared" si="14"/>
        <v>24.817504224927351</v>
      </c>
      <c r="AW30" s="550">
        <f t="shared" si="15"/>
        <v>0</v>
      </c>
      <c r="AX30" s="888">
        <f>AV30/(4-AW30)*4</f>
        <v>24.817504224927351</v>
      </c>
    </row>
    <row r="31" spans="1:50" s="89" customFormat="1" ht="13.5" customHeight="1" x14ac:dyDescent="0.2">
      <c r="A31" s="462">
        <f>VLOOKUP(B31,Sheet1!$AQ$4:$AR$25,2,FALSE)</f>
        <v>0</v>
      </c>
      <c r="B31" s="95" t="str">
        <f>Sheet1!$K$25</f>
        <v>Wokingham</v>
      </c>
      <c r="C31" s="87"/>
      <c r="D31" s="102">
        <f>IF(Year1_Wokingham Year1_Care_Applications="","",Year1_Wokingham Year1_Care_Applications)</f>
        <v>12</v>
      </c>
      <c r="E31" s="96">
        <f>IF(Year2_Wokingham Year2_Care_Applications="","",Year2_Wokingham Year2_Care_Applications)</f>
        <v>21</v>
      </c>
      <c r="F31" s="96">
        <f>IF(Year3_Wokingham Year3_Care_Applications="","",Year3_Wokingham Year3_Care_Applications)</f>
        <v>18</v>
      </c>
      <c r="G31" s="96">
        <f>IF(Year4_Wokingham Year4_Care_Applications="","",Year4_Wokingham Year4_Care_Applications)</f>
        <v>21</v>
      </c>
      <c r="H31" s="97">
        <f>IF(Year5_Wokingham Year5_Care_Applications="","",Year5_Wokingham Year5_Care_Applications)</f>
        <v>27</v>
      </c>
      <c r="I31" s="337">
        <f t="shared" si="4"/>
        <v>0.26488095238095238</v>
      </c>
      <c r="J31" s="98"/>
      <c r="K31" s="99">
        <f>IF(ISNUMBER(D31),D31/Population!D31*10000,NA())</f>
        <v>3.2520325203252032</v>
      </c>
      <c r="L31" s="99">
        <f>IF(ISNUMBER(E31),E31/Population!E31*10000,NA())</f>
        <v>5.6300268096514747</v>
      </c>
      <c r="M31" s="99">
        <f>IF(ISNUMBER(F31),F31/Population!F31*10000,NA())</f>
        <v>4.7368421052631575</v>
      </c>
      <c r="N31" s="99">
        <f>IF(ISNUMBER(G31),G31/Population!G31*10000,NA())</f>
        <v>5.4263565891472867</v>
      </c>
      <c r="O31" s="100">
        <f>IF(ISNUMBER(H31),H31/Population!H31*10000,NA())</f>
        <v>6.8354430379746836</v>
      </c>
      <c r="P31" s="101">
        <f t="shared" si="5"/>
        <v>6.8354430379746836</v>
      </c>
      <c r="Q31" s="770">
        <f t="shared" si="6"/>
        <v>2</v>
      </c>
      <c r="R31" s="69"/>
      <c r="S31" s="333">
        <f>IDACI!C30</f>
        <v>5.6000000000000005</v>
      </c>
      <c r="T31" s="334">
        <f t="shared" si="0"/>
        <v>5.591354818073361</v>
      </c>
      <c r="U31" s="335">
        <f t="shared" si="7"/>
        <v>1.2440882199013226</v>
      </c>
      <c r="V31" s="124"/>
      <c r="W31" s="140"/>
      <c r="X31" s="149"/>
      <c r="Y31" s="71" t="str">
        <f t="shared" si="8"/>
        <v>Wokingham</v>
      </c>
      <c r="Z31" s="45">
        <f>IF(H31&gt;0,IDACI!D30,0)</f>
        <v>33327</v>
      </c>
      <c r="AA31" s="45">
        <f>IF(H31&gt;0,IDACI!E30,0)</f>
        <v>1866.3120000000004</v>
      </c>
      <c r="AB31" s="202">
        <f>IF(ISNUMBER(D31),Population!D31,"")</f>
        <v>36900</v>
      </c>
      <c r="AC31" s="202">
        <f>IF(ISNUMBER(E31),Population!E31,"")</f>
        <v>37300</v>
      </c>
      <c r="AD31" s="202">
        <f>IF(ISNUMBER(F31),Population!F31,"")</f>
        <v>38000</v>
      </c>
      <c r="AE31" s="202">
        <f>IF(ISNUMBER(G31),Population!G31,"")</f>
        <v>38700</v>
      </c>
      <c r="AF31" s="202">
        <f>IF(ISNUMBER(H31),Population!H31,"")</f>
        <v>39500</v>
      </c>
      <c r="AG31" s="199"/>
      <c r="AH31" s="199"/>
      <c r="AI31" s="185"/>
      <c r="AJ31" s="199"/>
      <c r="AK31" s="156"/>
      <c r="AL31" s="792">
        <f t="shared" si="11"/>
        <v>0.75</v>
      </c>
      <c r="AM31" s="792">
        <f t="shared" si="11"/>
        <v>-0.14285714285714285</v>
      </c>
      <c r="AN31" s="792">
        <f t="shared" si="11"/>
        <v>0.16666666666666666</v>
      </c>
      <c r="AO31" s="792">
        <f t="shared" si="11"/>
        <v>0.2857142857142857</v>
      </c>
      <c r="AP31" s="792">
        <f t="shared" si="12"/>
        <v>0.26488095238095238</v>
      </c>
      <c r="AR31" s="888">
        <f t="shared" si="16"/>
        <v>5.6300268096514747</v>
      </c>
      <c r="AS31" s="888">
        <f t="shared" si="16"/>
        <v>4.7368421052631575</v>
      </c>
      <c r="AT31" s="888">
        <f t="shared" si="16"/>
        <v>5.4263565891472867</v>
      </c>
      <c r="AU31" s="888">
        <f t="shared" si="16"/>
        <v>6.8354430379746836</v>
      </c>
      <c r="AV31" s="888">
        <f t="shared" si="14"/>
        <v>22.628668542036603</v>
      </c>
      <c r="AW31" s="550">
        <f t="shared" si="15"/>
        <v>0</v>
      </c>
      <c r="AX31" s="888">
        <f t="shared" si="13"/>
        <v>22.628668542036603</v>
      </c>
    </row>
    <row r="32" spans="1:50" s="89" customFormat="1" ht="13.5" customHeight="1" x14ac:dyDescent="0.2">
      <c r="A32" s="123"/>
      <c r="B32" s="131" t="str">
        <f>Sheet1!$K$26</f>
        <v>South East</v>
      </c>
      <c r="C32" s="87"/>
      <c r="D32" s="132">
        <f>IF(Year1_SouthEast Year1_Care_Applications="","",Year1_SouthEast Year1_Care_Applications)</f>
        <v>1394</v>
      </c>
      <c r="E32" s="132">
        <f>IF(Year2_SouthEast Year2_Care_Applications="","",Year2_SouthEast Year2_Care_Applications)</f>
        <v>1807</v>
      </c>
      <c r="F32" s="132">
        <f>IF(Year3_SouthEast Year3_Care_Applications="","",Year3_SouthEast Year3_Care_Applications)</f>
        <v>1904</v>
      </c>
      <c r="G32" s="132">
        <f>IF(Year4_SouthEast Year4_Care_Applications="","",Year4_SouthEast Year4_Care_Applications)</f>
        <v>1911</v>
      </c>
      <c r="H32" s="464">
        <f>IF(Year5_SouthEast Year5_Care_Applications="","",Year5_SouthEast Year5_Care_Applications)</f>
        <v>1838</v>
      </c>
      <c r="I32" s="350">
        <f t="shared" si="4"/>
        <v>7.1445511794021158E-2</v>
      </c>
      <c r="J32" s="98"/>
      <c r="K32" s="134">
        <f>IF(ISNUMBER(D32),D32/AB32*10000,NA())</f>
        <v>7.3198907792480563</v>
      </c>
      <c r="L32" s="134">
        <f>IF(ISNUMBER(E32),E32/AC32*10000,NA())</f>
        <v>9.4207809811792913</v>
      </c>
      <c r="M32" s="134">
        <f>IF(ISNUMBER(F32),F32/AD32*10000,NA())</f>
        <v>9.8494645905540334</v>
      </c>
      <c r="N32" s="134">
        <f>IF(ISNUMBER(G32),G32/AE32*10000,NA())</f>
        <v>9.8307526107310057</v>
      </c>
      <c r="O32" s="135">
        <f>IF(ISNUMBER(H32),H32/AF32*10000,NA())</f>
        <v>9.390007152344948</v>
      </c>
      <c r="P32" s="101">
        <f t="shared" si="5"/>
        <v>9.390007152344948</v>
      </c>
      <c r="Q32" s="136" t="str">
        <f t="shared" si="6"/>
        <v>--</v>
      </c>
      <c r="R32" s="69"/>
      <c r="S32" s="331">
        <f>AA32/Z32*100</f>
        <v>12.371268250968637</v>
      </c>
      <c r="T32" s="331">
        <f t="shared" si="0"/>
        <v>9.5352475425968102</v>
      </c>
      <c r="U32" s="336">
        <f t="shared" si="7"/>
        <v>-0.14524039025186219</v>
      </c>
      <c r="V32" s="124"/>
      <c r="W32" s="140"/>
      <c r="X32" s="149"/>
      <c r="Y32" s="71" t="str">
        <f t="shared" si="8"/>
        <v>South East</v>
      </c>
      <c r="Z32" s="45">
        <f>SUM(Z24:Z25,Z10:Z22,Z28:Z31)</f>
        <v>1704978</v>
      </c>
      <c r="AA32" s="45">
        <f>SUM(AA24:AA25,AA10:AA22,AA28:AA31)</f>
        <v>210927.40200000003</v>
      </c>
      <c r="AB32" s="202">
        <f>SUM(AB10:AB22,AB24:AB25,AB28:AB31)</f>
        <v>1904400</v>
      </c>
      <c r="AC32" s="202">
        <f t="shared" ref="AC32:AF32" si="17">SUM(AC10:AC22,AC24:AC25,AC28:AC31)</f>
        <v>1918100</v>
      </c>
      <c r="AD32" s="202">
        <f t="shared" si="17"/>
        <v>1933100</v>
      </c>
      <c r="AE32" s="202">
        <f t="shared" si="17"/>
        <v>1943900</v>
      </c>
      <c r="AF32" s="202">
        <f t="shared" si="17"/>
        <v>1957400</v>
      </c>
      <c r="AG32" s="199"/>
      <c r="AH32" s="199"/>
      <c r="AI32" s="185"/>
      <c r="AJ32" s="199"/>
      <c r="AK32" s="156"/>
      <c r="AL32" s="974">
        <f>IF(ISERROR((L32-K32)/K32),"x",(L32-K32)/K32)</f>
        <v>0.28701114064260003</v>
      </c>
      <c r="AM32" s="974">
        <f t="shared" ref="AM32:AO32" si="18">IF(ISERROR((M32-L32)/L32),"x",(M32-L32)/L32)</f>
        <v>4.5504041568439013E-2</v>
      </c>
      <c r="AN32" s="974">
        <f t="shared" si="18"/>
        <v>-1.8997966489440617E-3</v>
      </c>
      <c r="AO32" s="974">
        <f t="shared" si="18"/>
        <v>-4.4833338386010335E-2</v>
      </c>
      <c r="AP32" s="792">
        <f t="shared" si="12"/>
        <v>7.1445511794021158E-2</v>
      </c>
      <c r="AR32" s="888">
        <f t="shared" si="16"/>
        <v>9.4207809811792913</v>
      </c>
      <c r="AS32" s="888">
        <f t="shared" si="16"/>
        <v>9.8494645905540334</v>
      </c>
      <c r="AT32" s="888">
        <f t="shared" si="16"/>
        <v>9.8307526107310057</v>
      </c>
      <c r="AU32" s="888">
        <f t="shared" si="16"/>
        <v>9.390007152344948</v>
      </c>
      <c r="AV32" s="888">
        <f t="shared" si="14"/>
        <v>38.49100533480928</v>
      </c>
      <c r="AW32" s="550">
        <f t="shared" si="15"/>
        <v>0</v>
      </c>
      <c r="AX32" s="888">
        <f t="shared" si="13"/>
        <v>38.49100533480928</v>
      </c>
    </row>
    <row r="33" spans="1:51" s="89" customFormat="1" ht="13.5" customHeight="1" x14ac:dyDescent="0.2">
      <c r="A33" s="286"/>
      <c r="B33" s="318" t="str">
        <f>Sheet1!$K$27</f>
        <v>England</v>
      </c>
      <c r="C33" s="87"/>
      <c r="D33" s="319">
        <f>IF(Year1_England Year1_Care_Applications="","",Year1_England Year1_Care_Applications)</f>
        <v>11113</v>
      </c>
      <c r="E33" s="319">
        <f>IF(Year2_England Year2_Care_Applications="","",Year2_England Year2_Care_Applications)</f>
        <v>12792</v>
      </c>
      <c r="F33" s="319">
        <f>IF(Year3_England Year3_Care_Applications="","",Year3_England Year3_Care_Applications)</f>
        <v>14599</v>
      </c>
      <c r="G33" s="319">
        <f>IF(Year4_England Year4_Care_Applications="","",Year4_England Year4_Care_Applications)</f>
        <v>14216</v>
      </c>
      <c r="H33" s="465">
        <f>IF(Year5_England Year5_Care_Applications="","",Year5_England Year5_Care_Applications)</f>
        <v>13556</v>
      </c>
      <c r="I33" s="351">
        <f t="shared" si="4"/>
        <v>5.4920810759868072E-2</v>
      </c>
      <c r="J33" s="98"/>
      <c r="K33" s="321">
        <f>IF(ISNUMBER(D33),D33/Population!D33*10000,NA())</f>
        <v>9.5870321005547066</v>
      </c>
      <c r="L33" s="321">
        <f>IF(ISNUMBER(E33),E33/Population!E33*10000,NA())</f>
        <v>10.954024268061895</v>
      </c>
      <c r="M33" s="321">
        <f>IF(ISNUMBER(F33),F33/Population!F33*10000,NA())</f>
        <v>12.387465741219994</v>
      </c>
      <c r="N33" s="321">
        <f>IF(ISNUMBER(G33),G33/Population!G33*10000,NA())</f>
        <v>11.979438779809557</v>
      </c>
      <c r="O33" s="322">
        <f>IF(ISNUMBER(H33),H33/Population!H33*10000,NA())</f>
        <v>11.339568032389206</v>
      </c>
      <c r="P33" s="727"/>
      <c r="Q33" s="796" t="str">
        <f t="shared" si="6"/>
        <v>--</v>
      </c>
      <c r="R33" s="69"/>
      <c r="S33" s="332">
        <f>IDACI!C32</f>
        <v>17.084413405029373</v>
      </c>
      <c r="T33" s="332">
        <f t="shared" si="0"/>
        <v>12.28039633803318</v>
      </c>
      <c r="U33" s="598">
        <f t="shared" si="7"/>
        <v>-0.94082830564397391</v>
      </c>
      <c r="V33" s="124"/>
      <c r="W33" s="140"/>
      <c r="X33" s="149"/>
      <c r="Y33" s="71" t="str">
        <f t="shared" si="8"/>
        <v>England</v>
      </c>
      <c r="Z33" s="45">
        <f>IF(H33&gt;0,IDACI!D32,0)</f>
        <v>10405050</v>
      </c>
      <c r="AA33" s="45">
        <f>IF(H33&gt;0,IDACI!E32,0)</f>
        <v>1777641.7570000088</v>
      </c>
      <c r="AB33" s="202">
        <f>IF(ISNUMBER(D33),Population!D33,"")</f>
        <v>11591700</v>
      </c>
      <c r="AC33" s="202">
        <f>IF(ISNUMBER(E33),Population!E33,"")</f>
        <v>11677900</v>
      </c>
      <c r="AD33" s="202">
        <f>IF(ISNUMBER(F33),Population!F33,"")</f>
        <v>11785300</v>
      </c>
      <c r="AE33" s="202">
        <f>IF(ISNUMBER(G33),Population!G33,"")</f>
        <v>11867000</v>
      </c>
      <c r="AF33" s="202">
        <f>IF(ISNUMBER(H33),Population!H33,"")</f>
        <v>11954600</v>
      </c>
      <c r="AG33" s="199"/>
      <c r="AH33" s="199"/>
      <c r="AI33" s="185"/>
      <c r="AJ33" s="199"/>
      <c r="AK33" s="156"/>
      <c r="AL33" s="792">
        <f t="shared" si="11"/>
        <v>0.15108431566633673</v>
      </c>
      <c r="AM33" s="792">
        <f t="shared" si="11"/>
        <v>0.14126016260162602</v>
      </c>
      <c r="AN33" s="792">
        <f t="shared" si="11"/>
        <v>-2.6234673607781357E-2</v>
      </c>
      <c r="AO33" s="792">
        <f t="shared" si="11"/>
        <v>-4.6426561620709059E-2</v>
      </c>
      <c r="AP33" s="792">
        <f>AVERAGE(AL33:AO33)</f>
        <v>5.4920810759868072E-2</v>
      </c>
      <c r="AR33" s="888">
        <f t="shared" si="16"/>
        <v>10.954024268061895</v>
      </c>
      <c r="AS33" s="888">
        <f t="shared" si="16"/>
        <v>12.387465741219994</v>
      </c>
      <c r="AT33" s="888">
        <f t="shared" si="16"/>
        <v>11.979438779809557</v>
      </c>
      <c r="AU33" s="888">
        <f t="shared" si="16"/>
        <v>11.339568032389206</v>
      </c>
      <c r="AV33" s="888">
        <f t="shared" si="14"/>
        <v>46.660496821480649</v>
      </c>
      <c r="AW33" s="550">
        <f t="shared" si="15"/>
        <v>0</v>
      </c>
      <c r="AX33" s="888">
        <f t="shared" si="13"/>
        <v>46.660496821480649</v>
      </c>
    </row>
    <row r="34" spans="1:51" s="83" customFormat="1" ht="13.5" customHeight="1" x14ac:dyDescent="0.2">
      <c r="A34" s="120"/>
      <c r="B34" s="125" t="s">
        <v>90</v>
      </c>
      <c r="C34" s="63"/>
      <c r="D34" s="63"/>
      <c r="E34" s="63"/>
      <c r="F34" s="63"/>
      <c r="G34" s="63"/>
      <c r="H34" s="63"/>
      <c r="I34" s="63"/>
      <c r="J34" s="63"/>
      <c r="K34" s="63"/>
      <c r="L34" s="63"/>
      <c r="M34" s="63"/>
      <c r="N34" s="63"/>
      <c r="O34" s="63"/>
      <c r="P34" s="63"/>
      <c r="Q34" s="137" t="s">
        <v>109</v>
      </c>
      <c r="S34" s="63"/>
      <c r="T34" s="63"/>
      <c r="U34" s="63"/>
      <c r="V34" s="119"/>
      <c r="W34" s="138"/>
      <c r="X34" s="147"/>
      <c r="Y34" s="82"/>
      <c r="Z34" s="179"/>
      <c r="AA34" s="179"/>
      <c r="AB34" s="179"/>
      <c r="AC34" s="179"/>
      <c r="AD34" s="179"/>
      <c r="AE34" s="179"/>
      <c r="AF34" s="179"/>
      <c r="AG34" s="179"/>
      <c r="AH34" s="179"/>
      <c r="AJ34" s="179"/>
      <c r="AK34" s="157"/>
    </row>
    <row r="35" spans="1:51" s="83" customFormat="1" ht="25.5" customHeight="1" x14ac:dyDescent="0.2">
      <c r="A35" s="120"/>
      <c r="B35" s="1580"/>
      <c r="C35" s="1581"/>
      <c r="D35" s="1581"/>
      <c r="E35" s="1581"/>
      <c r="F35" s="1581"/>
      <c r="G35" s="1581"/>
      <c r="H35" s="1581"/>
      <c r="I35" s="1581"/>
      <c r="J35" s="1581"/>
      <c r="K35" s="1581"/>
      <c r="L35" s="1581"/>
      <c r="M35" s="1581"/>
      <c r="N35" s="1581"/>
      <c r="O35" s="1581"/>
      <c r="P35" s="1581"/>
      <c r="Q35" s="1581"/>
      <c r="R35" s="1581"/>
      <c r="S35" s="1581"/>
      <c r="T35" s="1581"/>
      <c r="U35" s="1582"/>
      <c r="V35" s="119"/>
      <c r="W35" s="138"/>
      <c r="X35" s="147"/>
      <c r="Y35" s="82"/>
      <c r="Z35" s="179"/>
      <c r="AA35" s="179"/>
      <c r="AB35" s="179"/>
      <c r="AC35" s="179"/>
      <c r="AD35" s="179"/>
      <c r="AE35" s="179"/>
      <c r="AF35" s="179"/>
      <c r="AG35" s="179"/>
      <c r="AH35" s="179"/>
      <c r="AJ35" s="179"/>
      <c r="AK35" s="153"/>
      <c r="AL35" s="76"/>
      <c r="AM35" s="76"/>
      <c r="AN35" s="76"/>
      <c r="AO35" s="76"/>
      <c r="AP35" s="76"/>
      <c r="AQ35" s="76"/>
      <c r="AR35" s="76"/>
    </row>
    <row r="36" spans="1:51" s="83" customFormat="1" ht="7.5" customHeight="1" x14ac:dyDescent="0.2">
      <c r="A36" s="120"/>
      <c r="B36" s="18"/>
      <c r="C36" s="18"/>
      <c r="D36" s="17"/>
      <c r="E36" s="17"/>
      <c r="F36" s="17"/>
      <c r="G36" s="17"/>
      <c r="H36" s="17"/>
      <c r="I36" s="17"/>
      <c r="J36" s="13"/>
      <c r="K36" s="19"/>
      <c r="L36" s="19"/>
      <c r="M36" s="19"/>
      <c r="N36" s="19"/>
      <c r="O36" s="19"/>
      <c r="P36" s="19"/>
      <c r="Q36" s="19"/>
      <c r="R36" s="19"/>
      <c r="S36" s="19"/>
      <c r="T36" s="19"/>
      <c r="U36" s="20"/>
      <c r="V36" s="119"/>
      <c r="W36" s="138"/>
      <c r="X36" s="147"/>
      <c r="Z36" s="185"/>
      <c r="AJ36" s="179"/>
      <c r="AK36" s="153"/>
      <c r="AL36" s="76"/>
      <c r="AM36" s="76"/>
      <c r="AN36" s="76"/>
      <c r="AO36" s="76"/>
      <c r="AP36" s="76"/>
      <c r="AQ36" s="76"/>
      <c r="AR36" s="76"/>
    </row>
    <row r="37" spans="1:51"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1"/>
      <c r="V37" s="1422"/>
      <c r="W37" s="138"/>
      <c r="X37" s="147"/>
      <c r="Z37" s="185"/>
      <c r="AK37" s="157"/>
      <c r="AM37" s="83">
        <f>COLUMNS($B$4:K$4)</f>
        <v>10</v>
      </c>
      <c r="AN37" s="83">
        <f>COLUMNS($B$4:L$4)</f>
        <v>11</v>
      </c>
      <c r="AO37" s="83">
        <f>COLUMNS($B$4:M$4)</f>
        <v>12</v>
      </c>
      <c r="AP37" s="83">
        <f>COLUMNS($B$4:N$4)</f>
        <v>13</v>
      </c>
      <c r="AQ37" s="83">
        <f>COLUMNS($B$4:O$4)</f>
        <v>14</v>
      </c>
      <c r="AR37" s="83">
        <f>COLUMNS($B$4:S$4)</f>
        <v>18</v>
      </c>
    </row>
    <row r="38" spans="1:51"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0"/>
      <c r="J38" s="1429"/>
      <c r="K38" s="1429"/>
      <c r="L38" s="1429"/>
      <c r="M38" s="1429"/>
      <c r="N38" s="1429"/>
      <c r="O38" s="1429"/>
      <c r="P38" s="1431"/>
      <c r="Q38" s="1429"/>
      <c r="R38" s="1429"/>
      <c r="S38" s="1429"/>
      <c r="T38" s="1430"/>
      <c r="U38" s="1429"/>
      <c r="V38" s="1432"/>
      <c r="W38" s="138"/>
      <c r="X38" s="147"/>
      <c r="Z38" s="185"/>
      <c r="AJ38" s="179"/>
      <c r="AK38" s="156"/>
      <c r="AL38" s="89"/>
      <c r="AM38" s="1465" t="s">
        <v>89</v>
      </c>
      <c r="AN38" s="1465"/>
      <c r="AO38" s="1465"/>
      <c r="AP38" s="1465"/>
      <c r="AQ38" s="1465"/>
      <c r="AR38" s="1465" t="s">
        <v>95</v>
      </c>
    </row>
    <row r="39" spans="1:51" s="83" customFormat="1" ht="11.25" customHeight="1" x14ac:dyDescent="0.2">
      <c r="A39" s="114"/>
      <c r="B39" s="115"/>
      <c r="C39" s="115"/>
      <c r="D39" s="115"/>
      <c r="E39" s="115"/>
      <c r="F39" s="115"/>
      <c r="G39" s="115"/>
      <c r="H39" s="115"/>
      <c r="I39" s="115"/>
      <c r="J39" s="116"/>
      <c r="K39" s="115"/>
      <c r="L39" s="115"/>
      <c r="M39" s="115"/>
      <c r="N39" s="115"/>
      <c r="O39" s="115"/>
      <c r="P39" s="115"/>
      <c r="Q39" s="115"/>
      <c r="R39" s="115"/>
      <c r="S39" s="115"/>
      <c r="T39" s="115"/>
      <c r="U39" s="115"/>
      <c r="V39" s="117"/>
      <c r="W39" s="138"/>
      <c r="X39" s="146" t="s">
        <v>102</v>
      </c>
      <c r="Y39" s="192"/>
      <c r="Z39" s="192"/>
      <c r="AA39" s="192"/>
      <c r="AB39" s="192"/>
      <c r="AC39" s="192"/>
      <c r="AJ39" s="179"/>
      <c r="AK39" s="156"/>
      <c r="AL39" s="89"/>
      <c r="AM39" s="730" t="str">
        <f>Sheet1!$D$25</f>
        <v>2014-15</v>
      </c>
      <c r="AN39" s="730" t="str">
        <f>Sheet1!$E$25</f>
        <v>2015-16</v>
      </c>
      <c r="AO39" s="730" t="str">
        <f>Sheet1!$F$25</f>
        <v>2016-17</v>
      </c>
      <c r="AP39" s="730" t="str">
        <f>Sheet1!$G$25</f>
        <v>2017-18</v>
      </c>
      <c r="AQ39" s="730" t="str">
        <f>Sheet1!$H$25</f>
        <v>2018-19</v>
      </c>
      <c r="AR39" s="1465"/>
    </row>
    <row r="40" spans="1:51" s="83" customFormat="1" ht="3.75" customHeight="1" x14ac:dyDescent="0.25">
      <c r="A40" s="118"/>
      <c r="B40" s="9"/>
      <c r="C40" s="9"/>
      <c r="D40" s="9"/>
      <c r="E40" s="9"/>
      <c r="F40" s="9"/>
      <c r="G40" s="9"/>
      <c r="H40" s="9"/>
      <c r="I40" s="9"/>
      <c r="J40" s="13"/>
      <c r="K40" s="9"/>
      <c r="L40" s="9"/>
      <c r="M40" s="9"/>
      <c r="N40" s="9"/>
      <c r="O40" s="9"/>
      <c r="P40" s="9"/>
      <c r="Q40" s="9"/>
      <c r="R40" s="9"/>
      <c r="S40" s="9"/>
      <c r="T40" s="9"/>
      <c r="U40" s="9"/>
      <c r="V40" s="119"/>
      <c r="W40" s="138"/>
      <c r="X40" s="288"/>
      <c r="AD40" s="1188" t="s">
        <v>1002</v>
      </c>
      <c r="AK40" s="156"/>
      <c r="AL40" s="89"/>
      <c r="AM40" s="730" t="e">
        <f>Sheet1!$D$26</f>
        <v>#N/A</v>
      </c>
      <c r="AN40" s="730" t="e">
        <f>Sheet1!$E$26</f>
        <v>#N/A</v>
      </c>
      <c r="AO40" s="730" t="e">
        <f>Sheet1!$F$26</f>
        <v>#N/A</v>
      </c>
      <c r="AP40" s="730" t="e">
        <f>Sheet1!$G$26</f>
        <v>#N/A</v>
      </c>
      <c r="AQ40" s="730" t="e">
        <f>Sheet1!$H$26</f>
        <v>#N/A</v>
      </c>
      <c r="AR40" s="1465"/>
    </row>
    <row r="41" spans="1:51" s="83" customFormat="1" ht="14.25" customHeight="1" x14ac:dyDescent="0.2">
      <c r="A41" s="120"/>
      <c r="B41" s="9"/>
      <c r="C41" s="9"/>
      <c r="D41" s="9"/>
      <c r="E41" s="9"/>
      <c r="F41" s="9"/>
      <c r="G41" s="9"/>
      <c r="H41" s="9"/>
      <c r="I41" s="9"/>
      <c r="J41" s="13"/>
      <c r="K41" s="9"/>
      <c r="L41" s="9"/>
      <c r="M41" s="9"/>
      <c r="N41" s="9"/>
      <c r="O41" s="9"/>
      <c r="P41" s="9"/>
      <c r="Q41" s="9"/>
      <c r="R41" s="9"/>
      <c r="S41" s="9"/>
      <c r="T41" s="9"/>
      <c r="U41" s="9"/>
      <c r="V41" s="119"/>
      <c r="W41" s="138"/>
      <c r="X41" s="288"/>
      <c r="Y41" s="44" t="s">
        <v>72</v>
      </c>
      <c r="Z41" s="44" t="s">
        <v>70</v>
      </c>
      <c r="AA41" s="44" t="s">
        <v>71</v>
      </c>
      <c r="AB41" s="1061">
        <v>5</v>
      </c>
      <c r="AC41" s="212">
        <f>(AB41*Z42)+AA42</f>
        <v>7.2001225385250933</v>
      </c>
      <c r="AD41" s="203">
        <f>ROUND(ChartLabels!$AA14,3)</f>
        <v>0.35699999999999998</v>
      </c>
      <c r="AJ41" s="560" t="b">
        <v>1</v>
      </c>
      <c r="AK41" s="156" t="s">
        <v>0</v>
      </c>
      <c r="AL41" s="89" t="str">
        <f>IF(AJ41=TRUE,B10,"")</f>
        <v>Bracknell Forest</v>
      </c>
      <c r="AM41" s="143">
        <f t="shared" ref="AM41:AQ50" si="19">VLOOKUP($AL41,$B$10:$O$33,AM$37,FALSE)</f>
        <v>5.7553956834532372</v>
      </c>
      <c r="AN41" s="143">
        <f t="shared" si="19"/>
        <v>12.411347517730498</v>
      </c>
      <c r="AO41" s="143">
        <f t="shared" si="19"/>
        <v>12.411347517730498</v>
      </c>
      <c r="AP41" s="143">
        <f t="shared" si="19"/>
        <v>19.572953736654803</v>
      </c>
      <c r="AQ41" s="143">
        <f t="shared" si="19"/>
        <v>14.840989399293287</v>
      </c>
      <c r="AR41" s="144">
        <f>VLOOKUP(AL41,$B$10:$U$33,$AR$37,FALSE)</f>
        <v>8.9</v>
      </c>
    </row>
    <row r="42" spans="1:51" s="83" customFormat="1" ht="14.25" customHeight="1" x14ac:dyDescent="0.2">
      <c r="A42" s="120"/>
      <c r="B42" s="9"/>
      <c r="C42" s="9"/>
      <c r="D42" s="9"/>
      <c r="E42" s="9"/>
      <c r="F42" s="9"/>
      <c r="G42" s="9"/>
      <c r="H42" s="9"/>
      <c r="I42" s="9"/>
      <c r="J42" s="13"/>
      <c r="K42" s="9"/>
      <c r="L42" s="9"/>
      <c r="M42" s="9"/>
      <c r="N42" s="9"/>
      <c r="O42" s="9"/>
      <c r="P42" s="9"/>
      <c r="Q42" s="9"/>
      <c r="R42" s="9"/>
      <c r="S42" s="9"/>
      <c r="T42" s="9"/>
      <c r="U42" s="9"/>
      <c r="V42" s="119"/>
      <c r="W42" s="138"/>
      <c r="X42" s="288"/>
      <c r="Y42" s="208" t="str">
        <f>"Y= "&amp;Z42&amp;"x + "&amp;AA42</f>
        <v>Y= 0.477873213688185x + 4.81075647008417</v>
      </c>
      <c r="Z42" s="712">
        <f>ChartLabels!$Y14</f>
        <v>0.47787321368818547</v>
      </c>
      <c r="AA42" s="712">
        <f>ChartLabels!$Z14</f>
        <v>4.8107564700841658</v>
      </c>
      <c r="AB42" s="211">
        <v>35</v>
      </c>
      <c r="AC42" s="212">
        <f>(AB42*Z42)+AA42</f>
        <v>21.536318949170656</v>
      </c>
      <c r="AD42" s="1187" t="str">
        <f>AD40&amp;" = "&amp;AD41</f>
        <v>r² = 0.357</v>
      </c>
      <c r="AJ42" s="560" t="b">
        <v>1</v>
      </c>
      <c r="AK42" s="156" t="s">
        <v>31</v>
      </c>
      <c r="AL42" s="89" t="str">
        <f t="shared" ref="AL42:AL64" si="20">IF(AJ42=TRUE,B11,"")</f>
        <v>Brighton &amp; Hove</v>
      </c>
      <c r="AM42" s="143">
        <f t="shared" si="19"/>
        <v>15.686274509803921</v>
      </c>
      <c r="AN42" s="143">
        <f t="shared" si="19"/>
        <v>19.3359375</v>
      </c>
      <c r="AO42" s="143">
        <f t="shared" si="19"/>
        <v>20.2729044834308</v>
      </c>
      <c r="AP42" s="143">
        <f t="shared" si="19"/>
        <v>15.098039215686274</v>
      </c>
      <c r="AQ42" s="143">
        <f t="shared" si="19"/>
        <v>11.96078431372549</v>
      </c>
      <c r="AR42" s="144">
        <f t="shared" ref="AR42:AR64" si="21">VLOOKUP(AL42,$B$10:$U$33,$AR$37,FALSE)</f>
        <v>15.299999999999999</v>
      </c>
    </row>
    <row r="43" spans="1:51" ht="14.25" customHeight="1" x14ac:dyDescent="0.2">
      <c r="A43" s="120"/>
      <c r="B43" s="9"/>
      <c r="C43" s="9"/>
      <c r="D43" s="9"/>
      <c r="E43" s="9"/>
      <c r="F43" s="9"/>
      <c r="G43" s="9"/>
      <c r="H43" s="9"/>
      <c r="I43" s="9"/>
      <c r="J43" s="13"/>
      <c r="K43" s="9"/>
      <c r="L43" s="9"/>
      <c r="M43" s="9"/>
      <c r="N43" s="9"/>
      <c r="O43" s="9"/>
      <c r="P43" s="9"/>
      <c r="Q43" s="9"/>
      <c r="R43" s="9"/>
      <c r="S43" s="9"/>
      <c r="T43" s="9"/>
      <c r="U43" s="9"/>
      <c r="V43" s="119"/>
      <c r="W43" s="138"/>
      <c r="X43" s="288"/>
      <c r="Y43" s="44" t="str">
        <f>"National Trend "&amp;Sheet1!$B$8</f>
        <v>National Trend 2019</v>
      </c>
      <c r="Z43" s="44" t="s">
        <v>70</v>
      </c>
      <c r="AA43" s="44" t="s">
        <v>71</v>
      </c>
      <c r="AB43" s="1061">
        <v>5</v>
      </c>
      <c r="AC43" s="212">
        <f>((AB43*Z44)+AA44)/$Y$2</f>
        <v>5.2418876950753077</v>
      </c>
      <c r="AD43" s="714" t="str">
        <f>"r² = "&amp;ROUND(AD44,3)</f>
        <v>r² = 0.314</v>
      </c>
      <c r="AJ43" s="560" t="b">
        <v>1</v>
      </c>
      <c r="AK43" s="156" t="s">
        <v>8</v>
      </c>
      <c r="AL43" s="89" t="str">
        <f t="shared" si="20"/>
        <v>Buckinghamshire</v>
      </c>
      <c r="AM43" s="143">
        <f t="shared" si="19"/>
        <v>4.6257359125315389</v>
      </c>
      <c r="AN43" s="143">
        <f t="shared" si="19"/>
        <v>9.9502487562189046</v>
      </c>
      <c r="AO43" s="143">
        <f t="shared" si="19"/>
        <v>8.3469721767594116</v>
      </c>
      <c r="AP43" s="143">
        <f t="shared" si="19"/>
        <v>7.0674248578391552</v>
      </c>
      <c r="AQ43" s="143">
        <f t="shared" si="19"/>
        <v>8.3668543845534984</v>
      </c>
      <c r="AR43" s="144">
        <f t="shared" si="21"/>
        <v>8.5</v>
      </c>
      <c r="AS43" s="83"/>
      <c r="AT43" s="83"/>
      <c r="AU43" s="83"/>
      <c r="AV43" s="83"/>
      <c r="AW43" s="83"/>
      <c r="AX43" s="83"/>
      <c r="AY43" s="83"/>
    </row>
    <row r="44" spans="1:51" ht="14.25" customHeight="1" x14ac:dyDescent="0.2">
      <c r="A44" s="120"/>
      <c r="B44" s="9"/>
      <c r="C44" s="9"/>
      <c r="D44" s="9"/>
      <c r="E44" s="9"/>
      <c r="F44" s="9"/>
      <c r="G44" s="9"/>
      <c r="H44" s="9"/>
      <c r="I44" s="9"/>
      <c r="J44" s="13"/>
      <c r="K44" s="14"/>
      <c r="L44" s="14"/>
      <c r="M44" s="14"/>
      <c r="N44" s="14"/>
      <c r="O44" s="15"/>
      <c r="P44" s="15"/>
      <c r="Q44" s="15"/>
      <c r="R44" s="15"/>
      <c r="S44" s="15"/>
      <c r="T44" s="15"/>
      <c r="U44" s="15"/>
      <c r="V44" s="119"/>
      <c r="W44" s="138"/>
      <c r="X44" s="288"/>
      <c r="Y44" s="71" t="str">
        <f>"Y= "&amp;Z44&amp;"x + "&amp;AA44</f>
        <v>Y= 0.582445204996755x + 2.32966167009153</v>
      </c>
      <c r="Z44" s="1062">
        <f>Sheet1!F11</f>
        <v>0.58244520499675545</v>
      </c>
      <c r="AA44" s="1062">
        <f>Sheet1!F12</f>
        <v>2.3296616700915305</v>
      </c>
      <c r="AB44" s="211">
        <v>35</v>
      </c>
      <c r="AC44" s="212">
        <f>((AB44*Z44)+AA44)/$Y$2</f>
        <v>22.715243844977969</v>
      </c>
      <c r="AD44" s="83">
        <f>Sheet1!F13</f>
        <v>0.31391397183458741</v>
      </c>
      <c r="AJ44" s="560" t="b">
        <v>1</v>
      </c>
      <c r="AK44" s="156" t="s">
        <v>4</v>
      </c>
      <c r="AL44" s="89" t="str">
        <f t="shared" si="20"/>
        <v>East Sussex</v>
      </c>
      <c r="AM44" s="143">
        <f t="shared" si="19"/>
        <v>5.9772296015180268</v>
      </c>
      <c r="AN44" s="143">
        <f t="shared" si="19"/>
        <v>7.7431539187913128</v>
      </c>
      <c r="AO44" s="143">
        <f t="shared" si="19"/>
        <v>9.3484419263456093</v>
      </c>
      <c r="AP44" s="143">
        <f t="shared" si="19"/>
        <v>8.4905660377358494</v>
      </c>
      <c r="AQ44" s="143">
        <f t="shared" si="19"/>
        <v>7.7067669172932334</v>
      </c>
      <c r="AR44" s="144">
        <f t="shared" si="21"/>
        <v>16.100000000000001</v>
      </c>
      <c r="AS44" s="83"/>
      <c r="AT44" s="83"/>
      <c r="AU44" s="83"/>
      <c r="AV44" s="83"/>
      <c r="AW44" s="83"/>
      <c r="AX44" s="83"/>
      <c r="AY44" s="83"/>
    </row>
    <row r="45" spans="1:51" s="78" customFormat="1" ht="14.25" customHeight="1" x14ac:dyDescent="0.2">
      <c r="A45" s="121"/>
      <c r="B45" s="220"/>
      <c r="C45" s="220"/>
      <c r="D45" s="221"/>
      <c r="E45" s="221"/>
      <c r="F45" s="221"/>
      <c r="G45" s="221"/>
      <c r="H45" s="221"/>
      <c r="I45" s="221"/>
      <c r="J45" s="16"/>
      <c r="K45" s="9"/>
      <c r="L45" s="9"/>
      <c r="M45" s="9"/>
      <c r="N45" s="9"/>
      <c r="O45" s="9"/>
      <c r="P45" s="9"/>
      <c r="Q45" s="9"/>
      <c r="R45" s="9"/>
      <c r="S45" s="9"/>
      <c r="T45" s="9"/>
      <c r="U45" s="9"/>
      <c r="V45" s="122"/>
      <c r="W45" s="139"/>
      <c r="X45" s="289"/>
      <c r="AE45" s="83"/>
      <c r="AF45" s="83"/>
      <c r="AG45" s="83"/>
      <c r="AH45" s="83"/>
      <c r="AI45" s="83"/>
      <c r="AJ45" s="560" t="b">
        <v>1</v>
      </c>
      <c r="AK45" s="156" t="s">
        <v>6</v>
      </c>
      <c r="AL45" s="89" t="str">
        <f t="shared" si="20"/>
        <v>Hampshire</v>
      </c>
      <c r="AM45" s="143">
        <f t="shared" si="19"/>
        <v>6.0746003552397871</v>
      </c>
      <c r="AN45" s="143">
        <f t="shared" si="19"/>
        <v>6.8818730046115641</v>
      </c>
      <c r="AO45" s="143">
        <f t="shared" si="19"/>
        <v>8.026874115983027</v>
      </c>
      <c r="AP45" s="143">
        <f t="shared" si="19"/>
        <v>9.1422520296505478</v>
      </c>
      <c r="AQ45" s="143">
        <f t="shared" si="19"/>
        <v>9.295774647887324</v>
      </c>
      <c r="AR45" s="144">
        <f t="shared" si="21"/>
        <v>10.100000000000001</v>
      </c>
      <c r="AS45" s="83"/>
      <c r="AT45" s="83"/>
      <c r="AU45" s="83"/>
      <c r="AV45" s="83"/>
      <c r="AW45" s="83"/>
      <c r="AX45" s="83"/>
      <c r="AY45" s="83"/>
    </row>
    <row r="46" spans="1:51" ht="14.25" customHeight="1" x14ac:dyDescent="0.2">
      <c r="A46" s="120"/>
      <c r="B46" s="221"/>
      <c r="C46" s="221"/>
      <c r="D46" s="221"/>
      <c r="E46" s="221"/>
      <c r="F46" s="221"/>
      <c r="G46" s="221"/>
      <c r="H46" s="221"/>
      <c r="I46" s="221"/>
      <c r="J46" s="13"/>
      <c r="K46" s="15"/>
      <c r="L46" s="15"/>
      <c r="M46" s="15"/>
      <c r="N46" s="15"/>
      <c r="O46" s="9"/>
      <c r="P46" s="9"/>
      <c r="Q46" s="9"/>
      <c r="R46" s="9"/>
      <c r="S46" s="9"/>
      <c r="T46" s="9"/>
      <c r="U46" s="9"/>
      <c r="V46" s="119"/>
      <c r="W46" s="138"/>
      <c r="X46" s="288"/>
      <c r="AJ46" s="560" t="b">
        <v>1</v>
      </c>
      <c r="AK46" s="156" t="s">
        <v>1</v>
      </c>
      <c r="AL46" s="89" t="str">
        <f t="shared" si="20"/>
        <v>Isle of Wight</v>
      </c>
      <c r="AM46" s="143">
        <f t="shared" si="19"/>
        <v>14.901960784313726</v>
      </c>
      <c r="AN46" s="143">
        <f t="shared" si="19"/>
        <v>12.648221343873518</v>
      </c>
      <c r="AO46" s="143">
        <f t="shared" si="19"/>
        <v>17.063492063492063</v>
      </c>
      <c r="AP46" s="143">
        <f t="shared" si="19"/>
        <v>16.334661354581673</v>
      </c>
      <c r="AQ46" s="143">
        <f t="shared" si="19"/>
        <v>16.064257028112451</v>
      </c>
      <c r="AR46" s="144">
        <f t="shared" si="21"/>
        <v>18</v>
      </c>
      <c r="AS46" s="341"/>
      <c r="AT46" s="341"/>
      <c r="AU46" s="341"/>
      <c r="AV46" s="341"/>
      <c r="AW46" s="341"/>
    </row>
    <row r="47" spans="1:51" ht="14.25" customHeight="1" x14ac:dyDescent="0.2">
      <c r="A47" s="120"/>
      <c r="B47" s="221"/>
      <c r="C47" s="221"/>
      <c r="D47" s="221"/>
      <c r="E47" s="221"/>
      <c r="F47" s="221"/>
      <c r="G47" s="221"/>
      <c r="H47" s="221"/>
      <c r="I47" s="221"/>
      <c r="J47" s="13"/>
      <c r="K47" s="15"/>
      <c r="L47" s="15"/>
      <c r="M47" s="15"/>
      <c r="N47" s="15"/>
      <c r="O47" s="9"/>
      <c r="P47" s="9"/>
      <c r="Q47" s="9"/>
      <c r="R47" s="9"/>
      <c r="S47" s="9"/>
      <c r="T47" s="9"/>
      <c r="U47" s="9"/>
      <c r="V47" s="119"/>
      <c r="W47" s="138"/>
      <c r="X47" s="288"/>
      <c r="AD47" s="204"/>
      <c r="AJ47" s="560" t="b">
        <v>1</v>
      </c>
      <c r="AK47" s="156" t="s">
        <v>9</v>
      </c>
      <c r="AL47" s="89" t="str">
        <f t="shared" si="20"/>
        <v>Kent</v>
      </c>
      <c r="AM47" s="143">
        <f t="shared" si="19"/>
        <v>7.4626865671641793</v>
      </c>
      <c r="AN47" s="143">
        <f t="shared" si="19"/>
        <v>7.8692493946731235</v>
      </c>
      <c r="AO47" s="143">
        <f t="shared" si="19"/>
        <v>9.1591591591591595</v>
      </c>
      <c r="AP47" s="143">
        <f t="shared" si="19"/>
        <v>8.8069027075275219</v>
      </c>
      <c r="AQ47" s="143">
        <f t="shared" si="19"/>
        <v>7.0567480152896209</v>
      </c>
      <c r="AR47" s="144">
        <f t="shared" si="21"/>
        <v>15.8</v>
      </c>
      <c r="AS47" s="341"/>
      <c r="AT47" s="341"/>
      <c r="AU47" s="341"/>
      <c r="AV47" s="341"/>
      <c r="AW47" s="341"/>
    </row>
    <row r="48" spans="1:51" ht="14.25" customHeight="1" x14ac:dyDescent="0.2">
      <c r="A48" s="120"/>
      <c r="B48" s="58"/>
      <c r="C48" s="58"/>
      <c r="D48" s="58"/>
      <c r="E48" s="58"/>
      <c r="F48" s="58"/>
      <c r="G48" s="58"/>
      <c r="H48" s="58"/>
      <c r="I48" s="58"/>
      <c r="J48" s="13"/>
      <c r="K48" s="15"/>
      <c r="L48" s="15"/>
      <c r="M48" s="15"/>
      <c r="N48" s="15"/>
      <c r="O48" s="9"/>
      <c r="P48" s="9"/>
      <c r="Q48" s="9"/>
      <c r="R48" s="9"/>
      <c r="S48" s="9"/>
      <c r="T48" s="9"/>
      <c r="U48" s="9"/>
      <c r="V48" s="119"/>
      <c r="W48" s="138"/>
      <c r="X48" s="288"/>
      <c r="AD48" s="179"/>
      <c r="AJ48" s="560" t="b">
        <v>1</v>
      </c>
      <c r="AK48" s="156" t="s">
        <v>2</v>
      </c>
      <c r="AL48" s="89" t="str">
        <f t="shared" si="20"/>
        <v>Medway</v>
      </c>
      <c r="AM48" s="143">
        <f t="shared" si="19"/>
        <v>14.4</v>
      </c>
      <c r="AN48" s="143">
        <f t="shared" si="19"/>
        <v>22.468354430379748</v>
      </c>
      <c r="AO48" s="143">
        <f t="shared" si="19"/>
        <v>9.2621664050235477</v>
      </c>
      <c r="AP48" s="143">
        <f t="shared" si="19"/>
        <v>13.145539906103286</v>
      </c>
      <c r="AQ48" s="143">
        <f t="shared" si="19"/>
        <v>11.180124223602483</v>
      </c>
      <c r="AR48" s="144">
        <f t="shared" si="21"/>
        <v>18.899999999999999</v>
      </c>
      <c r="AS48" s="341"/>
      <c r="AT48" s="341"/>
      <c r="AU48" s="341"/>
      <c r="AV48" s="341"/>
      <c r="AW48" s="341"/>
    </row>
    <row r="49" spans="1:49" ht="14.25" customHeight="1" x14ac:dyDescent="0.2">
      <c r="A49" s="120"/>
      <c r="B49" s="58"/>
      <c r="C49" s="58"/>
      <c r="D49" s="68"/>
      <c r="E49" s="69"/>
      <c r="F49" s="68"/>
      <c r="G49" s="69"/>
      <c r="H49" s="69"/>
      <c r="I49" s="69"/>
      <c r="J49" s="13"/>
      <c r="K49" s="15"/>
      <c r="L49" s="15"/>
      <c r="M49" s="15"/>
      <c r="N49" s="15"/>
      <c r="O49" s="9"/>
      <c r="P49" s="9"/>
      <c r="Q49" s="9"/>
      <c r="R49" s="9"/>
      <c r="S49" s="9"/>
      <c r="T49" s="9"/>
      <c r="U49" s="9"/>
      <c r="V49" s="119"/>
      <c r="W49" s="138"/>
      <c r="X49" s="288"/>
      <c r="AJ49" s="560" t="b">
        <v>1</v>
      </c>
      <c r="AK49" s="156" t="s">
        <v>10</v>
      </c>
      <c r="AL49" s="89" t="str">
        <f t="shared" si="20"/>
        <v>Milton Keynes</v>
      </c>
      <c r="AM49" s="143">
        <f t="shared" si="19"/>
        <v>5.9815950920245395</v>
      </c>
      <c r="AN49" s="143">
        <f t="shared" si="19"/>
        <v>9.2284417549167923</v>
      </c>
      <c r="AO49" s="143">
        <f t="shared" si="19"/>
        <v>12.220566318926975</v>
      </c>
      <c r="AP49" s="143">
        <f t="shared" si="19"/>
        <v>8.7278106508875748</v>
      </c>
      <c r="AQ49" s="143">
        <f t="shared" si="19"/>
        <v>10.395314787701318</v>
      </c>
      <c r="AR49" s="144">
        <f t="shared" si="21"/>
        <v>15</v>
      </c>
      <c r="AS49" s="341"/>
      <c r="AT49" s="341"/>
      <c r="AU49" s="341"/>
      <c r="AV49" s="341"/>
      <c r="AW49" s="341"/>
    </row>
    <row r="50" spans="1:49" ht="14.25" customHeight="1" x14ac:dyDescent="0.2">
      <c r="A50" s="120"/>
      <c r="B50" s="58"/>
      <c r="C50" s="58"/>
      <c r="D50" s="61"/>
      <c r="E50" s="61"/>
      <c r="F50" s="61"/>
      <c r="G50" s="61"/>
      <c r="H50" s="61"/>
      <c r="I50" s="61"/>
      <c r="J50" s="13"/>
      <c r="K50" s="15"/>
      <c r="L50" s="15"/>
      <c r="M50" s="15"/>
      <c r="N50" s="15"/>
      <c r="O50" s="9"/>
      <c r="P50" s="9"/>
      <c r="Q50" s="9"/>
      <c r="R50" s="9"/>
      <c r="S50" s="9"/>
      <c r="T50" s="9"/>
      <c r="U50" s="9"/>
      <c r="V50" s="119"/>
      <c r="W50" s="138"/>
      <c r="X50" s="288"/>
      <c r="AJ50" s="560" t="b">
        <v>1</v>
      </c>
      <c r="AK50" s="156" t="s">
        <v>11</v>
      </c>
      <c r="AL50" s="89" t="str">
        <f t="shared" si="20"/>
        <v>Oxfordshire</v>
      </c>
      <c r="AM50" s="143">
        <f t="shared" si="19"/>
        <v>7.9320113314447589</v>
      </c>
      <c r="AN50" s="143">
        <f t="shared" si="19"/>
        <v>10.860366713681241</v>
      </c>
      <c r="AO50" s="143">
        <f t="shared" si="19"/>
        <v>11.126662001399581</v>
      </c>
      <c r="AP50" s="143">
        <f t="shared" si="19"/>
        <v>9.4142259414225933</v>
      </c>
      <c r="AQ50" s="143">
        <f t="shared" si="19"/>
        <v>10.911602209944752</v>
      </c>
      <c r="AR50" s="144">
        <f t="shared" si="21"/>
        <v>10.100000000000001</v>
      </c>
      <c r="AS50" s="341"/>
      <c r="AT50" s="341"/>
      <c r="AU50" s="341"/>
      <c r="AV50" s="341"/>
      <c r="AW50" s="341"/>
    </row>
    <row r="51" spans="1:49" ht="14.25" customHeight="1" x14ac:dyDescent="0.2">
      <c r="A51" s="120"/>
      <c r="B51" s="368"/>
      <c r="C51" s="368"/>
      <c r="D51" s="58"/>
      <c r="E51" s="58"/>
      <c r="F51" s="58"/>
      <c r="G51" s="58"/>
      <c r="H51" s="58"/>
      <c r="I51" s="58"/>
      <c r="J51" s="13"/>
      <c r="K51" s="15"/>
      <c r="L51" s="15"/>
      <c r="M51" s="15"/>
      <c r="N51" s="15"/>
      <c r="O51" s="9"/>
      <c r="P51" s="9"/>
      <c r="Q51" s="9"/>
      <c r="R51" s="9"/>
      <c r="S51" s="9"/>
      <c r="T51" s="9"/>
      <c r="U51" s="9"/>
      <c r="V51" s="119"/>
      <c r="W51" s="138"/>
      <c r="X51" s="288"/>
      <c r="AJ51" s="560" t="b">
        <v>1</v>
      </c>
      <c r="AK51" s="156" t="s">
        <v>12</v>
      </c>
      <c r="AL51" s="89" t="str">
        <f t="shared" si="20"/>
        <v>Portsmouth</v>
      </c>
      <c r="AM51" s="143">
        <f t="shared" ref="AM51:AQ64" si="22">VLOOKUP($AL51,$B$10:$O$33,AM$37,FALSE)</f>
        <v>13.59447004608295</v>
      </c>
      <c r="AN51" s="143">
        <f t="shared" si="22"/>
        <v>10.273972602739725</v>
      </c>
      <c r="AO51" s="143">
        <f t="shared" si="22"/>
        <v>10.90909090909091</v>
      </c>
      <c r="AP51" s="143">
        <f t="shared" si="22"/>
        <v>16.5158371040724</v>
      </c>
      <c r="AQ51" s="143">
        <f t="shared" si="22"/>
        <v>15.454545454545453</v>
      </c>
      <c r="AR51" s="144">
        <f t="shared" si="21"/>
        <v>20.200000000000003</v>
      </c>
      <c r="AS51" s="341"/>
      <c r="AT51" s="341"/>
      <c r="AU51" s="341"/>
      <c r="AV51" s="341"/>
      <c r="AW51" s="341"/>
    </row>
    <row r="52" spans="1:49" ht="14.25" customHeight="1" x14ac:dyDescent="0.2">
      <c r="A52" s="120"/>
      <c r="B52" s="368"/>
      <c r="C52" s="368"/>
      <c r="D52" s="58"/>
      <c r="E52" s="58"/>
      <c r="F52" s="58"/>
      <c r="G52" s="58"/>
      <c r="H52" s="58"/>
      <c r="I52" s="58"/>
      <c r="J52" s="13"/>
      <c r="K52" s="15"/>
      <c r="L52" s="15"/>
      <c r="M52" s="15"/>
      <c r="N52" s="15"/>
      <c r="O52" s="9"/>
      <c r="P52" s="9"/>
      <c r="Q52" s="9"/>
      <c r="R52" s="9"/>
      <c r="S52" s="9"/>
      <c r="T52" s="9"/>
      <c r="U52" s="9"/>
      <c r="V52" s="119"/>
      <c r="W52" s="138"/>
      <c r="X52" s="288"/>
      <c r="AJ52" s="560" t="b">
        <v>1</v>
      </c>
      <c r="AK52" s="156" t="s">
        <v>3</v>
      </c>
      <c r="AL52" s="89" t="str">
        <f t="shared" si="20"/>
        <v>Reading</v>
      </c>
      <c r="AM52" s="143">
        <f t="shared" si="22"/>
        <v>10.863509749303622</v>
      </c>
      <c r="AN52" s="143">
        <f t="shared" si="22"/>
        <v>18.406593406593409</v>
      </c>
      <c r="AO52" s="143">
        <f t="shared" si="22"/>
        <v>21.311475409836067</v>
      </c>
      <c r="AP52" s="143">
        <f t="shared" si="22"/>
        <v>16.981132075471699</v>
      </c>
      <c r="AQ52" s="143">
        <f t="shared" si="22"/>
        <v>19.676549865229113</v>
      </c>
      <c r="AR52" s="144">
        <f t="shared" si="21"/>
        <v>16</v>
      </c>
      <c r="AS52" s="341"/>
      <c r="AT52" s="341"/>
      <c r="AU52" s="341"/>
      <c r="AV52" s="341"/>
      <c r="AW52" s="341"/>
    </row>
    <row r="53" spans="1:49" ht="14.25" customHeight="1" x14ac:dyDescent="0.2">
      <c r="A53" s="120"/>
      <c r="B53" s="368"/>
      <c r="C53" s="368"/>
      <c r="D53" s="58"/>
      <c r="E53" s="58"/>
      <c r="F53" s="58"/>
      <c r="G53" s="58"/>
      <c r="H53" s="58"/>
      <c r="I53" s="58"/>
      <c r="J53" s="13"/>
      <c r="K53" s="15"/>
      <c r="L53" s="15"/>
      <c r="M53" s="15"/>
      <c r="N53" s="15"/>
      <c r="O53" s="9"/>
      <c r="P53" s="9"/>
      <c r="Q53" s="9"/>
      <c r="R53" s="9"/>
      <c r="S53" s="9"/>
      <c r="T53" s="9"/>
      <c r="U53" s="9"/>
      <c r="V53" s="119"/>
      <c r="W53" s="138"/>
      <c r="X53" s="288"/>
      <c r="AJ53" s="560" t="b">
        <v>1</v>
      </c>
      <c r="AK53" s="156" t="s">
        <v>13</v>
      </c>
      <c r="AL53" s="89" t="str">
        <f t="shared" si="20"/>
        <v>Slough</v>
      </c>
      <c r="AM53" s="143">
        <f t="shared" si="22"/>
        <v>9.2731829573934839</v>
      </c>
      <c r="AN53" s="143">
        <f t="shared" si="22"/>
        <v>14.039408866995075</v>
      </c>
      <c r="AO53" s="143">
        <f t="shared" si="22"/>
        <v>12.560386473429951</v>
      </c>
      <c r="AP53" s="143">
        <f t="shared" si="22"/>
        <v>13.507109004739338</v>
      </c>
      <c r="AQ53" s="143">
        <f t="shared" si="22"/>
        <v>12.646370023419204</v>
      </c>
      <c r="AR53" s="144">
        <f t="shared" si="21"/>
        <v>14.7</v>
      </c>
      <c r="AS53" s="341"/>
      <c r="AT53" s="341"/>
      <c r="AU53" s="341"/>
      <c r="AV53" s="341"/>
      <c r="AW53" s="341"/>
    </row>
    <row r="54" spans="1:49" ht="14.25" customHeight="1" x14ac:dyDescent="0.2">
      <c r="A54" s="120"/>
      <c r="B54" s="368"/>
      <c r="C54" s="368"/>
      <c r="D54" s="58"/>
      <c r="E54" s="58"/>
      <c r="F54" s="58"/>
      <c r="G54" s="58"/>
      <c r="H54" s="58"/>
      <c r="I54" s="58"/>
      <c r="J54" s="13"/>
      <c r="K54" s="15"/>
      <c r="L54" s="15"/>
      <c r="M54" s="15"/>
      <c r="N54" s="15"/>
      <c r="O54" s="9"/>
      <c r="P54" s="9"/>
      <c r="Q54" s="9"/>
      <c r="R54" s="9"/>
      <c r="S54" s="9"/>
      <c r="T54" s="9"/>
      <c r="U54" s="9"/>
      <c r="V54" s="119"/>
      <c r="W54" s="138"/>
      <c r="X54" s="288"/>
      <c r="AJ54" s="560" t="b">
        <v>1</v>
      </c>
      <c r="AK54" s="156" t="s">
        <v>93</v>
      </c>
      <c r="AL54" s="89" t="str">
        <f t="shared" si="20"/>
        <v>Somerset</v>
      </c>
      <c r="AM54" s="143">
        <f t="shared" si="22"/>
        <v>11.845730027548209</v>
      </c>
      <c r="AN54" s="143">
        <f t="shared" si="22"/>
        <v>13.644688644688646</v>
      </c>
      <c r="AO54" s="143">
        <f t="shared" si="22"/>
        <v>13.309024612579764</v>
      </c>
      <c r="AP54" s="143">
        <f t="shared" si="22"/>
        <v>11.989100817438691</v>
      </c>
      <c r="AQ54" s="143">
        <f t="shared" si="22"/>
        <v>10.659439927732612</v>
      </c>
      <c r="AR54" s="144">
        <f t="shared" si="21"/>
        <v>13.600000000000001</v>
      </c>
      <c r="AS54" s="341"/>
      <c r="AT54" s="341"/>
      <c r="AU54" s="341"/>
      <c r="AV54" s="341"/>
      <c r="AW54" s="341"/>
    </row>
    <row r="55" spans="1:49" ht="14.25" customHeight="1" x14ac:dyDescent="0.2">
      <c r="A55" s="120"/>
      <c r="B55" s="368"/>
      <c r="C55" s="368"/>
      <c r="D55" s="58"/>
      <c r="E55" s="58"/>
      <c r="F55" s="58"/>
      <c r="G55" s="58"/>
      <c r="H55" s="58"/>
      <c r="I55" s="58"/>
      <c r="J55" s="13"/>
      <c r="K55" s="15"/>
      <c r="L55" s="15"/>
      <c r="M55" s="15"/>
      <c r="N55" s="15"/>
      <c r="O55" s="9"/>
      <c r="P55" s="9"/>
      <c r="Q55" s="9"/>
      <c r="R55" s="9"/>
      <c r="S55" s="9"/>
      <c r="T55" s="9"/>
      <c r="U55" s="9"/>
      <c r="V55" s="119"/>
      <c r="W55" s="138"/>
      <c r="X55" s="288"/>
      <c r="AJ55" s="560" t="b">
        <v>1</v>
      </c>
      <c r="AK55" s="156" t="s">
        <v>14</v>
      </c>
      <c r="AL55" s="89" t="str">
        <f t="shared" si="20"/>
        <v>Southampton</v>
      </c>
      <c r="AM55" s="143">
        <f t="shared" si="22"/>
        <v>19.753086419753085</v>
      </c>
      <c r="AN55" s="143">
        <f t="shared" si="22"/>
        <v>18.902439024390244</v>
      </c>
      <c r="AO55" s="143">
        <f t="shared" si="22"/>
        <v>17.434869739478959</v>
      </c>
      <c r="AP55" s="143">
        <f t="shared" si="22"/>
        <v>17.892644135188867</v>
      </c>
      <c r="AQ55" s="143">
        <f t="shared" si="22"/>
        <v>15.748031496062993</v>
      </c>
      <c r="AR55" s="144">
        <f t="shared" si="21"/>
        <v>20.5</v>
      </c>
      <c r="AS55" s="341"/>
      <c r="AT55" s="341"/>
      <c r="AU55" s="341"/>
      <c r="AV55" s="341"/>
      <c r="AW55" s="341"/>
    </row>
    <row r="56" spans="1:49" ht="14.25" customHeight="1" x14ac:dyDescent="0.2">
      <c r="A56" s="120"/>
      <c r="B56" s="368"/>
      <c r="C56" s="368"/>
      <c r="D56" s="58"/>
      <c r="E56" s="58"/>
      <c r="F56" s="58"/>
      <c r="G56" s="58"/>
      <c r="H56" s="58"/>
      <c r="I56" s="58"/>
      <c r="J56" s="13"/>
      <c r="K56" s="15"/>
      <c r="L56" s="15"/>
      <c r="M56" s="15"/>
      <c r="N56" s="15"/>
      <c r="O56" s="9"/>
      <c r="P56" s="9"/>
      <c r="Q56" s="9"/>
      <c r="R56" s="9"/>
      <c r="S56" s="9"/>
      <c r="T56" s="9"/>
      <c r="U56" s="9"/>
      <c r="V56" s="119"/>
      <c r="W56" s="138"/>
      <c r="X56" s="288"/>
      <c r="AJ56" s="560" t="b">
        <v>1</v>
      </c>
      <c r="AK56" s="156" t="s">
        <v>7</v>
      </c>
      <c r="AL56" s="89" t="str">
        <f t="shared" si="20"/>
        <v>Surrey</v>
      </c>
      <c r="AM56" s="143">
        <f t="shared" si="22"/>
        <v>4.2026708562450903</v>
      </c>
      <c r="AN56" s="143">
        <f t="shared" si="22"/>
        <v>5.4992199687987515</v>
      </c>
      <c r="AO56" s="143">
        <f t="shared" si="22"/>
        <v>6.9498069498069492</v>
      </c>
      <c r="AP56" s="143">
        <f t="shared" si="22"/>
        <v>7.8755282366500197</v>
      </c>
      <c r="AQ56" s="143">
        <f t="shared" si="22"/>
        <v>7.5219549446353575</v>
      </c>
      <c r="AR56" s="144">
        <f t="shared" si="21"/>
        <v>8.3000000000000007</v>
      </c>
      <c r="AS56" s="341"/>
      <c r="AT56" s="341"/>
      <c r="AU56" s="341"/>
      <c r="AV56" s="341"/>
      <c r="AW56" s="341"/>
    </row>
    <row r="57" spans="1:49" ht="14.25" customHeight="1" x14ac:dyDescent="0.2">
      <c r="A57" s="271"/>
      <c r="B57" s="368"/>
      <c r="C57" s="368"/>
      <c r="D57" s="58"/>
      <c r="E57" s="58"/>
      <c r="F57" s="58"/>
      <c r="G57" s="58"/>
      <c r="H57" s="58"/>
      <c r="I57" s="58"/>
      <c r="J57" s="13"/>
      <c r="K57" s="15"/>
      <c r="L57" s="15"/>
      <c r="M57" s="15"/>
      <c r="N57" s="15"/>
      <c r="O57" s="9"/>
      <c r="P57" s="9"/>
      <c r="Q57" s="9"/>
      <c r="R57" s="9"/>
      <c r="S57" s="9"/>
      <c r="T57" s="9"/>
      <c r="U57" s="9"/>
      <c r="V57" s="119"/>
      <c r="W57" s="138"/>
      <c r="X57" s="288"/>
      <c r="AJ57" s="560" t="b">
        <v>1</v>
      </c>
      <c r="AK57" s="156" t="s">
        <v>114</v>
      </c>
      <c r="AL57" s="89" t="str">
        <f t="shared" si="20"/>
        <v>Swindon</v>
      </c>
      <c r="AM57" s="143">
        <f t="shared" si="22"/>
        <v>9.6707818930041149</v>
      </c>
      <c r="AN57" s="143">
        <f t="shared" si="22"/>
        <v>10.816326530612246</v>
      </c>
      <c r="AO57" s="143">
        <f t="shared" si="22"/>
        <v>15.757575757575758</v>
      </c>
      <c r="AP57" s="143">
        <f t="shared" si="22"/>
        <v>17.234468937875754</v>
      </c>
      <c r="AQ57" s="143">
        <f t="shared" si="22"/>
        <v>14.541832669322709</v>
      </c>
      <c r="AR57" s="144">
        <f t="shared" si="21"/>
        <v>14.899999999999999</v>
      </c>
      <c r="AS57" s="341"/>
      <c r="AT57" s="341"/>
      <c r="AU57" s="341"/>
      <c r="AV57" s="341"/>
      <c r="AW57" s="341"/>
    </row>
    <row r="58" spans="1:49" ht="14.25" customHeight="1" x14ac:dyDescent="0.2">
      <c r="A58" s="271"/>
      <c r="B58" s="368"/>
      <c r="C58" s="368"/>
      <c r="D58" s="58"/>
      <c r="E58" s="58"/>
      <c r="F58" s="58"/>
      <c r="G58" s="58"/>
      <c r="H58" s="58"/>
      <c r="I58" s="58"/>
      <c r="J58" s="13"/>
      <c r="K58" s="15"/>
      <c r="L58" s="15"/>
      <c r="M58" s="15"/>
      <c r="N58" s="15"/>
      <c r="O58" s="9"/>
      <c r="P58" s="9"/>
      <c r="Q58" s="9"/>
      <c r="R58" s="9"/>
      <c r="S58" s="9"/>
      <c r="T58" s="9"/>
      <c r="U58" s="9"/>
      <c r="V58" s="119"/>
      <c r="W58" s="138"/>
      <c r="X58" s="288"/>
      <c r="AJ58" s="560" t="b">
        <v>1</v>
      </c>
      <c r="AK58" s="156" t="s">
        <v>115</v>
      </c>
      <c r="AL58" s="89" t="str">
        <f t="shared" si="20"/>
        <v>Torbay</v>
      </c>
      <c r="AM58" s="143">
        <f t="shared" si="22"/>
        <v>23.107569721115539</v>
      </c>
      <c r="AN58" s="143">
        <f t="shared" si="22"/>
        <v>21.825396825396826</v>
      </c>
      <c r="AO58" s="143">
        <f t="shared" si="22"/>
        <v>22.047244094488189</v>
      </c>
      <c r="AP58" s="143">
        <f t="shared" si="22"/>
        <v>23.622047244094489</v>
      </c>
      <c r="AQ58" s="143">
        <f t="shared" si="22"/>
        <v>24.803149606299211</v>
      </c>
      <c r="AR58" s="144">
        <f t="shared" si="21"/>
        <v>21.9</v>
      </c>
      <c r="AS58" s="341"/>
      <c r="AT58" s="341"/>
      <c r="AU58" s="341"/>
      <c r="AV58" s="341"/>
      <c r="AW58" s="341"/>
    </row>
    <row r="59" spans="1:49" ht="14.25" customHeight="1" x14ac:dyDescent="0.2">
      <c r="A59" s="120"/>
      <c r="B59" s="368"/>
      <c r="C59" s="368"/>
      <c r="D59" s="58"/>
      <c r="E59" s="58"/>
      <c r="F59" s="58"/>
      <c r="G59" s="58"/>
      <c r="H59" s="58"/>
      <c r="I59" s="58"/>
      <c r="J59" s="13"/>
      <c r="K59" s="15"/>
      <c r="L59" s="15"/>
      <c r="M59" s="15"/>
      <c r="N59" s="15"/>
      <c r="O59" s="9"/>
      <c r="P59" s="9"/>
      <c r="Q59" s="9"/>
      <c r="R59" s="9"/>
      <c r="S59" s="9"/>
      <c r="T59" s="9"/>
      <c r="U59" s="9"/>
      <c r="V59" s="119"/>
      <c r="W59" s="138"/>
      <c r="X59" s="288"/>
      <c r="AJ59" s="560" t="b">
        <v>1</v>
      </c>
      <c r="AK59" s="156" t="s">
        <v>15</v>
      </c>
      <c r="AL59" s="89" t="str">
        <f t="shared" si="20"/>
        <v>West Berkshire</v>
      </c>
      <c r="AM59" s="143">
        <f t="shared" si="22"/>
        <v>8.4269662921348321</v>
      </c>
      <c r="AN59" s="143">
        <f t="shared" si="22"/>
        <v>13.725490196078432</v>
      </c>
      <c r="AO59" s="143">
        <f t="shared" si="22"/>
        <v>10.863509749303622</v>
      </c>
      <c r="AP59" s="143">
        <f t="shared" si="22"/>
        <v>10.05586592178771</v>
      </c>
      <c r="AQ59" s="143">
        <f t="shared" si="22"/>
        <v>9.2696629213483153</v>
      </c>
      <c r="AR59" s="144">
        <f t="shared" si="21"/>
        <v>8.6999999999999993</v>
      </c>
      <c r="AS59" s="341"/>
      <c r="AT59" s="341"/>
      <c r="AU59" s="341"/>
      <c r="AV59" s="341"/>
      <c r="AW59" s="341"/>
    </row>
    <row r="60" spans="1:49" ht="14.25" customHeight="1" x14ac:dyDescent="0.2">
      <c r="A60" s="120"/>
      <c r="B60" s="368"/>
      <c r="C60" s="368"/>
      <c r="D60" s="58"/>
      <c r="E60" s="58"/>
      <c r="F60" s="58"/>
      <c r="G60" s="58"/>
      <c r="H60" s="58"/>
      <c r="I60" s="58"/>
      <c r="J60" s="13"/>
      <c r="K60" s="15"/>
      <c r="L60" s="15"/>
      <c r="M60" s="15"/>
      <c r="N60" s="15"/>
      <c r="O60" s="9"/>
      <c r="P60" s="9"/>
      <c r="Q60" s="9"/>
      <c r="R60" s="9"/>
      <c r="S60" s="9"/>
      <c r="T60" s="9"/>
      <c r="U60" s="9"/>
      <c r="V60" s="119"/>
      <c r="W60" s="138"/>
      <c r="X60" s="288"/>
      <c r="AJ60" s="560" t="b">
        <v>1</v>
      </c>
      <c r="AK60" s="156" t="s">
        <v>5</v>
      </c>
      <c r="AL60" s="89" t="str">
        <f t="shared" si="20"/>
        <v>West Sussex</v>
      </c>
      <c r="AM60" s="143">
        <f t="shared" si="22"/>
        <v>5.2132701421800949</v>
      </c>
      <c r="AN60" s="143">
        <f t="shared" si="22"/>
        <v>8.0985915492957741</v>
      </c>
      <c r="AO60" s="143">
        <f t="shared" si="22"/>
        <v>9.3713620488940634</v>
      </c>
      <c r="AP60" s="143">
        <f t="shared" si="22"/>
        <v>9.4633583381419513</v>
      </c>
      <c r="AQ60" s="143">
        <f t="shared" si="22"/>
        <v>8.5289066971951915</v>
      </c>
      <c r="AR60" s="144">
        <f t="shared" si="21"/>
        <v>11</v>
      </c>
      <c r="AS60" s="341"/>
      <c r="AT60" s="341"/>
      <c r="AU60" s="341"/>
      <c r="AV60" s="341"/>
      <c r="AW60" s="341"/>
    </row>
    <row r="61" spans="1:49" s="83" customFormat="1" ht="14.25" customHeight="1" x14ac:dyDescent="0.2">
      <c r="A61" s="120"/>
      <c r="B61" s="368"/>
      <c r="C61" s="368"/>
      <c r="D61" s="58"/>
      <c r="E61" s="58"/>
      <c r="F61" s="58"/>
      <c r="G61" s="58"/>
      <c r="H61" s="58"/>
      <c r="I61" s="58"/>
      <c r="J61" s="13"/>
      <c r="K61" s="15"/>
      <c r="L61" s="15"/>
      <c r="M61" s="15"/>
      <c r="N61" s="15"/>
      <c r="O61" s="9"/>
      <c r="P61" s="9"/>
      <c r="Q61" s="9"/>
      <c r="R61" s="9"/>
      <c r="S61" s="9"/>
      <c r="T61" s="9"/>
      <c r="U61" s="9"/>
      <c r="V61" s="119"/>
      <c r="W61" s="138"/>
      <c r="X61" s="288"/>
      <c r="AJ61" s="560" t="b">
        <v>1</v>
      </c>
      <c r="AK61" s="156" t="s">
        <v>30</v>
      </c>
      <c r="AL61" s="89" t="str">
        <f t="shared" si="20"/>
        <v>Windsor &amp; Maidenhead</v>
      </c>
      <c r="AM61" s="143">
        <f t="shared" si="22"/>
        <v>3.5928143712574849</v>
      </c>
      <c r="AN61" s="143">
        <f t="shared" si="22"/>
        <v>5.0445103857566771</v>
      </c>
      <c r="AO61" s="143">
        <f t="shared" si="22"/>
        <v>7.6023391812865491</v>
      </c>
      <c r="AP61" s="143">
        <f t="shared" si="22"/>
        <v>5.5232558139534884</v>
      </c>
      <c r="AQ61" s="143">
        <f t="shared" si="22"/>
        <v>6.6473988439306355</v>
      </c>
      <c r="AR61" s="144">
        <f t="shared" si="21"/>
        <v>6.7</v>
      </c>
      <c r="AS61" s="341"/>
      <c r="AT61" s="341"/>
      <c r="AU61" s="341"/>
      <c r="AV61" s="341"/>
      <c r="AW61" s="341"/>
    </row>
    <row r="62" spans="1:49" s="83" customFormat="1" ht="14.25" customHeight="1" x14ac:dyDescent="0.2">
      <c r="A62" s="120"/>
      <c r="B62" s="368"/>
      <c r="C62" s="368"/>
      <c r="D62" s="58"/>
      <c r="E62" s="58"/>
      <c r="F62" s="58"/>
      <c r="G62" s="58"/>
      <c r="H62" s="58"/>
      <c r="I62" s="58"/>
      <c r="J62" s="13"/>
      <c r="K62" s="15"/>
      <c r="L62" s="15"/>
      <c r="M62" s="15"/>
      <c r="N62" s="15"/>
      <c r="O62" s="9"/>
      <c r="P62" s="9"/>
      <c r="Q62" s="9"/>
      <c r="R62" s="9"/>
      <c r="S62" s="9"/>
      <c r="T62" s="9"/>
      <c r="U62" s="9"/>
      <c r="V62" s="119"/>
      <c r="W62" s="138"/>
      <c r="X62" s="288"/>
      <c r="AJ62" s="560" t="b">
        <v>1</v>
      </c>
      <c r="AK62" s="156" t="s">
        <v>16</v>
      </c>
      <c r="AL62" s="89" t="str">
        <f t="shared" si="20"/>
        <v>Wokingham</v>
      </c>
      <c r="AM62" s="143">
        <f t="shared" si="22"/>
        <v>3.2520325203252032</v>
      </c>
      <c r="AN62" s="143">
        <f t="shared" si="22"/>
        <v>5.6300268096514747</v>
      </c>
      <c r="AO62" s="143">
        <f t="shared" si="22"/>
        <v>4.7368421052631575</v>
      </c>
      <c r="AP62" s="143">
        <f t="shared" si="22"/>
        <v>5.4263565891472867</v>
      </c>
      <c r="AQ62" s="143">
        <f t="shared" si="22"/>
        <v>6.8354430379746836</v>
      </c>
      <c r="AR62" s="144">
        <f t="shared" si="21"/>
        <v>5.6000000000000005</v>
      </c>
      <c r="AS62" s="341"/>
      <c r="AT62" s="341"/>
      <c r="AU62" s="341"/>
      <c r="AV62" s="341"/>
      <c r="AW62" s="341"/>
    </row>
    <row r="63" spans="1:49" s="83" customFormat="1" ht="14.25" customHeight="1" x14ac:dyDescent="0.2">
      <c r="A63" s="120"/>
      <c r="B63" s="368"/>
      <c r="C63" s="368"/>
      <c r="D63" s="58"/>
      <c r="E63" s="58"/>
      <c r="F63" s="58"/>
      <c r="G63" s="58"/>
      <c r="H63" s="58"/>
      <c r="I63" s="58"/>
      <c r="J63" s="13"/>
      <c r="K63" s="15"/>
      <c r="L63" s="15"/>
      <c r="M63" s="15"/>
      <c r="N63" s="15"/>
      <c r="O63" s="9"/>
      <c r="P63" s="9"/>
      <c r="Q63" s="9"/>
      <c r="R63" s="9"/>
      <c r="S63" s="9"/>
      <c r="T63" s="9"/>
      <c r="U63" s="9"/>
      <c r="V63" s="119"/>
      <c r="W63" s="138"/>
      <c r="X63" s="288"/>
      <c r="AJ63" s="560" t="b">
        <v>1</v>
      </c>
      <c r="AK63" s="156" t="s">
        <v>74</v>
      </c>
      <c r="AL63" s="89" t="str">
        <f t="shared" si="20"/>
        <v>South East</v>
      </c>
      <c r="AM63" s="143">
        <f t="shared" si="22"/>
        <v>7.3198907792480563</v>
      </c>
      <c r="AN63" s="143">
        <f t="shared" si="22"/>
        <v>9.4207809811792913</v>
      </c>
      <c r="AO63" s="143">
        <f t="shared" si="22"/>
        <v>9.8494645905540334</v>
      </c>
      <c r="AP63" s="143">
        <f t="shared" si="22"/>
        <v>9.8307526107310057</v>
      </c>
      <c r="AQ63" s="143">
        <f t="shared" si="22"/>
        <v>9.390007152344948</v>
      </c>
      <c r="AR63" s="144">
        <f t="shared" si="21"/>
        <v>12.371268250968637</v>
      </c>
      <c r="AS63" s="341"/>
      <c r="AT63" s="341"/>
      <c r="AU63" s="341"/>
      <c r="AV63" s="341"/>
      <c r="AW63" s="341"/>
    </row>
    <row r="64" spans="1:49" s="83" customFormat="1" ht="14.25" customHeight="1" x14ac:dyDescent="0.2">
      <c r="A64" s="120"/>
      <c r="B64" s="368"/>
      <c r="C64" s="368"/>
      <c r="D64" s="58"/>
      <c r="E64" s="58"/>
      <c r="F64" s="58"/>
      <c r="G64" s="58"/>
      <c r="H64" s="58"/>
      <c r="I64" s="58"/>
      <c r="J64" s="13"/>
      <c r="K64" s="9"/>
      <c r="L64" s="112"/>
      <c r="M64" s="1468" t="s">
        <v>72</v>
      </c>
      <c r="N64" s="1450"/>
      <c r="O64" s="1450"/>
      <c r="P64" s="1469"/>
      <c r="Q64" s="880"/>
      <c r="R64" s="1462" t="s">
        <v>101</v>
      </c>
      <c r="S64" s="1463"/>
      <c r="T64" s="1463"/>
      <c r="U64" s="1470"/>
      <c r="V64" s="119"/>
      <c r="W64" s="138"/>
      <c r="X64" s="288"/>
      <c r="AJ64" s="560" t="b">
        <v>1</v>
      </c>
      <c r="AK64" s="156" t="s">
        <v>126</v>
      </c>
      <c r="AL64" s="89" t="str">
        <f t="shared" si="20"/>
        <v>England</v>
      </c>
      <c r="AM64" s="143">
        <f t="shared" si="22"/>
        <v>9.5870321005547066</v>
      </c>
      <c r="AN64" s="143">
        <f t="shared" si="22"/>
        <v>10.954024268061895</v>
      </c>
      <c r="AO64" s="143">
        <f t="shared" si="22"/>
        <v>12.387465741219994</v>
      </c>
      <c r="AP64" s="143">
        <f t="shared" si="22"/>
        <v>11.979438779809557</v>
      </c>
      <c r="AQ64" s="143">
        <f t="shared" si="22"/>
        <v>11.339568032389206</v>
      </c>
      <c r="AR64" s="144">
        <f t="shared" si="21"/>
        <v>17.084413405029373</v>
      </c>
      <c r="AS64" s="341"/>
      <c r="AT64" s="341"/>
      <c r="AU64" s="341"/>
      <c r="AV64" s="341"/>
      <c r="AW64" s="341"/>
    </row>
    <row r="65" spans="1:49" s="83" customFormat="1" ht="14.25" customHeight="1" x14ac:dyDescent="0.2">
      <c r="A65" s="120"/>
      <c r="B65" s="368"/>
      <c r="C65" s="368"/>
      <c r="D65" s="58"/>
      <c r="E65" s="58"/>
      <c r="F65" s="58"/>
      <c r="G65" s="58"/>
      <c r="H65" s="58"/>
      <c r="I65" s="58"/>
      <c r="J65" s="13"/>
      <c r="K65" s="9"/>
      <c r="L65" s="113"/>
      <c r="M65" s="1462" t="str">
        <f>AA4</f>
        <v>Selected LA- (none)</v>
      </c>
      <c r="N65" s="1463"/>
      <c r="O65" s="1463"/>
      <c r="P65" s="1463"/>
      <c r="Q65" s="112"/>
      <c r="R65" s="1466" t="s">
        <v>184</v>
      </c>
      <c r="S65" s="1466"/>
      <c r="T65" s="1466"/>
      <c r="U65" s="1467"/>
      <c r="V65" s="119"/>
      <c r="W65" s="138"/>
      <c r="X65" s="147"/>
      <c r="AK65" s="157"/>
      <c r="AL65" s="76" t="str">
        <f>AA4</f>
        <v>Selected LA- (none)</v>
      </c>
      <c r="AM65" s="145" t="e">
        <f>VLOOKUP($Z4,$B$10:$O$32,AM$37,FALSE)</f>
        <v>#N/A</v>
      </c>
      <c r="AN65" s="145" t="e">
        <f>VLOOKUP($Z4,$B$10:$O$32,AN$37,FALSE)</f>
        <v>#N/A</v>
      </c>
      <c r="AO65" s="145" t="e">
        <f>VLOOKUP($Z4,$B$10:$O$32,AO$37,FALSE)</f>
        <v>#N/A</v>
      </c>
      <c r="AP65" s="145" t="e">
        <f>VLOOKUP($Z4,$B$10:$O$32,AP$37,FALSE)</f>
        <v>#N/A</v>
      </c>
      <c r="AQ65" s="145" t="e">
        <f>VLOOKUP($Z4,$B$10:$O$32,AQ$37,FALSE)</f>
        <v>#N/A</v>
      </c>
      <c r="AR65" s="144" t="e">
        <f>VLOOKUP(Z4,$B$10:$U$33,$AR$37,FALSE)</f>
        <v>#N/A</v>
      </c>
      <c r="AS65" s="167"/>
      <c r="AT65" s="167"/>
      <c r="AU65" s="167"/>
      <c r="AV65" s="167"/>
      <c r="AW65" s="167"/>
    </row>
    <row r="66" spans="1:49" s="83" customFormat="1" ht="42" customHeight="1" x14ac:dyDescent="0.2">
      <c r="A66" s="120"/>
      <c r="B66" s="368"/>
      <c r="C66" s="368"/>
      <c r="D66" s="58"/>
      <c r="E66" s="58"/>
      <c r="F66" s="58"/>
      <c r="G66" s="58"/>
      <c r="H66" s="58"/>
      <c r="I66" s="58"/>
      <c r="J66" s="13"/>
      <c r="K66" s="9"/>
      <c r="L66" s="9"/>
      <c r="M66" s="9"/>
      <c r="N66" s="9"/>
      <c r="O66" s="9"/>
      <c r="P66" s="9"/>
      <c r="Q66" s="9"/>
      <c r="R66" s="9"/>
      <c r="S66" s="9"/>
      <c r="T66" s="9"/>
      <c r="U66" s="9"/>
      <c r="V66" s="119"/>
      <c r="W66" s="138"/>
      <c r="X66" s="147"/>
      <c r="AK66" s="157"/>
    </row>
    <row r="67" spans="1:49" s="89" customFormat="1" ht="41.25" customHeight="1" x14ac:dyDescent="0.2">
      <c r="A67" s="123"/>
      <c r="B67" s="111"/>
      <c r="C67" s="111"/>
      <c r="D67" s="111"/>
      <c r="E67" s="111"/>
      <c r="F67" s="111"/>
      <c r="G67" s="111"/>
      <c r="H67" s="111"/>
      <c r="I67" s="111"/>
      <c r="J67" s="98"/>
      <c r="K67" s="87"/>
      <c r="L67" s="87"/>
      <c r="M67" s="87"/>
      <c r="N67" s="87"/>
      <c r="O67" s="87"/>
      <c r="P67" s="87"/>
      <c r="Q67" s="87"/>
      <c r="R67" s="87"/>
      <c r="S67" s="87"/>
      <c r="T67" s="87"/>
      <c r="U67" s="87"/>
      <c r="V67" s="124"/>
      <c r="W67" s="140"/>
      <c r="X67" s="149"/>
      <c r="AE67" s="185"/>
      <c r="AF67" s="185"/>
      <c r="AG67" s="185"/>
      <c r="AH67" s="185"/>
      <c r="AI67" s="185"/>
      <c r="AJ67" s="199"/>
      <c r="AK67" s="156"/>
    </row>
    <row r="68" spans="1:49" s="89" customFormat="1" ht="42.75" customHeight="1" x14ac:dyDescent="0.2">
      <c r="A68" s="123"/>
      <c r="B68" s="111"/>
      <c r="C68" s="111"/>
      <c r="D68" s="111"/>
      <c r="E68" s="111"/>
      <c r="F68" s="111"/>
      <c r="G68" s="111"/>
      <c r="H68" s="111"/>
      <c r="I68" s="111"/>
      <c r="J68" s="98"/>
      <c r="K68" s="87"/>
      <c r="L68" s="87"/>
      <c r="M68" s="87"/>
      <c r="N68" s="87"/>
      <c r="O68" s="87"/>
      <c r="P68" s="87"/>
      <c r="Q68" s="87"/>
      <c r="R68" s="87"/>
      <c r="S68" s="87"/>
      <c r="T68" s="87"/>
      <c r="U68" s="87"/>
      <c r="V68" s="124"/>
      <c r="W68" s="140"/>
      <c r="X68" s="364"/>
      <c r="AE68" s="185"/>
      <c r="AF68" s="185"/>
      <c r="AG68" s="185"/>
      <c r="AH68" s="185"/>
      <c r="AI68" s="185"/>
      <c r="AJ68" s="199"/>
      <c r="AK68" s="156"/>
    </row>
    <row r="69" spans="1:49" ht="7.5" customHeight="1" x14ac:dyDescent="0.2">
      <c r="A69" s="120"/>
      <c r="B69" s="18"/>
      <c r="C69" s="18"/>
      <c r="D69" s="17"/>
      <c r="E69" s="17"/>
      <c r="F69" s="17"/>
      <c r="G69" s="17"/>
      <c r="H69" s="17"/>
      <c r="I69" s="17"/>
      <c r="J69" s="13"/>
      <c r="K69" s="19"/>
      <c r="L69" s="19"/>
      <c r="M69" s="19"/>
      <c r="N69" s="19"/>
      <c r="O69" s="19"/>
      <c r="P69" s="19"/>
      <c r="Q69" s="19"/>
      <c r="R69" s="19"/>
      <c r="S69" s="19"/>
      <c r="T69" s="19"/>
      <c r="U69" s="20"/>
      <c r="V69" s="119"/>
      <c r="W69" s="138"/>
      <c r="X69" s="147"/>
      <c r="Y69" s="89"/>
      <c r="Z69" s="89"/>
      <c r="AA69" s="89"/>
      <c r="AB69" s="89"/>
      <c r="AC69" s="89"/>
      <c r="AJ69" s="179"/>
      <c r="AK69" s="153"/>
    </row>
    <row r="70" spans="1:49"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1"/>
      <c r="V70" s="1422"/>
      <c r="W70" s="138"/>
      <c r="X70" s="147"/>
      <c r="Y70" s="89"/>
      <c r="Z70" s="89"/>
      <c r="AA70" s="89"/>
      <c r="AB70" s="89"/>
      <c r="AC70" s="89"/>
      <c r="AJ70" s="179"/>
      <c r="AK70" s="153"/>
    </row>
    <row r="71" spans="1:49"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0"/>
      <c r="J71" s="1429"/>
      <c r="K71" s="1429"/>
      <c r="L71" s="1429"/>
      <c r="M71" s="1429"/>
      <c r="N71" s="1429"/>
      <c r="O71" s="1429"/>
      <c r="P71" s="1431"/>
      <c r="Q71" s="1429"/>
      <c r="R71" s="1429"/>
      <c r="S71" s="1429"/>
      <c r="T71" s="1430"/>
      <c r="U71" s="1429"/>
      <c r="V71" s="1432"/>
      <c r="W71" s="138"/>
      <c r="X71" s="147"/>
      <c r="Y71" s="89"/>
      <c r="Z71" s="89"/>
      <c r="AA71" s="89"/>
      <c r="AB71" s="89"/>
      <c r="AC71" s="89"/>
      <c r="AJ71" s="179"/>
      <c r="AK71" s="153"/>
    </row>
    <row r="72" spans="1:49" ht="11.25" customHeight="1" x14ac:dyDescent="0.2">
      <c r="A72" s="114"/>
      <c r="B72" s="115"/>
      <c r="C72" s="115"/>
      <c r="D72" s="115"/>
      <c r="E72" s="115"/>
      <c r="F72" s="115"/>
      <c r="G72" s="115"/>
      <c r="H72" s="115"/>
      <c r="I72" s="115"/>
      <c r="J72" s="116"/>
      <c r="K72" s="115"/>
      <c r="L72" s="115"/>
      <c r="M72" s="115"/>
      <c r="N72" s="115"/>
      <c r="O72" s="115"/>
      <c r="P72" s="115"/>
      <c r="Q72" s="115"/>
      <c r="R72" s="115"/>
      <c r="S72" s="115"/>
      <c r="T72" s="115"/>
      <c r="U72" s="115"/>
      <c r="V72" s="117"/>
      <c r="W72" s="138"/>
      <c r="X72" s="147"/>
      <c r="Y72" s="183"/>
      <c r="Z72" s="183"/>
      <c r="AA72" s="183"/>
      <c r="AJ72" s="179"/>
      <c r="AK72" s="153"/>
    </row>
    <row r="73" spans="1:49" s="78" customFormat="1" ht="15" customHeight="1" x14ac:dyDescent="0.2">
      <c r="A73" s="121"/>
      <c r="B73" s="59"/>
      <c r="C73" s="367"/>
      <c r="D73" s="367"/>
      <c r="E73" s="367"/>
      <c r="F73" s="367"/>
      <c r="G73" s="367"/>
      <c r="H73" s="367"/>
      <c r="I73" s="367"/>
      <c r="J73" s="69"/>
      <c r="K73" s="69"/>
      <c r="L73" s="69"/>
      <c r="M73" s="69"/>
      <c r="N73" s="366"/>
      <c r="O73" s="69"/>
      <c r="P73" s="69"/>
      <c r="Q73" s="69"/>
      <c r="R73" s="69"/>
      <c r="S73" s="69"/>
      <c r="T73" s="69"/>
      <c r="U73" s="69"/>
      <c r="V73" s="122"/>
      <c r="W73" s="139"/>
      <c r="X73" s="148"/>
      <c r="Y73" s="183"/>
      <c r="Z73" s="183"/>
      <c r="AA73" s="183"/>
      <c r="AB73" s="183"/>
      <c r="AC73" s="183"/>
      <c r="AD73" s="183"/>
      <c r="AE73" s="183"/>
      <c r="AF73" s="183"/>
      <c r="AG73" s="183"/>
      <c r="AH73" s="183"/>
      <c r="AI73" s="183"/>
      <c r="AJ73" s="183"/>
      <c r="AK73" s="154"/>
    </row>
    <row r="74" spans="1:49" ht="13.5" customHeight="1" x14ac:dyDescent="0.2">
      <c r="A74" s="120"/>
      <c r="B74" s="367"/>
      <c r="C74" s="367"/>
      <c r="D74" s="367"/>
      <c r="E74" s="367"/>
      <c r="F74" s="367"/>
      <c r="G74" s="367"/>
      <c r="H74" s="367"/>
      <c r="I74" s="367"/>
      <c r="J74" s="69"/>
      <c r="K74" s="69"/>
      <c r="L74" s="69"/>
      <c r="M74" s="69"/>
      <c r="N74" s="366"/>
      <c r="O74" s="69"/>
      <c r="P74" s="69"/>
      <c r="Q74" s="69"/>
      <c r="R74" s="10"/>
      <c r="S74" s="69"/>
      <c r="T74" s="69"/>
      <c r="U74" s="69"/>
      <c r="V74" s="119"/>
      <c r="W74" s="138"/>
      <c r="X74" s="147"/>
      <c r="Y74" s="183"/>
      <c r="Z74" s="183"/>
      <c r="AA74" s="191"/>
      <c r="AB74" s="191"/>
      <c r="AC74" s="192"/>
      <c r="AD74" s="192"/>
      <c r="AJ74" s="179"/>
      <c r="AK74" s="153"/>
    </row>
    <row r="75" spans="1:49" s="89" customFormat="1" ht="12" customHeight="1" x14ac:dyDescent="0.2">
      <c r="A75" s="123"/>
      <c r="B75" s="367"/>
      <c r="C75" s="367"/>
      <c r="D75" s="367"/>
      <c r="E75" s="367"/>
      <c r="F75" s="367"/>
      <c r="G75" s="367"/>
      <c r="H75" s="367"/>
      <c r="I75" s="98"/>
      <c r="J75" s="98"/>
      <c r="K75" s="61"/>
      <c r="L75" s="61"/>
      <c r="M75" s="61"/>
      <c r="N75" s="61"/>
      <c r="O75" s="61"/>
      <c r="P75" s="61"/>
      <c r="Q75" s="372"/>
      <c r="R75" s="372"/>
      <c r="S75" s="155"/>
      <c r="T75" s="155"/>
      <c r="U75" s="371"/>
      <c r="V75" s="124"/>
      <c r="W75" s="140"/>
      <c r="X75" s="149"/>
      <c r="Y75" s="183"/>
      <c r="Z75" s="183"/>
      <c r="AA75" s="191"/>
      <c r="AB75" s="191"/>
      <c r="AC75" s="192"/>
      <c r="AD75" s="192"/>
      <c r="AE75" s="194"/>
      <c r="AF75" s="185"/>
      <c r="AG75" s="185"/>
      <c r="AH75" s="185"/>
      <c r="AI75" s="185"/>
      <c r="AJ75" s="199"/>
      <c r="AK75" s="156"/>
    </row>
    <row r="76" spans="1:49" s="89" customFormat="1" ht="24" customHeight="1" x14ac:dyDescent="0.2">
      <c r="A76" s="123"/>
      <c r="B76" s="367"/>
      <c r="C76" s="367"/>
      <c r="D76" s="367"/>
      <c r="E76" s="367"/>
      <c r="F76" s="367"/>
      <c r="G76" s="367"/>
      <c r="H76" s="367"/>
      <c r="I76" s="98"/>
      <c r="J76" s="98"/>
      <c r="K76" s="162"/>
      <c r="L76" s="162"/>
      <c r="M76" s="162"/>
      <c r="N76" s="162"/>
      <c r="O76" s="162"/>
      <c r="P76" s="162"/>
      <c r="Q76" s="162"/>
      <c r="R76" s="163"/>
      <c r="S76" s="155"/>
      <c r="T76" s="155"/>
      <c r="U76" s="162"/>
      <c r="V76" s="124"/>
      <c r="W76" s="140"/>
      <c r="X76" s="149"/>
      <c r="Y76" s="741"/>
      <c r="Z76" s="347" t="s">
        <v>129</v>
      </c>
      <c r="AA76" s="347" t="s">
        <v>130</v>
      </c>
      <c r="AB76" s="191"/>
      <c r="AC76" s="192"/>
      <c r="AD76" s="192"/>
      <c r="AE76" s="194"/>
      <c r="AF76" s="185"/>
      <c r="AG76" s="185"/>
      <c r="AH76" s="185"/>
      <c r="AI76" s="185"/>
      <c r="AJ76" s="199"/>
      <c r="AK76" s="156"/>
    </row>
    <row r="77" spans="1:49" s="89" customFormat="1" ht="12.75" customHeight="1" x14ac:dyDescent="0.2">
      <c r="A77" s="123"/>
      <c r="B77" s="367"/>
      <c r="C77" s="367"/>
      <c r="D77" s="367"/>
      <c r="E77" s="367"/>
      <c r="F77" s="367"/>
      <c r="G77" s="367"/>
      <c r="H77" s="367"/>
      <c r="I77" s="98"/>
      <c r="J77" s="98"/>
      <c r="K77" s="162"/>
      <c r="L77" s="162"/>
      <c r="M77" s="162"/>
      <c r="N77" s="162"/>
      <c r="O77" s="162"/>
      <c r="P77" s="162"/>
      <c r="Q77" s="162"/>
      <c r="R77" s="163"/>
      <c r="S77" s="155"/>
      <c r="T77" s="155"/>
      <c r="U77" s="162"/>
      <c r="V77" s="124"/>
      <c r="W77" s="140"/>
      <c r="X77" s="149"/>
      <c r="Y77" s="551" t="str">
        <f>B10</f>
        <v>Bracknell Forest</v>
      </c>
      <c r="Z77" s="349" t="e">
        <f>IF(Y77=$Z$4,I10,#N/A)</f>
        <v>#N/A</v>
      </c>
      <c r="AA77" s="349" t="e">
        <f>IF(Y77=$Z$4,U10,#N/A)</f>
        <v>#N/A</v>
      </c>
      <c r="AB77" s="191"/>
      <c r="AC77" s="192"/>
      <c r="AD77" s="192"/>
      <c r="AE77" s="194"/>
      <c r="AF77" s="185"/>
      <c r="AG77" s="185"/>
      <c r="AH77" s="185"/>
      <c r="AI77" s="185"/>
      <c r="AJ77" s="199"/>
      <c r="AK77" s="156"/>
    </row>
    <row r="78" spans="1:49" s="89" customFormat="1" ht="12.75" customHeight="1" x14ac:dyDescent="0.2">
      <c r="A78" s="123"/>
      <c r="B78" s="367"/>
      <c r="C78" s="367"/>
      <c r="D78" s="367"/>
      <c r="E78" s="367"/>
      <c r="F78" s="367"/>
      <c r="G78" s="367"/>
      <c r="H78" s="367"/>
      <c r="I78" s="98"/>
      <c r="J78" s="98"/>
      <c r="K78" s="162"/>
      <c r="L78" s="162"/>
      <c r="M78" s="162"/>
      <c r="N78" s="162"/>
      <c r="O78" s="162"/>
      <c r="P78" s="162"/>
      <c r="Q78" s="162"/>
      <c r="R78" s="163"/>
      <c r="S78" s="155"/>
      <c r="T78" s="155"/>
      <c r="U78" s="162"/>
      <c r="V78" s="124"/>
      <c r="W78" s="140"/>
      <c r="X78" s="149"/>
      <c r="Y78" s="551" t="str">
        <f t="shared" ref="Y78:Y98" si="23">B11</f>
        <v>Brighton &amp; Hove</v>
      </c>
      <c r="Z78" s="349" t="e">
        <f t="shared" ref="Z78:Z100" si="24">IF(Y78=$Z$4,I11,#N/A)</f>
        <v>#N/A</v>
      </c>
      <c r="AA78" s="349" t="e">
        <f t="shared" ref="AA78:AA100" si="25">IF(Y78=$Z$4,U11,#N/A)</f>
        <v>#N/A</v>
      </c>
      <c r="AB78" s="191"/>
      <c r="AC78" s="192"/>
      <c r="AD78" s="192"/>
      <c r="AE78" s="194"/>
      <c r="AF78" s="185"/>
      <c r="AG78" s="185"/>
      <c r="AH78" s="185"/>
      <c r="AI78" s="185"/>
      <c r="AJ78" s="199"/>
      <c r="AK78" s="156"/>
    </row>
    <row r="79" spans="1:49" s="89" customFormat="1" ht="12.75" customHeight="1" x14ac:dyDescent="0.2">
      <c r="A79" s="123"/>
      <c r="B79" s="367"/>
      <c r="C79" s="367"/>
      <c r="D79" s="367"/>
      <c r="E79" s="367"/>
      <c r="F79" s="367"/>
      <c r="G79" s="367"/>
      <c r="H79" s="367"/>
      <c r="I79" s="98"/>
      <c r="J79" s="98"/>
      <c r="K79" s="162"/>
      <c r="L79" s="162"/>
      <c r="M79" s="162"/>
      <c r="N79" s="162"/>
      <c r="O79" s="162"/>
      <c r="P79" s="162"/>
      <c r="Q79" s="162"/>
      <c r="R79" s="163"/>
      <c r="S79" s="155"/>
      <c r="T79" s="155"/>
      <c r="U79" s="162"/>
      <c r="V79" s="124"/>
      <c r="W79" s="140"/>
      <c r="X79" s="149"/>
      <c r="Y79" s="551" t="str">
        <f t="shared" si="23"/>
        <v>Buckinghamshire</v>
      </c>
      <c r="Z79" s="349" t="e">
        <f t="shared" si="24"/>
        <v>#N/A</v>
      </c>
      <c r="AA79" s="349" t="e">
        <f t="shared" si="25"/>
        <v>#N/A</v>
      </c>
      <c r="AB79" s="191"/>
      <c r="AC79" s="192"/>
      <c r="AD79" s="192"/>
      <c r="AE79" s="194"/>
      <c r="AF79" s="185"/>
      <c r="AG79" s="185"/>
      <c r="AH79" s="185"/>
      <c r="AI79" s="185"/>
      <c r="AJ79" s="199"/>
      <c r="AK79" s="156"/>
    </row>
    <row r="80" spans="1:49" s="89" customFormat="1" ht="12.75" customHeight="1" x14ac:dyDescent="0.2">
      <c r="A80" s="123"/>
      <c r="B80" s="367"/>
      <c r="C80" s="367"/>
      <c r="D80" s="367"/>
      <c r="E80" s="367"/>
      <c r="F80" s="367"/>
      <c r="G80" s="367"/>
      <c r="H80" s="367"/>
      <c r="I80" s="98"/>
      <c r="J80" s="98"/>
      <c r="K80" s="162"/>
      <c r="L80" s="162"/>
      <c r="M80" s="162"/>
      <c r="N80" s="162"/>
      <c r="O80" s="162"/>
      <c r="P80" s="162"/>
      <c r="Q80" s="162"/>
      <c r="R80" s="163"/>
      <c r="S80" s="155"/>
      <c r="T80" s="155"/>
      <c r="U80" s="162"/>
      <c r="V80" s="124"/>
      <c r="W80" s="140"/>
      <c r="X80" s="149"/>
      <c r="Y80" s="551" t="str">
        <f t="shared" si="23"/>
        <v>East Sussex</v>
      </c>
      <c r="Z80" s="349" t="e">
        <f t="shared" si="24"/>
        <v>#N/A</v>
      </c>
      <c r="AA80" s="349" t="e">
        <f t="shared" si="25"/>
        <v>#N/A</v>
      </c>
      <c r="AB80" s="191"/>
      <c r="AC80" s="192"/>
      <c r="AD80" s="192"/>
      <c r="AE80" s="194"/>
      <c r="AF80" s="185"/>
      <c r="AG80" s="185"/>
      <c r="AH80" s="185"/>
      <c r="AI80" s="185"/>
      <c r="AJ80" s="199"/>
      <c r="AK80" s="156"/>
    </row>
    <row r="81" spans="1:45" s="89" customFormat="1" ht="12.75" customHeight="1" x14ac:dyDescent="0.2">
      <c r="A81" s="123"/>
      <c r="B81" s="367"/>
      <c r="C81" s="367"/>
      <c r="D81" s="367"/>
      <c r="E81" s="367"/>
      <c r="F81" s="367"/>
      <c r="G81" s="367"/>
      <c r="H81" s="367"/>
      <c r="I81" s="98"/>
      <c r="J81" s="98"/>
      <c r="K81" s="162"/>
      <c r="L81" s="162"/>
      <c r="M81" s="162"/>
      <c r="N81" s="162"/>
      <c r="O81" s="162"/>
      <c r="P81" s="162"/>
      <c r="Q81" s="162"/>
      <c r="R81" s="163"/>
      <c r="S81" s="155"/>
      <c r="T81" s="155"/>
      <c r="U81" s="162"/>
      <c r="V81" s="124"/>
      <c r="W81" s="140"/>
      <c r="X81" s="149"/>
      <c r="Y81" s="551" t="str">
        <f t="shared" si="23"/>
        <v>Hampshire</v>
      </c>
      <c r="Z81" s="349" t="e">
        <f t="shared" si="24"/>
        <v>#N/A</v>
      </c>
      <c r="AA81" s="349" t="e">
        <f t="shared" si="25"/>
        <v>#N/A</v>
      </c>
      <c r="AB81" s="191"/>
      <c r="AC81" s="192"/>
      <c r="AD81" s="192"/>
      <c r="AE81" s="194"/>
      <c r="AF81" s="185"/>
      <c r="AG81" s="185"/>
      <c r="AH81" s="185"/>
      <c r="AI81" s="185"/>
      <c r="AJ81" s="199"/>
      <c r="AK81" s="156"/>
      <c r="AS81" s="89" t="s">
        <v>103</v>
      </c>
    </row>
    <row r="82" spans="1:45" s="89" customFormat="1" ht="12.75" customHeight="1" x14ac:dyDescent="0.2">
      <c r="A82" s="123"/>
      <c r="B82" s="367"/>
      <c r="C82" s="367"/>
      <c r="D82" s="367"/>
      <c r="E82" s="367"/>
      <c r="F82" s="367"/>
      <c r="G82" s="367"/>
      <c r="H82" s="367"/>
      <c r="I82" s="98"/>
      <c r="J82" s="98"/>
      <c r="K82" s="162"/>
      <c r="L82" s="162"/>
      <c r="M82" s="162"/>
      <c r="N82" s="162"/>
      <c r="O82" s="162"/>
      <c r="P82" s="162"/>
      <c r="Q82" s="162"/>
      <c r="R82" s="163"/>
      <c r="S82" s="155"/>
      <c r="T82" s="155"/>
      <c r="U82" s="162"/>
      <c r="V82" s="124"/>
      <c r="W82" s="140"/>
      <c r="X82" s="149"/>
      <c r="Y82" s="551" t="str">
        <f t="shared" si="23"/>
        <v>Isle of Wight</v>
      </c>
      <c r="Z82" s="349" t="e">
        <f t="shared" si="24"/>
        <v>#N/A</v>
      </c>
      <c r="AA82" s="349" t="e">
        <f t="shared" si="25"/>
        <v>#N/A</v>
      </c>
      <c r="AB82" s="191"/>
      <c r="AC82" s="192"/>
      <c r="AD82" s="192"/>
      <c r="AE82" s="194"/>
      <c r="AF82" s="185"/>
      <c r="AG82" s="185"/>
      <c r="AH82" s="185"/>
      <c r="AI82" s="185"/>
      <c r="AJ82" s="199"/>
      <c r="AK82" s="156"/>
    </row>
    <row r="83" spans="1:45" s="89" customFormat="1" ht="12.75" customHeight="1" x14ac:dyDescent="0.2">
      <c r="A83" s="123"/>
      <c r="B83" s="367"/>
      <c r="C83" s="367"/>
      <c r="D83" s="367"/>
      <c r="E83" s="367"/>
      <c r="F83" s="367"/>
      <c r="G83" s="367"/>
      <c r="H83" s="367"/>
      <c r="I83" s="98"/>
      <c r="J83" s="98"/>
      <c r="K83" s="162"/>
      <c r="L83" s="162"/>
      <c r="M83" s="162"/>
      <c r="N83" s="162"/>
      <c r="O83" s="162"/>
      <c r="P83" s="162"/>
      <c r="Q83" s="162"/>
      <c r="R83" s="163"/>
      <c r="S83" s="155"/>
      <c r="T83" s="155"/>
      <c r="U83" s="162"/>
      <c r="V83" s="124"/>
      <c r="W83" s="140"/>
      <c r="X83" s="149"/>
      <c r="Y83" s="551" t="str">
        <f t="shared" si="23"/>
        <v>Kent</v>
      </c>
      <c r="Z83" s="349" t="e">
        <f t="shared" si="24"/>
        <v>#N/A</v>
      </c>
      <c r="AA83" s="349" t="e">
        <f t="shared" si="25"/>
        <v>#N/A</v>
      </c>
      <c r="AB83" s="191"/>
      <c r="AC83" s="192"/>
      <c r="AD83" s="192"/>
      <c r="AE83" s="194"/>
      <c r="AF83" s="185"/>
      <c r="AG83" s="185"/>
      <c r="AH83" s="185"/>
      <c r="AI83" s="185"/>
      <c r="AJ83" s="199"/>
      <c r="AK83" s="156"/>
    </row>
    <row r="84" spans="1:45" s="89" customFormat="1" ht="12.75" customHeight="1" x14ac:dyDescent="0.2">
      <c r="A84" s="123"/>
      <c r="B84" s="367"/>
      <c r="C84" s="367"/>
      <c r="D84" s="367"/>
      <c r="E84" s="367"/>
      <c r="F84" s="367"/>
      <c r="G84" s="367"/>
      <c r="H84" s="367"/>
      <c r="I84" s="98"/>
      <c r="J84" s="98"/>
      <c r="K84" s="162"/>
      <c r="L84" s="162"/>
      <c r="M84" s="162"/>
      <c r="N84" s="162"/>
      <c r="O84" s="162"/>
      <c r="P84" s="162"/>
      <c r="Q84" s="162"/>
      <c r="R84" s="163"/>
      <c r="S84" s="155"/>
      <c r="T84" s="155"/>
      <c r="U84" s="162"/>
      <c r="V84" s="124"/>
      <c r="W84" s="140"/>
      <c r="X84" s="149"/>
      <c r="Y84" s="551" t="str">
        <f t="shared" si="23"/>
        <v>Medway</v>
      </c>
      <c r="Z84" s="349" t="e">
        <f t="shared" si="24"/>
        <v>#N/A</v>
      </c>
      <c r="AA84" s="349" t="e">
        <f t="shared" si="25"/>
        <v>#N/A</v>
      </c>
      <c r="AB84" s="191"/>
      <c r="AC84" s="192"/>
      <c r="AD84" s="192"/>
      <c r="AE84" s="194"/>
      <c r="AF84" s="185"/>
      <c r="AG84" s="185"/>
      <c r="AH84" s="185"/>
      <c r="AI84" s="185"/>
      <c r="AJ84" s="199"/>
      <c r="AK84" s="156"/>
    </row>
    <row r="85" spans="1:45" s="89" customFormat="1" ht="12.75" customHeight="1" x14ac:dyDescent="0.2">
      <c r="A85" s="123"/>
      <c r="B85" s="367"/>
      <c r="C85" s="367"/>
      <c r="D85" s="367"/>
      <c r="E85" s="367"/>
      <c r="F85" s="367"/>
      <c r="G85" s="367"/>
      <c r="H85" s="367"/>
      <c r="I85" s="98"/>
      <c r="J85" s="98"/>
      <c r="K85" s="162"/>
      <c r="L85" s="162"/>
      <c r="M85" s="162"/>
      <c r="N85" s="162"/>
      <c r="O85" s="162"/>
      <c r="P85" s="162"/>
      <c r="Q85" s="162"/>
      <c r="R85" s="163"/>
      <c r="S85" s="155"/>
      <c r="T85" s="155"/>
      <c r="U85" s="162"/>
      <c r="V85" s="124"/>
      <c r="W85" s="140"/>
      <c r="X85" s="149"/>
      <c r="Y85" s="551" t="str">
        <f t="shared" si="23"/>
        <v>Milton Keynes</v>
      </c>
      <c r="Z85" s="349" t="e">
        <f t="shared" si="24"/>
        <v>#N/A</v>
      </c>
      <c r="AA85" s="349" t="e">
        <f t="shared" si="25"/>
        <v>#N/A</v>
      </c>
      <c r="AB85" s="191"/>
      <c r="AC85" s="192"/>
      <c r="AD85" s="192"/>
      <c r="AE85" s="194"/>
      <c r="AF85" s="185"/>
      <c r="AG85" s="185"/>
      <c r="AH85" s="185"/>
      <c r="AI85" s="185"/>
      <c r="AJ85" s="199"/>
      <c r="AK85" s="156"/>
    </row>
    <row r="86" spans="1:45" s="89" customFormat="1" ht="12.75" customHeight="1" x14ac:dyDescent="0.2">
      <c r="A86" s="123"/>
      <c r="B86" s="367"/>
      <c r="C86" s="367"/>
      <c r="D86" s="367"/>
      <c r="E86" s="367"/>
      <c r="F86" s="367"/>
      <c r="G86" s="367"/>
      <c r="H86" s="367"/>
      <c r="I86" s="98"/>
      <c r="J86" s="98"/>
      <c r="K86" s="162"/>
      <c r="L86" s="162"/>
      <c r="M86" s="162"/>
      <c r="N86" s="162"/>
      <c r="O86" s="162"/>
      <c r="P86" s="162"/>
      <c r="Q86" s="162"/>
      <c r="R86" s="163"/>
      <c r="S86" s="155"/>
      <c r="T86" s="155"/>
      <c r="U86" s="162"/>
      <c r="V86" s="124"/>
      <c r="W86" s="140"/>
      <c r="X86" s="149"/>
      <c r="Y86" s="551" t="str">
        <f t="shared" si="23"/>
        <v>Oxfordshire</v>
      </c>
      <c r="Z86" s="349" t="e">
        <f t="shared" si="24"/>
        <v>#N/A</v>
      </c>
      <c r="AA86" s="349" t="e">
        <f t="shared" si="25"/>
        <v>#N/A</v>
      </c>
      <c r="AB86" s="191"/>
      <c r="AC86" s="192"/>
      <c r="AD86" s="192"/>
      <c r="AE86" s="194"/>
      <c r="AF86" s="185"/>
      <c r="AG86" s="185"/>
      <c r="AH86" s="185"/>
      <c r="AI86" s="185"/>
      <c r="AJ86" s="199"/>
      <c r="AK86" s="156"/>
    </row>
    <row r="87" spans="1:45" s="89" customFormat="1" ht="12.75" customHeight="1" x14ac:dyDescent="0.2">
      <c r="A87" s="123"/>
      <c r="B87" s="367"/>
      <c r="C87" s="367"/>
      <c r="D87" s="367"/>
      <c r="E87" s="367"/>
      <c r="F87" s="367"/>
      <c r="G87" s="367"/>
      <c r="H87" s="367"/>
      <c r="I87" s="98"/>
      <c r="J87" s="98"/>
      <c r="K87" s="162"/>
      <c r="L87" s="162"/>
      <c r="M87" s="162"/>
      <c r="N87" s="162"/>
      <c r="O87" s="162"/>
      <c r="P87" s="162"/>
      <c r="Q87" s="162"/>
      <c r="R87" s="163"/>
      <c r="S87" s="155"/>
      <c r="T87" s="155"/>
      <c r="U87" s="162"/>
      <c r="V87" s="124"/>
      <c r="W87" s="140"/>
      <c r="X87" s="149"/>
      <c r="Y87" s="551" t="str">
        <f t="shared" si="23"/>
        <v>Portsmouth</v>
      </c>
      <c r="Z87" s="349" t="e">
        <f t="shared" si="24"/>
        <v>#N/A</v>
      </c>
      <c r="AA87" s="349" t="e">
        <f t="shared" si="25"/>
        <v>#N/A</v>
      </c>
      <c r="AB87" s="191"/>
      <c r="AC87" s="192"/>
      <c r="AD87" s="192"/>
      <c r="AE87" s="194"/>
      <c r="AF87" s="185"/>
      <c r="AG87" s="185"/>
      <c r="AH87" s="185"/>
      <c r="AI87" s="185"/>
      <c r="AJ87" s="199"/>
      <c r="AK87" s="156"/>
    </row>
    <row r="88" spans="1:45" s="89" customFormat="1" ht="12.75" customHeight="1" x14ac:dyDescent="0.2">
      <c r="A88" s="123"/>
      <c r="B88" s="367"/>
      <c r="C88" s="367"/>
      <c r="D88" s="367"/>
      <c r="E88" s="367"/>
      <c r="F88" s="367"/>
      <c r="G88" s="367"/>
      <c r="H88" s="367"/>
      <c r="I88" s="98"/>
      <c r="J88" s="98"/>
      <c r="K88" s="162"/>
      <c r="L88" s="162"/>
      <c r="M88" s="162"/>
      <c r="N88" s="162"/>
      <c r="O88" s="162"/>
      <c r="P88" s="162"/>
      <c r="Q88" s="162"/>
      <c r="R88" s="163"/>
      <c r="S88" s="155"/>
      <c r="T88" s="155"/>
      <c r="U88" s="162"/>
      <c r="V88" s="124"/>
      <c r="W88" s="140"/>
      <c r="X88" s="149"/>
      <c r="Y88" s="551" t="str">
        <f t="shared" si="23"/>
        <v>Reading</v>
      </c>
      <c r="Z88" s="349" t="e">
        <f t="shared" si="24"/>
        <v>#N/A</v>
      </c>
      <c r="AA88" s="349" t="e">
        <f t="shared" si="25"/>
        <v>#N/A</v>
      </c>
      <c r="AB88" s="191"/>
      <c r="AC88" s="192"/>
      <c r="AD88" s="192"/>
      <c r="AE88" s="194"/>
      <c r="AF88" s="185"/>
      <c r="AG88" s="185"/>
      <c r="AH88" s="185"/>
      <c r="AI88" s="185"/>
      <c r="AJ88" s="199"/>
      <c r="AK88" s="156"/>
    </row>
    <row r="89" spans="1:45" s="89" customFormat="1" ht="12.75" customHeight="1" x14ac:dyDescent="0.2">
      <c r="A89" s="123"/>
      <c r="B89" s="367"/>
      <c r="C89" s="367"/>
      <c r="D89" s="367"/>
      <c r="E89" s="367"/>
      <c r="F89" s="367"/>
      <c r="G89" s="367"/>
      <c r="H89" s="367"/>
      <c r="I89" s="98"/>
      <c r="J89" s="98"/>
      <c r="K89" s="162"/>
      <c r="L89" s="162"/>
      <c r="M89" s="162"/>
      <c r="N89" s="162"/>
      <c r="O89" s="162"/>
      <c r="P89" s="162"/>
      <c r="Q89" s="162"/>
      <c r="R89" s="163"/>
      <c r="S89" s="155"/>
      <c r="T89" s="155"/>
      <c r="U89" s="162"/>
      <c r="V89" s="124"/>
      <c r="W89" s="140"/>
      <c r="X89" s="149"/>
      <c r="Y89" s="551" t="str">
        <f t="shared" si="23"/>
        <v>Slough</v>
      </c>
      <c r="Z89" s="349" t="e">
        <f t="shared" si="24"/>
        <v>#N/A</v>
      </c>
      <c r="AA89" s="349" t="e">
        <f t="shared" si="25"/>
        <v>#N/A</v>
      </c>
      <c r="AB89" s="191"/>
      <c r="AC89" s="192"/>
      <c r="AD89" s="192"/>
      <c r="AE89" s="194"/>
      <c r="AF89" s="185"/>
      <c r="AG89" s="185"/>
      <c r="AH89" s="185"/>
      <c r="AI89" s="185"/>
      <c r="AJ89" s="199"/>
      <c r="AK89" s="156"/>
    </row>
    <row r="90" spans="1:45" s="89" customFormat="1" ht="12.75" customHeight="1" x14ac:dyDescent="0.2">
      <c r="A90" s="123"/>
      <c r="B90" s="367"/>
      <c r="C90" s="367"/>
      <c r="D90" s="367"/>
      <c r="E90" s="367"/>
      <c r="F90" s="367"/>
      <c r="G90" s="367"/>
      <c r="H90" s="367"/>
      <c r="I90" s="98"/>
      <c r="J90" s="98"/>
      <c r="K90" s="162"/>
      <c r="L90" s="162"/>
      <c r="M90" s="162"/>
      <c r="N90" s="162"/>
      <c r="O90" s="162"/>
      <c r="P90" s="162"/>
      <c r="Q90" s="162"/>
      <c r="R90" s="163"/>
      <c r="S90" s="155"/>
      <c r="T90" s="155"/>
      <c r="U90" s="162"/>
      <c r="V90" s="124"/>
      <c r="W90" s="140"/>
      <c r="X90" s="149"/>
      <c r="Y90" s="551" t="str">
        <f t="shared" si="23"/>
        <v>Somerset</v>
      </c>
      <c r="Z90" s="349" t="e">
        <f t="shared" si="24"/>
        <v>#N/A</v>
      </c>
      <c r="AA90" s="349" t="e">
        <f t="shared" si="25"/>
        <v>#N/A</v>
      </c>
      <c r="AB90" s="191"/>
      <c r="AC90" s="192"/>
      <c r="AD90" s="192"/>
      <c r="AE90" s="194"/>
      <c r="AF90" s="185"/>
      <c r="AG90" s="185"/>
      <c r="AH90" s="185"/>
      <c r="AI90" s="185"/>
      <c r="AJ90" s="199"/>
      <c r="AK90" s="156"/>
    </row>
    <row r="91" spans="1:45" s="89" customFormat="1" ht="12.75" customHeight="1" x14ac:dyDescent="0.2">
      <c r="A91" s="123"/>
      <c r="B91" s="367"/>
      <c r="C91" s="367"/>
      <c r="D91" s="367"/>
      <c r="E91" s="367"/>
      <c r="F91" s="367"/>
      <c r="G91" s="367"/>
      <c r="H91" s="367"/>
      <c r="I91" s="98"/>
      <c r="J91" s="98"/>
      <c r="K91" s="162"/>
      <c r="L91" s="162"/>
      <c r="M91" s="162"/>
      <c r="N91" s="162"/>
      <c r="O91" s="162"/>
      <c r="P91" s="162"/>
      <c r="Q91" s="162"/>
      <c r="R91" s="163"/>
      <c r="S91" s="155"/>
      <c r="T91" s="155"/>
      <c r="U91" s="162"/>
      <c r="V91" s="124"/>
      <c r="W91" s="140"/>
      <c r="X91" s="149"/>
      <c r="Y91" s="551" t="str">
        <f t="shared" si="23"/>
        <v>Southampton</v>
      </c>
      <c r="Z91" s="349" t="e">
        <f t="shared" si="24"/>
        <v>#N/A</v>
      </c>
      <c r="AA91" s="349" t="e">
        <f t="shared" si="25"/>
        <v>#N/A</v>
      </c>
      <c r="AB91" s="191"/>
      <c r="AC91" s="192"/>
      <c r="AD91" s="192"/>
      <c r="AE91" s="194"/>
      <c r="AF91" s="185"/>
      <c r="AG91" s="185"/>
      <c r="AH91" s="185"/>
      <c r="AI91" s="185"/>
      <c r="AJ91" s="199"/>
      <c r="AK91" s="156"/>
    </row>
    <row r="92" spans="1:45" s="89" customFormat="1" ht="12.75" customHeight="1" x14ac:dyDescent="0.2">
      <c r="A92" s="286"/>
      <c r="B92" s="367"/>
      <c r="C92" s="367"/>
      <c r="D92" s="367"/>
      <c r="E92" s="367"/>
      <c r="F92" s="367"/>
      <c r="G92" s="367"/>
      <c r="H92" s="367"/>
      <c r="I92" s="98"/>
      <c r="J92" s="98"/>
      <c r="K92" s="162"/>
      <c r="L92" s="162"/>
      <c r="M92" s="162"/>
      <c r="N92" s="162"/>
      <c r="O92" s="162"/>
      <c r="P92" s="162"/>
      <c r="Q92" s="162"/>
      <c r="R92" s="163"/>
      <c r="S92" s="155"/>
      <c r="T92" s="155"/>
      <c r="U92" s="162"/>
      <c r="V92" s="124"/>
      <c r="W92" s="140"/>
      <c r="X92" s="149"/>
      <c r="Y92" s="551" t="str">
        <f t="shared" si="23"/>
        <v>Surrey</v>
      </c>
      <c r="Z92" s="349" t="e">
        <f t="shared" si="24"/>
        <v>#N/A</v>
      </c>
      <c r="AA92" s="349" t="e">
        <f t="shared" si="25"/>
        <v>#N/A</v>
      </c>
      <c r="AB92" s="191"/>
      <c r="AC92" s="192"/>
      <c r="AD92" s="192"/>
      <c r="AE92" s="194"/>
      <c r="AF92" s="185"/>
      <c r="AG92" s="185"/>
      <c r="AH92" s="185"/>
      <c r="AI92" s="185"/>
      <c r="AJ92" s="199"/>
      <c r="AK92" s="156"/>
    </row>
    <row r="93" spans="1:45" s="89" customFormat="1" ht="12.75" customHeight="1" x14ac:dyDescent="0.2">
      <c r="A93" s="286"/>
      <c r="B93" s="367"/>
      <c r="C93" s="367"/>
      <c r="D93" s="367"/>
      <c r="E93" s="367"/>
      <c r="F93" s="367"/>
      <c r="G93" s="367"/>
      <c r="H93" s="367"/>
      <c r="I93" s="98"/>
      <c r="J93" s="98"/>
      <c r="K93" s="162"/>
      <c r="L93" s="162"/>
      <c r="M93" s="162"/>
      <c r="N93" s="162"/>
      <c r="O93" s="162"/>
      <c r="P93" s="162"/>
      <c r="Q93" s="162"/>
      <c r="R93" s="163"/>
      <c r="S93" s="155"/>
      <c r="T93" s="155"/>
      <c r="U93" s="162"/>
      <c r="V93" s="124"/>
      <c r="W93" s="140"/>
      <c r="X93" s="149"/>
      <c r="Y93" s="551" t="str">
        <f t="shared" si="23"/>
        <v>Swindon</v>
      </c>
      <c r="Z93" s="349" t="e">
        <f t="shared" si="24"/>
        <v>#N/A</v>
      </c>
      <c r="AA93" s="349" t="e">
        <f t="shared" si="25"/>
        <v>#N/A</v>
      </c>
      <c r="AB93" s="191"/>
      <c r="AC93" s="192"/>
      <c r="AD93" s="192"/>
      <c r="AE93" s="194"/>
      <c r="AF93" s="185"/>
      <c r="AG93" s="185"/>
      <c r="AH93" s="185"/>
      <c r="AI93" s="185"/>
      <c r="AJ93" s="199"/>
      <c r="AK93" s="156"/>
    </row>
    <row r="94" spans="1:45" s="89" customFormat="1" ht="12.75" customHeight="1" x14ac:dyDescent="0.2">
      <c r="A94" s="123"/>
      <c r="B94" s="367"/>
      <c r="C94" s="367"/>
      <c r="D94" s="367"/>
      <c r="E94" s="367"/>
      <c r="F94" s="367"/>
      <c r="G94" s="367"/>
      <c r="H94" s="367"/>
      <c r="I94" s="98"/>
      <c r="J94" s="98"/>
      <c r="K94" s="162"/>
      <c r="L94" s="162"/>
      <c r="M94" s="162"/>
      <c r="N94" s="162"/>
      <c r="O94" s="162"/>
      <c r="P94" s="162"/>
      <c r="Q94" s="162"/>
      <c r="R94" s="163"/>
      <c r="S94" s="155"/>
      <c r="T94" s="155"/>
      <c r="U94" s="162"/>
      <c r="V94" s="124"/>
      <c r="W94" s="140"/>
      <c r="X94" s="149"/>
      <c r="Y94" s="551" t="str">
        <f t="shared" si="23"/>
        <v>Torbay</v>
      </c>
      <c r="Z94" s="349" t="e">
        <f t="shared" si="24"/>
        <v>#N/A</v>
      </c>
      <c r="AA94" s="349" t="e">
        <f t="shared" si="25"/>
        <v>#N/A</v>
      </c>
      <c r="AB94" s="191"/>
      <c r="AC94" s="192"/>
      <c r="AD94" s="192"/>
      <c r="AE94" s="194"/>
      <c r="AF94" s="199"/>
      <c r="AG94" s="185"/>
      <c r="AH94" s="185"/>
      <c r="AI94" s="185"/>
      <c r="AJ94" s="199"/>
      <c r="AK94" s="156"/>
    </row>
    <row r="95" spans="1:45" s="89" customFormat="1" ht="12.75" customHeight="1" x14ac:dyDescent="0.2">
      <c r="A95" s="123"/>
      <c r="B95" s="367"/>
      <c r="C95" s="367"/>
      <c r="D95" s="367"/>
      <c r="E95" s="367"/>
      <c r="F95" s="367"/>
      <c r="G95" s="367"/>
      <c r="H95" s="367"/>
      <c r="I95" s="98"/>
      <c r="J95" s="98"/>
      <c r="K95" s="162"/>
      <c r="L95" s="162"/>
      <c r="M95" s="162"/>
      <c r="N95" s="162"/>
      <c r="O95" s="162"/>
      <c r="P95" s="162"/>
      <c r="Q95" s="162"/>
      <c r="R95" s="163"/>
      <c r="S95" s="155"/>
      <c r="T95" s="155"/>
      <c r="U95" s="162"/>
      <c r="V95" s="124"/>
      <c r="W95" s="140"/>
      <c r="X95" s="149"/>
      <c r="Y95" s="551" t="str">
        <f t="shared" si="23"/>
        <v>West Berkshire</v>
      </c>
      <c r="Z95" s="349" t="e">
        <f t="shared" si="24"/>
        <v>#N/A</v>
      </c>
      <c r="AA95" s="349" t="e">
        <f t="shared" si="25"/>
        <v>#N/A</v>
      </c>
      <c r="AB95" s="191"/>
      <c r="AC95" s="192"/>
      <c r="AD95" s="192"/>
      <c r="AE95" s="194"/>
      <c r="AF95" s="199"/>
      <c r="AG95" s="185"/>
      <c r="AH95" s="185"/>
      <c r="AI95" s="185"/>
      <c r="AJ95" s="199"/>
      <c r="AK95" s="156"/>
    </row>
    <row r="96" spans="1:45" s="89" customFormat="1" ht="12.75" customHeight="1" x14ac:dyDescent="0.2">
      <c r="A96" s="123"/>
      <c r="B96" s="367"/>
      <c r="C96" s="367"/>
      <c r="D96" s="367"/>
      <c r="E96" s="367"/>
      <c r="F96" s="367"/>
      <c r="G96" s="367"/>
      <c r="H96" s="367"/>
      <c r="I96" s="98"/>
      <c r="J96" s="98"/>
      <c r="K96" s="162"/>
      <c r="L96" s="162"/>
      <c r="M96" s="162"/>
      <c r="N96" s="162"/>
      <c r="O96" s="162"/>
      <c r="P96" s="162"/>
      <c r="Q96" s="162"/>
      <c r="R96" s="163"/>
      <c r="S96" s="155"/>
      <c r="T96" s="155"/>
      <c r="U96" s="162"/>
      <c r="V96" s="124"/>
      <c r="W96" s="140"/>
      <c r="X96" s="149"/>
      <c r="Y96" s="551" t="str">
        <f t="shared" si="23"/>
        <v>West Sussex</v>
      </c>
      <c r="Z96" s="349" t="e">
        <f t="shared" si="24"/>
        <v>#N/A</v>
      </c>
      <c r="AA96" s="349" t="e">
        <f t="shared" si="25"/>
        <v>#N/A</v>
      </c>
      <c r="AB96" s="191"/>
      <c r="AC96" s="192"/>
      <c r="AD96" s="192"/>
      <c r="AE96" s="194"/>
      <c r="AF96" s="199"/>
      <c r="AG96" s="199"/>
      <c r="AH96" s="199"/>
      <c r="AI96" s="185"/>
      <c r="AJ96" s="199"/>
      <c r="AK96" s="156"/>
    </row>
    <row r="97" spans="1:46" s="89" customFormat="1" ht="12.75" customHeight="1" x14ac:dyDescent="0.2">
      <c r="A97" s="123"/>
      <c r="B97" s="367"/>
      <c r="C97" s="367"/>
      <c r="D97" s="367"/>
      <c r="E97" s="367"/>
      <c r="F97" s="367"/>
      <c r="G97" s="367"/>
      <c r="H97" s="367"/>
      <c r="I97" s="98"/>
      <c r="J97" s="98"/>
      <c r="K97" s="162"/>
      <c r="L97" s="162"/>
      <c r="M97" s="162"/>
      <c r="N97" s="162"/>
      <c r="O97" s="162"/>
      <c r="P97" s="162"/>
      <c r="Q97" s="162"/>
      <c r="R97" s="163"/>
      <c r="S97" s="155"/>
      <c r="T97" s="155"/>
      <c r="U97" s="162"/>
      <c r="V97" s="124"/>
      <c r="W97" s="140"/>
      <c r="X97" s="149"/>
      <c r="Y97" s="551" t="str">
        <f t="shared" si="23"/>
        <v>Windsor &amp; Maidenhead</v>
      </c>
      <c r="Z97" s="349" t="e">
        <f t="shared" si="24"/>
        <v>#N/A</v>
      </c>
      <c r="AA97" s="349" t="e">
        <f t="shared" si="25"/>
        <v>#N/A</v>
      </c>
      <c r="AB97" s="191"/>
      <c r="AC97" s="192"/>
      <c r="AD97" s="192"/>
      <c r="AE97" s="194"/>
      <c r="AF97" s="199"/>
      <c r="AG97" s="199"/>
      <c r="AH97" s="199"/>
      <c r="AI97" s="185"/>
      <c r="AJ97" s="199"/>
      <c r="AK97" s="156"/>
    </row>
    <row r="98" spans="1:46" s="89" customFormat="1" ht="12.75" customHeight="1" x14ac:dyDescent="0.2">
      <c r="A98" s="123"/>
      <c r="B98" s="367"/>
      <c r="C98" s="367"/>
      <c r="D98" s="367"/>
      <c r="E98" s="367"/>
      <c r="F98" s="367"/>
      <c r="G98" s="367"/>
      <c r="H98" s="367"/>
      <c r="I98" s="98"/>
      <c r="J98" s="98"/>
      <c r="K98" s="164"/>
      <c r="L98" s="164"/>
      <c r="M98" s="164"/>
      <c r="N98" s="164"/>
      <c r="O98" s="164"/>
      <c r="P98" s="164"/>
      <c r="Q98" s="164"/>
      <c r="R98" s="165"/>
      <c r="S98" s="155"/>
      <c r="T98" s="155"/>
      <c r="U98" s="166"/>
      <c r="V98" s="124"/>
      <c r="W98" s="140"/>
      <c r="X98" s="149"/>
      <c r="Y98" s="551" t="str">
        <f t="shared" si="23"/>
        <v>Wokingham</v>
      </c>
      <c r="Z98" s="349" t="e">
        <f t="shared" si="24"/>
        <v>#N/A</v>
      </c>
      <c r="AA98" s="349" t="e">
        <f t="shared" si="25"/>
        <v>#N/A</v>
      </c>
      <c r="AB98" s="191"/>
      <c r="AC98" s="192"/>
      <c r="AD98" s="192"/>
      <c r="AE98" s="194"/>
      <c r="AF98" s="199"/>
      <c r="AG98" s="199"/>
      <c r="AH98" s="199"/>
      <c r="AI98" s="185"/>
      <c r="AJ98" s="199"/>
      <c r="AK98" s="156"/>
    </row>
    <row r="99" spans="1:46" s="89" customFormat="1" ht="12.75" customHeight="1" x14ac:dyDescent="0.2">
      <c r="A99" s="123"/>
      <c r="B99" s="367"/>
      <c r="C99" s="367"/>
      <c r="D99" s="367"/>
      <c r="E99" s="367"/>
      <c r="F99" s="367"/>
      <c r="G99" s="367"/>
      <c r="H99" s="367"/>
      <c r="I99" s="98"/>
      <c r="J99" s="98"/>
      <c r="K99" s="164"/>
      <c r="L99" s="164"/>
      <c r="M99" s="164"/>
      <c r="N99" s="164"/>
      <c r="O99" s="164"/>
      <c r="P99" s="164"/>
      <c r="Q99" s="164"/>
      <c r="R99" s="165"/>
      <c r="S99" s="155"/>
      <c r="T99" s="155"/>
      <c r="U99" s="166"/>
      <c r="V99" s="124"/>
      <c r="W99" s="140"/>
      <c r="X99" s="149"/>
      <c r="Y99" s="551" t="str">
        <f>B32</f>
        <v>South East</v>
      </c>
      <c r="Z99" s="349" t="e">
        <f t="shared" si="24"/>
        <v>#N/A</v>
      </c>
      <c r="AA99" s="349" t="e">
        <f t="shared" si="25"/>
        <v>#N/A</v>
      </c>
      <c r="AB99" s="191"/>
      <c r="AC99" s="192"/>
      <c r="AD99" s="192"/>
      <c r="AE99" s="194"/>
      <c r="AF99" s="199"/>
      <c r="AG99" s="199"/>
      <c r="AH99" s="199"/>
      <c r="AI99" s="185"/>
      <c r="AJ99" s="199"/>
      <c r="AK99" s="156"/>
    </row>
    <row r="100" spans="1:46" s="89" customFormat="1" ht="11.25" customHeight="1" x14ac:dyDescent="0.2">
      <c r="A100" s="286"/>
      <c r="B100" s="367"/>
      <c r="C100" s="367"/>
      <c r="D100" s="367"/>
      <c r="E100" s="367"/>
      <c r="F100" s="367"/>
      <c r="G100" s="367"/>
      <c r="H100" s="367"/>
      <c r="I100" s="98"/>
      <c r="J100" s="98"/>
      <c r="K100" s="164"/>
      <c r="L100" s="164"/>
      <c r="M100" s="164"/>
      <c r="N100" s="164"/>
      <c r="O100" s="164"/>
      <c r="P100" s="164"/>
      <c r="Q100" s="164"/>
      <c r="R100" s="165"/>
      <c r="S100" s="155"/>
      <c r="T100" s="155"/>
      <c r="U100" s="166"/>
      <c r="V100" s="124"/>
      <c r="W100" s="140"/>
      <c r="X100" s="149"/>
      <c r="Y100" s="551" t="str">
        <f>B33</f>
        <v>England</v>
      </c>
      <c r="Z100" s="349" t="e">
        <f t="shared" si="24"/>
        <v>#N/A</v>
      </c>
      <c r="AA100" s="349" t="e">
        <f t="shared" si="25"/>
        <v>#N/A</v>
      </c>
      <c r="AB100" s="191"/>
      <c r="AC100" s="192"/>
      <c r="AD100" s="192"/>
      <c r="AE100" s="194"/>
      <c r="AF100" s="199"/>
      <c r="AG100" s="199"/>
      <c r="AH100" s="199"/>
      <c r="AI100" s="185"/>
      <c r="AJ100" s="199"/>
      <c r="AK100" s="156"/>
    </row>
    <row r="101" spans="1:46" s="83" customFormat="1" ht="42" customHeight="1" x14ac:dyDescent="0.2">
      <c r="A101" s="213"/>
      <c r="B101" s="367"/>
      <c r="C101" s="367"/>
      <c r="D101" s="367"/>
      <c r="E101" s="367"/>
      <c r="F101" s="367"/>
      <c r="G101" s="367"/>
      <c r="H101" s="367"/>
      <c r="I101" s="373"/>
      <c r="J101" s="168"/>
      <c r="K101" s="168"/>
      <c r="L101" s="168"/>
      <c r="M101" s="168"/>
      <c r="N101" s="168"/>
      <c r="O101" s="168"/>
      <c r="P101" s="168"/>
      <c r="Q101" s="168"/>
      <c r="R101" s="137"/>
      <c r="S101" s="168"/>
      <c r="T101" s="168"/>
      <c r="U101" s="168"/>
      <c r="V101" s="119"/>
      <c r="W101" s="138"/>
      <c r="X101" s="147"/>
      <c r="AD101" s="192"/>
      <c r="AE101" s="194"/>
      <c r="AF101" s="179"/>
      <c r="AG101" s="179"/>
      <c r="AH101" s="179"/>
      <c r="AJ101" s="179"/>
      <c r="AK101" s="157"/>
    </row>
    <row r="102" spans="1:46" s="83" customFormat="1" ht="42" customHeight="1" x14ac:dyDescent="0.2">
      <c r="A102" s="213"/>
      <c r="B102" s="367"/>
      <c r="C102" s="367"/>
      <c r="D102" s="367"/>
      <c r="E102" s="367"/>
      <c r="F102" s="367"/>
      <c r="G102" s="367"/>
      <c r="H102" s="367"/>
      <c r="I102" s="373"/>
      <c r="J102" s="168"/>
      <c r="K102" s="168"/>
      <c r="L102" s="168"/>
      <c r="M102" s="168"/>
      <c r="N102" s="168"/>
      <c r="O102" s="168"/>
      <c r="P102" s="168"/>
      <c r="Q102" s="168"/>
      <c r="R102" s="137"/>
      <c r="S102" s="168"/>
      <c r="T102" s="168"/>
      <c r="U102" s="168"/>
      <c r="V102" s="119"/>
      <c r="W102" s="138"/>
      <c r="X102" s="147"/>
      <c r="Z102" s="185"/>
      <c r="AE102" s="194"/>
      <c r="AF102" s="179"/>
      <c r="AG102" s="179"/>
      <c r="AH102" s="179"/>
      <c r="AJ102" s="179"/>
      <c r="AK102" s="157"/>
    </row>
    <row r="103" spans="1:46" s="83" customFormat="1" ht="33" customHeight="1" x14ac:dyDescent="0.2">
      <c r="A103" s="213"/>
      <c r="B103" s="373"/>
      <c r="C103" s="373"/>
      <c r="D103" s="373"/>
      <c r="E103" s="373"/>
      <c r="F103" s="373"/>
      <c r="G103" s="373"/>
      <c r="H103" s="373"/>
      <c r="I103" s="373"/>
      <c r="J103" s="168"/>
      <c r="K103" s="168"/>
      <c r="L103" s="168"/>
      <c r="M103" s="168"/>
      <c r="N103" s="168"/>
      <c r="O103" s="168"/>
      <c r="P103" s="168"/>
      <c r="Q103" s="168"/>
      <c r="R103" s="137"/>
      <c r="S103" s="168"/>
      <c r="T103" s="168"/>
      <c r="U103" s="168"/>
      <c r="V103" s="119"/>
      <c r="W103" s="138"/>
      <c r="X103" s="147"/>
      <c r="Z103" s="185"/>
      <c r="AE103" s="194"/>
      <c r="AF103" s="179"/>
      <c r="AG103" s="179"/>
      <c r="AH103" s="179"/>
      <c r="AJ103" s="179"/>
      <c r="AK103" s="157"/>
    </row>
    <row r="104" spans="1:46" s="83" customFormat="1" ht="7.5" customHeight="1" x14ac:dyDescent="0.2">
      <c r="A104" s="120"/>
      <c r="B104" s="18"/>
      <c r="C104" s="18"/>
      <c r="D104" s="17"/>
      <c r="E104" s="17"/>
      <c r="F104" s="17"/>
      <c r="G104" s="17"/>
      <c r="H104" s="17"/>
      <c r="I104" s="17"/>
      <c r="J104" s="13"/>
      <c r="K104" s="19"/>
      <c r="L104" s="19"/>
      <c r="M104" s="19"/>
      <c r="N104" s="19"/>
      <c r="O104" s="19"/>
      <c r="P104" s="19"/>
      <c r="Q104" s="19"/>
      <c r="R104" s="19"/>
      <c r="S104" s="19"/>
      <c r="T104" s="19"/>
      <c r="U104" s="20"/>
      <c r="V104" s="119"/>
      <c r="W104" s="138"/>
      <c r="X104" s="147"/>
      <c r="Z104" s="185"/>
      <c r="AJ104" s="179"/>
      <c r="AK104" s="153"/>
      <c r="AL104" s="76"/>
      <c r="AM104" s="76"/>
      <c r="AN104" s="76"/>
      <c r="AO104" s="76"/>
      <c r="AP104" s="76"/>
      <c r="AQ104" s="76"/>
      <c r="AR104" s="76"/>
    </row>
    <row r="105" spans="1:46" s="83" customFormat="1" ht="15" customHeight="1" x14ac:dyDescent="0.2">
      <c r="A105" s="1399"/>
      <c r="B105" s="1421"/>
      <c r="C105" s="1421"/>
      <c r="D105" s="1421"/>
      <c r="E105" s="1421"/>
      <c r="F105" s="1421"/>
      <c r="G105" s="1421"/>
      <c r="H105" s="1421"/>
      <c r="I105" s="1421"/>
      <c r="J105" s="1421"/>
      <c r="K105" s="1421"/>
      <c r="L105" s="1421"/>
      <c r="M105" s="1421"/>
      <c r="N105" s="1421"/>
      <c r="O105" s="1421"/>
      <c r="P105" s="1421"/>
      <c r="Q105" s="1421"/>
      <c r="R105" s="1421"/>
      <c r="S105" s="1421"/>
      <c r="T105" s="1421"/>
      <c r="U105" s="1421"/>
      <c r="V105" s="1422"/>
      <c r="W105" s="138"/>
      <c r="X105" s="147"/>
      <c r="Y105" s="183"/>
      <c r="Z105" s="183"/>
      <c r="AK105" s="157"/>
      <c r="AT105" s="76"/>
    </row>
    <row r="106" spans="1:46" s="83" customFormat="1" ht="11.25" customHeight="1" x14ac:dyDescent="0.2">
      <c r="A106" s="1428" t="str">
        <f>Home!$A$40</f>
        <v>LA's provide quarterly data on the condition that it is used by the benchmarking group for internal reporting only. Please DO NOT share other LA's data with any external partners or the public</v>
      </c>
      <c r="B106" s="1429"/>
      <c r="C106" s="1429"/>
      <c r="D106" s="1429"/>
      <c r="E106" s="1429"/>
      <c r="F106" s="1429"/>
      <c r="G106" s="1429"/>
      <c r="H106" s="1429"/>
      <c r="I106" s="1430"/>
      <c r="J106" s="1429"/>
      <c r="K106" s="1429"/>
      <c r="L106" s="1429"/>
      <c r="M106" s="1429"/>
      <c r="N106" s="1429"/>
      <c r="O106" s="1429"/>
      <c r="P106" s="1431"/>
      <c r="Q106" s="1429"/>
      <c r="R106" s="1429"/>
      <c r="S106" s="1429"/>
      <c r="T106" s="1430"/>
      <c r="U106" s="1429"/>
      <c r="V106" s="1432"/>
      <c r="W106" s="1129"/>
      <c r="X106" s="147"/>
      <c r="Y106" s="183"/>
      <c r="Z106" s="183"/>
      <c r="AK106" s="157"/>
      <c r="AL106" s="89"/>
      <c r="AT106" s="76"/>
    </row>
    <row r="107" spans="1:46" ht="18.75" customHeight="1" x14ac:dyDescent="0.2">
      <c r="A107" s="114"/>
      <c r="B107" s="115"/>
      <c r="C107" s="115"/>
      <c r="D107" s="115"/>
      <c r="E107" s="115"/>
      <c r="F107" s="115"/>
      <c r="G107" s="115"/>
      <c r="H107" s="115"/>
      <c r="I107" s="115"/>
      <c r="J107" s="116"/>
      <c r="K107" s="115"/>
      <c r="L107" s="115"/>
      <c r="M107" s="115"/>
      <c r="N107" s="115"/>
      <c r="O107" s="115"/>
      <c r="P107" s="115"/>
      <c r="Q107" s="115"/>
      <c r="R107" s="115"/>
      <c r="S107" s="115"/>
      <c r="T107" s="115"/>
      <c r="U107" s="115"/>
      <c r="V107" s="117"/>
      <c r="W107" s="997"/>
      <c r="X107" s="147"/>
      <c r="Z107" s="185"/>
      <c r="AJ107" s="83"/>
      <c r="AK107" s="157"/>
    </row>
    <row r="108" spans="1:46" ht="18.75" customHeight="1" x14ac:dyDescent="0.2">
      <c r="A108" s="120"/>
      <c r="B108" s="130" t="s">
        <v>765</v>
      </c>
      <c r="C108" s="9"/>
      <c r="D108" s="9"/>
      <c r="E108" s="9"/>
      <c r="F108" s="9"/>
      <c r="G108" s="9"/>
      <c r="H108" s="9"/>
      <c r="I108" s="9"/>
      <c r="J108" s="13"/>
      <c r="K108" s="9"/>
      <c r="L108" s="9"/>
      <c r="M108" s="9"/>
      <c r="N108" s="9"/>
      <c r="O108" s="9"/>
      <c r="P108" s="9"/>
      <c r="Q108" s="9"/>
      <c r="R108" s="9"/>
      <c r="S108" s="9"/>
      <c r="T108" s="9"/>
      <c r="U108" s="9"/>
      <c r="V108" s="119"/>
      <c r="W108" s="157"/>
      <c r="X108" s="147"/>
      <c r="Z108" s="185"/>
      <c r="AJ108" s="83"/>
      <c r="AK108" s="157"/>
    </row>
    <row r="109" spans="1:46" ht="18.75" customHeight="1" x14ac:dyDescent="0.2">
      <c r="A109" s="126"/>
      <c r="B109" s="127"/>
      <c r="C109" s="127"/>
      <c r="D109" s="127"/>
      <c r="E109" s="127"/>
      <c r="F109" s="127"/>
      <c r="G109" s="127"/>
      <c r="H109" s="127"/>
      <c r="I109" s="260"/>
      <c r="J109" s="128"/>
      <c r="K109" s="127"/>
      <c r="L109" s="127"/>
      <c r="M109" s="127"/>
      <c r="N109" s="127"/>
      <c r="O109" s="127"/>
      <c r="P109" s="528"/>
      <c r="Q109" s="127"/>
      <c r="R109" s="127"/>
      <c r="S109" s="127"/>
      <c r="T109" s="260"/>
      <c r="U109" s="127"/>
      <c r="V109" s="129"/>
      <c r="W109" s="157"/>
      <c r="X109" s="147"/>
      <c r="Z109" s="185"/>
      <c r="AJ109" s="83"/>
      <c r="AK109" s="157"/>
      <c r="AR109" s="76">
        <v>0</v>
      </c>
    </row>
    <row r="110" spans="1:46" ht="11.25" customHeight="1" x14ac:dyDescent="0.2">
      <c r="A110" s="114"/>
      <c r="B110" s="115"/>
      <c r="C110" s="115"/>
      <c r="D110" s="115"/>
      <c r="E110" s="115"/>
      <c r="F110" s="115"/>
      <c r="G110" s="115"/>
      <c r="H110" s="115"/>
      <c r="I110" s="115"/>
      <c r="J110" s="116"/>
      <c r="K110" s="115"/>
      <c r="L110" s="115"/>
      <c r="M110" s="115"/>
      <c r="N110" s="115"/>
      <c r="O110" s="115"/>
      <c r="P110" s="115"/>
      <c r="Q110" s="115"/>
      <c r="R110" s="115"/>
      <c r="S110" s="115"/>
      <c r="T110" s="115"/>
      <c r="U110" s="115"/>
      <c r="V110" s="117"/>
      <c r="W110" s="138"/>
      <c r="X110" s="147"/>
      <c r="Z110" s="185"/>
      <c r="AJ110" s="179"/>
      <c r="AK110" s="153"/>
    </row>
    <row r="111" spans="1:46" s="78" customFormat="1" ht="15" customHeight="1" x14ac:dyDescent="0.2">
      <c r="A111" s="121"/>
      <c r="B111" s="1435" t="str">
        <f>"Children subject to Care Applications to Court during"&amp;Z1</f>
        <v>Children subject to Care Applications to Court during the year ending 31st March</v>
      </c>
      <c r="C111" s="1318"/>
      <c r="D111" s="1318"/>
      <c r="E111" s="1318"/>
      <c r="F111" s="1318"/>
      <c r="G111" s="1318"/>
      <c r="H111" s="1318"/>
      <c r="I111" s="1318"/>
      <c r="J111" s="1318"/>
      <c r="K111" s="1318"/>
      <c r="L111" s="1318"/>
      <c r="M111" s="1318"/>
      <c r="N111" s="1318"/>
      <c r="O111" s="69"/>
      <c r="P111" s="69"/>
      <c r="Q111" s="69"/>
      <c r="R111" s="69"/>
      <c r="S111" s="69"/>
      <c r="T111" s="69"/>
      <c r="U111" s="69"/>
      <c r="V111" s="122"/>
      <c r="W111" s="139"/>
      <c r="X111" s="148"/>
      <c r="Y111" s="83"/>
      <c r="Z111" s="185"/>
      <c r="AA111" s="83"/>
      <c r="AB111" s="83"/>
      <c r="AC111" s="83"/>
      <c r="AD111" s="83"/>
      <c r="AE111" s="83"/>
      <c r="AF111" s="183"/>
      <c r="AG111" s="183"/>
      <c r="AH111" s="183"/>
      <c r="AI111" s="183"/>
      <c r="AJ111" s="183"/>
      <c r="AK111" s="154"/>
      <c r="AL111" s="183" t="str">
        <f>CONCATENATE($I$7,"in Number of "&amp;$B111)</f>
        <v>Average Annual Change in Number of Children subject to Care Applications to Court during the year ending 31st March</v>
      </c>
      <c r="AR111" s="887" t="s">
        <v>692</v>
      </c>
    </row>
    <row r="112" spans="1:46" ht="13.5" customHeight="1" x14ac:dyDescent="0.2">
      <c r="A112" s="120"/>
      <c r="B112" s="1318"/>
      <c r="C112" s="1318"/>
      <c r="D112" s="1318"/>
      <c r="E112" s="1318"/>
      <c r="F112" s="1318"/>
      <c r="G112" s="1318"/>
      <c r="H112" s="1318"/>
      <c r="I112" s="1318"/>
      <c r="J112" s="1318"/>
      <c r="K112" s="1318"/>
      <c r="L112" s="1318"/>
      <c r="M112" s="1318"/>
      <c r="N112" s="1318"/>
      <c r="O112" s="69"/>
      <c r="P112" s="69"/>
      <c r="Q112" s="69"/>
      <c r="R112" s="69"/>
      <c r="S112" s="69"/>
      <c r="T112" s="69"/>
      <c r="U112" s="69"/>
      <c r="V112" s="119"/>
      <c r="W112" s="138"/>
      <c r="X112" s="147"/>
      <c r="Z112" s="185"/>
      <c r="AJ112" s="179"/>
      <c r="AK112" s="153"/>
    </row>
    <row r="113" spans="1:50" s="89" customFormat="1" ht="12.75" customHeight="1" x14ac:dyDescent="0.2">
      <c r="A113" s="123"/>
      <c r="B113" s="1449" t="s">
        <v>190</v>
      </c>
      <c r="C113" s="87"/>
      <c r="D113" s="1545" t="s">
        <v>88</v>
      </c>
      <c r="E113" s="1557"/>
      <c r="F113" s="1557"/>
      <c r="G113" s="1557"/>
      <c r="H113" s="1583"/>
      <c r="I113" s="1439" t="str">
        <f>"Average "&amp;Sheet1!C3&amp;" Change "</f>
        <v xml:space="preserve">Average Annual Change </v>
      </c>
      <c r="J113" s="98"/>
      <c r="K113" s="1562" t="s">
        <v>89</v>
      </c>
      <c r="L113" s="1563"/>
      <c r="M113" s="1563"/>
      <c r="N113" s="1563"/>
      <c r="O113" s="1563"/>
      <c r="P113" s="1563"/>
      <c r="Q113" s="1446" t="str">
        <f>IF(ISNA(O115),"SE Rank "&amp;O114,"SE Rank "&amp;O115)</f>
        <v>SE Rank 2018-19</v>
      </c>
      <c r="R113" s="69"/>
      <c r="S113" s="1451" t="str">
        <f>"Distance from Expected "&amp;Sheet1!$B$8</f>
        <v>Distance from Expected 2019</v>
      </c>
      <c r="T113" s="1452"/>
      <c r="U113" s="1453"/>
      <c r="V113" s="124"/>
      <c r="W113" s="140"/>
      <c r="X113" s="149"/>
      <c r="Y113" s="199"/>
      <c r="Z113" s="199"/>
      <c r="AB113" s="200" t="s">
        <v>79</v>
      </c>
      <c r="AC113" s="185"/>
      <c r="AD113" s="185"/>
      <c r="AE113" s="194"/>
      <c r="AF113" s="194"/>
      <c r="AG113" s="201" t="s">
        <v>92</v>
      </c>
      <c r="AH113" s="185"/>
      <c r="AI113" s="185"/>
      <c r="AJ113" s="199"/>
      <c r="AK113" s="156"/>
      <c r="AL113" s="76"/>
      <c r="AM113" s="76"/>
      <c r="AN113" s="76"/>
      <c r="AO113" s="76"/>
      <c r="AP113" s="76"/>
      <c r="AQ113" s="76"/>
    </row>
    <row r="114" spans="1:50" s="89" customFormat="1" ht="12.75" customHeight="1" x14ac:dyDescent="0.2">
      <c r="A114" s="286"/>
      <c r="B114" s="1449"/>
      <c r="C114" s="87"/>
      <c r="D114" s="755" t="str">
        <f>Sheet1!$D$25</f>
        <v>2014-15</v>
      </c>
      <c r="E114" s="756" t="str">
        <f>Sheet1!$E$25</f>
        <v>2015-16</v>
      </c>
      <c r="F114" s="756" t="str">
        <f>Sheet1!$F$25</f>
        <v>2016-17</v>
      </c>
      <c r="G114" s="756" t="str">
        <f>Sheet1!$G$25</f>
        <v>2017-18</v>
      </c>
      <c r="H114" s="945" t="str">
        <f>Sheet1!$H$25</f>
        <v>2018-19</v>
      </c>
      <c r="I114" s="1440"/>
      <c r="J114" s="98"/>
      <c r="K114" s="768" t="str">
        <f>Sheet1!$D$25</f>
        <v>2014-15</v>
      </c>
      <c r="L114" s="769" t="str">
        <f>Sheet1!$E$25</f>
        <v>2015-16</v>
      </c>
      <c r="M114" s="769" t="str">
        <f>Sheet1!$F$25</f>
        <v>2016-17</v>
      </c>
      <c r="N114" s="769" t="str">
        <f>Sheet1!$G$25</f>
        <v>2017-18</v>
      </c>
      <c r="O114" s="1457" t="str">
        <f>Sheet1!$H$25</f>
        <v>2018-19</v>
      </c>
      <c r="P114" s="1458"/>
      <c r="Q114" s="1447"/>
      <c r="R114" s="69"/>
      <c r="S114" s="1454"/>
      <c r="T114" s="1455"/>
      <c r="U114" s="1456"/>
      <c r="V114" s="124"/>
      <c r="W114" s="140"/>
      <c r="X114" s="149"/>
      <c r="Y114" s="199"/>
      <c r="Z114" s="1423" t="s">
        <v>76</v>
      </c>
      <c r="AA114" s="1423" t="s">
        <v>77</v>
      </c>
      <c r="AB114" s="730" t="str">
        <f>Sheet1!$D$25</f>
        <v>2014-15</v>
      </c>
      <c r="AC114" s="730" t="str">
        <f>Sheet1!$E$25</f>
        <v>2015-16</v>
      </c>
      <c r="AD114" s="730" t="str">
        <f>Sheet1!$F$25</f>
        <v>2016-17</v>
      </c>
      <c r="AE114" s="730" t="str">
        <f>Sheet1!$G$25</f>
        <v>2017-18</v>
      </c>
      <c r="AF114" s="730" t="str">
        <f>Sheet1!$H$25</f>
        <v>2018-19</v>
      </c>
      <c r="AG114" s="201"/>
      <c r="AH114" s="185"/>
      <c r="AI114" s="185"/>
      <c r="AJ114" s="199"/>
      <c r="AK114" s="156"/>
    </row>
    <row r="115" spans="1:50" s="89" customFormat="1" ht="12.75" customHeight="1" x14ac:dyDescent="0.2">
      <c r="A115" s="123"/>
      <c r="B115" s="1450"/>
      <c r="C115" s="87"/>
      <c r="D115" s="758" t="e">
        <f>Sheet1!$D$26</f>
        <v>#N/A</v>
      </c>
      <c r="E115" s="758" t="e">
        <f>Sheet1!$E$26</f>
        <v>#N/A</v>
      </c>
      <c r="F115" s="758" t="e">
        <f>Sheet1!$F$26</f>
        <v>#N/A</v>
      </c>
      <c r="G115" s="758" t="e">
        <f>Sheet1!$G$26</f>
        <v>#N/A</v>
      </c>
      <c r="H115" s="944" t="e">
        <f>Sheet1!$H$26</f>
        <v>#N/A</v>
      </c>
      <c r="I115" s="1441"/>
      <c r="J115" s="98"/>
      <c r="K115" s="758" t="e">
        <f>Sheet1!$D$26</f>
        <v>#N/A</v>
      </c>
      <c r="L115" s="758" t="e">
        <f>Sheet1!$E$26</f>
        <v>#N/A</v>
      </c>
      <c r="M115" s="758" t="e">
        <f>Sheet1!$F$26</f>
        <v>#N/A</v>
      </c>
      <c r="N115" s="758" t="e">
        <f>Sheet1!$G$26</f>
        <v>#N/A</v>
      </c>
      <c r="O115" s="1433" t="e">
        <f>Sheet1!$H$26</f>
        <v>#N/A</v>
      </c>
      <c r="P115" s="1434"/>
      <c r="Q115" s="1448"/>
      <c r="R115" s="69"/>
      <c r="S115" s="942" t="s">
        <v>78</v>
      </c>
      <c r="T115" s="794" t="s">
        <v>127</v>
      </c>
      <c r="U115" s="795" t="s">
        <v>128</v>
      </c>
      <c r="V115" s="124"/>
      <c r="W115" s="140"/>
      <c r="X115" s="149"/>
      <c r="Y115" s="199"/>
      <c r="Z115" s="1424"/>
      <c r="AA115" s="1424"/>
      <c r="AB115" s="730" t="e">
        <f>Sheet1!$D$26</f>
        <v>#N/A</v>
      </c>
      <c r="AC115" s="730" t="e">
        <f>Sheet1!$E$26</f>
        <v>#N/A</v>
      </c>
      <c r="AD115" s="730" t="e">
        <f>Sheet1!$F$26</f>
        <v>#N/A</v>
      </c>
      <c r="AE115" s="730" t="e">
        <f>Sheet1!$G$26</f>
        <v>#N/A</v>
      </c>
      <c r="AF115" s="730" t="e">
        <f>Sheet1!$H$26</f>
        <v>#N/A</v>
      </c>
      <c r="AG115" s="185"/>
      <c r="AH115" s="185">
        <f>COLUMNS($B$4:O$4)</f>
        <v>14</v>
      </c>
      <c r="AI115" s="185"/>
      <c r="AJ115" s="199"/>
      <c r="AK115" s="156"/>
      <c r="AL115" s="948" t="s">
        <v>686</v>
      </c>
      <c r="AM115" s="948" t="s">
        <v>687</v>
      </c>
      <c r="AN115" s="948" t="s">
        <v>688</v>
      </c>
      <c r="AO115" s="948" t="s">
        <v>689</v>
      </c>
      <c r="AP115" s="948" t="s">
        <v>690</v>
      </c>
      <c r="AR115" s="889" t="s">
        <v>693</v>
      </c>
      <c r="AS115" s="889" t="s">
        <v>694</v>
      </c>
      <c r="AT115" s="889" t="s">
        <v>695</v>
      </c>
      <c r="AU115" s="889" t="s">
        <v>696</v>
      </c>
      <c r="AV115" s="890" t="s">
        <v>697</v>
      </c>
      <c r="AW115" s="890" t="s">
        <v>698</v>
      </c>
      <c r="AX115" s="890" t="s">
        <v>699</v>
      </c>
    </row>
    <row r="116" spans="1:50" s="89" customFormat="1" ht="13.5" customHeight="1" x14ac:dyDescent="0.2">
      <c r="A116" s="462">
        <f>VLOOKUP(B116,Sheet1!$AQ$4:$AR$25,2,FALSE)</f>
        <v>0</v>
      </c>
      <c r="B116" s="95" t="str">
        <f>Sheet1!$K$4</f>
        <v>Bracknell Forest</v>
      </c>
      <c r="C116" s="87"/>
      <c r="D116" s="96">
        <f>IF(Year1_Bracknell_Forest Year1_Care_Applications_Children="","",Year1_Bracknell_Forest Year1_Care_Applications_Children)</f>
        <v>28</v>
      </c>
      <c r="E116" s="96">
        <f>IF(Year2_Bracknell_Forest Year2_Care_Applications_Children="","",Year2_Bracknell_Forest Year2_Care_Applications_Children)</f>
        <v>51</v>
      </c>
      <c r="F116" s="96">
        <f>IF(Year3_Bracknell_Forest Year3_Care_Applications_Children="","",Year3_Bracknell_Forest Year3_Care_Applications_Children)</f>
        <v>53</v>
      </c>
      <c r="G116" s="96">
        <f>IF(Year4_Bracknell_Forest Year4_Care_Applications_Children="","",Year4_Bracknell_Forest Year4_Care_Applications_Children)</f>
        <v>86</v>
      </c>
      <c r="H116" s="791">
        <f>IF(Year5_Bracknell_Forest Year5_Care_Applications_Children="","",Year5_Bracknell_Forest Year5_Care_Applications_Children)</f>
        <v>71</v>
      </c>
      <c r="I116" s="975">
        <f>AP116</f>
        <v>0.32721679062147013</v>
      </c>
      <c r="J116" s="98"/>
      <c r="K116" s="99">
        <f>IF(ISNUMBER(D116),D116/Population!D10*10000,NA())</f>
        <v>10.071942446043165</v>
      </c>
      <c r="L116" s="99">
        <f>IF(ISNUMBER(E116),E116/Population!E10*10000,NA())</f>
        <v>18.085106382978722</v>
      </c>
      <c r="M116" s="99">
        <f>IF(ISNUMBER(F116),F116/Population!F10*10000,NA())</f>
        <v>18.794326241134751</v>
      </c>
      <c r="N116" s="99">
        <f>IF(ISNUMBER(G116),G116/Population!G10*10000,NA())</f>
        <v>30.60498220640569</v>
      </c>
      <c r="O116" s="99">
        <f>IF(ISNUMBER(H116),H116/Population!H10*10000,NA())</f>
        <v>25.088339222614842</v>
      </c>
      <c r="P116" s="101">
        <f>IF(ISNUMBER(O116),O116,"")</f>
        <v>25.088339222614842</v>
      </c>
      <c r="Q116" s="770">
        <f>IF(ISNA(VLOOKUP(B116,$AG$116:$AI$134,3,FALSE)),"--",IF(ISNUMBER(H116),VLOOKUP(B116,$AG$116:$AI$134,3,FALSE),NA()))</f>
        <v>18</v>
      </c>
      <c r="R116" s="69"/>
      <c r="S116" s="333">
        <f>S10</f>
        <v>8.9</v>
      </c>
      <c r="T116" s="334">
        <f t="shared" ref="T116:T139" si="26">((S116*$Z$150)+$AA$150)/$Y$2</f>
        <v>11.963412157339468</v>
      </c>
      <c r="U116" s="335">
        <f>O116-T116</f>
        <v>13.124927065275374</v>
      </c>
      <c r="V116" s="124"/>
      <c r="W116" s="140"/>
      <c r="X116" s="149"/>
      <c r="Y116" s="71" t="str">
        <f>B116</f>
        <v>Bracknell Forest</v>
      </c>
      <c r="Z116" s="45">
        <f>IF(H116&gt;0,IDACI!D9,0)</f>
        <v>24849</v>
      </c>
      <c r="AA116" s="45">
        <f>IF(H116&gt;0,IDACI!E9,0)</f>
        <v>2211.5610000000001</v>
      </c>
      <c r="AB116" s="202">
        <f>IF(ISNUMBER(D116),Population!D10,"")</f>
        <v>27800</v>
      </c>
      <c r="AC116" s="202">
        <f>IF(ISNUMBER(E116),Population!E10,"")</f>
        <v>28200</v>
      </c>
      <c r="AD116" s="202">
        <f>IF(ISNUMBER(F116),Population!F10,"")</f>
        <v>28200</v>
      </c>
      <c r="AE116" s="202">
        <f>IF(ISNUMBER(G116),Population!G10,"")</f>
        <v>28100</v>
      </c>
      <c r="AF116" s="202">
        <f>IF(ISNUMBER(H116),Population!H10,"")</f>
        <v>28300</v>
      </c>
      <c r="AG116" s="95" t="str">
        <f>B116</f>
        <v>Bracknell Forest</v>
      </c>
      <c r="AH116" s="225">
        <f>IFERROR(VLOOKUP(AG116,$B$116:$O$137,AH$115,FALSE),"")</f>
        <v>25.088339222614842</v>
      </c>
      <c r="AI116" s="203">
        <f>RANK(AH116,$AH$116:$AH$134,1)</f>
        <v>18</v>
      </c>
      <c r="AJ116" s="199"/>
      <c r="AK116" s="156"/>
      <c r="AL116" s="792">
        <f>IF(ISERROR((E116-D116)/D116),"x",(E116-D116)/D116)</f>
        <v>0.8214285714285714</v>
      </c>
      <c r="AM116" s="792">
        <f>IF(ISERROR((F116-E116)/E116),"x",(F116-E116)/E116)</f>
        <v>3.9215686274509803E-2</v>
      </c>
      <c r="AN116" s="792">
        <f>IF(ISERROR((G116-F116)/F116),"x",(G116-F116)/F116)</f>
        <v>0.62264150943396224</v>
      </c>
      <c r="AO116" s="792">
        <f>IF(ISERROR((H116-G116)/G116),"x",(H116-G116)/G116)</f>
        <v>-0.1744186046511628</v>
      </c>
      <c r="AP116" s="792">
        <f>AVERAGE(AL116:AO116)</f>
        <v>0.32721679062147013</v>
      </c>
      <c r="AR116" s="888">
        <f>IF(ISNUMBER(L116),L116,"")</f>
        <v>18.085106382978722</v>
      </c>
      <c r="AS116" s="888">
        <f t="shared" ref="AS116:AS139" si="27">IF(ISNUMBER(M116),M116,"")</f>
        <v>18.794326241134751</v>
      </c>
      <c r="AT116" s="888">
        <f t="shared" ref="AT116:AT139" si="28">IF(ISNUMBER(N116),N116,"")</f>
        <v>30.60498220640569</v>
      </c>
      <c r="AU116" s="888">
        <f t="shared" ref="AU116:AU128" si="29">IF(ISNUMBER(O116),O116,"")</f>
        <v>25.088339222614842</v>
      </c>
      <c r="AV116" s="888">
        <f t="shared" ref="AV116:AV128" si="30">SUM(AR116:AU116)</f>
        <v>92.57275405313402</v>
      </c>
      <c r="AW116" s="550">
        <f t="shared" ref="AW116:AW128" si="31">COUNTBLANK(AR116:AU116)</f>
        <v>0</v>
      </c>
      <c r="AX116" s="888">
        <f>AV116/(4-AW116)*4</f>
        <v>92.57275405313402</v>
      </c>
    </row>
    <row r="117" spans="1:50" s="89" customFormat="1" ht="13.5" customHeight="1" x14ac:dyDescent="0.2">
      <c r="A117" s="462">
        <f>VLOOKUP(B117,Sheet1!$AQ$4:$AR$25,2,FALSE)</f>
        <v>0</v>
      </c>
      <c r="B117" s="95" t="str">
        <f>Sheet1!$K$5</f>
        <v>Brighton &amp; Hove</v>
      </c>
      <c r="C117" s="87"/>
      <c r="D117" s="96">
        <f>IF(Year1_Brighton_Hove Year1_Care_Applications_Children="","",Year1_Brighton_Hove Year1_Care_Applications_Children)</f>
        <v>124</v>
      </c>
      <c r="E117" s="96">
        <f>IF(Year2_Brighton_Hove Year2_Care_Applications_Children="","",Year2_Brighton_Hove Year2_Care_Applications_Children)</f>
        <v>147</v>
      </c>
      <c r="F117" s="96">
        <f>IF(Year3_Brighton_Hove Year3_Care_Applications_Children="","",Year3_Brighton_Hove Year3_Care_Applications_Children)</f>
        <v>165</v>
      </c>
      <c r="G117" s="96">
        <f>IF(Year4_Brighton_Hove Year4_Care_Applications_Children="","",Year4_Brighton_Hove Year4_Care_Applications_Children)</f>
        <v>123</v>
      </c>
      <c r="H117" s="791">
        <f>IF(Year5_Brighton_Hove Year5_Care_Applications_Children="","",Year5_Brighton_Hove Year5_Care_Applications_Children)</f>
        <v>104</v>
      </c>
      <c r="I117" s="975">
        <f t="shared" ref="I117:I139" si="32">AP117</f>
        <v>-2.527103717533076E-2</v>
      </c>
      <c r="J117" s="98"/>
      <c r="K117" s="99">
        <f>IF(ISNUMBER(D117),D117/Population!D11*10000,NA())</f>
        <v>24.313725490196077</v>
      </c>
      <c r="L117" s="99">
        <f>IF(ISNUMBER(E117),E117/Population!E11*10000,NA())</f>
        <v>28.7109375</v>
      </c>
      <c r="M117" s="99">
        <f>IF(ISNUMBER(F117),F117/Population!F11*10000,NA())</f>
        <v>32.163742690058484</v>
      </c>
      <c r="N117" s="99">
        <f>IF(ISNUMBER(G117),G117/Population!G11*10000,NA())</f>
        <v>24.117647058823529</v>
      </c>
      <c r="O117" s="100">
        <f>IF(ISNUMBER(H117),H117/Population!H11*10000,NA())</f>
        <v>20.3921568627451</v>
      </c>
      <c r="P117" s="101">
        <f t="shared" ref="P117:P138" si="33">IF(ISNUMBER(O117),O117,"")</f>
        <v>20.3921568627451</v>
      </c>
      <c r="Q117" s="770">
        <f t="shared" ref="Q117:Q139" si="34">IF(ISNA(VLOOKUP(B117,$AG$10:$AI$28,3,FALSE)),"--",IF(ISNUMBER(H117),VLOOKUP(B117,$AG$10:$AI$28,3,FALSE),NA()))</f>
        <v>13</v>
      </c>
      <c r="R117" s="69"/>
      <c r="S117" s="333">
        <f t="shared" ref="S117:S139" si="35">S11</f>
        <v>15.299999999999999</v>
      </c>
      <c r="T117" s="334">
        <f t="shared" si="26"/>
        <v>18.211157197979318</v>
      </c>
      <c r="U117" s="335">
        <f t="shared" ref="U117:U139" si="36">O117-T117</f>
        <v>2.1809996647657819</v>
      </c>
      <c r="V117" s="124"/>
      <c r="W117" s="140"/>
      <c r="X117" s="149"/>
      <c r="Y117" s="71" t="str">
        <f t="shared" ref="Y117:Y139" si="37">B117</f>
        <v>Brighton &amp; Hove</v>
      </c>
      <c r="Z117" s="45">
        <f>IF(H117&gt;0,IDACI!D10,0)</f>
        <v>45576</v>
      </c>
      <c r="AA117" s="45">
        <f>IF(H117&gt;0,IDACI!E10,0)</f>
        <v>6973.1279999999997</v>
      </c>
      <c r="AB117" s="202">
        <f>IF(ISNUMBER(D117),Population!D11,"")</f>
        <v>51000</v>
      </c>
      <c r="AC117" s="202">
        <f>IF(ISNUMBER(E117),Population!E11,"")</f>
        <v>51200</v>
      </c>
      <c r="AD117" s="202">
        <f>IF(ISNUMBER(F117),Population!F11,"")</f>
        <v>51300</v>
      </c>
      <c r="AE117" s="202">
        <f>IF(ISNUMBER(G117),Population!G11,"")</f>
        <v>51000</v>
      </c>
      <c r="AF117" s="202">
        <f>IF(ISNUMBER(H117),Population!H11,"")</f>
        <v>51000</v>
      </c>
      <c r="AG117" s="95" t="s">
        <v>31</v>
      </c>
      <c r="AH117" s="225">
        <f t="shared" ref="AH117:AH134" si="38">IFERROR(VLOOKUP(AG117,$B$116:$O$137,AH$115,FALSE),"")</f>
        <v>20.3921568627451</v>
      </c>
      <c r="AI117" s="203">
        <f t="shared" ref="AI117:AI134" si="39">RANK(AH117,$AH$116:$AH$134,1)</f>
        <v>13</v>
      </c>
      <c r="AJ117" s="199"/>
      <c r="AK117" s="156"/>
      <c r="AL117" s="792">
        <f t="shared" ref="AL117:AL137" si="40">IF(ISERROR((E117-D117)/D117),"x",(E117-D117)/D117)</f>
        <v>0.18548387096774194</v>
      </c>
      <c r="AM117" s="792">
        <f t="shared" ref="AM117:AM137" si="41">IF(ISERROR((F117-E117)/E117),"x",(F117-E117)/E117)</f>
        <v>0.12244897959183673</v>
      </c>
      <c r="AN117" s="792">
        <f t="shared" ref="AN117:AN137" si="42">IF(ISERROR((G117-F117)/F117),"x",(G117-F117)/F117)</f>
        <v>-0.25454545454545452</v>
      </c>
      <c r="AO117" s="792">
        <f t="shared" ref="AO117:AO137" si="43">IF(ISERROR((H117-G117)/G117),"x",(H117-G117)/G117)</f>
        <v>-0.15447154471544716</v>
      </c>
      <c r="AP117" s="792">
        <f t="shared" ref="AP117:AP138" si="44">AVERAGE(AL117:AO117)</f>
        <v>-2.527103717533076E-2</v>
      </c>
      <c r="AR117" s="888">
        <f t="shared" ref="AR117:AR139" si="45">IF(ISNUMBER(L117),L117,"")</f>
        <v>28.7109375</v>
      </c>
      <c r="AS117" s="888">
        <f t="shared" si="27"/>
        <v>32.163742690058484</v>
      </c>
      <c r="AT117" s="888">
        <f t="shared" si="28"/>
        <v>24.117647058823529</v>
      </c>
      <c r="AU117" s="888">
        <f t="shared" si="29"/>
        <v>20.3921568627451</v>
      </c>
      <c r="AV117" s="888">
        <f t="shared" si="30"/>
        <v>105.38448411162712</v>
      </c>
      <c r="AW117" s="550">
        <f t="shared" si="31"/>
        <v>0</v>
      </c>
      <c r="AX117" s="888">
        <f t="shared" ref="AX117:AX128" si="46">AV117/(4-AW117)*4</f>
        <v>105.38448411162712</v>
      </c>
    </row>
    <row r="118" spans="1:50" s="89" customFormat="1" ht="13.5" customHeight="1" x14ac:dyDescent="0.2">
      <c r="A118" s="462">
        <f>VLOOKUP(B118,Sheet1!$AQ$4:$AR$25,2,FALSE)</f>
        <v>0</v>
      </c>
      <c r="B118" s="95" t="str">
        <f>Sheet1!$K$6</f>
        <v>Buckinghamshire</v>
      </c>
      <c r="C118" s="87"/>
      <c r="D118" s="96">
        <f>IF(Year1_Buckinghamshire Year1_Care_Applications_Children="","",Year1_Buckinghamshire Year1_Care_Applications_Children)</f>
        <v>89</v>
      </c>
      <c r="E118" s="96">
        <f>IF(Year2_Buckinghamshire Year2_Care_Applications_Children="","",Year2_Buckinghamshire Year2_Care_Applications_Children)</f>
        <v>189</v>
      </c>
      <c r="F118" s="96">
        <f>IF(Year3_Buckinghamshire Year3_Care_Applications_Children="","",Year3_Buckinghamshire Year3_Care_Applications_Children)</f>
        <v>176</v>
      </c>
      <c r="G118" s="96">
        <f>IF(Year4_Buckinghamshire Year4_Care_Applications_Children="","",Year4_Buckinghamshire Year4_Care_Applications_Children)</f>
        <v>142</v>
      </c>
      <c r="H118" s="791">
        <f>IF(Year5_Buckinghamshire Year5_Care_Applications_Children="","",Year5_Buckinghamshire Year5_Care_Applications_Children)</f>
        <v>167</v>
      </c>
      <c r="I118" s="975">
        <f t="shared" si="32"/>
        <v>0.25942173917031491</v>
      </c>
      <c r="J118" s="98"/>
      <c r="K118" s="99">
        <f>IF(ISNUMBER(D118),D118/Population!D12*10000,NA())</f>
        <v>7.4852817493692179</v>
      </c>
      <c r="L118" s="99">
        <f>IF(ISNUMBER(E118),E118/Population!E12*10000,NA())</f>
        <v>15.671641791044776</v>
      </c>
      <c r="M118" s="99">
        <f>IF(ISNUMBER(F118),F118/Population!F12*10000,NA())</f>
        <v>14.402618657937806</v>
      </c>
      <c r="N118" s="99">
        <f>IF(ISNUMBER(G118),G118/Population!G12*10000,NA())</f>
        <v>11.535337124289196</v>
      </c>
      <c r="O118" s="100">
        <f>IF(ISNUMBER(H118),H118/Population!H12*10000,NA())</f>
        <v>13.435237329042639</v>
      </c>
      <c r="P118" s="101">
        <f t="shared" si="33"/>
        <v>13.435237329042639</v>
      </c>
      <c r="Q118" s="770">
        <f t="shared" si="34"/>
        <v>6</v>
      </c>
      <c r="R118" s="69"/>
      <c r="S118" s="333">
        <f t="shared" si="35"/>
        <v>8.5</v>
      </c>
      <c r="T118" s="334">
        <f t="shared" si="26"/>
        <v>11.572928092299476</v>
      </c>
      <c r="U118" s="335">
        <f t="shared" si="36"/>
        <v>1.8623092367431635</v>
      </c>
      <c r="V118" s="124"/>
      <c r="W118" s="140"/>
      <c r="X118" s="149"/>
      <c r="Y118" s="71" t="str">
        <f t="shared" si="37"/>
        <v>Buckinghamshire</v>
      </c>
      <c r="Z118" s="45">
        <f>IF(H118&gt;0,IDACI!D11,0)</f>
        <v>107385</v>
      </c>
      <c r="AA118" s="45">
        <f>IF(H118&gt;0,IDACI!E11,0)</f>
        <v>9127.7250000000004</v>
      </c>
      <c r="AB118" s="202">
        <f>IF(ISNUMBER(D118),Population!D12,"")</f>
        <v>118900</v>
      </c>
      <c r="AC118" s="202">
        <f>IF(ISNUMBER(E118),Population!E12,"")</f>
        <v>120600</v>
      </c>
      <c r="AD118" s="202">
        <f>IF(ISNUMBER(F118),Population!F12,"")</f>
        <v>122200</v>
      </c>
      <c r="AE118" s="202">
        <f>IF(ISNUMBER(G118),Population!G12,"")</f>
        <v>123100</v>
      </c>
      <c r="AF118" s="202">
        <f>IF(ISNUMBER(H118),Population!H12,"")</f>
        <v>124300</v>
      </c>
      <c r="AG118" s="95" t="s">
        <v>8</v>
      </c>
      <c r="AH118" s="225">
        <f t="shared" si="38"/>
        <v>13.435237329042639</v>
      </c>
      <c r="AI118" s="203">
        <f t="shared" si="39"/>
        <v>6</v>
      </c>
      <c r="AJ118" s="199"/>
      <c r="AK118" s="156"/>
      <c r="AL118" s="792">
        <f t="shared" si="40"/>
        <v>1.1235955056179776</v>
      </c>
      <c r="AM118" s="792">
        <f t="shared" si="41"/>
        <v>-6.8783068783068779E-2</v>
      </c>
      <c r="AN118" s="792">
        <f t="shared" si="42"/>
        <v>-0.19318181818181818</v>
      </c>
      <c r="AO118" s="792">
        <f t="shared" si="43"/>
        <v>0.176056338028169</v>
      </c>
      <c r="AP118" s="792">
        <f t="shared" si="44"/>
        <v>0.25942173917031491</v>
      </c>
      <c r="AR118" s="888">
        <f t="shared" si="45"/>
        <v>15.671641791044776</v>
      </c>
      <c r="AS118" s="888">
        <f t="shared" si="27"/>
        <v>14.402618657937806</v>
      </c>
      <c r="AT118" s="888">
        <f t="shared" si="28"/>
        <v>11.535337124289196</v>
      </c>
      <c r="AU118" s="888">
        <f t="shared" si="29"/>
        <v>13.435237329042639</v>
      </c>
      <c r="AV118" s="888">
        <f t="shared" si="30"/>
        <v>55.04483490231442</v>
      </c>
      <c r="AW118" s="550">
        <f t="shared" si="31"/>
        <v>0</v>
      </c>
      <c r="AX118" s="888">
        <f t="shared" si="46"/>
        <v>55.04483490231442</v>
      </c>
    </row>
    <row r="119" spans="1:50" s="89" customFormat="1" ht="13.5" customHeight="1" x14ac:dyDescent="0.2">
      <c r="A119" s="462">
        <f>VLOOKUP(B119,Sheet1!$AQ$4:$AR$25,2,FALSE)</f>
        <v>0</v>
      </c>
      <c r="B119" s="95" t="str">
        <f>Sheet1!$K$7</f>
        <v>East Sussex</v>
      </c>
      <c r="C119" s="87"/>
      <c r="D119" s="96">
        <f>IF(Year1_East_Sussex Year1_Care_Applications_Children="","",Year1_East_Sussex Year1_Care_Applications_Children)</f>
        <v>119</v>
      </c>
      <c r="E119" s="102">
        <f>IF(Year2_East_Sussex Year2_Care_Applications_Children="","",Year2_East_Sussex Year2_Care_Applications_Children)</f>
        <v>134</v>
      </c>
      <c r="F119" s="96">
        <f>IF(Year3_East_Sussex Year3_Care_Applications_Children="","",Year3_East_Sussex Year3_Care_Applications_Children)</f>
        <v>158</v>
      </c>
      <c r="G119" s="96">
        <f>IF(Year4_East_Sussex Year4_Care_Applications_Children="","",Year4_East_Sussex Year4_Care_Applications_Children)</f>
        <v>139</v>
      </c>
      <c r="H119" s="791">
        <f>IF(Year5_East_Sussex Year5_Care_Applications_Children="","",Year5_East_Sussex Year5_Care_Applications_Children)</f>
        <v>124</v>
      </c>
      <c r="I119" s="975">
        <f t="shared" si="32"/>
        <v>1.9247016039574315E-2</v>
      </c>
      <c r="J119" s="98"/>
      <c r="K119" s="99">
        <f>IF(ISNUMBER(D119),D119/Population!D13*10000,NA())</f>
        <v>11.290322580645162</v>
      </c>
      <c r="L119" s="99">
        <f>IF(ISNUMBER(E119),E119/Population!E13*10000,NA())</f>
        <v>12.653446647780925</v>
      </c>
      <c r="M119" s="99">
        <f>IF(ISNUMBER(F119),F119/Population!F13*10000,NA())</f>
        <v>14.919735599622285</v>
      </c>
      <c r="N119" s="99">
        <f>IF(ISNUMBER(G119),G119/Population!G13*10000,NA())</f>
        <v>13.113207547169811</v>
      </c>
      <c r="O119" s="100">
        <f>IF(ISNUMBER(H119),H119/Population!H13*10000,NA())</f>
        <v>11.654135338345865</v>
      </c>
      <c r="P119" s="101">
        <f t="shared" si="33"/>
        <v>11.654135338345865</v>
      </c>
      <c r="Q119" s="770">
        <f t="shared" si="34"/>
        <v>5</v>
      </c>
      <c r="R119" s="69"/>
      <c r="S119" s="333">
        <f t="shared" si="35"/>
        <v>16.100000000000001</v>
      </c>
      <c r="T119" s="334">
        <f t="shared" si="26"/>
        <v>18.992125328059306</v>
      </c>
      <c r="U119" s="335">
        <f t="shared" si="36"/>
        <v>-7.3379899897134404</v>
      </c>
      <c r="V119" s="124"/>
      <c r="W119" s="140"/>
      <c r="X119" s="149"/>
      <c r="Y119" s="71" t="str">
        <f t="shared" si="37"/>
        <v>East Sussex</v>
      </c>
      <c r="Z119" s="45">
        <f>IF(H119&gt;0,IDACI!D12,0)</f>
        <v>93130</v>
      </c>
      <c r="AA119" s="45">
        <f>IF(H119&gt;0,IDACI!E12,0)</f>
        <v>14993.93</v>
      </c>
      <c r="AB119" s="202">
        <f>IF(ISNUMBER(D119),Population!D13,"")</f>
        <v>105400</v>
      </c>
      <c r="AC119" s="202">
        <f>IF(ISNUMBER(E119),Population!E13,"")</f>
        <v>105900</v>
      </c>
      <c r="AD119" s="202">
        <f>IF(ISNUMBER(F119),Population!F13,"")</f>
        <v>105900</v>
      </c>
      <c r="AE119" s="202">
        <f>IF(ISNUMBER(G119),Population!G13,"")</f>
        <v>106000</v>
      </c>
      <c r="AF119" s="202">
        <f>IF(ISNUMBER(H119),Population!H13,"")</f>
        <v>106400</v>
      </c>
      <c r="AG119" s="95" t="s">
        <v>4</v>
      </c>
      <c r="AH119" s="225">
        <f t="shared" si="38"/>
        <v>11.654135338345865</v>
      </c>
      <c r="AI119" s="203">
        <f t="shared" si="39"/>
        <v>2</v>
      </c>
      <c r="AJ119" s="199"/>
      <c r="AK119" s="156"/>
      <c r="AL119" s="792">
        <f t="shared" si="40"/>
        <v>0.12605042016806722</v>
      </c>
      <c r="AM119" s="792">
        <f t="shared" si="41"/>
        <v>0.17910447761194029</v>
      </c>
      <c r="AN119" s="792">
        <f t="shared" si="42"/>
        <v>-0.12025316455696203</v>
      </c>
      <c r="AO119" s="792">
        <f t="shared" si="43"/>
        <v>-0.1079136690647482</v>
      </c>
      <c r="AP119" s="792">
        <f t="shared" si="44"/>
        <v>1.9247016039574315E-2</v>
      </c>
      <c r="AR119" s="888">
        <f t="shared" si="45"/>
        <v>12.653446647780925</v>
      </c>
      <c r="AS119" s="888">
        <f t="shared" si="27"/>
        <v>14.919735599622285</v>
      </c>
      <c r="AT119" s="888">
        <f t="shared" si="28"/>
        <v>13.113207547169811</v>
      </c>
      <c r="AU119" s="888">
        <f t="shared" si="29"/>
        <v>11.654135338345865</v>
      </c>
      <c r="AV119" s="888">
        <f t="shared" si="30"/>
        <v>52.340525132918884</v>
      </c>
      <c r="AW119" s="550">
        <f t="shared" si="31"/>
        <v>0</v>
      </c>
      <c r="AX119" s="888">
        <f t="shared" si="46"/>
        <v>52.340525132918884</v>
      </c>
    </row>
    <row r="120" spans="1:50" s="89" customFormat="1" ht="13.5" customHeight="1" x14ac:dyDescent="0.2">
      <c r="A120" s="462">
        <f>VLOOKUP(B120,Sheet1!$AQ$4:$AR$25,2,FALSE)</f>
        <v>0</v>
      </c>
      <c r="B120" s="95" t="str">
        <f>Sheet1!$K$8</f>
        <v>Hampshire</v>
      </c>
      <c r="C120" s="87"/>
      <c r="D120" s="96">
        <f>IF(Year1_Hampshire Year1_Care_Applications_Children="","",Year1_Hampshire Year1_Care_Applications_Children)</f>
        <v>306</v>
      </c>
      <c r="E120" s="96">
        <f>IF(Year2_Hampshire Year2_Care_Applications_Children="","",Year2_Hampshire Year2_Care_Applications_Children)</f>
        <v>331</v>
      </c>
      <c r="F120" s="103">
        <f>IF(Year3_Hampshire Year3_Care_Applications_Children="","",Year3_Hampshire Year3_Care_Applications_Children)</f>
        <v>399</v>
      </c>
      <c r="G120" s="103">
        <f>IF(Year4_Hampshire Year4_Care_Applications_Children="","",Year4_Hampshire Year4_Care_Applications_Children)</f>
        <v>450</v>
      </c>
      <c r="H120" s="791">
        <f>IF(Year5_Hampshire Year5_Care_Applications_Children="","",Year5_Hampshire Year5_Care_Applications_Children)</f>
        <v>439</v>
      </c>
      <c r="I120" s="975">
        <f t="shared" si="32"/>
        <v>9.7628129324555391E-2</v>
      </c>
      <c r="J120" s="98"/>
      <c r="K120" s="99">
        <f>IF(ISNUMBER(D120),D120/Population!D14*10000,NA())</f>
        <v>10.870337477797513</v>
      </c>
      <c r="L120" s="99">
        <f>IF(ISNUMBER(E120),E120/Population!E14*10000,NA())</f>
        <v>11.741752394466122</v>
      </c>
      <c r="M120" s="99">
        <f>IF(ISNUMBER(F120),F120/Population!F14*10000,NA())</f>
        <v>14.108910891089108</v>
      </c>
      <c r="N120" s="99">
        <f>IF(ISNUMBER(G120),G120/Population!G14*10000,NA())</f>
        <v>15.884221673138017</v>
      </c>
      <c r="O120" s="100">
        <f>IF(ISNUMBER(H120),H120/Population!H14*10000,NA())</f>
        <v>15.457746478873238</v>
      </c>
      <c r="P120" s="101">
        <f t="shared" si="33"/>
        <v>15.457746478873238</v>
      </c>
      <c r="Q120" s="770">
        <f t="shared" si="34"/>
        <v>9</v>
      </c>
      <c r="R120" s="69"/>
      <c r="S120" s="333">
        <f t="shared" si="35"/>
        <v>10.100000000000001</v>
      </c>
      <c r="T120" s="334">
        <f t="shared" si="26"/>
        <v>13.134864352459442</v>
      </c>
      <c r="U120" s="335">
        <f t="shared" si="36"/>
        <v>2.3228821264137967</v>
      </c>
      <c r="V120" s="124"/>
      <c r="W120" s="140"/>
      <c r="X120" s="149"/>
      <c r="Y120" s="71" t="str">
        <f t="shared" si="37"/>
        <v>Hampshire</v>
      </c>
      <c r="Z120" s="45">
        <f>IF(H120&gt;0,IDACI!D13,0)</f>
        <v>249483</v>
      </c>
      <c r="AA120" s="45">
        <f>IF(H120&gt;0,IDACI!E13,0)</f>
        <v>25197.783000000007</v>
      </c>
      <c r="AB120" s="202">
        <f>IF(ISNUMBER(D120),Population!D14,"")</f>
        <v>281500</v>
      </c>
      <c r="AC120" s="202">
        <f>IF(ISNUMBER(E120),Population!E14,"")</f>
        <v>281900</v>
      </c>
      <c r="AD120" s="202">
        <f>IF(ISNUMBER(F120),Population!F14,"")</f>
        <v>282800</v>
      </c>
      <c r="AE120" s="202">
        <f>IF(ISNUMBER(G120),Population!G14,"")</f>
        <v>283300</v>
      </c>
      <c r="AF120" s="202">
        <f>IF(ISNUMBER(H120),Population!H14,"")</f>
        <v>284000</v>
      </c>
      <c r="AG120" s="95" t="s">
        <v>6</v>
      </c>
      <c r="AH120" s="225">
        <f t="shared" si="38"/>
        <v>15.457746478873238</v>
      </c>
      <c r="AI120" s="203">
        <f t="shared" si="39"/>
        <v>9</v>
      </c>
      <c r="AJ120" s="199"/>
      <c r="AK120" s="156"/>
      <c r="AL120" s="792">
        <f t="shared" si="40"/>
        <v>8.1699346405228759E-2</v>
      </c>
      <c r="AM120" s="792">
        <f t="shared" si="41"/>
        <v>0.20543806646525681</v>
      </c>
      <c r="AN120" s="792">
        <f t="shared" si="42"/>
        <v>0.12781954887218044</v>
      </c>
      <c r="AO120" s="792">
        <f t="shared" si="43"/>
        <v>-2.4444444444444446E-2</v>
      </c>
      <c r="AP120" s="792">
        <f t="shared" si="44"/>
        <v>9.7628129324555391E-2</v>
      </c>
      <c r="AR120" s="888">
        <f t="shared" si="45"/>
        <v>11.741752394466122</v>
      </c>
      <c r="AS120" s="888">
        <f t="shared" si="27"/>
        <v>14.108910891089108</v>
      </c>
      <c r="AT120" s="888">
        <f t="shared" si="28"/>
        <v>15.884221673138017</v>
      </c>
      <c r="AU120" s="888">
        <f t="shared" si="29"/>
        <v>15.457746478873238</v>
      </c>
      <c r="AV120" s="888">
        <f t="shared" si="30"/>
        <v>57.192631437566483</v>
      </c>
      <c r="AW120" s="550">
        <f t="shared" si="31"/>
        <v>0</v>
      </c>
      <c r="AX120" s="888">
        <f t="shared" si="46"/>
        <v>57.192631437566483</v>
      </c>
    </row>
    <row r="121" spans="1:50" s="89" customFormat="1" ht="13.5" customHeight="1" x14ac:dyDescent="0.2">
      <c r="A121" s="462">
        <f>VLOOKUP(B121,Sheet1!$AQ$4:$AR$25,2,FALSE)</f>
        <v>0</v>
      </c>
      <c r="B121" s="95" t="str">
        <f>Sheet1!$K$9</f>
        <v>Isle of Wight</v>
      </c>
      <c r="C121" s="87"/>
      <c r="D121" s="96">
        <f>IF(Year1_Isle_of_Wight Year1_Care_Applications_Children="","",Year1_Isle_of_Wight Year1_Care_Applications_Children)</f>
        <v>59</v>
      </c>
      <c r="E121" s="96">
        <f>IF(Year2_Isle_of_Wight Year2_Care_Applications_Children="","",Year2_Isle_of_Wight Year2_Care_Applications_Children)</f>
        <v>49</v>
      </c>
      <c r="F121" s="96">
        <f>IF(Year3_Isle_of_Wight Year3_Care_Applications_Children="","",Year3_Isle_of_Wight Year3_Care_Applications_Children)</f>
        <v>57</v>
      </c>
      <c r="G121" s="96">
        <f>IF(Year4_Isle_of_Wight Year4_Care_Applications_Children="","",Year4_Isle_of_Wight Year4_Care_Applications_Children)</f>
        <v>79</v>
      </c>
      <c r="H121" s="791">
        <f>IF(Year5_Isle_of_Wight Year5_Care_Applications_Children="","",Year5_Isle_of_Wight Year5_Care_Applications_Children)</f>
        <v>62</v>
      </c>
      <c r="I121" s="975">
        <f t="shared" si="32"/>
        <v>4.1137204890425084E-2</v>
      </c>
      <c r="J121" s="98"/>
      <c r="K121" s="99">
        <f>IF(ISNUMBER(D121),D121/Population!D15*10000,NA())</f>
        <v>23.137254901960787</v>
      </c>
      <c r="L121" s="99">
        <f>IF(ISNUMBER(E121),E121/Population!E15*10000,NA())</f>
        <v>19.367588932806324</v>
      </c>
      <c r="M121" s="99">
        <f>IF(ISNUMBER(F121),F121/Population!F15*10000,NA())</f>
        <v>22.619047619047617</v>
      </c>
      <c r="N121" s="99">
        <f>IF(ISNUMBER(G121),G121/Population!G15*10000,NA())</f>
        <v>31.474103585657371</v>
      </c>
      <c r="O121" s="100">
        <f>IF(ISNUMBER(H121),H121/Population!H15*10000,NA())</f>
        <v>24.899598393574298</v>
      </c>
      <c r="P121" s="101">
        <f t="shared" si="33"/>
        <v>24.899598393574298</v>
      </c>
      <c r="Q121" s="770">
        <f t="shared" si="34"/>
        <v>18</v>
      </c>
      <c r="R121" s="69"/>
      <c r="S121" s="333">
        <f t="shared" si="35"/>
        <v>18</v>
      </c>
      <c r="T121" s="334">
        <f t="shared" si="26"/>
        <v>20.846924636999262</v>
      </c>
      <c r="U121" s="335">
        <f t="shared" si="36"/>
        <v>4.0526737565750359</v>
      </c>
      <c r="V121" s="124"/>
      <c r="W121" s="140"/>
      <c r="X121" s="149"/>
      <c r="Y121" s="71" t="str">
        <f t="shared" si="37"/>
        <v>Isle of Wight</v>
      </c>
      <c r="Z121" s="45">
        <f>IF(H121&gt;0,IDACI!D14,0)</f>
        <v>22123</v>
      </c>
      <c r="AA121" s="45">
        <f>IF(H121&gt;0,IDACI!E14,0)</f>
        <v>3982.14</v>
      </c>
      <c r="AB121" s="202">
        <f>IF(ISNUMBER(D121),Population!D15,"")</f>
        <v>25500</v>
      </c>
      <c r="AC121" s="202">
        <f>IF(ISNUMBER(E121),Population!E15,"")</f>
        <v>25300</v>
      </c>
      <c r="AD121" s="202">
        <f>IF(ISNUMBER(F121),Population!F15,"")</f>
        <v>25200</v>
      </c>
      <c r="AE121" s="202">
        <f>IF(ISNUMBER(G121),Population!G15,"")</f>
        <v>25100</v>
      </c>
      <c r="AF121" s="202">
        <f>IF(ISNUMBER(H121),Population!H15,"")</f>
        <v>24900</v>
      </c>
      <c r="AG121" s="95" t="s">
        <v>1</v>
      </c>
      <c r="AH121" s="225">
        <f t="shared" si="38"/>
        <v>24.899598393574298</v>
      </c>
      <c r="AI121" s="203">
        <f t="shared" si="39"/>
        <v>17</v>
      </c>
      <c r="AJ121" s="199"/>
      <c r="AK121" s="156"/>
      <c r="AL121" s="792">
        <f t="shared" si="40"/>
        <v>-0.16949152542372881</v>
      </c>
      <c r="AM121" s="792">
        <f t="shared" si="41"/>
        <v>0.16326530612244897</v>
      </c>
      <c r="AN121" s="792">
        <f t="shared" si="42"/>
        <v>0.38596491228070173</v>
      </c>
      <c r="AO121" s="792">
        <f t="shared" si="43"/>
        <v>-0.21518987341772153</v>
      </c>
      <c r="AP121" s="792">
        <f t="shared" si="44"/>
        <v>4.1137204890425084E-2</v>
      </c>
      <c r="AR121" s="888">
        <f t="shared" si="45"/>
        <v>19.367588932806324</v>
      </c>
      <c r="AS121" s="888">
        <f t="shared" si="27"/>
        <v>22.619047619047617</v>
      </c>
      <c r="AT121" s="888">
        <f t="shared" si="28"/>
        <v>31.474103585657371</v>
      </c>
      <c r="AU121" s="888">
        <f t="shared" si="29"/>
        <v>24.899598393574298</v>
      </c>
      <c r="AV121" s="888">
        <f t="shared" si="30"/>
        <v>98.360338531085603</v>
      </c>
      <c r="AW121" s="550">
        <f t="shared" si="31"/>
        <v>0</v>
      </c>
      <c r="AX121" s="888">
        <f t="shared" si="46"/>
        <v>98.360338531085603</v>
      </c>
    </row>
    <row r="122" spans="1:50" s="89" customFormat="1" ht="13.5" customHeight="1" x14ac:dyDescent="0.2">
      <c r="A122" s="462">
        <f>VLOOKUP(B122,Sheet1!$AQ$4:$AR$25,2,FALSE)</f>
        <v>0</v>
      </c>
      <c r="B122" s="95" t="str">
        <f>Sheet1!$K$10</f>
        <v>Kent</v>
      </c>
      <c r="C122" s="87"/>
      <c r="D122" s="96">
        <f>IF(Year1_Kent Year1_Care_Applications_Children="","",Year1_Kent Year1_Care_Applications_Children)</f>
        <v>415</v>
      </c>
      <c r="E122" s="96">
        <f>IF(Year2_Kent Year2_Care_Applications_Children="","",Year2_Kent Year2_Care_Applications_Children)</f>
        <v>500</v>
      </c>
      <c r="F122" s="96">
        <f>IF(Year3_Kent Year3_Care_Applications_Children="","",Year3_Kent Year3_Care_Applications_Children)</f>
        <v>522</v>
      </c>
      <c r="G122" s="96">
        <f>IF(Year4_Kent Year4_Care_Applications_Children="","",Year4_Kent Year4_Care_Applications_Children)</f>
        <v>488</v>
      </c>
      <c r="H122" s="791">
        <f>IF(Year5_Kent Year5_Care_Applications_Children="","",Year5_Kent Year5_Care_Applications_Children)</f>
        <v>378</v>
      </c>
      <c r="I122" s="975">
        <f t="shared" si="32"/>
        <v>-1.0431164643499573E-2</v>
      </c>
      <c r="J122" s="98"/>
      <c r="K122" s="99">
        <f>IF(ISNUMBER(D122),D122/Population!D16*10000,NA())</f>
        <v>12.640877246420956</v>
      </c>
      <c r="L122" s="99">
        <f>IF(ISNUMBER(E122),E122/Population!E16*10000,NA())</f>
        <v>15.13317191283293</v>
      </c>
      <c r="M122" s="99">
        <f>IF(ISNUMBER(F122),F122/Population!F16*10000,NA())</f>
        <v>15.675675675675675</v>
      </c>
      <c r="N122" s="99">
        <f>IF(ISNUMBER(G122),G122/Population!G16*10000,NA())</f>
        <v>14.519488247545372</v>
      </c>
      <c r="O122" s="100">
        <f>IF(ISNUMBER(H122),H122/Population!H16*10000,NA())</f>
        <v>11.114378124081153</v>
      </c>
      <c r="P122" s="101">
        <f t="shared" si="33"/>
        <v>11.114378124081153</v>
      </c>
      <c r="Q122" s="770">
        <f t="shared" si="34"/>
        <v>3</v>
      </c>
      <c r="R122" s="69"/>
      <c r="S122" s="333">
        <f t="shared" si="35"/>
        <v>15.8</v>
      </c>
      <c r="T122" s="334">
        <f t="shared" si="26"/>
        <v>18.69926227927931</v>
      </c>
      <c r="U122" s="335">
        <f t="shared" si="36"/>
        <v>-7.5848841551981572</v>
      </c>
      <c r="V122" s="124"/>
      <c r="W122" s="140"/>
      <c r="X122" s="149"/>
      <c r="Y122" s="71" t="str">
        <f t="shared" si="37"/>
        <v>Kent</v>
      </c>
      <c r="Z122" s="45">
        <f>IF(H122&gt;0,IDACI!D15,0)</f>
        <v>291866</v>
      </c>
      <c r="AA122" s="45">
        <f>IF(H122&gt;0,IDACI!E15,0)</f>
        <v>46114.828000000001</v>
      </c>
      <c r="AB122" s="202">
        <f>IF(ISNUMBER(D122),Population!D16,"")</f>
        <v>328300</v>
      </c>
      <c r="AC122" s="202">
        <f>IF(ISNUMBER(E122),Population!E16,"")</f>
        <v>330400</v>
      </c>
      <c r="AD122" s="202">
        <f>IF(ISNUMBER(F122),Population!F16,"")</f>
        <v>333000</v>
      </c>
      <c r="AE122" s="202">
        <f>IF(ISNUMBER(G122),Population!G16,"")</f>
        <v>336100</v>
      </c>
      <c r="AF122" s="202">
        <f>IF(ISNUMBER(H122),Population!H16,"")</f>
        <v>340100</v>
      </c>
      <c r="AG122" s="95" t="s">
        <v>9</v>
      </c>
      <c r="AH122" s="225">
        <f t="shared" si="38"/>
        <v>11.114378124081153</v>
      </c>
      <c r="AI122" s="203">
        <f t="shared" si="39"/>
        <v>1</v>
      </c>
      <c r="AJ122" s="199"/>
      <c r="AK122" s="156"/>
      <c r="AL122" s="792">
        <f t="shared" si="40"/>
        <v>0.20481927710843373</v>
      </c>
      <c r="AM122" s="792">
        <f t="shared" si="41"/>
        <v>4.3999999999999997E-2</v>
      </c>
      <c r="AN122" s="792">
        <f t="shared" si="42"/>
        <v>-6.5134099616858232E-2</v>
      </c>
      <c r="AO122" s="792">
        <f t="shared" si="43"/>
        <v>-0.22540983606557377</v>
      </c>
      <c r="AP122" s="792">
        <f t="shared" si="44"/>
        <v>-1.0431164643499573E-2</v>
      </c>
      <c r="AR122" s="888">
        <f t="shared" si="45"/>
        <v>15.13317191283293</v>
      </c>
      <c r="AS122" s="888">
        <f t="shared" si="27"/>
        <v>15.675675675675675</v>
      </c>
      <c r="AT122" s="888">
        <f t="shared" si="28"/>
        <v>14.519488247545372</v>
      </c>
      <c r="AU122" s="888">
        <f t="shared" si="29"/>
        <v>11.114378124081153</v>
      </c>
      <c r="AV122" s="888">
        <f t="shared" si="30"/>
        <v>56.442713960135137</v>
      </c>
      <c r="AW122" s="550">
        <f t="shared" si="31"/>
        <v>0</v>
      </c>
      <c r="AX122" s="888">
        <f t="shared" si="46"/>
        <v>56.442713960135137</v>
      </c>
    </row>
    <row r="123" spans="1:50" s="89" customFormat="1" ht="13.5" customHeight="1" x14ac:dyDescent="0.2">
      <c r="A123" s="462">
        <f>VLOOKUP(B123,Sheet1!$AQ$4:$AR$25,2,FALSE)</f>
        <v>0</v>
      </c>
      <c r="B123" s="95" t="str">
        <f>Sheet1!$K$11</f>
        <v>Medway</v>
      </c>
      <c r="C123" s="87"/>
      <c r="D123" s="96">
        <f>IF(Year1_Medway Year1_Care_Applications_Children="","",Year1_Medway Year1_Care_Applications_Children)</f>
        <v>171</v>
      </c>
      <c r="E123" s="290">
        <f>IF(Year2_Medway Year2_Care_Applications_Children="","",Year2_Medway Year2_Care_Applications_Children)</f>
        <v>250</v>
      </c>
      <c r="F123" s="290">
        <f>IF(Year3_Medway Year3_Care_Applications_Children="","",Year3_Medway Year3_Care_Applications_Children)</f>
        <v>93</v>
      </c>
      <c r="G123" s="290">
        <f>IF(Year4_Medway Year4_Care_Applications_Children="","",Year4_Medway Year4_Care_Applications_Children)</f>
        <v>142</v>
      </c>
      <c r="H123" s="791">
        <f>IF(Year5_Medway Year5_Care_Applications_Children="","",Year5_Medway Year5_Care_Applications_Children)</f>
        <v>118</v>
      </c>
      <c r="I123" s="975">
        <f t="shared" si="32"/>
        <v>4.7963985004158119E-2</v>
      </c>
      <c r="J123" s="98"/>
      <c r="K123" s="99">
        <f>IF(ISNUMBER(D123),D123/Population!D17*10000,NA())</f>
        <v>27.360000000000003</v>
      </c>
      <c r="L123" s="99">
        <f>IF(ISNUMBER(E123),E123/Population!E17*10000,NA())</f>
        <v>39.556962025316459</v>
      </c>
      <c r="M123" s="99">
        <f>IF(ISNUMBER(F123),F123/Population!F17*10000,NA())</f>
        <v>14.599686028257457</v>
      </c>
      <c r="N123" s="99">
        <f>IF(ISNUMBER(G123),G123/Population!G17*10000,NA())</f>
        <v>22.222222222222221</v>
      </c>
      <c r="O123" s="100">
        <f>IF(ISNUMBER(H123),H123/Population!H17*10000,NA())</f>
        <v>18.322981366459629</v>
      </c>
      <c r="P123" s="101">
        <f t="shared" si="33"/>
        <v>18.322981366459629</v>
      </c>
      <c r="Q123" s="770">
        <f t="shared" si="34"/>
        <v>12</v>
      </c>
      <c r="R123" s="69"/>
      <c r="S123" s="333">
        <f t="shared" si="35"/>
        <v>18.899999999999999</v>
      </c>
      <c r="T123" s="334">
        <f t="shared" si="26"/>
        <v>21.725513783339238</v>
      </c>
      <c r="U123" s="335">
        <f t="shared" si="36"/>
        <v>-3.4025324168796089</v>
      </c>
      <c r="V123" s="124"/>
      <c r="W123" s="140"/>
      <c r="X123" s="149"/>
      <c r="Y123" s="71" t="str">
        <f t="shared" si="37"/>
        <v>Medway</v>
      </c>
      <c r="Z123" s="45">
        <f>IF(H123&gt;0,IDACI!D16,0)</f>
        <v>55993</v>
      </c>
      <c r="AA123" s="45">
        <f>IF(H123&gt;0,IDACI!E16,0)</f>
        <v>10582.676999999998</v>
      </c>
      <c r="AB123" s="202">
        <f>IF(ISNUMBER(D123),Population!D17,"")</f>
        <v>62500</v>
      </c>
      <c r="AC123" s="202">
        <f>IF(ISNUMBER(E123),Population!E17,"")</f>
        <v>63200</v>
      </c>
      <c r="AD123" s="202">
        <f>IF(ISNUMBER(F123),Population!F17,"")</f>
        <v>63700</v>
      </c>
      <c r="AE123" s="202">
        <f>IF(ISNUMBER(G123),Population!G17,"")</f>
        <v>63900</v>
      </c>
      <c r="AF123" s="202">
        <f>IF(ISNUMBER(H123),Population!H17,"")</f>
        <v>64400</v>
      </c>
      <c r="AG123" s="95" t="s">
        <v>2</v>
      </c>
      <c r="AH123" s="225">
        <f t="shared" si="38"/>
        <v>18.322981366459629</v>
      </c>
      <c r="AI123" s="203">
        <f t="shared" si="39"/>
        <v>11</v>
      </c>
      <c r="AJ123" s="199"/>
      <c r="AK123" s="156"/>
      <c r="AL123" s="792">
        <f t="shared" si="40"/>
        <v>0.46198830409356723</v>
      </c>
      <c r="AM123" s="792">
        <f t="shared" si="41"/>
        <v>-0.628</v>
      </c>
      <c r="AN123" s="792">
        <f t="shared" si="42"/>
        <v>0.5268817204301075</v>
      </c>
      <c r="AO123" s="792">
        <f t="shared" si="43"/>
        <v>-0.16901408450704225</v>
      </c>
      <c r="AP123" s="792">
        <f t="shared" si="44"/>
        <v>4.7963985004158119E-2</v>
      </c>
      <c r="AR123" s="888">
        <f t="shared" si="45"/>
        <v>39.556962025316459</v>
      </c>
      <c r="AS123" s="888">
        <f t="shared" si="27"/>
        <v>14.599686028257457</v>
      </c>
      <c r="AT123" s="888">
        <f t="shared" si="28"/>
        <v>22.222222222222221</v>
      </c>
      <c r="AU123" s="888">
        <f t="shared" si="29"/>
        <v>18.322981366459629</v>
      </c>
      <c r="AV123" s="888">
        <f t="shared" si="30"/>
        <v>94.701851642255775</v>
      </c>
      <c r="AW123" s="550">
        <f t="shared" si="31"/>
        <v>0</v>
      </c>
      <c r="AX123" s="888">
        <f t="shared" si="46"/>
        <v>94.701851642255775</v>
      </c>
    </row>
    <row r="124" spans="1:50" s="89" customFormat="1" ht="13.5" customHeight="1" x14ac:dyDescent="0.2">
      <c r="A124" s="462">
        <f>VLOOKUP(B124,Sheet1!$AQ$4:$AR$25,2,FALSE)</f>
        <v>0</v>
      </c>
      <c r="B124" s="95" t="str">
        <f>Sheet1!$K$12</f>
        <v>Milton Keynes</v>
      </c>
      <c r="C124" s="87"/>
      <c r="D124" s="96">
        <f>IF(Year1_Milton_Keynes Year1_Care_Applications_Children="","",Year1_Milton_Keynes Year1_Care_Applications_Children)</f>
        <v>61</v>
      </c>
      <c r="E124" s="96">
        <f>IF(Year2_Milton_Keynes Year2_Care_Applications_Children="","",Year2_Milton_Keynes Year2_Care_Applications_Children)</f>
        <v>114</v>
      </c>
      <c r="F124" s="96">
        <f>IF(Year3_Milton_Keynes Year3_Care_Applications_Children="","",Year3_Milton_Keynes Year3_Care_Applications_Children)</f>
        <v>159</v>
      </c>
      <c r="G124" s="96">
        <f>IF(Year4_Milton_Keynes Year4_Care_Applications_Children="","",Year4_Milton_Keynes Year4_Care_Applications_Children)</f>
        <v>103</v>
      </c>
      <c r="H124" s="791">
        <f>IF(Year5_Milton_Keynes Year5_Care_Applications_Children="","",Year5_Milton_Keynes Year5_Care_Applications_Children)</f>
        <v>121</v>
      </c>
      <c r="I124" s="975">
        <f t="shared" si="32"/>
        <v>0.27153633120335485</v>
      </c>
      <c r="J124" s="98"/>
      <c r="K124" s="99">
        <f>IF(ISNUMBER(D124),D124/Population!D18*10000,NA())</f>
        <v>9.3558282208588963</v>
      </c>
      <c r="L124" s="99">
        <f>IF(ISNUMBER(E124),E124/Population!E18*10000,NA())</f>
        <v>17.246596066565811</v>
      </c>
      <c r="M124" s="99">
        <f>IF(ISNUMBER(F124),F124/Population!F18*10000,NA())</f>
        <v>23.69597615499255</v>
      </c>
      <c r="N124" s="99">
        <f>IF(ISNUMBER(G124),G124/Population!G18*10000,NA())</f>
        <v>15.236686390532546</v>
      </c>
      <c r="O124" s="100">
        <f>IF(ISNUMBER(H124),H124/Population!H18*10000,NA())</f>
        <v>17.715959004392388</v>
      </c>
      <c r="P124" s="101">
        <f t="shared" si="33"/>
        <v>17.715959004392388</v>
      </c>
      <c r="Q124" s="770">
        <f t="shared" si="34"/>
        <v>10</v>
      </c>
      <c r="R124" s="69"/>
      <c r="S124" s="333">
        <f t="shared" si="35"/>
        <v>15</v>
      </c>
      <c r="T124" s="334">
        <f t="shared" si="26"/>
        <v>17.918294149199326</v>
      </c>
      <c r="U124" s="335">
        <f t="shared" si="36"/>
        <v>-0.20233514480693771</v>
      </c>
      <c r="V124" s="124"/>
      <c r="W124" s="140"/>
      <c r="X124" s="149"/>
      <c r="Y124" s="71" t="str">
        <f t="shared" si="37"/>
        <v>Milton Keynes</v>
      </c>
      <c r="Z124" s="45">
        <f>IF(H124&gt;0,IDACI!D17,0)</f>
        <v>59903</v>
      </c>
      <c r="AA124" s="45">
        <f>IF(H124&gt;0,IDACI!E17,0)</f>
        <v>8985.4499999999989</v>
      </c>
      <c r="AB124" s="202">
        <f>IF(ISNUMBER(D124),Population!D18,"")</f>
        <v>65200</v>
      </c>
      <c r="AC124" s="202">
        <f>IF(ISNUMBER(E124),Population!E18,"")</f>
        <v>66100</v>
      </c>
      <c r="AD124" s="202">
        <f>IF(ISNUMBER(F124),Population!F18,"")</f>
        <v>67100</v>
      </c>
      <c r="AE124" s="202">
        <f>IF(ISNUMBER(G124),Population!G18,"")</f>
        <v>67600</v>
      </c>
      <c r="AF124" s="202">
        <f>IF(ISNUMBER(H124),Population!H18,"")</f>
        <v>68300</v>
      </c>
      <c r="AG124" s="95" t="s">
        <v>10</v>
      </c>
      <c r="AH124" s="225">
        <f t="shared" si="38"/>
        <v>17.715959004392388</v>
      </c>
      <c r="AI124" s="203">
        <f t="shared" si="39"/>
        <v>10</v>
      </c>
      <c r="AJ124" s="199"/>
      <c r="AK124" s="156"/>
      <c r="AL124" s="792">
        <f t="shared" si="40"/>
        <v>0.86885245901639341</v>
      </c>
      <c r="AM124" s="792">
        <f t="shared" si="41"/>
        <v>0.39473684210526316</v>
      </c>
      <c r="AN124" s="792">
        <f t="shared" si="42"/>
        <v>-0.3522012578616352</v>
      </c>
      <c r="AO124" s="792">
        <f t="shared" si="43"/>
        <v>0.17475728155339806</v>
      </c>
      <c r="AP124" s="792">
        <f t="shared" si="44"/>
        <v>0.27153633120335485</v>
      </c>
      <c r="AR124" s="888">
        <f t="shared" si="45"/>
        <v>17.246596066565811</v>
      </c>
      <c r="AS124" s="888">
        <f t="shared" si="27"/>
        <v>23.69597615499255</v>
      </c>
      <c r="AT124" s="888">
        <f t="shared" si="28"/>
        <v>15.236686390532546</v>
      </c>
      <c r="AU124" s="888">
        <f t="shared" si="29"/>
        <v>17.715959004392388</v>
      </c>
      <c r="AV124" s="888">
        <f t="shared" si="30"/>
        <v>73.895217616483308</v>
      </c>
      <c r="AW124" s="550">
        <f t="shared" si="31"/>
        <v>0</v>
      </c>
      <c r="AX124" s="888">
        <f t="shared" si="46"/>
        <v>73.895217616483308</v>
      </c>
    </row>
    <row r="125" spans="1:50" s="89" customFormat="1" ht="13.5" customHeight="1" x14ac:dyDescent="0.2">
      <c r="A125" s="462">
        <f>VLOOKUP(B125,Sheet1!$AQ$4:$AR$25,2,FALSE)</f>
        <v>0</v>
      </c>
      <c r="B125" s="95" t="str">
        <f>Sheet1!$K$13</f>
        <v>Oxfordshire</v>
      </c>
      <c r="C125" s="87"/>
      <c r="D125" s="96">
        <f>IF(Year1_Oxfordshire Year1_Care_Applications_Children="","",Year1_Oxfordshire Year1_Care_Applications_Children)</f>
        <v>202</v>
      </c>
      <c r="E125" s="96">
        <f>IF(Year2_Oxfordshire Year2_Care_Applications_Children="","",Year2_Oxfordshire Year2_Care_Applications_Children)</f>
        <v>273</v>
      </c>
      <c r="F125" s="96">
        <f>IF(Year3_Oxfordshire Year3_Care_Applications_Children="","",Year3_Oxfordshire Year3_Care_Applications_Children)</f>
        <v>258</v>
      </c>
      <c r="G125" s="96">
        <f>IF(Year4_Oxfordshire Year4_Care_Applications_Children="","",Year4_Oxfordshire Year4_Care_Applications_Children)</f>
        <v>235</v>
      </c>
      <c r="H125" s="791">
        <f>IF(Year5_Oxfordshire Year5_Care_Applications_Children="","",Year5_Oxfordshire Year5_Care_Applications_Children)</f>
        <v>267</v>
      </c>
      <c r="I125" s="975">
        <f t="shared" si="32"/>
        <v>8.5890754878512138E-2</v>
      </c>
      <c r="J125" s="98"/>
      <c r="K125" s="99">
        <f>IF(ISNUMBER(D125),D125/Population!D19*10000,NA())</f>
        <v>14.305949008498583</v>
      </c>
      <c r="L125" s="99">
        <f>IF(ISNUMBER(E125),E125/Population!E19*10000,NA())</f>
        <v>19.2524682651622</v>
      </c>
      <c r="M125" s="99">
        <f>IF(ISNUMBER(F125),F125/Population!F19*10000,NA())</f>
        <v>18.054583624912524</v>
      </c>
      <c r="N125" s="99">
        <f>IF(ISNUMBER(G125),G125/Population!G19*10000,NA())</f>
        <v>16.387726638772666</v>
      </c>
      <c r="O125" s="100">
        <f>IF(ISNUMBER(H125),H125/Population!H19*10000,NA())</f>
        <v>18.439226519337016</v>
      </c>
      <c r="P125" s="101">
        <f t="shared" si="33"/>
        <v>18.439226519337016</v>
      </c>
      <c r="Q125" s="770">
        <f t="shared" si="34"/>
        <v>11</v>
      </c>
      <c r="R125" s="69"/>
      <c r="S125" s="333">
        <f t="shared" si="35"/>
        <v>10.100000000000001</v>
      </c>
      <c r="T125" s="334">
        <f t="shared" si="26"/>
        <v>13.134864352459442</v>
      </c>
      <c r="U125" s="335">
        <f t="shared" si="36"/>
        <v>5.3043621668775742</v>
      </c>
      <c r="V125" s="124"/>
      <c r="W125" s="140"/>
      <c r="X125" s="149"/>
      <c r="Y125" s="71" t="str">
        <f t="shared" si="37"/>
        <v>Oxfordshire</v>
      </c>
      <c r="Z125" s="45">
        <f>IF(H125&gt;0,IDACI!D18,0)</f>
        <v>126119</v>
      </c>
      <c r="AA125" s="45">
        <f>IF(H125&gt;0,IDACI!E18,0)</f>
        <v>12738.019000000002</v>
      </c>
      <c r="AB125" s="202">
        <f>IF(ISNUMBER(D125),Population!D19,"")</f>
        <v>141200</v>
      </c>
      <c r="AC125" s="202">
        <f>IF(ISNUMBER(E125),Population!E19,"")</f>
        <v>141800</v>
      </c>
      <c r="AD125" s="202">
        <f>IF(ISNUMBER(F125),Population!F19,"")</f>
        <v>142900</v>
      </c>
      <c r="AE125" s="202">
        <f>IF(ISNUMBER(G125),Population!G19,"")</f>
        <v>143400</v>
      </c>
      <c r="AF125" s="202">
        <f>IF(ISNUMBER(H125),Population!H19,"")</f>
        <v>144800</v>
      </c>
      <c r="AG125" s="95" t="s">
        <v>11</v>
      </c>
      <c r="AH125" s="225">
        <f t="shared" si="38"/>
        <v>18.439226519337016</v>
      </c>
      <c r="AI125" s="203">
        <f t="shared" si="39"/>
        <v>12</v>
      </c>
      <c r="AJ125" s="199"/>
      <c r="AK125" s="156"/>
      <c r="AL125" s="792">
        <f t="shared" si="40"/>
        <v>0.35148514851485146</v>
      </c>
      <c r="AM125" s="792">
        <f t="shared" si="41"/>
        <v>-5.4945054945054944E-2</v>
      </c>
      <c r="AN125" s="792">
        <f t="shared" si="42"/>
        <v>-8.9147286821705432E-2</v>
      </c>
      <c r="AO125" s="792">
        <f t="shared" si="43"/>
        <v>0.13617021276595745</v>
      </c>
      <c r="AP125" s="792">
        <f t="shared" si="44"/>
        <v>8.5890754878512138E-2</v>
      </c>
      <c r="AR125" s="888">
        <f t="shared" si="45"/>
        <v>19.2524682651622</v>
      </c>
      <c r="AS125" s="888">
        <f t="shared" si="27"/>
        <v>18.054583624912524</v>
      </c>
      <c r="AT125" s="888">
        <f t="shared" si="28"/>
        <v>16.387726638772666</v>
      </c>
      <c r="AU125" s="888">
        <f t="shared" si="29"/>
        <v>18.439226519337016</v>
      </c>
      <c r="AV125" s="888">
        <f t="shared" si="30"/>
        <v>72.134005048184406</v>
      </c>
      <c r="AW125" s="550">
        <f t="shared" si="31"/>
        <v>0</v>
      </c>
      <c r="AX125" s="888">
        <f t="shared" si="46"/>
        <v>72.134005048184406</v>
      </c>
    </row>
    <row r="126" spans="1:50" s="89" customFormat="1" ht="13.5" customHeight="1" x14ac:dyDescent="0.2">
      <c r="A126" s="462">
        <f>VLOOKUP(B126,Sheet1!$AQ$4:$AR$25,2,FALSE)</f>
        <v>0</v>
      </c>
      <c r="B126" s="95" t="str">
        <f>Sheet1!$K$14</f>
        <v>Portsmouth</v>
      </c>
      <c r="C126" s="87"/>
      <c r="D126" s="96">
        <f>IF(Year1_Portsmouth Year1_Care_Applications_Children="","",Year1_Portsmouth Year1_Care_Applications_Children)</f>
        <v>107</v>
      </c>
      <c r="E126" s="96">
        <f>IF(Year2_Portsmouth Year2_Care_Applications_Children="","",Year2_Portsmouth Year2_Care_Applications_Children)</f>
        <v>64</v>
      </c>
      <c r="F126" s="96">
        <f>IF(Year3_Portsmouth Year3_Care_Applications_Children="","",Year3_Portsmouth Year3_Care_Applications_Children)</f>
        <v>82</v>
      </c>
      <c r="G126" s="96">
        <f>IF(Year4_Portsmouth Year4_Care_Applications_Children="","",Year4_Portsmouth Year4_Care_Applications_Children)</f>
        <v>118</v>
      </c>
      <c r="H126" s="791">
        <f>IF(Year5_Portsmouth Year5_Care_Applications_Children="","",Year5_Portsmouth Year5_Care_Applications_Children)</f>
        <v>108</v>
      </c>
      <c r="I126" s="975">
        <f t="shared" si="32"/>
        <v>5.8414867163383344E-2</v>
      </c>
      <c r="J126" s="98"/>
      <c r="K126" s="99">
        <f>IF(ISNUMBER(D126),D126/Population!D20*10000,NA())</f>
        <v>24.654377880184331</v>
      </c>
      <c r="L126" s="99">
        <f>IF(ISNUMBER(E126),E126/Population!E20*10000,NA())</f>
        <v>14.611872146118722</v>
      </c>
      <c r="M126" s="99">
        <f>IF(ISNUMBER(F126),F126/Population!F20*10000,NA())</f>
        <v>18.636363636363637</v>
      </c>
      <c r="N126" s="99">
        <f>IF(ISNUMBER(G126),G126/Population!G20*10000,NA())</f>
        <v>26.696832579185518</v>
      </c>
      <c r="O126" s="100">
        <f>IF(ISNUMBER(H126),H126/Population!H20*10000,NA())</f>
        <v>24.545454545454543</v>
      </c>
      <c r="P126" s="101">
        <f t="shared" si="33"/>
        <v>24.545454545454543</v>
      </c>
      <c r="Q126" s="770">
        <f t="shared" si="34"/>
        <v>16</v>
      </c>
      <c r="R126" s="69"/>
      <c r="S126" s="333">
        <f t="shared" si="35"/>
        <v>20.200000000000003</v>
      </c>
      <c r="T126" s="334">
        <f t="shared" si="26"/>
        <v>22.994586994719214</v>
      </c>
      <c r="U126" s="335">
        <f t="shared" si="36"/>
        <v>1.5508675507353296</v>
      </c>
      <c r="V126" s="124"/>
      <c r="W126" s="140"/>
      <c r="X126" s="149"/>
      <c r="Y126" s="71" t="str">
        <f t="shared" si="37"/>
        <v>Portsmouth</v>
      </c>
      <c r="Z126" s="45">
        <f>IF(H126&gt;0,IDACI!D19,0)</f>
        <v>39325</v>
      </c>
      <c r="AA126" s="45">
        <f>IF(H126&gt;0,IDACI!E19,0)</f>
        <v>7943.6500000000015</v>
      </c>
      <c r="AB126" s="202">
        <f>IF(ISNUMBER(D126),Population!D20,"")</f>
        <v>43400</v>
      </c>
      <c r="AC126" s="202">
        <f>IF(ISNUMBER(E126),Population!E20,"")</f>
        <v>43800</v>
      </c>
      <c r="AD126" s="202">
        <f>IF(ISNUMBER(F126),Population!F20,"")</f>
        <v>44000</v>
      </c>
      <c r="AE126" s="202">
        <f>IF(ISNUMBER(G126),Population!G20,"")</f>
        <v>44200</v>
      </c>
      <c r="AF126" s="202">
        <f>IF(ISNUMBER(H126),Population!H20,"")</f>
        <v>44000</v>
      </c>
      <c r="AG126" s="95" t="s">
        <v>12</v>
      </c>
      <c r="AH126" s="225">
        <f t="shared" si="38"/>
        <v>24.545454545454543</v>
      </c>
      <c r="AI126" s="203">
        <f t="shared" si="39"/>
        <v>16</v>
      </c>
      <c r="AJ126" s="199"/>
      <c r="AK126" s="156"/>
      <c r="AL126" s="792">
        <f t="shared" si="40"/>
        <v>-0.40186915887850466</v>
      </c>
      <c r="AM126" s="792">
        <f t="shared" si="41"/>
        <v>0.28125</v>
      </c>
      <c r="AN126" s="792">
        <f t="shared" si="42"/>
        <v>0.43902439024390244</v>
      </c>
      <c r="AO126" s="792">
        <f t="shared" si="43"/>
        <v>-8.4745762711864403E-2</v>
      </c>
      <c r="AP126" s="792">
        <f t="shared" si="44"/>
        <v>5.8414867163383344E-2</v>
      </c>
      <c r="AR126" s="888">
        <f t="shared" si="45"/>
        <v>14.611872146118722</v>
      </c>
      <c r="AS126" s="888">
        <f t="shared" si="27"/>
        <v>18.636363636363637</v>
      </c>
      <c r="AT126" s="888">
        <f t="shared" si="28"/>
        <v>26.696832579185518</v>
      </c>
      <c r="AU126" s="888">
        <f t="shared" si="29"/>
        <v>24.545454545454543</v>
      </c>
      <c r="AV126" s="888">
        <f t="shared" si="30"/>
        <v>84.490522907122426</v>
      </c>
      <c r="AW126" s="550">
        <f t="shared" si="31"/>
        <v>0</v>
      </c>
      <c r="AX126" s="888">
        <f t="shared" si="46"/>
        <v>84.490522907122426</v>
      </c>
    </row>
    <row r="127" spans="1:50" s="89" customFormat="1" ht="13.5" customHeight="1" x14ac:dyDescent="0.2">
      <c r="A127" s="462">
        <f>VLOOKUP(B127,Sheet1!$AQ$4:$AR$25,2,FALSE)</f>
        <v>0</v>
      </c>
      <c r="B127" s="95" t="str">
        <f>Sheet1!$K$15</f>
        <v>Reading</v>
      </c>
      <c r="C127" s="87"/>
      <c r="D127" s="96">
        <f>IF(Year1_Reading Year1_Care_Applications_Children="","",Year1_Reading Year1_Care_Applications_Children)</f>
        <v>62</v>
      </c>
      <c r="E127" s="96">
        <f>IF(Year2_Reading Year2_Care_Applications_Children="","",Year2_Reading Year2_Care_Applications_Children)</f>
        <v>112</v>
      </c>
      <c r="F127" s="96">
        <f>IF(Year3_Reading Year3_Care_Applications_Children="","",Year3_Reading Year3_Care_Applications_Children)</f>
        <v>122</v>
      </c>
      <c r="G127" s="96">
        <f>IF(Year4_Reading Year4_Care_Applications_Children="","",Year4_Reading Year4_Care_Applications_Children)</f>
        <v>89</v>
      </c>
      <c r="H127" s="791">
        <f>IF(Year5_Reading Year5_Care_Applications_Children="","",Year5_Reading Year5_Care_Applications_Children)</f>
        <v>116</v>
      </c>
      <c r="I127" s="975">
        <f t="shared" si="32"/>
        <v>0.23215407760677637</v>
      </c>
      <c r="J127" s="98"/>
      <c r="K127" s="99">
        <f>IF(ISNUMBER(D127),D127/Population!D21*10000,NA())</f>
        <v>17.270194986072422</v>
      </c>
      <c r="L127" s="99">
        <f>IF(ISNUMBER(E127),E127/Population!E21*10000,NA())</f>
        <v>30.76923076923077</v>
      </c>
      <c r="M127" s="99">
        <f>IF(ISNUMBER(F127),F127/Population!F21*10000,NA())</f>
        <v>33.333333333333336</v>
      </c>
      <c r="N127" s="99">
        <f>IF(ISNUMBER(G127),G127/Population!G21*10000,NA())</f>
        <v>23.989218328840973</v>
      </c>
      <c r="O127" s="100">
        <f>IF(ISNUMBER(H127),H127/Population!H21*10000,NA())</f>
        <v>31.266846361185987</v>
      </c>
      <c r="P127" s="101">
        <f t="shared" si="33"/>
        <v>31.266846361185987</v>
      </c>
      <c r="Q127" s="770">
        <f t="shared" si="34"/>
        <v>19</v>
      </c>
      <c r="R127" s="69"/>
      <c r="S127" s="333">
        <f t="shared" si="35"/>
        <v>16</v>
      </c>
      <c r="T127" s="334">
        <f t="shared" si="26"/>
        <v>18.894504311799306</v>
      </c>
      <c r="U127" s="335">
        <f t="shared" si="36"/>
        <v>12.372342049386681</v>
      </c>
      <c r="V127" s="124"/>
      <c r="W127" s="140"/>
      <c r="X127" s="149"/>
      <c r="Y127" s="71" t="str">
        <f t="shared" si="37"/>
        <v>Reading</v>
      </c>
      <c r="Z127" s="45">
        <f>IF(H127&gt;0,IDACI!D20,0)</f>
        <v>33203</v>
      </c>
      <c r="AA127" s="45">
        <f>IF(H127&gt;0,IDACI!E20,0)</f>
        <v>5312.4800000000005</v>
      </c>
      <c r="AB127" s="202">
        <f>IF(ISNUMBER(D127),Population!D21,"")</f>
        <v>35900</v>
      </c>
      <c r="AC127" s="202">
        <f>IF(ISNUMBER(E127),Population!E21,"")</f>
        <v>36400</v>
      </c>
      <c r="AD127" s="202">
        <f>IF(ISNUMBER(F127),Population!F21,"")</f>
        <v>36600</v>
      </c>
      <c r="AE127" s="202">
        <f>IF(ISNUMBER(G127),Population!G21,"")</f>
        <v>37100</v>
      </c>
      <c r="AF127" s="202">
        <f>IF(ISNUMBER(H127),Population!H21,"")</f>
        <v>37100</v>
      </c>
      <c r="AG127" s="95" t="s">
        <v>3</v>
      </c>
      <c r="AH127" s="225">
        <f t="shared" si="38"/>
        <v>31.266846361185987</v>
      </c>
      <c r="AI127" s="203">
        <f t="shared" si="39"/>
        <v>19</v>
      </c>
      <c r="AJ127" s="199"/>
      <c r="AK127" s="156"/>
      <c r="AL127" s="792">
        <f t="shared" si="40"/>
        <v>0.80645161290322576</v>
      </c>
      <c r="AM127" s="792">
        <f t="shared" si="41"/>
        <v>8.9285714285714288E-2</v>
      </c>
      <c r="AN127" s="792">
        <f t="shared" si="42"/>
        <v>-0.27049180327868855</v>
      </c>
      <c r="AO127" s="792">
        <f t="shared" si="43"/>
        <v>0.30337078651685395</v>
      </c>
      <c r="AP127" s="792">
        <f t="shared" si="44"/>
        <v>0.23215407760677637</v>
      </c>
      <c r="AR127" s="888">
        <f t="shared" si="45"/>
        <v>30.76923076923077</v>
      </c>
      <c r="AS127" s="888">
        <f t="shared" si="27"/>
        <v>33.333333333333336</v>
      </c>
      <c r="AT127" s="888">
        <f t="shared" si="28"/>
        <v>23.989218328840973</v>
      </c>
      <c r="AU127" s="888">
        <f t="shared" si="29"/>
        <v>31.266846361185987</v>
      </c>
      <c r="AV127" s="888">
        <f t="shared" si="30"/>
        <v>119.35862879259106</v>
      </c>
      <c r="AW127" s="550">
        <f t="shared" si="31"/>
        <v>0</v>
      </c>
      <c r="AX127" s="888">
        <f t="shared" si="46"/>
        <v>119.35862879259106</v>
      </c>
    </row>
    <row r="128" spans="1:50" s="89" customFormat="1" ht="13.5" customHeight="1" x14ac:dyDescent="0.2">
      <c r="A128" s="462">
        <f>VLOOKUP(B128,Sheet1!$AQ$4:$AR$25,2,FALSE)</f>
        <v>0</v>
      </c>
      <c r="B128" s="95" t="str">
        <f>Sheet1!$K$16</f>
        <v>Slough</v>
      </c>
      <c r="C128" s="87"/>
      <c r="D128" s="96">
        <f>IF(Year1_Slough Year1_Care_Applications_Children="","",Year1_Slough Year1_Care_Applications_Children)</f>
        <v>56</v>
      </c>
      <c r="E128" s="96">
        <f>IF(Year2_Slough Year2_Care_Applications_Children="","",Year2_Slough Year2_Care_Applications_Children)</f>
        <v>96</v>
      </c>
      <c r="F128" s="96">
        <f>IF(Year3_Slough Year3_Care_Applications_Children="","",Year3_Slough Year3_Care_Applications_Children)</f>
        <v>69</v>
      </c>
      <c r="G128" s="96">
        <f>IF(Year4_Slough Year4_Care_Applications_Children="","",Year4_Slough Year4_Care_Applications_Children)</f>
        <v>91</v>
      </c>
      <c r="H128" s="791">
        <f>IF(Year5_Slough Year5_Care_Applications_Children="","",Year5_Slough Year5_Care_Applications_Children)</f>
        <v>97</v>
      </c>
      <c r="I128" s="975">
        <f t="shared" si="32"/>
        <v>0.20445258998248128</v>
      </c>
      <c r="J128" s="98"/>
      <c r="K128" s="99">
        <f>IF(ISNUMBER(D128),D128/Population!D22*10000,NA())</f>
        <v>14.035087719298245</v>
      </c>
      <c r="L128" s="99">
        <f>IF(ISNUMBER(E128),E128/Population!E22*10000,NA())</f>
        <v>23.645320197044335</v>
      </c>
      <c r="M128" s="99">
        <f>IF(ISNUMBER(F128),F128/Population!F22*10000,NA())</f>
        <v>16.666666666666668</v>
      </c>
      <c r="N128" s="99">
        <f>IF(ISNUMBER(G128),G128/Population!G22*10000,NA())</f>
        <v>21.563981042654028</v>
      </c>
      <c r="O128" s="100">
        <f>IF(ISNUMBER(H128),H128/Population!H22*10000,NA())</f>
        <v>22.716627634660423</v>
      </c>
      <c r="P128" s="101">
        <f t="shared" si="33"/>
        <v>22.716627634660423</v>
      </c>
      <c r="Q128" s="770">
        <f t="shared" si="34"/>
        <v>14</v>
      </c>
      <c r="R128" s="69"/>
      <c r="S128" s="333">
        <f t="shared" si="35"/>
        <v>14.7</v>
      </c>
      <c r="T128" s="334">
        <f t="shared" si="26"/>
        <v>17.625431100419334</v>
      </c>
      <c r="U128" s="335">
        <f t="shared" si="36"/>
        <v>5.0911965342410888</v>
      </c>
      <c r="V128" s="124"/>
      <c r="W128" s="140"/>
      <c r="X128" s="149"/>
      <c r="Y128" s="71" t="str">
        <f t="shared" si="37"/>
        <v>Slough</v>
      </c>
      <c r="Z128" s="45">
        <f>IF(H128&gt;0,IDACI!D21,0)</f>
        <v>37031</v>
      </c>
      <c r="AA128" s="45">
        <f>IF(H128&gt;0,IDACI!E21,0)</f>
        <v>5443.5569999999998</v>
      </c>
      <c r="AB128" s="202">
        <f>IF(ISNUMBER(D128),Population!D22,"")</f>
        <v>39900</v>
      </c>
      <c r="AC128" s="202">
        <f>IF(ISNUMBER(E128),Population!E22,"")</f>
        <v>40600</v>
      </c>
      <c r="AD128" s="202">
        <f>IF(ISNUMBER(F128),Population!F22,"")</f>
        <v>41400</v>
      </c>
      <c r="AE128" s="202">
        <f>IF(ISNUMBER(G128),Population!G22,"")</f>
        <v>42200</v>
      </c>
      <c r="AF128" s="202">
        <f>IF(ISNUMBER(H128),Population!H22,"")</f>
        <v>42700</v>
      </c>
      <c r="AG128" s="95" t="s">
        <v>13</v>
      </c>
      <c r="AH128" s="225">
        <f t="shared" si="38"/>
        <v>22.716627634660423</v>
      </c>
      <c r="AI128" s="203">
        <f t="shared" si="39"/>
        <v>14</v>
      </c>
      <c r="AJ128" s="199"/>
      <c r="AK128" s="156"/>
      <c r="AL128" s="792">
        <f t="shared" si="40"/>
        <v>0.7142857142857143</v>
      </c>
      <c r="AM128" s="792">
        <f t="shared" si="41"/>
        <v>-0.28125</v>
      </c>
      <c r="AN128" s="792">
        <f t="shared" si="42"/>
        <v>0.3188405797101449</v>
      </c>
      <c r="AO128" s="792">
        <f t="shared" si="43"/>
        <v>6.5934065934065936E-2</v>
      </c>
      <c r="AP128" s="792">
        <f t="shared" si="44"/>
        <v>0.20445258998248128</v>
      </c>
      <c r="AR128" s="888">
        <f t="shared" si="45"/>
        <v>23.645320197044335</v>
      </c>
      <c r="AS128" s="888">
        <f t="shared" si="27"/>
        <v>16.666666666666668</v>
      </c>
      <c r="AT128" s="888">
        <f t="shared" si="28"/>
        <v>21.563981042654028</v>
      </c>
      <c r="AU128" s="888">
        <f t="shared" si="29"/>
        <v>22.716627634660423</v>
      </c>
      <c r="AV128" s="888">
        <f t="shared" si="30"/>
        <v>84.592595541025446</v>
      </c>
      <c r="AW128" s="550">
        <f t="shared" si="31"/>
        <v>0</v>
      </c>
      <c r="AX128" s="888">
        <f t="shared" si="46"/>
        <v>84.592595541025446</v>
      </c>
    </row>
    <row r="129" spans="1:50" s="89" customFormat="1" ht="13.5" customHeight="1" x14ac:dyDescent="0.2">
      <c r="A129" s="462">
        <f>VLOOKUP(B129,Sheet1!$AQ$4:$AR$25,2,FALSE)</f>
        <v>0</v>
      </c>
      <c r="B129" s="95" t="str">
        <f>Sheet1!$K$17</f>
        <v>Somerset</v>
      </c>
      <c r="C129" s="87"/>
      <c r="D129" s="96">
        <f>IF(Year1_Somerset Year1_Care_Applications_Children="","",Year1_Somerset Year1_Care_Applications_Children)</f>
        <v>207</v>
      </c>
      <c r="E129" s="96">
        <f>IF(Year2_Somerset Year2_Care_Applications_Children="","",Year2_Somerset Year2_Care_Applications_Children)</f>
        <v>235</v>
      </c>
      <c r="F129" s="96">
        <f>IF(Year3_Somerset Year3_Care_Applications_Children="","",Year3_Somerset Year3_Care_Applications_Children)</f>
        <v>244</v>
      </c>
      <c r="G129" s="96">
        <f>IF(Year4_Somerset Year4_Care_Applications_Children="","",Year4_Somerset Year4_Care_Applications_Children)</f>
        <v>202</v>
      </c>
      <c r="H129" s="791">
        <f>IF(Year5_Somerset Year5_Care_Applications_Children="","",Year5_Somerset Year5_Care_Applications_Children)</f>
        <v>184</v>
      </c>
      <c r="I129" s="975">
        <f t="shared" si="32"/>
        <v>-2.191912140213885E-2</v>
      </c>
      <c r="J129" s="98"/>
      <c r="K129" s="99">
        <f>IF(ISNUMBER(D129),D129/Population!D23*10000,NA())</f>
        <v>19.008264462809919</v>
      </c>
      <c r="L129" s="99">
        <f>IF(ISNUMBER(E129),E129/Population!E23*10000,NA())</f>
        <v>21.520146520146522</v>
      </c>
      <c r="M129" s="99">
        <f>IF(ISNUMBER(F129),F129/Population!F23*10000,NA())</f>
        <v>22.242479489516864</v>
      </c>
      <c r="N129" s="99">
        <f>IF(ISNUMBER(G129),G129/Population!G23*10000,NA())</f>
        <v>18.346957311534968</v>
      </c>
      <c r="O129" s="100">
        <f>IF(ISNUMBER(H129),H129/Population!H23*10000,NA())</f>
        <v>16.621499548328817</v>
      </c>
      <c r="P129" s="101">
        <f t="shared" si="33"/>
        <v>16.621499548328817</v>
      </c>
      <c r="Q129" s="766" t="str">
        <f t="shared" si="34"/>
        <v>--</v>
      </c>
      <c r="R129" s="69"/>
      <c r="S129" s="333">
        <f t="shared" si="35"/>
        <v>13.600000000000001</v>
      </c>
      <c r="T129" s="334">
        <f t="shared" si="26"/>
        <v>16.551599921559362</v>
      </c>
      <c r="U129" s="335">
        <f t="shared" si="36"/>
        <v>6.9899626769455381E-2</v>
      </c>
      <c r="V129" s="124"/>
      <c r="W129" s="140"/>
      <c r="X129" s="149"/>
      <c r="Y129" s="71" t="str">
        <f t="shared" si="37"/>
        <v>Somerset</v>
      </c>
      <c r="Z129" s="45">
        <f>IF(H129&gt;0,IDACI!D22,0)</f>
        <v>95875</v>
      </c>
      <c r="AA129" s="45">
        <f>IF(H129&gt;0,IDACI!E22,0)</f>
        <v>13039.000000000002</v>
      </c>
      <c r="AB129" s="202">
        <f>IF(ISNUMBER(D129),Population!D23,"")</f>
        <v>108900</v>
      </c>
      <c r="AC129" s="202">
        <f>IF(ISNUMBER(E129),Population!E23,"")</f>
        <v>109200</v>
      </c>
      <c r="AD129" s="202">
        <f>IF(ISNUMBER(F129),Population!F23,"")</f>
        <v>109700</v>
      </c>
      <c r="AE129" s="202">
        <f>IF(ISNUMBER(G129),Population!G23,"")</f>
        <v>110100</v>
      </c>
      <c r="AF129" s="202">
        <f>IF(ISNUMBER(H129),Population!H23,"")</f>
        <v>110700</v>
      </c>
      <c r="AG129" s="95" t="s">
        <v>14</v>
      </c>
      <c r="AH129" s="225">
        <f t="shared" si="38"/>
        <v>24.409448818897641</v>
      </c>
      <c r="AI129" s="203">
        <f t="shared" si="39"/>
        <v>15</v>
      </c>
      <c r="AJ129" s="199"/>
      <c r="AK129" s="156"/>
      <c r="AL129" s="792">
        <f t="shared" si="40"/>
        <v>0.13526570048309178</v>
      </c>
      <c r="AM129" s="792">
        <f t="shared" si="41"/>
        <v>3.8297872340425532E-2</v>
      </c>
      <c r="AN129" s="792">
        <f t="shared" si="42"/>
        <v>-0.1721311475409836</v>
      </c>
      <c r="AO129" s="792">
        <f t="shared" si="43"/>
        <v>-8.9108910891089105E-2</v>
      </c>
      <c r="AP129" s="792">
        <f t="shared" si="44"/>
        <v>-2.191912140213885E-2</v>
      </c>
      <c r="AR129" s="888">
        <f t="shared" si="45"/>
        <v>21.520146520146522</v>
      </c>
      <c r="AS129" s="888">
        <f t="shared" si="27"/>
        <v>22.242479489516864</v>
      </c>
      <c r="AT129" s="888">
        <f t="shared" si="28"/>
        <v>18.346957311534968</v>
      </c>
      <c r="AU129" s="888">
        <f>IF(ISNUMBER(O129),O129,"")</f>
        <v>16.621499548328817</v>
      </c>
      <c r="AV129" s="888">
        <f>SUM(AR129:AU129)</f>
        <v>78.731082869527171</v>
      </c>
      <c r="AW129" s="550">
        <f>COUNTBLANK(AR129:AU129)</f>
        <v>0</v>
      </c>
      <c r="AX129" s="888">
        <f>AV129/(4-AW129)*4</f>
        <v>78.731082869527171</v>
      </c>
    </row>
    <row r="130" spans="1:50" s="89" customFormat="1" ht="13.5" customHeight="1" x14ac:dyDescent="0.2">
      <c r="A130" s="462">
        <f>VLOOKUP(B130,Sheet1!$AQ$4:$AR$25,2,FALSE)</f>
        <v>0</v>
      </c>
      <c r="B130" s="95" t="str">
        <f>Sheet1!$K$18</f>
        <v>Southampton</v>
      </c>
      <c r="C130" s="87"/>
      <c r="D130" s="96">
        <f>IF(Year1_Southampton Year1_Care_Applications_Children="","",Year1_Southampton Year1_Care_Applications_Children)</f>
        <v>191</v>
      </c>
      <c r="E130" s="96">
        <f>IF(Year2_Southampton Year2_Care_Applications_Children="","",Year2_Southampton Year2_Care_Applications_Children)</f>
        <v>155</v>
      </c>
      <c r="F130" s="96">
        <f>IF(Year3_Southampton Year3_Care_Applications_Children="","",Year3_Southampton Year3_Care_Applications_Children)</f>
        <v>158</v>
      </c>
      <c r="G130" s="96">
        <f>IF(Year4_Southampton Year4_Care_Applications_Children="","",Year4_Southampton Year4_Care_Applications_Children)</f>
        <v>131</v>
      </c>
      <c r="H130" s="791">
        <f>IF(Year5_Southampton Year5_Care_Applications_Children="","",Year5_Southampton Year5_Care_Applications_Children)</f>
        <v>124</v>
      </c>
      <c r="I130" s="975">
        <f t="shared" si="32"/>
        <v>-9.8362006784044151E-2</v>
      </c>
      <c r="J130" s="98"/>
      <c r="K130" s="99">
        <f>IF(ISNUMBER(D130),D130/Population!D24*10000,NA())</f>
        <v>39.300411522633745</v>
      </c>
      <c r="L130" s="99">
        <f>IF(ISNUMBER(E130),E130/Population!E24*10000,NA())</f>
        <v>31.504065040650406</v>
      </c>
      <c r="M130" s="99">
        <f>IF(ISNUMBER(F130),F130/Population!F24*10000,NA())</f>
        <v>31.663326653306612</v>
      </c>
      <c r="N130" s="99">
        <f>IF(ISNUMBER(G130),G130/Population!G24*10000,NA())</f>
        <v>26.043737574552683</v>
      </c>
      <c r="O130" s="100">
        <f>IF(ISNUMBER(H130),H130/Population!H24*10000,NA())</f>
        <v>24.409448818897641</v>
      </c>
      <c r="P130" s="101">
        <f t="shared" si="33"/>
        <v>24.409448818897641</v>
      </c>
      <c r="Q130" s="770">
        <f t="shared" si="34"/>
        <v>17</v>
      </c>
      <c r="R130" s="69"/>
      <c r="S130" s="333">
        <f t="shared" si="35"/>
        <v>20.5</v>
      </c>
      <c r="T130" s="334">
        <f t="shared" si="26"/>
        <v>23.287450043499202</v>
      </c>
      <c r="U130" s="335">
        <f t="shared" si="36"/>
        <v>1.1219987753984384</v>
      </c>
      <c r="V130" s="124"/>
      <c r="W130" s="140"/>
      <c r="X130" s="149"/>
      <c r="Y130" s="71" t="str">
        <f t="shared" si="37"/>
        <v>Southampton</v>
      </c>
      <c r="Z130" s="45">
        <f>IF(H130&gt;0,IDACI!D23,0)</f>
        <v>44295</v>
      </c>
      <c r="AA130" s="45">
        <f>IF(H130&gt;0,IDACI!E23,0)</f>
        <v>9080.4750000000004</v>
      </c>
      <c r="AB130" s="202">
        <f>IF(ISNUMBER(D130),Population!D24,"")</f>
        <v>48600</v>
      </c>
      <c r="AC130" s="202">
        <f>IF(ISNUMBER(E130),Population!E24,"")</f>
        <v>49200</v>
      </c>
      <c r="AD130" s="202">
        <f>IF(ISNUMBER(F130),Population!F24,"")</f>
        <v>49900</v>
      </c>
      <c r="AE130" s="202">
        <f>IF(ISNUMBER(G130),Population!G24,"")</f>
        <v>50300</v>
      </c>
      <c r="AF130" s="202">
        <f>IF(ISNUMBER(H130),Population!H24,"")</f>
        <v>50800</v>
      </c>
      <c r="AG130" s="95" t="s">
        <v>7</v>
      </c>
      <c r="AH130" s="225">
        <f t="shared" si="38"/>
        <v>12.867506681939672</v>
      </c>
      <c r="AI130" s="203">
        <f t="shared" si="39"/>
        <v>4</v>
      </c>
      <c r="AJ130" s="199"/>
      <c r="AK130" s="156"/>
      <c r="AL130" s="792">
        <f t="shared" si="40"/>
        <v>-0.18848167539267016</v>
      </c>
      <c r="AM130" s="792">
        <f t="shared" si="41"/>
        <v>1.935483870967742E-2</v>
      </c>
      <c r="AN130" s="792">
        <f t="shared" si="42"/>
        <v>-0.17088607594936708</v>
      </c>
      <c r="AO130" s="792">
        <f t="shared" si="43"/>
        <v>-5.3435114503816793E-2</v>
      </c>
      <c r="AP130" s="792">
        <f t="shared" si="44"/>
        <v>-9.8362006784044151E-2</v>
      </c>
      <c r="AR130" s="888">
        <f t="shared" si="45"/>
        <v>31.504065040650406</v>
      </c>
      <c r="AS130" s="888">
        <f t="shared" si="27"/>
        <v>31.663326653306612</v>
      </c>
      <c r="AT130" s="888">
        <f t="shared" si="28"/>
        <v>26.043737574552683</v>
      </c>
      <c r="AU130" s="888">
        <f t="shared" ref="AU130:AU139" si="47">IF(ISNUMBER(O130),O130,"")</f>
        <v>24.409448818897641</v>
      </c>
      <c r="AV130" s="888">
        <f t="shared" ref="AV130:AV139" si="48">SUM(AR130:AU130)</f>
        <v>113.62057808740734</v>
      </c>
      <c r="AW130" s="550">
        <f t="shared" ref="AW130:AW139" si="49">COUNTBLANK(AR130:AU130)</f>
        <v>0</v>
      </c>
      <c r="AX130" s="888">
        <f t="shared" ref="AX130:AX135" si="50">AV130/(4-AW130)*4</f>
        <v>113.62057808740734</v>
      </c>
    </row>
    <row r="131" spans="1:50" s="89" customFormat="1" ht="13.5" customHeight="1" x14ac:dyDescent="0.2">
      <c r="A131" s="462">
        <f>VLOOKUP(B131,Sheet1!$AQ$4:$AR$25,2,FALSE)</f>
        <v>0</v>
      </c>
      <c r="B131" s="95" t="str">
        <f>Sheet1!$K$19</f>
        <v>Surrey</v>
      </c>
      <c r="C131" s="87"/>
      <c r="D131" s="96">
        <f>IF(Year1_Surrey Year1_Care_Applications_Children="","",Year1_Surrey Year1_Care_Applications_Children)</f>
        <v>172</v>
      </c>
      <c r="E131" s="96">
        <f>IF(Year2_Surrey Year2_Care_Applications_Children="","",Year2_Surrey Year2_Care_Applications_Children)</f>
        <v>245</v>
      </c>
      <c r="F131" s="96">
        <f>IF(Year3_Surrey Year3_Care_Applications_Children="","",Year3_Surrey Year3_Care_Applications_Children)</f>
        <v>286</v>
      </c>
      <c r="G131" s="96">
        <f>IF(Year4_Surrey Year4_Care_Applications_Children="","",Year4_Surrey Year4_Care_Applications_Children)</f>
        <v>356</v>
      </c>
      <c r="H131" s="791">
        <f>IF(Year5_Surrey Year5_Care_Applications_Children="","",Year5_Surrey Year5_Care_Applications_Children)</f>
        <v>337</v>
      </c>
      <c r="I131" s="975">
        <f t="shared" si="32"/>
        <v>0.19578750041626597</v>
      </c>
      <c r="J131" s="98"/>
      <c r="K131" s="99">
        <f>IF(ISNUMBER(D131),D131/Population!D25*10000,NA())</f>
        <v>6.7556952081696782</v>
      </c>
      <c r="L131" s="99">
        <f>IF(ISNUMBER(E131),E131/Population!E25*10000,NA())</f>
        <v>9.5553822152886116</v>
      </c>
      <c r="M131" s="99">
        <f>IF(ISNUMBER(F131),F131/Population!F25*10000,NA())</f>
        <v>11.042471042471043</v>
      </c>
      <c r="N131" s="99">
        <f>IF(ISNUMBER(G131),G131/Population!G25*10000,NA())</f>
        <v>13.676527084133692</v>
      </c>
      <c r="O131" s="100">
        <f>IF(ISNUMBER(H131),H131/Population!H25*10000,NA())</f>
        <v>12.867506681939672</v>
      </c>
      <c r="P131" s="101">
        <f t="shared" si="33"/>
        <v>12.867506681939672</v>
      </c>
      <c r="Q131" s="770">
        <f t="shared" si="34"/>
        <v>4</v>
      </c>
      <c r="R131" s="69"/>
      <c r="S131" s="333">
        <f t="shared" si="35"/>
        <v>8.3000000000000007</v>
      </c>
      <c r="T131" s="334">
        <f t="shared" si="26"/>
        <v>11.377686059779482</v>
      </c>
      <c r="U131" s="335">
        <f t="shared" si="36"/>
        <v>1.48982062216019</v>
      </c>
      <c r="V131" s="124"/>
      <c r="W131" s="140"/>
      <c r="X131" s="149"/>
      <c r="Y131" s="71" t="str">
        <f t="shared" si="37"/>
        <v>Surrey</v>
      </c>
      <c r="Z131" s="45">
        <f>IF(H131&gt;0,IDACI!D24,0)</f>
        <v>228466</v>
      </c>
      <c r="AA131" s="45">
        <f>IF(H131&gt;0,IDACI!E24,0)</f>
        <v>18962.678</v>
      </c>
      <c r="AB131" s="202">
        <f>IF(ISNUMBER(D131),Population!D25,"")</f>
        <v>254600</v>
      </c>
      <c r="AC131" s="202">
        <f>IF(ISNUMBER(E131),Population!E25,"")</f>
        <v>256400</v>
      </c>
      <c r="AD131" s="202">
        <f>IF(ISNUMBER(F131),Population!F25,"")</f>
        <v>259000</v>
      </c>
      <c r="AE131" s="202">
        <f>IF(ISNUMBER(G131),Population!G25,"")</f>
        <v>260300</v>
      </c>
      <c r="AF131" s="202">
        <f>IF(ISNUMBER(H131),Population!H25,"")</f>
        <v>261900</v>
      </c>
      <c r="AG131" s="95" t="s">
        <v>15</v>
      </c>
      <c r="AH131" s="225">
        <f t="shared" si="38"/>
        <v>13.48314606741573</v>
      </c>
      <c r="AI131" s="203">
        <f t="shared" si="39"/>
        <v>7</v>
      </c>
      <c r="AJ131" s="199"/>
      <c r="AK131" s="156"/>
      <c r="AL131" s="792">
        <f t="shared" si="40"/>
        <v>0.42441860465116277</v>
      </c>
      <c r="AM131" s="792">
        <f t="shared" si="41"/>
        <v>0.16734693877551021</v>
      </c>
      <c r="AN131" s="792">
        <f t="shared" si="42"/>
        <v>0.24475524475524477</v>
      </c>
      <c r="AO131" s="792">
        <f t="shared" si="43"/>
        <v>-5.3370786516853931E-2</v>
      </c>
      <c r="AP131" s="792">
        <f t="shared" si="44"/>
        <v>0.19578750041626597</v>
      </c>
      <c r="AR131" s="888">
        <f t="shared" si="45"/>
        <v>9.5553822152886116</v>
      </c>
      <c r="AS131" s="888">
        <f t="shared" si="27"/>
        <v>11.042471042471043</v>
      </c>
      <c r="AT131" s="888">
        <f t="shared" si="28"/>
        <v>13.676527084133692</v>
      </c>
      <c r="AU131" s="888">
        <f t="shared" si="47"/>
        <v>12.867506681939672</v>
      </c>
      <c r="AV131" s="888">
        <f t="shared" si="48"/>
        <v>47.141887023833021</v>
      </c>
      <c r="AW131" s="550">
        <f t="shared" si="49"/>
        <v>0</v>
      </c>
      <c r="AX131" s="888">
        <f t="shared" si="50"/>
        <v>47.141887023833021</v>
      </c>
    </row>
    <row r="132" spans="1:50" s="89" customFormat="1" ht="13.5" customHeight="1" x14ac:dyDescent="0.2">
      <c r="A132" s="462">
        <f>VLOOKUP(B132,Sheet1!$AQ$4:$AR$25,2,FALSE)</f>
        <v>0</v>
      </c>
      <c r="B132" s="95" t="str">
        <f>Sheet1!$K$20</f>
        <v>Swindon</v>
      </c>
      <c r="C132" s="87"/>
      <c r="D132" s="96">
        <f>IF(Year1_Swindon Year1_Care_Applications_Children="","",Year1_Swindon Year1_Care_Applications_Children)</f>
        <v>75</v>
      </c>
      <c r="E132" s="96">
        <f>IF(Year2_Swindon Year2_Care_Applications_Children="","",Year2_Swindon Year2_Care_Applications_Children)</f>
        <v>94</v>
      </c>
      <c r="F132" s="96">
        <f>IF(Year3_Swindon Year3_Care_Applications_Children="","",Year3_Swindon Year3_Care_Applications_Children)</f>
        <v>135</v>
      </c>
      <c r="G132" s="96">
        <f>IF(Year4_Swindon Year4_Care_Applications_Children="","",Year4_Swindon Year4_Care_Applications_Children)</f>
        <v>140</v>
      </c>
      <c r="H132" s="791">
        <f>IF(Year5_Swindon Year5_Care_Applications_Children="","",Year5_Swindon Year5_Care_Applications_Children)</f>
        <v>136</v>
      </c>
      <c r="I132" s="975">
        <f t="shared" si="32"/>
        <v>0.17449228864122482</v>
      </c>
      <c r="J132" s="98"/>
      <c r="K132" s="99">
        <f>IF(ISNUMBER(D132),D132/Population!D26*10000,NA())</f>
        <v>15.432098765432098</v>
      </c>
      <c r="L132" s="99">
        <f>IF(ISNUMBER(E132),E132/Population!E26*10000,NA())</f>
        <v>19.183673469387756</v>
      </c>
      <c r="M132" s="99">
        <f>IF(ISNUMBER(F132),F132/Population!F26*10000,NA())</f>
        <v>27.272727272727273</v>
      </c>
      <c r="N132" s="99">
        <f>IF(ISNUMBER(G132),G132/Population!G26*10000,NA())</f>
        <v>28.056112224448896</v>
      </c>
      <c r="O132" s="100">
        <f>IF(ISNUMBER(H132),H132/Population!H26*10000,NA())</f>
        <v>27.091633466135455</v>
      </c>
      <c r="P132" s="101">
        <f t="shared" si="33"/>
        <v>27.091633466135455</v>
      </c>
      <c r="Q132" s="766" t="str">
        <f t="shared" si="34"/>
        <v>--</v>
      </c>
      <c r="R132" s="69"/>
      <c r="S132" s="333">
        <f t="shared" si="35"/>
        <v>14.899999999999999</v>
      </c>
      <c r="T132" s="334">
        <f t="shared" si="26"/>
        <v>17.82067313293933</v>
      </c>
      <c r="U132" s="335">
        <f t="shared" si="36"/>
        <v>9.2709603331961254</v>
      </c>
      <c r="V132" s="124"/>
      <c r="W132" s="140"/>
      <c r="X132" s="149"/>
      <c r="Y132" s="71" t="str">
        <f t="shared" si="37"/>
        <v>Swindon</v>
      </c>
      <c r="Z132" s="45">
        <f>IF(H132&gt;0,IDACI!D25,0)</f>
        <v>43899</v>
      </c>
      <c r="AA132" s="45">
        <f>IF(H132&gt;0,IDACI!E25,0)</f>
        <v>6540.951</v>
      </c>
      <c r="AB132" s="202">
        <f>IF(ISNUMBER(D132),Population!D26,"")</f>
        <v>48600</v>
      </c>
      <c r="AC132" s="202">
        <f>IF(ISNUMBER(E132),Population!E26,"")</f>
        <v>49000</v>
      </c>
      <c r="AD132" s="202">
        <f>IF(ISNUMBER(F132),Population!F26,"")</f>
        <v>49500</v>
      </c>
      <c r="AE132" s="202">
        <f>IF(ISNUMBER(G132),Population!G26,"")</f>
        <v>49900</v>
      </c>
      <c r="AF132" s="202">
        <f>IF(ISNUMBER(H132),Population!H26,"")</f>
        <v>50200</v>
      </c>
      <c r="AG132" s="95" t="s">
        <v>5</v>
      </c>
      <c r="AH132" s="225">
        <f t="shared" si="38"/>
        <v>13.737836290784202</v>
      </c>
      <c r="AI132" s="203">
        <f t="shared" si="39"/>
        <v>8</v>
      </c>
      <c r="AJ132" s="199"/>
      <c r="AK132" s="156"/>
      <c r="AL132" s="792">
        <f t="shared" si="40"/>
        <v>0.25333333333333335</v>
      </c>
      <c r="AM132" s="792">
        <f t="shared" si="41"/>
        <v>0.43617021276595747</v>
      </c>
      <c r="AN132" s="792">
        <f t="shared" si="42"/>
        <v>3.7037037037037035E-2</v>
      </c>
      <c r="AO132" s="792">
        <f t="shared" si="43"/>
        <v>-2.8571428571428571E-2</v>
      </c>
      <c r="AP132" s="792">
        <f t="shared" si="44"/>
        <v>0.17449228864122482</v>
      </c>
      <c r="AR132" s="888">
        <f t="shared" si="45"/>
        <v>19.183673469387756</v>
      </c>
      <c r="AS132" s="888">
        <f t="shared" si="27"/>
        <v>27.272727272727273</v>
      </c>
      <c r="AT132" s="888">
        <f t="shared" si="28"/>
        <v>28.056112224448896</v>
      </c>
      <c r="AU132" s="888">
        <f t="shared" si="47"/>
        <v>27.091633466135455</v>
      </c>
      <c r="AV132" s="888">
        <f t="shared" si="48"/>
        <v>101.60414643269937</v>
      </c>
      <c r="AW132" s="550">
        <f t="shared" si="49"/>
        <v>0</v>
      </c>
      <c r="AX132" s="888">
        <f t="shared" si="50"/>
        <v>101.60414643269937</v>
      </c>
    </row>
    <row r="133" spans="1:50" s="89" customFormat="1" ht="13.5" customHeight="1" x14ac:dyDescent="0.2">
      <c r="A133" s="462">
        <f>VLOOKUP(B133,Sheet1!$AQ$4:$AR$25,2,FALSE)</f>
        <v>0</v>
      </c>
      <c r="B133" s="95" t="str">
        <f>Sheet1!$K$21</f>
        <v>Torbay</v>
      </c>
      <c r="C133" s="87"/>
      <c r="D133" s="96">
        <f>IF(Year1_Torbay Year1_Care_Applications_Children="","",Year1_Torbay Year1_Care_Applications_Children)</f>
        <v>86</v>
      </c>
      <c r="E133" s="96">
        <f>IF(Year2_Torbay Year2_Care_Applications_Children="","",Year2_Torbay Year2_Care_Applications_Children)</f>
        <v>91</v>
      </c>
      <c r="F133" s="96">
        <f>IF(Year3_Torbay Year3_Care_Applications_Children="","",Year3_Torbay Year3_Care_Applications_Children)</f>
        <v>74</v>
      </c>
      <c r="G133" s="96">
        <f>IF(Year4_Torbay Year4_Care_Applications_Children="","",Year4_Torbay Year4_Care_Applications_Children)</f>
        <v>94</v>
      </c>
      <c r="H133" s="791">
        <f>IF(Year5_Torbay Year5_Care_Applications_Children="","",Year5_Torbay Year5_Care_Applications_Children)</f>
        <v>102</v>
      </c>
      <c r="I133" s="975">
        <f t="shared" si="32"/>
        <v>5.6675750329881952E-2</v>
      </c>
      <c r="J133" s="98"/>
      <c r="K133" s="99">
        <f>IF(ISNUMBER(D133),D133/Population!D27*10000,NA())</f>
        <v>34.262948207171313</v>
      </c>
      <c r="L133" s="99">
        <f>IF(ISNUMBER(E133),E133/Population!E27*10000,NA())</f>
        <v>36.111111111111107</v>
      </c>
      <c r="M133" s="99">
        <f>IF(ISNUMBER(F133),F133/Population!F27*10000,NA())</f>
        <v>29.133858267716533</v>
      </c>
      <c r="N133" s="99">
        <f>IF(ISNUMBER(G133),G133/Population!G27*10000,NA())</f>
        <v>37.00787401574803</v>
      </c>
      <c r="O133" s="100">
        <f>IF(ISNUMBER(H133),H133/Population!H27*10000,NA())</f>
        <v>40.15748031496063</v>
      </c>
      <c r="P133" s="101">
        <f t="shared" si="33"/>
        <v>40.15748031496063</v>
      </c>
      <c r="Q133" s="766" t="str">
        <f t="shared" si="34"/>
        <v>--</v>
      </c>
      <c r="R133" s="69"/>
      <c r="S133" s="333">
        <f t="shared" si="35"/>
        <v>21.9</v>
      </c>
      <c r="T133" s="334">
        <f t="shared" si="26"/>
        <v>24.65414427113917</v>
      </c>
      <c r="U133" s="335">
        <f t="shared" si="36"/>
        <v>15.503336043821459</v>
      </c>
      <c r="V133" s="124"/>
      <c r="W133" s="140"/>
      <c r="X133" s="149"/>
      <c r="Y133" s="71" t="str">
        <f t="shared" si="37"/>
        <v>Torbay</v>
      </c>
      <c r="Z133" s="45">
        <f>IF(H133&gt;0,IDACI!D26,0)</f>
        <v>22257</v>
      </c>
      <c r="AA133" s="45">
        <f>IF(H133&gt;0,IDACI!E26,0)</f>
        <v>4874.2829999999994</v>
      </c>
      <c r="AB133" s="202">
        <f>IF(ISNUMBER(D133),Population!D27,"")</f>
        <v>25100</v>
      </c>
      <c r="AC133" s="202">
        <f>IF(ISNUMBER(E133),Population!E27,"")</f>
        <v>25200</v>
      </c>
      <c r="AD133" s="202">
        <f>IF(ISNUMBER(F133),Population!F27,"")</f>
        <v>25400</v>
      </c>
      <c r="AE133" s="202">
        <f>IF(ISNUMBER(G133),Population!G27,"")</f>
        <v>25400</v>
      </c>
      <c r="AF133" s="202">
        <f>IF(ISNUMBER(H133),Population!H27,"")</f>
        <v>25400</v>
      </c>
      <c r="AG133" s="95" t="s">
        <v>30</v>
      </c>
      <c r="AH133" s="225">
        <f t="shared" si="38"/>
        <v>13.294797687861271</v>
      </c>
      <c r="AI133" s="203">
        <f t="shared" si="39"/>
        <v>5</v>
      </c>
      <c r="AJ133" s="199"/>
      <c r="AK133" s="156"/>
      <c r="AL133" s="792">
        <f t="shared" si="40"/>
        <v>5.8139534883720929E-2</v>
      </c>
      <c r="AM133" s="792">
        <f t="shared" si="41"/>
        <v>-0.18681318681318682</v>
      </c>
      <c r="AN133" s="792">
        <f t="shared" si="42"/>
        <v>0.27027027027027029</v>
      </c>
      <c r="AO133" s="792">
        <f t="shared" si="43"/>
        <v>8.5106382978723402E-2</v>
      </c>
      <c r="AP133" s="792">
        <f t="shared" si="44"/>
        <v>5.6675750329881952E-2</v>
      </c>
      <c r="AR133" s="888">
        <f t="shared" si="45"/>
        <v>36.111111111111107</v>
      </c>
      <c r="AS133" s="888">
        <f t="shared" si="27"/>
        <v>29.133858267716533</v>
      </c>
      <c r="AT133" s="888">
        <f t="shared" si="28"/>
        <v>37.00787401574803</v>
      </c>
      <c r="AU133" s="888">
        <f t="shared" si="47"/>
        <v>40.15748031496063</v>
      </c>
      <c r="AV133" s="888">
        <f t="shared" si="48"/>
        <v>142.4103237095363</v>
      </c>
      <c r="AW133" s="550">
        <f t="shared" si="49"/>
        <v>0</v>
      </c>
      <c r="AX133" s="888">
        <f t="shared" si="50"/>
        <v>142.4103237095363</v>
      </c>
    </row>
    <row r="134" spans="1:50" s="89" customFormat="1" ht="13.5" customHeight="1" x14ac:dyDescent="0.2">
      <c r="A134" s="462">
        <f>VLOOKUP(B134,Sheet1!$AQ$4:$AR$25,2,FALSE)</f>
        <v>0</v>
      </c>
      <c r="B134" s="95" t="str">
        <f>Sheet1!$K$22</f>
        <v>West Berkshire</v>
      </c>
      <c r="C134" s="87"/>
      <c r="D134" s="96">
        <f>IF(Year1_West_Berkshire Year1_Care_Applications_Children="","",Year1_West_Berkshire Year1_Care_Applications_Children)</f>
        <v>45</v>
      </c>
      <c r="E134" s="102">
        <f>IF(Year2_West_Berkshire Year2_Care_Applications_Children="","",Year2_West_Berkshire Year2_Care_Applications_Children)</f>
        <v>74</v>
      </c>
      <c r="F134" s="96">
        <f>IF(Year3_West_Berkshire Year3_Care_Applications_Children="","",Year3_West_Berkshire Year3_Care_Applications_Children)</f>
        <v>74</v>
      </c>
      <c r="G134" s="96">
        <f>IF(Year4_West_Berkshire Year4_Care_Applications_Children="","",Year4_West_Berkshire Year4_Care_Applications_Children)</f>
        <v>71</v>
      </c>
      <c r="H134" s="791">
        <f>IF(Year5_West_Berkshire Year5_Care_Applications_Children="","",Year5_West_Berkshire Year5_Care_Applications_Children)</f>
        <v>48</v>
      </c>
      <c r="I134" s="975">
        <f t="shared" si="32"/>
        <v>6.9990060483018229E-2</v>
      </c>
      <c r="J134" s="98"/>
      <c r="K134" s="99">
        <f>IF(ISNUMBER(D134),D134/Population!D28*10000,NA())</f>
        <v>12.640449438202246</v>
      </c>
      <c r="L134" s="99">
        <f>IF(ISNUMBER(E134),E134/Population!E28*10000,NA())</f>
        <v>20.728291316526612</v>
      </c>
      <c r="M134" s="99">
        <f>IF(ISNUMBER(F134),F134/Population!F28*10000,NA())</f>
        <v>20.612813370473539</v>
      </c>
      <c r="N134" s="99">
        <f>IF(ISNUMBER(G134),G134/Population!G28*10000,NA())</f>
        <v>19.83240223463687</v>
      </c>
      <c r="O134" s="100">
        <f>IF(ISNUMBER(H134),H134/Population!H28*10000,NA())</f>
        <v>13.48314606741573</v>
      </c>
      <c r="P134" s="101">
        <f t="shared" si="33"/>
        <v>13.48314606741573</v>
      </c>
      <c r="Q134" s="770">
        <f t="shared" si="34"/>
        <v>8</v>
      </c>
      <c r="R134" s="69"/>
      <c r="S134" s="333">
        <f t="shared" si="35"/>
        <v>8.6999999999999993</v>
      </c>
      <c r="T134" s="334">
        <f t="shared" si="26"/>
        <v>11.768170124819472</v>
      </c>
      <c r="U134" s="335">
        <f t="shared" si="36"/>
        <v>1.7149759425962579</v>
      </c>
      <c r="V134" s="124"/>
      <c r="W134" s="140"/>
      <c r="X134" s="149"/>
      <c r="Y134" s="71" t="str">
        <f t="shared" si="37"/>
        <v>West Berkshire</v>
      </c>
      <c r="Z134" s="45">
        <f>IF(H134&gt;0,IDACI!D27,0)</f>
        <v>31625</v>
      </c>
      <c r="AA134" s="45">
        <f>IF(H134&gt;0,IDACI!E27,0)</f>
        <v>2751.375</v>
      </c>
      <c r="AB134" s="202">
        <f>IF(ISNUMBER(D134),Population!D28,"")</f>
        <v>35600</v>
      </c>
      <c r="AC134" s="202">
        <f>IF(ISNUMBER(E134),Population!E28,"")</f>
        <v>35700</v>
      </c>
      <c r="AD134" s="202">
        <f>IF(ISNUMBER(F134),Population!F28,"")</f>
        <v>35900</v>
      </c>
      <c r="AE134" s="202">
        <f>IF(ISNUMBER(G134),Population!G28,"")</f>
        <v>35800</v>
      </c>
      <c r="AF134" s="202">
        <f>IF(ISNUMBER(H134),Population!H28,"")</f>
        <v>35600</v>
      </c>
      <c r="AG134" s="95" t="s">
        <v>16</v>
      </c>
      <c r="AH134" s="225">
        <f t="shared" si="38"/>
        <v>12.151898734177216</v>
      </c>
      <c r="AI134" s="203">
        <f t="shared" si="39"/>
        <v>3</v>
      </c>
      <c r="AJ134" s="199"/>
      <c r="AK134" s="156"/>
      <c r="AL134" s="792">
        <f t="shared" si="40"/>
        <v>0.64444444444444449</v>
      </c>
      <c r="AM134" s="792">
        <f t="shared" si="41"/>
        <v>0</v>
      </c>
      <c r="AN134" s="792">
        <f t="shared" si="42"/>
        <v>-4.0540540540540543E-2</v>
      </c>
      <c r="AO134" s="792">
        <f t="shared" si="43"/>
        <v>-0.323943661971831</v>
      </c>
      <c r="AP134" s="792">
        <f t="shared" si="44"/>
        <v>6.9990060483018229E-2</v>
      </c>
      <c r="AR134" s="888">
        <f t="shared" si="45"/>
        <v>20.728291316526612</v>
      </c>
      <c r="AS134" s="888">
        <f t="shared" si="27"/>
        <v>20.612813370473539</v>
      </c>
      <c r="AT134" s="888">
        <f t="shared" si="28"/>
        <v>19.83240223463687</v>
      </c>
      <c r="AU134" s="888">
        <f t="shared" si="47"/>
        <v>13.48314606741573</v>
      </c>
      <c r="AV134" s="888">
        <f t="shared" si="48"/>
        <v>74.656652989052759</v>
      </c>
      <c r="AW134" s="550">
        <f t="shared" si="49"/>
        <v>0</v>
      </c>
      <c r="AX134" s="888">
        <f t="shared" si="50"/>
        <v>74.656652989052759</v>
      </c>
    </row>
    <row r="135" spans="1:50" s="89" customFormat="1" ht="13.5" customHeight="1" x14ac:dyDescent="0.2">
      <c r="A135" s="462">
        <f>VLOOKUP(B135,Sheet1!$AQ$4:$AR$25,2,FALSE)</f>
        <v>0</v>
      </c>
      <c r="B135" s="95" t="str">
        <f>Sheet1!$K$23</f>
        <v>West Sussex</v>
      </c>
      <c r="C135" s="87"/>
      <c r="D135" s="96">
        <f>IF(Year1_West_Sussex Year1_Care_Applications_Children="","",Year1_West_Sussex Year1_Care_Applications_Children)</f>
        <v>155</v>
      </c>
      <c r="E135" s="102">
        <f>IF(Year2_West_Sussex Year2_Care_Applications_Children="","",Year2_West_Sussex Year2_Care_Applications_Children)</f>
        <v>216</v>
      </c>
      <c r="F135" s="96">
        <f>IF(Year3_West_Sussex Year3_Care_Applications_Children="","",Year3_West_Sussex Year3_Care_Applications_Children)</f>
        <v>237</v>
      </c>
      <c r="G135" s="96">
        <f>IF(Year4_West_Sussex Year4_Care_Applications_Children="","",Year4_West_Sussex Year4_Care_Applications_Children)</f>
        <v>271</v>
      </c>
      <c r="H135" s="791">
        <f>IF(Year5_West_Sussex Year5_Care_Applications_Children="","",Year5_West_Sussex Year5_Care_Applications_Children)</f>
        <v>240</v>
      </c>
      <c r="I135" s="975">
        <f t="shared" si="32"/>
        <v>0.12995984525484292</v>
      </c>
      <c r="J135" s="98"/>
      <c r="K135" s="99">
        <f>IF(ISNUMBER(D135),D135/Population!D29*10000,NA())</f>
        <v>9.1824644549763033</v>
      </c>
      <c r="L135" s="99">
        <f>IF(ISNUMBER(E135),E135/Population!E29*10000,NA())</f>
        <v>12.676056338028168</v>
      </c>
      <c r="M135" s="99">
        <f>IF(ISNUMBER(F135),F135/Population!F29*10000,NA())</f>
        <v>13.795110593713622</v>
      </c>
      <c r="N135" s="99">
        <f>IF(ISNUMBER(G135),G135/Population!G29*10000,NA())</f>
        <v>15.637622619734564</v>
      </c>
      <c r="O135" s="100">
        <f>IF(ISNUMBER(H135),H135/Population!H29*10000,NA())</f>
        <v>13.737836290784202</v>
      </c>
      <c r="P135" s="101">
        <f t="shared" si="33"/>
        <v>13.737836290784202</v>
      </c>
      <c r="Q135" s="770">
        <f t="shared" si="34"/>
        <v>7</v>
      </c>
      <c r="R135" s="69"/>
      <c r="S135" s="333">
        <f t="shared" si="35"/>
        <v>11</v>
      </c>
      <c r="T135" s="334">
        <f t="shared" si="26"/>
        <v>14.01345349879942</v>
      </c>
      <c r="U135" s="335">
        <f t="shared" si="36"/>
        <v>-0.27561720801521794</v>
      </c>
      <c r="V135" s="124"/>
      <c r="W135" s="140"/>
      <c r="X135" s="149"/>
      <c r="Y135" s="71" t="str">
        <f t="shared" si="37"/>
        <v>West Sussex</v>
      </c>
      <c r="Z135" s="45">
        <f>IF(H135&gt;0,IDACI!D28,0)</f>
        <v>151487</v>
      </c>
      <c r="AA135" s="45">
        <f>IF(H135&gt;0,IDACI!E28,0)</f>
        <v>16663.57</v>
      </c>
      <c r="AB135" s="202">
        <f>IF(ISNUMBER(D135),Population!D29,"")</f>
        <v>168800</v>
      </c>
      <c r="AC135" s="202">
        <f>IF(ISNUMBER(E135),Population!E29,"")</f>
        <v>170400</v>
      </c>
      <c r="AD135" s="202">
        <f>IF(ISNUMBER(F135),Population!F29,"")</f>
        <v>171800</v>
      </c>
      <c r="AE135" s="202">
        <f>IF(ISNUMBER(G135),Population!G29,"")</f>
        <v>173300</v>
      </c>
      <c r="AF135" s="202">
        <f>IF(ISNUMBER(H135),Population!H29,"")</f>
        <v>174700</v>
      </c>
      <c r="AG135" s="199"/>
      <c r="AH135" s="199"/>
      <c r="AI135" s="185"/>
      <c r="AJ135" s="199"/>
      <c r="AK135" s="156"/>
      <c r="AL135" s="792">
        <f t="shared" si="40"/>
        <v>0.3935483870967742</v>
      </c>
      <c r="AM135" s="792">
        <f t="shared" si="41"/>
        <v>9.7222222222222224E-2</v>
      </c>
      <c r="AN135" s="792">
        <f t="shared" si="42"/>
        <v>0.14345991561181434</v>
      </c>
      <c r="AO135" s="792">
        <f t="shared" si="43"/>
        <v>-0.11439114391143912</v>
      </c>
      <c r="AP135" s="792">
        <f t="shared" si="44"/>
        <v>0.12995984525484292</v>
      </c>
      <c r="AR135" s="888">
        <f t="shared" si="45"/>
        <v>12.676056338028168</v>
      </c>
      <c r="AS135" s="888">
        <f t="shared" si="27"/>
        <v>13.795110593713622</v>
      </c>
      <c r="AT135" s="888">
        <f t="shared" si="28"/>
        <v>15.637622619734564</v>
      </c>
      <c r="AU135" s="888">
        <f t="shared" si="47"/>
        <v>13.737836290784202</v>
      </c>
      <c r="AV135" s="888">
        <f t="shared" si="48"/>
        <v>55.846625842260558</v>
      </c>
      <c r="AW135" s="550">
        <f t="shared" si="49"/>
        <v>0</v>
      </c>
      <c r="AX135" s="888">
        <f t="shared" si="50"/>
        <v>55.846625842260558</v>
      </c>
    </row>
    <row r="136" spans="1:50" s="89" customFormat="1" ht="13.5" customHeight="1" x14ac:dyDescent="0.2">
      <c r="A136" s="462">
        <f>VLOOKUP(B136,Sheet1!$AQ$4:$AR$25,2,FALSE)</f>
        <v>0</v>
      </c>
      <c r="B136" s="95" t="str">
        <f>Sheet1!$K$24</f>
        <v>Windsor &amp; Maidenhead</v>
      </c>
      <c r="C136" s="87"/>
      <c r="D136" s="102">
        <f>IF(Year1_Windsor_Maidenhead Year1_Care_Applications_Children="","",Year1_Windsor_Maidenhead Year1_Care_Applications_Children)</f>
        <v>19</v>
      </c>
      <c r="E136" s="96">
        <f>IF(Year2_Windsor_Maidenhead Year2_Care_Applications_Children="","",Year2_Windsor_Maidenhead Year2_Care_Applications_Children)</f>
        <v>21</v>
      </c>
      <c r="F136" s="96">
        <f>IF(Year3_Windsor_Maidenhead Year3_Care_Applications_Children="","",Year3_Windsor_Maidenhead Year3_Care_Applications_Children)</f>
        <v>34</v>
      </c>
      <c r="G136" s="96">
        <f>IF(Year4_Windsor_Maidenhead Year4_Care_Applications_Children="","",Year4_Windsor_Maidenhead Year4_Care_Applications_Children)</f>
        <v>32</v>
      </c>
      <c r="H136" s="791">
        <f>IF(Year5_Windsor_Maidenhead Year5_Care_Applications_Children="","",Year5_Windsor_Maidenhead Year5_Care_Applications_Children)</f>
        <v>46</v>
      </c>
      <c r="I136" s="975">
        <f t="shared" si="32"/>
        <v>0.27574681188264782</v>
      </c>
      <c r="J136" s="98"/>
      <c r="K136" s="99">
        <f>IF(ISNUMBER(D136),D136/Population!D30*10000,NA())</f>
        <v>5.6886227544910186</v>
      </c>
      <c r="L136" s="99">
        <f>IF(ISNUMBER(E136),E136/Population!E30*10000,NA())</f>
        <v>6.2314540059347179</v>
      </c>
      <c r="M136" s="99">
        <f>IF(ISNUMBER(F136),F136/Population!F30*10000,NA())</f>
        <v>9.9415204678362574</v>
      </c>
      <c r="N136" s="99">
        <f>IF(ISNUMBER(G136),G136/Population!G30*10000,NA())</f>
        <v>9.3023255813953494</v>
      </c>
      <c r="O136" s="100">
        <f>IF(ISNUMBER(H136),H136/Population!H30*10000,NA())</f>
        <v>13.294797687861271</v>
      </c>
      <c r="P136" s="101">
        <f t="shared" si="33"/>
        <v>13.294797687861271</v>
      </c>
      <c r="Q136" s="770">
        <f t="shared" si="34"/>
        <v>1</v>
      </c>
      <c r="R136" s="69"/>
      <c r="S136" s="333">
        <f t="shared" si="35"/>
        <v>6.7</v>
      </c>
      <c r="T136" s="334">
        <f t="shared" si="26"/>
        <v>9.8157497996195175</v>
      </c>
      <c r="U136" s="335">
        <f t="shared" si="36"/>
        <v>3.4790478882417535</v>
      </c>
      <c r="V136" s="124"/>
      <c r="W136" s="140"/>
      <c r="X136" s="149"/>
      <c r="Y136" s="71" t="str">
        <f t="shared" si="37"/>
        <v>Windsor &amp; Maidenhead</v>
      </c>
      <c r="Z136" s="45">
        <f>IF(H136&gt;0,IDACI!D29,0)</f>
        <v>29792</v>
      </c>
      <c r="AA136" s="45">
        <f>IF(H136&gt;0,IDACI!E29,0)</f>
        <v>1996.0640000000001</v>
      </c>
      <c r="AB136" s="202">
        <f>IF(ISNUMBER(D136),Population!D30,"")</f>
        <v>33400</v>
      </c>
      <c r="AC136" s="202">
        <f>IF(ISNUMBER(E136),Population!E30,"")</f>
        <v>33700</v>
      </c>
      <c r="AD136" s="202">
        <f>IF(ISNUMBER(F136),Population!F30,"")</f>
        <v>34200</v>
      </c>
      <c r="AE136" s="202">
        <f>IF(ISNUMBER(G136),Population!G30,"")</f>
        <v>34400</v>
      </c>
      <c r="AF136" s="202">
        <f>IF(ISNUMBER(H136),Population!H30,"")</f>
        <v>34600</v>
      </c>
      <c r="AG136" s="199"/>
      <c r="AH136" s="199"/>
      <c r="AI136" s="185"/>
      <c r="AJ136" s="199"/>
      <c r="AK136" s="156"/>
      <c r="AL136" s="792">
        <f t="shared" si="40"/>
        <v>0.10526315789473684</v>
      </c>
      <c r="AM136" s="792">
        <f t="shared" si="41"/>
        <v>0.61904761904761907</v>
      </c>
      <c r="AN136" s="792">
        <f t="shared" si="42"/>
        <v>-5.8823529411764705E-2</v>
      </c>
      <c r="AO136" s="792">
        <f t="shared" si="43"/>
        <v>0.4375</v>
      </c>
      <c r="AP136" s="792">
        <f t="shared" si="44"/>
        <v>0.27574681188264782</v>
      </c>
      <c r="AR136" s="888">
        <f t="shared" si="45"/>
        <v>6.2314540059347179</v>
      </c>
      <c r="AS136" s="888">
        <f t="shared" si="27"/>
        <v>9.9415204678362574</v>
      </c>
      <c r="AT136" s="888">
        <f t="shared" si="28"/>
        <v>9.3023255813953494</v>
      </c>
      <c r="AU136" s="888">
        <f t="shared" si="47"/>
        <v>13.294797687861271</v>
      </c>
      <c r="AV136" s="888">
        <f t="shared" si="48"/>
        <v>38.770097743027591</v>
      </c>
      <c r="AW136" s="550">
        <f t="shared" si="49"/>
        <v>0</v>
      </c>
      <c r="AX136" s="888">
        <f>AV136/(4-AW136)*4</f>
        <v>38.770097743027591</v>
      </c>
    </row>
    <row r="137" spans="1:50" s="89" customFormat="1" ht="13.5" customHeight="1" x14ac:dyDescent="0.2">
      <c r="A137" s="462">
        <f>VLOOKUP(B137,Sheet1!$AQ$4:$AR$25,2,FALSE)</f>
        <v>0</v>
      </c>
      <c r="B137" s="95" t="str">
        <f>Sheet1!$K$25</f>
        <v>Wokingham</v>
      </c>
      <c r="C137" s="87"/>
      <c r="D137" s="102">
        <f>IF(Year1_Wokingham Year1_Care_Applications_Children="","",Year1_Wokingham Year1_Care_Applications_Children)</f>
        <v>17</v>
      </c>
      <c r="E137" s="96">
        <f>IF(Year2_Wokingham Year2_Care_Applications_Children="","",Year2_Wokingham Year2_Care_Applications_Children)</f>
        <v>31</v>
      </c>
      <c r="F137" s="96">
        <f>IF(Year3_Wokingham Year3_Care_Applications_Children="","",Year3_Wokingham Year3_Care_Applications_Children)</f>
        <v>27</v>
      </c>
      <c r="G137" s="96">
        <f>IF(Year4_Wokingham Year4_Care_Applications_Children="","",Year4_Wokingham Year4_Care_Applications_Children)</f>
        <v>44</v>
      </c>
      <c r="H137" s="791">
        <f>IF(Year5_Wokingham Year5_Care_Applications_Children="","",Year5_Wokingham Year5_Care_Applications_Children)</f>
        <v>48</v>
      </c>
      <c r="I137" s="975">
        <f t="shared" si="32"/>
        <v>0.35375896855972755</v>
      </c>
      <c r="J137" s="98"/>
      <c r="K137" s="99">
        <f>IF(ISNUMBER(D137),D137/Population!D31*10000,NA())</f>
        <v>4.6070460704607044</v>
      </c>
      <c r="L137" s="99">
        <f>IF(ISNUMBER(E137),E137/Population!E31*10000,NA())</f>
        <v>8.310991957104557</v>
      </c>
      <c r="M137" s="99">
        <f>IF(ISNUMBER(F137),F137/Population!F31*10000,NA())</f>
        <v>7.1052631578947372</v>
      </c>
      <c r="N137" s="99">
        <f>IF(ISNUMBER(G137),G137/Population!G31*10000,NA())</f>
        <v>11.36950904392765</v>
      </c>
      <c r="O137" s="100">
        <f>IF(ISNUMBER(H137),H137/Population!H31*10000,NA())</f>
        <v>12.151898734177216</v>
      </c>
      <c r="P137" s="101">
        <f t="shared" si="33"/>
        <v>12.151898734177216</v>
      </c>
      <c r="Q137" s="770">
        <f t="shared" si="34"/>
        <v>2</v>
      </c>
      <c r="R137" s="69"/>
      <c r="S137" s="333">
        <f t="shared" si="35"/>
        <v>5.6000000000000005</v>
      </c>
      <c r="T137" s="334">
        <f t="shared" si="26"/>
        <v>8.7419186207595416</v>
      </c>
      <c r="U137" s="335">
        <f t="shared" si="36"/>
        <v>3.4099801134176744</v>
      </c>
      <c r="V137" s="124"/>
      <c r="W137" s="140"/>
      <c r="X137" s="149"/>
      <c r="Y137" s="71" t="str">
        <f t="shared" si="37"/>
        <v>Wokingham</v>
      </c>
      <c r="Z137" s="45">
        <f>IF(H137&gt;0,IDACI!D30,0)</f>
        <v>33327</v>
      </c>
      <c r="AA137" s="45">
        <f>IF(H137&gt;0,IDACI!E30,0)</f>
        <v>1866.3120000000004</v>
      </c>
      <c r="AB137" s="202">
        <f>IF(ISNUMBER(D137),Population!D31,"")</f>
        <v>36900</v>
      </c>
      <c r="AC137" s="202">
        <f>IF(ISNUMBER(E137),Population!E31,"")</f>
        <v>37300</v>
      </c>
      <c r="AD137" s="202">
        <f>IF(ISNUMBER(F137),Population!F31,"")</f>
        <v>38000</v>
      </c>
      <c r="AE137" s="202">
        <f>IF(ISNUMBER(G137),Population!G31,"")</f>
        <v>38700</v>
      </c>
      <c r="AF137" s="202">
        <f>IF(ISNUMBER(H137),Population!H31,"")</f>
        <v>39500</v>
      </c>
      <c r="AG137" s="199"/>
      <c r="AH137" s="199"/>
      <c r="AI137" s="185"/>
      <c r="AJ137" s="199"/>
      <c r="AK137" s="156"/>
      <c r="AL137" s="792">
        <f t="shared" si="40"/>
        <v>0.82352941176470584</v>
      </c>
      <c r="AM137" s="792">
        <f t="shared" si="41"/>
        <v>-0.12903225806451613</v>
      </c>
      <c r="AN137" s="792">
        <f t="shared" si="42"/>
        <v>0.62962962962962965</v>
      </c>
      <c r="AO137" s="792">
        <f t="shared" si="43"/>
        <v>9.0909090909090912E-2</v>
      </c>
      <c r="AP137" s="792">
        <f t="shared" si="44"/>
        <v>0.35375896855972755</v>
      </c>
      <c r="AR137" s="888">
        <f t="shared" si="45"/>
        <v>8.310991957104557</v>
      </c>
      <c r="AS137" s="888">
        <f t="shared" si="27"/>
        <v>7.1052631578947372</v>
      </c>
      <c r="AT137" s="888">
        <f t="shared" si="28"/>
        <v>11.36950904392765</v>
      </c>
      <c r="AU137" s="888">
        <f t="shared" si="47"/>
        <v>12.151898734177216</v>
      </c>
      <c r="AV137" s="888">
        <f t="shared" si="48"/>
        <v>38.937662893104161</v>
      </c>
      <c r="AW137" s="550">
        <f t="shared" si="49"/>
        <v>0</v>
      </c>
      <c r="AX137" s="888">
        <f t="shared" ref="AX137:AX139" si="51">AV137/(4-AW137)*4</f>
        <v>38.937662893104161</v>
      </c>
    </row>
    <row r="138" spans="1:50" s="89" customFormat="1" ht="13.5" customHeight="1" x14ac:dyDescent="0.2">
      <c r="A138" s="123"/>
      <c r="B138" s="131" t="str">
        <f>Sheet1!$K$26</f>
        <v>South East</v>
      </c>
      <c r="C138" s="87"/>
      <c r="D138" s="132">
        <f>IF(Year1_SouthEast Year1_Care_Applications_Children="","",Year1_SouthEast Year1_Care_Applications_Children)</f>
        <v>2398</v>
      </c>
      <c r="E138" s="132">
        <f>IF(Year2_SouthEast Year2_Care_Applications_Children="","",Year2_SouthEast Year2_Care_Applications_Children)</f>
        <v>3052</v>
      </c>
      <c r="F138" s="132">
        <f>IF(Year3_SouthEast Year3_Care_Applications_Children="","",Year3_SouthEast Year3_Care_Applications_Children)</f>
        <v>3129</v>
      </c>
      <c r="G138" s="132">
        <f>IF(Year4_SouthEast Year4_Care_Applications_Children="","",Year4_SouthEast Year4_Care_Applications_Children)</f>
        <v>3190</v>
      </c>
      <c r="H138" s="464">
        <f>IF(Year5_SouthEast Year5_Care_Applications_Children="","",Year5_SouthEast Year5_Care_Applications_Children)</f>
        <v>3015</v>
      </c>
      <c r="I138" s="976">
        <f t="shared" si="32"/>
        <v>5.8295862300532811E-2</v>
      </c>
      <c r="J138" s="98"/>
      <c r="K138" s="134">
        <f>IF(ISNUMBER(D138),D138/Population!D32*10000,NA())</f>
        <v>12.593214998424536</v>
      </c>
      <c r="L138" s="134">
        <f>IF(ISNUMBER(E138),E138/Population!E32*10000,NA())</f>
        <v>15.911579166883897</v>
      </c>
      <c r="M138" s="134">
        <f>IF(ISNUMBER(F138),F138/Population!F32*10000,NA())</f>
        <v>16.185599006828056</v>
      </c>
      <c r="N138" s="134">
        <f>IF(ISNUMBER(G138),G138/Population!G32*10000,NA())</f>
        <v>16.410309172282524</v>
      </c>
      <c r="O138" s="135">
        <f>IF(ISNUMBER(H138),H138/Population!H32*10000,NA())</f>
        <v>15.402298850574713</v>
      </c>
      <c r="P138" s="101">
        <f t="shared" si="33"/>
        <v>15.402298850574713</v>
      </c>
      <c r="Q138" s="136" t="str">
        <f t="shared" si="34"/>
        <v>--</v>
      </c>
      <c r="R138" s="69"/>
      <c r="S138" s="331">
        <f>AA138/Z138*100</f>
        <v>12.371268250968637</v>
      </c>
      <c r="T138" s="331">
        <f t="shared" si="26"/>
        <v>15.352099501045698</v>
      </c>
      <c r="U138" s="336">
        <f t="shared" si="36"/>
        <v>5.0199349529014725E-2</v>
      </c>
      <c r="V138" s="124"/>
      <c r="W138" s="140"/>
      <c r="X138" s="149"/>
      <c r="Y138" s="71" t="str">
        <f t="shared" si="37"/>
        <v>South East</v>
      </c>
      <c r="Z138" s="45">
        <f>SUM(Z130:Z131,Z116:Z128,Z134:Z137)</f>
        <v>1704978</v>
      </c>
      <c r="AA138" s="45">
        <f>SUM(AA130:AA131,AA116:AA128,AA134:AA137)</f>
        <v>210927.40200000003</v>
      </c>
      <c r="AB138" s="202">
        <f>SUM(AB116:AB128,AB130:AB131,AB134:AB137)</f>
        <v>1904400</v>
      </c>
      <c r="AC138" s="202">
        <f t="shared" ref="AC138" si="52">SUM(AC116:AC128,AC130:AC131,AC134:AC137)</f>
        <v>1918100</v>
      </c>
      <c r="AD138" s="202">
        <f t="shared" ref="AD138" si="53">SUM(AD116:AD128,AD130:AD131,AD134:AD137)</f>
        <v>1933100</v>
      </c>
      <c r="AE138" s="202">
        <f t="shared" ref="AE138" si="54">SUM(AE116:AE128,AE130:AE131,AE134:AE137)</f>
        <v>1943900</v>
      </c>
      <c r="AF138" s="202">
        <f t="shared" ref="AF138" si="55">SUM(AF116:AF128,AF130:AF131,AF134:AF137)</f>
        <v>1957400</v>
      </c>
      <c r="AG138" s="199"/>
      <c r="AH138" s="199"/>
      <c r="AI138" s="185"/>
      <c r="AJ138" s="199"/>
      <c r="AK138" s="156"/>
      <c r="AL138" s="974">
        <f>IF(ISERROR((L138-K138)/K138),"x",(L138-K138)/K138)</f>
        <v>0.26350413050793642</v>
      </c>
      <c r="AM138" s="974">
        <f t="shared" ref="AM138" si="56">IF(ISERROR((M138-L138)/L138),"x",(M138-L138)/L138)</f>
        <v>1.7221410714183892E-2</v>
      </c>
      <c r="AN138" s="974">
        <f t="shared" ref="AN138" si="57">IF(ISERROR((N138-M138)/M138),"x",(N138-M138)/M138)</f>
        <v>1.3883339464895408E-2</v>
      </c>
      <c r="AO138" s="974">
        <f t="shared" ref="AO138" si="58">IF(ISERROR((O138-N138)/N138),"x",(O138-N138)/N138)</f>
        <v>-6.1425431484884455E-2</v>
      </c>
      <c r="AP138" s="792">
        <f t="shared" si="44"/>
        <v>5.8295862300532811E-2</v>
      </c>
      <c r="AR138" s="888">
        <f t="shared" si="45"/>
        <v>15.911579166883897</v>
      </c>
      <c r="AS138" s="888">
        <f t="shared" si="27"/>
        <v>16.185599006828056</v>
      </c>
      <c r="AT138" s="888">
        <f t="shared" si="28"/>
        <v>16.410309172282524</v>
      </c>
      <c r="AU138" s="888">
        <f t="shared" si="47"/>
        <v>15.402298850574713</v>
      </c>
      <c r="AV138" s="888">
        <f t="shared" si="48"/>
        <v>63.909786196569186</v>
      </c>
      <c r="AW138" s="550">
        <f t="shared" si="49"/>
        <v>0</v>
      </c>
      <c r="AX138" s="888">
        <f t="shared" si="51"/>
        <v>63.909786196569186</v>
      </c>
    </row>
    <row r="139" spans="1:50" s="89" customFormat="1" ht="13.5" customHeight="1" x14ac:dyDescent="0.2">
      <c r="A139" s="286"/>
      <c r="B139" s="318" t="str">
        <f>Sheet1!$K$27</f>
        <v>England</v>
      </c>
      <c r="C139" s="87"/>
      <c r="D139" s="319">
        <f>IF(Year1_England Year1_Care_Applications_Children="","",Year1_England Year1_Care_Applications_Children)</f>
        <v>18839</v>
      </c>
      <c r="E139" s="319">
        <f>IF(Year2_England Year2_Care_Applications_Children="","",Year2_England Year2_Care_Applications_Children)</f>
        <v>21264</v>
      </c>
      <c r="F139" s="319">
        <f>IF(Year3_England Year3_Care_Applications_Children="","",Year3_England Year3_Care_Applications_Children)</f>
        <v>24094</v>
      </c>
      <c r="G139" s="319">
        <f>IF(Year4_England Year4_Care_Applications_Children="","",Year4_England Year4_Care_Applications_Children)</f>
        <v>23606</v>
      </c>
      <c r="H139" s="465">
        <f>IF(Year5_England Year5_Care_Applications_Children="","",Year5_England Year5_Care_Applications_Children)</f>
        <v>22053</v>
      </c>
      <c r="I139" s="977">
        <f t="shared" si="32"/>
        <v>4.3942188964611856E-2</v>
      </c>
      <c r="J139" s="98"/>
      <c r="K139" s="321">
        <f>IF(ISNUMBER(D139),D139/Population!D33*10000,NA())</f>
        <v>16.252145932003071</v>
      </c>
      <c r="L139" s="321">
        <f>IF(ISNUMBER(E139),E139/Population!E33*10000,NA())</f>
        <v>18.208753286121649</v>
      </c>
      <c r="M139" s="321">
        <f>IF(ISNUMBER(F139),F139/Population!F33*10000,NA())</f>
        <v>20.444112580927086</v>
      </c>
      <c r="N139" s="321">
        <f>IF(ISNUMBER(G139),G139/Population!G33*10000,NA())</f>
        <v>19.892137861296028</v>
      </c>
      <c r="O139" s="322">
        <f>IF(ISNUMBER(H139),H139/Population!H33*10000,NA())</f>
        <v>18.447292255700734</v>
      </c>
      <c r="P139" s="727"/>
      <c r="Q139" s="796" t="str">
        <f t="shared" si="34"/>
        <v>--</v>
      </c>
      <c r="R139" s="69"/>
      <c r="S139" s="332">
        <f t="shared" si="35"/>
        <v>17.084413405029373</v>
      </c>
      <c r="T139" s="332">
        <f t="shared" si="26"/>
        <v>19.953119698248624</v>
      </c>
      <c r="U139" s="598">
        <f t="shared" si="36"/>
        <v>-1.5058274425478899</v>
      </c>
      <c r="V139" s="124"/>
      <c r="W139" s="140"/>
      <c r="X139" s="149"/>
      <c r="Y139" s="71" t="str">
        <f t="shared" si="37"/>
        <v>England</v>
      </c>
      <c r="Z139" s="45">
        <f>IF(H139&gt;0,IDACI!D135,0)</f>
        <v>0</v>
      </c>
      <c r="AA139" s="45">
        <f>IF(H139&gt;0,IDACI!E135,0)</f>
        <v>0</v>
      </c>
      <c r="AB139" s="202">
        <f>IF(ISNUMBER(D139),Population!D136,"")</f>
        <v>0</v>
      </c>
      <c r="AC139" s="202">
        <f>IF(ISNUMBER(E139),Population!E136,"")</f>
        <v>0</v>
      </c>
      <c r="AD139" s="202">
        <f>IF(ISNUMBER(F139),Population!F136,"")</f>
        <v>0</v>
      </c>
      <c r="AE139" s="202">
        <f>IF(ISNUMBER(G139),Population!G136,"")</f>
        <v>0</v>
      </c>
      <c r="AF139" s="202">
        <f>IF(ISNUMBER(H139),Population!H136,"")</f>
        <v>0</v>
      </c>
      <c r="AG139" s="199"/>
      <c r="AH139" s="199"/>
      <c r="AI139" s="185"/>
      <c r="AJ139" s="199"/>
      <c r="AK139" s="156"/>
      <c r="AL139" s="792">
        <f t="shared" ref="AL139" si="59">IF(ISERROR((E139-D139)/D139),"x",(E139-D139)/D139)</f>
        <v>0.12872233133393493</v>
      </c>
      <c r="AM139" s="792">
        <f t="shared" ref="AM139" si="60">IF(ISERROR((F139-E139)/E139),"x",(F139-E139)/E139)</f>
        <v>0.13308878856282919</v>
      </c>
      <c r="AN139" s="792">
        <f t="shared" ref="AN139" si="61">IF(ISERROR((G139-F139)/F139),"x",(G139-F139)/F139)</f>
        <v>-2.0254005146509504E-2</v>
      </c>
      <c r="AO139" s="792">
        <f t="shared" ref="AO139" si="62">IF(ISERROR((H139-G139)/G139),"x",(H139-G139)/G139)</f>
        <v>-6.5788358891807161E-2</v>
      </c>
      <c r="AP139" s="792">
        <f>AVERAGE(AL139:AO139)</f>
        <v>4.3942188964611856E-2</v>
      </c>
      <c r="AR139" s="888">
        <f t="shared" si="45"/>
        <v>18.208753286121649</v>
      </c>
      <c r="AS139" s="888">
        <f t="shared" si="27"/>
        <v>20.444112580927086</v>
      </c>
      <c r="AT139" s="888">
        <f t="shared" si="28"/>
        <v>19.892137861296028</v>
      </c>
      <c r="AU139" s="888">
        <f t="shared" si="47"/>
        <v>18.447292255700734</v>
      </c>
      <c r="AV139" s="888">
        <f t="shared" si="48"/>
        <v>76.992295984045498</v>
      </c>
      <c r="AW139" s="550">
        <f t="shared" si="49"/>
        <v>0</v>
      </c>
      <c r="AX139" s="888">
        <f t="shared" si="51"/>
        <v>76.992295984045498</v>
      </c>
    </row>
    <row r="140" spans="1:50" s="83" customFormat="1" ht="13.5" customHeight="1" x14ac:dyDescent="0.2">
      <c r="A140" s="120"/>
      <c r="B140" s="125" t="s">
        <v>90</v>
      </c>
      <c r="C140" s="63"/>
      <c r="D140" s="63"/>
      <c r="E140" s="63"/>
      <c r="F140" s="63"/>
      <c r="G140" s="63"/>
      <c r="H140" s="63"/>
      <c r="I140" s="63"/>
      <c r="J140" s="63"/>
      <c r="K140" s="63"/>
      <c r="L140" s="63"/>
      <c r="M140" s="63"/>
      <c r="N140" s="63"/>
      <c r="O140" s="63"/>
      <c r="P140" s="63"/>
      <c r="Q140" s="137" t="s">
        <v>109</v>
      </c>
      <c r="S140" s="63"/>
      <c r="T140" s="63"/>
      <c r="U140" s="63"/>
      <c r="V140" s="119"/>
      <c r="W140" s="138"/>
      <c r="X140" s="147"/>
      <c r="Y140" s="82"/>
      <c r="Z140" s="179"/>
      <c r="AA140" s="179"/>
      <c r="AB140" s="179"/>
      <c r="AC140" s="179"/>
      <c r="AD140" s="179"/>
      <c r="AE140" s="179"/>
      <c r="AF140" s="179"/>
      <c r="AG140" s="179"/>
      <c r="AH140" s="179"/>
      <c r="AJ140" s="179"/>
      <c r="AK140" s="157"/>
    </row>
    <row r="141" spans="1:50" s="83" customFormat="1" ht="25.5" customHeight="1" x14ac:dyDescent="0.2">
      <c r="A141" s="120"/>
      <c r="B141" s="1580"/>
      <c r="C141" s="1581"/>
      <c r="D141" s="1581"/>
      <c r="E141" s="1581"/>
      <c r="F141" s="1581"/>
      <c r="G141" s="1581"/>
      <c r="H141" s="1581"/>
      <c r="I141" s="1581"/>
      <c r="J141" s="1581"/>
      <c r="K141" s="1581"/>
      <c r="L141" s="1581"/>
      <c r="M141" s="1581"/>
      <c r="N141" s="1581"/>
      <c r="O141" s="1581"/>
      <c r="P141" s="1581"/>
      <c r="Q141" s="1581"/>
      <c r="R141" s="1581"/>
      <c r="S141" s="1581"/>
      <c r="T141" s="1581"/>
      <c r="U141" s="1582"/>
      <c r="V141" s="119"/>
      <c r="W141" s="138"/>
      <c r="X141" s="147"/>
      <c r="Y141" s="82"/>
      <c r="Z141" s="179"/>
      <c r="AA141" s="179"/>
      <c r="AB141" s="179"/>
      <c r="AC141" s="179"/>
      <c r="AD141" s="179"/>
      <c r="AE141" s="179"/>
      <c r="AF141" s="179"/>
      <c r="AG141" s="179"/>
      <c r="AH141" s="179"/>
      <c r="AJ141" s="179"/>
      <c r="AK141" s="153"/>
      <c r="AL141" s="76"/>
      <c r="AM141" s="76"/>
      <c r="AN141" s="76"/>
      <c r="AO141" s="76"/>
      <c r="AP141" s="76"/>
      <c r="AQ141" s="76"/>
      <c r="AR141" s="76"/>
    </row>
    <row r="142" spans="1:50" s="83" customFormat="1" ht="7.5" customHeight="1" x14ac:dyDescent="0.2">
      <c r="A142" s="120"/>
      <c r="B142" s="18"/>
      <c r="C142" s="18"/>
      <c r="D142" s="17"/>
      <c r="E142" s="17"/>
      <c r="F142" s="17"/>
      <c r="G142" s="17"/>
      <c r="H142" s="17"/>
      <c r="I142" s="17"/>
      <c r="J142" s="13"/>
      <c r="K142" s="19"/>
      <c r="L142" s="19"/>
      <c r="M142" s="19"/>
      <c r="N142" s="19"/>
      <c r="O142" s="19"/>
      <c r="P142" s="19"/>
      <c r="Q142" s="19"/>
      <c r="R142" s="19"/>
      <c r="S142" s="19"/>
      <c r="T142" s="19"/>
      <c r="U142" s="20"/>
      <c r="V142" s="119"/>
      <c r="W142" s="138"/>
      <c r="X142" s="147"/>
      <c r="Z142" s="185"/>
      <c r="AJ142" s="179"/>
      <c r="AK142" s="153"/>
      <c r="AL142" s="76"/>
      <c r="AM142" s="76"/>
      <c r="AN142" s="76"/>
      <c r="AO142" s="76"/>
      <c r="AP142" s="76"/>
      <c r="AQ142" s="76"/>
      <c r="AR142" s="76"/>
    </row>
    <row r="143" spans="1:50" s="83" customFormat="1" ht="15" customHeight="1" x14ac:dyDescent="0.2">
      <c r="A143" s="1399"/>
      <c r="B143" s="1421"/>
      <c r="C143" s="1421"/>
      <c r="D143" s="1421"/>
      <c r="E143" s="1421"/>
      <c r="F143" s="1421"/>
      <c r="G143" s="1421"/>
      <c r="H143" s="1421"/>
      <c r="I143" s="1421"/>
      <c r="J143" s="1421"/>
      <c r="K143" s="1421"/>
      <c r="L143" s="1421"/>
      <c r="M143" s="1421"/>
      <c r="N143" s="1421"/>
      <c r="O143" s="1421"/>
      <c r="P143" s="1421"/>
      <c r="Q143" s="1421"/>
      <c r="R143" s="1421"/>
      <c r="S143" s="1421"/>
      <c r="T143" s="1421"/>
      <c r="U143" s="1421"/>
      <c r="V143" s="1422"/>
      <c r="W143" s="138"/>
      <c r="X143" s="147"/>
      <c r="Z143" s="185"/>
      <c r="AK143" s="157"/>
      <c r="AM143" s="83">
        <f>COLUMNS($B$4:K$4)</f>
        <v>10</v>
      </c>
      <c r="AN143" s="83">
        <f>COLUMNS($B$4:L$4)</f>
        <v>11</v>
      </c>
      <c r="AO143" s="83">
        <f>COLUMNS($B$4:M$4)</f>
        <v>12</v>
      </c>
      <c r="AP143" s="83">
        <f>COLUMNS($B$4:N$4)</f>
        <v>13</v>
      </c>
      <c r="AQ143" s="83">
        <f>COLUMNS($B$4:O$4)</f>
        <v>14</v>
      </c>
      <c r="AR143" s="83">
        <f>COLUMNS($B$4:S$4)</f>
        <v>18</v>
      </c>
    </row>
    <row r="144" spans="1:50" s="83" customFormat="1" ht="11.25" customHeight="1" x14ac:dyDescent="0.2">
      <c r="A144" s="1428" t="str">
        <f>Home!$A$40</f>
        <v>LA's provide quarterly data on the condition that it is used by the benchmarking group for internal reporting only. Please DO NOT share other LA's data with any external partners or the public</v>
      </c>
      <c r="B144" s="1429"/>
      <c r="C144" s="1429"/>
      <c r="D144" s="1429"/>
      <c r="E144" s="1429"/>
      <c r="F144" s="1429"/>
      <c r="G144" s="1429"/>
      <c r="H144" s="1429"/>
      <c r="I144" s="1430"/>
      <c r="J144" s="1429"/>
      <c r="K144" s="1429"/>
      <c r="L144" s="1429"/>
      <c r="M144" s="1429"/>
      <c r="N144" s="1429"/>
      <c r="O144" s="1429"/>
      <c r="P144" s="1431"/>
      <c r="Q144" s="1429"/>
      <c r="R144" s="1429"/>
      <c r="S144" s="1429"/>
      <c r="T144" s="1430"/>
      <c r="U144" s="1429"/>
      <c r="V144" s="1432"/>
      <c r="W144" s="138"/>
      <c r="X144" s="147"/>
      <c r="Z144" s="185"/>
      <c r="AJ144" s="179"/>
      <c r="AK144" s="156"/>
      <c r="AL144" s="89"/>
      <c r="AM144" s="1465" t="s">
        <v>89</v>
      </c>
      <c r="AN144" s="1465"/>
      <c r="AO144" s="1465"/>
      <c r="AP144" s="1465"/>
      <c r="AQ144" s="1465"/>
      <c r="AR144" s="1465" t="s">
        <v>95</v>
      </c>
    </row>
    <row r="145" spans="1:51" s="83" customFormat="1" ht="11.25" customHeight="1" x14ac:dyDescent="0.2">
      <c r="A145" s="114"/>
      <c r="B145" s="115"/>
      <c r="C145" s="115"/>
      <c r="D145" s="115"/>
      <c r="E145" s="115"/>
      <c r="F145" s="115"/>
      <c r="G145" s="115"/>
      <c r="H145" s="115"/>
      <c r="I145" s="115"/>
      <c r="J145" s="116"/>
      <c r="K145" s="115"/>
      <c r="L145" s="115"/>
      <c r="M145" s="115"/>
      <c r="N145" s="115"/>
      <c r="O145" s="115"/>
      <c r="P145" s="115"/>
      <c r="Q145" s="115"/>
      <c r="R145" s="115"/>
      <c r="S145" s="115"/>
      <c r="T145" s="115"/>
      <c r="U145" s="115"/>
      <c r="V145" s="117"/>
      <c r="W145" s="138"/>
      <c r="X145" s="146"/>
      <c r="Y145" s="192"/>
      <c r="Z145" s="192"/>
      <c r="AA145" s="192"/>
      <c r="AB145" s="192"/>
      <c r="AC145" s="192"/>
      <c r="AJ145" s="179"/>
      <c r="AK145" s="156"/>
      <c r="AL145" s="89"/>
      <c r="AM145" s="730" t="str">
        <f>Sheet1!$D$25</f>
        <v>2014-15</v>
      </c>
      <c r="AN145" s="730" t="str">
        <f>Sheet1!$E$25</f>
        <v>2015-16</v>
      </c>
      <c r="AO145" s="730" t="str">
        <f>Sheet1!$F$25</f>
        <v>2016-17</v>
      </c>
      <c r="AP145" s="730" t="str">
        <f>Sheet1!$G$25</f>
        <v>2017-18</v>
      </c>
      <c r="AQ145" s="730" t="str">
        <f>Sheet1!$H$25</f>
        <v>2018-19</v>
      </c>
      <c r="AR145" s="1465"/>
    </row>
    <row r="146" spans="1:51" s="83" customFormat="1" ht="22.5" customHeight="1" x14ac:dyDescent="0.25">
      <c r="A146" s="118"/>
      <c r="B146" s="9"/>
      <c r="C146" s="9"/>
      <c r="D146" s="9"/>
      <c r="E146" s="9"/>
      <c r="F146" s="9"/>
      <c r="G146" s="9"/>
      <c r="H146" s="9"/>
      <c r="I146" s="9"/>
      <c r="J146" s="13"/>
      <c r="K146" s="9"/>
      <c r="L146" s="9"/>
      <c r="M146" s="9"/>
      <c r="N146" s="9"/>
      <c r="O146" s="9"/>
      <c r="P146" s="9"/>
      <c r="Q146" s="9"/>
      <c r="R146" s="9"/>
      <c r="S146" s="9"/>
      <c r="T146" s="9"/>
      <c r="U146" s="9"/>
      <c r="V146" s="119"/>
      <c r="W146" s="138"/>
      <c r="X146" s="288"/>
      <c r="AD146" s="1188" t="s">
        <v>1002</v>
      </c>
      <c r="AK146" s="156"/>
      <c r="AL146" s="89"/>
      <c r="AM146" s="730" t="e">
        <f>Sheet1!$D$26</f>
        <v>#N/A</v>
      </c>
      <c r="AN146" s="730" t="e">
        <f>Sheet1!$E$26</f>
        <v>#N/A</v>
      </c>
      <c r="AO146" s="730" t="e">
        <f>Sheet1!$F$26</f>
        <v>#N/A</v>
      </c>
      <c r="AP146" s="730" t="e">
        <f>Sheet1!$G$26</f>
        <v>#N/A</v>
      </c>
      <c r="AQ146" s="730" t="e">
        <f>Sheet1!$H$26</f>
        <v>#N/A</v>
      </c>
      <c r="AR146" s="1465"/>
    </row>
    <row r="147" spans="1:51" s="83" customFormat="1" ht="13.5" customHeight="1" x14ac:dyDescent="0.2">
      <c r="A147" s="120"/>
      <c r="B147" s="9"/>
      <c r="C147" s="9"/>
      <c r="D147" s="9"/>
      <c r="E147" s="9"/>
      <c r="F147" s="9"/>
      <c r="G147" s="9"/>
      <c r="H147" s="9"/>
      <c r="I147" s="9"/>
      <c r="J147" s="13"/>
      <c r="K147" s="9"/>
      <c r="L147" s="9"/>
      <c r="M147" s="9"/>
      <c r="N147" s="9"/>
      <c r="O147" s="9"/>
      <c r="P147" s="9"/>
      <c r="Q147" s="9"/>
      <c r="R147" s="9"/>
      <c r="S147" s="9"/>
      <c r="T147" s="9"/>
      <c r="U147" s="9"/>
      <c r="V147" s="119"/>
      <c r="W147" s="138"/>
      <c r="X147" s="288"/>
      <c r="Y147" s="44" t="s">
        <v>72</v>
      </c>
      <c r="Z147" s="44" t="s">
        <v>70</v>
      </c>
      <c r="AA147" s="44" t="s">
        <v>71</v>
      </c>
      <c r="AB147" s="1061">
        <v>5</v>
      </c>
      <c r="AC147" s="212">
        <f>(AB147*Z148)+AA148</f>
        <v>12.744282887118011</v>
      </c>
      <c r="AD147" s="203">
        <f>ROUND(ChartLabels!$AA15,3)</f>
        <v>0.28899999999999998</v>
      </c>
      <c r="AJ147" s="560" t="b">
        <f>AJ41</f>
        <v>1</v>
      </c>
      <c r="AK147" s="156"/>
      <c r="AL147" s="89" t="str">
        <f>IF(AJ147=TRUE,B116,"")</f>
        <v>Bracknell Forest</v>
      </c>
      <c r="AM147" s="143">
        <f t="shared" ref="AM147:AQ156" si="63">VLOOKUP($AL147,$B$116:$O$139,AM$37,FALSE)</f>
        <v>10.071942446043165</v>
      </c>
      <c r="AN147" s="143">
        <f t="shared" si="63"/>
        <v>18.085106382978722</v>
      </c>
      <c r="AO147" s="143">
        <f t="shared" si="63"/>
        <v>18.794326241134751</v>
      </c>
      <c r="AP147" s="143">
        <f t="shared" si="63"/>
        <v>30.60498220640569</v>
      </c>
      <c r="AQ147" s="143">
        <f t="shared" si="63"/>
        <v>25.088339222614842</v>
      </c>
      <c r="AR147" s="144">
        <f>VLOOKUP(AL147,$B$10:$U$33,$AR$37,FALSE)</f>
        <v>8.9</v>
      </c>
    </row>
    <row r="148" spans="1:51" s="83" customFormat="1" ht="13.5" customHeight="1" x14ac:dyDescent="0.2">
      <c r="A148" s="120"/>
      <c r="B148" s="9"/>
      <c r="C148" s="9"/>
      <c r="D148" s="9"/>
      <c r="E148" s="9"/>
      <c r="F148" s="9"/>
      <c r="G148" s="9"/>
      <c r="H148" s="9"/>
      <c r="I148" s="9"/>
      <c r="J148" s="13"/>
      <c r="K148" s="9"/>
      <c r="L148" s="9"/>
      <c r="M148" s="9"/>
      <c r="N148" s="9"/>
      <c r="O148" s="9"/>
      <c r="P148" s="9"/>
      <c r="Q148" s="9"/>
      <c r="R148" s="9"/>
      <c r="S148" s="9"/>
      <c r="T148" s="9"/>
      <c r="U148" s="9"/>
      <c r="V148" s="119"/>
      <c r="W148" s="138"/>
      <c r="X148" s="288"/>
      <c r="Y148" s="208" t="str">
        <f>"Y= "&amp;Z148&amp;"x + "&amp;AA148</f>
        <v>Y= 0.670482050890487x + 9.39187263266558</v>
      </c>
      <c r="Z148" s="712">
        <f>ChartLabels!$Y15</f>
        <v>0.67048205089048651</v>
      </c>
      <c r="AA148" s="712">
        <f>ChartLabels!$Z15</f>
        <v>9.3918726326655779</v>
      </c>
      <c r="AB148" s="211">
        <v>35</v>
      </c>
      <c r="AC148" s="212">
        <f>(AB148*Z148)+AA148</f>
        <v>32.858744413832611</v>
      </c>
      <c r="AD148" s="1187" t="str">
        <f>AD146&amp;" = "&amp;AD147</f>
        <v>r² = 0.289</v>
      </c>
      <c r="AJ148" s="560" t="b">
        <f t="shared" ref="AJ148:AJ170" si="64">AJ42</f>
        <v>1</v>
      </c>
      <c r="AK148" s="156"/>
      <c r="AL148" s="89" t="str">
        <f t="shared" ref="AL148:AL170" si="65">IF(AJ148=TRUE,B117,"")</f>
        <v>Brighton &amp; Hove</v>
      </c>
      <c r="AM148" s="143">
        <f t="shared" si="63"/>
        <v>24.313725490196077</v>
      </c>
      <c r="AN148" s="143">
        <f t="shared" si="63"/>
        <v>28.7109375</v>
      </c>
      <c r="AO148" s="143">
        <f t="shared" si="63"/>
        <v>32.163742690058484</v>
      </c>
      <c r="AP148" s="143">
        <f t="shared" si="63"/>
        <v>24.117647058823529</v>
      </c>
      <c r="AQ148" s="143">
        <f t="shared" si="63"/>
        <v>20.3921568627451</v>
      </c>
      <c r="AR148" s="144">
        <f t="shared" ref="AR148:AR170" si="66">VLOOKUP(AL148,$B$10:$U$33,$AR$37,FALSE)</f>
        <v>15.299999999999999</v>
      </c>
    </row>
    <row r="149" spans="1:51" ht="13.5" customHeight="1" x14ac:dyDescent="0.2">
      <c r="A149" s="120"/>
      <c r="B149" s="9"/>
      <c r="C149" s="9"/>
      <c r="D149" s="9"/>
      <c r="E149" s="9"/>
      <c r="F149" s="9"/>
      <c r="G149" s="9"/>
      <c r="H149" s="9"/>
      <c r="I149" s="9"/>
      <c r="J149" s="13"/>
      <c r="K149" s="9"/>
      <c r="L149" s="9"/>
      <c r="M149" s="9"/>
      <c r="N149" s="9"/>
      <c r="O149" s="9"/>
      <c r="P149" s="9"/>
      <c r="Q149" s="9"/>
      <c r="R149" s="9"/>
      <c r="S149" s="9"/>
      <c r="T149" s="9"/>
      <c r="U149" s="9"/>
      <c r="V149" s="119"/>
      <c r="W149" s="138"/>
      <c r="X149" s="288"/>
      <c r="Y149" s="44" t="str">
        <f>"National Trend "&amp;Sheet1!$B$8</f>
        <v>National Trend 2019</v>
      </c>
      <c r="Z149" s="44" t="s">
        <v>70</v>
      </c>
      <c r="AA149" s="44" t="s">
        <v>71</v>
      </c>
      <c r="AB149" s="1061">
        <v>5</v>
      </c>
      <c r="AC149" s="212">
        <f>((AB149*Z150)+AA150)/$Y$2</f>
        <v>8.1561925231995556</v>
      </c>
      <c r="AD149" s="714" t="str">
        <f>"r² = "&amp;ROUND(AD150,3)</f>
        <v>r² = 0.3</v>
      </c>
      <c r="AJ149" s="560" t="b">
        <f t="shared" si="64"/>
        <v>1</v>
      </c>
      <c r="AK149" s="156"/>
      <c r="AL149" s="89" t="str">
        <f t="shared" si="65"/>
        <v>Buckinghamshire</v>
      </c>
      <c r="AM149" s="143">
        <f t="shared" si="63"/>
        <v>7.4852817493692179</v>
      </c>
      <c r="AN149" s="143">
        <f t="shared" si="63"/>
        <v>15.671641791044776</v>
      </c>
      <c r="AO149" s="143">
        <f t="shared" si="63"/>
        <v>14.402618657937806</v>
      </c>
      <c r="AP149" s="143">
        <f t="shared" si="63"/>
        <v>11.535337124289196</v>
      </c>
      <c r="AQ149" s="143">
        <f t="shared" si="63"/>
        <v>13.435237329042639</v>
      </c>
      <c r="AR149" s="144">
        <f t="shared" si="66"/>
        <v>8.5</v>
      </c>
      <c r="AS149" s="83"/>
      <c r="AT149" s="83"/>
      <c r="AU149" s="83"/>
      <c r="AV149" s="83"/>
      <c r="AW149" s="83"/>
      <c r="AX149" s="83"/>
      <c r="AY149" s="83"/>
    </row>
    <row r="150" spans="1:51" ht="13.5" customHeight="1" x14ac:dyDescent="0.2">
      <c r="A150" s="120"/>
      <c r="B150" s="9"/>
      <c r="C150" s="9"/>
      <c r="D150" s="9"/>
      <c r="E150" s="9"/>
      <c r="F150" s="9"/>
      <c r="G150" s="9"/>
      <c r="H150" s="9"/>
      <c r="I150" s="9"/>
      <c r="J150" s="13"/>
      <c r="K150" s="14"/>
      <c r="L150" s="14"/>
      <c r="M150" s="14"/>
      <c r="N150" s="14"/>
      <c r="O150" s="15"/>
      <c r="P150" s="15"/>
      <c r="Q150" s="15"/>
      <c r="R150" s="15"/>
      <c r="S150" s="15"/>
      <c r="T150" s="15"/>
      <c r="U150" s="15"/>
      <c r="V150" s="119"/>
      <c r="W150" s="138"/>
      <c r="X150" s="288"/>
      <c r="Y150" s="208" t="str">
        <f>"Y= "&amp;Z150&amp;"x + "&amp;AA150</f>
        <v>Y= 0.976210162599977x + 3.27514171019967</v>
      </c>
      <c r="Z150" s="1062">
        <f>Sheet1!G11</f>
        <v>0.97621016259997728</v>
      </c>
      <c r="AA150" s="1062">
        <f>Sheet1!G12</f>
        <v>3.2751417101996694</v>
      </c>
      <c r="AB150" s="211">
        <v>35</v>
      </c>
      <c r="AC150" s="212">
        <f>((AB150*Z150)+AA150)/$Y$2</f>
        <v>37.442497401198871</v>
      </c>
      <c r="AD150" s="83">
        <f>Sheet1!G13</f>
        <v>0.30012330479721755</v>
      </c>
      <c r="AJ150" s="560" t="b">
        <f t="shared" si="64"/>
        <v>1</v>
      </c>
      <c r="AK150" s="156"/>
      <c r="AL150" s="89" t="str">
        <f t="shared" si="65"/>
        <v>East Sussex</v>
      </c>
      <c r="AM150" s="143">
        <f t="shared" si="63"/>
        <v>11.290322580645162</v>
      </c>
      <c r="AN150" s="143">
        <f t="shared" si="63"/>
        <v>12.653446647780925</v>
      </c>
      <c r="AO150" s="143">
        <f t="shared" si="63"/>
        <v>14.919735599622285</v>
      </c>
      <c r="AP150" s="143">
        <f t="shared" si="63"/>
        <v>13.113207547169811</v>
      </c>
      <c r="AQ150" s="143">
        <f t="shared" si="63"/>
        <v>11.654135338345865</v>
      </c>
      <c r="AR150" s="144">
        <f t="shared" si="66"/>
        <v>16.100000000000001</v>
      </c>
      <c r="AS150" s="83"/>
      <c r="AT150" s="83"/>
      <c r="AU150" s="83"/>
      <c r="AV150" s="83"/>
      <c r="AW150" s="83"/>
      <c r="AX150" s="83"/>
      <c r="AY150" s="83"/>
    </row>
    <row r="151" spans="1:51" s="78" customFormat="1" ht="13.5" customHeight="1" x14ac:dyDescent="0.2">
      <c r="A151" s="121"/>
      <c r="B151" s="220"/>
      <c r="C151" s="220"/>
      <c r="D151" s="221"/>
      <c r="E151" s="221"/>
      <c r="F151" s="221"/>
      <c r="G151" s="221"/>
      <c r="H151" s="221"/>
      <c r="I151" s="221"/>
      <c r="J151" s="16"/>
      <c r="K151" s="9"/>
      <c r="L151" s="9"/>
      <c r="M151" s="9"/>
      <c r="N151" s="9"/>
      <c r="O151" s="9"/>
      <c r="P151" s="9"/>
      <c r="Q151" s="9"/>
      <c r="R151" s="9"/>
      <c r="S151" s="9"/>
      <c r="T151" s="9"/>
      <c r="U151" s="9"/>
      <c r="V151" s="122"/>
      <c r="W151" s="139"/>
      <c r="X151" s="289"/>
      <c r="AD151" s="83"/>
      <c r="AE151" s="83"/>
      <c r="AF151" s="83"/>
      <c r="AG151" s="83"/>
      <c r="AH151" s="83"/>
      <c r="AI151" s="83"/>
      <c r="AJ151" s="560" t="b">
        <f t="shared" si="64"/>
        <v>1</v>
      </c>
      <c r="AK151" s="156"/>
      <c r="AL151" s="89" t="str">
        <f t="shared" si="65"/>
        <v>Hampshire</v>
      </c>
      <c r="AM151" s="143">
        <f t="shared" si="63"/>
        <v>10.870337477797513</v>
      </c>
      <c r="AN151" s="143">
        <f t="shared" si="63"/>
        <v>11.741752394466122</v>
      </c>
      <c r="AO151" s="143">
        <f t="shared" si="63"/>
        <v>14.108910891089108</v>
      </c>
      <c r="AP151" s="143">
        <f t="shared" si="63"/>
        <v>15.884221673138017</v>
      </c>
      <c r="AQ151" s="143">
        <f t="shared" si="63"/>
        <v>15.457746478873238</v>
      </c>
      <c r="AR151" s="144">
        <f t="shared" si="66"/>
        <v>10.100000000000001</v>
      </c>
      <c r="AS151" s="83"/>
      <c r="AT151" s="83"/>
      <c r="AU151" s="83"/>
      <c r="AV151" s="83"/>
      <c r="AW151" s="83"/>
      <c r="AX151" s="83"/>
      <c r="AY151" s="83"/>
    </row>
    <row r="152" spans="1:51" ht="13.5" customHeight="1" x14ac:dyDescent="0.2">
      <c r="A152" s="120"/>
      <c r="B152" s="221"/>
      <c r="C152" s="221"/>
      <c r="D152" s="221"/>
      <c r="E152" s="221"/>
      <c r="F152" s="221"/>
      <c r="G152" s="221"/>
      <c r="H152" s="221"/>
      <c r="I152" s="221"/>
      <c r="J152" s="13"/>
      <c r="K152" s="15"/>
      <c r="L152" s="15"/>
      <c r="M152" s="15"/>
      <c r="N152" s="15"/>
      <c r="O152" s="9"/>
      <c r="P152" s="9"/>
      <c r="Q152" s="9"/>
      <c r="R152" s="9"/>
      <c r="S152" s="9"/>
      <c r="T152" s="9"/>
      <c r="U152" s="9"/>
      <c r="V152" s="119"/>
      <c r="W152" s="138"/>
      <c r="X152" s="288"/>
      <c r="AJ152" s="560" t="b">
        <f t="shared" si="64"/>
        <v>1</v>
      </c>
      <c r="AK152" s="156"/>
      <c r="AL152" s="89" t="str">
        <f t="shared" si="65"/>
        <v>Isle of Wight</v>
      </c>
      <c r="AM152" s="143">
        <f t="shared" si="63"/>
        <v>23.137254901960787</v>
      </c>
      <c r="AN152" s="143">
        <f t="shared" si="63"/>
        <v>19.367588932806324</v>
      </c>
      <c r="AO152" s="143">
        <f t="shared" si="63"/>
        <v>22.619047619047617</v>
      </c>
      <c r="AP152" s="143">
        <f t="shared" si="63"/>
        <v>31.474103585657371</v>
      </c>
      <c r="AQ152" s="143">
        <f t="shared" si="63"/>
        <v>24.899598393574298</v>
      </c>
      <c r="AR152" s="144">
        <f t="shared" si="66"/>
        <v>18</v>
      </c>
      <c r="AS152" s="341"/>
      <c r="AT152" s="341"/>
      <c r="AU152" s="341"/>
      <c r="AV152" s="341"/>
      <c r="AW152" s="341"/>
    </row>
    <row r="153" spans="1:51" ht="13.5" customHeight="1" x14ac:dyDescent="0.2">
      <c r="A153" s="120"/>
      <c r="B153" s="221"/>
      <c r="C153" s="221"/>
      <c r="D153" s="221"/>
      <c r="E153" s="221"/>
      <c r="F153" s="221"/>
      <c r="G153" s="221"/>
      <c r="H153" s="221"/>
      <c r="I153" s="221"/>
      <c r="J153" s="13"/>
      <c r="K153" s="15"/>
      <c r="L153" s="15"/>
      <c r="M153" s="15"/>
      <c r="N153" s="15"/>
      <c r="O153" s="9"/>
      <c r="P153" s="9"/>
      <c r="Q153" s="9"/>
      <c r="R153" s="9"/>
      <c r="S153" s="9"/>
      <c r="T153" s="9"/>
      <c r="U153" s="9"/>
      <c r="V153" s="119"/>
      <c r="W153" s="138"/>
      <c r="X153" s="288"/>
      <c r="AD153" s="204"/>
      <c r="AJ153" s="560" t="b">
        <f t="shared" si="64"/>
        <v>1</v>
      </c>
      <c r="AK153" s="156"/>
      <c r="AL153" s="89" t="str">
        <f t="shared" si="65"/>
        <v>Kent</v>
      </c>
      <c r="AM153" s="143">
        <f t="shared" si="63"/>
        <v>12.640877246420956</v>
      </c>
      <c r="AN153" s="143">
        <f t="shared" si="63"/>
        <v>15.13317191283293</v>
      </c>
      <c r="AO153" s="143">
        <f t="shared" si="63"/>
        <v>15.675675675675675</v>
      </c>
      <c r="AP153" s="143">
        <f t="shared" si="63"/>
        <v>14.519488247545372</v>
      </c>
      <c r="AQ153" s="143">
        <f t="shared" si="63"/>
        <v>11.114378124081153</v>
      </c>
      <c r="AR153" s="144">
        <f t="shared" si="66"/>
        <v>15.8</v>
      </c>
      <c r="AS153" s="341"/>
      <c r="AT153" s="341"/>
      <c r="AU153" s="341"/>
      <c r="AV153" s="341"/>
      <c r="AW153" s="341"/>
    </row>
    <row r="154" spans="1:51" ht="13.5" customHeight="1" x14ac:dyDescent="0.2">
      <c r="A154" s="120"/>
      <c r="B154" s="58"/>
      <c r="C154" s="58"/>
      <c r="D154" s="58"/>
      <c r="E154" s="58"/>
      <c r="F154" s="58"/>
      <c r="G154" s="58"/>
      <c r="H154" s="58"/>
      <c r="I154" s="58"/>
      <c r="J154" s="13"/>
      <c r="K154" s="15"/>
      <c r="L154" s="15"/>
      <c r="M154" s="15"/>
      <c r="N154" s="15"/>
      <c r="O154" s="9"/>
      <c r="P154" s="9"/>
      <c r="Q154" s="9"/>
      <c r="R154" s="9"/>
      <c r="S154" s="9"/>
      <c r="T154" s="9"/>
      <c r="U154" s="9"/>
      <c r="V154" s="119"/>
      <c r="W154" s="138"/>
      <c r="X154" s="288"/>
      <c r="AD154" s="179"/>
      <c r="AJ154" s="560" t="b">
        <f t="shared" si="64"/>
        <v>1</v>
      </c>
      <c r="AK154" s="156"/>
      <c r="AL154" s="89" t="str">
        <f t="shared" si="65"/>
        <v>Medway</v>
      </c>
      <c r="AM154" s="143">
        <f t="shared" si="63"/>
        <v>27.360000000000003</v>
      </c>
      <c r="AN154" s="143">
        <f t="shared" si="63"/>
        <v>39.556962025316459</v>
      </c>
      <c r="AO154" s="143">
        <f t="shared" si="63"/>
        <v>14.599686028257457</v>
      </c>
      <c r="AP154" s="143">
        <f t="shared" si="63"/>
        <v>22.222222222222221</v>
      </c>
      <c r="AQ154" s="143">
        <f t="shared" si="63"/>
        <v>18.322981366459629</v>
      </c>
      <c r="AR154" s="144">
        <f t="shared" si="66"/>
        <v>18.899999999999999</v>
      </c>
      <c r="AS154" s="341"/>
      <c r="AT154" s="341"/>
      <c r="AU154" s="341"/>
      <c r="AV154" s="341"/>
      <c r="AW154" s="341"/>
    </row>
    <row r="155" spans="1:51" ht="13.5" customHeight="1" x14ac:dyDescent="0.2">
      <c r="A155" s="120"/>
      <c r="B155" s="58"/>
      <c r="C155" s="58"/>
      <c r="D155" s="68"/>
      <c r="E155" s="69"/>
      <c r="F155" s="68"/>
      <c r="G155" s="69"/>
      <c r="H155" s="69"/>
      <c r="I155" s="69"/>
      <c r="J155" s="13"/>
      <c r="K155" s="15"/>
      <c r="L155" s="15"/>
      <c r="M155" s="15"/>
      <c r="N155" s="15"/>
      <c r="O155" s="9"/>
      <c r="P155" s="9"/>
      <c r="Q155" s="9"/>
      <c r="R155" s="9"/>
      <c r="S155" s="9"/>
      <c r="T155" s="9"/>
      <c r="U155" s="9"/>
      <c r="V155" s="119"/>
      <c r="W155" s="138"/>
      <c r="X155" s="288"/>
      <c r="AJ155" s="560" t="b">
        <f t="shared" si="64"/>
        <v>1</v>
      </c>
      <c r="AK155" s="156"/>
      <c r="AL155" s="89" t="str">
        <f t="shared" si="65"/>
        <v>Milton Keynes</v>
      </c>
      <c r="AM155" s="143">
        <f t="shared" si="63"/>
        <v>9.3558282208588963</v>
      </c>
      <c r="AN155" s="143">
        <f t="shared" si="63"/>
        <v>17.246596066565811</v>
      </c>
      <c r="AO155" s="143">
        <f t="shared" si="63"/>
        <v>23.69597615499255</v>
      </c>
      <c r="AP155" s="143">
        <f t="shared" si="63"/>
        <v>15.236686390532546</v>
      </c>
      <c r="AQ155" s="143">
        <f t="shared" si="63"/>
        <v>17.715959004392388</v>
      </c>
      <c r="AR155" s="144">
        <f t="shared" si="66"/>
        <v>15</v>
      </c>
      <c r="AS155" s="341"/>
      <c r="AT155" s="341"/>
      <c r="AU155" s="341"/>
      <c r="AV155" s="341"/>
      <c r="AW155" s="341"/>
    </row>
    <row r="156" spans="1:51" ht="13.5" customHeight="1" x14ac:dyDescent="0.2">
      <c r="A156" s="120"/>
      <c r="B156" s="58"/>
      <c r="C156" s="58"/>
      <c r="D156" s="61"/>
      <c r="E156" s="61"/>
      <c r="F156" s="61"/>
      <c r="G156" s="61"/>
      <c r="H156" s="61"/>
      <c r="I156" s="61"/>
      <c r="J156" s="13"/>
      <c r="K156" s="15"/>
      <c r="L156" s="15"/>
      <c r="M156" s="15"/>
      <c r="N156" s="15"/>
      <c r="O156" s="9"/>
      <c r="P156" s="9"/>
      <c r="Q156" s="9"/>
      <c r="R156" s="9"/>
      <c r="S156" s="9"/>
      <c r="T156" s="9"/>
      <c r="U156" s="9"/>
      <c r="V156" s="119"/>
      <c r="W156" s="138"/>
      <c r="X156" s="288"/>
      <c r="AJ156" s="560" t="b">
        <f t="shared" si="64"/>
        <v>1</v>
      </c>
      <c r="AK156" s="156"/>
      <c r="AL156" s="89" t="str">
        <f t="shared" si="65"/>
        <v>Oxfordshire</v>
      </c>
      <c r="AM156" s="143">
        <f t="shared" si="63"/>
        <v>14.305949008498583</v>
      </c>
      <c r="AN156" s="143">
        <f t="shared" si="63"/>
        <v>19.2524682651622</v>
      </c>
      <c r="AO156" s="143">
        <f t="shared" si="63"/>
        <v>18.054583624912524</v>
      </c>
      <c r="AP156" s="143">
        <f t="shared" si="63"/>
        <v>16.387726638772666</v>
      </c>
      <c r="AQ156" s="143">
        <f t="shared" si="63"/>
        <v>18.439226519337016</v>
      </c>
      <c r="AR156" s="144">
        <f t="shared" si="66"/>
        <v>10.100000000000001</v>
      </c>
      <c r="AS156" s="341"/>
      <c r="AT156" s="341"/>
      <c r="AU156" s="341"/>
      <c r="AV156" s="341"/>
      <c r="AW156" s="341"/>
    </row>
    <row r="157" spans="1:51" ht="13.5" customHeight="1" x14ac:dyDescent="0.2">
      <c r="A157" s="120"/>
      <c r="B157" s="412"/>
      <c r="C157" s="412"/>
      <c r="D157" s="58"/>
      <c r="E157" s="58"/>
      <c r="F157" s="58"/>
      <c r="G157" s="58"/>
      <c r="H157" s="58"/>
      <c r="I157" s="58"/>
      <c r="J157" s="13"/>
      <c r="K157" s="15"/>
      <c r="L157" s="15"/>
      <c r="M157" s="15"/>
      <c r="N157" s="15"/>
      <c r="O157" s="9"/>
      <c r="P157" s="9"/>
      <c r="Q157" s="9"/>
      <c r="R157" s="9"/>
      <c r="S157" s="9"/>
      <c r="T157" s="9"/>
      <c r="U157" s="9"/>
      <c r="V157" s="119"/>
      <c r="W157" s="138"/>
      <c r="X157" s="288"/>
      <c r="AJ157" s="560" t="b">
        <f t="shared" si="64"/>
        <v>1</v>
      </c>
      <c r="AK157" s="156"/>
      <c r="AL157" s="89" t="str">
        <f t="shared" si="65"/>
        <v>Portsmouth</v>
      </c>
      <c r="AM157" s="143">
        <f t="shared" ref="AM157:AQ170" si="67">VLOOKUP($AL157,$B$116:$O$139,AM$37,FALSE)</f>
        <v>24.654377880184331</v>
      </c>
      <c r="AN157" s="143">
        <f t="shared" si="67"/>
        <v>14.611872146118722</v>
      </c>
      <c r="AO157" s="143">
        <f t="shared" si="67"/>
        <v>18.636363636363637</v>
      </c>
      <c r="AP157" s="143">
        <f t="shared" si="67"/>
        <v>26.696832579185518</v>
      </c>
      <c r="AQ157" s="143">
        <f t="shared" si="67"/>
        <v>24.545454545454543</v>
      </c>
      <c r="AR157" s="144">
        <f t="shared" si="66"/>
        <v>20.200000000000003</v>
      </c>
      <c r="AS157" s="341"/>
      <c r="AT157" s="341"/>
      <c r="AU157" s="341"/>
      <c r="AV157" s="341"/>
      <c r="AW157" s="341"/>
    </row>
    <row r="158" spans="1:51" ht="13.5" customHeight="1" x14ac:dyDescent="0.2">
      <c r="A158" s="120"/>
      <c r="B158" s="412"/>
      <c r="C158" s="412"/>
      <c r="D158" s="58"/>
      <c r="E158" s="58"/>
      <c r="F158" s="58"/>
      <c r="G158" s="58"/>
      <c r="H158" s="58"/>
      <c r="I158" s="58"/>
      <c r="J158" s="13"/>
      <c r="K158" s="15"/>
      <c r="L158" s="15"/>
      <c r="M158" s="15"/>
      <c r="N158" s="15"/>
      <c r="O158" s="9"/>
      <c r="P158" s="9"/>
      <c r="Q158" s="9"/>
      <c r="R158" s="9"/>
      <c r="S158" s="9"/>
      <c r="T158" s="9"/>
      <c r="U158" s="9"/>
      <c r="V158" s="119"/>
      <c r="W158" s="138"/>
      <c r="X158" s="288"/>
      <c r="AJ158" s="560" t="b">
        <f t="shared" si="64"/>
        <v>1</v>
      </c>
      <c r="AK158" s="156"/>
      <c r="AL158" s="89" t="str">
        <f t="shared" si="65"/>
        <v>Reading</v>
      </c>
      <c r="AM158" s="143">
        <f t="shared" si="67"/>
        <v>17.270194986072422</v>
      </c>
      <c r="AN158" s="143">
        <f t="shared" si="67"/>
        <v>30.76923076923077</v>
      </c>
      <c r="AO158" s="143">
        <f t="shared" si="67"/>
        <v>33.333333333333336</v>
      </c>
      <c r="AP158" s="143">
        <f t="shared" si="67"/>
        <v>23.989218328840973</v>
      </c>
      <c r="AQ158" s="143">
        <f t="shared" si="67"/>
        <v>31.266846361185987</v>
      </c>
      <c r="AR158" s="144">
        <f t="shared" si="66"/>
        <v>16</v>
      </c>
      <c r="AS158" s="341"/>
      <c r="AT158" s="341"/>
      <c r="AU158" s="341"/>
      <c r="AV158" s="341"/>
      <c r="AW158" s="341"/>
    </row>
    <row r="159" spans="1:51" ht="13.5" customHeight="1" x14ac:dyDescent="0.2">
      <c r="A159" s="120"/>
      <c r="B159" s="412"/>
      <c r="C159" s="412"/>
      <c r="D159" s="58"/>
      <c r="E159" s="58"/>
      <c r="F159" s="58"/>
      <c r="G159" s="58"/>
      <c r="H159" s="58"/>
      <c r="I159" s="58"/>
      <c r="J159" s="13"/>
      <c r="K159" s="15"/>
      <c r="L159" s="15"/>
      <c r="M159" s="15"/>
      <c r="N159" s="15"/>
      <c r="O159" s="9"/>
      <c r="P159" s="9"/>
      <c r="Q159" s="9"/>
      <c r="R159" s="9"/>
      <c r="S159" s="9"/>
      <c r="T159" s="9"/>
      <c r="U159" s="9"/>
      <c r="V159" s="119"/>
      <c r="W159" s="138"/>
      <c r="X159" s="288"/>
      <c r="AJ159" s="560" t="b">
        <f t="shared" si="64"/>
        <v>1</v>
      </c>
      <c r="AK159" s="156"/>
      <c r="AL159" s="89" t="str">
        <f t="shared" si="65"/>
        <v>Slough</v>
      </c>
      <c r="AM159" s="143">
        <f t="shared" si="67"/>
        <v>14.035087719298245</v>
      </c>
      <c r="AN159" s="143">
        <f t="shared" si="67"/>
        <v>23.645320197044335</v>
      </c>
      <c r="AO159" s="143">
        <f t="shared" si="67"/>
        <v>16.666666666666668</v>
      </c>
      <c r="AP159" s="143">
        <f t="shared" si="67"/>
        <v>21.563981042654028</v>
      </c>
      <c r="AQ159" s="143">
        <f t="shared" si="67"/>
        <v>22.716627634660423</v>
      </c>
      <c r="AR159" s="144">
        <f t="shared" si="66"/>
        <v>14.7</v>
      </c>
      <c r="AS159" s="341"/>
      <c r="AT159" s="341"/>
      <c r="AU159" s="341"/>
      <c r="AV159" s="341"/>
      <c r="AW159" s="341"/>
    </row>
    <row r="160" spans="1:51" ht="13.5" customHeight="1" x14ac:dyDescent="0.2">
      <c r="A160" s="120"/>
      <c r="B160" s="412"/>
      <c r="C160" s="412"/>
      <c r="D160" s="58"/>
      <c r="E160" s="58"/>
      <c r="F160" s="58"/>
      <c r="G160" s="58"/>
      <c r="H160" s="58"/>
      <c r="I160" s="58"/>
      <c r="J160" s="13"/>
      <c r="K160" s="15"/>
      <c r="L160" s="15"/>
      <c r="M160" s="15"/>
      <c r="N160" s="15"/>
      <c r="O160" s="9"/>
      <c r="P160" s="9"/>
      <c r="Q160" s="9"/>
      <c r="R160" s="9"/>
      <c r="S160" s="9"/>
      <c r="T160" s="9"/>
      <c r="U160" s="9"/>
      <c r="V160" s="119"/>
      <c r="W160" s="138"/>
      <c r="X160" s="288"/>
      <c r="AJ160" s="560" t="b">
        <f t="shared" si="64"/>
        <v>1</v>
      </c>
      <c r="AK160" s="156"/>
      <c r="AL160" s="89" t="str">
        <f t="shared" si="65"/>
        <v>Somerset</v>
      </c>
      <c r="AM160" s="143">
        <f t="shared" si="67"/>
        <v>19.008264462809919</v>
      </c>
      <c r="AN160" s="143">
        <f t="shared" si="67"/>
        <v>21.520146520146522</v>
      </c>
      <c r="AO160" s="143">
        <f t="shared" si="67"/>
        <v>22.242479489516864</v>
      </c>
      <c r="AP160" s="143">
        <f t="shared" si="67"/>
        <v>18.346957311534968</v>
      </c>
      <c r="AQ160" s="143">
        <f t="shared" si="67"/>
        <v>16.621499548328817</v>
      </c>
      <c r="AR160" s="144">
        <f t="shared" si="66"/>
        <v>13.600000000000001</v>
      </c>
      <c r="AS160" s="341"/>
      <c r="AT160" s="341"/>
      <c r="AU160" s="341"/>
      <c r="AV160" s="341"/>
      <c r="AW160" s="341"/>
    </row>
    <row r="161" spans="1:49" ht="13.5" customHeight="1" x14ac:dyDescent="0.2">
      <c r="A161" s="120"/>
      <c r="B161" s="412"/>
      <c r="C161" s="412"/>
      <c r="D161" s="58"/>
      <c r="E161" s="58"/>
      <c r="F161" s="58"/>
      <c r="G161" s="58"/>
      <c r="H161" s="58"/>
      <c r="I161" s="58"/>
      <c r="J161" s="13"/>
      <c r="K161" s="15"/>
      <c r="L161" s="15"/>
      <c r="M161" s="15"/>
      <c r="N161" s="15"/>
      <c r="O161" s="9"/>
      <c r="P161" s="9"/>
      <c r="Q161" s="9"/>
      <c r="R161" s="9"/>
      <c r="S161" s="9"/>
      <c r="T161" s="9"/>
      <c r="U161" s="9"/>
      <c r="V161" s="119"/>
      <c r="W161" s="138"/>
      <c r="X161" s="288"/>
      <c r="AJ161" s="560" t="b">
        <f t="shared" si="64"/>
        <v>1</v>
      </c>
      <c r="AK161" s="156"/>
      <c r="AL161" s="89" t="str">
        <f t="shared" si="65"/>
        <v>Southampton</v>
      </c>
      <c r="AM161" s="143">
        <f t="shared" si="67"/>
        <v>39.300411522633745</v>
      </c>
      <c r="AN161" s="143">
        <f t="shared" si="67"/>
        <v>31.504065040650406</v>
      </c>
      <c r="AO161" s="143">
        <f t="shared" si="67"/>
        <v>31.663326653306612</v>
      </c>
      <c r="AP161" s="143">
        <f t="shared" si="67"/>
        <v>26.043737574552683</v>
      </c>
      <c r="AQ161" s="143">
        <f t="shared" si="67"/>
        <v>24.409448818897641</v>
      </c>
      <c r="AR161" s="144">
        <f t="shared" si="66"/>
        <v>20.5</v>
      </c>
      <c r="AS161" s="341"/>
      <c r="AT161" s="341"/>
      <c r="AU161" s="341"/>
      <c r="AV161" s="341"/>
      <c r="AW161" s="341"/>
    </row>
    <row r="162" spans="1:49" ht="13.5" customHeight="1" x14ac:dyDescent="0.2">
      <c r="A162" s="120"/>
      <c r="B162" s="412"/>
      <c r="C162" s="412"/>
      <c r="D162" s="58"/>
      <c r="E162" s="58"/>
      <c r="F162" s="58"/>
      <c r="G162" s="58"/>
      <c r="H162" s="58"/>
      <c r="I162" s="58"/>
      <c r="J162" s="13"/>
      <c r="K162" s="15"/>
      <c r="L162" s="15"/>
      <c r="M162" s="15"/>
      <c r="N162" s="15"/>
      <c r="O162" s="9"/>
      <c r="P162" s="9"/>
      <c r="Q162" s="9"/>
      <c r="R162" s="9"/>
      <c r="S162" s="9"/>
      <c r="T162" s="9"/>
      <c r="U162" s="9"/>
      <c r="V162" s="119"/>
      <c r="W162" s="138"/>
      <c r="X162" s="288"/>
      <c r="AJ162" s="560" t="b">
        <f t="shared" si="64"/>
        <v>1</v>
      </c>
      <c r="AK162" s="156"/>
      <c r="AL162" s="89" t="str">
        <f t="shared" si="65"/>
        <v>Surrey</v>
      </c>
      <c r="AM162" s="143">
        <f t="shared" si="67"/>
        <v>6.7556952081696782</v>
      </c>
      <c r="AN162" s="143">
        <f t="shared" si="67"/>
        <v>9.5553822152886116</v>
      </c>
      <c r="AO162" s="143">
        <f t="shared" si="67"/>
        <v>11.042471042471043</v>
      </c>
      <c r="AP162" s="143">
        <f t="shared" si="67"/>
        <v>13.676527084133692</v>
      </c>
      <c r="AQ162" s="143">
        <f t="shared" si="67"/>
        <v>12.867506681939672</v>
      </c>
      <c r="AR162" s="144">
        <f t="shared" si="66"/>
        <v>8.3000000000000007</v>
      </c>
      <c r="AS162" s="341"/>
      <c r="AT162" s="341"/>
      <c r="AU162" s="341"/>
      <c r="AV162" s="341"/>
      <c r="AW162" s="341"/>
    </row>
    <row r="163" spans="1:49" ht="13.5" customHeight="1" x14ac:dyDescent="0.2">
      <c r="A163" s="271"/>
      <c r="B163" s="412"/>
      <c r="C163" s="412"/>
      <c r="D163" s="58"/>
      <c r="E163" s="58"/>
      <c r="F163" s="58"/>
      <c r="G163" s="58"/>
      <c r="H163" s="58"/>
      <c r="I163" s="58"/>
      <c r="J163" s="13"/>
      <c r="K163" s="15"/>
      <c r="L163" s="15"/>
      <c r="M163" s="15"/>
      <c r="N163" s="15"/>
      <c r="O163" s="9"/>
      <c r="P163" s="9"/>
      <c r="Q163" s="9"/>
      <c r="R163" s="9"/>
      <c r="S163" s="9"/>
      <c r="T163" s="9"/>
      <c r="U163" s="9"/>
      <c r="V163" s="119"/>
      <c r="W163" s="138"/>
      <c r="X163" s="288"/>
      <c r="AJ163" s="560" t="b">
        <f t="shared" si="64"/>
        <v>1</v>
      </c>
      <c r="AK163" s="156"/>
      <c r="AL163" s="89" t="str">
        <f t="shared" si="65"/>
        <v>Swindon</v>
      </c>
      <c r="AM163" s="143">
        <f t="shared" si="67"/>
        <v>15.432098765432098</v>
      </c>
      <c r="AN163" s="143">
        <f t="shared" si="67"/>
        <v>19.183673469387756</v>
      </c>
      <c r="AO163" s="143">
        <f t="shared" si="67"/>
        <v>27.272727272727273</v>
      </c>
      <c r="AP163" s="143">
        <f t="shared" si="67"/>
        <v>28.056112224448896</v>
      </c>
      <c r="AQ163" s="143">
        <f t="shared" si="67"/>
        <v>27.091633466135455</v>
      </c>
      <c r="AR163" s="144">
        <f t="shared" si="66"/>
        <v>14.899999999999999</v>
      </c>
      <c r="AS163" s="341"/>
      <c r="AT163" s="341"/>
      <c r="AU163" s="341"/>
      <c r="AV163" s="341"/>
      <c r="AW163" s="341"/>
    </row>
    <row r="164" spans="1:49" ht="13.5" customHeight="1" x14ac:dyDescent="0.2">
      <c r="A164" s="271"/>
      <c r="B164" s="412"/>
      <c r="C164" s="412"/>
      <c r="D164" s="58"/>
      <c r="E164" s="58"/>
      <c r="F164" s="58"/>
      <c r="G164" s="58"/>
      <c r="H164" s="58"/>
      <c r="I164" s="58"/>
      <c r="J164" s="13"/>
      <c r="K164" s="15"/>
      <c r="L164" s="15"/>
      <c r="M164" s="15"/>
      <c r="N164" s="15"/>
      <c r="O164" s="9"/>
      <c r="P164" s="9"/>
      <c r="Q164" s="9"/>
      <c r="R164" s="9"/>
      <c r="S164" s="9"/>
      <c r="T164" s="9"/>
      <c r="U164" s="9"/>
      <c r="V164" s="119"/>
      <c r="W164" s="138"/>
      <c r="X164" s="288"/>
      <c r="AJ164" s="560" t="b">
        <f t="shared" si="64"/>
        <v>1</v>
      </c>
      <c r="AK164" s="156"/>
      <c r="AL164" s="89" t="str">
        <f t="shared" si="65"/>
        <v>Torbay</v>
      </c>
      <c r="AM164" s="143">
        <f t="shared" si="67"/>
        <v>34.262948207171313</v>
      </c>
      <c r="AN164" s="143">
        <f t="shared" si="67"/>
        <v>36.111111111111107</v>
      </c>
      <c r="AO164" s="143">
        <f t="shared" si="67"/>
        <v>29.133858267716533</v>
      </c>
      <c r="AP164" s="143">
        <f t="shared" si="67"/>
        <v>37.00787401574803</v>
      </c>
      <c r="AQ164" s="143">
        <f t="shared" si="67"/>
        <v>40.15748031496063</v>
      </c>
      <c r="AR164" s="144">
        <f t="shared" si="66"/>
        <v>21.9</v>
      </c>
      <c r="AS164" s="341"/>
      <c r="AT164" s="341"/>
      <c r="AU164" s="341"/>
      <c r="AV164" s="341"/>
      <c r="AW164" s="341"/>
    </row>
    <row r="165" spans="1:49" ht="13.5" customHeight="1" x14ac:dyDescent="0.2">
      <c r="A165" s="120"/>
      <c r="B165" s="412"/>
      <c r="C165" s="412"/>
      <c r="D165" s="58"/>
      <c r="E165" s="58"/>
      <c r="F165" s="58"/>
      <c r="G165" s="58"/>
      <c r="H165" s="58"/>
      <c r="I165" s="58"/>
      <c r="J165" s="13"/>
      <c r="K165" s="15"/>
      <c r="L165" s="15"/>
      <c r="M165" s="15"/>
      <c r="N165" s="15"/>
      <c r="O165" s="9"/>
      <c r="P165" s="9"/>
      <c r="Q165" s="9"/>
      <c r="R165" s="9"/>
      <c r="S165" s="9"/>
      <c r="T165" s="9"/>
      <c r="U165" s="9"/>
      <c r="V165" s="119"/>
      <c r="W165" s="138"/>
      <c r="X165" s="288"/>
      <c r="AJ165" s="560" t="b">
        <f t="shared" si="64"/>
        <v>1</v>
      </c>
      <c r="AK165" s="156"/>
      <c r="AL165" s="89" t="str">
        <f t="shared" si="65"/>
        <v>West Berkshire</v>
      </c>
      <c r="AM165" s="143">
        <f t="shared" si="67"/>
        <v>12.640449438202246</v>
      </c>
      <c r="AN165" s="143">
        <f t="shared" si="67"/>
        <v>20.728291316526612</v>
      </c>
      <c r="AO165" s="143">
        <f t="shared" si="67"/>
        <v>20.612813370473539</v>
      </c>
      <c r="AP165" s="143">
        <f t="shared" si="67"/>
        <v>19.83240223463687</v>
      </c>
      <c r="AQ165" s="143">
        <f t="shared" si="67"/>
        <v>13.48314606741573</v>
      </c>
      <c r="AR165" s="144">
        <f t="shared" si="66"/>
        <v>8.6999999999999993</v>
      </c>
      <c r="AS165" s="341"/>
      <c r="AT165" s="341"/>
      <c r="AU165" s="341"/>
      <c r="AV165" s="341"/>
      <c r="AW165" s="341"/>
    </row>
    <row r="166" spans="1:49" ht="13.5" customHeight="1" x14ac:dyDescent="0.2">
      <c r="A166" s="120"/>
      <c r="B166" s="412"/>
      <c r="C166" s="412"/>
      <c r="D166" s="58"/>
      <c r="E166" s="58"/>
      <c r="F166" s="58"/>
      <c r="G166" s="58"/>
      <c r="H166" s="58"/>
      <c r="I166" s="58"/>
      <c r="J166" s="13"/>
      <c r="K166" s="15"/>
      <c r="L166" s="15"/>
      <c r="M166" s="15"/>
      <c r="N166" s="15"/>
      <c r="O166" s="9"/>
      <c r="P166" s="9"/>
      <c r="Q166" s="9"/>
      <c r="R166" s="9"/>
      <c r="S166" s="9"/>
      <c r="T166" s="9"/>
      <c r="U166" s="9"/>
      <c r="V166" s="119"/>
      <c r="W166" s="138"/>
      <c r="X166" s="288"/>
      <c r="AJ166" s="560" t="b">
        <f t="shared" si="64"/>
        <v>1</v>
      </c>
      <c r="AK166" s="156"/>
      <c r="AL166" s="89" t="str">
        <f t="shared" si="65"/>
        <v>West Sussex</v>
      </c>
      <c r="AM166" s="143">
        <f t="shared" si="67"/>
        <v>9.1824644549763033</v>
      </c>
      <c r="AN166" s="143">
        <f t="shared" si="67"/>
        <v>12.676056338028168</v>
      </c>
      <c r="AO166" s="143">
        <f t="shared" si="67"/>
        <v>13.795110593713622</v>
      </c>
      <c r="AP166" s="143">
        <f t="shared" si="67"/>
        <v>15.637622619734564</v>
      </c>
      <c r="AQ166" s="143">
        <f t="shared" si="67"/>
        <v>13.737836290784202</v>
      </c>
      <c r="AR166" s="144">
        <f t="shared" si="66"/>
        <v>11</v>
      </c>
      <c r="AS166" s="341"/>
      <c r="AT166" s="341"/>
      <c r="AU166" s="341"/>
      <c r="AV166" s="341"/>
      <c r="AW166" s="341"/>
    </row>
    <row r="167" spans="1:49" s="83" customFormat="1" ht="13.5" customHeight="1" x14ac:dyDescent="0.2">
      <c r="A167" s="120"/>
      <c r="B167" s="412"/>
      <c r="C167" s="412"/>
      <c r="D167" s="58"/>
      <c r="E167" s="58"/>
      <c r="F167" s="58"/>
      <c r="G167" s="58"/>
      <c r="H167" s="58"/>
      <c r="I167" s="58"/>
      <c r="J167" s="13"/>
      <c r="K167" s="15"/>
      <c r="L167" s="15"/>
      <c r="M167" s="15"/>
      <c r="N167" s="15"/>
      <c r="O167" s="9"/>
      <c r="P167" s="9"/>
      <c r="Q167" s="9"/>
      <c r="R167" s="9"/>
      <c r="S167" s="9"/>
      <c r="T167" s="9"/>
      <c r="U167" s="9"/>
      <c r="V167" s="119"/>
      <c r="W167" s="138"/>
      <c r="X167" s="288"/>
      <c r="AJ167" s="560" t="b">
        <f t="shared" si="64"/>
        <v>1</v>
      </c>
      <c r="AK167" s="156"/>
      <c r="AL167" s="89" t="str">
        <f t="shared" si="65"/>
        <v>Windsor &amp; Maidenhead</v>
      </c>
      <c r="AM167" s="143">
        <f t="shared" si="67"/>
        <v>5.6886227544910186</v>
      </c>
      <c r="AN167" s="143">
        <f t="shared" si="67"/>
        <v>6.2314540059347179</v>
      </c>
      <c r="AO167" s="143">
        <f t="shared" si="67"/>
        <v>9.9415204678362574</v>
      </c>
      <c r="AP167" s="143">
        <f t="shared" si="67"/>
        <v>9.3023255813953494</v>
      </c>
      <c r="AQ167" s="143">
        <f t="shared" si="67"/>
        <v>13.294797687861271</v>
      </c>
      <c r="AR167" s="144">
        <f t="shared" si="66"/>
        <v>6.7</v>
      </c>
      <c r="AS167" s="341"/>
      <c r="AT167" s="341"/>
      <c r="AU167" s="341"/>
      <c r="AV167" s="341"/>
      <c r="AW167" s="341"/>
    </row>
    <row r="168" spans="1:49" s="83" customFormat="1" ht="13.5" customHeight="1" x14ac:dyDescent="0.2">
      <c r="A168" s="120"/>
      <c r="B168" s="412"/>
      <c r="C168" s="412"/>
      <c r="D168" s="58"/>
      <c r="E168" s="58"/>
      <c r="F168" s="58"/>
      <c r="G168" s="58"/>
      <c r="H168" s="58"/>
      <c r="I168" s="58"/>
      <c r="J168" s="13"/>
      <c r="K168" s="15"/>
      <c r="L168" s="15"/>
      <c r="M168" s="15"/>
      <c r="N168" s="15"/>
      <c r="O168" s="9"/>
      <c r="P168" s="9"/>
      <c r="Q168" s="9"/>
      <c r="R168" s="9"/>
      <c r="S168" s="9"/>
      <c r="T168" s="9"/>
      <c r="U168" s="9"/>
      <c r="V168" s="119"/>
      <c r="W168" s="138"/>
      <c r="X168" s="288"/>
      <c r="AJ168" s="560" t="b">
        <f t="shared" si="64"/>
        <v>1</v>
      </c>
      <c r="AK168" s="156"/>
      <c r="AL168" s="89" t="str">
        <f t="shared" si="65"/>
        <v>Wokingham</v>
      </c>
      <c r="AM168" s="143">
        <f t="shared" si="67"/>
        <v>4.6070460704607044</v>
      </c>
      <c r="AN168" s="143">
        <f t="shared" si="67"/>
        <v>8.310991957104557</v>
      </c>
      <c r="AO168" s="143">
        <f t="shared" si="67"/>
        <v>7.1052631578947372</v>
      </c>
      <c r="AP168" s="143">
        <f t="shared" si="67"/>
        <v>11.36950904392765</v>
      </c>
      <c r="AQ168" s="143">
        <f t="shared" si="67"/>
        <v>12.151898734177216</v>
      </c>
      <c r="AR168" s="144">
        <f t="shared" si="66"/>
        <v>5.6000000000000005</v>
      </c>
      <c r="AS168" s="341"/>
      <c r="AT168" s="341"/>
      <c r="AU168" s="341"/>
      <c r="AV168" s="341"/>
      <c r="AW168" s="341"/>
    </row>
    <row r="169" spans="1:49" s="83" customFormat="1" ht="13.5" customHeight="1" x14ac:dyDescent="0.2">
      <c r="A169" s="120"/>
      <c r="B169" s="412"/>
      <c r="C169" s="412"/>
      <c r="D169" s="58"/>
      <c r="E169" s="58"/>
      <c r="F169" s="58"/>
      <c r="G169" s="58"/>
      <c r="H169" s="58"/>
      <c r="I169" s="58"/>
      <c r="J169" s="13"/>
      <c r="K169" s="15"/>
      <c r="L169" s="15"/>
      <c r="M169" s="15"/>
      <c r="N169" s="15"/>
      <c r="O169" s="9"/>
      <c r="P169" s="9"/>
      <c r="Q169" s="9"/>
      <c r="R169" s="9"/>
      <c r="S169" s="9"/>
      <c r="T169" s="9"/>
      <c r="U169" s="9"/>
      <c r="V169" s="119"/>
      <c r="W169" s="138"/>
      <c r="X169" s="288"/>
      <c r="AJ169" s="560" t="b">
        <f t="shared" si="64"/>
        <v>1</v>
      </c>
      <c r="AK169" s="156"/>
      <c r="AL169" s="89" t="str">
        <f t="shared" si="65"/>
        <v>South East</v>
      </c>
      <c r="AM169" s="143">
        <f t="shared" si="67"/>
        <v>12.593214998424536</v>
      </c>
      <c r="AN169" s="143">
        <f t="shared" si="67"/>
        <v>15.911579166883897</v>
      </c>
      <c r="AO169" s="143">
        <f t="shared" si="67"/>
        <v>16.185599006828056</v>
      </c>
      <c r="AP169" s="143">
        <f t="shared" si="67"/>
        <v>16.410309172282524</v>
      </c>
      <c r="AQ169" s="143">
        <f t="shared" si="67"/>
        <v>15.402298850574713</v>
      </c>
      <c r="AR169" s="144">
        <f t="shared" si="66"/>
        <v>12.371268250968637</v>
      </c>
      <c r="AS169" s="341"/>
      <c r="AT169" s="341"/>
      <c r="AU169" s="341"/>
      <c r="AV169" s="341"/>
      <c r="AW169" s="341"/>
    </row>
    <row r="170" spans="1:49" s="83" customFormat="1" ht="13.5" customHeight="1" x14ac:dyDescent="0.2">
      <c r="A170" s="120"/>
      <c r="B170" s="412"/>
      <c r="C170" s="412"/>
      <c r="D170" s="58"/>
      <c r="E170" s="58"/>
      <c r="F170" s="58"/>
      <c r="G170" s="58"/>
      <c r="H170" s="58"/>
      <c r="I170" s="58"/>
      <c r="J170" s="13"/>
      <c r="K170" s="9"/>
      <c r="L170" s="112"/>
      <c r="M170" s="1468" t="s">
        <v>72</v>
      </c>
      <c r="N170" s="1450"/>
      <c r="O170" s="1450"/>
      <c r="P170" s="1469"/>
      <c r="Q170" s="949"/>
      <c r="R170" s="1462" t="s">
        <v>101</v>
      </c>
      <c r="S170" s="1463"/>
      <c r="T170" s="1463"/>
      <c r="U170" s="1470"/>
      <c r="V170" s="119"/>
      <c r="W170" s="138"/>
      <c r="X170" s="288"/>
      <c r="AJ170" s="560" t="b">
        <f t="shared" si="64"/>
        <v>1</v>
      </c>
      <c r="AK170" s="156"/>
      <c r="AL170" s="89" t="str">
        <f t="shared" si="65"/>
        <v>England</v>
      </c>
      <c r="AM170" s="143">
        <f t="shared" si="67"/>
        <v>16.252145932003071</v>
      </c>
      <c r="AN170" s="143">
        <f t="shared" si="67"/>
        <v>18.208753286121649</v>
      </c>
      <c r="AO170" s="143">
        <f t="shared" si="67"/>
        <v>20.444112580927086</v>
      </c>
      <c r="AP170" s="143">
        <f t="shared" si="67"/>
        <v>19.892137861296028</v>
      </c>
      <c r="AQ170" s="143">
        <f t="shared" si="67"/>
        <v>18.447292255700734</v>
      </c>
      <c r="AR170" s="144">
        <f t="shared" si="66"/>
        <v>17.084413405029373</v>
      </c>
      <c r="AS170" s="341"/>
      <c r="AT170" s="341"/>
      <c r="AU170" s="341"/>
      <c r="AV170" s="341"/>
      <c r="AW170" s="341"/>
    </row>
    <row r="171" spans="1:49" s="83" customFormat="1" ht="13.5" customHeight="1" x14ac:dyDescent="0.2">
      <c r="A171" s="120"/>
      <c r="B171" s="412"/>
      <c r="C171" s="412"/>
      <c r="D171" s="58"/>
      <c r="E171" s="58"/>
      <c r="F171" s="58"/>
      <c r="G171" s="58"/>
      <c r="H171" s="58"/>
      <c r="I171" s="58"/>
      <c r="J171" s="13"/>
      <c r="K171" s="9"/>
      <c r="L171" s="113"/>
      <c r="M171" s="1462" t="str">
        <f>AA4</f>
        <v>Selected LA- (none)</v>
      </c>
      <c r="N171" s="1463"/>
      <c r="O171" s="1463"/>
      <c r="P171" s="1463"/>
      <c r="Q171" s="112"/>
      <c r="R171" s="1466" t="s">
        <v>184</v>
      </c>
      <c r="S171" s="1466"/>
      <c r="T171" s="1466"/>
      <c r="U171" s="1467"/>
      <c r="V171" s="119"/>
      <c r="W171" s="138"/>
      <c r="X171" s="147"/>
      <c r="AK171" s="157"/>
      <c r="AL171" s="76" t="str">
        <f>AA4</f>
        <v>Selected LA- (none)</v>
      </c>
      <c r="AM171" s="143" t="e">
        <f>VLOOKUP($Z$4,$B$116:$O$139,AM$37,FALSE)</f>
        <v>#N/A</v>
      </c>
      <c r="AN171" s="143" t="e">
        <f t="shared" ref="AN171:AQ171" si="68">VLOOKUP($Z$4,$B$116:$O$139,AN$37,FALSE)</f>
        <v>#N/A</v>
      </c>
      <c r="AO171" s="143" t="e">
        <f t="shared" si="68"/>
        <v>#N/A</v>
      </c>
      <c r="AP171" s="143" t="e">
        <f t="shared" si="68"/>
        <v>#N/A</v>
      </c>
      <c r="AQ171" s="143" t="e">
        <f t="shared" si="68"/>
        <v>#N/A</v>
      </c>
      <c r="AR171" s="144" t="e">
        <f>VLOOKUP(Z4,$B$10:$U$33,$AR$37,FALSE)</f>
        <v>#N/A</v>
      </c>
      <c r="AS171" s="167"/>
      <c r="AT171" s="167"/>
      <c r="AU171" s="167"/>
      <c r="AV171" s="167"/>
      <c r="AW171" s="167"/>
    </row>
    <row r="172" spans="1:49" s="83" customFormat="1" ht="42" customHeight="1" x14ac:dyDescent="0.2">
      <c r="A172" s="120"/>
      <c r="B172" s="412"/>
      <c r="C172" s="412"/>
      <c r="D172" s="58"/>
      <c r="E172" s="58"/>
      <c r="F172" s="58"/>
      <c r="G172" s="58"/>
      <c r="H172" s="58"/>
      <c r="I172" s="58"/>
      <c r="J172" s="13"/>
      <c r="K172" s="9"/>
      <c r="L172" s="9"/>
      <c r="M172" s="9"/>
      <c r="N172" s="9"/>
      <c r="O172" s="9"/>
      <c r="P172" s="9"/>
      <c r="Q172" s="9"/>
      <c r="R172" s="9"/>
      <c r="S172" s="9"/>
      <c r="T172" s="9"/>
      <c r="U172" s="9"/>
      <c r="V172" s="119"/>
      <c r="W172" s="138"/>
      <c r="X172" s="147"/>
      <c r="AK172" s="157"/>
    </row>
    <row r="173" spans="1:49" s="89" customFormat="1" ht="41.25" customHeight="1" x14ac:dyDescent="0.2">
      <c r="A173" s="123"/>
      <c r="B173" s="111"/>
      <c r="C173" s="111"/>
      <c r="D173" s="111"/>
      <c r="E173" s="111"/>
      <c r="F173" s="111"/>
      <c r="G173" s="111"/>
      <c r="H173" s="111"/>
      <c r="I173" s="111"/>
      <c r="J173" s="98"/>
      <c r="K173" s="87"/>
      <c r="L173" s="87"/>
      <c r="M173" s="87"/>
      <c r="N173" s="87"/>
      <c r="O173" s="87"/>
      <c r="P173" s="87"/>
      <c r="Q173" s="87"/>
      <c r="R173" s="87"/>
      <c r="S173" s="87"/>
      <c r="T173" s="87"/>
      <c r="U173" s="87"/>
      <c r="V173" s="124"/>
      <c r="W173" s="140"/>
      <c r="X173" s="149"/>
      <c r="AE173" s="185"/>
      <c r="AF173" s="185"/>
      <c r="AG173" s="185"/>
      <c r="AH173" s="185"/>
      <c r="AI173" s="185"/>
      <c r="AJ173" s="199"/>
      <c r="AK173" s="156"/>
    </row>
    <row r="174" spans="1:49" s="89" customFormat="1" ht="42.75" customHeight="1" x14ac:dyDescent="0.2">
      <c r="A174" s="123"/>
      <c r="B174" s="111"/>
      <c r="C174" s="111"/>
      <c r="D174" s="111"/>
      <c r="E174" s="111"/>
      <c r="F174" s="111"/>
      <c r="G174" s="111"/>
      <c r="H174" s="111"/>
      <c r="I174" s="111"/>
      <c r="J174" s="98"/>
      <c r="K174" s="87"/>
      <c r="L174" s="87"/>
      <c r="M174" s="87"/>
      <c r="N174" s="87"/>
      <c r="O174" s="87"/>
      <c r="P174" s="87"/>
      <c r="Q174" s="87"/>
      <c r="R174" s="87"/>
      <c r="S174" s="87"/>
      <c r="T174" s="87"/>
      <c r="U174" s="87"/>
      <c r="V174" s="124"/>
      <c r="W174" s="140"/>
      <c r="X174" s="364"/>
      <c r="AE174" s="185"/>
      <c r="AF174" s="185"/>
      <c r="AG174" s="185"/>
      <c r="AH174" s="185"/>
      <c r="AI174" s="185"/>
      <c r="AJ174" s="199"/>
      <c r="AK174" s="156"/>
    </row>
    <row r="175" spans="1:49" ht="7.5" customHeight="1" x14ac:dyDescent="0.2">
      <c r="A175" s="120"/>
      <c r="B175" s="18"/>
      <c r="C175" s="18"/>
      <c r="D175" s="17"/>
      <c r="E175" s="17"/>
      <c r="F175" s="17"/>
      <c r="G175" s="17"/>
      <c r="H175" s="17"/>
      <c r="I175" s="17"/>
      <c r="J175" s="13"/>
      <c r="K175" s="19"/>
      <c r="L175" s="19"/>
      <c r="M175" s="19"/>
      <c r="N175" s="19"/>
      <c r="O175" s="19"/>
      <c r="P175" s="19"/>
      <c r="Q175" s="19"/>
      <c r="R175" s="19"/>
      <c r="S175" s="19"/>
      <c r="T175" s="19"/>
      <c r="U175" s="20"/>
      <c r="V175" s="119"/>
      <c r="W175" s="138"/>
      <c r="X175" s="147"/>
      <c r="Y175" s="89"/>
      <c r="Z175" s="89"/>
      <c r="AA175" s="89"/>
      <c r="AB175" s="89"/>
      <c r="AC175" s="89"/>
      <c r="AD175" s="89"/>
      <c r="AJ175" s="179"/>
      <c r="AK175" s="153"/>
    </row>
    <row r="176" spans="1:49" ht="15" customHeight="1" x14ac:dyDescent="0.2">
      <c r="A176" s="1399"/>
      <c r="B176" s="1421"/>
      <c r="C176" s="1421"/>
      <c r="D176" s="1421"/>
      <c r="E176" s="1421"/>
      <c r="F176" s="1421"/>
      <c r="G176" s="1421"/>
      <c r="H176" s="1421"/>
      <c r="I176" s="1421"/>
      <c r="J176" s="1421"/>
      <c r="K176" s="1421"/>
      <c r="L176" s="1421"/>
      <c r="M176" s="1421"/>
      <c r="N176" s="1421"/>
      <c r="O176" s="1421"/>
      <c r="P176" s="1421"/>
      <c r="Q176" s="1421"/>
      <c r="R176" s="1421"/>
      <c r="S176" s="1421"/>
      <c r="T176" s="1421"/>
      <c r="U176" s="1421"/>
      <c r="V176" s="1422"/>
      <c r="W176" s="138"/>
      <c r="X176" s="147"/>
      <c r="Y176" s="89"/>
      <c r="Z176" s="89"/>
      <c r="AA176" s="89"/>
      <c r="AB176" s="89"/>
      <c r="AC176" s="89"/>
      <c r="AD176" s="89"/>
      <c r="AJ176" s="179"/>
      <c r="AK176" s="153"/>
    </row>
    <row r="177" spans="1:45" ht="11.25" customHeight="1" x14ac:dyDescent="0.2">
      <c r="A177" s="1428" t="str">
        <f>Home!$A$40</f>
        <v>LA's provide quarterly data on the condition that it is used by the benchmarking group for internal reporting only. Please DO NOT share other LA's data with any external partners or the public</v>
      </c>
      <c r="B177" s="1429"/>
      <c r="C177" s="1429"/>
      <c r="D177" s="1429"/>
      <c r="E177" s="1429"/>
      <c r="F177" s="1429"/>
      <c r="G177" s="1429"/>
      <c r="H177" s="1429"/>
      <c r="I177" s="1430"/>
      <c r="J177" s="1429"/>
      <c r="K177" s="1429"/>
      <c r="L177" s="1429"/>
      <c r="M177" s="1429"/>
      <c r="N177" s="1429"/>
      <c r="O177" s="1429"/>
      <c r="P177" s="1431"/>
      <c r="Q177" s="1429"/>
      <c r="R177" s="1429"/>
      <c r="S177" s="1429"/>
      <c r="T177" s="1430"/>
      <c r="U177" s="1429"/>
      <c r="V177" s="1432"/>
      <c r="W177" s="138"/>
      <c r="X177" s="147"/>
      <c r="Y177" s="89"/>
      <c r="Z177" s="89"/>
      <c r="AA177" s="89"/>
      <c r="AB177" s="89"/>
      <c r="AC177" s="89"/>
      <c r="AD177" s="89"/>
      <c r="AJ177" s="179"/>
      <c r="AK177" s="153"/>
    </row>
    <row r="178" spans="1:45" ht="11.25" customHeight="1" x14ac:dyDescent="0.2">
      <c r="A178" s="114"/>
      <c r="B178" s="115"/>
      <c r="C178" s="115"/>
      <c r="D178" s="115"/>
      <c r="E178" s="115"/>
      <c r="F178" s="115"/>
      <c r="G178" s="115"/>
      <c r="H178" s="115"/>
      <c r="I178" s="115"/>
      <c r="J178" s="116"/>
      <c r="K178" s="115"/>
      <c r="L178" s="115"/>
      <c r="M178" s="115"/>
      <c r="N178" s="115"/>
      <c r="O178" s="115"/>
      <c r="P178" s="115"/>
      <c r="Q178" s="115"/>
      <c r="R178" s="115"/>
      <c r="S178" s="115"/>
      <c r="T178" s="115"/>
      <c r="U178" s="115"/>
      <c r="V178" s="117"/>
      <c r="W178" s="138"/>
      <c r="X178" s="147"/>
      <c r="Y178" s="183"/>
      <c r="Z178" s="183"/>
      <c r="AA178" s="183"/>
      <c r="AJ178" s="179"/>
      <c r="AK178" s="153"/>
    </row>
    <row r="179" spans="1:45" s="78" customFormat="1" ht="15" customHeight="1" x14ac:dyDescent="0.2">
      <c r="A179" s="121"/>
      <c r="B179" s="59"/>
      <c r="C179" s="943"/>
      <c r="D179" s="943"/>
      <c r="E179" s="943"/>
      <c r="F179" s="943"/>
      <c r="G179" s="943"/>
      <c r="H179" s="943"/>
      <c r="I179" s="943"/>
      <c r="J179" s="69"/>
      <c r="K179" s="69"/>
      <c r="L179" s="69"/>
      <c r="M179" s="69"/>
      <c r="N179" s="941"/>
      <c r="O179" s="69"/>
      <c r="P179" s="69"/>
      <c r="Q179" s="69"/>
      <c r="R179" s="69"/>
      <c r="S179" s="69"/>
      <c r="T179" s="69"/>
      <c r="U179" s="69"/>
      <c r="V179" s="122"/>
      <c r="W179" s="139"/>
      <c r="X179" s="148"/>
      <c r="Y179" s="183"/>
      <c r="Z179" s="183"/>
      <c r="AA179" s="183"/>
      <c r="AB179" s="183"/>
      <c r="AC179" s="183"/>
      <c r="AD179" s="183"/>
      <c r="AE179" s="183"/>
      <c r="AF179" s="183"/>
      <c r="AG179" s="183"/>
      <c r="AH179" s="183"/>
      <c r="AI179" s="183"/>
      <c r="AJ179" s="183"/>
      <c r="AK179" s="154"/>
    </row>
    <row r="180" spans="1:45" ht="13.5" customHeight="1" x14ac:dyDescent="0.2">
      <c r="A180" s="120"/>
      <c r="B180" s="943"/>
      <c r="C180" s="943"/>
      <c r="D180" s="943"/>
      <c r="E180" s="943"/>
      <c r="F180" s="943"/>
      <c r="G180" s="943"/>
      <c r="H180" s="943"/>
      <c r="I180" s="943"/>
      <c r="J180" s="69"/>
      <c r="K180" s="69"/>
      <c r="L180" s="69"/>
      <c r="M180" s="69"/>
      <c r="N180" s="941"/>
      <c r="O180" s="69"/>
      <c r="P180" s="69"/>
      <c r="Q180" s="69"/>
      <c r="R180" s="10"/>
      <c r="S180" s="69"/>
      <c r="T180" s="69"/>
      <c r="U180" s="69"/>
      <c r="V180" s="119"/>
      <c r="W180" s="138"/>
      <c r="X180" s="147"/>
      <c r="Y180" s="183"/>
      <c r="Z180" s="183"/>
      <c r="AA180" s="191"/>
      <c r="AB180" s="191"/>
      <c r="AC180" s="192"/>
      <c r="AD180" s="192"/>
      <c r="AJ180" s="179"/>
      <c r="AK180" s="153"/>
    </row>
    <row r="181" spans="1:45" s="89" customFormat="1" ht="12" customHeight="1" x14ac:dyDescent="0.2">
      <c r="A181" s="123"/>
      <c r="B181" s="943"/>
      <c r="C181" s="943"/>
      <c r="D181" s="943"/>
      <c r="E181" s="943"/>
      <c r="F181" s="943"/>
      <c r="G181" s="943"/>
      <c r="H181" s="943"/>
      <c r="I181" s="98"/>
      <c r="J181" s="98"/>
      <c r="K181" s="61"/>
      <c r="L181" s="61"/>
      <c r="M181" s="61"/>
      <c r="N181" s="61"/>
      <c r="O181" s="61"/>
      <c r="P181" s="61"/>
      <c r="Q181" s="946"/>
      <c r="R181" s="946"/>
      <c r="S181" s="155"/>
      <c r="T181" s="155"/>
      <c r="U181" s="947"/>
      <c r="V181" s="124"/>
      <c r="W181" s="140"/>
      <c r="X181" s="149"/>
      <c r="Y181" s="183"/>
      <c r="Z181" s="183"/>
      <c r="AA181" s="191"/>
      <c r="AB181" s="191"/>
      <c r="AC181" s="192"/>
      <c r="AD181" s="192"/>
      <c r="AE181" s="194"/>
      <c r="AF181" s="185"/>
      <c r="AG181" s="185"/>
      <c r="AH181" s="185"/>
      <c r="AI181" s="185"/>
      <c r="AJ181" s="199"/>
      <c r="AK181" s="156"/>
    </row>
    <row r="182" spans="1:45" s="89" customFormat="1" ht="24" customHeight="1" x14ac:dyDescent="0.2">
      <c r="A182" s="123"/>
      <c r="B182" s="943"/>
      <c r="C182" s="943"/>
      <c r="D182" s="943"/>
      <c r="E182" s="943"/>
      <c r="F182" s="943"/>
      <c r="G182" s="943"/>
      <c r="H182" s="943"/>
      <c r="I182" s="98"/>
      <c r="J182" s="98"/>
      <c r="K182" s="162"/>
      <c r="L182" s="162"/>
      <c r="M182" s="162"/>
      <c r="N182" s="162"/>
      <c r="O182" s="162"/>
      <c r="P182" s="162"/>
      <c r="Q182" s="162"/>
      <c r="R182" s="163"/>
      <c r="S182" s="155"/>
      <c r="T182" s="155"/>
      <c r="U182" s="162"/>
      <c r="V182" s="124"/>
      <c r="W182" s="140"/>
      <c r="X182" s="149"/>
      <c r="Y182" s="741"/>
      <c r="Z182" s="347" t="s">
        <v>129</v>
      </c>
      <c r="AA182" s="347" t="s">
        <v>130</v>
      </c>
      <c r="AB182" s="191"/>
      <c r="AC182" s="192"/>
      <c r="AD182" s="192"/>
      <c r="AE182" s="194"/>
      <c r="AF182" s="185"/>
      <c r="AG182" s="185"/>
      <c r="AH182" s="185"/>
      <c r="AI182" s="185"/>
      <c r="AJ182" s="199"/>
      <c r="AK182" s="156"/>
    </row>
    <row r="183" spans="1:45" s="89" customFormat="1" ht="12.75" customHeight="1" x14ac:dyDescent="0.2">
      <c r="A183" s="123"/>
      <c r="B183" s="943"/>
      <c r="C183" s="943"/>
      <c r="D183" s="943"/>
      <c r="E183" s="943"/>
      <c r="F183" s="943"/>
      <c r="G183" s="943"/>
      <c r="H183" s="943"/>
      <c r="I183" s="98"/>
      <c r="J183" s="98"/>
      <c r="K183" s="162"/>
      <c r="L183" s="162"/>
      <c r="M183" s="162"/>
      <c r="N183" s="162"/>
      <c r="O183" s="162"/>
      <c r="P183" s="162"/>
      <c r="Q183" s="162"/>
      <c r="R183" s="163"/>
      <c r="S183" s="155"/>
      <c r="T183" s="155"/>
      <c r="U183" s="162"/>
      <c r="V183" s="124"/>
      <c r="W183" s="140"/>
      <c r="X183" s="149"/>
      <c r="Y183" s="551" t="str">
        <f>B116</f>
        <v>Bracknell Forest</v>
      </c>
      <c r="Z183" s="349" t="e">
        <f>IF(Y183=$Z$4,I116,#N/A)</f>
        <v>#N/A</v>
      </c>
      <c r="AA183" s="349" t="e">
        <f>IF(Y183=$Z$4,U116,#N/A)</f>
        <v>#N/A</v>
      </c>
      <c r="AB183" s="191"/>
      <c r="AC183" s="192"/>
      <c r="AD183" s="192"/>
      <c r="AE183" s="194"/>
      <c r="AF183" s="185"/>
      <c r="AG183" s="185"/>
      <c r="AH183" s="185"/>
      <c r="AI183" s="185"/>
      <c r="AJ183" s="199"/>
      <c r="AK183" s="156"/>
    </row>
    <row r="184" spans="1:45" s="89" customFormat="1" ht="12.75" customHeight="1" x14ac:dyDescent="0.2">
      <c r="A184" s="123"/>
      <c r="B184" s="943"/>
      <c r="C184" s="943"/>
      <c r="D184" s="943"/>
      <c r="E184" s="943"/>
      <c r="F184" s="943"/>
      <c r="G184" s="943"/>
      <c r="H184" s="943"/>
      <c r="I184" s="98"/>
      <c r="J184" s="98"/>
      <c r="K184" s="162"/>
      <c r="L184" s="162"/>
      <c r="M184" s="162"/>
      <c r="N184" s="162"/>
      <c r="O184" s="162"/>
      <c r="P184" s="162"/>
      <c r="Q184" s="162"/>
      <c r="R184" s="163"/>
      <c r="S184" s="155"/>
      <c r="T184" s="155"/>
      <c r="U184" s="162"/>
      <c r="V184" s="124"/>
      <c r="W184" s="140"/>
      <c r="X184" s="149"/>
      <c r="Y184" s="551" t="str">
        <f t="shared" ref="Y184:Y204" si="69">B117</f>
        <v>Brighton &amp; Hove</v>
      </c>
      <c r="Z184" s="349" t="e">
        <f t="shared" ref="Z184:Z206" si="70">IF(Y184=$Z$4,I117,#N/A)</f>
        <v>#N/A</v>
      </c>
      <c r="AA184" s="349" t="e">
        <f t="shared" ref="AA184:AA206" si="71">IF(Y184=$Z$4,U117,#N/A)</f>
        <v>#N/A</v>
      </c>
      <c r="AB184" s="191"/>
      <c r="AC184" s="192"/>
      <c r="AD184" s="192"/>
      <c r="AE184" s="194"/>
      <c r="AF184" s="185"/>
      <c r="AG184" s="185"/>
      <c r="AH184" s="185"/>
      <c r="AI184" s="185"/>
      <c r="AJ184" s="199"/>
      <c r="AK184" s="156"/>
    </row>
    <row r="185" spans="1:45" s="89" customFormat="1" ht="12.75" customHeight="1" x14ac:dyDescent="0.2">
      <c r="A185" s="123"/>
      <c r="B185" s="943"/>
      <c r="C185" s="943"/>
      <c r="D185" s="943"/>
      <c r="E185" s="943"/>
      <c r="F185" s="943"/>
      <c r="G185" s="943"/>
      <c r="H185" s="943"/>
      <c r="I185" s="98"/>
      <c r="J185" s="98"/>
      <c r="K185" s="162"/>
      <c r="L185" s="162"/>
      <c r="M185" s="162"/>
      <c r="N185" s="162"/>
      <c r="O185" s="162"/>
      <c r="P185" s="162"/>
      <c r="Q185" s="162"/>
      <c r="R185" s="163"/>
      <c r="S185" s="155"/>
      <c r="T185" s="155"/>
      <c r="U185" s="162"/>
      <c r="V185" s="124"/>
      <c r="W185" s="140"/>
      <c r="X185" s="149"/>
      <c r="Y185" s="551" t="str">
        <f t="shared" si="69"/>
        <v>Buckinghamshire</v>
      </c>
      <c r="Z185" s="349" t="e">
        <f t="shared" si="70"/>
        <v>#N/A</v>
      </c>
      <c r="AA185" s="349" t="e">
        <f t="shared" si="71"/>
        <v>#N/A</v>
      </c>
      <c r="AB185" s="191"/>
      <c r="AC185" s="192"/>
      <c r="AD185" s="192"/>
      <c r="AE185" s="194"/>
      <c r="AF185" s="185"/>
      <c r="AG185" s="185"/>
      <c r="AH185" s="185"/>
      <c r="AI185" s="185"/>
      <c r="AJ185" s="199"/>
      <c r="AK185" s="156"/>
    </row>
    <row r="186" spans="1:45" s="89" customFormat="1" ht="12.75" customHeight="1" x14ac:dyDescent="0.2">
      <c r="A186" s="123"/>
      <c r="B186" s="943"/>
      <c r="C186" s="943"/>
      <c r="D186" s="943"/>
      <c r="E186" s="943"/>
      <c r="F186" s="943"/>
      <c r="G186" s="943"/>
      <c r="H186" s="943"/>
      <c r="I186" s="98"/>
      <c r="J186" s="98"/>
      <c r="K186" s="162"/>
      <c r="L186" s="162"/>
      <c r="M186" s="162"/>
      <c r="N186" s="162"/>
      <c r="O186" s="162"/>
      <c r="P186" s="162"/>
      <c r="Q186" s="162"/>
      <c r="R186" s="163"/>
      <c r="S186" s="155"/>
      <c r="T186" s="155"/>
      <c r="U186" s="162"/>
      <c r="V186" s="124"/>
      <c r="W186" s="140"/>
      <c r="X186" s="149"/>
      <c r="Y186" s="551" t="str">
        <f t="shared" si="69"/>
        <v>East Sussex</v>
      </c>
      <c r="Z186" s="349" t="e">
        <f t="shared" si="70"/>
        <v>#N/A</v>
      </c>
      <c r="AA186" s="349" t="e">
        <f t="shared" si="71"/>
        <v>#N/A</v>
      </c>
      <c r="AB186" s="191"/>
      <c r="AC186" s="192"/>
      <c r="AD186" s="192"/>
      <c r="AE186" s="194"/>
      <c r="AF186" s="185"/>
      <c r="AG186" s="185"/>
      <c r="AH186" s="185"/>
      <c r="AI186" s="185"/>
      <c r="AJ186" s="199"/>
      <c r="AK186" s="156"/>
    </row>
    <row r="187" spans="1:45" s="89" customFormat="1" ht="12.75" customHeight="1" x14ac:dyDescent="0.2">
      <c r="A187" s="123"/>
      <c r="B187" s="943"/>
      <c r="C187" s="943"/>
      <c r="D187" s="943"/>
      <c r="E187" s="943"/>
      <c r="F187" s="943"/>
      <c r="G187" s="943"/>
      <c r="H187" s="943"/>
      <c r="I187" s="98"/>
      <c r="J187" s="98"/>
      <c r="K187" s="162"/>
      <c r="L187" s="162"/>
      <c r="M187" s="162"/>
      <c r="N187" s="162"/>
      <c r="O187" s="162"/>
      <c r="P187" s="162"/>
      <c r="Q187" s="162"/>
      <c r="R187" s="163"/>
      <c r="S187" s="155"/>
      <c r="T187" s="155"/>
      <c r="U187" s="162"/>
      <c r="V187" s="124"/>
      <c r="W187" s="140"/>
      <c r="X187" s="149"/>
      <c r="Y187" s="551" t="str">
        <f t="shared" si="69"/>
        <v>Hampshire</v>
      </c>
      <c r="Z187" s="349" t="e">
        <f t="shared" si="70"/>
        <v>#N/A</v>
      </c>
      <c r="AA187" s="349" t="e">
        <f t="shared" si="71"/>
        <v>#N/A</v>
      </c>
      <c r="AB187" s="191"/>
      <c r="AC187" s="192"/>
      <c r="AD187" s="192"/>
      <c r="AE187" s="194"/>
      <c r="AF187" s="185"/>
      <c r="AG187" s="185"/>
      <c r="AH187" s="185"/>
      <c r="AI187" s="185"/>
      <c r="AJ187" s="199"/>
      <c r="AK187" s="156"/>
      <c r="AS187" s="89" t="s">
        <v>103</v>
      </c>
    </row>
    <row r="188" spans="1:45" s="89" customFormat="1" ht="12.75" customHeight="1" x14ac:dyDescent="0.2">
      <c r="A188" s="123"/>
      <c r="B188" s="943"/>
      <c r="C188" s="943"/>
      <c r="D188" s="943"/>
      <c r="E188" s="943"/>
      <c r="F188" s="943"/>
      <c r="G188" s="943"/>
      <c r="H188" s="943"/>
      <c r="I188" s="98"/>
      <c r="J188" s="98"/>
      <c r="K188" s="162"/>
      <c r="L188" s="162"/>
      <c r="M188" s="162"/>
      <c r="N188" s="162"/>
      <c r="O188" s="162"/>
      <c r="P188" s="162"/>
      <c r="Q188" s="162"/>
      <c r="R188" s="163"/>
      <c r="S188" s="155"/>
      <c r="T188" s="155"/>
      <c r="U188" s="162"/>
      <c r="V188" s="124"/>
      <c r="W188" s="140"/>
      <c r="X188" s="149"/>
      <c r="Y188" s="551" t="str">
        <f t="shared" si="69"/>
        <v>Isle of Wight</v>
      </c>
      <c r="Z188" s="349" t="e">
        <f t="shared" si="70"/>
        <v>#N/A</v>
      </c>
      <c r="AA188" s="349" t="e">
        <f t="shared" si="71"/>
        <v>#N/A</v>
      </c>
      <c r="AB188" s="191"/>
      <c r="AC188" s="192"/>
      <c r="AD188" s="192"/>
      <c r="AE188" s="194"/>
      <c r="AF188" s="185"/>
      <c r="AG188" s="185"/>
      <c r="AH188" s="185"/>
      <c r="AI188" s="185"/>
      <c r="AJ188" s="199"/>
      <c r="AK188" s="156"/>
    </row>
    <row r="189" spans="1:45" s="89" customFormat="1" ht="12.75" customHeight="1" x14ac:dyDescent="0.2">
      <c r="A189" s="123"/>
      <c r="B189" s="943"/>
      <c r="C189" s="943"/>
      <c r="D189" s="943"/>
      <c r="E189" s="943"/>
      <c r="F189" s="943"/>
      <c r="G189" s="943"/>
      <c r="H189" s="943"/>
      <c r="I189" s="98"/>
      <c r="J189" s="98"/>
      <c r="K189" s="162"/>
      <c r="L189" s="162"/>
      <c r="M189" s="162"/>
      <c r="N189" s="162"/>
      <c r="O189" s="162"/>
      <c r="P189" s="162"/>
      <c r="Q189" s="162"/>
      <c r="R189" s="163"/>
      <c r="S189" s="155"/>
      <c r="T189" s="155"/>
      <c r="U189" s="162"/>
      <c r="V189" s="124"/>
      <c r="W189" s="140"/>
      <c r="X189" s="149"/>
      <c r="Y189" s="551" t="str">
        <f t="shared" si="69"/>
        <v>Kent</v>
      </c>
      <c r="Z189" s="349" t="e">
        <f t="shared" si="70"/>
        <v>#N/A</v>
      </c>
      <c r="AA189" s="349" t="e">
        <f t="shared" si="71"/>
        <v>#N/A</v>
      </c>
      <c r="AB189" s="191"/>
      <c r="AC189" s="192"/>
      <c r="AD189" s="192"/>
      <c r="AE189" s="194"/>
      <c r="AF189" s="185"/>
      <c r="AG189" s="185"/>
      <c r="AH189" s="185"/>
      <c r="AI189" s="185"/>
      <c r="AJ189" s="199"/>
      <c r="AK189" s="156"/>
    </row>
    <row r="190" spans="1:45" s="89" customFormat="1" ht="12.75" customHeight="1" x14ac:dyDescent="0.2">
      <c r="A190" s="123"/>
      <c r="B190" s="943"/>
      <c r="C190" s="943"/>
      <c r="D190" s="943"/>
      <c r="E190" s="943"/>
      <c r="F190" s="943"/>
      <c r="G190" s="943"/>
      <c r="H190" s="943"/>
      <c r="I190" s="98"/>
      <c r="J190" s="98"/>
      <c r="K190" s="162"/>
      <c r="L190" s="162"/>
      <c r="M190" s="162"/>
      <c r="N190" s="162"/>
      <c r="O190" s="162"/>
      <c r="P190" s="162"/>
      <c r="Q190" s="162"/>
      <c r="R190" s="163"/>
      <c r="S190" s="155"/>
      <c r="T190" s="155"/>
      <c r="U190" s="162"/>
      <c r="V190" s="124"/>
      <c r="W190" s="140"/>
      <c r="X190" s="149"/>
      <c r="Y190" s="551" t="str">
        <f t="shared" si="69"/>
        <v>Medway</v>
      </c>
      <c r="Z190" s="349" t="e">
        <f t="shared" si="70"/>
        <v>#N/A</v>
      </c>
      <c r="AA190" s="349" t="e">
        <f t="shared" si="71"/>
        <v>#N/A</v>
      </c>
      <c r="AB190" s="191"/>
      <c r="AC190" s="192"/>
      <c r="AD190" s="192"/>
      <c r="AE190" s="194"/>
      <c r="AF190" s="185"/>
      <c r="AG190" s="185"/>
      <c r="AH190" s="185"/>
      <c r="AI190" s="185"/>
      <c r="AJ190" s="199"/>
      <c r="AK190" s="156"/>
    </row>
    <row r="191" spans="1:45" s="89" customFormat="1" ht="12.75" customHeight="1" x14ac:dyDescent="0.2">
      <c r="A191" s="123"/>
      <c r="B191" s="943"/>
      <c r="C191" s="943"/>
      <c r="D191" s="943"/>
      <c r="E191" s="943"/>
      <c r="F191" s="943"/>
      <c r="G191" s="943"/>
      <c r="H191" s="943"/>
      <c r="I191" s="98"/>
      <c r="J191" s="98"/>
      <c r="K191" s="162"/>
      <c r="L191" s="162"/>
      <c r="M191" s="162"/>
      <c r="N191" s="162"/>
      <c r="O191" s="162"/>
      <c r="P191" s="162"/>
      <c r="Q191" s="162"/>
      <c r="R191" s="163"/>
      <c r="S191" s="155"/>
      <c r="T191" s="155"/>
      <c r="U191" s="162"/>
      <c r="V191" s="124"/>
      <c r="W191" s="140"/>
      <c r="X191" s="149"/>
      <c r="Y191" s="551" t="str">
        <f t="shared" si="69"/>
        <v>Milton Keynes</v>
      </c>
      <c r="Z191" s="349" t="e">
        <f t="shared" si="70"/>
        <v>#N/A</v>
      </c>
      <c r="AA191" s="349" t="e">
        <f t="shared" si="71"/>
        <v>#N/A</v>
      </c>
      <c r="AB191" s="191"/>
      <c r="AC191" s="192"/>
      <c r="AD191" s="192"/>
      <c r="AE191" s="194"/>
      <c r="AF191" s="185"/>
      <c r="AG191" s="185"/>
      <c r="AH191" s="185"/>
      <c r="AI191" s="185"/>
      <c r="AJ191" s="199"/>
      <c r="AK191" s="156"/>
    </row>
    <row r="192" spans="1:45" s="89" customFormat="1" ht="12.75" customHeight="1" x14ac:dyDescent="0.2">
      <c r="A192" s="123"/>
      <c r="B192" s="943"/>
      <c r="C192" s="943"/>
      <c r="D192" s="943"/>
      <c r="E192" s="943"/>
      <c r="F192" s="943"/>
      <c r="G192" s="943"/>
      <c r="H192" s="943"/>
      <c r="I192" s="98"/>
      <c r="J192" s="98"/>
      <c r="K192" s="162"/>
      <c r="L192" s="162"/>
      <c r="M192" s="162"/>
      <c r="N192" s="162"/>
      <c r="O192" s="162"/>
      <c r="P192" s="162"/>
      <c r="Q192" s="162"/>
      <c r="R192" s="163"/>
      <c r="S192" s="155"/>
      <c r="T192" s="155"/>
      <c r="U192" s="162"/>
      <c r="V192" s="124"/>
      <c r="W192" s="140"/>
      <c r="X192" s="149"/>
      <c r="Y192" s="551" t="str">
        <f t="shared" si="69"/>
        <v>Oxfordshire</v>
      </c>
      <c r="Z192" s="349" t="e">
        <f t="shared" si="70"/>
        <v>#N/A</v>
      </c>
      <c r="AA192" s="349" t="e">
        <f t="shared" si="71"/>
        <v>#N/A</v>
      </c>
      <c r="AB192" s="191"/>
      <c r="AC192" s="192"/>
      <c r="AD192" s="192"/>
      <c r="AE192" s="194"/>
      <c r="AF192" s="185"/>
      <c r="AG192" s="185"/>
      <c r="AH192" s="185"/>
      <c r="AI192" s="185"/>
      <c r="AJ192" s="199"/>
      <c r="AK192" s="156"/>
    </row>
    <row r="193" spans="1:37" s="89" customFormat="1" ht="12.75" customHeight="1" x14ac:dyDescent="0.2">
      <c r="A193" s="123"/>
      <c r="B193" s="943"/>
      <c r="C193" s="943"/>
      <c r="D193" s="943"/>
      <c r="E193" s="943"/>
      <c r="F193" s="943"/>
      <c r="G193" s="943"/>
      <c r="H193" s="943"/>
      <c r="I193" s="98"/>
      <c r="J193" s="98"/>
      <c r="K193" s="162"/>
      <c r="L193" s="162"/>
      <c r="M193" s="162"/>
      <c r="N193" s="162"/>
      <c r="O193" s="162"/>
      <c r="P193" s="162"/>
      <c r="Q193" s="162"/>
      <c r="R193" s="163"/>
      <c r="S193" s="155"/>
      <c r="T193" s="155"/>
      <c r="U193" s="162"/>
      <c r="V193" s="124"/>
      <c r="W193" s="140"/>
      <c r="X193" s="149"/>
      <c r="Y193" s="551" t="str">
        <f t="shared" si="69"/>
        <v>Portsmouth</v>
      </c>
      <c r="Z193" s="349" t="e">
        <f t="shared" si="70"/>
        <v>#N/A</v>
      </c>
      <c r="AA193" s="349" t="e">
        <f t="shared" si="71"/>
        <v>#N/A</v>
      </c>
      <c r="AB193" s="191"/>
      <c r="AC193" s="192"/>
      <c r="AD193" s="192"/>
      <c r="AE193" s="194"/>
      <c r="AF193" s="185"/>
      <c r="AG193" s="185"/>
      <c r="AH193" s="185"/>
      <c r="AI193" s="185"/>
      <c r="AJ193" s="199"/>
      <c r="AK193" s="156"/>
    </row>
    <row r="194" spans="1:37" s="89" customFormat="1" ht="12.75" customHeight="1" x14ac:dyDescent="0.2">
      <c r="A194" s="123"/>
      <c r="B194" s="943"/>
      <c r="C194" s="943"/>
      <c r="D194" s="943"/>
      <c r="E194" s="943"/>
      <c r="F194" s="943"/>
      <c r="G194" s="943"/>
      <c r="H194" s="943"/>
      <c r="I194" s="98"/>
      <c r="J194" s="98"/>
      <c r="K194" s="162"/>
      <c r="L194" s="162"/>
      <c r="M194" s="162"/>
      <c r="N194" s="162"/>
      <c r="O194" s="162"/>
      <c r="P194" s="162"/>
      <c r="Q194" s="162"/>
      <c r="R194" s="163"/>
      <c r="S194" s="155"/>
      <c r="T194" s="155"/>
      <c r="U194" s="162"/>
      <c r="V194" s="124"/>
      <c r="W194" s="140"/>
      <c r="X194" s="149"/>
      <c r="Y194" s="551" t="str">
        <f t="shared" si="69"/>
        <v>Reading</v>
      </c>
      <c r="Z194" s="349" t="e">
        <f t="shared" si="70"/>
        <v>#N/A</v>
      </c>
      <c r="AA194" s="349" t="e">
        <f t="shared" si="71"/>
        <v>#N/A</v>
      </c>
      <c r="AB194" s="191"/>
      <c r="AC194" s="192"/>
      <c r="AD194" s="192"/>
      <c r="AE194" s="194"/>
      <c r="AF194" s="185"/>
      <c r="AG194" s="185"/>
      <c r="AH194" s="185"/>
      <c r="AI194" s="185"/>
      <c r="AJ194" s="199"/>
      <c r="AK194" s="156"/>
    </row>
    <row r="195" spans="1:37" s="89" customFormat="1" ht="12.75" customHeight="1" x14ac:dyDescent="0.2">
      <c r="A195" s="123"/>
      <c r="B195" s="943"/>
      <c r="C195" s="943"/>
      <c r="D195" s="943"/>
      <c r="E195" s="943"/>
      <c r="F195" s="943"/>
      <c r="G195" s="943"/>
      <c r="H195" s="943"/>
      <c r="I195" s="98"/>
      <c r="J195" s="98"/>
      <c r="K195" s="162"/>
      <c r="L195" s="162"/>
      <c r="M195" s="162"/>
      <c r="N195" s="162"/>
      <c r="O195" s="162"/>
      <c r="P195" s="162"/>
      <c r="Q195" s="162"/>
      <c r="R195" s="163"/>
      <c r="S195" s="155"/>
      <c r="T195" s="155"/>
      <c r="U195" s="162"/>
      <c r="V195" s="124"/>
      <c r="W195" s="140"/>
      <c r="X195" s="149"/>
      <c r="Y195" s="551" t="str">
        <f t="shared" si="69"/>
        <v>Slough</v>
      </c>
      <c r="Z195" s="349" t="e">
        <f t="shared" si="70"/>
        <v>#N/A</v>
      </c>
      <c r="AA195" s="349" t="e">
        <f t="shared" si="71"/>
        <v>#N/A</v>
      </c>
      <c r="AB195" s="191"/>
      <c r="AC195" s="192"/>
      <c r="AD195" s="192"/>
      <c r="AE195" s="194"/>
      <c r="AF195" s="185"/>
      <c r="AG195" s="185"/>
      <c r="AH195" s="185"/>
      <c r="AI195" s="185"/>
      <c r="AJ195" s="199"/>
      <c r="AK195" s="156"/>
    </row>
    <row r="196" spans="1:37" s="89" customFormat="1" ht="12.75" customHeight="1" x14ac:dyDescent="0.2">
      <c r="A196" s="123"/>
      <c r="B196" s="943"/>
      <c r="C196" s="943"/>
      <c r="D196" s="943"/>
      <c r="E196" s="943"/>
      <c r="F196" s="943"/>
      <c r="G196" s="943"/>
      <c r="H196" s="943"/>
      <c r="I196" s="98"/>
      <c r="J196" s="98"/>
      <c r="K196" s="162"/>
      <c r="L196" s="162"/>
      <c r="M196" s="162"/>
      <c r="N196" s="162"/>
      <c r="O196" s="162"/>
      <c r="P196" s="162"/>
      <c r="Q196" s="162"/>
      <c r="R196" s="163"/>
      <c r="S196" s="155"/>
      <c r="T196" s="155"/>
      <c r="U196" s="162"/>
      <c r="V196" s="124"/>
      <c r="W196" s="140"/>
      <c r="X196" s="149"/>
      <c r="Y196" s="551" t="str">
        <f t="shared" si="69"/>
        <v>Somerset</v>
      </c>
      <c r="Z196" s="349" t="e">
        <f t="shared" si="70"/>
        <v>#N/A</v>
      </c>
      <c r="AA196" s="349" t="e">
        <f t="shared" si="71"/>
        <v>#N/A</v>
      </c>
      <c r="AB196" s="191"/>
      <c r="AC196" s="192"/>
      <c r="AD196" s="192"/>
      <c r="AE196" s="194"/>
      <c r="AF196" s="185"/>
      <c r="AG196" s="185"/>
      <c r="AH196" s="185"/>
      <c r="AI196" s="185"/>
      <c r="AJ196" s="199"/>
      <c r="AK196" s="156"/>
    </row>
    <row r="197" spans="1:37" s="89" customFormat="1" ht="12.75" customHeight="1" x14ac:dyDescent="0.2">
      <c r="A197" s="123"/>
      <c r="B197" s="943"/>
      <c r="C197" s="943"/>
      <c r="D197" s="943"/>
      <c r="E197" s="943"/>
      <c r="F197" s="943"/>
      <c r="G197" s="943"/>
      <c r="H197" s="943"/>
      <c r="I197" s="98"/>
      <c r="J197" s="98"/>
      <c r="K197" s="162"/>
      <c r="L197" s="162"/>
      <c r="M197" s="162"/>
      <c r="N197" s="162"/>
      <c r="O197" s="162"/>
      <c r="P197" s="162"/>
      <c r="Q197" s="162"/>
      <c r="R197" s="163"/>
      <c r="S197" s="155"/>
      <c r="T197" s="155"/>
      <c r="U197" s="162"/>
      <c r="V197" s="124"/>
      <c r="W197" s="140"/>
      <c r="X197" s="149"/>
      <c r="Y197" s="551" t="str">
        <f t="shared" si="69"/>
        <v>Southampton</v>
      </c>
      <c r="Z197" s="349" t="e">
        <f t="shared" si="70"/>
        <v>#N/A</v>
      </c>
      <c r="AA197" s="349" t="e">
        <f t="shared" si="71"/>
        <v>#N/A</v>
      </c>
      <c r="AB197" s="191"/>
      <c r="AC197" s="192"/>
      <c r="AD197" s="192"/>
      <c r="AE197" s="194"/>
      <c r="AF197" s="185"/>
      <c r="AG197" s="185"/>
      <c r="AH197" s="185"/>
      <c r="AI197" s="185"/>
      <c r="AJ197" s="199"/>
      <c r="AK197" s="156"/>
    </row>
    <row r="198" spans="1:37" s="89" customFormat="1" ht="12.75" customHeight="1" x14ac:dyDescent="0.2">
      <c r="A198" s="286"/>
      <c r="B198" s="943"/>
      <c r="C198" s="943"/>
      <c r="D198" s="943"/>
      <c r="E198" s="943"/>
      <c r="F198" s="943"/>
      <c r="G198" s="943"/>
      <c r="H198" s="943"/>
      <c r="I198" s="98"/>
      <c r="J198" s="98"/>
      <c r="K198" s="162"/>
      <c r="L198" s="162"/>
      <c r="M198" s="162"/>
      <c r="N198" s="162"/>
      <c r="O198" s="162"/>
      <c r="P198" s="162"/>
      <c r="Q198" s="162"/>
      <c r="R198" s="163"/>
      <c r="S198" s="155"/>
      <c r="T198" s="155"/>
      <c r="U198" s="162"/>
      <c r="V198" s="124"/>
      <c r="W198" s="140"/>
      <c r="X198" s="149"/>
      <c r="Y198" s="551" t="str">
        <f t="shared" si="69"/>
        <v>Surrey</v>
      </c>
      <c r="Z198" s="349" t="e">
        <f t="shared" si="70"/>
        <v>#N/A</v>
      </c>
      <c r="AA198" s="349" t="e">
        <f t="shared" si="71"/>
        <v>#N/A</v>
      </c>
      <c r="AB198" s="191"/>
      <c r="AC198" s="192"/>
      <c r="AD198" s="192"/>
      <c r="AE198" s="194"/>
      <c r="AF198" s="185"/>
      <c r="AG198" s="185"/>
      <c r="AH198" s="185"/>
      <c r="AI198" s="185"/>
      <c r="AJ198" s="199"/>
      <c r="AK198" s="156"/>
    </row>
    <row r="199" spans="1:37" s="89" customFormat="1" ht="12.75" customHeight="1" x14ac:dyDescent="0.2">
      <c r="A199" s="286"/>
      <c r="B199" s="943"/>
      <c r="C199" s="943"/>
      <c r="D199" s="943"/>
      <c r="E199" s="943"/>
      <c r="F199" s="943"/>
      <c r="G199" s="943"/>
      <c r="H199" s="943"/>
      <c r="I199" s="98"/>
      <c r="J199" s="98"/>
      <c r="K199" s="162"/>
      <c r="L199" s="162"/>
      <c r="M199" s="162"/>
      <c r="N199" s="162"/>
      <c r="O199" s="162"/>
      <c r="P199" s="162"/>
      <c r="Q199" s="162"/>
      <c r="R199" s="163"/>
      <c r="S199" s="155"/>
      <c r="T199" s="155"/>
      <c r="U199" s="162"/>
      <c r="V199" s="124"/>
      <c r="W199" s="140"/>
      <c r="X199" s="149"/>
      <c r="Y199" s="551" t="str">
        <f t="shared" si="69"/>
        <v>Swindon</v>
      </c>
      <c r="Z199" s="349" t="e">
        <f t="shared" si="70"/>
        <v>#N/A</v>
      </c>
      <c r="AA199" s="349" t="e">
        <f t="shared" si="71"/>
        <v>#N/A</v>
      </c>
      <c r="AB199" s="191"/>
      <c r="AC199" s="192"/>
      <c r="AD199" s="192"/>
      <c r="AE199" s="194"/>
      <c r="AF199" s="185"/>
      <c r="AG199" s="185"/>
      <c r="AH199" s="185"/>
      <c r="AI199" s="185"/>
      <c r="AJ199" s="199"/>
      <c r="AK199" s="156"/>
    </row>
    <row r="200" spans="1:37" s="89" customFormat="1" ht="12.75" customHeight="1" x14ac:dyDescent="0.2">
      <c r="A200" s="123"/>
      <c r="B200" s="943"/>
      <c r="C200" s="943"/>
      <c r="D200" s="943"/>
      <c r="E200" s="943"/>
      <c r="F200" s="943"/>
      <c r="G200" s="943"/>
      <c r="H200" s="943"/>
      <c r="I200" s="98"/>
      <c r="J200" s="98"/>
      <c r="K200" s="162"/>
      <c r="L200" s="162"/>
      <c r="M200" s="162"/>
      <c r="N200" s="162"/>
      <c r="O200" s="162"/>
      <c r="P200" s="162"/>
      <c r="Q200" s="162"/>
      <c r="R200" s="163"/>
      <c r="S200" s="155"/>
      <c r="T200" s="155"/>
      <c r="U200" s="162"/>
      <c r="V200" s="124"/>
      <c r="W200" s="140"/>
      <c r="X200" s="149"/>
      <c r="Y200" s="551" t="str">
        <f t="shared" si="69"/>
        <v>Torbay</v>
      </c>
      <c r="Z200" s="349" t="e">
        <f t="shared" si="70"/>
        <v>#N/A</v>
      </c>
      <c r="AA200" s="349" t="e">
        <f t="shared" si="71"/>
        <v>#N/A</v>
      </c>
      <c r="AB200" s="191"/>
      <c r="AC200" s="192"/>
      <c r="AD200" s="192"/>
      <c r="AE200" s="194"/>
      <c r="AF200" s="199"/>
      <c r="AG200" s="185"/>
      <c r="AH200" s="185"/>
      <c r="AI200" s="185"/>
      <c r="AJ200" s="199"/>
      <c r="AK200" s="156"/>
    </row>
    <row r="201" spans="1:37" s="89" customFormat="1" ht="12.75" customHeight="1" x14ac:dyDescent="0.2">
      <c r="A201" s="123"/>
      <c r="B201" s="943"/>
      <c r="C201" s="943"/>
      <c r="D201" s="943"/>
      <c r="E201" s="943"/>
      <c r="F201" s="943"/>
      <c r="G201" s="943"/>
      <c r="H201" s="943"/>
      <c r="I201" s="98"/>
      <c r="J201" s="98"/>
      <c r="K201" s="162"/>
      <c r="L201" s="162"/>
      <c r="M201" s="162"/>
      <c r="N201" s="162"/>
      <c r="O201" s="162"/>
      <c r="P201" s="162"/>
      <c r="Q201" s="162"/>
      <c r="R201" s="163"/>
      <c r="S201" s="155"/>
      <c r="T201" s="155"/>
      <c r="U201" s="162"/>
      <c r="V201" s="124"/>
      <c r="W201" s="140"/>
      <c r="X201" s="149"/>
      <c r="Y201" s="551" t="str">
        <f t="shared" si="69"/>
        <v>West Berkshire</v>
      </c>
      <c r="Z201" s="349" t="e">
        <f t="shared" si="70"/>
        <v>#N/A</v>
      </c>
      <c r="AA201" s="349" t="e">
        <f t="shared" si="71"/>
        <v>#N/A</v>
      </c>
      <c r="AB201" s="191"/>
      <c r="AC201" s="192"/>
      <c r="AD201" s="192"/>
      <c r="AE201" s="194"/>
      <c r="AF201" s="199"/>
      <c r="AG201" s="185"/>
      <c r="AH201" s="185"/>
      <c r="AI201" s="185"/>
      <c r="AJ201" s="199"/>
      <c r="AK201" s="156"/>
    </row>
    <row r="202" spans="1:37" s="89" customFormat="1" ht="12.75" customHeight="1" x14ac:dyDescent="0.2">
      <c r="A202" s="123"/>
      <c r="B202" s="943"/>
      <c r="C202" s="943"/>
      <c r="D202" s="943"/>
      <c r="E202" s="943"/>
      <c r="F202" s="943"/>
      <c r="G202" s="943"/>
      <c r="H202" s="943"/>
      <c r="I202" s="98"/>
      <c r="J202" s="98"/>
      <c r="K202" s="162"/>
      <c r="L202" s="162"/>
      <c r="M202" s="162"/>
      <c r="N202" s="162"/>
      <c r="O202" s="162"/>
      <c r="P202" s="162"/>
      <c r="Q202" s="162"/>
      <c r="R202" s="163"/>
      <c r="S202" s="155"/>
      <c r="T202" s="155"/>
      <c r="U202" s="162"/>
      <c r="V202" s="124"/>
      <c r="W202" s="140"/>
      <c r="X202" s="149"/>
      <c r="Y202" s="551" t="str">
        <f t="shared" si="69"/>
        <v>West Sussex</v>
      </c>
      <c r="Z202" s="349" t="e">
        <f t="shared" si="70"/>
        <v>#N/A</v>
      </c>
      <c r="AA202" s="349" t="e">
        <f t="shared" si="71"/>
        <v>#N/A</v>
      </c>
      <c r="AB202" s="191"/>
      <c r="AC202" s="192"/>
      <c r="AD202" s="192"/>
      <c r="AE202" s="194"/>
      <c r="AF202" s="199"/>
      <c r="AG202" s="199"/>
      <c r="AH202" s="199"/>
      <c r="AI202" s="185"/>
      <c r="AJ202" s="199"/>
      <c r="AK202" s="156"/>
    </row>
    <row r="203" spans="1:37" s="89" customFormat="1" ht="12.75" customHeight="1" x14ac:dyDescent="0.2">
      <c r="A203" s="123"/>
      <c r="B203" s="943"/>
      <c r="C203" s="943"/>
      <c r="D203" s="943"/>
      <c r="E203" s="943"/>
      <c r="F203" s="943"/>
      <c r="G203" s="943"/>
      <c r="H203" s="943"/>
      <c r="I203" s="98"/>
      <c r="J203" s="98"/>
      <c r="K203" s="162"/>
      <c r="L203" s="162"/>
      <c r="M203" s="162"/>
      <c r="N203" s="162"/>
      <c r="O203" s="162"/>
      <c r="P203" s="162"/>
      <c r="Q203" s="162"/>
      <c r="R203" s="163"/>
      <c r="S203" s="155"/>
      <c r="T203" s="155"/>
      <c r="U203" s="162"/>
      <c r="V203" s="124"/>
      <c r="W203" s="140"/>
      <c r="X203" s="149"/>
      <c r="Y203" s="551" t="str">
        <f t="shared" si="69"/>
        <v>Windsor &amp; Maidenhead</v>
      </c>
      <c r="Z203" s="349" t="e">
        <f t="shared" si="70"/>
        <v>#N/A</v>
      </c>
      <c r="AA203" s="349" t="e">
        <f t="shared" si="71"/>
        <v>#N/A</v>
      </c>
      <c r="AB203" s="191"/>
      <c r="AC203" s="192"/>
      <c r="AD203" s="192"/>
      <c r="AE203" s="194"/>
      <c r="AF203" s="199"/>
      <c r="AG203" s="199"/>
      <c r="AH203" s="199"/>
      <c r="AI203" s="185"/>
      <c r="AJ203" s="199"/>
      <c r="AK203" s="156"/>
    </row>
    <row r="204" spans="1:37" s="89" customFormat="1" ht="12.75" customHeight="1" x14ac:dyDescent="0.2">
      <c r="A204" s="123"/>
      <c r="B204" s="943"/>
      <c r="C204" s="943"/>
      <c r="D204" s="943"/>
      <c r="E204" s="943"/>
      <c r="F204" s="943"/>
      <c r="G204" s="943"/>
      <c r="H204" s="943"/>
      <c r="I204" s="98"/>
      <c r="J204" s="98"/>
      <c r="K204" s="164"/>
      <c r="L204" s="164"/>
      <c r="M204" s="164"/>
      <c r="N204" s="164"/>
      <c r="O204" s="164"/>
      <c r="P204" s="164"/>
      <c r="Q204" s="164"/>
      <c r="R204" s="165"/>
      <c r="S204" s="155"/>
      <c r="T204" s="155"/>
      <c r="U204" s="166"/>
      <c r="V204" s="124"/>
      <c r="W204" s="140"/>
      <c r="X204" s="149"/>
      <c r="Y204" s="551" t="str">
        <f t="shared" si="69"/>
        <v>Wokingham</v>
      </c>
      <c r="Z204" s="349" t="e">
        <f t="shared" si="70"/>
        <v>#N/A</v>
      </c>
      <c r="AA204" s="349" t="e">
        <f t="shared" si="71"/>
        <v>#N/A</v>
      </c>
      <c r="AB204" s="191"/>
      <c r="AC204" s="192"/>
      <c r="AD204" s="192"/>
      <c r="AE204" s="194"/>
      <c r="AF204" s="199"/>
      <c r="AG204" s="199"/>
      <c r="AH204" s="199"/>
      <c r="AI204" s="185"/>
      <c r="AJ204" s="199"/>
      <c r="AK204" s="156"/>
    </row>
    <row r="205" spans="1:37" s="89" customFormat="1" ht="12.75" customHeight="1" x14ac:dyDescent="0.2">
      <c r="A205" s="123"/>
      <c r="B205" s="943"/>
      <c r="C205" s="943"/>
      <c r="D205" s="943"/>
      <c r="E205" s="943"/>
      <c r="F205" s="943"/>
      <c r="G205" s="943"/>
      <c r="H205" s="943"/>
      <c r="I205" s="98"/>
      <c r="J205" s="98"/>
      <c r="K205" s="164"/>
      <c r="L205" s="164"/>
      <c r="M205" s="164"/>
      <c r="N205" s="164"/>
      <c r="O205" s="164"/>
      <c r="P205" s="164"/>
      <c r="Q205" s="164"/>
      <c r="R205" s="165"/>
      <c r="S205" s="155"/>
      <c r="T205" s="155"/>
      <c r="U205" s="166"/>
      <c r="V205" s="124"/>
      <c r="W205" s="140"/>
      <c r="X205" s="149"/>
      <c r="Y205" s="551" t="str">
        <f>B138</f>
        <v>South East</v>
      </c>
      <c r="Z205" s="349" t="e">
        <f t="shared" si="70"/>
        <v>#N/A</v>
      </c>
      <c r="AA205" s="349" t="e">
        <f t="shared" si="71"/>
        <v>#N/A</v>
      </c>
      <c r="AB205" s="191"/>
      <c r="AC205" s="192"/>
      <c r="AD205" s="192"/>
      <c r="AE205" s="194"/>
      <c r="AF205" s="199"/>
      <c r="AG205" s="199"/>
      <c r="AH205" s="199"/>
      <c r="AI205" s="185"/>
      <c r="AJ205" s="199"/>
      <c r="AK205" s="156"/>
    </row>
    <row r="206" spans="1:37" s="89" customFormat="1" ht="11.25" customHeight="1" x14ac:dyDescent="0.2">
      <c r="A206" s="286"/>
      <c r="B206" s="943"/>
      <c r="C206" s="943"/>
      <c r="D206" s="943"/>
      <c r="E206" s="943"/>
      <c r="F206" s="943"/>
      <c r="G206" s="943"/>
      <c r="H206" s="943"/>
      <c r="I206" s="98"/>
      <c r="J206" s="98"/>
      <c r="K206" s="164"/>
      <c r="L206" s="164"/>
      <c r="M206" s="164"/>
      <c r="N206" s="164"/>
      <c r="O206" s="164"/>
      <c r="P206" s="164"/>
      <c r="Q206" s="164"/>
      <c r="R206" s="165"/>
      <c r="S206" s="155"/>
      <c r="T206" s="155"/>
      <c r="U206" s="166"/>
      <c r="V206" s="124"/>
      <c r="W206" s="140"/>
      <c r="X206" s="149"/>
      <c r="Y206" s="551" t="str">
        <f>B139</f>
        <v>England</v>
      </c>
      <c r="Z206" s="349" t="e">
        <f t="shared" si="70"/>
        <v>#N/A</v>
      </c>
      <c r="AA206" s="349" t="e">
        <f t="shared" si="71"/>
        <v>#N/A</v>
      </c>
      <c r="AB206" s="191"/>
      <c r="AC206" s="192"/>
      <c r="AD206" s="192"/>
      <c r="AE206" s="194"/>
      <c r="AF206" s="199"/>
      <c r="AG206" s="199"/>
      <c r="AH206" s="199"/>
      <c r="AI206" s="185"/>
      <c r="AJ206" s="199"/>
      <c r="AK206" s="156"/>
    </row>
    <row r="207" spans="1:37" s="83" customFormat="1" ht="42" customHeight="1" x14ac:dyDescent="0.2">
      <c r="A207" s="213"/>
      <c r="B207" s="943"/>
      <c r="C207" s="943"/>
      <c r="D207" s="943"/>
      <c r="E207" s="943"/>
      <c r="F207" s="943"/>
      <c r="G207" s="943"/>
      <c r="H207" s="943"/>
      <c r="I207" s="385"/>
      <c r="J207" s="168"/>
      <c r="K207" s="168"/>
      <c r="L207" s="168"/>
      <c r="M207" s="168"/>
      <c r="N207" s="168"/>
      <c r="O207" s="168"/>
      <c r="P207" s="168"/>
      <c r="Q207" s="168"/>
      <c r="R207" s="137"/>
      <c r="S207" s="168"/>
      <c r="T207" s="168"/>
      <c r="U207" s="168"/>
      <c r="V207" s="119"/>
      <c r="W207" s="138"/>
      <c r="X207" s="147"/>
      <c r="AD207" s="192"/>
      <c r="AE207" s="194"/>
      <c r="AF207" s="179"/>
      <c r="AG207" s="179"/>
      <c r="AH207" s="179"/>
      <c r="AJ207" s="179"/>
      <c r="AK207" s="157"/>
    </row>
    <row r="208" spans="1:37" s="83" customFormat="1" ht="42" customHeight="1" x14ac:dyDescent="0.2">
      <c r="A208" s="213"/>
      <c r="B208" s="943"/>
      <c r="C208" s="943"/>
      <c r="D208" s="943"/>
      <c r="E208" s="943"/>
      <c r="F208" s="943"/>
      <c r="G208" s="943"/>
      <c r="H208" s="943"/>
      <c r="I208" s="385"/>
      <c r="J208" s="168"/>
      <c r="K208" s="168"/>
      <c r="L208" s="168"/>
      <c r="M208" s="168"/>
      <c r="N208" s="168"/>
      <c r="O208" s="168"/>
      <c r="P208" s="168"/>
      <c r="Q208" s="168"/>
      <c r="R208" s="137"/>
      <c r="S208" s="168"/>
      <c r="T208" s="168"/>
      <c r="U208" s="168"/>
      <c r="V208" s="119"/>
      <c r="W208" s="138"/>
      <c r="X208" s="147"/>
      <c r="Z208" s="185"/>
      <c r="AE208" s="194"/>
      <c r="AF208" s="179"/>
      <c r="AG208" s="179"/>
      <c r="AH208" s="179"/>
      <c r="AJ208" s="179"/>
      <c r="AK208" s="157"/>
    </row>
    <row r="209" spans="1:46" s="83" customFormat="1" ht="33" customHeight="1" x14ac:dyDescent="0.2">
      <c r="A209" s="213"/>
      <c r="B209" s="385"/>
      <c r="C209" s="385"/>
      <c r="D209" s="385"/>
      <c r="E209" s="385"/>
      <c r="F209" s="385"/>
      <c r="G209" s="385"/>
      <c r="H209" s="385"/>
      <c r="I209" s="385"/>
      <c r="J209" s="168"/>
      <c r="K209" s="168"/>
      <c r="L209" s="168"/>
      <c r="M209" s="168"/>
      <c r="N209" s="168"/>
      <c r="O209" s="168"/>
      <c r="P209" s="168"/>
      <c r="Q209" s="168"/>
      <c r="R209" s="137"/>
      <c r="S209" s="168"/>
      <c r="T209" s="168"/>
      <c r="U209" s="168"/>
      <c r="V209" s="119"/>
      <c r="W209" s="138"/>
      <c r="X209" s="147"/>
      <c r="Z209" s="185"/>
      <c r="AE209" s="194"/>
      <c r="AF209" s="179"/>
      <c r="AG209" s="179"/>
      <c r="AH209" s="179"/>
      <c r="AJ209" s="179"/>
      <c r="AK209" s="157"/>
    </row>
    <row r="210" spans="1:46" s="83" customFormat="1" ht="7.5" customHeight="1" x14ac:dyDescent="0.2">
      <c r="A210" s="120"/>
      <c r="B210" s="18"/>
      <c r="C210" s="18"/>
      <c r="D210" s="17"/>
      <c r="E210" s="17"/>
      <c r="F210" s="17"/>
      <c r="G210" s="17"/>
      <c r="H210" s="17"/>
      <c r="I210" s="17"/>
      <c r="J210" s="13"/>
      <c r="K210" s="19"/>
      <c r="L210" s="19"/>
      <c r="M210" s="19"/>
      <c r="N210" s="19"/>
      <c r="O210" s="19"/>
      <c r="P210" s="19"/>
      <c r="Q210" s="19"/>
      <c r="R210" s="19"/>
      <c r="S210" s="19"/>
      <c r="T210" s="19"/>
      <c r="U210" s="20"/>
      <c r="V210" s="119"/>
      <c r="W210" s="138"/>
      <c r="X210" s="147"/>
      <c r="Z210" s="185"/>
      <c r="AJ210" s="179"/>
      <c r="AK210" s="153"/>
      <c r="AL210" s="76"/>
      <c r="AM210" s="76"/>
      <c r="AN210" s="76"/>
      <c r="AO210" s="76"/>
      <c r="AP210" s="76"/>
      <c r="AQ210" s="76"/>
      <c r="AR210" s="76"/>
    </row>
    <row r="211" spans="1:46" s="83" customFormat="1" ht="15" customHeight="1" x14ac:dyDescent="0.2">
      <c r="A211" s="1399"/>
      <c r="B211" s="1421"/>
      <c r="C211" s="1421"/>
      <c r="D211" s="1421"/>
      <c r="E211" s="1421"/>
      <c r="F211" s="1421"/>
      <c r="G211" s="1421"/>
      <c r="H211" s="1421"/>
      <c r="I211" s="1421"/>
      <c r="J211" s="1421"/>
      <c r="K211" s="1421"/>
      <c r="L211" s="1421"/>
      <c r="M211" s="1421"/>
      <c r="N211" s="1421"/>
      <c r="O211" s="1421"/>
      <c r="P211" s="1421"/>
      <c r="Q211" s="1421"/>
      <c r="R211" s="1421"/>
      <c r="S211" s="1421"/>
      <c r="T211" s="1421"/>
      <c r="U211" s="1421"/>
      <c r="V211" s="1422"/>
      <c r="W211" s="138"/>
      <c r="X211" s="147"/>
      <c r="Y211" s="183"/>
      <c r="Z211" s="183"/>
      <c r="AK211" s="157"/>
      <c r="AT211" s="76"/>
    </row>
    <row r="212" spans="1:46" s="83" customFormat="1" ht="11.25" customHeight="1" x14ac:dyDescent="0.2">
      <c r="A212" s="1428" t="str">
        <f>Home!$A$40</f>
        <v>LA's provide quarterly data on the condition that it is used by the benchmarking group for internal reporting only. Please DO NOT share other LA's data with any external partners or the public</v>
      </c>
      <c r="B212" s="1429"/>
      <c r="C212" s="1429"/>
      <c r="D212" s="1429"/>
      <c r="E212" s="1429"/>
      <c r="F212" s="1429"/>
      <c r="G212" s="1429"/>
      <c r="H212" s="1429"/>
      <c r="I212" s="1430"/>
      <c r="J212" s="1429"/>
      <c r="K212" s="1429"/>
      <c r="L212" s="1429"/>
      <c r="M212" s="1429"/>
      <c r="N212" s="1429"/>
      <c r="O212" s="1429"/>
      <c r="P212" s="1431"/>
      <c r="Q212" s="1429"/>
      <c r="R212" s="1429"/>
      <c r="S212" s="1429"/>
      <c r="T212" s="1430"/>
      <c r="U212" s="1429"/>
      <c r="V212" s="1432"/>
      <c r="W212" s="138"/>
      <c r="X212" s="147"/>
      <c r="Y212" s="183"/>
      <c r="Z212" s="183"/>
      <c r="AJ212" s="179"/>
      <c r="AK212" s="156"/>
      <c r="AL212" s="89"/>
      <c r="AT212" s="76"/>
    </row>
    <row r="213" spans="1:46" ht="11.25" customHeight="1" x14ac:dyDescent="0.2">
      <c r="A213" s="141"/>
      <c r="B213" s="1109"/>
      <c r="C213" s="9"/>
      <c r="D213" s="9"/>
      <c r="E213" s="9"/>
      <c r="F213" s="9"/>
      <c r="G213" s="9"/>
      <c r="H213" s="9"/>
      <c r="I213" s="9"/>
      <c r="J213" s="13"/>
      <c r="K213" s="9"/>
      <c r="L213" s="9"/>
      <c r="M213" s="9"/>
      <c r="N213" s="9"/>
      <c r="O213" s="9"/>
      <c r="P213" s="9"/>
      <c r="Q213" s="9"/>
      <c r="R213" s="9"/>
      <c r="S213" s="9"/>
      <c r="T213" s="9"/>
      <c r="U213" s="11"/>
      <c r="V213" s="11"/>
      <c r="W213" s="11"/>
      <c r="X213" s="12"/>
      <c r="Y213" s="12"/>
      <c r="Z213" s="12"/>
      <c r="AA213" s="12"/>
      <c r="AB213" s="12"/>
      <c r="AC213" s="241"/>
      <c r="AF213" s="84"/>
      <c r="AI213" s="179"/>
      <c r="AJ213" s="179"/>
      <c r="AK213" s="153"/>
      <c r="AM213" s="83"/>
      <c r="AN213" s="83"/>
      <c r="AO213" s="83"/>
      <c r="AP213" s="83"/>
      <c r="AQ213" s="83"/>
      <c r="AR213" s="83"/>
    </row>
    <row r="214" spans="1:46" ht="11.25" customHeight="1" x14ac:dyDescent="0.2">
      <c r="A214" s="141"/>
      <c r="B214" s="1109"/>
      <c r="C214" s="9"/>
      <c r="D214" s="9"/>
      <c r="E214" s="9"/>
      <c r="F214" s="9"/>
      <c r="G214" s="9"/>
      <c r="H214" s="9"/>
      <c r="I214" s="9"/>
      <c r="J214" s="13"/>
      <c r="K214" s="9"/>
      <c r="L214" s="9"/>
      <c r="M214" s="9"/>
      <c r="N214" s="9"/>
      <c r="O214" s="9"/>
      <c r="P214" s="9"/>
      <c r="Q214" s="9"/>
      <c r="R214" s="9"/>
      <c r="S214" s="9"/>
      <c r="T214" s="9"/>
      <c r="U214" s="11"/>
      <c r="V214" s="11"/>
      <c r="W214" s="11"/>
      <c r="X214" s="12"/>
      <c r="Y214" s="12"/>
      <c r="Z214" s="12"/>
      <c r="AA214" s="12"/>
      <c r="AB214" s="12"/>
      <c r="AC214" s="241"/>
      <c r="AF214" s="84"/>
      <c r="AI214" s="179"/>
      <c r="AJ214" s="179"/>
      <c r="AK214" s="153"/>
      <c r="AM214" s="83"/>
      <c r="AN214" s="83"/>
      <c r="AO214" s="83"/>
      <c r="AP214" s="83"/>
      <c r="AQ214" s="83"/>
      <c r="AR214" s="83"/>
    </row>
    <row r="215" spans="1:46" ht="11.25" customHeight="1" x14ac:dyDescent="0.2">
      <c r="A215" s="141"/>
      <c r="B215" s="1367" t="s">
        <v>82</v>
      </c>
      <c r="C215" s="15"/>
      <c r="D215" s="1306"/>
      <c r="E215" s="1306"/>
      <c r="F215" s="9"/>
      <c r="G215" s="9"/>
      <c r="H215" s="9"/>
      <c r="I215" s="9"/>
      <c r="J215" s="13"/>
      <c r="K215" s="9"/>
      <c r="L215" s="9"/>
      <c r="M215" s="9"/>
      <c r="N215" s="9"/>
      <c r="O215" s="9"/>
      <c r="P215" s="9"/>
      <c r="Q215" s="9"/>
      <c r="R215" s="9"/>
      <c r="S215" s="9"/>
      <c r="T215" s="9"/>
      <c r="U215" s="11"/>
      <c r="V215" s="11"/>
      <c r="W215" s="11"/>
      <c r="X215" s="12"/>
      <c r="Y215" s="12"/>
      <c r="Z215" s="12"/>
      <c r="AA215" s="12"/>
      <c r="AB215" s="12"/>
      <c r="AC215" s="241"/>
      <c r="AF215" s="84"/>
      <c r="AI215" s="179"/>
      <c r="AJ215" s="179"/>
      <c r="AK215" s="153"/>
      <c r="AM215" s="83"/>
      <c r="AN215" s="83"/>
      <c r="AO215" s="83"/>
      <c r="AP215" s="83"/>
      <c r="AQ215" s="83"/>
      <c r="AR215" s="83"/>
    </row>
    <row r="216" spans="1:46" ht="11.25" customHeight="1" x14ac:dyDescent="0.2">
      <c r="A216" s="141"/>
      <c r="B216" s="1368"/>
      <c r="C216" s="9"/>
      <c r="D216" s="1306"/>
      <c r="E216" s="1306"/>
      <c r="F216" s="9"/>
      <c r="G216" s="9"/>
      <c r="H216" s="9"/>
      <c r="I216" s="9"/>
      <c r="J216" s="13"/>
      <c r="K216" s="9"/>
      <c r="L216" s="9"/>
      <c r="M216" s="9"/>
      <c r="N216" s="9"/>
      <c r="O216" s="9"/>
      <c r="P216" s="9"/>
      <c r="Q216" s="9"/>
      <c r="R216" s="9"/>
      <c r="S216" s="9"/>
      <c r="T216" s="9"/>
      <c r="U216" s="11"/>
      <c r="V216" s="11"/>
      <c r="W216" s="11"/>
      <c r="X216" s="12"/>
      <c r="Y216" s="12"/>
      <c r="Z216" s="12"/>
      <c r="AA216" s="12"/>
      <c r="AB216" s="12"/>
      <c r="AC216" s="241"/>
      <c r="AF216" s="84"/>
      <c r="AI216" s="179"/>
      <c r="AJ216" s="179"/>
      <c r="AK216" s="153"/>
    </row>
    <row r="217" spans="1:46" ht="11.25" customHeight="1" x14ac:dyDescent="0.2">
      <c r="A217" s="141"/>
      <c r="B217" s="1366" t="s">
        <v>806</v>
      </c>
      <c r="C217" s="1366"/>
      <c r="D217" s="1366"/>
      <c r="E217" s="1366"/>
      <c r="F217" s="9"/>
      <c r="G217" s="9"/>
      <c r="H217" s="9"/>
      <c r="I217" s="9"/>
      <c r="J217" s="13"/>
      <c r="K217" s="9"/>
      <c r="L217" s="9"/>
      <c r="M217" s="9"/>
      <c r="N217" s="9"/>
      <c r="O217" s="9"/>
      <c r="P217" s="9"/>
      <c r="Q217" s="9"/>
      <c r="R217" s="9"/>
      <c r="S217" s="9"/>
      <c r="T217" s="9"/>
      <c r="U217" s="11"/>
      <c r="V217" s="11"/>
      <c r="W217" s="11"/>
      <c r="X217" s="12"/>
      <c r="Y217" s="12"/>
      <c r="Z217" s="12"/>
      <c r="AA217" s="12"/>
      <c r="AB217" s="12"/>
      <c r="AC217" s="241"/>
      <c r="AF217" s="84"/>
      <c r="AI217" s="179"/>
      <c r="AJ217" s="179"/>
      <c r="AK217" s="153"/>
    </row>
    <row r="218" spans="1:46" ht="11.25" customHeight="1" x14ac:dyDescent="0.2">
      <c r="A218" s="141"/>
      <c r="B218" s="1366"/>
      <c r="C218" s="1366"/>
      <c r="D218" s="1366"/>
      <c r="E218" s="1366"/>
      <c r="F218" s="9"/>
      <c r="G218" s="9"/>
      <c r="H218" s="9"/>
      <c r="I218" s="9"/>
      <c r="J218" s="13"/>
      <c r="K218" s="9"/>
      <c r="L218" s="9"/>
      <c r="M218" s="9"/>
      <c r="N218" s="9"/>
      <c r="O218" s="9"/>
      <c r="P218" s="9"/>
      <c r="Q218" s="9"/>
      <c r="R218" s="9"/>
      <c r="S218" s="9"/>
      <c r="T218" s="9"/>
      <c r="U218" s="11"/>
      <c r="V218" s="11"/>
      <c r="W218" s="11"/>
      <c r="X218" s="12"/>
      <c r="Y218" s="12"/>
      <c r="Z218" s="12"/>
      <c r="AA218" s="12"/>
      <c r="AB218" s="12"/>
      <c r="AC218" s="241"/>
      <c r="AF218" s="84"/>
      <c r="AI218" s="183"/>
      <c r="AJ218" s="183"/>
      <c r="AK218" s="154"/>
    </row>
    <row r="219" spans="1:46" s="78" customFormat="1" ht="11.25" customHeight="1" x14ac:dyDescent="0.2">
      <c r="A219" s="141"/>
      <c r="B219" s="1366" t="s">
        <v>81</v>
      </c>
      <c r="C219" s="1366"/>
      <c r="D219" s="1366"/>
      <c r="E219" s="1366"/>
      <c r="F219" s="9"/>
      <c r="G219" s="9"/>
      <c r="H219" s="9"/>
      <c r="I219" s="9"/>
      <c r="J219" s="13"/>
      <c r="K219" s="9"/>
      <c r="L219" s="9"/>
      <c r="M219" s="9"/>
      <c r="N219" s="9"/>
      <c r="O219" s="9"/>
      <c r="P219" s="9"/>
      <c r="Q219" s="9"/>
      <c r="R219" s="9"/>
      <c r="S219" s="9"/>
      <c r="T219" s="9"/>
      <c r="U219" s="11"/>
      <c r="V219" s="11"/>
      <c r="W219" s="11"/>
      <c r="X219" s="12"/>
      <c r="Y219" s="12"/>
      <c r="Z219" s="12"/>
      <c r="AA219" s="12"/>
      <c r="AB219" s="12"/>
      <c r="AC219" s="241"/>
      <c r="AD219" s="83"/>
      <c r="AE219" s="83"/>
      <c r="AF219" s="84"/>
      <c r="AG219" s="83"/>
      <c r="AH219" s="83"/>
      <c r="AI219" s="179"/>
      <c r="AJ219" s="179"/>
      <c r="AK219" s="153"/>
    </row>
    <row r="220" spans="1:46" ht="11.25" customHeight="1" x14ac:dyDescent="0.2">
      <c r="A220" s="141"/>
      <c r="B220" s="1366"/>
      <c r="C220" s="1366"/>
      <c r="D220" s="1366"/>
      <c r="E220" s="1366"/>
      <c r="F220" s="9"/>
      <c r="G220" s="9"/>
      <c r="H220" s="9"/>
      <c r="I220" s="9"/>
      <c r="J220" s="13"/>
      <c r="K220" s="9"/>
      <c r="L220" s="9"/>
      <c r="M220" s="9"/>
      <c r="N220" s="9"/>
      <c r="O220" s="9"/>
      <c r="P220" s="9"/>
      <c r="Q220" s="9"/>
      <c r="R220" s="9"/>
      <c r="S220" s="9"/>
      <c r="T220" s="9"/>
      <c r="U220" s="11"/>
      <c r="V220" s="11"/>
      <c r="W220" s="11"/>
      <c r="X220" s="12"/>
      <c r="Y220" s="12"/>
      <c r="Z220" s="12"/>
      <c r="AA220" s="12"/>
      <c r="AB220" s="12"/>
      <c r="AC220" s="241"/>
      <c r="AF220" s="84"/>
      <c r="AI220" s="179"/>
      <c r="AJ220" s="179"/>
      <c r="AK220" s="153"/>
    </row>
    <row r="221" spans="1:46" ht="11.25" customHeight="1" x14ac:dyDescent="0.2">
      <c r="A221" s="141"/>
      <c r="B221" s="1366" t="s">
        <v>78</v>
      </c>
      <c r="C221" s="1366"/>
      <c r="D221" s="1366"/>
      <c r="E221" s="1366"/>
      <c r="F221" s="9"/>
      <c r="G221" s="9"/>
      <c r="H221" s="9"/>
      <c r="I221" s="9"/>
      <c r="J221" s="13"/>
      <c r="K221" s="9"/>
      <c r="L221" s="9"/>
      <c r="M221" s="9"/>
      <c r="N221" s="9"/>
      <c r="O221" s="9"/>
      <c r="P221" s="9"/>
      <c r="Q221" s="9"/>
      <c r="R221" s="9"/>
      <c r="S221" s="9"/>
      <c r="T221" s="9"/>
      <c r="U221" s="11"/>
      <c r="V221" s="11"/>
      <c r="W221" s="11"/>
      <c r="X221" s="12"/>
      <c r="Y221" s="12"/>
      <c r="Z221" s="12"/>
      <c r="AA221" s="12"/>
      <c r="AB221" s="12"/>
      <c r="AC221" s="241"/>
      <c r="AF221" s="84"/>
      <c r="AI221" s="179"/>
      <c r="AJ221" s="179"/>
      <c r="AK221" s="153"/>
    </row>
    <row r="222" spans="1:46" ht="11.25" customHeight="1" x14ac:dyDescent="0.2">
      <c r="A222" s="141"/>
      <c r="B222" s="1366"/>
      <c r="C222" s="1366"/>
      <c r="D222" s="1366"/>
      <c r="E222" s="1366"/>
      <c r="F222" s="9"/>
      <c r="G222" s="9"/>
      <c r="H222" s="9"/>
      <c r="I222" s="9"/>
      <c r="J222" s="13"/>
      <c r="K222" s="9"/>
      <c r="L222" s="9"/>
      <c r="M222" s="9"/>
      <c r="N222" s="9"/>
      <c r="O222" s="9"/>
      <c r="P222" s="9"/>
      <c r="Q222" s="9"/>
      <c r="R222" s="9"/>
      <c r="S222" s="9"/>
      <c r="T222" s="9"/>
      <c r="U222" s="11"/>
      <c r="V222" s="11"/>
      <c r="W222" s="11"/>
      <c r="X222" s="12"/>
      <c r="Y222" s="12"/>
      <c r="Z222" s="12"/>
      <c r="AA222" s="12"/>
      <c r="AB222" s="12"/>
      <c r="AC222" s="241"/>
      <c r="AF222" s="84"/>
      <c r="AI222" s="179"/>
      <c r="AJ222" s="179"/>
      <c r="AK222" s="153"/>
    </row>
    <row r="223" spans="1:46" ht="11.25" customHeight="1" x14ac:dyDescent="0.2">
      <c r="A223" s="141"/>
      <c r="B223" s="1366" t="s">
        <v>17</v>
      </c>
      <c r="C223" s="1366"/>
      <c r="D223" s="1366"/>
      <c r="E223" s="1366"/>
      <c r="F223" s="9"/>
      <c r="G223" s="9"/>
      <c r="H223" s="9"/>
      <c r="I223" s="9"/>
      <c r="J223" s="13"/>
      <c r="K223" s="9"/>
      <c r="L223" s="9"/>
      <c r="M223" s="9"/>
      <c r="N223" s="9"/>
      <c r="O223" s="9"/>
      <c r="P223" s="9"/>
      <c r="Q223" s="9"/>
      <c r="R223" s="9"/>
      <c r="S223" s="9"/>
      <c r="T223" s="9"/>
      <c r="U223" s="11"/>
      <c r="V223" s="11"/>
      <c r="W223" s="11"/>
      <c r="X223" s="12"/>
      <c r="Y223" s="12"/>
      <c r="Z223" s="12"/>
      <c r="AA223" s="12"/>
      <c r="AB223" s="12"/>
      <c r="AC223" s="241"/>
      <c r="AF223" s="84"/>
      <c r="AI223" s="179"/>
      <c r="AJ223" s="179"/>
      <c r="AK223" s="153"/>
      <c r="AL223" s="153"/>
    </row>
    <row r="224" spans="1:46" ht="11.25" customHeight="1" x14ac:dyDescent="0.2">
      <c r="A224" s="141"/>
      <c r="B224" s="1366"/>
      <c r="C224" s="1366"/>
      <c r="D224" s="1366"/>
      <c r="E224" s="1366"/>
      <c r="F224" s="9"/>
      <c r="G224" s="9"/>
      <c r="H224" s="9"/>
      <c r="I224" s="9"/>
      <c r="J224" s="13"/>
      <c r="K224" s="9"/>
      <c r="L224" s="9"/>
      <c r="M224" s="9"/>
      <c r="N224" s="9"/>
      <c r="O224" s="9"/>
      <c r="P224" s="9"/>
      <c r="Q224" s="9"/>
      <c r="R224" s="9"/>
      <c r="S224" s="9"/>
      <c r="T224" s="9"/>
      <c r="U224" s="11"/>
      <c r="V224" s="11"/>
      <c r="W224" s="11"/>
      <c r="X224" s="12"/>
      <c r="Y224" s="12"/>
      <c r="Z224" s="12"/>
      <c r="AA224" s="12"/>
      <c r="AB224" s="12"/>
      <c r="AC224" s="241"/>
      <c r="AF224" s="84"/>
      <c r="AI224" s="179"/>
      <c r="AJ224" s="179"/>
      <c r="AK224" s="153"/>
      <c r="AL224" s="153"/>
    </row>
    <row r="225" spans="1:38" ht="11.25" customHeight="1" x14ac:dyDescent="0.2">
      <c r="A225" s="141"/>
      <c r="B225" s="1366" t="s">
        <v>80</v>
      </c>
      <c r="C225" s="1366"/>
      <c r="D225" s="1366"/>
      <c r="E225" s="1366"/>
      <c r="F225" s="9"/>
      <c r="G225" s="9"/>
      <c r="H225" s="9"/>
      <c r="I225" s="9"/>
      <c r="J225" s="13"/>
      <c r="K225" s="9"/>
      <c r="L225" s="9"/>
      <c r="M225" s="9"/>
      <c r="N225" s="9"/>
      <c r="O225" s="9"/>
      <c r="P225" s="9"/>
      <c r="Q225" s="9"/>
      <c r="R225" s="9"/>
      <c r="S225" s="9"/>
      <c r="T225" s="9"/>
      <c r="U225" s="11"/>
      <c r="V225" s="11"/>
      <c r="W225" s="11"/>
      <c r="X225" s="12"/>
      <c r="Y225" s="12"/>
      <c r="Z225" s="12"/>
      <c r="AA225" s="12"/>
      <c r="AB225" s="12"/>
      <c r="AC225" s="241"/>
      <c r="AF225" s="84"/>
      <c r="AI225" s="179"/>
      <c r="AJ225" s="179"/>
      <c r="AK225" s="153"/>
      <c r="AL225" s="153"/>
    </row>
    <row r="226" spans="1:38" ht="11.25" customHeight="1" x14ac:dyDescent="0.2">
      <c r="A226" s="141"/>
      <c r="B226" s="1366"/>
      <c r="C226" s="1366"/>
      <c r="D226" s="1366"/>
      <c r="E226" s="1366"/>
      <c r="F226" s="9"/>
      <c r="G226" s="9"/>
      <c r="H226" s="9"/>
      <c r="I226" s="9"/>
      <c r="J226" s="13"/>
      <c r="K226" s="9"/>
      <c r="L226" s="9"/>
      <c r="M226" s="9"/>
      <c r="N226" s="9"/>
      <c r="O226" s="9"/>
      <c r="P226" s="9"/>
      <c r="Q226" s="9"/>
      <c r="R226" s="9"/>
      <c r="S226" s="9"/>
      <c r="T226" s="9"/>
      <c r="U226" s="11"/>
      <c r="V226" s="11"/>
      <c r="W226" s="11"/>
      <c r="X226" s="12"/>
      <c r="Y226" s="12"/>
      <c r="Z226" s="12"/>
      <c r="AA226" s="12"/>
      <c r="AB226" s="12"/>
      <c r="AC226" s="241"/>
      <c r="AF226" s="84"/>
      <c r="AI226" s="179"/>
      <c r="AJ226" s="179"/>
      <c r="AK226" s="153"/>
      <c r="AL226" s="153"/>
    </row>
    <row r="227" spans="1:38" ht="11.25" customHeight="1" x14ac:dyDescent="0.2">
      <c r="A227" s="141"/>
      <c r="B227" s="1366" t="s">
        <v>69</v>
      </c>
      <c r="C227" s="1366"/>
      <c r="D227" s="1366"/>
      <c r="E227" s="1366"/>
      <c r="F227" s="9"/>
      <c r="G227" s="9"/>
      <c r="H227" s="9"/>
      <c r="I227" s="9"/>
      <c r="J227" s="13"/>
      <c r="K227" s="9"/>
      <c r="L227" s="9"/>
      <c r="M227" s="9"/>
      <c r="N227" s="9"/>
      <c r="O227" s="9"/>
      <c r="P227" s="9"/>
      <c r="Q227" s="9"/>
      <c r="R227" s="9"/>
      <c r="S227" s="9"/>
      <c r="T227" s="9"/>
      <c r="U227" s="11"/>
      <c r="V227" s="11"/>
      <c r="W227" s="11"/>
      <c r="X227" s="12"/>
      <c r="Y227" s="12"/>
      <c r="Z227" s="12"/>
      <c r="AA227" s="12"/>
      <c r="AB227" s="12"/>
      <c r="AC227" s="241"/>
      <c r="AF227" s="84"/>
      <c r="AI227" s="179"/>
      <c r="AJ227" s="179"/>
      <c r="AK227" s="153"/>
      <c r="AL227" s="153"/>
    </row>
    <row r="228" spans="1:38" ht="11.25" customHeight="1" x14ac:dyDescent="0.2">
      <c r="A228" s="141"/>
      <c r="B228" s="1366"/>
      <c r="C228" s="1366"/>
      <c r="D228" s="1366"/>
      <c r="E228" s="1366"/>
      <c r="F228" s="9"/>
      <c r="G228" s="9"/>
      <c r="H228" s="9"/>
      <c r="I228" s="9"/>
      <c r="J228" s="13"/>
      <c r="K228" s="9"/>
      <c r="L228" s="9"/>
      <c r="M228" s="9"/>
      <c r="N228" s="9"/>
      <c r="O228" s="9"/>
      <c r="P228" s="9"/>
      <c r="Q228" s="9"/>
      <c r="R228" s="9"/>
      <c r="S228" s="9"/>
      <c r="T228" s="9"/>
      <c r="U228" s="11"/>
      <c r="V228" s="11"/>
      <c r="W228" s="11"/>
      <c r="X228" s="12"/>
      <c r="Y228" s="12"/>
      <c r="Z228" s="12"/>
      <c r="AA228" s="12"/>
      <c r="AB228" s="12"/>
      <c r="AC228" s="241"/>
      <c r="AF228" s="84"/>
      <c r="AI228" s="179"/>
      <c r="AJ228" s="179"/>
      <c r="AK228" s="153"/>
      <c r="AL228" s="153"/>
    </row>
    <row r="229" spans="1:38" ht="11.25" customHeight="1" x14ac:dyDescent="0.2">
      <c r="A229" s="141"/>
      <c r="B229" s="1366" t="s">
        <v>24</v>
      </c>
      <c r="C229" s="1366"/>
      <c r="D229" s="1366"/>
      <c r="E229" s="1366"/>
      <c r="F229" s="9"/>
      <c r="G229" s="9"/>
      <c r="H229" s="9"/>
      <c r="I229" s="9"/>
      <c r="J229" s="13"/>
      <c r="K229" s="9"/>
      <c r="L229" s="9"/>
      <c r="M229" s="9"/>
      <c r="N229" s="9"/>
      <c r="O229" s="9"/>
      <c r="P229" s="9"/>
      <c r="Q229" s="9"/>
      <c r="R229" s="9"/>
      <c r="S229" s="9"/>
      <c r="T229" s="9"/>
      <c r="U229" s="11"/>
      <c r="V229" s="11"/>
      <c r="W229" s="11"/>
      <c r="X229" s="12"/>
      <c r="Y229" s="12"/>
      <c r="Z229" s="12"/>
      <c r="AA229" s="12"/>
      <c r="AB229" s="12"/>
      <c r="AC229" s="241"/>
      <c r="AF229" s="84"/>
      <c r="AI229" s="179"/>
      <c r="AJ229" s="179"/>
      <c r="AK229" s="153"/>
    </row>
    <row r="230" spans="1:38" ht="11.25" customHeight="1" x14ac:dyDescent="0.2">
      <c r="A230" s="141"/>
      <c r="B230" s="1366"/>
      <c r="C230" s="1366"/>
      <c r="D230" s="1366"/>
      <c r="E230" s="1366"/>
      <c r="F230" s="9"/>
      <c r="G230" s="9"/>
      <c r="H230" s="9"/>
      <c r="I230" s="9"/>
      <c r="J230" s="13"/>
      <c r="K230" s="9"/>
      <c r="L230" s="9"/>
      <c r="M230" s="9"/>
      <c r="N230" s="9"/>
      <c r="O230" s="9"/>
      <c r="P230" s="9"/>
      <c r="Q230" s="9"/>
      <c r="R230" s="9"/>
      <c r="S230" s="9"/>
      <c r="T230" s="9"/>
      <c r="U230" s="11"/>
      <c r="V230" s="11"/>
      <c r="W230" s="11"/>
      <c r="X230" s="12"/>
      <c r="Y230" s="12"/>
      <c r="Z230" s="12"/>
      <c r="AA230" s="12"/>
      <c r="AB230" s="12"/>
      <c r="AC230" s="241"/>
      <c r="AF230" s="84"/>
      <c r="AI230" s="179"/>
      <c r="AJ230" s="179"/>
      <c r="AK230" s="153"/>
    </row>
    <row r="231" spans="1:38" ht="11.25" customHeight="1" x14ac:dyDescent="0.2">
      <c r="A231" s="141"/>
      <c r="B231" s="1366" t="s">
        <v>22</v>
      </c>
      <c r="C231" s="1366"/>
      <c r="D231" s="1366"/>
      <c r="E231" s="1366"/>
      <c r="F231" s="9"/>
      <c r="G231" s="9"/>
      <c r="H231" s="9"/>
      <c r="I231" s="9"/>
      <c r="J231" s="13"/>
      <c r="K231" s="9"/>
      <c r="L231" s="9"/>
      <c r="M231" s="9"/>
      <c r="N231" s="9"/>
      <c r="O231" s="9"/>
      <c r="P231" s="9"/>
      <c r="Q231" s="9"/>
      <c r="R231" s="9"/>
      <c r="S231" s="9"/>
      <c r="T231" s="9"/>
      <c r="U231" s="11"/>
      <c r="V231" s="11"/>
      <c r="W231" s="11"/>
      <c r="X231" s="12"/>
      <c r="Y231" s="12"/>
      <c r="Z231" s="12"/>
      <c r="AA231" s="12"/>
      <c r="AB231" s="12"/>
      <c r="AC231" s="241"/>
      <c r="AF231" s="84"/>
      <c r="AI231" s="179"/>
      <c r="AJ231" s="179"/>
      <c r="AK231" s="153"/>
    </row>
    <row r="232" spans="1:38" ht="11.25" customHeight="1" x14ac:dyDescent="0.2">
      <c r="A232" s="141"/>
      <c r="B232" s="1366"/>
      <c r="C232" s="1366"/>
      <c r="D232" s="1366"/>
      <c r="E232" s="1366"/>
      <c r="F232" s="9"/>
      <c r="G232" s="9"/>
      <c r="H232" s="9"/>
      <c r="I232" s="9"/>
      <c r="J232" s="13"/>
      <c r="K232" s="9"/>
      <c r="L232" s="9"/>
      <c r="M232" s="9"/>
      <c r="N232" s="9"/>
      <c r="O232" s="9"/>
      <c r="P232" s="9"/>
      <c r="Q232" s="9"/>
      <c r="R232" s="9"/>
      <c r="S232" s="9"/>
      <c r="T232" s="9"/>
      <c r="U232" s="11"/>
      <c r="V232" s="11"/>
      <c r="W232" s="11"/>
      <c r="X232" s="12"/>
      <c r="Y232" s="12"/>
      <c r="Z232" s="12"/>
      <c r="AA232" s="12"/>
      <c r="AB232" s="12"/>
      <c r="AC232" s="241"/>
      <c r="AF232" s="84"/>
      <c r="AI232" s="179"/>
      <c r="AJ232" s="179"/>
      <c r="AK232" s="153"/>
    </row>
    <row r="233" spans="1:38" ht="11.25" customHeight="1" x14ac:dyDescent="0.2">
      <c r="A233" s="141"/>
      <c r="B233" s="1366" t="s">
        <v>25</v>
      </c>
      <c r="C233" s="1366"/>
      <c r="D233" s="1366"/>
      <c r="E233" s="1366"/>
      <c r="F233" s="9"/>
      <c r="G233" s="9"/>
      <c r="H233" s="9"/>
      <c r="I233" s="9"/>
      <c r="J233" s="13"/>
      <c r="K233" s="9"/>
      <c r="L233" s="9"/>
      <c r="M233" s="9"/>
      <c r="N233" s="9"/>
      <c r="O233" s="9"/>
      <c r="P233" s="9"/>
      <c r="Q233" s="9"/>
      <c r="R233" s="9"/>
      <c r="S233" s="9"/>
      <c r="T233" s="9"/>
      <c r="U233" s="11"/>
      <c r="V233" s="11"/>
      <c r="W233" s="11"/>
      <c r="X233" s="12"/>
      <c r="Y233" s="12"/>
      <c r="Z233" s="12"/>
      <c r="AA233" s="12"/>
      <c r="AB233" s="12"/>
      <c r="AC233" s="241"/>
      <c r="AF233" s="84"/>
      <c r="AI233" s="179"/>
      <c r="AJ233" s="179"/>
      <c r="AK233" s="153"/>
    </row>
    <row r="234" spans="1:38" ht="11.25" customHeight="1" x14ac:dyDescent="0.2">
      <c r="A234" s="141"/>
      <c r="B234" s="1366"/>
      <c r="C234" s="1366"/>
      <c r="D234" s="1366"/>
      <c r="E234" s="1366"/>
      <c r="F234" s="9"/>
      <c r="G234" s="9"/>
      <c r="H234" s="9"/>
      <c r="I234" s="9"/>
      <c r="J234" s="13"/>
      <c r="K234" s="9"/>
      <c r="L234" s="9"/>
      <c r="M234" s="9"/>
      <c r="N234" s="9"/>
      <c r="O234" s="9"/>
      <c r="P234" s="9"/>
      <c r="Q234" s="9"/>
      <c r="R234" s="9"/>
      <c r="S234" s="9"/>
      <c r="T234" s="9"/>
      <c r="U234" s="11"/>
      <c r="V234" s="11"/>
      <c r="W234" s="11"/>
      <c r="X234" s="12"/>
      <c r="Y234" s="12"/>
      <c r="Z234" s="12"/>
      <c r="AA234" s="12"/>
      <c r="AB234" s="12"/>
      <c r="AC234" s="241"/>
      <c r="AF234" s="84"/>
      <c r="AI234" s="179"/>
      <c r="AJ234" s="179"/>
      <c r="AK234" s="153"/>
    </row>
    <row r="235" spans="1:38" ht="11.25" customHeight="1" x14ac:dyDescent="0.2">
      <c r="A235" s="141"/>
      <c r="B235" s="1366" t="s">
        <v>18</v>
      </c>
      <c r="C235" s="1366"/>
      <c r="D235" s="1366"/>
      <c r="E235" s="1366"/>
      <c r="F235" s="9"/>
      <c r="G235" s="9"/>
      <c r="H235" s="9"/>
      <c r="I235" s="9"/>
      <c r="J235" s="13"/>
      <c r="K235" s="9"/>
      <c r="L235" s="9"/>
      <c r="M235" s="9"/>
      <c r="N235" s="9"/>
      <c r="O235" s="9"/>
      <c r="P235" s="9"/>
      <c r="Q235" s="9"/>
      <c r="R235" s="9"/>
      <c r="S235" s="9"/>
      <c r="T235" s="9"/>
      <c r="U235" s="11"/>
      <c r="V235" s="11"/>
      <c r="W235" s="11"/>
      <c r="X235" s="12"/>
      <c r="Y235" s="12"/>
      <c r="Z235" s="12"/>
      <c r="AA235" s="12"/>
      <c r="AB235" s="12"/>
      <c r="AC235" s="241"/>
      <c r="AF235" s="84"/>
      <c r="AI235" s="179"/>
      <c r="AJ235" s="179"/>
      <c r="AK235" s="153"/>
    </row>
    <row r="236" spans="1:38" ht="11.25" customHeight="1" x14ac:dyDescent="0.2">
      <c r="A236" s="141"/>
      <c r="B236" s="1366"/>
      <c r="C236" s="1366"/>
      <c r="D236" s="1366"/>
      <c r="E236" s="1366"/>
      <c r="F236" s="9"/>
      <c r="G236" s="9"/>
      <c r="H236" s="9"/>
      <c r="I236" s="9"/>
      <c r="J236" s="13"/>
      <c r="K236" s="9"/>
      <c r="L236" s="9"/>
      <c r="M236" s="9"/>
      <c r="N236" s="9"/>
      <c r="O236" s="9"/>
      <c r="P236" s="9"/>
      <c r="Q236" s="9"/>
      <c r="R236" s="9"/>
      <c r="S236" s="9"/>
      <c r="T236" s="9"/>
      <c r="U236" s="11"/>
      <c r="V236" s="11"/>
      <c r="W236" s="11"/>
      <c r="X236" s="12"/>
      <c r="Y236" s="12"/>
      <c r="Z236" s="12"/>
      <c r="AA236" s="12"/>
      <c r="AB236" s="12"/>
      <c r="AC236" s="241"/>
      <c r="AF236" s="84"/>
      <c r="AI236" s="179"/>
      <c r="AJ236" s="179"/>
      <c r="AK236" s="153"/>
    </row>
    <row r="237" spans="1:38" ht="11.25" customHeight="1" x14ac:dyDescent="0.2">
      <c r="A237" s="141"/>
      <c r="B237" s="1366" t="s">
        <v>19</v>
      </c>
      <c r="C237" s="1366"/>
      <c r="D237" s="1366"/>
      <c r="E237" s="1366"/>
      <c r="F237" s="1366"/>
      <c r="G237" s="9"/>
      <c r="H237" s="9"/>
      <c r="I237" s="9"/>
      <c r="J237" s="13"/>
      <c r="K237" s="9"/>
      <c r="L237" s="9"/>
      <c r="M237" s="9"/>
      <c r="N237" s="9"/>
      <c r="O237" s="9"/>
      <c r="P237" s="9"/>
      <c r="Q237" s="9"/>
      <c r="R237" s="9"/>
      <c r="S237" s="9"/>
      <c r="T237" s="9"/>
      <c r="U237" s="11"/>
      <c r="V237" s="11"/>
      <c r="W237" s="11"/>
      <c r="X237" s="12"/>
      <c r="Y237" s="12"/>
      <c r="Z237" s="12"/>
      <c r="AA237" s="12"/>
      <c r="AB237" s="12"/>
      <c r="AC237" s="241"/>
      <c r="AF237" s="84"/>
      <c r="AI237" s="179"/>
      <c r="AJ237" s="179"/>
      <c r="AK237" s="153"/>
    </row>
    <row r="238" spans="1:38" ht="11.25" customHeight="1" x14ac:dyDescent="0.2">
      <c r="A238" s="141"/>
      <c r="B238" s="1366"/>
      <c r="C238" s="1366"/>
      <c r="D238" s="1366"/>
      <c r="E238" s="1366"/>
      <c r="F238" s="1366"/>
      <c r="G238" s="9"/>
      <c r="H238" s="9"/>
      <c r="I238" s="9"/>
      <c r="J238" s="13"/>
      <c r="K238" s="9"/>
      <c r="L238" s="9"/>
      <c r="M238" s="9"/>
      <c r="N238" s="9"/>
      <c r="O238" s="9"/>
      <c r="P238" s="9"/>
      <c r="Q238" s="9"/>
      <c r="R238" s="9"/>
      <c r="S238" s="9"/>
      <c r="T238" s="9"/>
      <c r="U238" s="11"/>
      <c r="V238" s="11"/>
      <c r="W238" s="11"/>
      <c r="X238" s="12"/>
      <c r="Y238" s="12"/>
      <c r="Z238" s="12"/>
      <c r="AA238" s="12"/>
      <c r="AB238" s="12"/>
      <c r="AC238" s="241"/>
      <c r="AF238" s="84"/>
      <c r="AI238" s="179"/>
      <c r="AJ238" s="179"/>
      <c r="AK238" s="153"/>
    </row>
    <row r="239" spans="1:38" ht="11.25" customHeight="1" x14ac:dyDescent="0.2">
      <c r="A239" s="141"/>
      <c r="B239" s="1366" t="s">
        <v>20</v>
      </c>
      <c r="C239" s="1366"/>
      <c r="D239" s="1366"/>
      <c r="E239" s="1366"/>
      <c r="F239" s="9"/>
      <c r="G239" s="9"/>
      <c r="H239" s="9"/>
      <c r="I239" s="9"/>
      <c r="J239" s="13"/>
      <c r="K239" s="9"/>
      <c r="L239" s="9"/>
      <c r="M239" s="9"/>
      <c r="N239" s="9"/>
      <c r="O239" s="9"/>
      <c r="P239" s="9"/>
      <c r="Q239" s="9"/>
      <c r="R239" s="9"/>
      <c r="S239" s="9"/>
      <c r="T239" s="9"/>
      <c r="U239" s="11"/>
      <c r="V239" s="11"/>
      <c r="W239" s="11"/>
      <c r="X239" s="12"/>
      <c r="Y239" s="12"/>
      <c r="Z239" s="12"/>
      <c r="AA239" s="12"/>
      <c r="AB239" s="12"/>
      <c r="AC239" s="241"/>
      <c r="AF239" s="84"/>
      <c r="AI239" s="179"/>
      <c r="AJ239" s="179"/>
      <c r="AK239" s="153"/>
    </row>
    <row r="240" spans="1:38" ht="11.25" customHeight="1" x14ac:dyDescent="0.2">
      <c r="A240" s="141"/>
      <c r="B240" s="1366"/>
      <c r="C240" s="1366"/>
      <c r="D240" s="1366"/>
      <c r="E240" s="1366"/>
      <c r="F240" s="9"/>
      <c r="G240" s="9"/>
      <c r="H240" s="9"/>
      <c r="I240" s="9"/>
      <c r="J240" s="13"/>
      <c r="K240" s="9"/>
      <c r="L240" s="9"/>
      <c r="M240" s="9"/>
      <c r="N240" s="9"/>
      <c r="O240" s="9"/>
      <c r="P240" s="9"/>
      <c r="Q240" s="9"/>
      <c r="R240" s="9"/>
      <c r="S240" s="9"/>
      <c r="T240" s="9"/>
      <c r="U240" s="11"/>
      <c r="V240" s="11"/>
      <c r="W240" s="11"/>
      <c r="X240" s="12"/>
      <c r="Y240" s="12"/>
      <c r="Z240" s="12"/>
      <c r="AA240" s="12"/>
      <c r="AB240" s="12"/>
      <c r="AC240" s="241"/>
      <c r="AF240" s="84"/>
      <c r="AI240" s="179"/>
      <c r="AJ240" s="179"/>
      <c r="AK240" s="153"/>
    </row>
    <row r="241" spans="1:52" ht="11.25" customHeight="1" x14ac:dyDescent="0.2">
      <c r="A241" s="141"/>
      <c r="B241" s="1366" t="s">
        <v>26</v>
      </c>
      <c r="C241" s="1366"/>
      <c r="D241" s="1366"/>
      <c r="E241" s="1366"/>
      <c r="F241" s="9"/>
      <c r="G241" s="9"/>
      <c r="H241" s="9"/>
      <c r="I241" s="9"/>
      <c r="J241" s="13"/>
      <c r="K241" s="9"/>
      <c r="L241" s="9"/>
      <c r="M241" s="9"/>
      <c r="N241" s="9"/>
      <c r="O241" s="9"/>
      <c r="P241" s="9"/>
      <c r="Q241" s="9"/>
      <c r="R241" s="9"/>
      <c r="S241" s="9"/>
      <c r="T241" s="9"/>
      <c r="U241" s="11"/>
      <c r="V241" s="11"/>
      <c r="W241" s="11"/>
      <c r="X241" s="12"/>
      <c r="Y241" s="12"/>
      <c r="Z241" s="12"/>
      <c r="AA241" s="12"/>
      <c r="AB241" s="12"/>
      <c r="AC241" s="241"/>
      <c r="AF241" s="84"/>
      <c r="AI241" s="179"/>
      <c r="AJ241" s="179"/>
      <c r="AK241" s="153"/>
    </row>
    <row r="242" spans="1:52" ht="11.25" customHeight="1" x14ac:dyDescent="0.2">
      <c r="A242" s="141"/>
      <c r="B242" s="1366"/>
      <c r="C242" s="1366"/>
      <c r="D242" s="1366"/>
      <c r="E242" s="1366"/>
      <c r="F242" s="9"/>
      <c r="G242" s="9"/>
      <c r="H242" s="9"/>
      <c r="I242" s="9"/>
      <c r="J242" s="13"/>
      <c r="K242" s="9"/>
      <c r="L242" s="9"/>
      <c r="M242" s="9"/>
      <c r="N242" s="9"/>
      <c r="O242" s="9"/>
      <c r="P242" s="9"/>
      <c r="Q242" s="9"/>
      <c r="R242" s="9"/>
      <c r="S242" s="9"/>
      <c r="T242" s="9"/>
      <c r="U242" s="11"/>
      <c r="V242" s="11"/>
      <c r="W242" s="11"/>
      <c r="X242" s="12"/>
      <c r="Y242" s="12"/>
      <c r="Z242" s="12"/>
      <c r="AA242" s="12"/>
      <c r="AB242" s="12"/>
      <c r="AC242" s="241"/>
      <c r="AF242" s="84"/>
      <c r="AI242" s="179"/>
      <c r="AJ242" s="179"/>
      <c r="AK242" s="153"/>
    </row>
    <row r="243" spans="1:52" ht="11.25" customHeight="1" x14ac:dyDescent="0.2">
      <c r="A243" s="141"/>
      <c r="B243" s="1366" t="s">
        <v>21</v>
      </c>
      <c r="C243" s="1366"/>
      <c r="D243" s="1366"/>
      <c r="E243" s="1366"/>
      <c r="F243" s="9"/>
      <c r="G243" s="9"/>
      <c r="H243" s="9"/>
      <c r="I243" s="9"/>
      <c r="J243" s="13"/>
      <c r="K243" s="9"/>
      <c r="L243" s="9"/>
      <c r="M243" s="9"/>
      <c r="N243" s="9"/>
      <c r="O243" s="9"/>
      <c r="P243" s="9"/>
      <c r="Q243" s="9"/>
      <c r="R243" s="9"/>
      <c r="S243" s="9"/>
      <c r="T243" s="9"/>
      <c r="U243" s="11"/>
      <c r="V243" s="11"/>
      <c r="W243" s="11"/>
      <c r="X243" s="12"/>
      <c r="Y243" s="12"/>
      <c r="Z243" s="12"/>
      <c r="AA243" s="12"/>
      <c r="AB243" s="12"/>
      <c r="AC243" s="241"/>
      <c r="AF243" s="84"/>
      <c r="AI243" s="179"/>
      <c r="AJ243" s="179"/>
      <c r="AK243" s="153"/>
    </row>
    <row r="244" spans="1:52" ht="11.25" customHeight="1" x14ac:dyDescent="0.2">
      <c r="A244" s="141"/>
      <c r="B244" s="1366"/>
      <c r="C244" s="1366"/>
      <c r="D244" s="1366"/>
      <c r="E244" s="1366"/>
      <c r="F244" s="9"/>
      <c r="G244" s="9"/>
      <c r="H244" s="9"/>
      <c r="I244" s="9"/>
      <c r="J244" s="13"/>
      <c r="K244" s="9"/>
      <c r="L244" s="9"/>
      <c r="M244" s="9"/>
      <c r="N244" s="9"/>
      <c r="O244" s="9"/>
      <c r="P244" s="9"/>
      <c r="Q244" s="9"/>
      <c r="R244" s="9"/>
      <c r="S244" s="9"/>
      <c r="T244" s="9"/>
      <c r="U244" s="11"/>
      <c r="V244" s="11"/>
      <c r="W244" s="11"/>
      <c r="X244" s="12"/>
      <c r="Y244" s="12"/>
      <c r="Z244" s="12"/>
      <c r="AA244" s="12"/>
      <c r="AB244" s="12"/>
      <c r="AC244" s="241"/>
      <c r="AF244" s="84"/>
      <c r="AI244" s="179"/>
      <c r="AJ244" s="179"/>
      <c r="AK244" s="153"/>
    </row>
    <row r="245" spans="1:52" ht="11.25" customHeight="1" x14ac:dyDescent="0.2">
      <c r="A245" s="141"/>
      <c r="B245" s="1366" t="s">
        <v>930</v>
      </c>
      <c r="C245" s="1366"/>
      <c r="D245" s="1366"/>
      <c r="E245" s="1366"/>
      <c r="F245" s="1366"/>
      <c r="G245" s="9"/>
      <c r="H245" s="9"/>
      <c r="I245" s="9"/>
      <c r="J245" s="13"/>
      <c r="K245" s="9"/>
      <c r="L245" s="9"/>
      <c r="M245" s="9"/>
      <c r="N245" s="9"/>
      <c r="O245" s="9"/>
      <c r="P245" s="9"/>
      <c r="Q245" s="9"/>
      <c r="R245" s="9"/>
      <c r="S245" s="9"/>
      <c r="T245" s="9"/>
      <c r="U245" s="11"/>
      <c r="V245" s="11"/>
      <c r="W245" s="11"/>
      <c r="X245" s="12"/>
      <c r="Y245" s="12"/>
      <c r="Z245" s="12"/>
      <c r="AA245" s="12"/>
      <c r="AB245" s="12"/>
      <c r="AC245" s="241"/>
      <c r="AF245" s="84"/>
      <c r="AI245" s="179"/>
      <c r="AJ245" s="179"/>
      <c r="AK245" s="153"/>
    </row>
    <row r="246" spans="1:52" ht="11.25" customHeight="1" x14ac:dyDescent="0.2">
      <c r="A246" s="141"/>
      <c r="B246" s="1366"/>
      <c r="C246" s="1366"/>
      <c r="D246" s="1366"/>
      <c r="E246" s="1366"/>
      <c r="F246" s="1366"/>
      <c r="G246" s="9"/>
      <c r="H246" s="9"/>
      <c r="I246" s="9"/>
      <c r="J246" s="13"/>
      <c r="K246" s="9"/>
      <c r="L246" s="9"/>
      <c r="M246" s="9"/>
      <c r="N246" s="9"/>
      <c r="O246" s="9"/>
      <c r="P246" s="9"/>
      <c r="Q246" s="9"/>
      <c r="R246" s="9"/>
      <c r="S246" s="9"/>
      <c r="T246" s="9"/>
      <c r="U246" s="11"/>
      <c r="V246" s="11"/>
      <c r="W246" s="11"/>
      <c r="X246" s="12"/>
      <c r="Y246" s="12"/>
      <c r="Z246" s="12"/>
      <c r="AA246" s="12"/>
      <c r="AB246" s="12"/>
      <c r="AC246" s="241"/>
      <c r="AF246" s="84"/>
      <c r="AI246" s="179"/>
      <c r="AJ246" s="179"/>
      <c r="AK246" s="153"/>
    </row>
    <row r="247" spans="1:52" ht="11.25" customHeight="1" x14ac:dyDescent="0.2">
      <c r="A247" s="141"/>
      <c r="B247" s="1366" t="s">
        <v>680</v>
      </c>
      <c r="C247" s="1366"/>
      <c r="D247" s="1366"/>
      <c r="E247" s="1366"/>
      <c r="F247" s="9"/>
      <c r="G247" s="9"/>
      <c r="H247" s="9"/>
      <c r="I247" s="9"/>
      <c r="J247" s="13"/>
      <c r="K247" s="9"/>
      <c r="L247" s="9"/>
      <c r="M247" s="9"/>
      <c r="N247" s="9"/>
      <c r="O247" s="9"/>
      <c r="P247" s="9"/>
      <c r="Q247" s="9"/>
      <c r="R247" s="9"/>
      <c r="S247" s="9"/>
      <c r="T247" s="9"/>
      <c r="U247" s="11"/>
      <c r="V247" s="11"/>
      <c r="W247" s="11"/>
      <c r="X247" s="12"/>
      <c r="Y247" s="12"/>
      <c r="Z247" s="12"/>
      <c r="AA247" s="12"/>
      <c r="AB247" s="12"/>
      <c r="AC247" s="241"/>
      <c r="AF247" s="84"/>
      <c r="AI247" s="179"/>
      <c r="AJ247" s="179"/>
      <c r="AK247" s="153"/>
    </row>
    <row r="248" spans="1:52" ht="11.25" customHeight="1" x14ac:dyDescent="0.2">
      <c r="A248" s="141"/>
      <c r="B248" s="1366"/>
      <c r="C248" s="1366"/>
      <c r="D248" s="1366"/>
      <c r="E248" s="1366"/>
      <c r="F248" s="9"/>
      <c r="G248" s="9"/>
      <c r="H248" s="9"/>
      <c r="I248" s="9"/>
      <c r="J248" s="13"/>
      <c r="K248" s="9"/>
      <c r="L248" s="9"/>
      <c r="M248" s="9"/>
      <c r="N248" s="9"/>
      <c r="O248" s="9"/>
      <c r="P248" s="9"/>
      <c r="Q248" s="9"/>
      <c r="R248" s="9"/>
      <c r="S248" s="9"/>
      <c r="T248" s="9"/>
      <c r="U248" s="11"/>
      <c r="V248" s="11"/>
      <c r="W248" s="11"/>
      <c r="X248" s="12"/>
      <c r="Y248" s="12"/>
      <c r="Z248" s="12"/>
      <c r="AA248" s="12"/>
      <c r="AB248" s="12"/>
      <c r="AC248" s="241"/>
      <c r="AF248" s="84"/>
      <c r="AI248" s="179"/>
      <c r="AJ248" s="179"/>
      <c r="AK248" s="153"/>
    </row>
    <row r="249" spans="1:52" ht="11.25" customHeight="1" x14ac:dyDescent="0.2">
      <c r="A249" s="141"/>
      <c r="B249" s="1366" t="s">
        <v>32</v>
      </c>
      <c r="C249" s="1366"/>
      <c r="D249" s="1366"/>
      <c r="E249" s="1366"/>
      <c r="F249" s="9"/>
      <c r="G249" s="9"/>
      <c r="H249" s="9"/>
      <c r="I249" s="9"/>
      <c r="J249" s="13"/>
      <c r="K249" s="9"/>
      <c r="L249" s="9"/>
      <c r="M249" s="9"/>
      <c r="N249" s="9"/>
      <c r="O249" s="9"/>
      <c r="P249" s="9"/>
      <c r="Q249" s="9"/>
      <c r="R249" s="9"/>
      <c r="S249" s="9"/>
      <c r="T249" s="9"/>
      <c r="U249" s="11"/>
      <c r="V249" s="11"/>
      <c r="W249" s="11"/>
      <c r="X249" s="12"/>
      <c r="Y249" s="12"/>
      <c r="Z249" s="12"/>
      <c r="AA249" s="12"/>
      <c r="AB249" s="12"/>
      <c r="AC249" s="241"/>
      <c r="AF249" s="84"/>
      <c r="AI249" s="179"/>
      <c r="AJ249" s="179"/>
      <c r="AK249" s="153"/>
    </row>
    <row r="250" spans="1:52" ht="11.25" customHeight="1" x14ac:dyDescent="0.2">
      <c r="A250" s="141"/>
      <c r="B250" s="1366"/>
      <c r="C250" s="1366"/>
      <c r="D250" s="1366"/>
      <c r="E250" s="1366"/>
      <c r="F250" s="9"/>
      <c r="G250" s="9"/>
      <c r="H250" s="9"/>
      <c r="I250" s="9"/>
      <c r="J250" s="13"/>
      <c r="K250" s="9"/>
      <c r="L250" s="9"/>
      <c r="M250" s="9"/>
      <c r="N250" s="9"/>
      <c r="O250" s="9"/>
      <c r="P250" s="9"/>
      <c r="Q250" s="9"/>
      <c r="R250" s="9"/>
      <c r="S250" s="9"/>
      <c r="T250" s="9"/>
      <c r="U250" s="11"/>
      <c r="V250" s="11"/>
      <c r="W250" s="11"/>
      <c r="X250" s="12"/>
      <c r="Y250" s="12"/>
      <c r="Z250" s="12"/>
      <c r="AA250" s="12"/>
      <c r="AB250" s="12"/>
      <c r="AC250" s="241"/>
      <c r="AF250" s="84"/>
      <c r="AI250" s="179"/>
      <c r="AJ250" s="179"/>
      <c r="AK250" s="153"/>
    </row>
    <row r="251" spans="1:52" ht="11.25" customHeight="1" x14ac:dyDescent="0.2">
      <c r="A251" s="248"/>
      <c r="B251" s="1110"/>
      <c r="C251" s="246"/>
      <c r="D251" s="246"/>
      <c r="E251" s="246"/>
      <c r="F251" s="246"/>
      <c r="G251" s="246"/>
      <c r="H251" s="246"/>
      <c r="I251" s="246"/>
      <c r="J251" s="246"/>
      <c r="K251" s="246"/>
      <c r="L251" s="246"/>
      <c r="M251" s="246"/>
      <c r="N251" s="246"/>
      <c r="O251" s="246"/>
      <c r="P251" s="246"/>
      <c r="Q251" s="246"/>
      <c r="R251" s="246"/>
      <c r="S251" s="246"/>
      <c r="T251" s="246"/>
      <c r="U251" s="246"/>
      <c r="V251" s="246"/>
      <c r="W251" s="246"/>
      <c r="X251" s="246"/>
      <c r="Y251" s="246"/>
      <c r="Z251" s="246"/>
      <c r="AA251" s="246"/>
      <c r="AB251" s="246"/>
      <c r="AC251" s="1307"/>
      <c r="AF251" s="84"/>
      <c r="AI251" s="179"/>
      <c r="AJ251" s="179"/>
      <c r="AK251" s="242"/>
    </row>
    <row r="252" spans="1:52" ht="11.25" customHeight="1" x14ac:dyDescent="0.2">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F252" s="84"/>
      <c r="AI252" s="179"/>
      <c r="AJ252" s="179"/>
    </row>
    <row r="253" spans="1:52" ht="18.75" customHeight="1" x14ac:dyDescent="0.2">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F253" s="84"/>
      <c r="AI253" s="179"/>
      <c r="AJ253" s="179"/>
    </row>
    <row r="254" spans="1:52" s="82" customFormat="1" ht="11.25" customHeight="1" x14ac:dyDescent="0.2">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83"/>
      <c r="AE254" s="83"/>
      <c r="AF254" s="84"/>
      <c r="AG254" s="83"/>
      <c r="AH254" s="83"/>
      <c r="AI254" s="179"/>
      <c r="AJ254" s="179"/>
      <c r="AL254" s="76"/>
      <c r="AM254" s="76"/>
      <c r="AN254" s="76"/>
      <c r="AO254" s="76"/>
      <c r="AP254" s="76"/>
      <c r="AQ254" s="76"/>
      <c r="AR254" s="76"/>
      <c r="AS254" s="76"/>
      <c r="AT254" s="76"/>
      <c r="AU254" s="76"/>
      <c r="AV254" s="76"/>
      <c r="AW254" s="76"/>
      <c r="AX254" s="76"/>
      <c r="AY254" s="76"/>
      <c r="AZ254" s="76"/>
    </row>
    <row r="255" spans="1:52" ht="11.25" customHeight="1" x14ac:dyDescent="0.2">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F255" s="84"/>
      <c r="AI255" s="179"/>
      <c r="AJ255" s="179"/>
    </row>
    <row r="256" spans="1:52" ht="11.25" customHeight="1" x14ac:dyDescent="0.2">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F256" s="84"/>
      <c r="AI256" s="179"/>
      <c r="AJ256" s="179"/>
    </row>
    <row r="257" spans="1:36" ht="11.25" customHeight="1" x14ac:dyDescent="0.2">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F257" s="84"/>
      <c r="AI257" s="179"/>
      <c r="AJ257" s="179"/>
    </row>
    <row r="258" spans="1:36" ht="11.25" customHeight="1" x14ac:dyDescent="0.2">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F258" s="84"/>
      <c r="AI258" s="179"/>
      <c r="AJ258" s="179"/>
    </row>
    <row r="259" spans="1:36" ht="11.25" customHeight="1" x14ac:dyDescent="0.2">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F259" s="84"/>
      <c r="AI259" s="179"/>
      <c r="AJ259" s="179"/>
    </row>
    <row r="260" spans="1:36" ht="11.25" customHeight="1" x14ac:dyDescent="0.2">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F260" s="84"/>
      <c r="AI260" s="179"/>
      <c r="AJ260" s="179"/>
    </row>
    <row r="261" spans="1:36" ht="11.25" customHeight="1" x14ac:dyDescent="0.2">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F261" s="84"/>
      <c r="AI261" s="179"/>
      <c r="AJ261" s="179"/>
    </row>
    <row r="262" spans="1:36" ht="11.25" customHeight="1" x14ac:dyDescent="0.2">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F262" s="84"/>
      <c r="AI262" s="179"/>
      <c r="AJ262" s="179"/>
    </row>
    <row r="263" spans="1:36" ht="11.25" customHeight="1" x14ac:dyDescent="0.2">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F263" s="84"/>
      <c r="AI263" s="179"/>
      <c r="AJ263" s="179"/>
    </row>
    <row r="264" spans="1:36" ht="11.25" customHeight="1" x14ac:dyDescent="0.2">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F264" s="84"/>
      <c r="AI264" s="179"/>
      <c r="AJ264" s="179"/>
    </row>
    <row r="265" spans="1:36" ht="11.25" customHeight="1" x14ac:dyDescent="0.2">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F265" s="84"/>
      <c r="AI265" s="179"/>
      <c r="AJ265" s="179"/>
    </row>
    <row r="266" spans="1:36" ht="11.25" customHeight="1" x14ac:dyDescent="0.2">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F266" s="84"/>
      <c r="AI266" s="179"/>
      <c r="AJ266" s="179"/>
    </row>
    <row r="267" spans="1:36" ht="11.25" customHeight="1" x14ac:dyDescent="0.2">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F267" s="84"/>
      <c r="AI267" s="179"/>
      <c r="AJ267" s="179"/>
    </row>
    <row r="268" spans="1:36" ht="11.25" customHeight="1" x14ac:dyDescent="0.2">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F268" s="84"/>
      <c r="AI268" s="179"/>
      <c r="AJ268" s="179"/>
    </row>
    <row r="269" spans="1:36" ht="11.25" customHeight="1" x14ac:dyDescent="0.2">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197"/>
      <c r="AE269" s="197"/>
      <c r="AF269" s="1132"/>
      <c r="AG269" s="197"/>
      <c r="AH269" s="197"/>
      <c r="AI269" s="198"/>
      <c r="AJ269" s="198"/>
    </row>
    <row r="380" spans="38:38" ht="11.25" customHeight="1" x14ac:dyDescent="0.2">
      <c r="AL380" s="76" t="b">
        <v>1</v>
      </c>
    </row>
  </sheetData>
  <sheetProtection sheet="1" objects="1" scenarios="1"/>
  <mergeCells count="66">
    <mergeCell ref="B221:E222"/>
    <mergeCell ref="B223:E224"/>
    <mergeCell ref="AR38:AR40"/>
    <mergeCell ref="AM38:AQ38"/>
    <mergeCell ref="A212:V212"/>
    <mergeCell ref="M171:P171"/>
    <mergeCell ref="R171:U171"/>
    <mergeCell ref="A176:V176"/>
    <mergeCell ref="A177:V177"/>
    <mergeCell ref="A211:V211"/>
    <mergeCell ref="A143:V143"/>
    <mergeCell ref="A144:V144"/>
    <mergeCell ref="Z114:Z115"/>
    <mergeCell ref="AA114:AA115"/>
    <mergeCell ref="M170:P170"/>
    <mergeCell ref="R170:U170"/>
    <mergeCell ref="AR144:AR146"/>
    <mergeCell ref="AM144:AQ144"/>
    <mergeCell ref="B215:B216"/>
    <mergeCell ref="B217:E218"/>
    <mergeCell ref="B219:E220"/>
    <mergeCell ref="B243:E244"/>
    <mergeCell ref="B247:E248"/>
    <mergeCell ref="B249:E250"/>
    <mergeCell ref="B245:F246"/>
    <mergeCell ref="B235:E236"/>
    <mergeCell ref="B239:E240"/>
    <mergeCell ref="B241:E242"/>
    <mergeCell ref="B237:F238"/>
    <mergeCell ref="Z8:Z9"/>
    <mergeCell ref="AA8:AA9"/>
    <mergeCell ref="A70:V70"/>
    <mergeCell ref="A71:V71"/>
    <mergeCell ref="A105:V105"/>
    <mergeCell ref="B35:U35"/>
    <mergeCell ref="A37:V37"/>
    <mergeCell ref="A38:V38"/>
    <mergeCell ref="S7:U8"/>
    <mergeCell ref="O114:P114"/>
    <mergeCell ref="O115:P115"/>
    <mergeCell ref="B141:U141"/>
    <mergeCell ref="B111:N112"/>
    <mergeCell ref="B113:B115"/>
    <mergeCell ref="D113:H113"/>
    <mergeCell ref="I113:I115"/>
    <mergeCell ref="K113:P113"/>
    <mergeCell ref="Q113:Q115"/>
    <mergeCell ref="S113:U114"/>
    <mergeCell ref="A106:V106"/>
    <mergeCell ref="R64:U64"/>
    <mergeCell ref="M64:P64"/>
    <mergeCell ref="M65:P65"/>
    <mergeCell ref="R65:U65"/>
    <mergeCell ref="B5:N6"/>
    <mergeCell ref="D7:H7"/>
    <mergeCell ref="I7:I9"/>
    <mergeCell ref="Q7:Q9"/>
    <mergeCell ref="B7:B9"/>
    <mergeCell ref="K7:P7"/>
    <mergeCell ref="O8:P8"/>
    <mergeCell ref="O9:P9"/>
    <mergeCell ref="B225:E226"/>
    <mergeCell ref="B227:E228"/>
    <mergeCell ref="B229:E230"/>
    <mergeCell ref="B231:E232"/>
    <mergeCell ref="B233:E234"/>
  </mergeCells>
  <conditionalFormatting sqref="B10:B31 K10:O31 B51:C66 D10:H31 Q10:Q31">
    <cfRule type="containsErrors" dxfId="329" priority="92">
      <formula>ISERROR(B10)</formula>
    </cfRule>
  </conditionalFormatting>
  <conditionalFormatting sqref="B32:B33 B138:B139">
    <cfRule type="expression" dxfId="328" priority="93" stopIfTrue="1">
      <formula>$B32=$Z$4</formula>
    </cfRule>
  </conditionalFormatting>
  <conditionalFormatting sqref="S10:S31 S116:S137">
    <cfRule type="expression" dxfId="327" priority="89">
      <formula>$B10=$Y$5</formula>
    </cfRule>
  </conditionalFormatting>
  <conditionalFormatting sqref="A10:A31">
    <cfRule type="containsErrors" dxfId="326" priority="85">
      <formula>ISERROR(A10)</formula>
    </cfRule>
    <cfRule type="cellIs" dxfId="325" priority="86" operator="equal">
      <formula>0</formula>
    </cfRule>
  </conditionalFormatting>
  <conditionalFormatting sqref="B10:B31 K10:O31 Q10:Q31 D10:I31 P10:P32 S10:U31 B51:C66 B116:B137 Q116:Q137 K116:O137 D116:I137 P116:P138 S116:U137 B157:C172">
    <cfRule type="expression" dxfId="324" priority="91">
      <formula>$B10=$Z$4</formula>
    </cfRule>
  </conditionalFormatting>
  <conditionalFormatting sqref="AG10:AH28">
    <cfRule type="containsErrors" dxfId="323" priority="84">
      <formula>ISERROR(AG10)</formula>
    </cfRule>
  </conditionalFormatting>
  <conditionalFormatting sqref="AG10:AH21 AH11:AH28">
    <cfRule type="expression" dxfId="322" priority="83">
      <formula>$B10=$X$4</formula>
    </cfRule>
  </conditionalFormatting>
  <conditionalFormatting sqref="I10:I31">
    <cfRule type="containsErrors" dxfId="321" priority="82">
      <formula>ISERROR(I10)</formula>
    </cfRule>
  </conditionalFormatting>
  <conditionalFormatting sqref="A38">
    <cfRule type="cellIs" dxfId="320" priority="79" operator="equal">
      <formula>0</formula>
    </cfRule>
    <cfRule type="containsErrors" dxfId="319" priority="80">
      <formula>ISERROR(A38)</formula>
    </cfRule>
  </conditionalFormatting>
  <conditionalFormatting sqref="A71">
    <cfRule type="cellIs" dxfId="318" priority="77" operator="equal">
      <formula>0</formula>
    </cfRule>
    <cfRule type="containsErrors" dxfId="317" priority="78">
      <formula>ISERROR(A71)</formula>
    </cfRule>
  </conditionalFormatting>
  <conditionalFormatting sqref="A106">
    <cfRule type="cellIs" dxfId="316" priority="75" operator="equal">
      <formula>0</formula>
    </cfRule>
    <cfRule type="containsErrors" dxfId="315" priority="76">
      <formula>ISERROR(A106)</formula>
    </cfRule>
  </conditionalFormatting>
  <conditionalFormatting sqref="D8:H8">
    <cfRule type="containsErrors" dxfId="314" priority="72">
      <formula>ISERROR(D8)</formula>
    </cfRule>
  </conditionalFormatting>
  <conditionalFormatting sqref="D9:H9">
    <cfRule type="containsErrors" dxfId="313" priority="74">
      <formula>ISERROR(D9)</formula>
    </cfRule>
  </conditionalFormatting>
  <conditionalFormatting sqref="K8:O8">
    <cfRule type="containsErrors" dxfId="312" priority="71">
      <formula>ISERROR(K8)</formula>
    </cfRule>
  </conditionalFormatting>
  <conditionalFormatting sqref="K9:O9">
    <cfRule type="containsErrors" dxfId="311" priority="94">
      <formula>ISERROR(K9)</formula>
    </cfRule>
  </conditionalFormatting>
  <conditionalFormatting sqref="Y3">
    <cfRule type="containsErrors" dxfId="310" priority="68">
      <formula>ISERROR(Y3)</formula>
    </cfRule>
  </conditionalFormatting>
  <conditionalFormatting sqref="Y2">
    <cfRule type="containsErrors" dxfId="309" priority="67">
      <formula>ISERROR(Y2)</formula>
    </cfRule>
  </conditionalFormatting>
  <conditionalFormatting sqref="P33">
    <cfRule type="containsErrors" dxfId="308" priority="66">
      <formula>ISERROR(P33)</formula>
    </cfRule>
  </conditionalFormatting>
  <conditionalFormatting sqref="P32">
    <cfRule type="containsErrors" dxfId="307" priority="64">
      <formula>ISERROR(P32)</formula>
    </cfRule>
  </conditionalFormatting>
  <conditionalFormatting sqref="P10:P32">
    <cfRule type="containsErrors" dxfId="306" priority="62">
      <formula>ISERROR(P10)</formula>
    </cfRule>
    <cfRule type="dataBar" priority="63">
      <dataBar showValue="0">
        <cfvo type="min"/>
        <cfvo type="max"/>
        <color theme="9"/>
      </dataBar>
      <extLst>
        <ext xmlns:x14="http://schemas.microsoft.com/office/spreadsheetml/2009/9/main" uri="{B025F937-C7B1-47D3-B67F-A62EFF666E3E}">
          <x14:id>{DA08B2EA-1865-4648-B79D-051F2211FEE2}</x14:id>
        </ext>
      </extLst>
    </cfRule>
  </conditionalFormatting>
  <conditionalFormatting sqref="AB9:AF9">
    <cfRule type="cellIs" dxfId="305" priority="57" stopIfTrue="1" operator="equal">
      <formula>0</formula>
    </cfRule>
  </conditionalFormatting>
  <conditionalFormatting sqref="B116:B137 B157:C172 D116:H137 Q116:Q137 K116:O137">
    <cfRule type="containsErrors" dxfId="304" priority="55">
      <formula>ISERROR(B116)</formula>
    </cfRule>
  </conditionalFormatting>
  <conditionalFormatting sqref="A116:A137">
    <cfRule type="containsErrors" dxfId="303" priority="49">
      <formula>ISERROR(A116)</formula>
    </cfRule>
    <cfRule type="cellIs" dxfId="302" priority="50" operator="equal">
      <formula>0</formula>
    </cfRule>
  </conditionalFormatting>
  <conditionalFormatting sqref="AG116:AH134">
    <cfRule type="containsErrors" dxfId="301" priority="48">
      <formula>ISERROR(AG116)</formula>
    </cfRule>
  </conditionalFormatting>
  <conditionalFormatting sqref="AG116:AH127 AH117:AH134">
    <cfRule type="expression" dxfId="300" priority="47">
      <formula>$B116=$X$4</formula>
    </cfRule>
  </conditionalFormatting>
  <conditionalFormatting sqref="I116:I137">
    <cfRule type="containsErrors" dxfId="299" priority="46">
      <formula>ISERROR(I116)</formula>
    </cfRule>
  </conditionalFormatting>
  <conditionalFormatting sqref="A144">
    <cfRule type="cellIs" dxfId="298" priority="43" operator="equal">
      <formula>0</formula>
    </cfRule>
    <cfRule type="containsErrors" dxfId="297" priority="44">
      <formula>ISERROR(A144)</formula>
    </cfRule>
  </conditionalFormatting>
  <conditionalFormatting sqref="A177">
    <cfRule type="cellIs" dxfId="296" priority="41" operator="equal">
      <formula>0</formula>
    </cfRule>
    <cfRule type="containsErrors" dxfId="295" priority="42">
      <formula>ISERROR(A177)</formula>
    </cfRule>
  </conditionalFormatting>
  <conditionalFormatting sqref="A212">
    <cfRule type="cellIs" dxfId="294" priority="39" operator="equal">
      <formula>0</formula>
    </cfRule>
    <cfRule type="containsErrors" dxfId="293" priority="40">
      <formula>ISERROR(A212)</formula>
    </cfRule>
  </conditionalFormatting>
  <conditionalFormatting sqref="D114:H114">
    <cfRule type="containsErrors" dxfId="292" priority="36">
      <formula>ISERROR(D114)</formula>
    </cfRule>
  </conditionalFormatting>
  <conditionalFormatting sqref="D115:H115">
    <cfRule type="containsErrors" dxfId="291" priority="38">
      <formula>ISERROR(D115)</formula>
    </cfRule>
  </conditionalFormatting>
  <conditionalFormatting sqref="K114:O114">
    <cfRule type="containsErrors" dxfId="290" priority="35">
      <formula>ISERROR(K114)</formula>
    </cfRule>
  </conditionalFormatting>
  <conditionalFormatting sqref="K115:O115">
    <cfRule type="containsErrors" dxfId="289" priority="95">
      <formula>ISERROR(K115)</formula>
    </cfRule>
  </conditionalFormatting>
  <conditionalFormatting sqref="P139">
    <cfRule type="containsErrors" dxfId="288" priority="34">
      <formula>ISERROR(P139)</formula>
    </cfRule>
  </conditionalFormatting>
  <conditionalFormatting sqref="P138">
    <cfRule type="containsErrors" dxfId="287" priority="32">
      <formula>ISERROR(P138)</formula>
    </cfRule>
  </conditionalFormatting>
  <conditionalFormatting sqref="P116:P138">
    <cfRule type="containsErrors" dxfId="286" priority="30">
      <formula>ISERROR(P116)</formula>
    </cfRule>
    <cfRule type="dataBar" priority="31">
      <dataBar showValue="0">
        <cfvo type="min"/>
        <cfvo type="max"/>
        <color theme="9"/>
      </dataBar>
      <extLst>
        <ext xmlns:x14="http://schemas.microsoft.com/office/spreadsheetml/2009/9/main" uri="{B025F937-C7B1-47D3-B67F-A62EFF666E3E}">
          <x14:id>{7E9B0E3D-F7F9-4287-953E-555465CB18B1}</x14:id>
        </ext>
      </extLst>
    </cfRule>
  </conditionalFormatting>
  <conditionalFormatting sqref="AB115:AF115">
    <cfRule type="cellIs" dxfId="285" priority="25" stopIfTrue="1" operator="equal">
      <formula>0</formula>
    </cfRule>
  </conditionalFormatting>
  <conditionalFormatting sqref="T10:T31">
    <cfRule type="containsErrors" dxfId="284" priority="20">
      <formula>ISERROR(T10)</formula>
    </cfRule>
  </conditionalFormatting>
  <conditionalFormatting sqref="T32">
    <cfRule type="containsErrors" dxfId="283" priority="18">
      <formula>ISERROR(T32)</formula>
    </cfRule>
  </conditionalFormatting>
  <conditionalFormatting sqref="T33">
    <cfRule type="containsErrors" dxfId="282" priority="17">
      <formula>ISERROR(T33)</formula>
    </cfRule>
  </conditionalFormatting>
  <conditionalFormatting sqref="U10:U31">
    <cfRule type="containsErrors" dxfId="281" priority="16">
      <formula>ISERROR(U10)</formula>
    </cfRule>
  </conditionalFormatting>
  <conditionalFormatting sqref="U32">
    <cfRule type="containsErrors" dxfId="280" priority="14">
      <formula>ISERROR(U32)</formula>
    </cfRule>
  </conditionalFormatting>
  <conditionalFormatting sqref="U33">
    <cfRule type="containsErrors" dxfId="279" priority="13">
      <formula>ISERROR(U33)</formula>
    </cfRule>
  </conditionalFormatting>
  <conditionalFormatting sqref="T116:T137">
    <cfRule type="containsErrors" dxfId="278" priority="12">
      <formula>ISERROR(T116)</formula>
    </cfRule>
  </conditionalFormatting>
  <conditionalFormatting sqref="T138">
    <cfRule type="containsErrors" dxfId="277" priority="10">
      <formula>ISERROR(T138)</formula>
    </cfRule>
  </conditionalFormatting>
  <conditionalFormatting sqref="T139">
    <cfRule type="containsErrors" dxfId="276" priority="9">
      <formula>ISERROR(T139)</formula>
    </cfRule>
  </conditionalFormatting>
  <conditionalFormatting sqref="U116:U137">
    <cfRule type="containsErrors" dxfId="275" priority="8">
      <formula>ISERROR(U116)</formula>
    </cfRule>
  </conditionalFormatting>
  <conditionalFormatting sqref="U138">
    <cfRule type="containsErrors" dxfId="274" priority="6">
      <formula>ISERROR(U138)</formula>
    </cfRule>
  </conditionalFormatting>
  <conditionalFormatting sqref="U139">
    <cfRule type="containsErrors" dxfId="273" priority="5">
      <formula>ISERROR(U139)</formula>
    </cfRule>
  </conditionalFormatting>
  <conditionalFormatting sqref="Z3:AD3">
    <cfRule type="containsErrors" dxfId="272" priority="4">
      <formula>ISERROR(Z3)</formula>
    </cfRule>
  </conditionalFormatting>
  <conditionalFormatting sqref="Z2:AD2">
    <cfRule type="containsErrors" dxfId="271" priority="3">
      <formula>ISERROR(Z2)</formula>
    </cfRule>
  </conditionalFormatting>
  <conditionalFormatting sqref="AM40:AQ40">
    <cfRule type="cellIs" dxfId="270" priority="2" stopIfTrue="1" operator="equal">
      <formula>0</formula>
    </cfRule>
  </conditionalFormatting>
  <conditionalFormatting sqref="AM146:AQ146">
    <cfRule type="cellIs" dxfId="269" priority="1" stopIfTrue="1" operator="equal">
      <formula>0</formula>
    </cfRule>
  </conditionalFormatting>
  <hyperlinks>
    <hyperlink ref="B219:B220" location="Coverage!A1" display="Participating LA's" xr:uid="{ED4FD467-5614-43C0-8FFB-B2F264FFD7D8}"/>
    <hyperlink ref="B221:B222" location="IDACI!A1" display="IDACI" xr:uid="{1514160D-3F74-4712-9131-188628F09B85}"/>
    <hyperlink ref="B249:B250" location="Adoption!A1" display="Adoption" xr:uid="{1BD30C20-D786-4A42-B886-EE493F41BA96}"/>
    <hyperlink ref="B243:B244" location="'Looked After Children'!A1" display="Looked After Children" xr:uid="{CAB7D608-1F83-43AF-8DE5-BC186AB43161}"/>
    <hyperlink ref="B241:B242" location="'Court Applications'!A1" display="Court Applications" xr:uid="{FACB2317-B1D1-4BA4-87B1-80DE2C94E3F7}"/>
    <hyperlink ref="B239:B240" location="'Child Protection Plans'!A1" display="Child Protection Plans" xr:uid="{8B44C633-B19C-48B0-93D9-DD435A0ED570}"/>
    <hyperlink ref="B237:B238" location="'Initial CP Conferences'!A1" display="Initial Child Protection Conferences" xr:uid="{05EFD81D-F015-4205-926D-3DCE30FF0267}"/>
    <hyperlink ref="B235:B236" location="'Section 47 Enquiries'!A1" display="Section 47 Enquiries" xr:uid="{706130B6-B866-4ECC-B4C4-FC8CFA3A4FD6}"/>
    <hyperlink ref="B233:B234" location="'Children in Need'!A1" display="Children in Need" xr:uid="{A525E090-E9D9-48BF-BCB3-1A608C6E642E}"/>
    <hyperlink ref="B231:B232" location="Assessments!A1" display="Assessments" xr:uid="{D910491A-D1E7-4E27-9C9C-1D5FE5F64DAB}"/>
    <hyperlink ref="B229:B230" location="'Re-referrals'!A1" display="Re-referrals" xr:uid="{73693AD3-D797-437D-AE2E-0D743332FC5C}"/>
    <hyperlink ref="B227:B228" location="Referral_Source!A1" display="Referral Source" xr:uid="{474F8105-DA7C-4B71-BE62-254F32C62753}"/>
    <hyperlink ref="B225:B226" location="Referrals!A1" display="Referrals" xr:uid="{F9D37B4C-D02B-4343-AE1A-073ECDB5BD08}"/>
    <hyperlink ref="B223:B224" location="Population!A1" display="Population" xr:uid="{878E5C14-FAAD-4E37-8938-07E61CEFC998}"/>
    <hyperlink ref="B221:C222" location="IDACI!A1" display="IDACI" xr:uid="{D8DC8754-8546-455B-BB23-218A8A264E91}"/>
    <hyperlink ref="B217:B218" location="Coverage!A1" display="Participating LA's" xr:uid="{975C5DB8-19F9-46BC-B81A-741F3E955975}"/>
    <hyperlink ref="B217:C218" location="Indicators!A1" display="Indicators" xr:uid="{A1754304-CA72-4AAE-B9E6-1BE84C4993AF}"/>
    <hyperlink ref="B247:B248" location="'Looked After Children'!A1" display="Looked After Children" xr:uid="{D4D5E600-1C2B-4336-B5D0-385FF9B80DD6}"/>
    <hyperlink ref="B245:B246" location="'Court Applications'!A1" display="Court Applications" xr:uid="{EB831D92-C084-459E-8F92-7E4D86BD311E}"/>
    <hyperlink ref="B245:C246" location="New_Ceased_LAC!A1" display="New/ Ceased Looked After Children" xr:uid="{F6EE004F-B3DD-4500-B52A-717E461EA719}"/>
    <hyperlink ref="B247:C248" location="Care_Leavers!A1" display="Care Leavers" xr:uid="{1709259B-65F8-440F-A711-B7135F7A5A0F}"/>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8" max="21" man="1"/>
    <brk id="71" max="21" man="1"/>
  </rowBreaks>
  <ignoredErrors>
    <ignoredError sqref="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Check Box 1">
              <controlPr defaultSize="0" autoFill="0" autoLine="0" autoPict="0" macro="[0]!CheckBox1_Click" altText="">
                <anchor>
                  <from>
                    <xdr:col>23</xdr:col>
                    <xdr:colOff>76200</xdr:colOff>
                    <xdr:row>39</xdr:row>
                    <xdr:rowOff>28575</xdr:rowOff>
                  </from>
                  <to>
                    <xdr:col>36</xdr:col>
                    <xdr:colOff>47625</xdr:colOff>
                    <xdr:row>41</xdr:row>
                    <xdr:rowOff>9525</xdr:rowOff>
                  </to>
                </anchor>
              </controlPr>
            </control>
          </mc:Choice>
        </mc:AlternateContent>
        <mc:AlternateContent xmlns:mc="http://schemas.openxmlformats.org/markup-compatibility/2006">
          <mc:Choice Requires="x14">
            <control shapeId="104450" r:id="rId5" name="Check Box 2">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104451" r:id="rId6" name="Check Box 3">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104452" r:id="rId7" name="Check Box 4">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104453" r:id="rId8" name="Check Box 5">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104454" r:id="rId9" name="Check Box 6">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104455" r:id="rId10" name="Check Box 7">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104456" r:id="rId11" name="Check Box 8">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104457" r:id="rId12" name="Check Box 9">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104458" r:id="rId13" name="Check Box 10">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104459" r:id="rId14" name="Check Box 11">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104460" r:id="rId15" name="Check Box 12">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104461" r:id="rId16" name="Check Box 13">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104462" r:id="rId17" name="Check Box 14">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104463" r:id="rId18" name="Check Box 15">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104464" r:id="rId19" name="Check Box 16">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104465" r:id="rId20" name="Check Box 17">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104466" r:id="rId21" name="Check Box 18">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104467" r:id="rId22" name="Check Box 19">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104468" r:id="rId23" name="Check Box 20">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104469" r:id="rId24" name="Check Box 21">
              <controlPr defaultSize="0" autoFill="0" autoLine="0" autoPict="0" macro="[0]!CheckBox1_Click" altText="">
                <anchor>
                  <from>
                    <xdr:col>23</xdr:col>
                    <xdr:colOff>76200</xdr:colOff>
                    <xdr:row>61</xdr:row>
                    <xdr:rowOff>152400</xdr:rowOff>
                  </from>
                  <to>
                    <xdr:col>36</xdr:col>
                    <xdr:colOff>47625</xdr:colOff>
                    <xdr:row>63</xdr:row>
                    <xdr:rowOff>9525</xdr:rowOff>
                  </to>
                </anchor>
              </controlPr>
            </control>
          </mc:Choice>
        </mc:AlternateContent>
        <mc:AlternateContent xmlns:mc="http://schemas.openxmlformats.org/markup-compatibility/2006">
          <mc:Choice Requires="x14">
            <control shapeId="104470" r:id="rId25" name="Check Box 22">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104471" r:id="rId26" name="Check Box 23">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104472" r:id="rId27" name="Check Box 24">
              <controlPr defaultSize="0" autoFill="0" autoLine="0" autoPict="0" macro="[0]!CheckBox1_Click" altText="">
                <anchor>
                  <from>
                    <xdr:col>23</xdr:col>
                    <xdr:colOff>76200</xdr:colOff>
                    <xdr:row>62</xdr:row>
                    <xdr:rowOff>152400</xdr:rowOff>
                  </from>
                  <to>
                    <xdr:col>36</xdr:col>
                    <xdr:colOff>47625</xdr:colOff>
                    <xdr:row>64</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DA08B2EA-1865-4648-B79D-051F2211FEE2}">
            <x14:dataBar minLength="0" maxLength="100" gradient="0" negativeBarColorSameAsPositive="1">
              <x14:cfvo type="autoMin"/>
              <x14:cfvo type="autoMax"/>
              <x14:axisColor rgb="FF000000"/>
            </x14:dataBar>
          </x14:cfRule>
          <xm:sqref>P10:P32</xm:sqref>
        </x14:conditionalFormatting>
        <x14:conditionalFormatting xmlns:xm="http://schemas.microsoft.com/office/excel/2006/main">
          <x14:cfRule type="dataBar" id="{7E9B0E3D-F7F9-4287-953E-555465CB18B1}">
            <x14:dataBar minLength="0" maxLength="100" gradient="0" negativeBarColorSameAsPositive="1">
              <x14:cfvo type="autoMin"/>
              <x14:cfvo type="autoMax"/>
              <x14:axisColor rgb="FF000000"/>
            </x14:dataBar>
          </x14:cfRule>
          <xm:sqref>P116:P138</xm:sqref>
        </x14:conditionalFormatting>
      </x14:conditionalFormatting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7">
    <tabColor rgb="FFFFC000"/>
  </sheetPr>
  <dimension ref="A1:BS524"/>
  <sheetViews>
    <sheetView showRowColHeaders="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8" width="6.85546875" style="76" customWidth="1"/>
    <col min="9" max="9" width="7.42578125" style="76" customWidth="1"/>
    <col min="10" max="10" width="1.42578125" style="90" customWidth="1"/>
    <col min="11" max="15" width="6.85546875" style="76" customWidth="1"/>
    <col min="16" max="16" width="7.140625" style="76" customWidth="1"/>
    <col min="17" max="17" width="7.42578125" style="76" customWidth="1"/>
    <col min="18" max="18" width="1.42578125" style="76" customWidth="1"/>
    <col min="19" max="19" width="5.7109375" style="76" customWidth="1"/>
    <col min="20" max="20" width="8.28515625" style="76" customWidth="1"/>
    <col min="21" max="21" width="7.7109375" style="76" customWidth="1"/>
    <col min="22" max="22" width="2.140625" style="76" customWidth="1"/>
    <col min="23" max="23" width="6.42578125" style="82" customWidth="1"/>
    <col min="24" max="24" width="4.85546875" style="82" customWidth="1"/>
    <col min="25" max="25" width="17.85546875" style="83" hidden="1" customWidth="1"/>
    <col min="26" max="26" width="19.42578125" style="83" hidden="1" customWidth="1"/>
    <col min="27" max="27" width="19.85546875" style="83" hidden="1" customWidth="1"/>
    <col min="28" max="29" width="16.5703125" style="83" hidden="1" customWidth="1"/>
    <col min="30" max="30" width="8.5703125" style="83" hidden="1" customWidth="1"/>
    <col min="31" max="35" width="12" style="83" hidden="1" customWidth="1"/>
    <col min="36" max="36" width="6.5703125" style="76" hidden="1" customWidth="1"/>
    <col min="37" max="37" width="31.5703125" style="179" customWidth="1"/>
    <col min="38" max="38" width="17" style="76" hidden="1" customWidth="1"/>
    <col min="39" max="43" width="13.5703125" style="76" hidden="1" customWidth="1"/>
    <col min="44" max="70" width="9.140625" style="76" hidden="1" customWidth="1"/>
    <col min="71" max="16384" width="9.140625" style="76"/>
  </cols>
  <sheetData>
    <row r="1" spans="1:50" ht="18.75" customHeight="1" thickBot="1" x14ac:dyDescent="0.25">
      <c r="A1" s="114"/>
      <c r="B1" s="115"/>
      <c r="C1" s="115"/>
      <c r="D1" s="115"/>
      <c r="E1" s="115"/>
      <c r="F1" s="115"/>
      <c r="G1" s="115"/>
      <c r="H1" s="115"/>
      <c r="I1" s="115"/>
      <c r="J1" s="116"/>
      <c r="K1" s="115"/>
      <c r="L1" s="115"/>
      <c r="M1" s="115"/>
      <c r="N1" s="115"/>
      <c r="O1" s="115"/>
      <c r="P1" s="115"/>
      <c r="Q1" s="115"/>
      <c r="R1" s="115"/>
      <c r="S1" s="115"/>
      <c r="T1" s="115"/>
      <c r="U1" s="115"/>
      <c r="V1" s="117"/>
      <c r="W1" s="268"/>
      <c r="X1" s="151"/>
      <c r="Y1" s="175"/>
      <c r="Z1" s="891" t="str">
        <f>IF(Sheet1!$C$3="Annual"," at 31st March"," at last day in quarter")</f>
        <v xml:space="preserve"> at 31st March</v>
      </c>
      <c r="AA1" s="175"/>
      <c r="AB1" s="175"/>
      <c r="AC1" s="175"/>
      <c r="AD1" s="175"/>
      <c r="AE1" s="175"/>
      <c r="AF1" s="175"/>
      <c r="AG1" s="175"/>
      <c r="AH1" s="175"/>
      <c r="AI1" s="175"/>
      <c r="AJ1" s="176"/>
      <c r="AK1" s="411"/>
    </row>
    <row r="2" spans="1:50" ht="18.75" customHeight="1" x14ac:dyDescent="0.2">
      <c r="A2" s="120"/>
      <c r="B2" s="130" t="s">
        <v>21</v>
      </c>
      <c r="C2" s="9"/>
      <c r="D2" s="9"/>
      <c r="E2" s="9"/>
      <c r="F2" s="9"/>
      <c r="G2" s="9"/>
      <c r="H2" s="9"/>
      <c r="I2" s="9"/>
      <c r="J2" s="13"/>
      <c r="K2" s="9"/>
      <c r="L2" s="9"/>
      <c r="M2" s="9"/>
      <c r="N2" s="9"/>
      <c r="O2" s="9"/>
      <c r="P2" s="9"/>
      <c r="Q2" s="9"/>
      <c r="R2" s="9"/>
      <c r="S2" s="9"/>
      <c r="T2" s="9"/>
      <c r="U2" s="9"/>
      <c r="V2" s="119"/>
      <c r="W2" s="157"/>
      <c r="X2" s="147"/>
      <c r="Y2" s="969">
        <v>1</v>
      </c>
      <c r="Z2" s="760" t="str">
        <f>IF(Sheet1!$C$3="Annual","",Sheet1!$D$26)</f>
        <v/>
      </c>
      <c r="AA2" s="761" t="str">
        <f>IF(Sheet1!$C$3="Annual","",Sheet1!$E$26)</f>
        <v/>
      </c>
      <c r="AB2" s="761" t="str">
        <f>IF(Sheet1!$C$3="Annual","",Sheet1!$F$26)</f>
        <v/>
      </c>
      <c r="AC2" s="761" t="str">
        <f>IF(Sheet1!$C$3="Annual","",Sheet1!$G$26)</f>
        <v/>
      </c>
      <c r="AD2" s="762" t="str">
        <f>IF(Sheet1!$C$3="Annual","",Sheet1!$H$26)</f>
        <v/>
      </c>
      <c r="AJ2" s="179"/>
      <c r="AK2" s="153"/>
    </row>
    <row r="3" spans="1:50" ht="18.75" customHeight="1" thickBot="1" x14ac:dyDescent="0.25">
      <c r="A3" s="126"/>
      <c r="B3" s="127"/>
      <c r="C3" s="127"/>
      <c r="D3" s="127"/>
      <c r="E3" s="127"/>
      <c r="F3" s="127"/>
      <c r="G3" s="127"/>
      <c r="H3" s="127"/>
      <c r="I3" s="260"/>
      <c r="J3" s="128"/>
      <c r="K3" s="127"/>
      <c r="L3" s="127"/>
      <c r="M3" s="127"/>
      <c r="N3" s="127"/>
      <c r="O3" s="127"/>
      <c r="P3" s="528"/>
      <c r="Q3" s="127"/>
      <c r="R3" s="127"/>
      <c r="S3" s="127"/>
      <c r="T3" s="260"/>
      <c r="U3" s="127"/>
      <c r="V3" s="129"/>
      <c r="W3" s="157"/>
      <c r="X3" s="147"/>
      <c r="Y3" s="763"/>
      <c r="Z3" s="763" t="str">
        <f>Sheet1!$D$25</f>
        <v>2014-15</v>
      </c>
      <c r="AA3" s="764" t="str">
        <f>Sheet1!$E$25</f>
        <v>2015-16</v>
      </c>
      <c r="AB3" s="764" t="str">
        <f>Sheet1!$F$25</f>
        <v>2016-17</v>
      </c>
      <c r="AC3" s="764" t="str">
        <f>Sheet1!$G$25</f>
        <v>2017-18</v>
      </c>
      <c r="AD3" s="765" t="str">
        <f>Sheet1!$H$25</f>
        <v>2018-19</v>
      </c>
      <c r="AJ3" s="179"/>
      <c r="AK3" s="153"/>
    </row>
    <row r="4" spans="1:50" ht="11.25" customHeight="1" x14ac:dyDescent="0.2">
      <c r="A4" s="114"/>
      <c r="B4" s="115"/>
      <c r="C4" s="115"/>
      <c r="D4" s="115"/>
      <c r="E4" s="115"/>
      <c r="F4" s="115"/>
      <c r="G4" s="115"/>
      <c r="H4" s="115"/>
      <c r="I4" s="115"/>
      <c r="J4" s="116"/>
      <c r="K4" s="115"/>
      <c r="L4" s="115"/>
      <c r="M4" s="115"/>
      <c r="N4" s="115"/>
      <c r="O4" s="115"/>
      <c r="P4" s="115"/>
      <c r="Q4" s="115"/>
      <c r="R4" s="115"/>
      <c r="S4" s="115"/>
      <c r="T4" s="115"/>
      <c r="U4" s="115"/>
      <c r="V4" s="117"/>
      <c r="W4" s="138"/>
      <c r="X4" s="147"/>
      <c r="Y4" s="181"/>
      <c r="Z4" s="181" t="str">
        <f>Home!$D$10</f>
        <v>(none)</v>
      </c>
      <c r="AA4" s="43" t="str">
        <f>"Selected LA- "&amp;Z4</f>
        <v>Selected LA- (none)</v>
      </c>
      <c r="AJ4" s="179"/>
      <c r="AK4" s="153"/>
    </row>
    <row r="5" spans="1:50" s="78" customFormat="1" ht="15" customHeight="1" x14ac:dyDescent="0.2">
      <c r="A5" s="121"/>
      <c r="B5" s="1435" t="str">
        <f>"Number of Looked After Children"&amp;Z1</f>
        <v>Number of Looked After Children at 31st March</v>
      </c>
      <c r="C5" s="1318"/>
      <c r="D5" s="1318"/>
      <c r="E5" s="1318"/>
      <c r="F5" s="1318"/>
      <c r="G5" s="1318"/>
      <c r="H5" s="1318"/>
      <c r="I5" s="1318"/>
      <c r="J5" s="1318"/>
      <c r="K5" s="1318"/>
      <c r="L5" s="1318"/>
      <c r="M5" s="1318"/>
      <c r="N5" s="1318"/>
      <c r="O5" s="872"/>
      <c r="P5" s="872"/>
      <c r="Q5" s="872"/>
      <c r="R5" s="872"/>
      <c r="S5" s="872"/>
      <c r="T5" s="872"/>
      <c r="U5" s="872"/>
      <c r="V5" s="122"/>
      <c r="W5" s="139"/>
      <c r="X5" s="148"/>
      <c r="Y5" s="183"/>
      <c r="Z5" s="183"/>
      <c r="AA5" s="183"/>
      <c r="AB5" s="183"/>
      <c r="AC5" s="183"/>
      <c r="AD5" s="183"/>
      <c r="AE5" s="183"/>
      <c r="AF5" s="183"/>
      <c r="AG5" s="183"/>
      <c r="AH5" s="183"/>
      <c r="AI5" s="183"/>
      <c r="AJ5" s="183"/>
      <c r="AK5" s="154"/>
      <c r="AL5" s="183" t="str">
        <f>CONCATENATE($I$7,"in Number of "&amp;$B2)</f>
        <v>Average Annual Change in Number of Looked After Children</v>
      </c>
      <c r="AR5" s="76"/>
      <c r="AS5" s="76"/>
      <c r="AT5" s="76"/>
      <c r="AU5" s="76"/>
      <c r="AV5" s="76"/>
      <c r="AW5" s="76"/>
      <c r="AX5" s="76"/>
    </row>
    <row r="6" spans="1:50" ht="13.5" customHeight="1" x14ac:dyDescent="0.2">
      <c r="A6" s="120"/>
      <c r="B6" s="1318"/>
      <c r="C6" s="1318"/>
      <c r="D6" s="1318"/>
      <c r="E6" s="1318"/>
      <c r="F6" s="1318"/>
      <c r="G6" s="1318"/>
      <c r="H6" s="1318"/>
      <c r="I6" s="1318"/>
      <c r="J6" s="1318"/>
      <c r="K6" s="1318"/>
      <c r="L6" s="1318"/>
      <c r="M6" s="1318"/>
      <c r="N6" s="1318"/>
      <c r="O6" s="872"/>
      <c r="P6" s="872"/>
      <c r="Q6" s="872"/>
      <c r="R6" s="872"/>
      <c r="S6" s="872"/>
      <c r="T6" s="872"/>
      <c r="U6" s="872"/>
      <c r="V6" s="119"/>
      <c r="W6" s="138"/>
      <c r="X6" s="147"/>
      <c r="Z6" s="185"/>
      <c r="AJ6" s="179"/>
      <c r="AK6" s="153"/>
    </row>
    <row r="7" spans="1:50" s="89" customFormat="1" ht="12.75" customHeight="1" x14ac:dyDescent="0.2">
      <c r="A7" s="123"/>
      <c r="B7" s="1449" t="s">
        <v>190</v>
      </c>
      <c r="C7" s="87"/>
      <c r="D7" s="1545" t="s">
        <v>88</v>
      </c>
      <c r="E7" s="1557"/>
      <c r="F7" s="1557"/>
      <c r="G7" s="1557"/>
      <c r="H7" s="1558"/>
      <c r="I7" s="1439" t="str">
        <f>"Average "&amp;Sheet1!C3&amp;" Change "</f>
        <v xml:space="preserve">Average Annual Change </v>
      </c>
      <c r="J7" s="98"/>
      <c r="K7" s="1562" t="s">
        <v>89</v>
      </c>
      <c r="L7" s="1563"/>
      <c r="M7" s="1563"/>
      <c r="N7" s="1563"/>
      <c r="O7" s="1563"/>
      <c r="P7" s="1563"/>
      <c r="Q7" s="1446" t="str">
        <f>IF(ISNA(O9),"SE Rank "&amp;O8,"SE Rank "&amp;O9)</f>
        <v>SE Rank 2018-19</v>
      </c>
      <c r="R7" s="69"/>
      <c r="S7" s="1451" t="str">
        <f>"Distance from Expected "&amp;Sheet1!$B$8</f>
        <v>Distance from Expected 2019</v>
      </c>
      <c r="T7" s="1452"/>
      <c r="U7" s="1453"/>
      <c r="V7" s="124"/>
      <c r="W7" s="140"/>
      <c r="X7" s="149"/>
      <c r="Y7" s="199"/>
      <c r="Z7" s="199"/>
      <c r="AB7" s="200" t="s">
        <v>79</v>
      </c>
      <c r="AC7" s="185"/>
      <c r="AD7" s="185"/>
      <c r="AE7" s="194"/>
      <c r="AF7" s="194"/>
      <c r="AG7" s="201" t="s">
        <v>92</v>
      </c>
      <c r="AH7" s="185"/>
      <c r="AI7" s="185"/>
      <c r="AJ7" s="199"/>
      <c r="AK7" s="156"/>
      <c r="AL7" s="550"/>
      <c r="AM7" s="550"/>
      <c r="AN7" s="550"/>
      <c r="AO7" s="550"/>
      <c r="AP7" s="550"/>
      <c r="AQ7" s="76"/>
      <c r="AR7" s="76"/>
      <c r="AS7" s="76"/>
      <c r="AT7" s="76"/>
      <c r="AU7" s="76"/>
      <c r="AV7" s="76"/>
      <c r="AW7" s="76"/>
      <c r="AX7" s="76"/>
    </row>
    <row r="8" spans="1:50" s="89" customFormat="1" ht="12.75" customHeight="1" x14ac:dyDescent="0.2">
      <c r="A8" s="286"/>
      <c r="B8" s="1449"/>
      <c r="C8" s="87"/>
      <c r="D8" s="755" t="str">
        <f>Sheet1!$D$25</f>
        <v>2014-15</v>
      </c>
      <c r="E8" s="756" t="str">
        <f>Sheet1!$E$25</f>
        <v>2015-16</v>
      </c>
      <c r="F8" s="756" t="str">
        <f>Sheet1!$F$25</f>
        <v>2016-17</v>
      </c>
      <c r="G8" s="756" t="str">
        <f>Sheet1!$G$25</f>
        <v>2017-18</v>
      </c>
      <c r="H8" s="757" t="str">
        <f>Sheet1!$H$25</f>
        <v>2018-19</v>
      </c>
      <c r="I8" s="1440"/>
      <c r="J8" s="98"/>
      <c r="K8" s="768" t="str">
        <f>Sheet1!$D$25</f>
        <v>2014-15</v>
      </c>
      <c r="L8" s="769" t="str">
        <f>Sheet1!$E$25</f>
        <v>2015-16</v>
      </c>
      <c r="M8" s="769" t="str">
        <f>Sheet1!$F$25</f>
        <v>2016-17</v>
      </c>
      <c r="N8" s="769" t="str">
        <f>Sheet1!$G$25</f>
        <v>2017-18</v>
      </c>
      <c r="O8" s="1457" t="str">
        <f>Sheet1!$H$25</f>
        <v>2018-19</v>
      </c>
      <c r="P8" s="1458"/>
      <c r="Q8" s="1447"/>
      <c r="R8" s="69"/>
      <c r="S8" s="1454"/>
      <c r="T8" s="1455"/>
      <c r="U8" s="1456"/>
      <c r="V8" s="124"/>
      <c r="W8" s="140"/>
      <c r="X8" s="149"/>
      <c r="Y8" s="199"/>
      <c r="Z8" s="1423" t="s">
        <v>76</v>
      </c>
      <c r="AA8" s="1423" t="s">
        <v>77</v>
      </c>
      <c r="AB8" s="730" t="str">
        <f>Sheet1!$D$25</f>
        <v>2014-15</v>
      </c>
      <c r="AC8" s="730" t="str">
        <f>Sheet1!$E$25</f>
        <v>2015-16</v>
      </c>
      <c r="AD8" s="730" t="str">
        <f>Sheet1!$F$25</f>
        <v>2016-17</v>
      </c>
      <c r="AE8" s="730" t="str">
        <f>Sheet1!$G$25</f>
        <v>2017-18</v>
      </c>
      <c r="AF8" s="730" t="str">
        <f>Sheet1!$H$25</f>
        <v>2018-19</v>
      </c>
      <c r="AG8" s="201"/>
      <c r="AH8" s="185"/>
      <c r="AI8" s="185"/>
      <c r="AJ8" s="199"/>
      <c r="AK8" s="156"/>
      <c r="AL8" s="874"/>
      <c r="AM8" s="874"/>
      <c r="AN8" s="874"/>
      <c r="AO8" s="874"/>
      <c r="AP8" s="874"/>
      <c r="AR8" s="76"/>
      <c r="AS8" s="76"/>
      <c r="AT8" s="76"/>
      <c r="AU8" s="76"/>
      <c r="AV8" s="76"/>
      <c r="AW8" s="76"/>
      <c r="AX8" s="76"/>
    </row>
    <row r="9" spans="1:50" s="89" customFormat="1" ht="12.75" customHeight="1" x14ac:dyDescent="0.2">
      <c r="A9" s="123"/>
      <c r="B9" s="1450"/>
      <c r="C9" s="87"/>
      <c r="D9" s="758" t="e">
        <f>Sheet1!$D$26</f>
        <v>#N/A</v>
      </c>
      <c r="E9" s="758" t="e">
        <f>Sheet1!$E$26</f>
        <v>#N/A</v>
      </c>
      <c r="F9" s="758" t="e">
        <f>Sheet1!$F$26</f>
        <v>#N/A</v>
      </c>
      <c r="G9" s="758" t="e">
        <f>Sheet1!$G$26</f>
        <v>#N/A</v>
      </c>
      <c r="H9" s="759" t="e">
        <f>Sheet1!$H$26</f>
        <v>#N/A</v>
      </c>
      <c r="I9" s="1441"/>
      <c r="J9" s="98"/>
      <c r="K9" s="758" t="e">
        <f>Sheet1!$D$26</f>
        <v>#N/A</v>
      </c>
      <c r="L9" s="758" t="e">
        <f>Sheet1!$E$26</f>
        <v>#N/A</v>
      </c>
      <c r="M9" s="758" t="e">
        <f>Sheet1!$F$26</f>
        <v>#N/A</v>
      </c>
      <c r="N9" s="758" t="e">
        <f>Sheet1!$G$26</f>
        <v>#N/A</v>
      </c>
      <c r="O9" s="1433" t="e">
        <f>Sheet1!$H$26</f>
        <v>#N/A</v>
      </c>
      <c r="P9" s="1434"/>
      <c r="Q9" s="1448"/>
      <c r="R9" s="69"/>
      <c r="S9" s="871" t="s">
        <v>78</v>
      </c>
      <c r="T9" s="794" t="s">
        <v>127</v>
      </c>
      <c r="U9" s="795" t="s">
        <v>128</v>
      </c>
      <c r="V9" s="124"/>
      <c r="W9" s="140"/>
      <c r="X9" s="149"/>
      <c r="Y9" s="199"/>
      <c r="Z9" s="1424"/>
      <c r="AA9" s="1424"/>
      <c r="AB9" s="730" t="e">
        <f>Sheet1!$D$26</f>
        <v>#N/A</v>
      </c>
      <c r="AC9" s="730" t="e">
        <f>Sheet1!$E$26</f>
        <v>#N/A</v>
      </c>
      <c r="AD9" s="730" t="e">
        <f>Sheet1!$F$26</f>
        <v>#N/A</v>
      </c>
      <c r="AE9" s="730" t="e">
        <f>Sheet1!$G$26</f>
        <v>#N/A</v>
      </c>
      <c r="AF9" s="730" t="e">
        <f>Sheet1!$H$26</f>
        <v>#N/A</v>
      </c>
      <c r="AG9" s="185"/>
      <c r="AH9" s="185">
        <f>COLUMNS($B$4:O$4)</f>
        <v>14</v>
      </c>
      <c r="AI9" s="185"/>
      <c r="AJ9" s="199"/>
      <c r="AK9" s="156"/>
      <c r="AL9" s="878" t="s">
        <v>686</v>
      </c>
      <c r="AM9" s="878" t="s">
        <v>687</v>
      </c>
      <c r="AN9" s="878" t="s">
        <v>688</v>
      </c>
      <c r="AO9" s="878" t="s">
        <v>689</v>
      </c>
      <c r="AP9" s="878" t="s">
        <v>690</v>
      </c>
      <c r="AR9" s="76"/>
      <c r="AS9" s="76"/>
      <c r="AT9" s="76"/>
      <c r="AU9" s="76"/>
      <c r="AV9" s="76"/>
      <c r="AW9" s="76"/>
      <c r="AX9" s="76"/>
    </row>
    <row r="10" spans="1:50" s="89" customFormat="1" ht="13.5" customHeight="1" x14ac:dyDescent="0.2">
      <c r="A10" s="462">
        <f>VLOOKUP(B10,Sheet1!$AQ$4:$AR$25,2,FALSE)</f>
        <v>0</v>
      </c>
      <c r="B10" s="95" t="str">
        <f>Sheet1!$K$4</f>
        <v>Bracknell Forest</v>
      </c>
      <c r="C10" s="87"/>
      <c r="D10" s="96">
        <f>IF(Year1_Bracknell_Forest Year1_LAC="","",Year1_Bracknell_Forest Year1_LAC)</f>
        <v>104</v>
      </c>
      <c r="E10" s="96">
        <f>IF(Year2_Bracknell_Forest Year2_LAC="","",Year2_Bracknell_Forest Year2_LAC)</f>
        <v>98</v>
      </c>
      <c r="F10" s="96">
        <f>IF(Year3_Bracknell_Forest Year3_LAC="","",Year3_Bracknell_Forest Year3_LAC)</f>
        <v>116</v>
      </c>
      <c r="G10" s="96">
        <f>IF(Year4_Bracknell_Forest Year4_LAC="","",Year4_Bracknell_Forest Year4_LAC)</f>
        <v>138</v>
      </c>
      <c r="H10" s="97">
        <f>IF(Year5_Bracknell_Forest Year5_LAC="","",Year5_Bracknell_Forest Year5_LAC)</f>
        <v>158</v>
      </c>
      <c r="I10" s="337">
        <f>AP10</f>
        <v>0.11514096758528114</v>
      </c>
      <c r="J10" s="98"/>
      <c r="K10" s="99">
        <f>IF(ISNUMBER(D10),D10/Population!D10*10000,NA())</f>
        <v>37.410071942446045</v>
      </c>
      <c r="L10" s="99">
        <f>IF(ISNUMBER(E10),E10/Population!E10*10000,NA())</f>
        <v>34.751773049645394</v>
      </c>
      <c r="M10" s="99">
        <f>IF(ISNUMBER(F10),F10/Population!F10*10000,NA())</f>
        <v>41.134751773049643</v>
      </c>
      <c r="N10" s="99">
        <f>IF(ISNUMBER(G10),G10/Population!G10*10000,NA())</f>
        <v>49.110320284697508</v>
      </c>
      <c r="O10" s="100">
        <f>IF(ISNUMBER(H10),H10/Population!H10*10000,NA())</f>
        <v>55.830388692579504</v>
      </c>
      <c r="P10" s="101">
        <f>IF(ISNUMBER(O10),O10,"")</f>
        <v>55.830388692579504</v>
      </c>
      <c r="Q10" s="886">
        <f>IF(ISNA(VLOOKUP(B10,$AG$10:$AI$28,3,FALSE)),"--",IF(ISNUMBER(H10),VLOOKUP(B10,$AG$10:$AI$28,3,FALSE),NA()))</f>
        <v>11</v>
      </c>
      <c r="R10" s="69"/>
      <c r="S10" s="333">
        <f>IDACI!C9</f>
        <v>8.9</v>
      </c>
      <c r="T10" s="334">
        <f t="shared" ref="T10:T33" si="0">(S10*$Z$44)+$AA$44</f>
        <v>40.394606367672125</v>
      </c>
      <c r="U10" s="335">
        <f>O10-T10</f>
        <v>15.435782324907379</v>
      </c>
      <c r="V10" s="124"/>
      <c r="W10" s="140"/>
      <c r="X10" s="149"/>
      <c r="Y10" s="71" t="str">
        <f t="shared" ref="Y10:Y33" si="1">B10</f>
        <v>Bracknell Forest</v>
      </c>
      <c r="Z10" s="45">
        <f>IF(ISNUMBER(H10),IDACI!D9,0)</f>
        <v>24849</v>
      </c>
      <c r="AA10" s="45">
        <f>IF(ISNUMBER(H10),IDACI!E9,0)</f>
        <v>2211.5610000000001</v>
      </c>
      <c r="AB10" s="202">
        <f>IF(ISNUMBER(D10),Population!D10,"")</f>
        <v>27800</v>
      </c>
      <c r="AC10" s="202">
        <f>IF(ISNUMBER(E10),Population!E10,"")</f>
        <v>28200</v>
      </c>
      <c r="AD10" s="202">
        <f>IF(ISNUMBER(F10),Population!F10,"")</f>
        <v>28200</v>
      </c>
      <c r="AE10" s="202">
        <f>IF(ISNUMBER(G10),Population!G10,"")</f>
        <v>28100</v>
      </c>
      <c r="AF10" s="202">
        <f>IF(ISNUMBER(H10),Population!H10,"")</f>
        <v>28300</v>
      </c>
      <c r="AG10" s="95" t="str">
        <f>B10</f>
        <v>Bracknell Forest</v>
      </c>
      <c r="AH10" s="225">
        <f>IFERROR(VLOOKUP(AG10,$B$10:$O$31,AH$9,FALSE),"")</f>
        <v>55.830388692579504</v>
      </c>
      <c r="AI10" s="203">
        <f>RANK(AH10,$AH$10:$AH$28,1)</f>
        <v>11</v>
      </c>
      <c r="AJ10" s="199"/>
      <c r="AK10" s="156"/>
      <c r="AL10" s="792">
        <f>IF(ISERROR((E10-D10)/D10),"x",(E10-D10)/D10)</f>
        <v>-5.7692307692307696E-2</v>
      </c>
      <c r="AM10" s="792">
        <f>IF(ISERROR((F10-E10)/E10),"x",(F10-E10)/E10)</f>
        <v>0.18367346938775511</v>
      </c>
      <c r="AN10" s="792">
        <f>IF(ISERROR((G10-F10)/F10),"x",(G10-F10)/F10)</f>
        <v>0.18965517241379309</v>
      </c>
      <c r="AO10" s="792">
        <f>IF(ISERROR((H10-G10)/G10),"x",(H10-G10)/G10)</f>
        <v>0.14492753623188406</v>
      </c>
      <c r="AP10" s="792">
        <f>AVERAGE(AL10:AO10)</f>
        <v>0.11514096758528114</v>
      </c>
      <c r="AR10" s="76"/>
      <c r="AS10" s="76"/>
      <c r="AT10" s="76"/>
      <c r="AU10" s="76"/>
      <c r="AV10" s="76"/>
      <c r="AW10" s="76"/>
      <c r="AX10" s="76"/>
    </row>
    <row r="11" spans="1:50" s="89" customFormat="1" ht="13.5" customHeight="1" x14ac:dyDescent="0.2">
      <c r="A11" s="462">
        <f>VLOOKUP(B11,Sheet1!$AQ$4:$AR$25,2,FALSE)</f>
        <v>0</v>
      </c>
      <c r="B11" s="95" t="str">
        <f>Sheet1!$K$5</f>
        <v>Brighton &amp; Hove</v>
      </c>
      <c r="C11" s="87"/>
      <c r="D11" s="96">
        <f>IF(Year1_Brighton_Hove Year1_LAC="","",Year1_Brighton_Hove Year1_LAC)</f>
        <v>472</v>
      </c>
      <c r="E11" s="96">
        <f>IF(Year2_Brighton_Hove Year2_LAC="","",Year2_Brighton_Hove Year2_LAC)</f>
        <v>438</v>
      </c>
      <c r="F11" s="96">
        <f>IF(Year3_Brighton_Hove Year3_LAC="","",Year3_Brighton_Hove Year3_LAC)</f>
        <v>456</v>
      </c>
      <c r="G11" s="96">
        <f>IF(Year4_Brighton_Hove Year4_LAC="","",Year4_Brighton_Hove Year4_LAC)</f>
        <v>419</v>
      </c>
      <c r="H11" s="97">
        <f>IF(Year5_Brighton_Hove Year5_LAC="","",Year5_Brighton_Hove Year5_LAC)</f>
        <v>391</v>
      </c>
      <c r="I11" s="337">
        <f t="shared" ref="I11:I33" si="2">AP11</f>
        <v>-4.4726033606910853E-2</v>
      </c>
      <c r="J11" s="98"/>
      <c r="K11" s="99">
        <f>IF(ISNUMBER(D11),D11/Population!D11*10000,NA())</f>
        <v>92.54901960784315</v>
      </c>
      <c r="L11" s="99">
        <f>IF(ISNUMBER(E11),E11/Population!E11*10000,NA())</f>
        <v>85.546875</v>
      </c>
      <c r="M11" s="99">
        <f>IF(ISNUMBER(F11),F11/Population!F11*10000,NA())</f>
        <v>88.888888888888886</v>
      </c>
      <c r="N11" s="99">
        <f>IF(ISNUMBER(G11),G11/Population!G11*10000,NA())</f>
        <v>82.156862745098039</v>
      </c>
      <c r="O11" s="100">
        <f>IF(ISNUMBER(H11),H11/Population!H11*10000,NA())</f>
        <v>76.666666666666657</v>
      </c>
      <c r="P11" s="101">
        <f t="shared" ref="P11:P32" si="3">IF(ISNUMBER(O11),O11,"")</f>
        <v>76.666666666666657</v>
      </c>
      <c r="Q11" s="886">
        <f t="shared" ref="Q11:Q33" si="4">IF(ISNA(VLOOKUP(B11,$AG$10:$AI$28,3,FALSE)),"--",IF(ISNUMBER(H11),VLOOKUP(B11,$AG$10:$AI$28,3,FALSE),NA()))</f>
        <v>16</v>
      </c>
      <c r="R11" s="69"/>
      <c r="S11" s="333">
        <f>IDACI!C10</f>
        <v>15.299999999999999</v>
      </c>
      <c r="T11" s="334">
        <f t="shared" si="0"/>
        <v>63.032641086687512</v>
      </c>
      <c r="U11" s="335">
        <f t="shared" ref="U11:U33" si="5">O11-T11</f>
        <v>13.634025579979145</v>
      </c>
      <c r="V11" s="124"/>
      <c r="W11" s="140"/>
      <c r="X11" s="149"/>
      <c r="Y11" s="71" t="str">
        <f t="shared" si="1"/>
        <v>Brighton &amp; Hove</v>
      </c>
      <c r="Z11" s="45">
        <f>IF(ISNUMBER(H11),IDACI!D10,0)</f>
        <v>45576</v>
      </c>
      <c r="AA11" s="45">
        <f>IF(ISNUMBER(H11),IDACI!E10,0)</f>
        <v>6973.1279999999997</v>
      </c>
      <c r="AB11" s="202">
        <f>IF(ISNUMBER(D11),Population!D11,"")</f>
        <v>51000</v>
      </c>
      <c r="AC11" s="202">
        <f>IF(ISNUMBER(E11),Population!E11,"")</f>
        <v>51200</v>
      </c>
      <c r="AD11" s="202">
        <f>IF(ISNUMBER(F11),Population!F11,"")</f>
        <v>51300</v>
      </c>
      <c r="AE11" s="202">
        <f>IF(ISNUMBER(G11),Population!G11,"")</f>
        <v>51000</v>
      </c>
      <c r="AF11" s="202">
        <f>IF(ISNUMBER(H11),Population!H11,"")</f>
        <v>51000</v>
      </c>
      <c r="AG11" s="95" t="s">
        <v>31</v>
      </c>
      <c r="AH11" s="225">
        <f t="shared" ref="AH11:AH28" si="6">IFERROR(VLOOKUP(AG11,$B$10:$O$31,AH$9,FALSE),"")</f>
        <v>76.666666666666657</v>
      </c>
      <c r="AI11" s="203">
        <f t="shared" ref="AI11:AI28" si="7">RANK(AH11,$AH$10:$AH$28,1)</f>
        <v>16</v>
      </c>
      <c r="AJ11" s="199"/>
      <c r="AK11" s="156"/>
      <c r="AL11" s="792">
        <f t="shared" ref="AL11:AO33" si="8">IF(ISERROR((E11-D11)/D11),"x",(E11-D11)/D11)</f>
        <v>-7.2033898305084748E-2</v>
      </c>
      <c r="AM11" s="792">
        <f t="shared" si="8"/>
        <v>4.1095890410958902E-2</v>
      </c>
      <c r="AN11" s="792">
        <f t="shared" si="8"/>
        <v>-8.1140350877192985E-2</v>
      </c>
      <c r="AO11" s="792">
        <f t="shared" si="8"/>
        <v>-6.6825775656324582E-2</v>
      </c>
      <c r="AP11" s="792">
        <f t="shared" ref="AP11:AP32" si="9">AVERAGE(AL11:AO11)</f>
        <v>-4.4726033606910853E-2</v>
      </c>
      <c r="AR11" s="76"/>
      <c r="AS11" s="76"/>
      <c r="AT11" s="76"/>
      <c r="AU11" s="76"/>
      <c r="AV11" s="76"/>
      <c r="AW11" s="76"/>
      <c r="AX11" s="76"/>
    </row>
    <row r="12" spans="1:50" s="89" customFormat="1" ht="13.5" customHeight="1" x14ac:dyDescent="0.2">
      <c r="A12" s="462">
        <f>VLOOKUP(B12,Sheet1!$AQ$4:$AR$25,2,FALSE)</f>
        <v>0</v>
      </c>
      <c r="B12" s="95" t="str">
        <f>Sheet1!$K$6</f>
        <v>Buckinghamshire</v>
      </c>
      <c r="C12" s="87"/>
      <c r="D12" s="96">
        <f>IF(Year1_Buckinghamshire Year1_LAC="","",Year1_Buckinghamshire Year1_LAC)</f>
        <v>435</v>
      </c>
      <c r="E12" s="96">
        <f>IF(Year2_Buckinghamshire Year2_LAC="","",Year2_Buckinghamshire Year2_LAC)</f>
        <v>459</v>
      </c>
      <c r="F12" s="96">
        <f>IF(Year3_Buckinghamshire Year3_LAC="","",Year3_Buckinghamshire Year3_LAC)</f>
        <v>454</v>
      </c>
      <c r="G12" s="96">
        <f>IF(Year4_Buckinghamshire Year4_LAC="","",Year4_Buckinghamshire Year4_LAC)</f>
        <v>472</v>
      </c>
      <c r="H12" s="97">
        <f>IF(Year5_Buckinghamshire Year5_LAC="","",Year5_Buckinghamshire Year5_LAC)</f>
        <v>515</v>
      </c>
      <c r="I12" s="337">
        <f t="shared" si="2"/>
        <v>4.375710990337621E-2</v>
      </c>
      <c r="J12" s="98"/>
      <c r="K12" s="99">
        <f>IF(ISNUMBER(D12),D12/Population!D12*10000,NA())</f>
        <v>36.585365853658537</v>
      </c>
      <c r="L12" s="99">
        <f>IF(ISNUMBER(E12),E12/Population!E12*10000,NA())</f>
        <v>38.059701492537314</v>
      </c>
      <c r="M12" s="99">
        <f>IF(ISNUMBER(F12),F12/Population!F12*10000,NA())</f>
        <v>37.152209492635023</v>
      </c>
      <c r="N12" s="99">
        <f>IF(ISNUMBER(G12),G12/Population!G12*10000,NA())</f>
        <v>38.342810722989441</v>
      </c>
      <c r="O12" s="100">
        <f>IF(ISNUMBER(H12),H12/Population!H12*10000,NA())</f>
        <v>41.432019308125504</v>
      </c>
      <c r="P12" s="101">
        <f t="shared" si="3"/>
        <v>41.432019308125504</v>
      </c>
      <c r="Q12" s="886">
        <f t="shared" si="4"/>
        <v>5</v>
      </c>
      <c r="R12" s="69"/>
      <c r="S12" s="333">
        <f>IDACI!C11</f>
        <v>8.5</v>
      </c>
      <c r="T12" s="334">
        <f t="shared" si="0"/>
        <v>38.979729197733661</v>
      </c>
      <c r="U12" s="335">
        <f t="shared" si="5"/>
        <v>2.4522901103918429</v>
      </c>
      <c r="V12" s="124"/>
      <c r="W12" s="140"/>
      <c r="X12" s="149"/>
      <c r="Y12" s="71" t="str">
        <f t="shared" si="1"/>
        <v>Buckinghamshire</v>
      </c>
      <c r="Z12" s="45">
        <f>IF(ISNUMBER(H12),IDACI!D11,0)</f>
        <v>107385</v>
      </c>
      <c r="AA12" s="45">
        <f>IF(ISNUMBER(H12),IDACI!E11,0)</f>
        <v>9127.7250000000004</v>
      </c>
      <c r="AB12" s="202">
        <f>IF(ISNUMBER(D12),Population!D12,"")</f>
        <v>118900</v>
      </c>
      <c r="AC12" s="202">
        <f>IF(ISNUMBER(E12),Population!E12,"")</f>
        <v>120600</v>
      </c>
      <c r="AD12" s="202">
        <f>IF(ISNUMBER(F12),Population!F12,"")</f>
        <v>122200</v>
      </c>
      <c r="AE12" s="202">
        <f>IF(ISNUMBER(G12),Population!G12,"")</f>
        <v>123100</v>
      </c>
      <c r="AF12" s="202">
        <f>IF(ISNUMBER(H12),Population!H12,"")</f>
        <v>124300</v>
      </c>
      <c r="AG12" s="95" t="s">
        <v>8</v>
      </c>
      <c r="AH12" s="225">
        <f t="shared" si="6"/>
        <v>41.432019308125504</v>
      </c>
      <c r="AI12" s="203">
        <f t="shared" si="7"/>
        <v>5</v>
      </c>
      <c r="AJ12" s="199"/>
      <c r="AK12" s="156"/>
      <c r="AL12" s="792">
        <f t="shared" si="8"/>
        <v>5.5172413793103448E-2</v>
      </c>
      <c r="AM12" s="792">
        <f t="shared" si="8"/>
        <v>-1.0893246187363835E-2</v>
      </c>
      <c r="AN12" s="792">
        <f t="shared" si="8"/>
        <v>3.9647577092511016E-2</v>
      </c>
      <c r="AO12" s="792">
        <f t="shared" si="8"/>
        <v>9.110169491525423E-2</v>
      </c>
      <c r="AP12" s="792">
        <f t="shared" si="9"/>
        <v>4.375710990337621E-2</v>
      </c>
      <c r="AR12" s="76"/>
      <c r="AS12" s="76"/>
      <c r="AT12" s="76"/>
      <c r="AU12" s="76"/>
      <c r="AV12" s="76"/>
      <c r="AW12" s="76"/>
      <c r="AX12" s="76"/>
    </row>
    <row r="13" spans="1:50" s="89" customFormat="1" ht="13.5" customHeight="1" x14ac:dyDescent="0.2">
      <c r="A13" s="462">
        <f>VLOOKUP(B13,Sheet1!$AQ$4:$AR$25,2,FALSE)</f>
        <v>0</v>
      </c>
      <c r="B13" s="95" t="str">
        <f>Sheet1!$K$7</f>
        <v>East Sussex</v>
      </c>
      <c r="C13" s="87"/>
      <c r="D13" s="96">
        <f>IF(Year1_East_Sussex Year1_LAC="","",Year1_East_Sussex Year1_LAC)</f>
        <v>546</v>
      </c>
      <c r="E13" s="102">
        <f>IF(Year2_East_Sussex Year2_LAC="","",Year2_East_Sussex Year2_LAC)</f>
        <v>543</v>
      </c>
      <c r="F13" s="96">
        <f>IF(Year3_East_Sussex Year3_LAC="","",Year3_East_Sussex Year3_LAC)</f>
        <v>555</v>
      </c>
      <c r="G13" s="96">
        <f>IF(Year4_East_Sussex Year4_LAC="","",Year4_East_Sussex Year4_LAC)</f>
        <v>602</v>
      </c>
      <c r="H13" s="97">
        <f>IF(Year5_East_Sussex Year5_LAC="","",Year5_East_Sussex Year5_LAC)</f>
        <v>600</v>
      </c>
      <c r="I13" s="337">
        <f t="shared" si="2"/>
        <v>2.4491841891944678E-2</v>
      </c>
      <c r="J13" s="98"/>
      <c r="K13" s="99">
        <f>IF(ISNUMBER(D13),D13/Population!D13*10000,NA())</f>
        <v>51.802656546489565</v>
      </c>
      <c r="L13" s="99">
        <f>IF(ISNUMBER(E13),E13/Population!E13*10000,NA())</f>
        <v>51.274787535410766</v>
      </c>
      <c r="M13" s="99">
        <f>IF(ISNUMBER(F13),F13/Population!F13*10000,NA())</f>
        <v>52.407932011331447</v>
      </c>
      <c r="N13" s="99">
        <f>IF(ISNUMBER(G13),G13/Population!G13*10000,NA())</f>
        <v>56.79245283018868</v>
      </c>
      <c r="O13" s="100">
        <f>IF(ISNUMBER(H13),H13/Population!H13*10000,NA())</f>
        <v>56.390977443609017</v>
      </c>
      <c r="P13" s="101">
        <f t="shared" si="3"/>
        <v>56.390977443609017</v>
      </c>
      <c r="Q13" s="886">
        <f t="shared" si="4"/>
        <v>12</v>
      </c>
      <c r="R13" s="69"/>
      <c r="S13" s="333">
        <f>IDACI!C12</f>
        <v>16.100000000000001</v>
      </c>
      <c r="T13" s="334">
        <f t="shared" si="0"/>
        <v>65.862395426564447</v>
      </c>
      <c r="U13" s="335">
        <f t="shared" si="5"/>
        <v>-9.4714179829554297</v>
      </c>
      <c r="V13" s="124"/>
      <c r="W13" s="140"/>
      <c r="X13" s="149"/>
      <c r="Y13" s="71" t="str">
        <f t="shared" si="1"/>
        <v>East Sussex</v>
      </c>
      <c r="Z13" s="45">
        <f>IF(ISNUMBER(H13),IDACI!D12,0)</f>
        <v>93130</v>
      </c>
      <c r="AA13" s="45">
        <f>IF(ISNUMBER(H13),IDACI!E12,0)</f>
        <v>14993.93</v>
      </c>
      <c r="AB13" s="202">
        <f>IF(ISNUMBER(D13),Population!D13,"")</f>
        <v>105400</v>
      </c>
      <c r="AC13" s="202">
        <f>IF(ISNUMBER(E13),Population!E13,"")</f>
        <v>105900</v>
      </c>
      <c r="AD13" s="202">
        <f>IF(ISNUMBER(F13),Population!F13,"")</f>
        <v>105900</v>
      </c>
      <c r="AE13" s="202">
        <f>IF(ISNUMBER(G13),Population!G13,"")</f>
        <v>106000</v>
      </c>
      <c r="AF13" s="202">
        <f>IF(ISNUMBER(H13),Population!H13,"")</f>
        <v>106400</v>
      </c>
      <c r="AG13" s="95" t="s">
        <v>4</v>
      </c>
      <c r="AH13" s="225">
        <f t="shared" si="6"/>
        <v>56.390977443609017</v>
      </c>
      <c r="AI13" s="203">
        <f t="shared" si="7"/>
        <v>12</v>
      </c>
      <c r="AJ13" s="199"/>
      <c r="AK13" s="156"/>
      <c r="AL13" s="792">
        <f t="shared" si="8"/>
        <v>-5.4945054945054949E-3</v>
      </c>
      <c r="AM13" s="792">
        <f t="shared" si="8"/>
        <v>2.2099447513812154E-2</v>
      </c>
      <c r="AN13" s="792">
        <f t="shared" si="8"/>
        <v>8.468468468468468E-2</v>
      </c>
      <c r="AO13" s="792">
        <f t="shared" si="8"/>
        <v>-3.3222591362126247E-3</v>
      </c>
      <c r="AP13" s="792">
        <f t="shared" si="9"/>
        <v>2.4491841891944678E-2</v>
      </c>
      <c r="AR13" s="76"/>
      <c r="AS13" s="76"/>
      <c r="AT13" s="76"/>
      <c r="AU13" s="76"/>
      <c r="AV13" s="76"/>
      <c r="AW13" s="76"/>
      <c r="AX13" s="76"/>
    </row>
    <row r="14" spans="1:50" s="89" customFormat="1" ht="13.5" customHeight="1" x14ac:dyDescent="0.2">
      <c r="A14" s="462">
        <f>VLOOKUP(B14,Sheet1!$AQ$4:$AR$25,2,FALSE)</f>
        <v>0</v>
      </c>
      <c r="B14" s="95" t="str">
        <f>Sheet1!$K$8</f>
        <v>Hampshire</v>
      </c>
      <c r="C14" s="87"/>
      <c r="D14" s="96">
        <f>IF(Year1_Hampshire Year1_LAC="","",Year1_Hampshire Year1_LAC)</f>
        <v>1333</v>
      </c>
      <c r="E14" s="96">
        <f>IF(Year2_Hampshire Year2_LAC="","",Year2_Hampshire Year2_LAC)</f>
        <v>1305</v>
      </c>
      <c r="F14" s="103">
        <f>IF(Year3_Hampshire Year3_LAC="","",Year3_Hampshire Year3_LAC)</f>
        <v>1440</v>
      </c>
      <c r="G14" s="103">
        <f>IF(Year4_Hampshire Year4_LAC="","",Year4_Hampshire Year4_LAC)</f>
        <v>1594</v>
      </c>
      <c r="H14" s="97">
        <f>IF(Year5_Hampshire Year5_LAC="","",Year5_Hampshire Year5_LAC)</f>
        <v>1664</v>
      </c>
      <c r="I14" s="337">
        <f t="shared" si="2"/>
        <v>5.8325537260968348E-2</v>
      </c>
      <c r="J14" s="98"/>
      <c r="K14" s="99">
        <f>IF(ISNUMBER(D14),D14/Population!D14*10000,NA())</f>
        <v>47.353463587921851</v>
      </c>
      <c r="L14" s="99">
        <f>IF(ISNUMBER(E14),E14/Population!E14*10000,NA())</f>
        <v>46.293011706278826</v>
      </c>
      <c r="M14" s="99">
        <f>IF(ISNUMBER(F14),F14/Population!F14*10000,NA())</f>
        <v>50.919377652050912</v>
      </c>
      <c r="N14" s="99">
        <f>IF(ISNUMBER(G14),G14/Population!G14*10000,NA())</f>
        <v>56.265442993293327</v>
      </c>
      <c r="O14" s="100">
        <f>IF(ISNUMBER(H14),H14/Population!H14*10000,NA())</f>
        <v>58.591549295774648</v>
      </c>
      <c r="P14" s="101">
        <f t="shared" si="3"/>
        <v>58.591549295774648</v>
      </c>
      <c r="Q14" s="886">
        <f t="shared" si="4"/>
        <v>13</v>
      </c>
      <c r="R14" s="69"/>
      <c r="S14" s="333">
        <f>IDACI!C13</f>
        <v>10.100000000000001</v>
      </c>
      <c r="T14" s="334">
        <f t="shared" si="0"/>
        <v>44.639237877487517</v>
      </c>
      <c r="U14" s="335">
        <f t="shared" si="5"/>
        <v>13.952311418287131</v>
      </c>
      <c r="V14" s="124"/>
      <c r="W14" s="140"/>
      <c r="X14" s="149"/>
      <c r="Y14" s="71" t="str">
        <f t="shared" si="1"/>
        <v>Hampshire</v>
      </c>
      <c r="Z14" s="45">
        <f>IF(ISNUMBER(H14),IDACI!D13,0)</f>
        <v>249483</v>
      </c>
      <c r="AA14" s="45">
        <f>IF(ISNUMBER(H14),IDACI!E13,0)</f>
        <v>25197.783000000007</v>
      </c>
      <c r="AB14" s="202">
        <f>IF(ISNUMBER(D14),Population!D14,"")</f>
        <v>281500</v>
      </c>
      <c r="AC14" s="202">
        <f>IF(ISNUMBER(E14),Population!E14,"")</f>
        <v>281900</v>
      </c>
      <c r="AD14" s="202">
        <f>IF(ISNUMBER(F14),Population!F14,"")</f>
        <v>282800</v>
      </c>
      <c r="AE14" s="202">
        <f>IF(ISNUMBER(G14),Population!G14,"")</f>
        <v>283300</v>
      </c>
      <c r="AF14" s="202">
        <f>IF(ISNUMBER(H14),Population!H14,"")</f>
        <v>284000</v>
      </c>
      <c r="AG14" s="95" t="s">
        <v>6</v>
      </c>
      <c r="AH14" s="225">
        <f t="shared" si="6"/>
        <v>58.591549295774648</v>
      </c>
      <c r="AI14" s="203">
        <f t="shared" si="7"/>
        <v>13</v>
      </c>
      <c r="AJ14" s="199"/>
      <c r="AK14" s="156"/>
      <c r="AL14" s="792">
        <f t="shared" si="8"/>
        <v>-2.1005251312828207E-2</v>
      </c>
      <c r="AM14" s="792">
        <f t="shared" si="8"/>
        <v>0.10344827586206896</v>
      </c>
      <c r="AN14" s="792">
        <f t="shared" si="8"/>
        <v>0.10694444444444444</v>
      </c>
      <c r="AO14" s="792">
        <f t="shared" si="8"/>
        <v>4.3914680050188205E-2</v>
      </c>
      <c r="AP14" s="792">
        <f t="shared" si="9"/>
        <v>5.8325537260968348E-2</v>
      </c>
      <c r="AR14" s="76"/>
      <c r="AS14" s="76"/>
      <c r="AT14" s="76"/>
      <c r="AU14" s="76"/>
      <c r="AV14" s="76"/>
      <c r="AW14" s="76"/>
      <c r="AX14" s="76"/>
    </row>
    <row r="15" spans="1:50" s="89" customFormat="1" ht="13.5" customHeight="1" x14ac:dyDescent="0.2">
      <c r="A15" s="462">
        <f>VLOOKUP(B15,Sheet1!$AQ$4:$AR$25,2,FALSE)</f>
        <v>0</v>
      </c>
      <c r="B15" s="95" t="str">
        <f>Sheet1!$K$9</f>
        <v>Isle of Wight</v>
      </c>
      <c r="C15" s="87"/>
      <c r="D15" s="96">
        <f>IF(Year1_Isle_of_Wight Year1_LAC="","",Year1_Isle_of_Wight Year1_LAC)</f>
        <v>202</v>
      </c>
      <c r="E15" s="96">
        <f>IF(Year2_Isle_of_Wight Year2_LAC="","",Year2_Isle_of_Wight Year2_LAC)</f>
        <v>204</v>
      </c>
      <c r="F15" s="96">
        <f>IF(Year3_Isle_of_Wight Year3_LAC="","",Year3_Isle_of_Wight Year3_LAC)</f>
        <v>228</v>
      </c>
      <c r="G15" s="96">
        <f>IF(Year4_Isle_of_Wight Year4_LAC="","",Year4_Isle_of_Wight Year4_LAC)</f>
        <v>226</v>
      </c>
      <c r="H15" s="97">
        <f>IF(Year5_Isle_of_Wight Year5_LAC="","",Year5_Isle_of_Wight Year5_LAC)</f>
        <v>243</v>
      </c>
      <c r="I15" s="337">
        <f t="shared" si="2"/>
        <v>4.8499339509007755E-2</v>
      </c>
      <c r="J15" s="98"/>
      <c r="K15" s="99">
        <f>IF(ISNUMBER(D15),D15/Population!D15*10000,NA())</f>
        <v>79.215686274509807</v>
      </c>
      <c r="L15" s="99">
        <f>IF(ISNUMBER(E15),E15/Population!E15*10000,NA())</f>
        <v>80.632411067193686</v>
      </c>
      <c r="M15" s="99">
        <f>IF(ISNUMBER(F15),F15/Population!F15*10000,NA())</f>
        <v>90.476190476190467</v>
      </c>
      <c r="N15" s="99">
        <f>IF(ISNUMBER(G15),G15/Population!G15*10000,NA())</f>
        <v>90.039840637450197</v>
      </c>
      <c r="O15" s="100">
        <f>IF(ISNUMBER(H15),H15/Population!H15*10000,NA())</f>
        <v>97.590361445783131</v>
      </c>
      <c r="P15" s="101">
        <f t="shared" si="3"/>
        <v>97.590361445783131</v>
      </c>
      <c r="Q15" s="886">
        <f>IF(ISNA(VLOOKUP(B15,$AG$10:$AI$28,3,FALSE)),"--",IF(ISNUMBER(H15),VLOOKUP(B15,$AG$10:$AI$28,3,FALSE),NA()))</f>
        <v>18</v>
      </c>
      <c r="R15" s="69"/>
      <c r="S15" s="333">
        <f>IDACI!C14</f>
        <v>18</v>
      </c>
      <c r="T15" s="334">
        <f t="shared" si="0"/>
        <v>72.58306198377214</v>
      </c>
      <c r="U15" s="335">
        <f t="shared" si="5"/>
        <v>25.007299462010991</v>
      </c>
      <c r="V15" s="124"/>
      <c r="W15" s="140"/>
      <c r="X15" s="149"/>
      <c r="Y15" s="71" t="str">
        <f t="shared" si="1"/>
        <v>Isle of Wight</v>
      </c>
      <c r="Z15" s="45">
        <f>IF(ISNUMBER(H15),IDACI!D14,0)</f>
        <v>22123</v>
      </c>
      <c r="AA15" s="45">
        <f>IF(ISNUMBER(H15),IDACI!E14,0)</f>
        <v>3982.14</v>
      </c>
      <c r="AB15" s="202">
        <f>IF(ISNUMBER(D15),Population!D15,"")</f>
        <v>25500</v>
      </c>
      <c r="AC15" s="202">
        <f>IF(ISNUMBER(E15),Population!E15,"")</f>
        <v>25300</v>
      </c>
      <c r="AD15" s="202">
        <f>IF(ISNUMBER(F15),Population!F15,"")</f>
        <v>25200</v>
      </c>
      <c r="AE15" s="202">
        <f>IF(ISNUMBER(G15),Population!G15,"")</f>
        <v>25100</v>
      </c>
      <c r="AF15" s="202">
        <f>IF(ISNUMBER(H15),Population!H15,"")</f>
        <v>24900</v>
      </c>
      <c r="AG15" s="95" t="s">
        <v>1</v>
      </c>
      <c r="AH15" s="225">
        <f t="shared" si="6"/>
        <v>97.590361445783131</v>
      </c>
      <c r="AI15" s="203">
        <f t="shared" si="7"/>
        <v>18</v>
      </c>
      <c r="AJ15" s="199"/>
      <c r="AK15" s="156"/>
      <c r="AL15" s="792">
        <f t="shared" si="8"/>
        <v>9.9009900990099011E-3</v>
      </c>
      <c r="AM15" s="792">
        <f t="shared" si="8"/>
        <v>0.11764705882352941</v>
      </c>
      <c r="AN15" s="792">
        <f t="shared" si="8"/>
        <v>-8.771929824561403E-3</v>
      </c>
      <c r="AO15" s="792">
        <f t="shared" si="8"/>
        <v>7.5221238938053103E-2</v>
      </c>
      <c r="AP15" s="792">
        <f t="shared" si="9"/>
        <v>4.8499339509007755E-2</v>
      </c>
      <c r="AR15" s="76"/>
      <c r="AS15" s="76"/>
      <c r="AT15" s="76"/>
      <c r="AU15" s="76"/>
      <c r="AV15" s="76"/>
      <c r="AW15" s="76"/>
      <c r="AX15" s="76"/>
    </row>
    <row r="16" spans="1:50" s="89" customFormat="1" ht="13.5" customHeight="1" x14ac:dyDescent="0.2">
      <c r="A16" s="462">
        <f>VLOOKUP(B16,Sheet1!$AQ$4:$AR$25,2,FALSE)</f>
        <v>0</v>
      </c>
      <c r="B16" s="95" t="str">
        <f>Sheet1!$K$10</f>
        <v>Kent</v>
      </c>
      <c r="C16" s="87"/>
      <c r="D16" s="96">
        <f>IF(Year1_Kent Year1_LAC="","",Year1_Kent Year1_LAC)</f>
        <v>1867</v>
      </c>
      <c r="E16" s="96">
        <f>IF(Year2_Kent Year2_LAC="","",Year2_Kent Year2_LAC)</f>
        <v>2314</v>
      </c>
      <c r="F16" s="96">
        <f>IF(Year3_Kent Year3_LAC="","",Year3_Kent Year3_LAC)</f>
        <v>1901</v>
      </c>
      <c r="G16" s="96">
        <f>IF(Year4_Kent Year4_LAC="","",Year4_Kent Year4_LAC)</f>
        <v>1641</v>
      </c>
      <c r="H16" s="97">
        <f>IF(Year5_Kent Year5_LAC="","",Year5_Kent Year5_LAC)</f>
        <v>1590</v>
      </c>
      <c r="I16" s="337">
        <f t="shared" si="2"/>
        <v>-2.6726506067293772E-2</v>
      </c>
      <c r="J16" s="98"/>
      <c r="K16" s="99">
        <f>IF(ISNUMBER(D16),D16/Population!D16*10000,NA())</f>
        <v>56.868717636308254</v>
      </c>
      <c r="L16" s="99">
        <f>IF(ISNUMBER(E16),E16/Population!E16*10000,NA())</f>
        <v>70.036319612590802</v>
      </c>
      <c r="M16" s="99">
        <f>IF(ISNUMBER(F16),F16/Population!F16*10000,NA())</f>
        <v>57.087087087087085</v>
      </c>
      <c r="N16" s="99">
        <f>IF(ISNUMBER(G16),G16/Population!G16*10000,NA())</f>
        <v>48.824754537340077</v>
      </c>
      <c r="O16" s="100">
        <f>IF(ISNUMBER(H16),H16/Population!H16*10000,NA())</f>
        <v>46.75095560129374</v>
      </c>
      <c r="P16" s="101">
        <f t="shared" si="3"/>
        <v>46.75095560129374</v>
      </c>
      <c r="Q16" s="886">
        <f t="shared" si="4"/>
        <v>6</v>
      </c>
      <c r="R16" s="69"/>
      <c r="S16" s="333">
        <f>IDACI!C15</f>
        <v>15.8</v>
      </c>
      <c r="T16" s="334">
        <f t="shared" si="0"/>
        <v>64.801237549110596</v>
      </c>
      <c r="U16" s="335">
        <f t="shared" si="5"/>
        <v>-18.050281947816856</v>
      </c>
      <c r="V16" s="124"/>
      <c r="W16" s="140"/>
      <c r="X16" s="149"/>
      <c r="Y16" s="71" t="str">
        <f t="shared" si="1"/>
        <v>Kent</v>
      </c>
      <c r="Z16" s="45">
        <f>IF(ISNUMBER(H16),IDACI!D15,0)</f>
        <v>291866</v>
      </c>
      <c r="AA16" s="45">
        <f>IF(ISNUMBER(H16),IDACI!E15,0)</f>
        <v>46114.828000000001</v>
      </c>
      <c r="AB16" s="202">
        <f>IF(ISNUMBER(D16),Population!D16,"")</f>
        <v>328300</v>
      </c>
      <c r="AC16" s="202">
        <f>IF(ISNUMBER(E16),Population!E16,"")</f>
        <v>330400</v>
      </c>
      <c r="AD16" s="202">
        <f>IF(ISNUMBER(F16),Population!F16,"")</f>
        <v>333000</v>
      </c>
      <c r="AE16" s="202">
        <f>IF(ISNUMBER(G16),Population!G16,"")</f>
        <v>336100</v>
      </c>
      <c r="AF16" s="202">
        <f>IF(ISNUMBER(H16),Population!H16,"")</f>
        <v>340100</v>
      </c>
      <c r="AG16" s="95" t="s">
        <v>9</v>
      </c>
      <c r="AH16" s="225">
        <f t="shared" si="6"/>
        <v>46.75095560129374</v>
      </c>
      <c r="AI16" s="203">
        <f t="shared" si="7"/>
        <v>6</v>
      </c>
      <c r="AJ16" s="199"/>
      <c r="AK16" s="156"/>
      <c r="AL16" s="792">
        <f t="shared" si="8"/>
        <v>0.23942153186930906</v>
      </c>
      <c r="AM16" s="792">
        <f t="shared" si="8"/>
        <v>-0.17847882454624028</v>
      </c>
      <c r="AN16" s="792">
        <f t="shared" si="8"/>
        <v>-0.13677012098895319</v>
      </c>
      <c r="AO16" s="792">
        <f t="shared" si="8"/>
        <v>-3.1078610603290677E-2</v>
      </c>
      <c r="AP16" s="792">
        <f t="shared" si="9"/>
        <v>-2.6726506067293772E-2</v>
      </c>
      <c r="AR16" s="76"/>
      <c r="AS16" s="76"/>
      <c r="AT16" s="76"/>
      <c r="AU16" s="76"/>
      <c r="AV16" s="76"/>
      <c r="AW16" s="76"/>
      <c r="AX16" s="76"/>
    </row>
    <row r="17" spans="1:50" s="89" customFormat="1" ht="13.5" customHeight="1" x14ac:dyDescent="0.2">
      <c r="A17" s="462">
        <f>VLOOKUP(B17,Sheet1!$AQ$4:$AR$25,2,FALSE)</f>
        <v>0</v>
      </c>
      <c r="B17" s="95" t="str">
        <f>Sheet1!$K$11</f>
        <v>Medway</v>
      </c>
      <c r="C17" s="87"/>
      <c r="D17" s="96">
        <f>IF(Year1_Medway Year1_LAC="","",Year1_Medway Year1_LAC)</f>
        <v>426</v>
      </c>
      <c r="E17" s="290">
        <f>IF(Year2_Medway Year2_LAC="","",Year2_Medway Year2_LAC)</f>
        <v>430</v>
      </c>
      <c r="F17" s="290">
        <f>IF(Year3_Medway Year3_LAC="","",Year3_Medway Year3_LAC)</f>
        <v>390</v>
      </c>
      <c r="G17" s="290">
        <f>IF(Year4_Medway Year4_LAC="","",Year4_Medway Year4_LAC)</f>
        <v>414</v>
      </c>
      <c r="H17" s="291">
        <f>IF(Year5_Medway Year5_LAC="","",Year5_Medway Year5_LAC)</f>
        <v>424</v>
      </c>
      <c r="I17" s="337">
        <f t="shared" si="2"/>
        <v>5.1486661449776875E-4</v>
      </c>
      <c r="J17" s="98"/>
      <c r="K17" s="99">
        <f>IF(ISNUMBER(D17),D17/Population!D17*10000,NA())</f>
        <v>68.16</v>
      </c>
      <c r="L17" s="99">
        <f>IF(ISNUMBER(E17),E17/Population!E17*10000,NA())</f>
        <v>68.037974683544306</v>
      </c>
      <c r="M17" s="99">
        <f>IF(ISNUMBER(F17),F17/Population!F17*10000,NA())</f>
        <v>61.224489795918366</v>
      </c>
      <c r="N17" s="99">
        <f>IF(ISNUMBER(G17),G17/Population!G17*10000,NA())</f>
        <v>64.788732394366193</v>
      </c>
      <c r="O17" s="100">
        <f>IF(ISNUMBER(H17),H17/Population!H17*10000,NA())</f>
        <v>65.838509316770185</v>
      </c>
      <c r="P17" s="101">
        <f t="shared" si="3"/>
        <v>65.838509316770185</v>
      </c>
      <c r="Q17" s="886">
        <f t="shared" si="4"/>
        <v>14</v>
      </c>
      <c r="R17" s="69"/>
      <c r="S17" s="333">
        <f>IDACI!C16</f>
        <v>18.899999999999999</v>
      </c>
      <c r="T17" s="334">
        <f t="shared" si="0"/>
        <v>75.766535616133666</v>
      </c>
      <c r="U17" s="335">
        <f t="shared" si="5"/>
        <v>-9.9280262993634807</v>
      </c>
      <c r="V17" s="124"/>
      <c r="W17" s="140"/>
      <c r="X17" s="149"/>
      <c r="Y17" s="71" t="str">
        <f t="shared" si="1"/>
        <v>Medway</v>
      </c>
      <c r="Z17" s="45">
        <f>IF(ISNUMBER(H17),IDACI!D16,0)</f>
        <v>55993</v>
      </c>
      <c r="AA17" s="45">
        <f>IF(ISNUMBER(H17),IDACI!E16,0)</f>
        <v>10582.676999999998</v>
      </c>
      <c r="AB17" s="202">
        <f>IF(ISNUMBER(D17),Population!D17,"")</f>
        <v>62500</v>
      </c>
      <c r="AC17" s="202">
        <f>IF(ISNUMBER(E17),Population!E17,"")</f>
        <v>63200</v>
      </c>
      <c r="AD17" s="202">
        <f>IF(ISNUMBER(F17),Population!F17,"")</f>
        <v>63700</v>
      </c>
      <c r="AE17" s="202">
        <f>IF(ISNUMBER(G17),Population!G17,"")</f>
        <v>63900</v>
      </c>
      <c r="AF17" s="202">
        <f>IF(ISNUMBER(H17),Population!H17,"")</f>
        <v>64400</v>
      </c>
      <c r="AG17" s="95" t="s">
        <v>2</v>
      </c>
      <c r="AH17" s="225">
        <f t="shared" si="6"/>
        <v>65.838509316770185</v>
      </c>
      <c r="AI17" s="203">
        <f t="shared" si="7"/>
        <v>14</v>
      </c>
      <c r="AJ17" s="199"/>
      <c r="AK17" s="156"/>
      <c r="AL17" s="792">
        <f t="shared" si="8"/>
        <v>9.3896713615023476E-3</v>
      </c>
      <c r="AM17" s="792">
        <f t="shared" si="8"/>
        <v>-9.3023255813953487E-2</v>
      </c>
      <c r="AN17" s="792">
        <f t="shared" si="8"/>
        <v>6.1538461538461542E-2</v>
      </c>
      <c r="AO17" s="792">
        <f t="shared" si="8"/>
        <v>2.4154589371980676E-2</v>
      </c>
      <c r="AP17" s="792">
        <f t="shared" si="9"/>
        <v>5.1486661449776875E-4</v>
      </c>
      <c r="AR17" s="76"/>
      <c r="AS17" s="76"/>
      <c r="AT17" s="76"/>
      <c r="AU17" s="76"/>
      <c r="AV17" s="76"/>
      <c r="AW17" s="76"/>
      <c r="AX17" s="76"/>
    </row>
    <row r="18" spans="1:50" s="89" customFormat="1" ht="13.5" customHeight="1" x14ac:dyDescent="0.2">
      <c r="A18" s="462">
        <f>VLOOKUP(B18,Sheet1!$AQ$4:$AR$25,2,FALSE)</f>
        <v>0</v>
      </c>
      <c r="B18" s="95" t="str">
        <f>Sheet1!$K$12</f>
        <v>Milton Keynes</v>
      </c>
      <c r="C18" s="87"/>
      <c r="D18" s="96">
        <f>IF(Year1_Milton_Keynes Year1_LAC="","",Year1_Milton_Keynes Year1_LAC)</f>
        <v>339</v>
      </c>
      <c r="E18" s="96">
        <f>IF(Year2_Milton_Keynes Year2_LAC="","",Year2_Milton_Keynes Year2_LAC)</f>
        <v>345</v>
      </c>
      <c r="F18" s="96">
        <f>IF(Year3_Milton_Keynes Year3_LAC="","",Year3_Milton_Keynes Year3_LAC)</f>
        <v>396</v>
      </c>
      <c r="G18" s="96">
        <f>IF(Year4_Milton_Keynes Year4_LAC="","",Year4_Milton_Keynes Year4_LAC)</f>
        <v>394</v>
      </c>
      <c r="H18" s="97">
        <f>IF(Year5_Milton_Keynes Year5_LAC="","",Year5_Milton_Keynes Year5_LAC)</f>
        <v>381</v>
      </c>
      <c r="I18" s="337">
        <f t="shared" si="2"/>
        <v>3.1869943273099111E-2</v>
      </c>
      <c r="J18" s="98"/>
      <c r="K18" s="99">
        <f>IF(ISNUMBER(D18),D18/Population!D18*10000,NA())</f>
        <v>51.993865030674847</v>
      </c>
      <c r="L18" s="99">
        <f>IF(ISNUMBER(E18),E18/Population!E18*10000,NA())</f>
        <v>52.193645990922839</v>
      </c>
      <c r="M18" s="99">
        <f>IF(ISNUMBER(F18),F18/Population!F18*10000,NA())</f>
        <v>59.016393442622949</v>
      </c>
      <c r="N18" s="99">
        <f>IF(ISNUMBER(G18),G18/Population!G18*10000,NA())</f>
        <v>58.284023668639051</v>
      </c>
      <c r="O18" s="100">
        <f>IF(ISNUMBER(H18),H18/Population!H18*10000,NA())</f>
        <v>55.783308931185942</v>
      </c>
      <c r="P18" s="101">
        <f t="shared" si="3"/>
        <v>55.783308931185942</v>
      </c>
      <c r="Q18" s="886">
        <f t="shared" si="4"/>
        <v>10</v>
      </c>
      <c r="R18" s="69"/>
      <c r="S18" s="333">
        <f>IDACI!C17</f>
        <v>15</v>
      </c>
      <c r="T18" s="334">
        <f t="shared" si="0"/>
        <v>61.971483209233675</v>
      </c>
      <c r="U18" s="335">
        <f t="shared" si="5"/>
        <v>-6.1881742780477325</v>
      </c>
      <c r="V18" s="124"/>
      <c r="W18" s="140"/>
      <c r="X18" s="149"/>
      <c r="Y18" s="71" t="str">
        <f t="shared" si="1"/>
        <v>Milton Keynes</v>
      </c>
      <c r="Z18" s="45">
        <f>IF(ISNUMBER(H18),IDACI!D17,0)</f>
        <v>59903</v>
      </c>
      <c r="AA18" s="45">
        <f>IF(ISNUMBER(H18),IDACI!E17,0)</f>
        <v>8985.4499999999989</v>
      </c>
      <c r="AB18" s="202">
        <f>IF(ISNUMBER(D18),Population!D18,"")</f>
        <v>65200</v>
      </c>
      <c r="AC18" s="202">
        <f>IF(ISNUMBER(E18),Population!E18,"")</f>
        <v>66100</v>
      </c>
      <c r="AD18" s="202">
        <f>IF(ISNUMBER(F18),Population!F18,"")</f>
        <v>67100</v>
      </c>
      <c r="AE18" s="202">
        <f>IF(ISNUMBER(G18),Population!G18,"")</f>
        <v>67600</v>
      </c>
      <c r="AF18" s="202">
        <f>IF(ISNUMBER(H18),Population!H18,"")</f>
        <v>68300</v>
      </c>
      <c r="AG18" s="95" t="s">
        <v>10</v>
      </c>
      <c r="AH18" s="225">
        <f t="shared" si="6"/>
        <v>55.783308931185942</v>
      </c>
      <c r="AI18" s="203">
        <f t="shared" si="7"/>
        <v>10</v>
      </c>
      <c r="AJ18" s="199"/>
      <c r="AK18" s="156"/>
      <c r="AL18" s="792">
        <f t="shared" si="8"/>
        <v>1.7699115044247787E-2</v>
      </c>
      <c r="AM18" s="792">
        <f t="shared" si="8"/>
        <v>0.14782608695652175</v>
      </c>
      <c r="AN18" s="792">
        <f t="shared" si="8"/>
        <v>-5.0505050505050509E-3</v>
      </c>
      <c r="AO18" s="792">
        <f t="shared" si="8"/>
        <v>-3.2994923857868022E-2</v>
      </c>
      <c r="AP18" s="792">
        <f t="shared" si="9"/>
        <v>3.1869943273099111E-2</v>
      </c>
      <c r="AR18" s="76"/>
      <c r="AS18" s="76"/>
      <c r="AT18" s="76"/>
      <c r="AU18" s="76"/>
      <c r="AV18" s="76"/>
      <c r="AW18" s="76"/>
      <c r="AX18" s="76"/>
    </row>
    <row r="19" spans="1:50" s="89" customFormat="1" ht="13.5" customHeight="1" x14ac:dyDescent="0.2">
      <c r="A19" s="462">
        <f>VLOOKUP(B19,Sheet1!$AQ$4:$AR$25,2,FALSE)</f>
        <v>0</v>
      </c>
      <c r="B19" s="95" t="str">
        <f>Sheet1!$K$13</f>
        <v>Oxfordshire</v>
      </c>
      <c r="C19" s="87"/>
      <c r="D19" s="96">
        <f>IF(Year1_Oxfordshire Year1_LAC="","",Year1_Oxfordshire Year1_LAC)</f>
        <v>510</v>
      </c>
      <c r="E19" s="96">
        <f>IF(Year2_Oxfordshire Year2_LAC="","",Year2_Oxfordshire Year2_LAC)</f>
        <v>593</v>
      </c>
      <c r="F19" s="96">
        <f>IF(Year3_Oxfordshire Year3_LAC="","",Year3_Oxfordshire Year3_LAC)</f>
        <v>666</v>
      </c>
      <c r="G19" s="96">
        <f>IF(Year4_Oxfordshire Year4_LAC="","",Year4_Oxfordshire Year4_LAC)</f>
        <v>684</v>
      </c>
      <c r="H19" s="97">
        <f>IF(Year5_Oxfordshire Year5_LAC="","",Year5_Oxfordshire Year5_LAC)</f>
        <v>779</v>
      </c>
      <c r="I19" s="337">
        <f t="shared" si="2"/>
        <v>0.11294097018355526</v>
      </c>
      <c r="J19" s="98"/>
      <c r="K19" s="99">
        <f>IF(ISNUMBER(D19),D19/Population!D19*10000,NA())</f>
        <v>36.118980169971671</v>
      </c>
      <c r="L19" s="99">
        <f>IF(ISNUMBER(E19),E19/Population!E19*10000,NA())</f>
        <v>41.819464033850494</v>
      </c>
      <c r="M19" s="99">
        <f>IF(ISNUMBER(F19),F19/Population!F19*10000,NA())</f>
        <v>46.60601819454164</v>
      </c>
      <c r="N19" s="99">
        <f>IF(ISNUMBER(G19),G19/Population!G19*10000,NA())</f>
        <v>47.698744769874473</v>
      </c>
      <c r="O19" s="100">
        <f>IF(ISNUMBER(H19),H19/Population!H19*10000,NA())</f>
        <v>53.798342541436462</v>
      </c>
      <c r="P19" s="101">
        <f t="shared" si="3"/>
        <v>53.798342541436462</v>
      </c>
      <c r="Q19" s="886">
        <f t="shared" si="4"/>
        <v>9</v>
      </c>
      <c r="R19" s="69"/>
      <c r="S19" s="333">
        <f>IDACI!C18</f>
        <v>10.100000000000001</v>
      </c>
      <c r="T19" s="334">
        <f t="shared" si="0"/>
        <v>44.639237877487517</v>
      </c>
      <c r="U19" s="335">
        <f t="shared" si="5"/>
        <v>9.1591046639489448</v>
      </c>
      <c r="V19" s="124"/>
      <c r="W19" s="140"/>
      <c r="X19" s="149"/>
      <c r="Y19" s="71" t="str">
        <f t="shared" si="1"/>
        <v>Oxfordshire</v>
      </c>
      <c r="Z19" s="45">
        <f>IF(ISNUMBER(H19),IDACI!D18,0)</f>
        <v>126119</v>
      </c>
      <c r="AA19" s="45">
        <f>IF(ISNUMBER(H19),IDACI!E18,0)</f>
        <v>12738.019000000002</v>
      </c>
      <c r="AB19" s="202">
        <f>IF(ISNUMBER(D19),Population!D19,"")</f>
        <v>141200</v>
      </c>
      <c r="AC19" s="202">
        <f>IF(ISNUMBER(E19),Population!E19,"")</f>
        <v>141800</v>
      </c>
      <c r="AD19" s="202">
        <f>IF(ISNUMBER(F19),Population!F19,"")</f>
        <v>142900</v>
      </c>
      <c r="AE19" s="202">
        <f>IF(ISNUMBER(G19),Population!G19,"")</f>
        <v>143400</v>
      </c>
      <c r="AF19" s="202">
        <f>IF(ISNUMBER(H19),Population!H19,"")</f>
        <v>144800</v>
      </c>
      <c r="AG19" s="95" t="s">
        <v>11</v>
      </c>
      <c r="AH19" s="225">
        <f t="shared" si="6"/>
        <v>53.798342541436462</v>
      </c>
      <c r="AI19" s="203">
        <f t="shared" si="7"/>
        <v>9</v>
      </c>
      <c r="AJ19" s="199"/>
      <c r="AK19" s="156"/>
      <c r="AL19" s="792">
        <f t="shared" si="8"/>
        <v>0.16274509803921569</v>
      </c>
      <c r="AM19" s="792">
        <f t="shared" si="8"/>
        <v>0.12310286677908938</v>
      </c>
      <c r="AN19" s="792">
        <f t="shared" si="8"/>
        <v>2.7027027027027029E-2</v>
      </c>
      <c r="AO19" s="792">
        <f t="shared" si="8"/>
        <v>0.1388888888888889</v>
      </c>
      <c r="AP19" s="792">
        <f t="shared" si="9"/>
        <v>0.11294097018355526</v>
      </c>
      <c r="AR19" s="76"/>
      <c r="AS19" s="76"/>
      <c r="AT19" s="76"/>
      <c r="AU19" s="76"/>
      <c r="AV19" s="76"/>
      <c r="AW19" s="76"/>
      <c r="AX19" s="76"/>
    </row>
    <row r="20" spans="1:50" s="89" customFormat="1" ht="13.5" customHeight="1" x14ac:dyDescent="0.2">
      <c r="A20" s="462">
        <f>VLOOKUP(B20,Sheet1!$AQ$4:$AR$25,2,FALSE)</f>
        <v>0</v>
      </c>
      <c r="B20" s="95" t="str">
        <f>Sheet1!$K$14</f>
        <v>Portsmouth</v>
      </c>
      <c r="C20" s="87"/>
      <c r="D20" s="96">
        <f>IF(Year1_Portsmouth Year1_LAC="","",Year1_Portsmouth Year1_LAC)</f>
        <v>320</v>
      </c>
      <c r="E20" s="96">
        <f>IF(Year2_Portsmouth Year2_LAC="","",Year2_Portsmouth Year2_LAC)</f>
        <v>322</v>
      </c>
      <c r="F20" s="96">
        <f>IF(Year3_Portsmouth Year3_LAC="","",Year3_Portsmouth Year3_LAC)</f>
        <v>358</v>
      </c>
      <c r="G20" s="96">
        <f>IF(Year4_Portsmouth Year4_LAC="","",Year4_Portsmouth Year4_LAC)</f>
        <v>415</v>
      </c>
      <c r="H20" s="97">
        <f>IF(Year5_Portsmouth Year5_LAC="","",Year5_Portsmouth Year5_LAC)</f>
        <v>486</v>
      </c>
      <c r="I20" s="337">
        <f t="shared" si="2"/>
        <v>0.11208836417009863</v>
      </c>
      <c r="J20" s="98"/>
      <c r="K20" s="99">
        <f>IF(ISNUMBER(D20),D20/Population!D20*10000,NA())</f>
        <v>73.73271889400921</v>
      </c>
      <c r="L20" s="99">
        <f>IF(ISNUMBER(E20),E20/Population!E20*10000,NA())</f>
        <v>73.515981735159826</v>
      </c>
      <c r="M20" s="99">
        <f>IF(ISNUMBER(F20),F20/Population!F20*10000,NA())</f>
        <v>81.36363636363636</v>
      </c>
      <c r="N20" s="99">
        <f>IF(ISNUMBER(G20),G20/Population!G20*10000,NA())</f>
        <v>93.891402714932127</v>
      </c>
      <c r="O20" s="100">
        <f>IF(ISNUMBER(H20),H20/Population!H20*10000,NA())</f>
        <v>110.45454545454545</v>
      </c>
      <c r="P20" s="101">
        <f t="shared" si="3"/>
        <v>110.45454545454545</v>
      </c>
      <c r="Q20" s="886">
        <f t="shared" si="4"/>
        <v>19</v>
      </c>
      <c r="R20" s="69"/>
      <c r="S20" s="333">
        <f>IDACI!C19</f>
        <v>20.200000000000003</v>
      </c>
      <c r="T20" s="334">
        <f t="shared" si="0"/>
        <v>80.364886418433684</v>
      </c>
      <c r="U20" s="335">
        <f t="shared" si="5"/>
        <v>30.089659036111769</v>
      </c>
      <c r="V20" s="124"/>
      <c r="W20" s="140"/>
      <c r="X20" s="149"/>
      <c r="Y20" s="71" t="str">
        <f t="shared" si="1"/>
        <v>Portsmouth</v>
      </c>
      <c r="Z20" s="45">
        <f>IF(ISNUMBER(H20),IDACI!D19,0)</f>
        <v>39325</v>
      </c>
      <c r="AA20" s="45">
        <f>IF(ISNUMBER(H20),IDACI!E19,0)</f>
        <v>7943.6500000000015</v>
      </c>
      <c r="AB20" s="202">
        <f>IF(ISNUMBER(D20),Population!D20,"")</f>
        <v>43400</v>
      </c>
      <c r="AC20" s="202">
        <f>IF(ISNUMBER(E20),Population!E20,"")</f>
        <v>43800</v>
      </c>
      <c r="AD20" s="202">
        <f>IF(ISNUMBER(F20),Population!F20,"")</f>
        <v>44000</v>
      </c>
      <c r="AE20" s="202">
        <f>IF(ISNUMBER(G20),Population!G20,"")</f>
        <v>44200</v>
      </c>
      <c r="AF20" s="202">
        <f>IF(ISNUMBER(H20),Population!H20,"")</f>
        <v>44000</v>
      </c>
      <c r="AG20" s="95" t="s">
        <v>12</v>
      </c>
      <c r="AH20" s="225">
        <f t="shared" si="6"/>
        <v>110.45454545454545</v>
      </c>
      <c r="AI20" s="203">
        <f t="shared" si="7"/>
        <v>19</v>
      </c>
      <c r="AJ20" s="199"/>
      <c r="AK20" s="156"/>
      <c r="AL20" s="792">
        <f t="shared" si="8"/>
        <v>6.2500000000000003E-3</v>
      </c>
      <c r="AM20" s="792">
        <f t="shared" si="8"/>
        <v>0.11180124223602485</v>
      </c>
      <c r="AN20" s="792">
        <f t="shared" si="8"/>
        <v>0.15921787709497207</v>
      </c>
      <c r="AO20" s="792">
        <f t="shared" si="8"/>
        <v>0.1710843373493976</v>
      </c>
      <c r="AP20" s="792">
        <f t="shared" si="9"/>
        <v>0.11208836417009863</v>
      </c>
      <c r="AR20" s="76"/>
      <c r="AS20" s="76"/>
      <c r="AT20" s="76"/>
      <c r="AU20" s="76"/>
      <c r="AV20" s="76"/>
      <c r="AW20" s="76"/>
      <c r="AX20" s="76"/>
    </row>
    <row r="21" spans="1:50" s="89" customFormat="1" ht="13.5" customHeight="1" x14ac:dyDescent="0.2">
      <c r="A21" s="462">
        <f>VLOOKUP(B21,Sheet1!$AQ$4:$AR$25,2,FALSE)</f>
        <v>0</v>
      </c>
      <c r="B21" s="95" t="str">
        <f>Sheet1!$K$15</f>
        <v>Reading</v>
      </c>
      <c r="C21" s="87"/>
      <c r="D21" s="96">
        <f>IF(Year1_Reading Year1_LAC="","",Year1_Reading Year1_LAC)</f>
        <v>209</v>
      </c>
      <c r="E21" s="96">
        <f>IF(Year2_Reading Year2_LAC="","",Year2_Reading Year2_LAC)</f>
        <v>220</v>
      </c>
      <c r="F21" s="96">
        <f>IF(Year3_Reading Year3_LAC="","",Year3_Reading Year3_LAC)</f>
        <v>263</v>
      </c>
      <c r="G21" s="96">
        <f>IF(Year4_Reading Year4_LAC="","",Year4_Reading Year4_LAC)</f>
        <v>279</v>
      </c>
      <c r="H21" s="97">
        <f>IF(Year5_Reading Year5_LAC="","",Year5_Reading Year5_LAC)</f>
        <v>273</v>
      </c>
      <c r="I21" s="337">
        <f t="shared" si="2"/>
        <v>7.1854312489742139E-2</v>
      </c>
      <c r="J21" s="98"/>
      <c r="K21" s="99">
        <f>IF(ISNUMBER(D21),D21/Population!D21*10000,NA())</f>
        <v>58.217270194986071</v>
      </c>
      <c r="L21" s="99">
        <f>IF(ISNUMBER(E21),E21/Population!E21*10000,NA())</f>
        <v>60.439560439560445</v>
      </c>
      <c r="M21" s="99">
        <f>IF(ISNUMBER(F21),F21/Population!F21*10000,NA())</f>
        <v>71.857923497267763</v>
      </c>
      <c r="N21" s="99">
        <f>IF(ISNUMBER(G21),G21/Population!G21*10000,NA())</f>
        <v>75.202156334231802</v>
      </c>
      <c r="O21" s="100">
        <f>IF(ISNUMBER(H21),H21/Population!H21*10000,NA())</f>
        <v>73.584905660377359</v>
      </c>
      <c r="P21" s="101">
        <f t="shared" si="3"/>
        <v>73.584905660377359</v>
      </c>
      <c r="Q21" s="886">
        <f t="shared" si="4"/>
        <v>15</v>
      </c>
      <c r="R21" s="69"/>
      <c r="S21" s="333">
        <f>IDACI!C20</f>
        <v>16</v>
      </c>
      <c r="T21" s="334">
        <f t="shared" si="0"/>
        <v>65.50867613407982</v>
      </c>
      <c r="U21" s="335">
        <f t="shared" si="5"/>
        <v>8.0762295262975385</v>
      </c>
      <c r="V21" s="124"/>
      <c r="W21" s="140"/>
      <c r="X21" s="149"/>
      <c r="Y21" s="71" t="str">
        <f t="shared" si="1"/>
        <v>Reading</v>
      </c>
      <c r="Z21" s="45">
        <f>IF(ISNUMBER(H21),IDACI!D20,0)</f>
        <v>33203</v>
      </c>
      <c r="AA21" s="45">
        <f>IF(ISNUMBER(H21),IDACI!E20,0)</f>
        <v>5312.4800000000005</v>
      </c>
      <c r="AB21" s="202">
        <f>IF(ISNUMBER(D21),Population!D21,"")</f>
        <v>35900</v>
      </c>
      <c r="AC21" s="202">
        <f>IF(ISNUMBER(E21),Population!E21,"")</f>
        <v>36400</v>
      </c>
      <c r="AD21" s="202">
        <f>IF(ISNUMBER(F21),Population!F21,"")</f>
        <v>36600</v>
      </c>
      <c r="AE21" s="202">
        <f>IF(ISNUMBER(G21),Population!G21,"")</f>
        <v>37100</v>
      </c>
      <c r="AF21" s="202">
        <f>IF(ISNUMBER(H21),Population!H21,"")</f>
        <v>37100</v>
      </c>
      <c r="AG21" s="95" t="s">
        <v>3</v>
      </c>
      <c r="AH21" s="225">
        <f t="shared" si="6"/>
        <v>73.584905660377359</v>
      </c>
      <c r="AI21" s="203">
        <f t="shared" si="7"/>
        <v>15</v>
      </c>
      <c r="AJ21" s="199"/>
      <c r="AK21" s="156"/>
      <c r="AL21" s="792">
        <f t="shared" si="8"/>
        <v>5.2631578947368418E-2</v>
      </c>
      <c r="AM21" s="792">
        <f t="shared" si="8"/>
        <v>0.19545454545454546</v>
      </c>
      <c r="AN21" s="792">
        <f t="shared" si="8"/>
        <v>6.0836501901140684E-2</v>
      </c>
      <c r="AO21" s="792">
        <f t="shared" si="8"/>
        <v>-2.1505376344086023E-2</v>
      </c>
      <c r="AP21" s="792">
        <f t="shared" si="9"/>
        <v>7.1854312489742139E-2</v>
      </c>
      <c r="AR21" s="76"/>
      <c r="AS21" s="76"/>
      <c r="AT21" s="76"/>
      <c r="AU21" s="76"/>
      <c r="AV21" s="76"/>
      <c r="AW21" s="76"/>
      <c r="AX21" s="76"/>
    </row>
    <row r="22" spans="1:50" s="89" customFormat="1" ht="13.5" customHeight="1" x14ac:dyDescent="0.2">
      <c r="A22" s="462">
        <f>VLOOKUP(B22,Sheet1!$AQ$4:$AR$25,2,FALSE)</f>
        <v>0</v>
      </c>
      <c r="B22" s="95" t="str">
        <f>Sheet1!$K$16</f>
        <v>Slough</v>
      </c>
      <c r="C22" s="87"/>
      <c r="D22" s="96">
        <f>IF(Year1_Slough Year1_LAC="","",Year1_Slough Year1_LAC)</f>
        <v>196</v>
      </c>
      <c r="E22" s="96">
        <f>IF(Year2_Slough Year2_LAC="","",Year2_Slough Year2_LAC)</f>
        <v>179</v>
      </c>
      <c r="F22" s="96">
        <f>IF(Year3_Slough Year3_LAC="","",Year3_Slough Year3_LAC)</f>
        <v>190</v>
      </c>
      <c r="G22" s="96">
        <f>IF(Year4_Slough Year4_LAC="","",Year4_Slough Year4_LAC)</f>
        <v>206</v>
      </c>
      <c r="H22" s="97">
        <f>IF(Year5_Slough Year5_LAC="","",Year5_Slough Year5_LAC)</f>
        <v>213</v>
      </c>
      <c r="I22" s="337">
        <f t="shared" si="2"/>
        <v>2.3227232232247687E-2</v>
      </c>
      <c r="J22" s="98"/>
      <c r="K22" s="99">
        <f>IF(ISNUMBER(D22),D22/Population!D22*10000,NA())</f>
        <v>49.122807017543863</v>
      </c>
      <c r="L22" s="99">
        <f>IF(ISNUMBER(E22),E22/Population!E22*10000,NA())</f>
        <v>44.088669950738911</v>
      </c>
      <c r="M22" s="99">
        <f>IF(ISNUMBER(F22),F22/Population!F22*10000,NA())</f>
        <v>45.893719806763286</v>
      </c>
      <c r="N22" s="99">
        <f>IF(ISNUMBER(G22),G22/Population!G22*10000,NA())</f>
        <v>48.81516587677725</v>
      </c>
      <c r="O22" s="100">
        <f>IF(ISNUMBER(H22),H22/Population!H22*10000,NA())</f>
        <v>49.882903981264633</v>
      </c>
      <c r="P22" s="101">
        <f t="shared" si="3"/>
        <v>49.882903981264633</v>
      </c>
      <c r="Q22" s="886">
        <f t="shared" si="4"/>
        <v>8</v>
      </c>
      <c r="R22" s="69"/>
      <c r="S22" s="333">
        <f>IDACI!C21</f>
        <v>14.7</v>
      </c>
      <c r="T22" s="334">
        <f t="shared" si="0"/>
        <v>60.910325331779823</v>
      </c>
      <c r="U22" s="335">
        <f t="shared" si="5"/>
        <v>-11.027421350515191</v>
      </c>
      <c r="V22" s="124"/>
      <c r="W22" s="140"/>
      <c r="X22" s="149"/>
      <c r="Y22" s="71" t="str">
        <f t="shared" si="1"/>
        <v>Slough</v>
      </c>
      <c r="Z22" s="45">
        <f>IF(ISNUMBER(H22),IDACI!D21,0)</f>
        <v>37031</v>
      </c>
      <c r="AA22" s="45">
        <f>IF(ISNUMBER(H22),IDACI!E21,0)</f>
        <v>5443.5569999999998</v>
      </c>
      <c r="AB22" s="202">
        <f>IF(ISNUMBER(D22),Population!D22,"")</f>
        <v>39900</v>
      </c>
      <c r="AC22" s="202">
        <f>IF(ISNUMBER(E22),Population!E22,"")</f>
        <v>40600</v>
      </c>
      <c r="AD22" s="202">
        <f>IF(ISNUMBER(F22),Population!F22,"")</f>
        <v>41400</v>
      </c>
      <c r="AE22" s="202">
        <f>IF(ISNUMBER(G22),Population!G22,"")</f>
        <v>42200</v>
      </c>
      <c r="AF22" s="202">
        <f>IF(ISNUMBER(H22),Population!H22,"")</f>
        <v>42700</v>
      </c>
      <c r="AG22" s="95" t="s">
        <v>13</v>
      </c>
      <c r="AH22" s="225">
        <f t="shared" si="6"/>
        <v>49.882903981264633</v>
      </c>
      <c r="AI22" s="203">
        <f t="shared" si="7"/>
        <v>8</v>
      </c>
      <c r="AJ22" s="199"/>
      <c r="AK22" s="156"/>
      <c r="AL22" s="792">
        <f t="shared" si="8"/>
        <v>-8.673469387755102E-2</v>
      </c>
      <c r="AM22" s="792">
        <f t="shared" si="8"/>
        <v>6.1452513966480445E-2</v>
      </c>
      <c r="AN22" s="792">
        <f t="shared" si="8"/>
        <v>8.4210526315789472E-2</v>
      </c>
      <c r="AO22" s="792">
        <f t="shared" si="8"/>
        <v>3.3980582524271843E-2</v>
      </c>
      <c r="AP22" s="792">
        <f t="shared" si="9"/>
        <v>2.3227232232247687E-2</v>
      </c>
      <c r="AR22" s="76"/>
      <c r="AS22" s="76"/>
      <c r="AT22" s="76"/>
      <c r="AU22" s="76"/>
      <c r="AV22" s="76"/>
      <c r="AW22" s="76"/>
      <c r="AX22" s="76"/>
    </row>
    <row r="23" spans="1:50" s="89" customFormat="1" ht="13.5" customHeight="1" x14ac:dyDescent="0.2">
      <c r="A23" s="462">
        <f>VLOOKUP(B23,Sheet1!$AQ$4:$AR$25,2,FALSE)</f>
        <v>0</v>
      </c>
      <c r="B23" s="95" t="str">
        <f>Sheet1!$K$17</f>
        <v>Somerset</v>
      </c>
      <c r="C23" s="87"/>
      <c r="D23" s="96">
        <f>IF(Year1_Somerset Year1_LAC="","",Year1_Somerset Year1_LAC)</f>
        <v>487</v>
      </c>
      <c r="E23" s="96">
        <f>IF(Year2_Somerset Year2_LAC="","",Year2_Somerset Year2_LAC)</f>
        <v>501</v>
      </c>
      <c r="F23" s="96">
        <f>IF(Year3_Somerset Year3_LAC="","",Year3_Somerset Year3_LAC)</f>
        <v>476</v>
      </c>
      <c r="G23" s="96">
        <f>IF(Year4_Somerset Year4_LAC="","",Year4_Somerset Year4_LAC)</f>
        <v>517</v>
      </c>
      <c r="H23" s="97">
        <f>IF(Year5_Somerset Year5_LAC="","",Year5_Somerset Year5_LAC)</f>
        <v>534</v>
      </c>
      <c r="I23" s="337">
        <f t="shared" si="2"/>
        <v>2.446592476275428E-2</v>
      </c>
      <c r="J23" s="98"/>
      <c r="K23" s="99">
        <f>IF(ISNUMBER(D23),D23/Population!D23*10000,NA())</f>
        <v>44.719926538108353</v>
      </c>
      <c r="L23" s="99">
        <f>IF(ISNUMBER(E23),E23/Population!E23*10000,NA())</f>
        <v>45.879120879120876</v>
      </c>
      <c r="M23" s="99">
        <f>IF(ISNUMBER(F23),F23/Population!F23*10000,NA())</f>
        <v>43.39106654512306</v>
      </c>
      <c r="N23" s="99">
        <f>IF(ISNUMBER(G23),G23/Population!G23*10000,NA())</f>
        <v>46.957311534968213</v>
      </c>
      <c r="O23" s="100">
        <f>IF(ISNUMBER(H23),H23/Population!H23*10000,NA())</f>
        <v>48.238482384823854</v>
      </c>
      <c r="P23" s="101">
        <f t="shared" si="3"/>
        <v>48.238482384823854</v>
      </c>
      <c r="Q23" s="363" t="str">
        <f t="shared" si="4"/>
        <v>--</v>
      </c>
      <c r="R23" s="69"/>
      <c r="S23" s="333">
        <f>IDACI!C22</f>
        <v>13.600000000000001</v>
      </c>
      <c r="T23" s="334">
        <f t="shared" si="0"/>
        <v>57.019413114449058</v>
      </c>
      <c r="U23" s="335">
        <f t="shared" si="5"/>
        <v>-8.7809307296252044</v>
      </c>
      <c r="V23" s="124"/>
      <c r="W23" s="140"/>
      <c r="X23" s="149"/>
      <c r="Y23" s="71" t="str">
        <f t="shared" si="1"/>
        <v>Somerset</v>
      </c>
      <c r="Z23" s="45">
        <f>IF(ISNUMBER(H23),IDACI!D22,0)</f>
        <v>95875</v>
      </c>
      <c r="AA23" s="45">
        <f>IF(ISNUMBER(H23),IDACI!E22,0)</f>
        <v>13039.000000000002</v>
      </c>
      <c r="AB23" s="202">
        <f>IF(ISNUMBER(D23),Population!D23,"")</f>
        <v>108900</v>
      </c>
      <c r="AC23" s="202">
        <f>IF(ISNUMBER(E23),Population!E23,"")</f>
        <v>109200</v>
      </c>
      <c r="AD23" s="202">
        <f>IF(ISNUMBER(F23),Population!F23,"")</f>
        <v>109700</v>
      </c>
      <c r="AE23" s="202">
        <f>IF(ISNUMBER(G23),Population!G23,"")</f>
        <v>110100</v>
      </c>
      <c r="AF23" s="202">
        <f>IF(ISNUMBER(H23),Population!H23,"")</f>
        <v>110700</v>
      </c>
      <c r="AG23" s="95" t="s">
        <v>14</v>
      </c>
      <c r="AH23" s="225">
        <f t="shared" si="6"/>
        <v>94.685039370078741</v>
      </c>
      <c r="AI23" s="203">
        <f t="shared" si="7"/>
        <v>17</v>
      </c>
      <c r="AJ23" s="199"/>
      <c r="AK23" s="156"/>
      <c r="AL23" s="792">
        <f t="shared" si="8"/>
        <v>2.8747433264887063E-2</v>
      </c>
      <c r="AM23" s="792">
        <f t="shared" si="8"/>
        <v>-4.9900199600798403E-2</v>
      </c>
      <c r="AN23" s="792">
        <f t="shared" si="8"/>
        <v>8.6134453781512604E-2</v>
      </c>
      <c r="AO23" s="792">
        <f t="shared" si="8"/>
        <v>3.2882011605415859E-2</v>
      </c>
      <c r="AP23" s="792">
        <f t="shared" si="9"/>
        <v>2.446592476275428E-2</v>
      </c>
      <c r="AR23" s="76"/>
      <c r="AS23" s="76"/>
      <c r="AT23" s="76"/>
      <c r="AU23" s="76"/>
      <c r="AV23" s="76"/>
      <c r="AW23" s="76"/>
      <c r="AX23" s="76"/>
    </row>
    <row r="24" spans="1:50" s="89" customFormat="1" ht="13.5" customHeight="1" x14ac:dyDescent="0.2">
      <c r="A24" s="462">
        <f>VLOOKUP(B24,Sheet1!$AQ$4:$AR$25,2,FALSE)</f>
        <v>0</v>
      </c>
      <c r="B24" s="95" t="str">
        <f>Sheet1!$K$18</f>
        <v>Southampton</v>
      </c>
      <c r="C24" s="87"/>
      <c r="D24" s="96">
        <f>IF(Year1_Southampton Year1_LAC="","",Year1_Southampton Year1_LAC)</f>
        <v>582</v>
      </c>
      <c r="E24" s="96">
        <f>IF(Year2_Southampton Year2_LAC="","",Year2_Southampton Year2_LAC)</f>
        <v>591</v>
      </c>
      <c r="F24" s="96">
        <f>IF(Year3_Southampton Year3_LAC="","",Year3_Southampton Year3_LAC)</f>
        <v>540</v>
      </c>
      <c r="G24" s="96">
        <f>IF(Year4_Southampton Year4_LAC="","",Year4_Southampton Year4_LAC)</f>
        <v>522</v>
      </c>
      <c r="H24" s="97">
        <f>IF(Year5_Southampton Year5_LAC="","",Year5_Southampton Year5_LAC)</f>
        <v>481</v>
      </c>
      <c r="I24" s="337">
        <f t="shared" si="2"/>
        <v>-4.5676973338474237E-2</v>
      </c>
      <c r="J24" s="98"/>
      <c r="K24" s="99">
        <f>IF(ISNUMBER(D24),D24/Population!D24*10000,NA())</f>
        <v>119.75308641975309</v>
      </c>
      <c r="L24" s="99">
        <f>IF(ISNUMBER(E24),E24/Population!E24*10000,NA())</f>
        <v>120.1219512195122</v>
      </c>
      <c r="M24" s="99">
        <f>IF(ISNUMBER(F24),F24/Population!F24*10000,NA())</f>
        <v>108.21643286573146</v>
      </c>
      <c r="N24" s="99">
        <f>IF(ISNUMBER(G24),G24/Population!G24*10000,NA())</f>
        <v>103.77733598409543</v>
      </c>
      <c r="O24" s="100">
        <f>IF(ISNUMBER(H24),H24/Population!H24*10000,NA())</f>
        <v>94.685039370078741</v>
      </c>
      <c r="P24" s="101">
        <f t="shared" si="3"/>
        <v>94.685039370078741</v>
      </c>
      <c r="Q24" s="886">
        <f t="shared" si="4"/>
        <v>17</v>
      </c>
      <c r="R24" s="69"/>
      <c r="S24" s="333">
        <f>IDACI!C23</f>
        <v>20.5</v>
      </c>
      <c r="T24" s="334">
        <f t="shared" si="0"/>
        <v>81.426044295887522</v>
      </c>
      <c r="U24" s="335">
        <f t="shared" si="5"/>
        <v>13.258995074191219</v>
      </c>
      <c r="V24" s="124"/>
      <c r="W24" s="140"/>
      <c r="X24" s="149"/>
      <c r="Y24" s="71" t="str">
        <f t="shared" si="1"/>
        <v>Southampton</v>
      </c>
      <c r="Z24" s="45">
        <f>IF(ISNUMBER(H24),IDACI!D23,0)</f>
        <v>44295</v>
      </c>
      <c r="AA24" s="45">
        <f>IF(ISNUMBER(H24),IDACI!E23,0)</f>
        <v>9080.4750000000004</v>
      </c>
      <c r="AB24" s="202">
        <f>IF(ISNUMBER(D24),Population!D24,"")</f>
        <v>48600</v>
      </c>
      <c r="AC24" s="202">
        <f>IF(ISNUMBER(E24),Population!E24,"")</f>
        <v>49200</v>
      </c>
      <c r="AD24" s="202">
        <f>IF(ISNUMBER(F24),Population!F24,"")</f>
        <v>49900</v>
      </c>
      <c r="AE24" s="202">
        <f>IF(ISNUMBER(G24),Population!G24,"")</f>
        <v>50300</v>
      </c>
      <c r="AF24" s="202">
        <f>IF(ISNUMBER(H24),Population!H24,"")</f>
        <v>50800</v>
      </c>
      <c r="AG24" s="95" t="s">
        <v>7</v>
      </c>
      <c r="AH24" s="225">
        <f t="shared" si="6"/>
        <v>37.151584574264987</v>
      </c>
      <c r="AI24" s="203">
        <f t="shared" si="7"/>
        <v>3</v>
      </c>
      <c r="AJ24" s="199"/>
      <c r="AK24" s="156"/>
      <c r="AL24" s="792">
        <f t="shared" si="8"/>
        <v>1.5463917525773196E-2</v>
      </c>
      <c r="AM24" s="792">
        <f t="shared" si="8"/>
        <v>-8.6294416243654817E-2</v>
      </c>
      <c r="AN24" s="792">
        <f t="shared" si="8"/>
        <v>-3.3333333333333333E-2</v>
      </c>
      <c r="AO24" s="792">
        <f t="shared" si="8"/>
        <v>-7.8544061302681989E-2</v>
      </c>
      <c r="AP24" s="792">
        <f t="shared" si="9"/>
        <v>-4.5676973338474237E-2</v>
      </c>
      <c r="AR24" s="76"/>
      <c r="AS24" s="76"/>
      <c r="AT24" s="76"/>
      <c r="AU24" s="76"/>
      <c r="AV24" s="76"/>
      <c r="AW24" s="76"/>
      <c r="AX24" s="76"/>
    </row>
    <row r="25" spans="1:50" s="89" customFormat="1" ht="13.5" customHeight="1" x14ac:dyDescent="0.2">
      <c r="A25" s="462">
        <f>VLOOKUP(B25,Sheet1!$AQ$4:$AR$25,2,FALSE)</f>
        <v>0</v>
      </c>
      <c r="B25" s="95" t="str">
        <f>Sheet1!$K$19</f>
        <v>Surrey</v>
      </c>
      <c r="C25" s="87"/>
      <c r="D25" s="96">
        <f>IF(Year1_Surrey Year1_LAC="","",Year1_Surrey Year1_LAC)</f>
        <v>779</v>
      </c>
      <c r="E25" s="96">
        <f>IF(Year2_Surrey Year2_LAC="","",Year2_Surrey Year2_LAC)</f>
        <v>867</v>
      </c>
      <c r="F25" s="96">
        <f>IF(Year3_Surrey Year3_LAC="","",Year3_Surrey Year3_LAC)</f>
        <v>869</v>
      </c>
      <c r="G25" s="96">
        <f>IF(Year4_Surrey Year4_LAC="","",Year4_Surrey Year4_LAC)</f>
        <v>930</v>
      </c>
      <c r="H25" s="97">
        <f>IF(Year5_Surrey Year5_LAC="","",Year5_Surrey Year5_LAC)</f>
        <v>973</v>
      </c>
      <c r="I25" s="337">
        <f t="shared" si="2"/>
        <v>5.7926082888031541E-2</v>
      </c>
      <c r="J25" s="98"/>
      <c r="K25" s="99">
        <f>IF(ISNUMBER(D25),D25/Population!D25*10000,NA())</f>
        <v>30.597014925373138</v>
      </c>
      <c r="L25" s="99">
        <f>IF(ISNUMBER(E25),E25/Population!E25*10000,NA())</f>
        <v>33.814352574102962</v>
      </c>
      <c r="M25" s="99">
        <f>IF(ISNUMBER(F25),F25/Population!F25*10000,NA())</f>
        <v>33.552123552123554</v>
      </c>
      <c r="N25" s="99">
        <f>IF(ISNUMBER(G25),G25/Population!G25*10000,NA())</f>
        <v>35.728006146753742</v>
      </c>
      <c r="O25" s="100">
        <f>IF(ISNUMBER(H25),H25/Population!H25*10000,NA())</f>
        <v>37.151584574264987</v>
      </c>
      <c r="P25" s="101">
        <f t="shared" si="3"/>
        <v>37.151584574264987</v>
      </c>
      <c r="Q25" s="886">
        <f t="shared" si="4"/>
        <v>3</v>
      </c>
      <c r="R25" s="69"/>
      <c r="S25" s="333">
        <f>IDACI!C24</f>
        <v>8.3000000000000007</v>
      </c>
      <c r="T25" s="334">
        <f t="shared" si="0"/>
        <v>38.272290612764436</v>
      </c>
      <c r="U25" s="335">
        <f t="shared" si="5"/>
        <v>-1.1207060384994492</v>
      </c>
      <c r="V25" s="124"/>
      <c r="W25" s="140"/>
      <c r="X25" s="149"/>
      <c r="Y25" s="71" t="str">
        <f t="shared" si="1"/>
        <v>Surrey</v>
      </c>
      <c r="Z25" s="45">
        <f>IF(ISNUMBER(H25),IDACI!D24,0)</f>
        <v>228466</v>
      </c>
      <c r="AA25" s="45">
        <f>IF(ISNUMBER(H25),IDACI!E24,0)</f>
        <v>18962.678</v>
      </c>
      <c r="AB25" s="202">
        <f>IF(ISNUMBER(D25),Population!D25,"")</f>
        <v>254600</v>
      </c>
      <c r="AC25" s="202">
        <f>IF(ISNUMBER(E25),Population!E25,"")</f>
        <v>256400</v>
      </c>
      <c r="AD25" s="202">
        <f>IF(ISNUMBER(F25),Population!F25,"")</f>
        <v>259000</v>
      </c>
      <c r="AE25" s="202">
        <f>IF(ISNUMBER(G25),Population!G25,"")</f>
        <v>260300</v>
      </c>
      <c r="AF25" s="202">
        <f>IF(ISNUMBER(H25),Population!H25,"")</f>
        <v>261900</v>
      </c>
      <c r="AG25" s="95" t="s">
        <v>15</v>
      </c>
      <c r="AH25" s="225">
        <f t="shared" si="6"/>
        <v>48.31460674157303</v>
      </c>
      <c r="AI25" s="203">
        <f t="shared" si="7"/>
        <v>7</v>
      </c>
      <c r="AJ25" s="199"/>
      <c r="AK25" s="156"/>
      <c r="AL25" s="792">
        <f t="shared" si="8"/>
        <v>0.11296534017971759</v>
      </c>
      <c r="AM25" s="792">
        <f t="shared" si="8"/>
        <v>2.306805074971165E-3</v>
      </c>
      <c r="AN25" s="792">
        <f t="shared" si="8"/>
        <v>7.0195627157652471E-2</v>
      </c>
      <c r="AO25" s="792">
        <f t="shared" si="8"/>
        <v>4.6236559139784944E-2</v>
      </c>
      <c r="AP25" s="792">
        <f t="shared" si="9"/>
        <v>5.7926082888031541E-2</v>
      </c>
      <c r="AR25" s="76"/>
      <c r="AS25" s="76"/>
      <c r="AT25" s="76"/>
      <c r="AU25" s="76"/>
      <c r="AV25" s="76"/>
      <c r="AW25" s="76"/>
      <c r="AX25" s="76"/>
    </row>
    <row r="26" spans="1:50" s="89" customFormat="1" ht="13.5" customHeight="1" x14ac:dyDescent="0.2">
      <c r="A26" s="462">
        <f>VLOOKUP(B26,Sheet1!$AQ$4:$AR$25,2,FALSE)</f>
        <v>0</v>
      </c>
      <c r="B26" s="95" t="str">
        <f>Sheet1!$K$20</f>
        <v>Swindon</v>
      </c>
      <c r="C26" s="87"/>
      <c r="D26" s="96">
        <f>IF(Year1_Swindon Year1_LAC="","",Year1_Swindon Year1_LAC)</f>
        <v>250</v>
      </c>
      <c r="E26" s="96">
        <f>IF(Year2_Swindon Year2_LAC="","",Year2_Swindon Year2_LAC)</f>
        <v>293</v>
      </c>
      <c r="F26" s="96">
        <f>IF(Year3_Swindon Year3_LAC="","",Year3_Swindon Year3_LAC)</f>
        <v>330</v>
      </c>
      <c r="G26" s="96">
        <f>IF(Year4_Swindon Year4_LAC="","",Year4_Swindon Year4_LAC)</f>
        <v>360</v>
      </c>
      <c r="H26" s="97">
        <f>IF(Year5_Swindon Year5_LAC="","",Year5_Swindon Year5_LAC)</f>
        <v>348</v>
      </c>
      <c r="I26" s="337">
        <f t="shared" si="2"/>
        <v>8.8963905264246551E-2</v>
      </c>
      <c r="J26" s="98"/>
      <c r="K26" s="99">
        <f>IF(ISNUMBER(D26),D26/Population!D26*10000,NA())</f>
        <v>51.440329218106996</v>
      </c>
      <c r="L26" s="99">
        <f>IF(ISNUMBER(E26),E26/Population!E26*10000,NA())</f>
        <v>59.795918367346943</v>
      </c>
      <c r="M26" s="99">
        <f>IF(ISNUMBER(F26),F26/Population!F26*10000,NA())</f>
        <v>66.666666666666671</v>
      </c>
      <c r="N26" s="99">
        <f>IF(ISNUMBER(G26),G26/Population!G26*10000,NA())</f>
        <v>72.144288577154313</v>
      </c>
      <c r="O26" s="100">
        <f>IF(ISNUMBER(H26),H26/Population!H26*10000,NA())</f>
        <v>69.322709163346616</v>
      </c>
      <c r="P26" s="101">
        <f t="shared" si="3"/>
        <v>69.322709163346616</v>
      </c>
      <c r="Q26" s="363" t="str">
        <f t="shared" si="4"/>
        <v>--</v>
      </c>
      <c r="R26" s="69"/>
      <c r="S26" s="333">
        <f>IDACI!C25</f>
        <v>14.899999999999999</v>
      </c>
      <c r="T26" s="334">
        <f t="shared" si="0"/>
        <v>61.617763916749055</v>
      </c>
      <c r="U26" s="335">
        <f t="shared" si="5"/>
        <v>7.7049452465975605</v>
      </c>
      <c r="V26" s="124"/>
      <c r="W26" s="140"/>
      <c r="X26" s="149"/>
      <c r="Y26" s="71" t="str">
        <f t="shared" si="1"/>
        <v>Swindon</v>
      </c>
      <c r="Z26" s="45">
        <f>IF(ISNUMBER(H26),IDACI!D25,0)</f>
        <v>43899</v>
      </c>
      <c r="AA26" s="45">
        <f>IF(ISNUMBER(H26),IDACI!E25,0)</f>
        <v>6540.951</v>
      </c>
      <c r="AB26" s="202">
        <f>IF(ISNUMBER(D26),Population!D26,"")</f>
        <v>48600</v>
      </c>
      <c r="AC26" s="202">
        <f>IF(ISNUMBER(E26),Population!E26,"")</f>
        <v>49000</v>
      </c>
      <c r="AD26" s="202">
        <f>IF(ISNUMBER(F26),Population!F26,"")</f>
        <v>49500</v>
      </c>
      <c r="AE26" s="202">
        <f>IF(ISNUMBER(G26),Population!G26,"")</f>
        <v>49900</v>
      </c>
      <c r="AF26" s="202">
        <f>IF(ISNUMBER(H26),Population!H26,"")</f>
        <v>50200</v>
      </c>
      <c r="AG26" s="95" t="s">
        <v>5</v>
      </c>
      <c r="AH26" s="225">
        <f t="shared" si="6"/>
        <v>40.297653119633658</v>
      </c>
      <c r="AI26" s="203">
        <f t="shared" si="7"/>
        <v>4</v>
      </c>
      <c r="AJ26" s="199"/>
      <c r="AK26" s="156"/>
      <c r="AL26" s="792">
        <f t="shared" si="8"/>
        <v>0.17199999999999999</v>
      </c>
      <c r="AM26" s="792">
        <f t="shared" si="8"/>
        <v>0.12627986348122866</v>
      </c>
      <c r="AN26" s="792">
        <f t="shared" si="8"/>
        <v>9.0909090909090912E-2</v>
      </c>
      <c r="AO26" s="792">
        <f t="shared" si="8"/>
        <v>-3.3333333333333333E-2</v>
      </c>
      <c r="AP26" s="792">
        <f t="shared" si="9"/>
        <v>8.8963905264246551E-2</v>
      </c>
      <c r="AR26" s="76"/>
      <c r="AS26" s="76"/>
      <c r="AT26" s="76"/>
      <c r="AU26" s="76"/>
      <c r="AV26" s="76"/>
      <c r="AW26" s="76"/>
      <c r="AX26" s="76"/>
    </row>
    <row r="27" spans="1:50" s="89" customFormat="1" ht="13.5" customHeight="1" x14ac:dyDescent="0.2">
      <c r="A27" s="462">
        <f>VLOOKUP(B27,Sheet1!$AQ$4:$AR$25,2,FALSE)</f>
        <v>0</v>
      </c>
      <c r="B27" s="95" t="str">
        <f>Sheet1!$K$21</f>
        <v>Torbay</v>
      </c>
      <c r="C27" s="87"/>
      <c r="D27" s="96">
        <f>IF(Year1_Torbay Year1_LAC="","",Year1_Torbay Year1_LAC)</f>
        <v>306</v>
      </c>
      <c r="E27" s="96">
        <f>IF(Year2_Torbay Year2_LAC="","",Year2_Torbay Year2_LAC)</f>
        <v>279</v>
      </c>
      <c r="F27" s="96">
        <f>IF(Year3_Torbay Year3_LAC="","",Year3_Torbay Year3_LAC)</f>
        <v>289</v>
      </c>
      <c r="G27" s="96">
        <f>IF(Year4_Torbay Year4_LAC="","",Year4_Torbay Year4_LAC)</f>
        <v>329</v>
      </c>
      <c r="H27" s="97">
        <f>IF(Year5_Torbay Year5_LAC="","",Year5_Torbay Year5_LAC)</f>
        <v>362</v>
      </c>
      <c r="I27" s="337">
        <f t="shared" si="2"/>
        <v>4.6579813913803503E-2</v>
      </c>
      <c r="J27" s="98"/>
      <c r="K27" s="99">
        <f>IF(ISNUMBER(D27),D27/Population!D27*10000,NA())</f>
        <v>121.91235059760956</v>
      </c>
      <c r="L27" s="99">
        <f>IF(ISNUMBER(E27),E27/Population!E27*10000,NA())</f>
        <v>110.71428571428571</v>
      </c>
      <c r="M27" s="99">
        <f>IF(ISNUMBER(F27),F27/Population!F27*10000,NA())</f>
        <v>113.77952755905513</v>
      </c>
      <c r="N27" s="99">
        <f>IF(ISNUMBER(G27),G27/Population!G27*10000,NA())</f>
        <v>129.5275590551181</v>
      </c>
      <c r="O27" s="100">
        <f>IF(ISNUMBER(H27),H27/Population!H27*10000,NA())</f>
        <v>142.51968503937007</v>
      </c>
      <c r="P27" s="101">
        <f t="shared" si="3"/>
        <v>142.51968503937007</v>
      </c>
      <c r="Q27" s="363" t="str">
        <f t="shared" si="4"/>
        <v>--</v>
      </c>
      <c r="R27" s="69"/>
      <c r="S27" s="333">
        <f>IDACI!C26</f>
        <v>21.9</v>
      </c>
      <c r="T27" s="334">
        <f t="shared" si="0"/>
        <v>86.378114390672138</v>
      </c>
      <c r="U27" s="335">
        <f t="shared" si="5"/>
        <v>56.141570648697936</v>
      </c>
      <c r="V27" s="124"/>
      <c r="W27" s="140"/>
      <c r="X27" s="149"/>
      <c r="Y27" s="71" t="str">
        <f t="shared" si="1"/>
        <v>Torbay</v>
      </c>
      <c r="Z27" s="45">
        <f>IF(ISNUMBER(H27),IDACI!D26,0)</f>
        <v>22257</v>
      </c>
      <c r="AA27" s="45">
        <f>IF(ISNUMBER(H27),IDACI!E26,0)</f>
        <v>4874.2829999999994</v>
      </c>
      <c r="AB27" s="202">
        <f>IF(ISNUMBER(D27),Population!D27,"")</f>
        <v>25100</v>
      </c>
      <c r="AC27" s="202">
        <f>IF(ISNUMBER(E27),Population!E27,"")</f>
        <v>25200</v>
      </c>
      <c r="AD27" s="202">
        <f>IF(ISNUMBER(F27),Population!F27,"")</f>
        <v>25400</v>
      </c>
      <c r="AE27" s="202">
        <f>IF(ISNUMBER(G27),Population!G27,"")</f>
        <v>25400</v>
      </c>
      <c r="AF27" s="202">
        <f>IF(ISNUMBER(H27),Population!H27,"")</f>
        <v>25400</v>
      </c>
      <c r="AG27" s="95" t="s">
        <v>30</v>
      </c>
      <c r="AH27" s="225">
        <f t="shared" si="6"/>
        <v>35.838150289017342</v>
      </c>
      <c r="AI27" s="203">
        <f t="shared" si="7"/>
        <v>2</v>
      </c>
      <c r="AJ27" s="199"/>
      <c r="AK27" s="156"/>
      <c r="AL27" s="792">
        <f t="shared" si="8"/>
        <v>-8.8235294117647065E-2</v>
      </c>
      <c r="AM27" s="792">
        <f t="shared" si="8"/>
        <v>3.5842293906810034E-2</v>
      </c>
      <c r="AN27" s="792">
        <f t="shared" si="8"/>
        <v>0.13840830449826991</v>
      </c>
      <c r="AO27" s="792">
        <f t="shared" si="8"/>
        <v>0.10030395136778116</v>
      </c>
      <c r="AP27" s="792">
        <f t="shared" si="9"/>
        <v>4.6579813913803503E-2</v>
      </c>
      <c r="AR27" s="76"/>
      <c r="AS27" s="76"/>
      <c r="AT27" s="76"/>
      <c r="AU27" s="76"/>
      <c r="AV27" s="76"/>
      <c r="AW27" s="76"/>
      <c r="AX27" s="76"/>
    </row>
    <row r="28" spans="1:50" s="89" customFormat="1" ht="13.5" customHeight="1" x14ac:dyDescent="0.2">
      <c r="A28" s="462">
        <f>VLOOKUP(B28,Sheet1!$AQ$4:$AR$25,2,FALSE)</f>
        <v>0</v>
      </c>
      <c r="B28" s="95" t="str">
        <f>Sheet1!$K$22</f>
        <v>West Berkshire</v>
      </c>
      <c r="C28" s="87"/>
      <c r="D28" s="96">
        <f>IF(Year1_West_Berkshire Year1_LAC="","",Year1_West_Berkshire Year1_LAC)</f>
        <v>171</v>
      </c>
      <c r="E28" s="102">
        <f>IF(Year2_West_Berkshire Year2_LAC="","",Year2_West_Berkshire Year2_LAC)</f>
        <v>157</v>
      </c>
      <c r="F28" s="96">
        <f>IF(Year3_West_Berkshire Year3_LAC="","",Year3_West_Berkshire Year3_LAC)</f>
        <v>161</v>
      </c>
      <c r="G28" s="96">
        <f>IF(Year4_West_Berkshire Year4_LAC="","",Year4_West_Berkshire Year4_LAC)</f>
        <v>145</v>
      </c>
      <c r="H28" s="97">
        <f>IF(Year5_West_Berkshire Year5_LAC="","",Year5_West_Berkshire Year5_LAC)</f>
        <v>172</v>
      </c>
      <c r="I28" s="337">
        <f t="shared" si="2"/>
        <v>7.6085941353190439E-3</v>
      </c>
      <c r="J28" s="98"/>
      <c r="K28" s="99">
        <f>IF(ISNUMBER(D28),D28/Population!D28*10000,NA())</f>
        <v>48.033707865168537</v>
      </c>
      <c r="L28" s="99">
        <f>IF(ISNUMBER(E28),E28/Population!E28*10000,NA())</f>
        <v>43.977591036414566</v>
      </c>
      <c r="M28" s="99">
        <f>IF(ISNUMBER(F28),F28/Population!F28*10000,NA())</f>
        <v>44.846796657381617</v>
      </c>
      <c r="N28" s="99">
        <f>IF(ISNUMBER(G28),G28/Population!G28*10000,NA())</f>
        <v>40.502793296089386</v>
      </c>
      <c r="O28" s="100">
        <f>IF(ISNUMBER(H28),H28/Population!H28*10000,NA())</f>
        <v>48.31460674157303</v>
      </c>
      <c r="P28" s="101">
        <f t="shared" si="3"/>
        <v>48.31460674157303</v>
      </c>
      <c r="Q28" s="886">
        <f t="shared" si="4"/>
        <v>7</v>
      </c>
      <c r="R28" s="69"/>
      <c r="S28" s="333">
        <f>IDACI!C27</f>
        <v>8.6999999999999993</v>
      </c>
      <c r="T28" s="334">
        <f t="shared" si="0"/>
        <v>39.687167782702893</v>
      </c>
      <c r="U28" s="335">
        <f t="shared" si="5"/>
        <v>8.6274389588701368</v>
      </c>
      <c r="V28" s="124"/>
      <c r="W28" s="140"/>
      <c r="X28" s="149"/>
      <c r="Y28" s="71" t="str">
        <f t="shared" si="1"/>
        <v>West Berkshire</v>
      </c>
      <c r="Z28" s="45">
        <f>IF(ISNUMBER(H28),IDACI!D27,0)</f>
        <v>31625</v>
      </c>
      <c r="AA28" s="45">
        <f>IF(ISNUMBER(H28),IDACI!E27,0)</f>
        <v>2751.375</v>
      </c>
      <c r="AB28" s="202">
        <f>IF(ISNUMBER(D28),Population!D28,"")</f>
        <v>35600</v>
      </c>
      <c r="AC28" s="202">
        <f>IF(ISNUMBER(E28),Population!E28,"")</f>
        <v>35700</v>
      </c>
      <c r="AD28" s="202">
        <f>IF(ISNUMBER(F28),Population!F28,"")</f>
        <v>35900</v>
      </c>
      <c r="AE28" s="202">
        <f>IF(ISNUMBER(G28),Population!G28,"")</f>
        <v>35800</v>
      </c>
      <c r="AF28" s="202">
        <f>IF(ISNUMBER(H28),Population!H28,"")</f>
        <v>35600</v>
      </c>
      <c r="AG28" s="95" t="s">
        <v>16</v>
      </c>
      <c r="AH28" s="225">
        <f t="shared" si="6"/>
        <v>27.848101265822784</v>
      </c>
      <c r="AI28" s="203">
        <f t="shared" si="7"/>
        <v>1</v>
      </c>
      <c r="AJ28" s="199"/>
      <c r="AK28" s="156"/>
      <c r="AL28" s="792">
        <f t="shared" si="8"/>
        <v>-8.1871345029239762E-2</v>
      </c>
      <c r="AM28" s="792">
        <f t="shared" si="8"/>
        <v>2.5477707006369428E-2</v>
      </c>
      <c r="AN28" s="792">
        <f t="shared" si="8"/>
        <v>-9.9378881987577633E-2</v>
      </c>
      <c r="AO28" s="792">
        <f t="shared" si="8"/>
        <v>0.18620689655172415</v>
      </c>
      <c r="AP28" s="792">
        <f t="shared" si="9"/>
        <v>7.6085941353190439E-3</v>
      </c>
      <c r="AR28" s="76"/>
      <c r="AS28" s="76"/>
      <c r="AT28" s="76"/>
      <c r="AU28" s="76"/>
      <c r="AV28" s="76"/>
      <c r="AW28" s="76"/>
      <c r="AX28" s="76"/>
    </row>
    <row r="29" spans="1:50" s="89" customFormat="1" ht="13.5" customHeight="1" x14ac:dyDescent="0.2">
      <c r="A29" s="462">
        <f>VLOOKUP(B29,Sheet1!$AQ$4:$AR$25,2,FALSE)</f>
        <v>0</v>
      </c>
      <c r="B29" s="95" t="str">
        <f>Sheet1!$K$23</f>
        <v>West Sussex</v>
      </c>
      <c r="C29" s="87"/>
      <c r="D29" s="96">
        <f>IF(Year1_West_Sussex Year1_LAC="","",Year1_West_Sussex Year1_LAC)</f>
        <v>644</v>
      </c>
      <c r="E29" s="102">
        <f>IF(Year2_West_Sussex Year2_LAC="","",Year2_West_Sussex Year2_LAC)</f>
        <v>639</v>
      </c>
      <c r="F29" s="96">
        <f>IF(Year3_West_Sussex Year3_LAC="","",Year3_West_Sussex Year3_LAC)</f>
        <v>663</v>
      </c>
      <c r="G29" s="96">
        <f>IF(Year4_West_Sussex Year4_LAC="","",Year4_West_Sussex Year4_LAC)</f>
        <v>704</v>
      </c>
      <c r="H29" s="97">
        <f>IF(Year5_West_Sussex Year5_LAC="","",Year5_West_Sussex Year5_LAC)</f>
        <v>704</v>
      </c>
      <c r="I29" s="337">
        <f t="shared" si="2"/>
        <v>2.2908707738594991E-2</v>
      </c>
      <c r="J29" s="98"/>
      <c r="K29" s="99">
        <f>IF(ISNUMBER(D29),D29/Population!D29*10000,NA())</f>
        <v>38.15165876777251</v>
      </c>
      <c r="L29" s="99">
        <f>IF(ISNUMBER(E29),E29/Population!E29*10000,NA())</f>
        <v>37.5</v>
      </c>
      <c r="M29" s="99">
        <f>IF(ISNUMBER(F29),F29/Population!F29*10000,NA())</f>
        <v>38.59138533178114</v>
      </c>
      <c r="N29" s="99">
        <f>IF(ISNUMBER(G29),G29/Population!G29*10000,NA())</f>
        <v>40.623196768609347</v>
      </c>
      <c r="O29" s="100">
        <f>IF(ISNUMBER(H29),H29/Population!H29*10000,NA())</f>
        <v>40.297653119633658</v>
      </c>
      <c r="P29" s="101">
        <f t="shared" si="3"/>
        <v>40.297653119633658</v>
      </c>
      <c r="Q29" s="886">
        <f t="shared" si="4"/>
        <v>4</v>
      </c>
      <c r="R29" s="69"/>
      <c r="S29" s="333">
        <f>IDACI!C28</f>
        <v>11</v>
      </c>
      <c r="T29" s="334">
        <f t="shared" si="0"/>
        <v>47.82271150984905</v>
      </c>
      <c r="U29" s="335">
        <f t="shared" si="5"/>
        <v>-7.525058390215392</v>
      </c>
      <c r="V29" s="124"/>
      <c r="W29" s="140"/>
      <c r="X29" s="149"/>
      <c r="Y29" s="71" t="str">
        <f t="shared" si="1"/>
        <v>West Sussex</v>
      </c>
      <c r="Z29" s="45">
        <f>IF(ISNUMBER(H29),IDACI!D28,0)</f>
        <v>151487</v>
      </c>
      <c r="AA29" s="45">
        <f>IF(ISNUMBER(H29),IDACI!E28,0)</f>
        <v>16663.57</v>
      </c>
      <c r="AB29" s="202">
        <f>IF(ISNUMBER(D29),Population!D29,"")</f>
        <v>168800</v>
      </c>
      <c r="AC29" s="202">
        <f>IF(ISNUMBER(E29),Population!E29,"")</f>
        <v>170400</v>
      </c>
      <c r="AD29" s="202">
        <f>IF(ISNUMBER(F29),Population!F29,"")</f>
        <v>171800</v>
      </c>
      <c r="AE29" s="202">
        <f>IF(ISNUMBER(G29),Population!G29,"")</f>
        <v>173300</v>
      </c>
      <c r="AF29" s="202">
        <f>IF(ISNUMBER(H29),Population!H29,"")</f>
        <v>174700</v>
      </c>
      <c r="AG29" s="199"/>
      <c r="AH29" s="199"/>
      <c r="AI29" s="185"/>
      <c r="AJ29" s="199"/>
      <c r="AK29" s="156"/>
      <c r="AL29" s="792">
        <f t="shared" si="8"/>
        <v>-7.763975155279503E-3</v>
      </c>
      <c r="AM29" s="792">
        <f t="shared" si="8"/>
        <v>3.7558685446009391E-2</v>
      </c>
      <c r="AN29" s="792">
        <f t="shared" si="8"/>
        <v>6.1840120663650078E-2</v>
      </c>
      <c r="AO29" s="792">
        <f t="shared" si="8"/>
        <v>0</v>
      </c>
      <c r="AP29" s="792">
        <f t="shared" si="9"/>
        <v>2.2908707738594991E-2</v>
      </c>
      <c r="AR29" s="76"/>
      <c r="AS29" s="76"/>
      <c r="AT29" s="76"/>
      <c r="AU29" s="76"/>
      <c r="AV29" s="76"/>
      <c r="AW29" s="76"/>
      <c r="AX29" s="76"/>
    </row>
    <row r="30" spans="1:50" s="89" customFormat="1" ht="13.5" customHeight="1" x14ac:dyDescent="0.2">
      <c r="A30" s="462">
        <f>VLOOKUP(B30,Sheet1!$AQ$4:$AR$25,2,FALSE)</f>
        <v>0</v>
      </c>
      <c r="B30" s="95" t="str">
        <f>Sheet1!$K$24</f>
        <v>Windsor &amp; Maidenhead</v>
      </c>
      <c r="C30" s="87"/>
      <c r="D30" s="102">
        <f>IF(Year1_Windsor_Maidenhead Year1_LAC="","",Year1_Windsor_Maidenhead Year1_LAC)</f>
        <v>99</v>
      </c>
      <c r="E30" s="96">
        <f>IF(Year2_Windsor_Maidenhead Year2_LAC="","",Year2_Windsor_Maidenhead Year2_LAC)</f>
        <v>89</v>
      </c>
      <c r="F30" s="96">
        <f>IF(Year3_Windsor_Maidenhead Year3_LAC="","",Year3_Windsor_Maidenhead Year3_LAC)</f>
        <v>109</v>
      </c>
      <c r="G30" s="96">
        <f>IF(Year4_Windsor_Maidenhead Year4_LAC="","",Year4_Windsor_Maidenhead Year4_LAC)</f>
        <v>107</v>
      </c>
      <c r="H30" s="97">
        <f>IF(Year5_Windsor_Maidenhead Year5_LAC="","",Year5_Windsor_Maidenhead Year5_LAC)</f>
        <v>124</v>
      </c>
      <c r="I30" s="337">
        <f t="shared" si="2"/>
        <v>6.6059720233295163E-2</v>
      </c>
      <c r="J30" s="98"/>
      <c r="K30" s="99">
        <f>IF(ISNUMBER(D30),D30/Population!D30*10000,NA())</f>
        <v>29.640718562874252</v>
      </c>
      <c r="L30" s="99">
        <f>IF(ISNUMBER(E30),E30/Population!E30*10000,NA())</f>
        <v>26.409495548961427</v>
      </c>
      <c r="M30" s="99">
        <f>IF(ISNUMBER(F30),F30/Population!F30*10000,NA())</f>
        <v>31.871345029239766</v>
      </c>
      <c r="N30" s="99">
        <f>IF(ISNUMBER(G30),G30/Population!G30*10000,NA())</f>
        <v>31.104651162790699</v>
      </c>
      <c r="O30" s="100">
        <f>IF(ISNUMBER(H30),H30/Population!H30*10000,NA())</f>
        <v>35.838150289017342</v>
      </c>
      <c r="P30" s="101">
        <f t="shared" si="3"/>
        <v>35.838150289017342</v>
      </c>
      <c r="Q30" s="886">
        <f t="shared" si="4"/>
        <v>2</v>
      </c>
      <c r="R30" s="69"/>
      <c r="S30" s="333">
        <f>IDACI!C29</f>
        <v>6.7</v>
      </c>
      <c r="T30" s="334">
        <f t="shared" si="0"/>
        <v>32.612781933010588</v>
      </c>
      <c r="U30" s="335">
        <f t="shared" si="5"/>
        <v>3.2253683560067543</v>
      </c>
      <c r="V30" s="124"/>
      <c r="W30" s="140"/>
      <c r="X30" s="149"/>
      <c r="Y30" s="71" t="str">
        <f t="shared" si="1"/>
        <v>Windsor &amp; Maidenhead</v>
      </c>
      <c r="Z30" s="45">
        <f>IF(ISNUMBER(H30),IDACI!D29,0)</f>
        <v>29792</v>
      </c>
      <c r="AA30" s="45">
        <f>IF(ISNUMBER(H30),IDACI!E29,0)</f>
        <v>1996.0640000000001</v>
      </c>
      <c r="AB30" s="202">
        <f>IF(ISNUMBER(D30),Population!D30,"")</f>
        <v>33400</v>
      </c>
      <c r="AC30" s="202">
        <f>IF(ISNUMBER(E30),Population!E30,"")</f>
        <v>33700</v>
      </c>
      <c r="AD30" s="202">
        <f>IF(ISNUMBER(F30),Population!F30,"")</f>
        <v>34200</v>
      </c>
      <c r="AE30" s="202">
        <f>IF(ISNUMBER(G30),Population!G30,"")</f>
        <v>34400</v>
      </c>
      <c r="AF30" s="202">
        <f>IF(ISNUMBER(H30),Population!H30,"")</f>
        <v>34600</v>
      </c>
      <c r="AG30" s="199"/>
      <c r="AH30" s="199"/>
      <c r="AI30" s="185"/>
      <c r="AJ30" s="199"/>
      <c r="AK30" s="156"/>
      <c r="AL30" s="792">
        <f t="shared" si="8"/>
        <v>-0.10101010101010101</v>
      </c>
      <c r="AM30" s="792">
        <f t="shared" si="8"/>
        <v>0.2247191011235955</v>
      </c>
      <c r="AN30" s="792">
        <f t="shared" si="8"/>
        <v>-1.834862385321101E-2</v>
      </c>
      <c r="AO30" s="792">
        <f t="shared" si="8"/>
        <v>0.15887850467289719</v>
      </c>
      <c r="AP30" s="792">
        <f t="shared" si="9"/>
        <v>6.6059720233295163E-2</v>
      </c>
      <c r="AR30" s="76"/>
      <c r="AS30" s="76"/>
      <c r="AT30" s="76"/>
      <c r="AU30" s="76"/>
      <c r="AV30" s="76"/>
      <c r="AW30" s="76"/>
      <c r="AX30" s="76"/>
    </row>
    <row r="31" spans="1:50" s="89" customFormat="1" ht="13.5" customHeight="1" x14ac:dyDescent="0.2">
      <c r="A31" s="462">
        <f>VLOOKUP(B31,Sheet1!$AQ$4:$AR$25,2,FALSE)</f>
        <v>0</v>
      </c>
      <c r="B31" s="95" t="str">
        <f>Sheet1!$K$25</f>
        <v>Wokingham</v>
      </c>
      <c r="C31" s="87"/>
      <c r="D31" s="102">
        <f>IF(Year1_Wokingham Year1_LAC="","",Year1_Wokingham Year1_LAC)</f>
        <v>75</v>
      </c>
      <c r="E31" s="96">
        <f>IF(Year2_Wokingham Year2_LAC="","",Year2_Wokingham Year2_LAC)</f>
        <v>81</v>
      </c>
      <c r="F31" s="96">
        <f>IF(Year3_Wokingham Year3_LAC="","",Year3_Wokingham Year3_LAC)</f>
        <v>75</v>
      </c>
      <c r="G31" s="96">
        <f>IF(Year4_Wokingham Year4_LAC="","",Year4_Wokingham Year4_LAC)</f>
        <v>106</v>
      </c>
      <c r="H31" s="97">
        <f>IF(Year5_Wokingham Year5_LAC="","",Year5_Wokingham Year5_LAC)</f>
        <v>110</v>
      </c>
      <c r="I31" s="337">
        <f t="shared" si="2"/>
        <v>0.11424877707896576</v>
      </c>
      <c r="J31" s="98"/>
      <c r="K31" s="99">
        <f>IF(ISNUMBER(D31),D31/Population!D31*10000,NA())</f>
        <v>20.325203252032523</v>
      </c>
      <c r="L31" s="99">
        <f>IF(ISNUMBER(E31),E31/Population!E31*10000,NA())</f>
        <v>21.715817694369974</v>
      </c>
      <c r="M31" s="99">
        <f>IF(ISNUMBER(F31),F31/Population!F31*10000,NA())</f>
        <v>19.736842105263158</v>
      </c>
      <c r="N31" s="99">
        <f>IF(ISNUMBER(G31),G31/Population!G31*10000,NA())</f>
        <v>27.390180878552972</v>
      </c>
      <c r="O31" s="100">
        <f>IF(ISNUMBER(H31),H31/Population!H31*10000,NA())</f>
        <v>27.848101265822784</v>
      </c>
      <c r="P31" s="101">
        <f t="shared" si="3"/>
        <v>27.848101265822784</v>
      </c>
      <c r="Q31" s="886">
        <f t="shared" si="4"/>
        <v>1</v>
      </c>
      <c r="R31" s="69"/>
      <c r="S31" s="333">
        <f>IDACI!C30</f>
        <v>5.6000000000000005</v>
      </c>
      <c r="T31" s="334">
        <f t="shared" si="0"/>
        <v>28.721869715679819</v>
      </c>
      <c r="U31" s="335">
        <f t="shared" si="5"/>
        <v>-0.87376844985703528</v>
      </c>
      <c r="V31" s="124"/>
      <c r="W31" s="140"/>
      <c r="X31" s="149"/>
      <c r="Y31" s="71" t="str">
        <f t="shared" si="1"/>
        <v>Wokingham</v>
      </c>
      <c r="Z31" s="45">
        <f>IF(ISNUMBER(H31),IDACI!D30,0)</f>
        <v>33327</v>
      </c>
      <c r="AA31" s="45">
        <f>IF(ISNUMBER(H31),IDACI!E30,0)</f>
        <v>1866.3120000000004</v>
      </c>
      <c r="AB31" s="202">
        <f>IF(ISNUMBER(D31),Population!D31,"")</f>
        <v>36900</v>
      </c>
      <c r="AC31" s="202">
        <f>IF(ISNUMBER(E31),Population!E31,"")</f>
        <v>37300</v>
      </c>
      <c r="AD31" s="202">
        <f>IF(ISNUMBER(F31),Population!F31,"")</f>
        <v>38000</v>
      </c>
      <c r="AE31" s="202">
        <f>IF(ISNUMBER(G31),Population!G31,"")</f>
        <v>38700</v>
      </c>
      <c r="AF31" s="202">
        <f>IF(ISNUMBER(H31),Population!H31,"")</f>
        <v>39500</v>
      </c>
      <c r="AG31" s="199"/>
      <c r="AH31" s="199"/>
      <c r="AI31" s="185"/>
      <c r="AJ31" s="199"/>
      <c r="AK31" s="156"/>
      <c r="AL31" s="792">
        <f t="shared" si="8"/>
        <v>0.08</v>
      </c>
      <c r="AM31" s="792">
        <f t="shared" si="8"/>
        <v>-7.407407407407407E-2</v>
      </c>
      <c r="AN31" s="792">
        <f t="shared" si="8"/>
        <v>0.41333333333333333</v>
      </c>
      <c r="AO31" s="792">
        <f t="shared" si="8"/>
        <v>3.7735849056603772E-2</v>
      </c>
      <c r="AP31" s="792">
        <f t="shared" si="9"/>
        <v>0.11424877707896576</v>
      </c>
      <c r="AR31" s="76"/>
      <c r="AS31" s="76"/>
      <c r="AT31" s="76"/>
      <c r="AU31" s="76"/>
      <c r="AV31" s="76"/>
      <c r="AW31" s="76"/>
      <c r="AX31" s="76"/>
    </row>
    <row r="32" spans="1:50" s="89" customFormat="1" ht="13.5" customHeight="1" x14ac:dyDescent="0.2">
      <c r="A32" s="123"/>
      <c r="B32" s="131" t="str">
        <f>Sheet1!$K$26</f>
        <v>South East</v>
      </c>
      <c r="C32" s="87"/>
      <c r="D32" s="132">
        <f>IF(Year1_SouthEast Year1_LAC="","",Year1_SouthEast Year1_LAC)</f>
        <v>9310</v>
      </c>
      <c r="E32" s="132">
        <f>IF(Year2_SouthEast Year2_LAC="","",Year2_SouthEast Year2_LAC)</f>
        <v>9870</v>
      </c>
      <c r="F32" s="132">
        <f>IF(Year3_SouthEast Year3_LAC="","",Year3_SouthEast Year3_LAC)</f>
        <v>9830</v>
      </c>
      <c r="G32" s="132">
        <f>IF(Year4_SouthEast Year4_LAC="","",Year4_SouthEast Year4_LAC)</f>
        <v>10000</v>
      </c>
      <c r="H32" s="133">
        <f>IF(Year5_SouthEast Year5_LAC="","",Year5_SouthEast Year5_LAC)</f>
        <v>10280</v>
      </c>
      <c r="I32" s="350">
        <f t="shared" si="2"/>
        <v>1.833738238289578E-2</v>
      </c>
      <c r="J32" s="98"/>
      <c r="K32" s="134">
        <f>IF(ISNUMBER(D32),D32/AB32*10000,NA())</f>
        <v>48.886788489813064</v>
      </c>
      <c r="L32" s="134">
        <f>IF(ISNUMBER(E32),E32/AC32*10000,NA())</f>
        <v>51.45717115895939</v>
      </c>
      <c r="M32" s="134">
        <f>IF(ISNUMBER(F32),F32/AD32*10000,NA())</f>
        <v>50.850964771610364</v>
      </c>
      <c r="N32" s="134">
        <f>IF(ISNUMBER(G32),G32/AE32*10000,NA())</f>
        <v>51.442975461700712</v>
      </c>
      <c r="O32" s="135">
        <f>IF(ISNUMBER(H32),H32/AF32*10000,NA())</f>
        <v>52.518647185041381</v>
      </c>
      <c r="P32" s="101">
        <f t="shared" si="3"/>
        <v>52.518647185041381</v>
      </c>
      <c r="Q32" s="329" t="str">
        <f t="shared" si="4"/>
        <v>--</v>
      </c>
      <c r="R32" s="69"/>
      <c r="S32" s="331">
        <f>AA32/Z32*100</f>
        <v>12.371268250968637</v>
      </c>
      <c r="T32" s="134">
        <f t="shared" si="0"/>
        <v>52.673151865241479</v>
      </c>
      <c r="U32" s="336">
        <f t="shared" si="5"/>
        <v>-0.15450468020009822</v>
      </c>
      <c r="V32" s="124"/>
      <c r="W32" s="140"/>
      <c r="X32" s="149"/>
      <c r="Y32" s="71" t="str">
        <f t="shared" si="1"/>
        <v>South East</v>
      </c>
      <c r="Z32" s="45">
        <f>SUM(Z24:Z25,Z10:Z22,Z28:Z31)</f>
        <v>1704978</v>
      </c>
      <c r="AA32" s="45">
        <f>SUM(AA24:AA25,AA10:AA22,AA28:AA31)</f>
        <v>210927.40200000003</v>
      </c>
      <c r="AB32" s="202">
        <f>SUM(AB10:AB22,AB24:AB25,AB28:AB31)</f>
        <v>1904400</v>
      </c>
      <c r="AC32" s="202">
        <f t="shared" ref="AC32:AF32" si="10">SUM(AC10:AC22,AC24:AC25,AC28:AC31)</f>
        <v>1918100</v>
      </c>
      <c r="AD32" s="202">
        <f t="shared" si="10"/>
        <v>1933100</v>
      </c>
      <c r="AE32" s="202">
        <f t="shared" si="10"/>
        <v>1943900</v>
      </c>
      <c r="AF32" s="202">
        <f t="shared" si="10"/>
        <v>1957400</v>
      </c>
      <c r="AG32" s="199"/>
      <c r="AH32" s="199"/>
      <c r="AI32" s="185"/>
      <c r="AJ32" s="199"/>
      <c r="AK32" s="156"/>
      <c r="AL32" s="974">
        <f>IF(ISERROR((L32-K32)/K32),"x",(L32-K32)/K32)</f>
        <v>5.2578268046426034E-2</v>
      </c>
      <c r="AM32" s="974">
        <f t="shared" ref="AM32:AO32" si="11">IF(ISERROR((M32-L32)/L32),"x",(M32-L32)/L32)</f>
        <v>-1.1780795051409996E-2</v>
      </c>
      <c r="AN32" s="974">
        <f t="shared" si="11"/>
        <v>1.1642073906547824E-2</v>
      </c>
      <c r="AO32" s="974">
        <f t="shared" si="11"/>
        <v>2.090998263001926E-2</v>
      </c>
      <c r="AP32" s="792">
        <f t="shared" si="9"/>
        <v>1.833738238289578E-2</v>
      </c>
      <c r="AR32" s="76"/>
      <c r="AS32" s="76"/>
      <c r="AT32" s="76"/>
      <c r="AU32" s="76"/>
      <c r="AV32" s="76"/>
      <c r="AW32" s="76"/>
      <c r="AX32" s="76"/>
    </row>
    <row r="33" spans="1:69" s="89" customFormat="1" ht="13.5" customHeight="1" x14ac:dyDescent="0.2">
      <c r="A33" s="286"/>
      <c r="B33" s="318" t="str">
        <f>Sheet1!$K$27</f>
        <v>England</v>
      </c>
      <c r="C33" s="87"/>
      <c r="D33" s="319">
        <f>IF(Year1_England Year1_LAC="","",Year1_England Year1_LAC)</f>
        <v>69470</v>
      </c>
      <c r="E33" s="319">
        <f>IF(Year2_England Year2_LAC="","",Year2_England Year2_LAC)</f>
        <v>70410</v>
      </c>
      <c r="F33" s="319">
        <f>IF(Year3_England Year3_LAC="","",Year3_England Year3_LAC)</f>
        <v>72610</v>
      </c>
      <c r="G33" s="319">
        <f>IF(Year4_England Year4_LAC="","",Year4_England Year4_LAC)</f>
        <v>75370</v>
      </c>
      <c r="H33" s="320">
        <f>IF(Year5_England Year5_LAC="","",Year5_England Year5_LAC)</f>
        <v>78150</v>
      </c>
      <c r="I33" s="351">
        <f t="shared" si="2"/>
        <v>2.9918144410209839E-2</v>
      </c>
      <c r="J33" s="98"/>
      <c r="K33" s="321">
        <f>IF(ISNUMBER(D33),D33/Population!D33*10000,NA())</f>
        <v>59.930812564162288</v>
      </c>
      <c r="L33" s="321">
        <f>IF(ISNUMBER(E33),E33/Population!E33*10000,NA())</f>
        <v>60.293374664965448</v>
      </c>
      <c r="M33" s="321">
        <f>IF(ISNUMBER(F33),F33/Population!F33*10000,NA())</f>
        <v>61.610650556201371</v>
      </c>
      <c r="N33" s="321">
        <f>IF(ISNUMBER(G33),G33/Population!G33*10000,NA())</f>
        <v>63.512260891547989</v>
      </c>
      <c r="O33" s="345">
        <f>IF(ISNUMBER(H33),H33/Population!H33*10000,NA())</f>
        <v>65.37232529737507</v>
      </c>
      <c r="P33" s="727"/>
      <c r="Q33" s="330" t="str">
        <f t="shared" si="4"/>
        <v>--</v>
      </c>
      <c r="R33" s="69"/>
      <c r="S33" s="332">
        <f>IDACI!C32</f>
        <v>17.084413405029373</v>
      </c>
      <c r="T33" s="321">
        <f t="shared" si="0"/>
        <v>69.344455557958057</v>
      </c>
      <c r="U33" s="598">
        <f t="shared" si="5"/>
        <v>-3.9721302605829862</v>
      </c>
      <c r="V33" s="124"/>
      <c r="W33" s="140"/>
      <c r="X33" s="149"/>
      <c r="Y33" s="71" t="str">
        <f t="shared" si="1"/>
        <v>England</v>
      </c>
      <c r="Z33" s="45"/>
      <c r="AA33" s="45"/>
      <c r="AB33" s="202">
        <f>IF(ISNUMBER(D33),Population!D33,"")</f>
        <v>11591700</v>
      </c>
      <c r="AC33" s="202">
        <f>IF(ISNUMBER(E33),Population!E33,"")</f>
        <v>11677900</v>
      </c>
      <c r="AD33" s="202">
        <f>IF(ISNUMBER(F33),Population!F33,"")</f>
        <v>11785300</v>
      </c>
      <c r="AE33" s="202">
        <f>IF(ISNUMBER(G33),Population!G33,"")</f>
        <v>11867000</v>
      </c>
      <c r="AF33" s="202">
        <f>IF(ISNUMBER(H33),Population!H33,"")</f>
        <v>11954600</v>
      </c>
      <c r="AG33" s="199"/>
      <c r="AH33" s="199"/>
      <c r="AI33" s="185"/>
      <c r="AJ33" s="199"/>
      <c r="AK33" s="156"/>
      <c r="AL33" s="792">
        <f t="shared" si="8"/>
        <v>1.3531020584424932E-2</v>
      </c>
      <c r="AM33" s="792">
        <f t="shared" si="8"/>
        <v>3.1245561709984378E-2</v>
      </c>
      <c r="AN33" s="792">
        <f t="shared" si="8"/>
        <v>3.8011293210301611E-2</v>
      </c>
      <c r="AO33" s="792">
        <f t="shared" si="8"/>
        <v>3.6884702136128433E-2</v>
      </c>
      <c r="AP33" s="792">
        <f>AVERAGE(AL33:AO33)</f>
        <v>2.9918144410209839E-2</v>
      </c>
      <c r="AR33" s="76"/>
      <c r="AS33" s="76"/>
      <c r="AT33" s="76"/>
      <c r="AU33" s="76"/>
      <c r="AV33" s="76"/>
      <c r="AW33" s="76"/>
      <c r="AX33" s="76"/>
    </row>
    <row r="34" spans="1:69" s="83" customFormat="1" ht="13.5" customHeight="1" x14ac:dyDescent="0.2">
      <c r="A34" s="120"/>
      <c r="B34" s="125" t="s">
        <v>90</v>
      </c>
      <c r="C34" s="63"/>
      <c r="D34" s="63"/>
      <c r="E34" s="63"/>
      <c r="F34" s="63"/>
      <c r="G34" s="63"/>
      <c r="H34" s="63"/>
      <c r="I34" s="63"/>
      <c r="J34" s="63"/>
      <c r="K34" s="63"/>
      <c r="L34" s="63"/>
      <c r="M34" s="63"/>
      <c r="N34" s="63"/>
      <c r="O34" s="63"/>
      <c r="P34" s="63"/>
      <c r="Q34" s="137" t="s">
        <v>109</v>
      </c>
      <c r="S34" s="63"/>
      <c r="T34" s="63"/>
      <c r="U34" s="63"/>
      <c r="V34" s="119"/>
      <c r="W34" s="138"/>
      <c r="X34" s="147"/>
      <c r="Y34" s="82"/>
      <c r="Z34" s="179"/>
      <c r="AA34" s="179"/>
      <c r="AB34" s="179"/>
      <c r="AC34" s="179"/>
      <c r="AD34" s="179"/>
      <c r="AE34" s="179"/>
      <c r="AF34" s="179"/>
      <c r="AG34" s="179"/>
      <c r="AH34" s="179"/>
      <c r="AJ34" s="179"/>
      <c r="AK34" s="157"/>
      <c r="AR34" s="76"/>
      <c r="AS34" s="76"/>
      <c r="AT34" s="76"/>
      <c r="AU34" s="76"/>
      <c r="AV34" s="76"/>
      <c r="AW34" s="76"/>
      <c r="AX34" s="76"/>
    </row>
    <row r="35" spans="1:69" s="83" customFormat="1" ht="25.5" customHeight="1" x14ac:dyDescent="0.2">
      <c r="A35" s="120"/>
      <c r="B35" s="1580"/>
      <c r="C35" s="1581"/>
      <c r="D35" s="1581"/>
      <c r="E35" s="1581"/>
      <c r="F35" s="1581"/>
      <c r="G35" s="1581"/>
      <c r="H35" s="1581"/>
      <c r="I35" s="1581"/>
      <c r="J35" s="1581"/>
      <c r="K35" s="1581"/>
      <c r="L35" s="1581"/>
      <c r="M35" s="1581"/>
      <c r="N35" s="1581"/>
      <c r="O35" s="1581"/>
      <c r="P35" s="1581"/>
      <c r="Q35" s="1581"/>
      <c r="R35" s="1581"/>
      <c r="S35" s="1581"/>
      <c r="T35" s="1581"/>
      <c r="U35" s="1582"/>
      <c r="V35" s="119"/>
      <c r="W35" s="138"/>
      <c r="X35" s="147"/>
      <c r="Y35" s="82"/>
      <c r="Z35" s="179"/>
      <c r="AA35" s="179"/>
      <c r="AB35" s="179"/>
      <c r="AC35" s="179"/>
      <c r="AD35" s="179"/>
      <c r="AE35" s="179"/>
      <c r="AF35" s="179"/>
      <c r="AG35" s="179"/>
      <c r="AH35" s="179"/>
      <c r="AJ35" s="179"/>
      <c r="AK35" s="153"/>
      <c r="AL35" s="76"/>
      <c r="AM35" s="76"/>
      <c r="AN35" s="76"/>
      <c r="AO35" s="76"/>
      <c r="AP35" s="76"/>
      <c r="AQ35" s="76"/>
      <c r="AR35" s="76"/>
    </row>
    <row r="36" spans="1:69" s="83" customFormat="1" ht="7.5" customHeight="1" x14ac:dyDescent="0.2">
      <c r="A36" s="120"/>
      <c r="B36" s="18"/>
      <c r="C36" s="18"/>
      <c r="D36" s="17"/>
      <c r="E36" s="17"/>
      <c r="F36" s="17"/>
      <c r="G36" s="17"/>
      <c r="H36" s="17"/>
      <c r="I36" s="17"/>
      <c r="J36" s="13"/>
      <c r="K36" s="19"/>
      <c r="L36" s="19"/>
      <c r="M36" s="19"/>
      <c r="N36" s="19"/>
      <c r="O36" s="19"/>
      <c r="P36" s="19"/>
      <c r="Q36" s="19"/>
      <c r="R36" s="19"/>
      <c r="S36" s="19"/>
      <c r="T36" s="19"/>
      <c r="U36" s="20"/>
      <c r="V36" s="119"/>
      <c r="W36" s="138"/>
      <c r="X36" s="147"/>
      <c r="Z36" s="185"/>
      <c r="AJ36" s="179"/>
      <c r="AK36" s="153"/>
      <c r="AL36" s="76"/>
      <c r="AM36" s="76"/>
      <c r="AN36" s="76"/>
      <c r="AO36" s="76"/>
      <c r="AP36" s="76"/>
      <c r="AQ36" s="76"/>
      <c r="AR36" s="76"/>
    </row>
    <row r="37" spans="1:69"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1"/>
      <c r="V37" s="1422"/>
      <c r="W37" s="138"/>
      <c r="X37" s="147"/>
      <c r="Z37" s="185"/>
      <c r="AK37" s="157"/>
      <c r="AM37" s="83">
        <f>COLUMNS($B$4:K$4)</f>
        <v>10</v>
      </c>
      <c r="AN37" s="83">
        <f>COLUMNS($B$4:L$4)</f>
        <v>11</v>
      </c>
      <c r="AO37" s="83">
        <f>COLUMNS($B$4:M$4)</f>
        <v>12</v>
      </c>
      <c r="AP37" s="83">
        <f>COLUMNS($B$4:N$4)</f>
        <v>13</v>
      </c>
      <c r="AQ37" s="83">
        <f>COLUMNS($B$4:O$4)</f>
        <v>14</v>
      </c>
      <c r="AR37" s="83">
        <f>COLUMNS($B$4:S$4)</f>
        <v>18</v>
      </c>
      <c r="AS37" s="83">
        <f>COLUMNS($B$4:D$4)</f>
        <v>3</v>
      </c>
      <c r="AT37" s="83">
        <f>COLUMNS($B$4:E$4)</f>
        <v>4</v>
      </c>
      <c r="AU37" s="83">
        <f>COLUMNS($B$4:F$4)</f>
        <v>5</v>
      </c>
      <c r="AV37" s="83">
        <f>COLUMNS($B$4:G$4)</f>
        <v>6</v>
      </c>
      <c r="AW37" s="83">
        <f>COLUMNS($B$4:H$4)</f>
        <v>7</v>
      </c>
      <c r="AX37" s="83">
        <f>COLUMNS($B$4:D$4)</f>
        <v>3</v>
      </c>
      <c r="AY37" s="83">
        <f>COLUMNS($B$4:E$4)</f>
        <v>4</v>
      </c>
      <c r="AZ37" s="83">
        <f>COLUMNS($B$4:F$4)</f>
        <v>5</v>
      </c>
      <c r="BA37" s="83">
        <f>COLUMNS($B$4:G$4)</f>
        <v>6</v>
      </c>
      <c r="BB37" s="83">
        <f>COLUMNS($B$4:H$4)</f>
        <v>7</v>
      </c>
      <c r="BC37" s="83">
        <f>COLUMNS($B$4:D$4)</f>
        <v>3</v>
      </c>
      <c r="BD37" s="83">
        <f>COLUMNS($B$4:E$4)</f>
        <v>4</v>
      </c>
      <c r="BE37" s="83">
        <f>COLUMNS($B$4:F$4)</f>
        <v>5</v>
      </c>
      <c r="BF37" s="83">
        <f>COLUMNS($B$4:G$4)</f>
        <v>6</v>
      </c>
      <c r="BG37" s="83">
        <f>COLUMNS($B$4:H$4)</f>
        <v>7</v>
      </c>
      <c r="BH37" s="83">
        <f>COLUMNS($B$4:D$4)</f>
        <v>3</v>
      </c>
      <c r="BI37" s="83">
        <f>COLUMNS($B$4:E$4)</f>
        <v>4</v>
      </c>
      <c r="BJ37" s="83">
        <f>COLUMNS($B$4:F$4)</f>
        <v>5</v>
      </c>
      <c r="BK37" s="83">
        <f>COLUMNS($B$4:G$4)</f>
        <v>6</v>
      </c>
      <c r="BL37" s="83">
        <f>COLUMNS($B$4:H$4)</f>
        <v>7</v>
      </c>
      <c r="BM37" s="83">
        <f>COLUMNS($B$4:D$4)</f>
        <v>3</v>
      </c>
      <c r="BN37" s="83">
        <f>COLUMNS($B$4:E$4)</f>
        <v>4</v>
      </c>
      <c r="BO37" s="83">
        <f>COLUMNS($B$4:F$4)</f>
        <v>5</v>
      </c>
      <c r="BP37" s="83">
        <f>COLUMNS($B$4:G$4)</f>
        <v>6</v>
      </c>
      <c r="BQ37" s="83">
        <f>COLUMNS($B$4:H$4)</f>
        <v>7</v>
      </c>
    </row>
    <row r="38" spans="1:69"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0"/>
      <c r="J38" s="1429"/>
      <c r="K38" s="1429"/>
      <c r="L38" s="1429"/>
      <c r="M38" s="1429"/>
      <c r="N38" s="1429"/>
      <c r="O38" s="1429"/>
      <c r="P38" s="1431"/>
      <c r="Q38" s="1429"/>
      <c r="R38" s="1429"/>
      <c r="S38" s="1429"/>
      <c r="T38" s="1430"/>
      <c r="U38" s="1429"/>
      <c r="V38" s="1432"/>
      <c r="W38" s="138"/>
      <c r="X38" s="147"/>
      <c r="Z38" s="185"/>
      <c r="AJ38" s="179"/>
      <c r="AK38" s="156"/>
      <c r="AL38" s="89"/>
      <c r="AM38" s="369" t="s">
        <v>89</v>
      </c>
      <c r="AN38" s="370"/>
      <c r="AO38" s="370"/>
      <c r="AP38" s="370"/>
      <c r="AQ38" s="370"/>
      <c r="AR38" s="369" t="s">
        <v>95</v>
      </c>
      <c r="AS38" s="56" t="s">
        <v>173</v>
      </c>
      <c r="AT38" s="25"/>
      <c r="AU38" s="25"/>
      <c r="AV38" s="25"/>
      <c r="AW38" s="24"/>
      <c r="AX38" s="56" t="s">
        <v>174</v>
      </c>
      <c r="AY38" s="25"/>
      <c r="AZ38" s="25"/>
      <c r="BA38" s="25"/>
      <c r="BB38" s="24"/>
      <c r="BC38" s="56" t="s">
        <v>175</v>
      </c>
      <c r="BD38" s="25"/>
      <c r="BE38" s="25"/>
      <c r="BF38" s="25"/>
      <c r="BG38" s="24"/>
      <c r="BH38" s="56" t="s">
        <v>176</v>
      </c>
      <c r="BI38" s="25"/>
      <c r="BJ38" s="25"/>
      <c r="BK38" s="25"/>
      <c r="BL38" s="24"/>
      <c r="BM38" s="219" t="s">
        <v>179</v>
      </c>
    </row>
    <row r="39" spans="1:69" s="83" customFormat="1" ht="11.25" customHeight="1" x14ac:dyDescent="0.2">
      <c r="A39" s="114"/>
      <c r="B39" s="115"/>
      <c r="C39" s="115"/>
      <c r="D39" s="115"/>
      <c r="E39" s="115"/>
      <c r="F39" s="115"/>
      <c r="G39" s="115"/>
      <c r="H39" s="115"/>
      <c r="I39" s="115"/>
      <c r="J39" s="116"/>
      <c r="K39" s="115"/>
      <c r="L39" s="115"/>
      <c r="M39" s="115"/>
      <c r="N39" s="115"/>
      <c r="O39" s="115"/>
      <c r="P39" s="115"/>
      <c r="Q39" s="115"/>
      <c r="R39" s="115"/>
      <c r="S39" s="115"/>
      <c r="T39" s="115"/>
      <c r="U39" s="115"/>
      <c r="V39" s="117"/>
      <c r="W39" s="138"/>
      <c r="X39" s="146" t="s">
        <v>102</v>
      </c>
      <c r="Y39" s="192"/>
      <c r="Z39" s="192"/>
      <c r="AA39" s="192"/>
      <c r="AB39" s="192"/>
      <c r="AC39" s="192"/>
      <c r="AJ39" s="179"/>
      <c r="AK39" s="156"/>
      <c r="AL39" s="89"/>
      <c r="AM39" s="369"/>
      <c r="AN39" s="369"/>
      <c r="AO39" s="369"/>
      <c r="AP39" s="369"/>
      <c r="AQ39" s="369"/>
      <c r="AR39" s="370"/>
      <c r="AS39" s="369"/>
      <c r="AT39" s="369"/>
      <c r="AU39" s="369"/>
      <c r="AV39" s="369"/>
      <c r="AW39" s="369"/>
      <c r="AX39" s="369"/>
      <c r="AY39" s="369"/>
      <c r="AZ39" s="369"/>
      <c r="BA39" s="369"/>
      <c r="BB39" s="369"/>
      <c r="BC39" s="369"/>
      <c r="BD39" s="369"/>
      <c r="BE39" s="369"/>
      <c r="BF39" s="369"/>
      <c r="BG39" s="369"/>
      <c r="BH39" s="409"/>
      <c r="BI39" s="409"/>
      <c r="BJ39" s="409"/>
      <c r="BK39" s="409"/>
      <c r="BL39" s="409"/>
    </row>
    <row r="40" spans="1:69" s="83" customFormat="1" ht="3.75" customHeight="1" x14ac:dyDescent="0.25">
      <c r="A40" s="118"/>
      <c r="B40" s="9"/>
      <c r="C40" s="9"/>
      <c r="D40" s="9"/>
      <c r="E40" s="9"/>
      <c r="F40" s="9"/>
      <c r="G40" s="9"/>
      <c r="H40" s="9"/>
      <c r="I40" s="9"/>
      <c r="J40" s="13"/>
      <c r="K40" s="9"/>
      <c r="L40" s="9"/>
      <c r="M40" s="9"/>
      <c r="N40" s="9"/>
      <c r="O40" s="9"/>
      <c r="P40" s="9"/>
      <c r="Q40" s="9"/>
      <c r="R40" s="9"/>
      <c r="S40" s="9"/>
      <c r="T40" s="9"/>
      <c r="U40" s="9"/>
      <c r="V40" s="119"/>
      <c r="W40" s="138"/>
      <c r="X40" s="288"/>
      <c r="AD40" s="1188" t="s">
        <v>1002</v>
      </c>
      <c r="AK40" s="156"/>
      <c r="AL40" s="89"/>
      <c r="AM40" s="369" t="e">
        <f>D9</f>
        <v>#N/A</v>
      </c>
      <c r="AN40" s="369" t="e">
        <f>E9</f>
        <v>#N/A</v>
      </c>
      <c r="AO40" s="369" t="e">
        <f>F9</f>
        <v>#N/A</v>
      </c>
      <c r="AP40" s="369" t="e">
        <f>G9</f>
        <v>#N/A</v>
      </c>
      <c r="AQ40" s="369" t="e">
        <f>H9</f>
        <v>#N/A</v>
      </c>
      <c r="AR40" s="370"/>
      <c r="AS40" s="369" t="e">
        <f>K9</f>
        <v>#N/A</v>
      </c>
      <c r="AT40" s="369" t="e">
        <f>L9</f>
        <v>#N/A</v>
      </c>
      <c r="AU40" s="369" t="e">
        <f>M9</f>
        <v>#N/A</v>
      </c>
      <c r="AV40" s="369" t="e">
        <f>N9</f>
        <v>#N/A</v>
      </c>
      <c r="AW40" s="369" t="e">
        <f>O9</f>
        <v>#N/A</v>
      </c>
      <c r="AX40" s="369" t="e">
        <f>AS40</f>
        <v>#N/A</v>
      </c>
      <c r="AY40" s="369" t="e">
        <f t="shared" ref="AY40:BB40" si="12">AT40</f>
        <v>#N/A</v>
      </c>
      <c r="AZ40" s="369" t="e">
        <f t="shared" si="12"/>
        <v>#N/A</v>
      </c>
      <c r="BA40" s="369" t="e">
        <f t="shared" si="12"/>
        <v>#N/A</v>
      </c>
      <c r="BB40" s="369" t="e">
        <f t="shared" si="12"/>
        <v>#N/A</v>
      </c>
      <c r="BC40" s="369" t="e">
        <f>AX40</f>
        <v>#N/A</v>
      </c>
      <c r="BD40" s="369" t="e">
        <f t="shared" ref="BD40:BG40" si="13">AY40</f>
        <v>#N/A</v>
      </c>
      <c r="BE40" s="369" t="e">
        <f t="shared" si="13"/>
        <v>#N/A</v>
      </c>
      <c r="BF40" s="369" t="e">
        <f t="shared" si="13"/>
        <v>#N/A</v>
      </c>
      <c r="BG40" s="369" t="e">
        <f t="shared" si="13"/>
        <v>#N/A</v>
      </c>
      <c r="BH40" s="409" t="e">
        <f>BC40</f>
        <v>#N/A</v>
      </c>
      <c r="BI40" s="409" t="e">
        <f t="shared" ref="BI40" si="14">BD40</f>
        <v>#N/A</v>
      </c>
      <c r="BJ40" s="409" t="e">
        <f t="shared" ref="BJ40" si="15">BE40</f>
        <v>#N/A</v>
      </c>
      <c r="BK40" s="409" t="e">
        <f t="shared" ref="BK40" si="16">BF40</f>
        <v>#N/A</v>
      </c>
      <c r="BL40" s="409" t="e">
        <f t="shared" ref="BL40" si="17">BG40</f>
        <v>#N/A</v>
      </c>
      <c r="BM40" s="409" t="e">
        <f>BH40</f>
        <v>#N/A</v>
      </c>
      <c r="BN40" s="409" t="e">
        <f t="shared" ref="BN40" si="18">BI40</f>
        <v>#N/A</v>
      </c>
      <c r="BO40" s="409" t="e">
        <f t="shared" ref="BO40" si="19">BJ40</f>
        <v>#N/A</v>
      </c>
      <c r="BP40" s="409" t="e">
        <f t="shared" ref="BP40" si="20">BK40</f>
        <v>#N/A</v>
      </c>
      <c r="BQ40" s="409" t="e">
        <f t="shared" ref="BQ40" si="21">BL40</f>
        <v>#N/A</v>
      </c>
    </row>
    <row r="41" spans="1:69" s="83" customFormat="1" ht="14.25" customHeight="1" x14ac:dyDescent="0.2">
      <c r="A41" s="120"/>
      <c r="B41" s="9"/>
      <c r="C41" s="9"/>
      <c r="D41" s="9"/>
      <c r="E41" s="9"/>
      <c r="F41" s="9"/>
      <c r="G41" s="9"/>
      <c r="H41" s="9"/>
      <c r="I41" s="9"/>
      <c r="J41" s="13"/>
      <c r="K41" s="9"/>
      <c r="L41" s="9"/>
      <c r="M41" s="9"/>
      <c r="N41" s="9"/>
      <c r="O41" s="9"/>
      <c r="P41" s="9"/>
      <c r="Q41" s="9"/>
      <c r="R41" s="9"/>
      <c r="S41" s="9"/>
      <c r="T41" s="9"/>
      <c r="U41" s="9"/>
      <c r="V41" s="119"/>
      <c r="W41" s="138"/>
      <c r="X41" s="288"/>
      <c r="Y41" s="44" t="s">
        <v>72</v>
      </c>
      <c r="Z41" s="44" t="s">
        <v>70</v>
      </c>
      <c r="AA41" s="44" t="s">
        <v>71</v>
      </c>
      <c r="AB41" s="1061">
        <v>5</v>
      </c>
      <c r="AC41" s="212">
        <f>(AB41*Z42)+AA42</f>
        <v>27.724318459876862</v>
      </c>
      <c r="AD41" s="203">
        <f>ROUND(ChartLabels!$AA16,3)</f>
        <v>0.67700000000000005</v>
      </c>
      <c r="AJ41" s="560" t="b">
        <v>1</v>
      </c>
      <c r="AK41" s="156" t="s">
        <v>0</v>
      </c>
      <c r="AL41" s="89" t="str">
        <f t="shared" ref="AL41:AL64" si="22">IF(AJ41=TRUE,B10,"")</f>
        <v>Bracknell Forest</v>
      </c>
      <c r="AM41" s="143">
        <f t="shared" ref="AM41:AQ50" si="23">VLOOKUP($AL41,$B$10:$O$33,AM$37,FALSE)</f>
        <v>37.410071942446045</v>
      </c>
      <c r="AN41" s="143">
        <f t="shared" si="23"/>
        <v>34.751773049645394</v>
      </c>
      <c r="AO41" s="143">
        <f t="shared" si="23"/>
        <v>41.134751773049643</v>
      </c>
      <c r="AP41" s="143">
        <f t="shared" si="23"/>
        <v>49.110320284697508</v>
      </c>
      <c r="AQ41" s="143">
        <f t="shared" si="23"/>
        <v>55.830388692579504</v>
      </c>
      <c r="AR41" s="144">
        <f>VLOOKUP(AL41,$B$10:$U$33,$AR$37,FALSE)</f>
        <v>8.9</v>
      </c>
      <c r="AS41" s="341" t="e">
        <f t="shared" ref="AS41:AW50" si="24">VLOOKUP($AL41,$B$112:$H$135,AS$37,FALSE)</f>
        <v>#N/A</v>
      </c>
      <c r="AT41" s="341">
        <f t="shared" si="24"/>
        <v>0.41666666666666669</v>
      </c>
      <c r="AU41" s="341">
        <f t="shared" si="24"/>
        <v>0.42168674698795183</v>
      </c>
      <c r="AV41" s="341">
        <f t="shared" si="24"/>
        <v>0.24271844660194175</v>
      </c>
      <c r="AW41" s="341">
        <f t="shared" si="24"/>
        <v>0.31632653061224492</v>
      </c>
      <c r="AX41" s="341" t="e">
        <f t="shared" ref="AX41:BB50" si="25">VLOOKUP($AL41,$B$148:$H$171,AX$37,FALSE)</f>
        <v>#N/A</v>
      </c>
      <c r="AY41" s="341">
        <f t="shared" si="25"/>
        <v>0.6</v>
      </c>
      <c r="AZ41" s="341">
        <f t="shared" si="25"/>
        <v>0.5714285714285714</v>
      </c>
      <c r="BA41" s="341">
        <f t="shared" si="25"/>
        <v>0.56000000000000005</v>
      </c>
      <c r="BB41" s="341">
        <f t="shared" si="25"/>
        <v>0.64516129032258063</v>
      </c>
      <c r="BC41" s="341" t="e">
        <f t="shared" ref="BC41:BG50" si="26">VLOOKUP($AL41,$B$184:$H$207,BC$37,FALSE)</f>
        <v>#N/A</v>
      </c>
      <c r="BD41" s="341">
        <f t="shared" si="26"/>
        <v>0.15306122448979592</v>
      </c>
      <c r="BE41" s="341">
        <f t="shared" si="26"/>
        <v>8.6206896551724144E-2</v>
      </c>
      <c r="BF41" s="341">
        <f t="shared" si="26"/>
        <v>0.13768115942028986</v>
      </c>
      <c r="BG41" s="341">
        <f t="shared" si="26"/>
        <v>0.19620253164556961</v>
      </c>
      <c r="BH41" s="341" t="e">
        <f t="shared" ref="BH41:BL50" si="27">VLOOKUP($AL41,$B$256:$H$279,BH$37,FALSE)</f>
        <v>#N/A</v>
      </c>
      <c r="BI41" s="341" t="e">
        <f t="shared" si="27"/>
        <v>#N/A</v>
      </c>
      <c r="BJ41" s="341" t="e">
        <f t="shared" si="27"/>
        <v>#N/A</v>
      </c>
      <c r="BK41" s="341" t="e">
        <f t="shared" si="27"/>
        <v>#N/A</v>
      </c>
      <c r="BL41" s="341" t="e">
        <f t="shared" si="27"/>
        <v>#N/A</v>
      </c>
      <c r="BM41" s="341" t="e">
        <f t="shared" ref="BM41:BQ50" si="28">VLOOKUP($AL41,$B$220:$H$243,BM$37,FALSE)</f>
        <v>#N/A</v>
      </c>
      <c r="BN41" s="341" t="e">
        <f t="shared" si="28"/>
        <v>#N/A</v>
      </c>
      <c r="BO41" s="341" t="e">
        <f t="shared" si="28"/>
        <v>#N/A</v>
      </c>
      <c r="BP41" s="341" t="e">
        <f t="shared" si="28"/>
        <v>#N/A</v>
      </c>
      <c r="BQ41" s="341" t="e">
        <f t="shared" si="28"/>
        <v>#N/A</v>
      </c>
    </row>
    <row r="42" spans="1:69" s="83" customFormat="1" ht="14.25" customHeight="1" x14ac:dyDescent="0.2">
      <c r="A42" s="120"/>
      <c r="B42" s="9"/>
      <c r="C42" s="9"/>
      <c r="D42" s="9"/>
      <c r="E42" s="9"/>
      <c r="F42" s="9"/>
      <c r="G42" s="9"/>
      <c r="H42" s="9"/>
      <c r="I42" s="9"/>
      <c r="J42" s="13"/>
      <c r="K42" s="9"/>
      <c r="L42" s="9"/>
      <c r="M42" s="9"/>
      <c r="N42" s="9"/>
      <c r="O42" s="9"/>
      <c r="P42" s="9"/>
      <c r="Q42" s="9"/>
      <c r="R42" s="9"/>
      <c r="S42" s="9"/>
      <c r="T42" s="9"/>
      <c r="U42" s="9"/>
      <c r="V42" s="119"/>
      <c r="W42" s="138"/>
      <c r="X42" s="288"/>
      <c r="Y42" s="208" t="str">
        <f>"Y= "&amp;Z42&amp;"x + "&amp;AA42</f>
        <v>Y= 3.91113767250419x + 8.16863009735592</v>
      </c>
      <c r="Z42" s="712">
        <f>ChartLabels!$Y16</f>
        <v>3.9111376725041893</v>
      </c>
      <c r="AA42" s="712">
        <f>ChartLabels!$Z16</f>
        <v>8.1686300973559156</v>
      </c>
      <c r="AB42" s="211">
        <v>35</v>
      </c>
      <c r="AC42" s="212">
        <f>(AB42*Z42)+AA42</f>
        <v>145.05844863500255</v>
      </c>
      <c r="AD42" s="1187" t="str">
        <f>$AD$40&amp;" = "&amp;AD41</f>
        <v>r² = 0.677</v>
      </c>
      <c r="AJ42" s="560" t="b">
        <v>1</v>
      </c>
      <c r="AK42" s="156" t="s">
        <v>31</v>
      </c>
      <c r="AL42" s="89" t="str">
        <f t="shared" si="22"/>
        <v>Brighton &amp; Hove</v>
      </c>
      <c r="AM42" s="143">
        <f t="shared" si="23"/>
        <v>92.54901960784315</v>
      </c>
      <c r="AN42" s="143">
        <f t="shared" si="23"/>
        <v>85.546875</v>
      </c>
      <c r="AO42" s="143">
        <f t="shared" si="23"/>
        <v>88.888888888888886</v>
      </c>
      <c r="AP42" s="143">
        <f t="shared" si="23"/>
        <v>82.156862745098039</v>
      </c>
      <c r="AQ42" s="143">
        <f t="shared" si="23"/>
        <v>76.666666666666657</v>
      </c>
      <c r="AR42" s="144">
        <f t="shared" ref="AR42:AR64" si="29">VLOOKUP(AL42,$B$10:$U$33,$AR$37,FALSE)</f>
        <v>15.299999999999999</v>
      </c>
      <c r="AS42" s="341" t="e">
        <f t="shared" si="24"/>
        <v>#N/A</v>
      </c>
      <c r="AT42" s="341">
        <f t="shared" si="24"/>
        <v>0.4375</v>
      </c>
      <c r="AU42" s="341">
        <f t="shared" si="24"/>
        <v>0.40123456790123457</v>
      </c>
      <c r="AV42" s="341">
        <f t="shared" si="24"/>
        <v>0.40531561461794019</v>
      </c>
      <c r="AW42" s="341">
        <f t="shared" si="24"/>
        <v>0.41851851851851851</v>
      </c>
      <c r="AX42" s="341" t="e">
        <f t="shared" si="25"/>
        <v>#N/A</v>
      </c>
      <c r="AY42" s="341">
        <f t="shared" si="25"/>
        <v>0.6428571428571429</v>
      </c>
      <c r="AZ42" s="341">
        <f t="shared" si="25"/>
        <v>0.73076923076923073</v>
      </c>
      <c r="BA42" s="341">
        <f t="shared" si="25"/>
        <v>0.68852459016393441</v>
      </c>
      <c r="BB42" s="341">
        <f t="shared" si="25"/>
        <v>0.63716814159292035</v>
      </c>
      <c r="BC42" s="341" t="e">
        <f t="shared" si="26"/>
        <v>#N/A</v>
      </c>
      <c r="BD42" s="341">
        <f t="shared" si="26"/>
        <v>0.14840182648401826</v>
      </c>
      <c r="BE42" s="341">
        <f t="shared" si="26"/>
        <v>0.1206140350877193</v>
      </c>
      <c r="BF42" s="341">
        <f t="shared" si="26"/>
        <v>9.5465393794749401E-2</v>
      </c>
      <c r="BG42" s="341">
        <f t="shared" si="26"/>
        <v>8.1841432225063945E-2</v>
      </c>
      <c r="BH42" s="341">
        <f t="shared" si="27"/>
        <v>2.1186440677966101E-2</v>
      </c>
      <c r="BI42" s="341">
        <f t="shared" si="27"/>
        <v>7.7625570776255703E-2</v>
      </c>
      <c r="BJ42" s="341">
        <f t="shared" si="27"/>
        <v>8.3333333333333329E-2</v>
      </c>
      <c r="BK42" s="341">
        <f t="shared" si="27"/>
        <v>7.1599045346062054E-2</v>
      </c>
      <c r="BL42" s="341">
        <f t="shared" si="27"/>
        <v>9.718670076726342E-2</v>
      </c>
      <c r="BM42" s="341" t="e">
        <f t="shared" si="28"/>
        <v>#N/A</v>
      </c>
      <c r="BN42" s="341" t="e">
        <f t="shared" si="28"/>
        <v>#N/A</v>
      </c>
      <c r="BO42" s="341" t="e">
        <f t="shared" si="28"/>
        <v>#N/A</v>
      </c>
      <c r="BP42" s="341" t="e">
        <f t="shared" si="28"/>
        <v>#N/A</v>
      </c>
      <c r="BQ42" s="341" t="e">
        <f t="shared" si="28"/>
        <v>#N/A</v>
      </c>
    </row>
    <row r="43" spans="1:69" ht="14.25" customHeight="1" x14ac:dyDescent="0.2">
      <c r="A43" s="120"/>
      <c r="B43" s="9"/>
      <c r="C43" s="9"/>
      <c r="D43" s="9"/>
      <c r="E43" s="9"/>
      <c r="F43" s="9"/>
      <c r="G43" s="9"/>
      <c r="H43" s="9"/>
      <c r="I43" s="9"/>
      <c r="J43" s="13"/>
      <c r="K43" s="9"/>
      <c r="L43" s="9"/>
      <c r="M43" s="9"/>
      <c r="N43" s="9"/>
      <c r="O43" s="9"/>
      <c r="P43" s="9"/>
      <c r="Q43" s="9"/>
      <c r="R43" s="9"/>
      <c r="S43" s="9"/>
      <c r="T43" s="9"/>
      <c r="U43" s="9"/>
      <c r="V43" s="119"/>
      <c r="W43" s="138"/>
      <c r="X43" s="288"/>
      <c r="Y43" s="44" t="str">
        <f>"National Trend "&amp;Sheet1!$B$8</f>
        <v>National Trend 2019</v>
      </c>
      <c r="Z43" s="205" t="s">
        <v>70</v>
      </c>
      <c r="AA43" s="44" t="s">
        <v>71</v>
      </c>
      <c r="AB43" s="206">
        <v>5</v>
      </c>
      <c r="AC43" s="207">
        <f>((AB43*Z44)+AA44)/$Y$2</f>
        <v>26.599553960772123</v>
      </c>
      <c r="AD43" s="714" t="str">
        <f>"r² = "&amp;ROUND(AD44,3)</f>
        <v>r² = 0.47</v>
      </c>
      <c r="AJ43" s="560" t="b">
        <v>1</v>
      </c>
      <c r="AK43" s="156" t="s">
        <v>8</v>
      </c>
      <c r="AL43" s="89" t="str">
        <f t="shared" si="22"/>
        <v>Buckinghamshire</v>
      </c>
      <c r="AM43" s="143">
        <f t="shared" si="23"/>
        <v>36.585365853658537</v>
      </c>
      <c r="AN43" s="143">
        <f t="shared" si="23"/>
        <v>38.059701492537314</v>
      </c>
      <c r="AO43" s="143">
        <f t="shared" si="23"/>
        <v>37.152209492635023</v>
      </c>
      <c r="AP43" s="143">
        <f t="shared" si="23"/>
        <v>38.342810722989441</v>
      </c>
      <c r="AQ43" s="143">
        <f t="shared" si="23"/>
        <v>41.432019308125504</v>
      </c>
      <c r="AR43" s="144">
        <f t="shared" si="29"/>
        <v>8.5</v>
      </c>
      <c r="AS43" s="341" t="e">
        <f t="shared" si="24"/>
        <v>#N/A</v>
      </c>
      <c r="AT43" s="341">
        <f t="shared" si="24"/>
        <v>0.42253521126760563</v>
      </c>
      <c r="AU43" s="341">
        <f t="shared" si="24"/>
        <v>0.39660056657223797</v>
      </c>
      <c r="AV43" s="341">
        <f t="shared" si="24"/>
        <v>0.39943342776203966</v>
      </c>
      <c r="AW43" s="341">
        <f t="shared" si="24"/>
        <v>0.45263157894736844</v>
      </c>
      <c r="AX43" s="341" t="e">
        <f t="shared" si="25"/>
        <v>#N/A</v>
      </c>
      <c r="AY43" s="341">
        <f t="shared" si="25"/>
        <v>0.6333333333333333</v>
      </c>
      <c r="AZ43" s="341">
        <f t="shared" si="25"/>
        <v>0.7142857142857143</v>
      </c>
      <c r="BA43" s="341">
        <f t="shared" si="25"/>
        <v>0.7021276595744681</v>
      </c>
      <c r="BB43" s="341">
        <f t="shared" si="25"/>
        <v>0.72674418604651159</v>
      </c>
      <c r="BC43" s="341" t="e">
        <f t="shared" si="26"/>
        <v>#N/A</v>
      </c>
      <c r="BD43" s="341">
        <f t="shared" si="26"/>
        <v>7.6252723311546838E-2</v>
      </c>
      <c r="BE43" s="341">
        <f t="shared" si="26"/>
        <v>7.7092511013215861E-2</v>
      </c>
      <c r="BF43" s="341">
        <f t="shared" si="26"/>
        <v>5.9322033898305086E-2</v>
      </c>
      <c r="BG43" s="341">
        <f t="shared" si="26"/>
        <v>8.9320388349514557E-2</v>
      </c>
      <c r="BH43" s="341">
        <f t="shared" si="27"/>
        <v>4.1379310344827586E-2</v>
      </c>
      <c r="BI43" s="341">
        <f t="shared" si="27"/>
        <v>4.1394335511982572E-2</v>
      </c>
      <c r="BJ43" s="341">
        <f t="shared" si="27"/>
        <v>5.2863436123348019E-2</v>
      </c>
      <c r="BK43" s="341">
        <f t="shared" si="27"/>
        <v>7.4152542372881353E-2</v>
      </c>
      <c r="BL43" s="341">
        <f t="shared" si="27"/>
        <v>6.0194174757281553E-2</v>
      </c>
      <c r="BM43" s="341" t="e">
        <f t="shared" si="28"/>
        <v>#N/A</v>
      </c>
      <c r="BN43" s="341" t="e">
        <f t="shared" si="28"/>
        <v>#N/A</v>
      </c>
      <c r="BO43" s="341" t="e">
        <f t="shared" si="28"/>
        <v>#N/A</v>
      </c>
      <c r="BP43" s="341" t="e">
        <f t="shared" si="28"/>
        <v>#N/A</v>
      </c>
      <c r="BQ43" s="341" t="e">
        <f t="shared" si="28"/>
        <v>#N/A</v>
      </c>
    </row>
    <row r="44" spans="1:69" ht="14.25" customHeight="1" x14ac:dyDescent="0.2">
      <c r="A44" s="120"/>
      <c r="B44" s="9"/>
      <c r="C44" s="9"/>
      <c r="D44" s="9"/>
      <c r="E44" s="9"/>
      <c r="F44" s="9"/>
      <c r="G44" s="9"/>
      <c r="H44" s="9"/>
      <c r="I44" s="9"/>
      <c r="J44" s="13"/>
      <c r="K44" s="14"/>
      <c r="L44" s="14"/>
      <c r="M44" s="14"/>
      <c r="N44" s="14"/>
      <c r="O44" s="15"/>
      <c r="P44" s="15"/>
      <c r="Q44" s="15"/>
      <c r="R44" s="15"/>
      <c r="S44" s="15"/>
      <c r="T44" s="15"/>
      <c r="U44" s="15"/>
      <c r="V44" s="119"/>
      <c r="W44" s="138"/>
      <c r="X44" s="288"/>
      <c r="Y44" s="208" t="str">
        <f>"Y= "&amp;Z44&amp;"x + "&amp;AA44</f>
        <v>Y= 3.53719292484615x + 8.91358933654135</v>
      </c>
      <c r="Z44" s="209">
        <f>Sheet1!H11</f>
        <v>3.5371929248461549</v>
      </c>
      <c r="AA44" s="210">
        <f>Sheet1!H12</f>
        <v>8.9135893365413494</v>
      </c>
      <c r="AB44" s="211">
        <v>35</v>
      </c>
      <c r="AC44" s="212">
        <f>((AB44*Z44)+AA44)/$Y$2</f>
        <v>132.71534170615678</v>
      </c>
      <c r="AD44" s="1299">
        <f>Sheet1!H13</f>
        <v>0.47005276152345327</v>
      </c>
      <c r="AJ44" s="560" t="b">
        <v>1</v>
      </c>
      <c r="AK44" s="156" t="s">
        <v>4</v>
      </c>
      <c r="AL44" s="89" t="str">
        <f t="shared" si="22"/>
        <v>East Sussex</v>
      </c>
      <c r="AM44" s="143">
        <f t="shared" si="23"/>
        <v>51.802656546489565</v>
      </c>
      <c r="AN44" s="143">
        <f t="shared" si="23"/>
        <v>51.274787535410766</v>
      </c>
      <c r="AO44" s="143">
        <f t="shared" si="23"/>
        <v>52.407932011331447</v>
      </c>
      <c r="AP44" s="143">
        <f t="shared" si="23"/>
        <v>56.79245283018868</v>
      </c>
      <c r="AQ44" s="143">
        <f t="shared" si="23"/>
        <v>56.390977443609017</v>
      </c>
      <c r="AR44" s="144">
        <f t="shared" si="29"/>
        <v>16.100000000000001</v>
      </c>
      <c r="AS44" s="341" t="e">
        <f t="shared" si="24"/>
        <v>#N/A</v>
      </c>
      <c r="AT44" s="341">
        <f t="shared" si="24"/>
        <v>0.53333333333333333</v>
      </c>
      <c r="AU44" s="341">
        <f t="shared" si="24"/>
        <v>0.51044083526682138</v>
      </c>
      <c r="AV44" s="341">
        <f t="shared" si="24"/>
        <v>0.44420600858369097</v>
      </c>
      <c r="AW44" s="341">
        <f t="shared" si="24"/>
        <v>0.45945945945945948</v>
      </c>
      <c r="AX44" s="341" t="e">
        <f t="shared" si="25"/>
        <v>#N/A</v>
      </c>
      <c r="AY44" s="341">
        <f t="shared" si="25"/>
        <v>0.64583333333333337</v>
      </c>
      <c r="AZ44" s="341">
        <f t="shared" si="25"/>
        <v>0.70454545454545459</v>
      </c>
      <c r="BA44" s="341">
        <f t="shared" si="25"/>
        <v>0.70531400966183577</v>
      </c>
      <c r="BB44" s="341">
        <f t="shared" si="25"/>
        <v>0.69683257918552033</v>
      </c>
      <c r="BC44" s="341" t="e">
        <f t="shared" si="26"/>
        <v>#N/A</v>
      </c>
      <c r="BD44" s="341">
        <f t="shared" si="26"/>
        <v>0.11049723756906077</v>
      </c>
      <c r="BE44" s="341">
        <f t="shared" si="26"/>
        <v>0.13513513513513514</v>
      </c>
      <c r="BF44" s="341">
        <f t="shared" si="26"/>
        <v>0.11129568106312292</v>
      </c>
      <c r="BG44" s="341">
        <f t="shared" si="26"/>
        <v>0.12</v>
      </c>
      <c r="BH44" s="341">
        <f t="shared" si="27"/>
        <v>1.098901098901099E-2</v>
      </c>
      <c r="BI44" s="341">
        <f t="shared" si="27"/>
        <v>3.1307550644567222E-2</v>
      </c>
      <c r="BJ44" s="341">
        <f t="shared" si="27"/>
        <v>4.3243243243243246E-2</v>
      </c>
      <c r="BK44" s="341">
        <f t="shared" si="27"/>
        <v>3.3222591362126248E-2</v>
      </c>
      <c r="BL44" s="341">
        <f t="shared" si="27"/>
        <v>0.06</v>
      </c>
      <c r="BM44" s="341" t="e">
        <f t="shared" si="28"/>
        <v>#N/A</v>
      </c>
      <c r="BN44" s="341" t="e">
        <f t="shared" si="28"/>
        <v>#N/A</v>
      </c>
      <c r="BO44" s="341" t="e">
        <f t="shared" si="28"/>
        <v>#N/A</v>
      </c>
      <c r="BP44" s="341" t="e">
        <f t="shared" si="28"/>
        <v>#N/A</v>
      </c>
      <c r="BQ44" s="341" t="e">
        <f t="shared" si="28"/>
        <v>#N/A</v>
      </c>
    </row>
    <row r="45" spans="1:69" s="78" customFormat="1" ht="14.25" customHeight="1" x14ac:dyDescent="0.2">
      <c r="A45" s="121"/>
      <c r="B45" s="220"/>
      <c r="C45" s="220"/>
      <c r="D45" s="221"/>
      <c r="E45" s="221"/>
      <c r="F45" s="221"/>
      <c r="G45" s="221"/>
      <c r="H45" s="221"/>
      <c r="I45" s="221"/>
      <c r="J45" s="16"/>
      <c r="K45" s="9"/>
      <c r="L45" s="9"/>
      <c r="M45" s="9"/>
      <c r="N45" s="9"/>
      <c r="O45" s="9"/>
      <c r="P45" s="9"/>
      <c r="Q45" s="9"/>
      <c r="R45" s="9"/>
      <c r="S45" s="9"/>
      <c r="T45" s="9"/>
      <c r="U45" s="9"/>
      <c r="V45" s="122"/>
      <c r="W45" s="139"/>
      <c r="X45" s="289"/>
      <c r="AD45" s="83"/>
      <c r="AE45" s="83"/>
      <c r="AF45" s="83"/>
      <c r="AG45" s="83"/>
      <c r="AH45" s="83"/>
      <c r="AI45" s="83"/>
      <c r="AJ45" s="560" t="b">
        <v>1</v>
      </c>
      <c r="AK45" s="156" t="s">
        <v>6</v>
      </c>
      <c r="AL45" s="89" t="str">
        <f t="shared" si="22"/>
        <v>Hampshire</v>
      </c>
      <c r="AM45" s="143">
        <f t="shared" si="23"/>
        <v>47.353463587921851</v>
      </c>
      <c r="AN45" s="143">
        <f t="shared" si="23"/>
        <v>46.293011706278826</v>
      </c>
      <c r="AO45" s="143">
        <f t="shared" si="23"/>
        <v>50.919377652050912</v>
      </c>
      <c r="AP45" s="143">
        <f t="shared" si="23"/>
        <v>56.265442993293327</v>
      </c>
      <c r="AQ45" s="143">
        <f t="shared" si="23"/>
        <v>58.591549295774648</v>
      </c>
      <c r="AR45" s="144">
        <f t="shared" si="29"/>
        <v>10.100000000000001</v>
      </c>
      <c r="AS45" s="341" t="e">
        <f t="shared" si="24"/>
        <v>#N/A</v>
      </c>
      <c r="AT45" s="341">
        <f t="shared" si="24"/>
        <v>0.40191387559808611</v>
      </c>
      <c r="AU45" s="341">
        <f t="shared" si="24"/>
        <v>0.4144851657940663</v>
      </c>
      <c r="AV45" s="341">
        <f t="shared" si="24"/>
        <v>0.4095315024232633</v>
      </c>
      <c r="AW45" s="341">
        <f t="shared" si="24"/>
        <v>0.42101105845181674</v>
      </c>
      <c r="AX45" s="341" t="e">
        <f t="shared" si="25"/>
        <v>#N/A</v>
      </c>
      <c r="AY45" s="341">
        <f t="shared" si="25"/>
        <v>0.66666666666666663</v>
      </c>
      <c r="AZ45" s="341">
        <f t="shared" si="25"/>
        <v>0.68421052631578949</v>
      </c>
      <c r="BA45" s="341">
        <f t="shared" si="25"/>
        <v>0.72386587771203159</v>
      </c>
      <c r="BB45" s="341">
        <f t="shared" si="25"/>
        <v>0.67354596622889307</v>
      </c>
      <c r="BC45" s="341" t="e">
        <f t="shared" si="26"/>
        <v>#N/A</v>
      </c>
      <c r="BD45" s="341">
        <f t="shared" si="26"/>
        <v>0.17241379310344829</v>
      </c>
      <c r="BE45" s="341">
        <f t="shared" si="26"/>
        <v>0.15625</v>
      </c>
      <c r="BF45" s="341">
        <f t="shared" si="26"/>
        <v>0.16436637390213299</v>
      </c>
      <c r="BG45" s="341">
        <f t="shared" si="26"/>
        <v>0.15925480769230768</v>
      </c>
      <c r="BH45" s="341">
        <f t="shared" si="27"/>
        <v>1.5003750937734433E-2</v>
      </c>
      <c r="BI45" s="341">
        <f t="shared" si="27"/>
        <v>2.2222222222222223E-2</v>
      </c>
      <c r="BJ45" s="341">
        <f t="shared" si="27"/>
        <v>5.5555555555555552E-2</v>
      </c>
      <c r="BK45" s="341">
        <f t="shared" si="27"/>
        <v>7.0890840652446677E-2</v>
      </c>
      <c r="BL45" s="341">
        <f t="shared" si="27"/>
        <v>7.9927884615384609E-2</v>
      </c>
      <c r="BM45" s="341" t="e">
        <f t="shared" si="28"/>
        <v>#N/A</v>
      </c>
      <c r="BN45" s="341" t="e">
        <f t="shared" si="28"/>
        <v>#N/A</v>
      </c>
      <c r="BO45" s="341" t="e">
        <f t="shared" si="28"/>
        <v>#N/A</v>
      </c>
      <c r="BP45" s="341" t="e">
        <f t="shared" si="28"/>
        <v>#N/A</v>
      </c>
      <c r="BQ45" s="341" t="e">
        <f t="shared" si="28"/>
        <v>#N/A</v>
      </c>
    </row>
    <row r="46" spans="1:69" ht="14.25" customHeight="1" x14ac:dyDescent="0.2">
      <c r="A46" s="120"/>
      <c r="B46" s="221"/>
      <c r="C46" s="221"/>
      <c r="D46" s="221"/>
      <c r="E46" s="221"/>
      <c r="F46" s="221"/>
      <c r="G46" s="221"/>
      <c r="H46" s="221"/>
      <c r="I46" s="221"/>
      <c r="J46" s="13"/>
      <c r="K46" s="15"/>
      <c r="L46" s="15"/>
      <c r="M46" s="15"/>
      <c r="N46" s="15"/>
      <c r="O46" s="9"/>
      <c r="P46" s="9"/>
      <c r="Q46" s="9"/>
      <c r="R46" s="9"/>
      <c r="S46" s="9"/>
      <c r="T46" s="9"/>
      <c r="U46" s="9"/>
      <c r="V46" s="119"/>
      <c r="W46" s="138"/>
      <c r="X46" s="288"/>
      <c r="AJ46" s="560" t="b">
        <v>1</v>
      </c>
      <c r="AK46" s="156" t="s">
        <v>1</v>
      </c>
      <c r="AL46" s="89" t="str">
        <f t="shared" si="22"/>
        <v>Isle of Wight</v>
      </c>
      <c r="AM46" s="143">
        <f t="shared" si="23"/>
        <v>79.215686274509807</v>
      </c>
      <c r="AN46" s="143">
        <f t="shared" si="23"/>
        <v>80.632411067193686</v>
      </c>
      <c r="AO46" s="143">
        <f t="shared" si="23"/>
        <v>90.476190476190467</v>
      </c>
      <c r="AP46" s="143">
        <f t="shared" si="23"/>
        <v>90.039840637450197</v>
      </c>
      <c r="AQ46" s="143">
        <f t="shared" si="23"/>
        <v>97.590361445783131</v>
      </c>
      <c r="AR46" s="144">
        <f t="shared" si="29"/>
        <v>18</v>
      </c>
      <c r="AS46" s="341" t="e">
        <f t="shared" si="24"/>
        <v>#N/A</v>
      </c>
      <c r="AT46" s="341">
        <f t="shared" si="24"/>
        <v>0.41379310344827586</v>
      </c>
      <c r="AU46" s="341">
        <f t="shared" si="24"/>
        <v>0.3235294117647059</v>
      </c>
      <c r="AV46" s="341">
        <f t="shared" si="24"/>
        <v>0.34946236559139787</v>
      </c>
      <c r="AW46" s="341">
        <f t="shared" si="24"/>
        <v>0.46568627450980393</v>
      </c>
      <c r="AX46" s="341" t="e">
        <f t="shared" si="25"/>
        <v>#N/A</v>
      </c>
      <c r="AY46" s="341">
        <f t="shared" si="25"/>
        <v>0.66666666666666663</v>
      </c>
      <c r="AZ46" s="341">
        <f t="shared" si="25"/>
        <v>0.63636363636363635</v>
      </c>
      <c r="BA46" s="341">
        <f t="shared" si="25"/>
        <v>0.7384615384615385</v>
      </c>
      <c r="BB46" s="341">
        <f t="shared" si="25"/>
        <v>0.62105263157894741</v>
      </c>
      <c r="BC46" s="341" t="e">
        <f t="shared" si="26"/>
        <v>#N/A</v>
      </c>
      <c r="BD46" s="341">
        <f t="shared" si="26"/>
        <v>0.12254901960784313</v>
      </c>
      <c r="BE46" s="341">
        <f t="shared" si="26"/>
        <v>0.10964912280701754</v>
      </c>
      <c r="BF46" s="341">
        <f t="shared" si="26"/>
        <v>0.18141592920353983</v>
      </c>
      <c r="BG46" s="341">
        <f t="shared" si="26"/>
        <v>9.8765432098765427E-2</v>
      </c>
      <c r="BH46" s="341">
        <f t="shared" si="27"/>
        <v>0</v>
      </c>
      <c r="BI46" s="341">
        <f t="shared" si="27"/>
        <v>0</v>
      </c>
      <c r="BJ46" s="341" t="e">
        <f t="shared" si="27"/>
        <v>#N/A</v>
      </c>
      <c r="BK46" s="341">
        <f t="shared" si="27"/>
        <v>3.0973451327433628E-2</v>
      </c>
      <c r="BL46" s="341">
        <f t="shared" si="27"/>
        <v>2.4691358024691357E-2</v>
      </c>
      <c r="BM46" s="341" t="e">
        <f t="shared" si="28"/>
        <v>#N/A</v>
      </c>
      <c r="BN46" s="341" t="e">
        <f t="shared" si="28"/>
        <v>#N/A</v>
      </c>
      <c r="BO46" s="341" t="e">
        <f t="shared" si="28"/>
        <v>#N/A</v>
      </c>
      <c r="BP46" s="341" t="e">
        <f t="shared" si="28"/>
        <v>#N/A</v>
      </c>
      <c r="BQ46" s="341" t="e">
        <f t="shared" si="28"/>
        <v>#N/A</v>
      </c>
    </row>
    <row r="47" spans="1:69" ht="14.25" customHeight="1" x14ac:dyDescent="0.2">
      <c r="A47" s="120"/>
      <c r="B47" s="221"/>
      <c r="C47" s="221"/>
      <c r="D47" s="221"/>
      <c r="E47" s="221"/>
      <c r="F47" s="221"/>
      <c r="G47" s="221"/>
      <c r="H47" s="221"/>
      <c r="I47" s="221"/>
      <c r="J47" s="13"/>
      <c r="K47" s="15"/>
      <c r="L47" s="15"/>
      <c r="M47" s="15"/>
      <c r="N47" s="15"/>
      <c r="O47" s="9"/>
      <c r="P47" s="9"/>
      <c r="Q47" s="9"/>
      <c r="R47" s="9"/>
      <c r="S47" s="9"/>
      <c r="T47" s="9"/>
      <c r="U47" s="9"/>
      <c r="V47" s="119"/>
      <c r="W47" s="138"/>
      <c r="X47" s="288"/>
      <c r="AD47" s="204"/>
      <c r="AJ47" s="560" t="b">
        <v>1</v>
      </c>
      <c r="AK47" s="156" t="s">
        <v>9</v>
      </c>
      <c r="AL47" s="89" t="str">
        <f t="shared" si="22"/>
        <v>Kent</v>
      </c>
      <c r="AM47" s="143">
        <f t="shared" si="23"/>
        <v>56.868717636308254</v>
      </c>
      <c r="AN47" s="143">
        <f t="shared" si="23"/>
        <v>70.036319612590802</v>
      </c>
      <c r="AO47" s="143">
        <f t="shared" si="23"/>
        <v>57.087087087087085</v>
      </c>
      <c r="AP47" s="143">
        <f t="shared" si="23"/>
        <v>48.824754537340077</v>
      </c>
      <c r="AQ47" s="143">
        <f t="shared" si="23"/>
        <v>46.75095560129374</v>
      </c>
      <c r="AR47" s="144">
        <f t="shared" si="29"/>
        <v>15.8</v>
      </c>
      <c r="AS47" s="341" t="e">
        <f t="shared" si="24"/>
        <v>#N/A</v>
      </c>
      <c r="AT47" s="341">
        <f t="shared" si="24"/>
        <v>0.43129770992366412</v>
      </c>
      <c r="AU47" s="341">
        <f t="shared" si="24"/>
        <v>0.46179680940386231</v>
      </c>
      <c r="AV47" s="341">
        <f t="shared" si="24"/>
        <v>0.5122171945701357</v>
      </c>
      <c r="AW47" s="341">
        <f t="shared" si="24"/>
        <v>0.52641690682036502</v>
      </c>
      <c r="AX47" s="341" t="e">
        <f t="shared" si="25"/>
        <v>#N/A</v>
      </c>
      <c r="AY47" s="341">
        <f t="shared" si="25"/>
        <v>0.69026548672566368</v>
      </c>
      <c r="AZ47" s="341">
        <f t="shared" si="25"/>
        <v>0.69090909090909092</v>
      </c>
      <c r="BA47" s="341">
        <f t="shared" si="25"/>
        <v>0.67844522968197885</v>
      </c>
      <c r="BB47" s="341">
        <f t="shared" si="25"/>
        <v>0.70437956204379559</v>
      </c>
      <c r="BC47" s="341" t="e">
        <f t="shared" si="26"/>
        <v>#N/A</v>
      </c>
      <c r="BD47" s="341">
        <f t="shared" si="26"/>
        <v>0.12532411408815902</v>
      </c>
      <c r="BE47" s="341">
        <f t="shared" si="26"/>
        <v>0.1262493424513414</v>
      </c>
      <c r="BF47" s="341">
        <f t="shared" si="26"/>
        <v>0.11761121267519806</v>
      </c>
      <c r="BG47" s="341">
        <f t="shared" si="26"/>
        <v>0.10377358490566038</v>
      </c>
      <c r="BH47" s="341">
        <f t="shared" si="27"/>
        <v>0.19657204070701662</v>
      </c>
      <c r="BI47" s="341">
        <f t="shared" si="27"/>
        <v>0.37510803802938636</v>
      </c>
      <c r="BJ47" s="341">
        <f t="shared" si="27"/>
        <v>0.25460284061020516</v>
      </c>
      <c r="BK47" s="341">
        <f t="shared" si="27"/>
        <v>0.14259597806215721</v>
      </c>
      <c r="BL47" s="341">
        <f t="shared" si="27"/>
        <v>0.16037735849056603</v>
      </c>
      <c r="BM47" s="341" t="e">
        <f t="shared" si="28"/>
        <v>#N/A</v>
      </c>
      <c r="BN47" s="341" t="e">
        <f t="shared" si="28"/>
        <v>#N/A</v>
      </c>
      <c r="BO47" s="341" t="e">
        <f t="shared" si="28"/>
        <v>#N/A</v>
      </c>
      <c r="BP47" s="341" t="e">
        <f t="shared" si="28"/>
        <v>#N/A</v>
      </c>
      <c r="BQ47" s="341" t="e">
        <f t="shared" si="28"/>
        <v>#N/A</v>
      </c>
    </row>
    <row r="48" spans="1:69" ht="14.25" customHeight="1" x14ac:dyDescent="0.2">
      <c r="A48" s="120"/>
      <c r="B48" s="58"/>
      <c r="C48" s="58"/>
      <c r="D48" s="58"/>
      <c r="E48" s="58"/>
      <c r="F48" s="58"/>
      <c r="G48" s="58"/>
      <c r="H48" s="58"/>
      <c r="I48" s="58"/>
      <c r="J48" s="13"/>
      <c r="K48" s="15"/>
      <c r="L48" s="15"/>
      <c r="M48" s="15"/>
      <c r="N48" s="15"/>
      <c r="O48" s="9"/>
      <c r="P48" s="9"/>
      <c r="Q48" s="9"/>
      <c r="R48" s="9"/>
      <c r="S48" s="9"/>
      <c r="T48" s="9"/>
      <c r="U48" s="9"/>
      <c r="V48" s="119"/>
      <c r="W48" s="138"/>
      <c r="X48" s="288"/>
      <c r="AD48" s="179"/>
      <c r="AJ48" s="560" t="b">
        <v>1</v>
      </c>
      <c r="AK48" s="156" t="s">
        <v>2</v>
      </c>
      <c r="AL48" s="89" t="str">
        <f t="shared" si="22"/>
        <v>Medway</v>
      </c>
      <c r="AM48" s="143">
        <f t="shared" si="23"/>
        <v>68.16</v>
      </c>
      <c r="AN48" s="143">
        <f t="shared" si="23"/>
        <v>68.037974683544306</v>
      </c>
      <c r="AO48" s="143">
        <f t="shared" si="23"/>
        <v>61.224489795918366</v>
      </c>
      <c r="AP48" s="143">
        <f t="shared" si="23"/>
        <v>64.788732394366193</v>
      </c>
      <c r="AQ48" s="143">
        <f t="shared" si="23"/>
        <v>65.838509316770185</v>
      </c>
      <c r="AR48" s="144">
        <f t="shared" si="29"/>
        <v>18.899999999999999</v>
      </c>
      <c r="AS48" s="341" t="e">
        <f t="shared" si="24"/>
        <v>#N/A</v>
      </c>
      <c r="AT48" s="341">
        <f t="shared" si="24"/>
        <v>0.37681159420289856</v>
      </c>
      <c r="AU48" s="341">
        <f t="shared" si="24"/>
        <v>0.47021943573667713</v>
      </c>
      <c r="AV48" s="341">
        <f t="shared" si="24"/>
        <v>0.48973607038123168</v>
      </c>
      <c r="AW48" s="341">
        <f t="shared" si="24"/>
        <v>0.50595238095238093</v>
      </c>
      <c r="AX48" s="341" t="e">
        <f t="shared" si="25"/>
        <v>#N/A</v>
      </c>
      <c r="AY48" s="341">
        <f t="shared" si="25"/>
        <v>0.73076923076923073</v>
      </c>
      <c r="AZ48" s="341">
        <f t="shared" si="25"/>
        <v>0.76666666666666672</v>
      </c>
      <c r="BA48" s="341">
        <f t="shared" si="25"/>
        <v>0.6706586826347305</v>
      </c>
      <c r="BB48" s="341">
        <f t="shared" si="25"/>
        <v>0.71176470588235297</v>
      </c>
      <c r="BC48" s="341" t="e">
        <f t="shared" si="26"/>
        <v>#N/A</v>
      </c>
      <c r="BD48" s="341">
        <f t="shared" si="26"/>
        <v>9.3023255813953487E-2</v>
      </c>
      <c r="BE48" s="341">
        <f t="shared" si="26"/>
        <v>0.11538461538461539</v>
      </c>
      <c r="BF48" s="341">
        <f t="shared" si="26"/>
        <v>9.9033816425120769E-2</v>
      </c>
      <c r="BG48" s="341">
        <f t="shared" si="26"/>
        <v>9.4339622641509441E-2</v>
      </c>
      <c r="BH48" s="341" t="e">
        <f t="shared" si="27"/>
        <v>#N/A</v>
      </c>
      <c r="BI48" s="341" t="e">
        <f t="shared" si="27"/>
        <v>#N/A</v>
      </c>
      <c r="BJ48" s="341" t="e">
        <f t="shared" si="27"/>
        <v>#N/A</v>
      </c>
      <c r="BK48" s="341" t="e">
        <f t="shared" si="27"/>
        <v>#N/A</v>
      </c>
      <c r="BL48" s="341">
        <f t="shared" si="27"/>
        <v>2.5943396226415096E-2</v>
      </c>
      <c r="BM48" s="341" t="e">
        <f t="shared" si="28"/>
        <v>#N/A</v>
      </c>
      <c r="BN48" s="341" t="e">
        <f t="shared" si="28"/>
        <v>#N/A</v>
      </c>
      <c r="BO48" s="341" t="e">
        <f t="shared" si="28"/>
        <v>#N/A</v>
      </c>
      <c r="BP48" s="341" t="e">
        <f t="shared" si="28"/>
        <v>#N/A</v>
      </c>
      <c r="BQ48" s="341" t="e">
        <f t="shared" si="28"/>
        <v>#N/A</v>
      </c>
    </row>
    <row r="49" spans="1:69" ht="14.25" customHeight="1" x14ac:dyDescent="0.2">
      <c r="A49" s="120"/>
      <c r="B49" s="58"/>
      <c r="C49" s="58"/>
      <c r="D49" s="68"/>
      <c r="E49" s="69"/>
      <c r="F49" s="68"/>
      <c r="G49" s="69"/>
      <c r="H49" s="69"/>
      <c r="I49" s="69"/>
      <c r="J49" s="13"/>
      <c r="K49" s="15"/>
      <c r="L49" s="15"/>
      <c r="M49" s="15"/>
      <c r="N49" s="15"/>
      <c r="O49" s="9"/>
      <c r="P49" s="9"/>
      <c r="Q49" s="9"/>
      <c r="R49" s="9"/>
      <c r="S49" s="9"/>
      <c r="T49" s="9"/>
      <c r="U49" s="9"/>
      <c r="V49" s="119"/>
      <c r="W49" s="138"/>
      <c r="X49" s="288"/>
      <c r="AJ49" s="560" t="b">
        <v>1</v>
      </c>
      <c r="AK49" s="156" t="s">
        <v>10</v>
      </c>
      <c r="AL49" s="89" t="str">
        <f t="shared" si="22"/>
        <v>Milton Keynes</v>
      </c>
      <c r="AM49" s="143">
        <f t="shared" si="23"/>
        <v>51.993865030674847</v>
      </c>
      <c r="AN49" s="143">
        <f t="shared" si="23"/>
        <v>52.193645990922839</v>
      </c>
      <c r="AO49" s="143">
        <f t="shared" si="23"/>
        <v>59.016393442622949</v>
      </c>
      <c r="AP49" s="143">
        <f t="shared" si="23"/>
        <v>58.284023668639051</v>
      </c>
      <c r="AQ49" s="143">
        <f t="shared" si="23"/>
        <v>55.783308931185942</v>
      </c>
      <c r="AR49" s="144">
        <f t="shared" si="29"/>
        <v>15</v>
      </c>
      <c r="AS49" s="341" t="e">
        <f t="shared" si="24"/>
        <v>#N/A</v>
      </c>
      <c r="AT49" s="341">
        <f t="shared" si="24"/>
        <v>0.44</v>
      </c>
      <c r="AU49" s="341">
        <f t="shared" si="24"/>
        <v>0.39473684210526316</v>
      </c>
      <c r="AV49" s="341">
        <f t="shared" si="24"/>
        <v>0.40251572327044027</v>
      </c>
      <c r="AW49" s="341">
        <f t="shared" si="24"/>
        <v>0.47468354430379744</v>
      </c>
      <c r="AX49" s="341" t="e">
        <f t="shared" si="25"/>
        <v>#N/A</v>
      </c>
      <c r="AY49" s="341">
        <f t="shared" si="25"/>
        <v>0.54545454545454541</v>
      </c>
      <c r="AZ49" s="341">
        <f t="shared" si="25"/>
        <v>0.625</v>
      </c>
      <c r="BA49" s="341">
        <f t="shared" si="25"/>
        <v>0.5703125</v>
      </c>
      <c r="BB49" s="341">
        <f t="shared" si="25"/>
        <v>0.66</v>
      </c>
      <c r="BC49" s="341" t="e">
        <f t="shared" si="26"/>
        <v>#N/A</v>
      </c>
      <c r="BD49" s="341">
        <f t="shared" si="26"/>
        <v>0.11594202898550725</v>
      </c>
      <c r="BE49" s="341">
        <f t="shared" si="26"/>
        <v>8.8383838383838384E-2</v>
      </c>
      <c r="BF49" s="341">
        <f t="shared" si="26"/>
        <v>0.1116751269035533</v>
      </c>
      <c r="BG49" s="341">
        <f t="shared" si="26"/>
        <v>0.10761154855643044</v>
      </c>
      <c r="BH49" s="341">
        <f t="shared" si="27"/>
        <v>7.3746312684365781E-2</v>
      </c>
      <c r="BI49" s="341">
        <f t="shared" si="27"/>
        <v>0.11884057971014493</v>
      </c>
      <c r="BJ49" s="341">
        <f t="shared" si="27"/>
        <v>0.10353535353535354</v>
      </c>
      <c r="BK49" s="341">
        <f t="shared" si="27"/>
        <v>7.6142131979695438E-2</v>
      </c>
      <c r="BL49" s="341">
        <f t="shared" si="27"/>
        <v>6.0367454068241469E-2</v>
      </c>
      <c r="BM49" s="341" t="e">
        <f t="shared" si="28"/>
        <v>#N/A</v>
      </c>
      <c r="BN49" s="341" t="e">
        <f t="shared" si="28"/>
        <v>#N/A</v>
      </c>
      <c r="BO49" s="341" t="e">
        <f t="shared" si="28"/>
        <v>#N/A</v>
      </c>
      <c r="BP49" s="341" t="e">
        <f t="shared" si="28"/>
        <v>#N/A</v>
      </c>
      <c r="BQ49" s="341" t="e">
        <f t="shared" si="28"/>
        <v>#N/A</v>
      </c>
    </row>
    <row r="50" spans="1:69" ht="14.25" customHeight="1" x14ac:dyDescent="0.2">
      <c r="A50" s="120"/>
      <c r="B50" s="58"/>
      <c r="C50" s="58"/>
      <c r="D50" s="61"/>
      <c r="E50" s="61"/>
      <c r="F50" s="61"/>
      <c r="G50" s="61"/>
      <c r="H50" s="61"/>
      <c r="I50" s="61"/>
      <c r="J50" s="13"/>
      <c r="K50" s="15"/>
      <c r="L50" s="15"/>
      <c r="M50" s="15"/>
      <c r="N50" s="15"/>
      <c r="O50" s="9"/>
      <c r="P50" s="9"/>
      <c r="Q50" s="9"/>
      <c r="R50" s="9"/>
      <c r="S50" s="9"/>
      <c r="T50" s="9"/>
      <c r="U50" s="9"/>
      <c r="V50" s="119"/>
      <c r="W50" s="138"/>
      <c r="X50" s="288"/>
      <c r="AJ50" s="560" t="b">
        <v>1</v>
      </c>
      <c r="AK50" s="156" t="s">
        <v>11</v>
      </c>
      <c r="AL50" s="89" t="str">
        <f t="shared" si="22"/>
        <v>Oxfordshire</v>
      </c>
      <c r="AM50" s="143">
        <f t="shared" si="23"/>
        <v>36.118980169971671</v>
      </c>
      <c r="AN50" s="143">
        <f t="shared" si="23"/>
        <v>41.819464033850494</v>
      </c>
      <c r="AO50" s="143">
        <f t="shared" si="23"/>
        <v>46.60601819454164</v>
      </c>
      <c r="AP50" s="143">
        <f t="shared" si="23"/>
        <v>47.698744769874473</v>
      </c>
      <c r="AQ50" s="143">
        <f t="shared" si="23"/>
        <v>53.798342541436462</v>
      </c>
      <c r="AR50" s="144">
        <f t="shared" si="29"/>
        <v>10.100000000000001</v>
      </c>
      <c r="AS50" s="341" t="e">
        <f t="shared" si="24"/>
        <v>#N/A</v>
      </c>
      <c r="AT50" s="341">
        <f t="shared" si="24"/>
        <v>0.27586206896551724</v>
      </c>
      <c r="AU50" s="341">
        <f t="shared" si="24"/>
        <v>0.25590551181102361</v>
      </c>
      <c r="AV50" s="341">
        <f t="shared" si="24"/>
        <v>0.31517509727626458</v>
      </c>
      <c r="AW50" s="341">
        <f t="shared" si="24"/>
        <v>0.32586206896551723</v>
      </c>
      <c r="AX50" s="341" t="e">
        <f t="shared" si="25"/>
        <v>#N/A</v>
      </c>
      <c r="AY50" s="341">
        <f t="shared" si="25"/>
        <v>0.66666666666666663</v>
      </c>
      <c r="AZ50" s="341">
        <f t="shared" si="25"/>
        <v>0.69230769230769229</v>
      </c>
      <c r="BA50" s="341">
        <f t="shared" si="25"/>
        <v>0.65432098765432101</v>
      </c>
      <c r="BB50" s="341">
        <f t="shared" si="25"/>
        <v>0.70370370370370372</v>
      </c>
      <c r="BC50" s="341" t="e">
        <f t="shared" si="26"/>
        <v>#N/A</v>
      </c>
      <c r="BD50" s="341">
        <f t="shared" si="26"/>
        <v>6.7453625632377737E-2</v>
      </c>
      <c r="BE50" s="341">
        <f t="shared" si="26"/>
        <v>8.2582582582582581E-2</v>
      </c>
      <c r="BF50" s="341">
        <f t="shared" si="26"/>
        <v>0.11257309941520467</v>
      </c>
      <c r="BG50" s="341">
        <f t="shared" si="26"/>
        <v>9.2426187419768935E-2</v>
      </c>
      <c r="BH50" s="341">
        <f t="shared" si="27"/>
        <v>8.2352941176470587E-2</v>
      </c>
      <c r="BI50" s="341">
        <f t="shared" si="27"/>
        <v>9.7807757166947729E-2</v>
      </c>
      <c r="BJ50" s="341">
        <f t="shared" si="27"/>
        <v>8.1081081081081086E-2</v>
      </c>
      <c r="BK50" s="341">
        <f t="shared" si="27"/>
        <v>8.3333333333333329E-2</v>
      </c>
      <c r="BL50" s="341">
        <f t="shared" si="27"/>
        <v>8.2156611039794603E-2</v>
      </c>
      <c r="BM50" s="341" t="e">
        <f t="shared" si="28"/>
        <v>#N/A</v>
      </c>
      <c r="BN50" s="341" t="e">
        <f t="shared" si="28"/>
        <v>#N/A</v>
      </c>
      <c r="BO50" s="341" t="e">
        <f t="shared" si="28"/>
        <v>#N/A</v>
      </c>
      <c r="BP50" s="341" t="e">
        <f t="shared" si="28"/>
        <v>#N/A</v>
      </c>
      <c r="BQ50" s="341" t="e">
        <f t="shared" si="28"/>
        <v>#N/A</v>
      </c>
    </row>
    <row r="51" spans="1:69" ht="14.25" customHeight="1" x14ac:dyDescent="0.2">
      <c r="A51" s="120"/>
      <c r="B51" s="368"/>
      <c r="C51" s="368"/>
      <c r="D51" s="58"/>
      <c r="E51" s="58"/>
      <c r="F51" s="58"/>
      <c r="G51" s="58"/>
      <c r="H51" s="58"/>
      <c r="I51" s="58"/>
      <c r="J51" s="13"/>
      <c r="K51" s="15"/>
      <c r="L51" s="15"/>
      <c r="M51" s="15"/>
      <c r="N51" s="15"/>
      <c r="O51" s="9"/>
      <c r="P51" s="9"/>
      <c r="Q51" s="9"/>
      <c r="R51" s="9"/>
      <c r="S51" s="9"/>
      <c r="T51" s="9"/>
      <c r="U51" s="9"/>
      <c r="V51" s="119"/>
      <c r="W51" s="138"/>
      <c r="X51" s="288"/>
      <c r="AJ51" s="560" t="b">
        <v>1</v>
      </c>
      <c r="AK51" s="156" t="s">
        <v>12</v>
      </c>
      <c r="AL51" s="89" t="str">
        <f t="shared" si="22"/>
        <v>Portsmouth</v>
      </c>
      <c r="AM51" s="143">
        <f t="shared" ref="AM51:AQ64" si="30">VLOOKUP($AL51,$B$10:$O$33,AM$37,FALSE)</f>
        <v>73.73271889400921</v>
      </c>
      <c r="AN51" s="143">
        <f t="shared" si="30"/>
        <v>73.515981735159826</v>
      </c>
      <c r="AO51" s="143">
        <f t="shared" si="30"/>
        <v>81.36363636363636</v>
      </c>
      <c r="AP51" s="143">
        <f t="shared" si="30"/>
        <v>93.891402714932127</v>
      </c>
      <c r="AQ51" s="143">
        <f t="shared" si="30"/>
        <v>110.45454545454545</v>
      </c>
      <c r="AR51" s="144">
        <f t="shared" si="29"/>
        <v>20.200000000000003</v>
      </c>
      <c r="AS51" s="341" t="e">
        <f t="shared" ref="AS51:AW64" si="31">VLOOKUP($AL51,$B$112:$H$135,AS$37,FALSE)</f>
        <v>#N/A</v>
      </c>
      <c r="AT51" s="341">
        <f t="shared" si="31"/>
        <v>0.42307692307692307</v>
      </c>
      <c r="AU51" s="341">
        <f t="shared" si="31"/>
        <v>0.45955882352941174</v>
      </c>
      <c r="AV51" s="341">
        <f t="shared" si="31"/>
        <v>0.40476190476190477</v>
      </c>
      <c r="AW51" s="341">
        <f t="shared" si="31"/>
        <v>0.38109756097560976</v>
      </c>
      <c r="AX51" s="341" t="e">
        <f t="shared" ref="AX51:BB64" si="32">VLOOKUP($AL51,$B$148:$H$171,AX$37,FALSE)</f>
        <v>#N/A</v>
      </c>
      <c r="AY51" s="341">
        <f t="shared" si="32"/>
        <v>0.54545454545454541</v>
      </c>
      <c r="AZ51" s="341">
        <f t="shared" si="32"/>
        <v>0.6</v>
      </c>
      <c r="BA51" s="341">
        <f t="shared" si="32"/>
        <v>0.62184873949579833</v>
      </c>
      <c r="BB51" s="341">
        <f t="shared" si="32"/>
        <v>0.66400000000000003</v>
      </c>
      <c r="BC51" s="341" t="e">
        <f t="shared" ref="BC51:BG64" si="33">VLOOKUP($AL51,$B$184:$H$207,BC$37,FALSE)</f>
        <v>#N/A</v>
      </c>
      <c r="BD51" s="341">
        <f t="shared" si="33"/>
        <v>0.15527950310559005</v>
      </c>
      <c r="BE51" s="341">
        <f t="shared" si="33"/>
        <v>0.15363128491620112</v>
      </c>
      <c r="BF51" s="341">
        <f t="shared" si="33"/>
        <v>0.14457831325301204</v>
      </c>
      <c r="BG51" s="341">
        <f t="shared" si="33"/>
        <v>0.15843621399176955</v>
      </c>
      <c r="BH51" s="341">
        <f t="shared" ref="BH51:BL64" si="34">VLOOKUP($AL51,$B$256:$H$279,BH$37,FALSE)</f>
        <v>2.8125000000000001E-2</v>
      </c>
      <c r="BI51" s="341">
        <f t="shared" si="34"/>
        <v>9.9378881987577633E-2</v>
      </c>
      <c r="BJ51" s="341">
        <f t="shared" si="34"/>
        <v>0.12569832402234637</v>
      </c>
      <c r="BK51" s="341">
        <f t="shared" si="34"/>
        <v>0.17349397590361446</v>
      </c>
      <c r="BL51" s="341">
        <f t="shared" si="34"/>
        <v>0.20781893004115226</v>
      </c>
      <c r="BM51" s="341" t="e">
        <f t="shared" ref="BM51:BQ64" si="35">VLOOKUP($AL51,$B$220:$H$243,BM$37,FALSE)</f>
        <v>#N/A</v>
      </c>
      <c r="BN51" s="341" t="e">
        <f t="shared" si="35"/>
        <v>#N/A</v>
      </c>
      <c r="BO51" s="341" t="e">
        <f t="shared" si="35"/>
        <v>#N/A</v>
      </c>
      <c r="BP51" s="341" t="e">
        <f t="shared" si="35"/>
        <v>#N/A</v>
      </c>
      <c r="BQ51" s="341" t="e">
        <f t="shared" si="35"/>
        <v>#N/A</v>
      </c>
    </row>
    <row r="52" spans="1:69" ht="14.25" customHeight="1" x14ac:dyDescent="0.2">
      <c r="A52" s="120"/>
      <c r="B52" s="368"/>
      <c r="C52" s="368"/>
      <c r="D52" s="58"/>
      <c r="E52" s="58"/>
      <c r="F52" s="58"/>
      <c r="G52" s="58"/>
      <c r="H52" s="58"/>
      <c r="I52" s="58"/>
      <c r="J52" s="13"/>
      <c r="K52" s="15"/>
      <c r="L52" s="15"/>
      <c r="M52" s="15"/>
      <c r="N52" s="15"/>
      <c r="O52" s="9"/>
      <c r="P52" s="9"/>
      <c r="Q52" s="9"/>
      <c r="R52" s="9"/>
      <c r="S52" s="9"/>
      <c r="T52" s="9"/>
      <c r="U52" s="9"/>
      <c r="V52" s="119"/>
      <c r="W52" s="138"/>
      <c r="X52" s="288"/>
      <c r="AJ52" s="560" t="b">
        <v>1</v>
      </c>
      <c r="AK52" s="156" t="s">
        <v>3</v>
      </c>
      <c r="AL52" s="89" t="str">
        <f t="shared" si="22"/>
        <v>Reading</v>
      </c>
      <c r="AM52" s="143">
        <f t="shared" si="30"/>
        <v>58.217270194986071</v>
      </c>
      <c r="AN52" s="143">
        <f t="shared" si="30"/>
        <v>60.439560439560445</v>
      </c>
      <c r="AO52" s="143">
        <f t="shared" si="30"/>
        <v>71.857923497267763</v>
      </c>
      <c r="AP52" s="143">
        <f t="shared" si="30"/>
        <v>75.202156334231802</v>
      </c>
      <c r="AQ52" s="143">
        <f t="shared" si="30"/>
        <v>73.584905660377359</v>
      </c>
      <c r="AR52" s="144">
        <f t="shared" si="29"/>
        <v>16</v>
      </c>
      <c r="AS52" s="341" t="e">
        <f t="shared" si="31"/>
        <v>#N/A</v>
      </c>
      <c r="AT52" s="341">
        <f t="shared" si="31"/>
        <v>0.37142857142857144</v>
      </c>
      <c r="AU52" s="341">
        <f t="shared" si="31"/>
        <v>0.29556650246305421</v>
      </c>
      <c r="AV52" s="341">
        <f t="shared" si="31"/>
        <v>0.37168141592920356</v>
      </c>
      <c r="AW52" s="341">
        <f t="shared" si="31"/>
        <v>0.43891402714932126</v>
      </c>
      <c r="AX52" s="341" t="e">
        <f t="shared" si="32"/>
        <v>#N/A</v>
      </c>
      <c r="AY52" s="341">
        <f t="shared" si="32"/>
        <v>0.61538461538461542</v>
      </c>
      <c r="AZ52" s="341">
        <f t="shared" si="32"/>
        <v>0.75</v>
      </c>
      <c r="BA52" s="341">
        <f t="shared" si="32"/>
        <v>0.63095238095238093</v>
      </c>
      <c r="BB52" s="341">
        <f t="shared" si="32"/>
        <v>0.65979381443298968</v>
      </c>
      <c r="BC52" s="341" t="e">
        <f t="shared" si="33"/>
        <v>#N/A</v>
      </c>
      <c r="BD52" s="341">
        <f t="shared" si="33"/>
        <v>9.0909090909090912E-2</v>
      </c>
      <c r="BE52" s="341">
        <f t="shared" si="33"/>
        <v>3.8022813688212927E-2</v>
      </c>
      <c r="BF52" s="341">
        <f t="shared" si="33"/>
        <v>0.11469534050179211</v>
      </c>
      <c r="BG52" s="341">
        <f t="shared" si="33"/>
        <v>0.12087912087912088</v>
      </c>
      <c r="BH52" s="341" t="e">
        <f t="shared" si="34"/>
        <v>#N/A</v>
      </c>
      <c r="BI52" s="341">
        <f t="shared" si="34"/>
        <v>2.7272727272727271E-2</v>
      </c>
      <c r="BJ52" s="341">
        <f t="shared" si="34"/>
        <v>4.1825095057034217E-2</v>
      </c>
      <c r="BK52" s="341">
        <f t="shared" si="34"/>
        <v>3.2258064516129031E-2</v>
      </c>
      <c r="BL52" s="341" t="e">
        <f t="shared" si="34"/>
        <v>#N/A</v>
      </c>
      <c r="BM52" s="341" t="e">
        <f t="shared" si="35"/>
        <v>#N/A</v>
      </c>
      <c r="BN52" s="341" t="e">
        <f t="shared" si="35"/>
        <v>#N/A</v>
      </c>
      <c r="BO52" s="341" t="e">
        <f t="shared" si="35"/>
        <v>#N/A</v>
      </c>
      <c r="BP52" s="341" t="e">
        <f t="shared" si="35"/>
        <v>#N/A</v>
      </c>
      <c r="BQ52" s="341" t="e">
        <f t="shared" si="35"/>
        <v>#N/A</v>
      </c>
    </row>
    <row r="53" spans="1:69" ht="14.25" customHeight="1" x14ac:dyDescent="0.2">
      <c r="A53" s="120"/>
      <c r="B53" s="368"/>
      <c r="C53" s="368"/>
      <c r="D53" s="58"/>
      <c r="E53" s="58"/>
      <c r="F53" s="58"/>
      <c r="G53" s="58"/>
      <c r="H53" s="58"/>
      <c r="I53" s="58"/>
      <c r="J53" s="13"/>
      <c r="K53" s="15"/>
      <c r="L53" s="15"/>
      <c r="M53" s="15"/>
      <c r="N53" s="15"/>
      <c r="O53" s="9"/>
      <c r="P53" s="9"/>
      <c r="Q53" s="9"/>
      <c r="R53" s="9"/>
      <c r="S53" s="9"/>
      <c r="T53" s="9"/>
      <c r="U53" s="9"/>
      <c r="V53" s="119"/>
      <c r="W53" s="138"/>
      <c r="X53" s="288"/>
      <c r="AJ53" s="560" t="b">
        <v>1</v>
      </c>
      <c r="AK53" s="156" t="s">
        <v>13</v>
      </c>
      <c r="AL53" s="89" t="str">
        <f t="shared" si="22"/>
        <v>Slough</v>
      </c>
      <c r="AM53" s="143">
        <f t="shared" si="30"/>
        <v>49.122807017543863</v>
      </c>
      <c r="AN53" s="143">
        <f t="shared" si="30"/>
        <v>44.088669950738911</v>
      </c>
      <c r="AO53" s="143">
        <f t="shared" si="30"/>
        <v>45.893719806763286</v>
      </c>
      <c r="AP53" s="143">
        <f t="shared" si="30"/>
        <v>48.81516587677725</v>
      </c>
      <c r="AQ53" s="143">
        <f t="shared" si="30"/>
        <v>49.882903981264633</v>
      </c>
      <c r="AR53" s="144">
        <f t="shared" si="29"/>
        <v>14.7</v>
      </c>
      <c r="AS53" s="341" t="e">
        <f t="shared" si="31"/>
        <v>#N/A</v>
      </c>
      <c r="AT53" s="341">
        <f t="shared" si="31"/>
        <v>0.36666666666666664</v>
      </c>
      <c r="AU53" s="341">
        <f t="shared" si="31"/>
        <v>0.35714285714285715</v>
      </c>
      <c r="AV53" s="341">
        <f t="shared" si="31"/>
        <v>0.30463576158940397</v>
      </c>
      <c r="AW53" s="341">
        <f t="shared" si="31"/>
        <v>0.32926829268292684</v>
      </c>
      <c r="AX53" s="341" t="e">
        <f t="shared" si="32"/>
        <v>#N/A</v>
      </c>
      <c r="AY53" s="341">
        <f t="shared" si="32"/>
        <v>0.54545454545454541</v>
      </c>
      <c r="AZ53" s="341">
        <f t="shared" si="32"/>
        <v>0.6</v>
      </c>
      <c r="BA53" s="341">
        <f t="shared" si="32"/>
        <v>0.71739130434782605</v>
      </c>
      <c r="BB53" s="341">
        <f t="shared" si="32"/>
        <v>0.64814814814814814</v>
      </c>
      <c r="BC53" s="341" t="e">
        <f t="shared" si="33"/>
        <v>#N/A</v>
      </c>
      <c r="BD53" s="341">
        <f t="shared" si="33"/>
        <v>0.13966480446927373</v>
      </c>
      <c r="BE53" s="341">
        <f t="shared" si="33"/>
        <v>0.13157894736842105</v>
      </c>
      <c r="BF53" s="341">
        <f t="shared" si="33"/>
        <v>0.16019417475728157</v>
      </c>
      <c r="BG53" s="341">
        <f t="shared" si="33"/>
        <v>0.107981220657277</v>
      </c>
      <c r="BH53" s="341">
        <f t="shared" si="34"/>
        <v>5.1020408163265307E-2</v>
      </c>
      <c r="BI53" s="341">
        <f t="shared" si="34"/>
        <v>6.7039106145251395E-2</v>
      </c>
      <c r="BJ53" s="341">
        <f t="shared" si="34"/>
        <v>7.3684210526315783E-2</v>
      </c>
      <c r="BK53" s="341">
        <f t="shared" si="34"/>
        <v>3.8834951456310676E-2</v>
      </c>
      <c r="BL53" s="341" t="e">
        <f t="shared" si="34"/>
        <v>#N/A</v>
      </c>
      <c r="BM53" s="341" t="e">
        <f t="shared" si="35"/>
        <v>#N/A</v>
      </c>
      <c r="BN53" s="341" t="e">
        <f t="shared" si="35"/>
        <v>#N/A</v>
      </c>
      <c r="BO53" s="341" t="e">
        <f t="shared" si="35"/>
        <v>#N/A</v>
      </c>
      <c r="BP53" s="341" t="e">
        <f t="shared" si="35"/>
        <v>#N/A</v>
      </c>
      <c r="BQ53" s="341" t="e">
        <f t="shared" si="35"/>
        <v>#N/A</v>
      </c>
    </row>
    <row r="54" spans="1:69" ht="14.25" customHeight="1" x14ac:dyDescent="0.2">
      <c r="A54" s="120"/>
      <c r="B54" s="368"/>
      <c r="C54" s="368"/>
      <c r="D54" s="58"/>
      <c r="E54" s="58"/>
      <c r="F54" s="58"/>
      <c r="G54" s="58"/>
      <c r="H54" s="58"/>
      <c r="I54" s="58"/>
      <c r="J54" s="13"/>
      <c r="K54" s="15"/>
      <c r="L54" s="15"/>
      <c r="M54" s="15"/>
      <c r="N54" s="15"/>
      <c r="O54" s="9"/>
      <c r="P54" s="9"/>
      <c r="Q54" s="9"/>
      <c r="R54" s="9"/>
      <c r="S54" s="9"/>
      <c r="T54" s="9"/>
      <c r="U54" s="9"/>
      <c r="V54" s="119"/>
      <c r="W54" s="138"/>
      <c r="X54" s="288"/>
      <c r="AJ54" s="560" t="b">
        <v>1</v>
      </c>
      <c r="AK54" s="156" t="s">
        <v>93</v>
      </c>
      <c r="AL54" s="89" t="str">
        <f t="shared" si="22"/>
        <v>Somerset</v>
      </c>
      <c r="AM54" s="143">
        <f t="shared" si="30"/>
        <v>44.719926538108353</v>
      </c>
      <c r="AN54" s="143">
        <f t="shared" si="30"/>
        <v>45.879120879120876</v>
      </c>
      <c r="AO54" s="143">
        <f t="shared" si="30"/>
        <v>43.39106654512306</v>
      </c>
      <c r="AP54" s="143">
        <f t="shared" si="30"/>
        <v>46.957311534968213</v>
      </c>
      <c r="AQ54" s="143">
        <f t="shared" si="30"/>
        <v>48.238482384823854</v>
      </c>
      <c r="AR54" s="144">
        <f t="shared" si="29"/>
        <v>13.600000000000001</v>
      </c>
      <c r="AS54" s="341" t="e">
        <f t="shared" si="31"/>
        <v>#N/A</v>
      </c>
      <c r="AT54" s="341">
        <f t="shared" si="31"/>
        <v>0.38461538461538464</v>
      </c>
      <c r="AU54" s="341">
        <f t="shared" si="31"/>
        <v>0.4178272980501393</v>
      </c>
      <c r="AV54" s="341">
        <f t="shared" si="31"/>
        <v>0.41687979539641945</v>
      </c>
      <c r="AW54" s="341">
        <f t="shared" si="31"/>
        <v>0.40404040404040403</v>
      </c>
      <c r="AX54" s="341" t="e">
        <f t="shared" si="32"/>
        <v>#N/A</v>
      </c>
      <c r="AY54" s="341">
        <f t="shared" si="32"/>
        <v>0.56666666666666665</v>
      </c>
      <c r="AZ54" s="341">
        <f t="shared" si="32"/>
        <v>0.6</v>
      </c>
      <c r="BA54" s="341">
        <f t="shared" si="32"/>
        <v>0.61963190184049077</v>
      </c>
      <c r="BB54" s="341">
        <f t="shared" si="32"/>
        <v>0.625</v>
      </c>
      <c r="BC54" s="341" t="e">
        <f t="shared" si="33"/>
        <v>#N/A</v>
      </c>
      <c r="BD54" s="341">
        <f t="shared" si="33"/>
        <v>0.12974051896207583</v>
      </c>
      <c r="BE54" s="341">
        <f t="shared" si="33"/>
        <v>0.10504201680672269</v>
      </c>
      <c r="BF54" s="341">
        <f t="shared" si="33"/>
        <v>0.15473887814313347</v>
      </c>
      <c r="BG54" s="341">
        <f t="shared" si="33"/>
        <v>0.14419475655430711</v>
      </c>
      <c r="BH54" s="341" t="e">
        <f t="shared" si="34"/>
        <v>#N/A</v>
      </c>
      <c r="BI54" s="341" t="e">
        <f t="shared" si="34"/>
        <v>#N/A</v>
      </c>
      <c r="BJ54" s="341">
        <f t="shared" si="34"/>
        <v>2.9411764705882353E-2</v>
      </c>
      <c r="BK54" s="341">
        <f t="shared" si="34"/>
        <v>5.4158607350096713E-2</v>
      </c>
      <c r="BL54" s="341">
        <f t="shared" si="34"/>
        <v>2.4344569288389514E-2</v>
      </c>
      <c r="BM54" s="341" t="e">
        <f t="shared" si="35"/>
        <v>#N/A</v>
      </c>
      <c r="BN54" s="341" t="e">
        <f t="shared" si="35"/>
        <v>#N/A</v>
      </c>
      <c r="BO54" s="341" t="e">
        <f t="shared" si="35"/>
        <v>#N/A</v>
      </c>
      <c r="BP54" s="341" t="e">
        <f t="shared" si="35"/>
        <v>#N/A</v>
      </c>
      <c r="BQ54" s="341" t="e">
        <f t="shared" si="35"/>
        <v>#N/A</v>
      </c>
    </row>
    <row r="55" spans="1:69" ht="14.25" customHeight="1" x14ac:dyDescent="0.2">
      <c r="A55" s="120"/>
      <c r="B55" s="368"/>
      <c r="C55" s="368"/>
      <c r="D55" s="58"/>
      <c r="E55" s="58"/>
      <c r="F55" s="58"/>
      <c r="G55" s="58"/>
      <c r="H55" s="58"/>
      <c r="I55" s="58"/>
      <c r="J55" s="13"/>
      <c r="K55" s="15"/>
      <c r="L55" s="15"/>
      <c r="M55" s="15"/>
      <c r="N55" s="15"/>
      <c r="O55" s="9"/>
      <c r="P55" s="9"/>
      <c r="Q55" s="9"/>
      <c r="R55" s="9"/>
      <c r="S55" s="9"/>
      <c r="T55" s="9"/>
      <c r="U55" s="9"/>
      <c r="V55" s="119"/>
      <c r="W55" s="138"/>
      <c r="X55" s="288"/>
      <c r="AJ55" s="560" t="b">
        <v>1</v>
      </c>
      <c r="AK55" s="156" t="s">
        <v>14</v>
      </c>
      <c r="AL55" s="89" t="str">
        <f t="shared" si="22"/>
        <v>Southampton</v>
      </c>
      <c r="AM55" s="143">
        <f t="shared" si="30"/>
        <v>119.75308641975309</v>
      </c>
      <c r="AN55" s="143">
        <f t="shared" si="30"/>
        <v>120.1219512195122</v>
      </c>
      <c r="AO55" s="143">
        <f t="shared" si="30"/>
        <v>108.21643286573146</v>
      </c>
      <c r="AP55" s="143">
        <f t="shared" si="30"/>
        <v>103.77733598409543</v>
      </c>
      <c r="AQ55" s="143">
        <f t="shared" si="30"/>
        <v>94.685039370078741</v>
      </c>
      <c r="AR55" s="144">
        <f t="shared" si="29"/>
        <v>20.5</v>
      </c>
      <c r="AS55" s="341" t="e">
        <f t="shared" si="31"/>
        <v>#N/A</v>
      </c>
      <c r="AT55" s="341">
        <f t="shared" si="31"/>
        <v>0.37864077669902912</v>
      </c>
      <c r="AU55" s="341">
        <f t="shared" si="31"/>
        <v>0.49568965517241381</v>
      </c>
      <c r="AV55" s="341">
        <f t="shared" si="31"/>
        <v>0.53061224489795922</v>
      </c>
      <c r="AW55" s="341">
        <f t="shared" si="31"/>
        <v>0.57457212713936434</v>
      </c>
      <c r="AX55" s="341" t="e">
        <f t="shared" si="32"/>
        <v>#N/A</v>
      </c>
      <c r="AY55" s="341">
        <f t="shared" si="32"/>
        <v>0.69230769230769229</v>
      </c>
      <c r="AZ55" s="341">
        <f t="shared" si="32"/>
        <v>0.65217391304347827</v>
      </c>
      <c r="BA55" s="341">
        <f t="shared" si="32"/>
        <v>0.70940170940170943</v>
      </c>
      <c r="BB55" s="341">
        <f t="shared" si="32"/>
        <v>0.64680851063829792</v>
      </c>
      <c r="BC55" s="341" t="e">
        <f t="shared" si="33"/>
        <v>#N/A</v>
      </c>
      <c r="BD55" s="341">
        <f t="shared" si="33"/>
        <v>0.13536379018612521</v>
      </c>
      <c r="BE55" s="341">
        <f t="shared" si="33"/>
        <v>0.12037037037037036</v>
      </c>
      <c r="BF55" s="341">
        <f t="shared" si="33"/>
        <v>9.5785440613026823E-2</v>
      </c>
      <c r="BG55" s="341">
        <f t="shared" si="33"/>
        <v>0.12474012474012475</v>
      </c>
      <c r="BH55" s="341">
        <f t="shared" si="34"/>
        <v>1.0309278350515464E-2</v>
      </c>
      <c r="BI55" s="341" t="e">
        <f t="shared" si="34"/>
        <v>#N/A</v>
      </c>
      <c r="BJ55" s="341">
        <f t="shared" si="34"/>
        <v>2.0370370370370372E-2</v>
      </c>
      <c r="BK55" s="341">
        <f t="shared" si="34"/>
        <v>2.8735632183908046E-2</v>
      </c>
      <c r="BL55" s="341">
        <f t="shared" si="34"/>
        <v>3.1185031185031187E-2</v>
      </c>
      <c r="BM55" s="341" t="e">
        <f t="shared" si="35"/>
        <v>#N/A</v>
      </c>
      <c r="BN55" s="341" t="e">
        <f t="shared" si="35"/>
        <v>#N/A</v>
      </c>
      <c r="BO55" s="341" t="e">
        <f t="shared" si="35"/>
        <v>#N/A</v>
      </c>
      <c r="BP55" s="341" t="e">
        <f t="shared" si="35"/>
        <v>#N/A</v>
      </c>
      <c r="BQ55" s="341" t="e">
        <f t="shared" si="35"/>
        <v>#N/A</v>
      </c>
    </row>
    <row r="56" spans="1:69" ht="14.25" customHeight="1" x14ac:dyDescent="0.2">
      <c r="A56" s="120"/>
      <c r="B56" s="368"/>
      <c r="C56" s="368"/>
      <c r="D56" s="58"/>
      <c r="E56" s="58"/>
      <c r="F56" s="58"/>
      <c r="G56" s="58"/>
      <c r="H56" s="58"/>
      <c r="I56" s="58"/>
      <c r="J56" s="13"/>
      <c r="K56" s="15"/>
      <c r="L56" s="15"/>
      <c r="M56" s="15"/>
      <c r="N56" s="15"/>
      <c r="O56" s="9"/>
      <c r="P56" s="9"/>
      <c r="Q56" s="9"/>
      <c r="R56" s="9"/>
      <c r="S56" s="9"/>
      <c r="T56" s="9"/>
      <c r="U56" s="9"/>
      <c r="V56" s="119"/>
      <c r="W56" s="138"/>
      <c r="X56" s="288"/>
      <c r="AJ56" s="560" t="b">
        <v>1</v>
      </c>
      <c r="AK56" s="156" t="s">
        <v>7</v>
      </c>
      <c r="AL56" s="89" t="str">
        <f t="shared" si="22"/>
        <v>Surrey</v>
      </c>
      <c r="AM56" s="143">
        <f t="shared" si="30"/>
        <v>30.597014925373138</v>
      </c>
      <c r="AN56" s="143">
        <f t="shared" si="30"/>
        <v>33.814352574102962</v>
      </c>
      <c r="AO56" s="143">
        <f t="shared" si="30"/>
        <v>33.552123552123554</v>
      </c>
      <c r="AP56" s="143">
        <f t="shared" si="30"/>
        <v>35.728006146753742</v>
      </c>
      <c r="AQ56" s="143">
        <f t="shared" si="30"/>
        <v>37.151584574264987</v>
      </c>
      <c r="AR56" s="144">
        <f t="shared" si="29"/>
        <v>8.3000000000000007</v>
      </c>
      <c r="AS56" s="341" t="e">
        <f t="shared" si="31"/>
        <v>#N/A</v>
      </c>
      <c r="AT56" s="341">
        <f t="shared" si="31"/>
        <v>0.39166666666666666</v>
      </c>
      <c r="AU56" s="341">
        <f t="shared" si="31"/>
        <v>0.38128249566724437</v>
      </c>
      <c r="AV56" s="341">
        <f t="shared" si="31"/>
        <v>0.37308868501529052</v>
      </c>
      <c r="AW56" s="341">
        <f t="shared" si="31"/>
        <v>0.36764705882352944</v>
      </c>
      <c r="AX56" s="341" t="e">
        <f t="shared" si="32"/>
        <v>#N/A</v>
      </c>
      <c r="AY56" s="341">
        <f t="shared" si="32"/>
        <v>0.7021276595744681</v>
      </c>
      <c r="AZ56" s="341">
        <f t="shared" si="32"/>
        <v>0.63636363636363635</v>
      </c>
      <c r="BA56" s="341">
        <f t="shared" si="32"/>
        <v>0.67213114754098358</v>
      </c>
      <c r="BB56" s="341">
        <f t="shared" si="32"/>
        <v>0.64800000000000002</v>
      </c>
      <c r="BC56" s="341" t="e">
        <f t="shared" si="33"/>
        <v>#N/A</v>
      </c>
      <c r="BD56" s="341">
        <f t="shared" si="33"/>
        <v>0.10380622837370242</v>
      </c>
      <c r="BE56" s="341">
        <f t="shared" si="33"/>
        <v>8.0552359033371698E-2</v>
      </c>
      <c r="BF56" s="341">
        <f t="shared" si="33"/>
        <v>7.6344086021505372E-2</v>
      </c>
      <c r="BG56" s="341">
        <f t="shared" si="33"/>
        <v>9.044193216855087E-2</v>
      </c>
      <c r="BH56" s="341">
        <f t="shared" si="34"/>
        <v>0.12836970474967907</v>
      </c>
      <c r="BI56" s="341">
        <f t="shared" si="34"/>
        <v>0.17416378316032297</v>
      </c>
      <c r="BJ56" s="341">
        <f t="shared" si="34"/>
        <v>0.16340621403912542</v>
      </c>
      <c r="BK56" s="341">
        <f t="shared" si="34"/>
        <v>0.11935483870967742</v>
      </c>
      <c r="BL56" s="341">
        <f t="shared" si="34"/>
        <v>0.1171634121274409</v>
      </c>
      <c r="BM56" s="341" t="e">
        <f t="shared" si="35"/>
        <v>#N/A</v>
      </c>
      <c r="BN56" s="341" t="e">
        <f t="shared" si="35"/>
        <v>#N/A</v>
      </c>
      <c r="BO56" s="341" t="e">
        <f t="shared" si="35"/>
        <v>#N/A</v>
      </c>
      <c r="BP56" s="341" t="e">
        <f t="shared" si="35"/>
        <v>#N/A</v>
      </c>
      <c r="BQ56" s="341" t="e">
        <f t="shared" si="35"/>
        <v>#N/A</v>
      </c>
    </row>
    <row r="57" spans="1:69" ht="14.25" customHeight="1" x14ac:dyDescent="0.2">
      <c r="A57" s="271"/>
      <c r="B57" s="368"/>
      <c r="C57" s="368"/>
      <c r="D57" s="58"/>
      <c r="E57" s="58"/>
      <c r="F57" s="58"/>
      <c r="G57" s="58"/>
      <c r="H57" s="58"/>
      <c r="I57" s="58"/>
      <c r="J57" s="13"/>
      <c r="K57" s="15"/>
      <c r="L57" s="15"/>
      <c r="M57" s="15"/>
      <c r="N57" s="15"/>
      <c r="O57" s="9"/>
      <c r="P57" s="9"/>
      <c r="Q57" s="9"/>
      <c r="R57" s="9"/>
      <c r="S57" s="9"/>
      <c r="T57" s="9"/>
      <c r="U57" s="9"/>
      <c r="V57" s="119"/>
      <c r="W57" s="138"/>
      <c r="X57" s="288"/>
      <c r="AJ57" s="560" t="b">
        <v>1</v>
      </c>
      <c r="AK57" s="156" t="s">
        <v>114</v>
      </c>
      <c r="AL57" s="89" t="str">
        <f t="shared" si="22"/>
        <v>Swindon</v>
      </c>
      <c r="AM57" s="143">
        <f t="shared" si="30"/>
        <v>51.440329218106996</v>
      </c>
      <c r="AN57" s="143">
        <f t="shared" si="30"/>
        <v>59.795918367346943</v>
      </c>
      <c r="AO57" s="143">
        <f t="shared" si="30"/>
        <v>66.666666666666671</v>
      </c>
      <c r="AP57" s="143">
        <f t="shared" si="30"/>
        <v>72.144288577154313</v>
      </c>
      <c r="AQ57" s="143">
        <f t="shared" si="30"/>
        <v>69.322709163346616</v>
      </c>
      <c r="AR57" s="144">
        <f t="shared" si="29"/>
        <v>14.899999999999999</v>
      </c>
      <c r="AS57" s="341" t="e">
        <f t="shared" si="31"/>
        <v>#N/A</v>
      </c>
      <c r="AT57" s="341">
        <f t="shared" si="31"/>
        <v>0.28888888888888886</v>
      </c>
      <c r="AU57" s="341">
        <f t="shared" si="31"/>
        <v>0.22988505747126436</v>
      </c>
      <c r="AV57" s="341">
        <f t="shared" si="31"/>
        <v>0.24014336917562723</v>
      </c>
      <c r="AW57" s="341">
        <f t="shared" si="31"/>
        <v>0.4140625</v>
      </c>
      <c r="AX57" s="341" t="e">
        <f t="shared" si="32"/>
        <v>#N/A</v>
      </c>
      <c r="AY57" s="341">
        <f t="shared" si="32"/>
        <v>0.61538461538461542</v>
      </c>
      <c r="AZ57" s="341">
        <f t="shared" si="32"/>
        <v>0.75</v>
      </c>
      <c r="BA57" s="341">
        <f t="shared" si="32"/>
        <v>0.61194029850746268</v>
      </c>
      <c r="BB57" s="341">
        <f t="shared" si="32"/>
        <v>0.58490566037735847</v>
      </c>
      <c r="BC57" s="341" t="e">
        <f t="shared" si="33"/>
        <v>#N/A</v>
      </c>
      <c r="BD57" s="341">
        <f t="shared" si="33"/>
        <v>0.10238907849829351</v>
      </c>
      <c r="BE57" s="341">
        <f t="shared" si="33"/>
        <v>0.12121212121212122</v>
      </c>
      <c r="BF57" s="341">
        <f t="shared" si="33"/>
        <v>0.12222222222222222</v>
      </c>
      <c r="BG57" s="341">
        <f t="shared" si="33"/>
        <v>7.183908045977011E-2</v>
      </c>
      <c r="BH57" s="341" t="e">
        <f t="shared" si="34"/>
        <v>#N/A</v>
      </c>
      <c r="BI57" s="341">
        <f t="shared" si="34"/>
        <v>4.778156996587031E-2</v>
      </c>
      <c r="BJ57" s="341">
        <f t="shared" si="34"/>
        <v>6.363636363636363E-2</v>
      </c>
      <c r="BK57" s="341">
        <f t="shared" si="34"/>
        <v>7.2222222222222215E-2</v>
      </c>
      <c r="BL57" s="341">
        <f t="shared" si="34"/>
        <v>6.8965517241379309E-2</v>
      </c>
      <c r="BM57" s="341" t="e">
        <f t="shared" si="35"/>
        <v>#N/A</v>
      </c>
      <c r="BN57" s="341" t="e">
        <f t="shared" si="35"/>
        <v>#N/A</v>
      </c>
      <c r="BO57" s="341" t="e">
        <f t="shared" si="35"/>
        <v>#N/A</v>
      </c>
      <c r="BP57" s="341" t="e">
        <f t="shared" si="35"/>
        <v>#N/A</v>
      </c>
      <c r="BQ57" s="341" t="e">
        <f t="shared" si="35"/>
        <v>#N/A</v>
      </c>
    </row>
    <row r="58" spans="1:69" ht="14.25" customHeight="1" x14ac:dyDescent="0.2">
      <c r="A58" s="271"/>
      <c r="B58" s="368"/>
      <c r="C58" s="368"/>
      <c r="D58" s="58"/>
      <c r="E58" s="58"/>
      <c r="F58" s="58"/>
      <c r="G58" s="58"/>
      <c r="H58" s="58"/>
      <c r="I58" s="58"/>
      <c r="J58" s="13"/>
      <c r="K58" s="15"/>
      <c r="L58" s="15"/>
      <c r="M58" s="15"/>
      <c r="N58" s="15"/>
      <c r="O58" s="9"/>
      <c r="P58" s="9"/>
      <c r="Q58" s="9"/>
      <c r="R58" s="9"/>
      <c r="S58" s="9"/>
      <c r="T58" s="9"/>
      <c r="U58" s="9"/>
      <c r="V58" s="119"/>
      <c r="W58" s="138"/>
      <c r="X58" s="288"/>
      <c r="AJ58" s="560" t="b">
        <v>1</v>
      </c>
      <c r="AK58" s="156" t="s">
        <v>115</v>
      </c>
      <c r="AL58" s="89" t="str">
        <f t="shared" si="22"/>
        <v>Torbay</v>
      </c>
      <c r="AM58" s="143">
        <f t="shared" si="30"/>
        <v>121.91235059760956</v>
      </c>
      <c r="AN58" s="143">
        <f t="shared" si="30"/>
        <v>110.71428571428571</v>
      </c>
      <c r="AO58" s="143">
        <f t="shared" si="30"/>
        <v>113.77952755905513</v>
      </c>
      <c r="AP58" s="143">
        <f t="shared" si="30"/>
        <v>129.5275590551181</v>
      </c>
      <c r="AQ58" s="143">
        <f t="shared" si="30"/>
        <v>142.51968503937007</v>
      </c>
      <c r="AR58" s="144">
        <f t="shared" si="29"/>
        <v>21.9</v>
      </c>
      <c r="AS58" s="341" t="e">
        <f t="shared" si="31"/>
        <v>#N/A</v>
      </c>
      <c r="AT58" s="341">
        <f t="shared" si="31"/>
        <v>0.53333333333333333</v>
      </c>
      <c r="AU58" s="341">
        <f t="shared" si="31"/>
        <v>0.53418803418803418</v>
      </c>
      <c r="AV58" s="341">
        <f t="shared" si="31"/>
        <v>0.49070631970260226</v>
      </c>
      <c r="AW58" s="341">
        <f t="shared" si="31"/>
        <v>0.43288590604026844</v>
      </c>
      <c r="AX58" s="341" t="e">
        <f t="shared" si="32"/>
        <v>#N/A</v>
      </c>
      <c r="AY58" s="341">
        <f t="shared" si="32"/>
        <v>0.45833333333333331</v>
      </c>
      <c r="AZ58" s="341">
        <f t="shared" si="32"/>
        <v>0.56000000000000005</v>
      </c>
      <c r="BA58" s="341">
        <f t="shared" si="32"/>
        <v>0.56818181818181823</v>
      </c>
      <c r="BB58" s="341">
        <f t="shared" si="32"/>
        <v>0.64341085271317833</v>
      </c>
      <c r="BC58" s="341" t="e">
        <f t="shared" si="33"/>
        <v>#N/A</v>
      </c>
      <c r="BD58" s="341">
        <f t="shared" si="33"/>
        <v>0.21505376344086022</v>
      </c>
      <c r="BE58" s="341">
        <f t="shared" si="33"/>
        <v>0.25951557093425603</v>
      </c>
      <c r="BF58" s="341">
        <f t="shared" si="33"/>
        <v>0.25227963525835867</v>
      </c>
      <c r="BG58" s="341">
        <f t="shared" si="33"/>
        <v>0.11049723756906077</v>
      </c>
      <c r="BH58" s="341">
        <f t="shared" si="34"/>
        <v>0</v>
      </c>
      <c r="BI58" s="341">
        <f t="shared" si="34"/>
        <v>0</v>
      </c>
      <c r="BJ58" s="341" t="e">
        <f t="shared" si="34"/>
        <v>#N/A</v>
      </c>
      <c r="BK58" s="341" t="e">
        <f t="shared" si="34"/>
        <v>#N/A</v>
      </c>
      <c r="BL58" s="341" t="e">
        <f t="shared" si="34"/>
        <v>#N/A</v>
      </c>
      <c r="BM58" s="341" t="e">
        <f t="shared" si="35"/>
        <v>#N/A</v>
      </c>
      <c r="BN58" s="341" t="e">
        <f t="shared" si="35"/>
        <v>#N/A</v>
      </c>
      <c r="BO58" s="341" t="e">
        <f t="shared" si="35"/>
        <v>#N/A</v>
      </c>
      <c r="BP58" s="341" t="e">
        <f t="shared" si="35"/>
        <v>#N/A</v>
      </c>
      <c r="BQ58" s="341" t="e">
        <f t="shared" si="35"/>
        <v>#N/A</v>
      </c>
    </row>
    <row r="59" spans="1:69" ht="14.25" customHeight="1" x14ac:dyDescent="0.2">
      <c r="A59" s="120"/>
      <c r="B59" s="368"/>
      <c r="C59" s="368"/>
      <c r="D59" s="58"/>
      <c r="E59" s="58"/>
      <c r="F59" s="58"/>
      <c r="G59" s="58"/>
      <c r="H59" s="58"/>
      <c r="I59" s="58"/>
      <c r="J59" s="13"/>
      <c r="K59" s="15"/>
      <c r="L59" s="15"/>
      <c r="M59" s="15"/>
      <c r="N59" s="15"/>
      <c r="O59" s="9"/>
      <c r="P59" s="9"/>
      <c r="Q59" s="9"/>
      <c r="R59" s="9"/>
      <c r="S59" s="9"/>
      <c r="T59" s="9"/>
      <c r="U59" s="9"/>
      <c r="V59" s="119"/>
      <c r="W59" s="138"/>
      <c r="X59" s="288"/>
      <c r="AJ59" s="560" t="b">
        <v>1</v>
      </c>
      <c r="AK59" s="156" t="s">
        <v>15</v>
      </c>
      <c r="AL59" s="89" t="str">
        <f t="shared" si="22"/>
        <v>West Berkshire</v>
      </c>
      <c r="AM59" s="143">
        <f t="shared" si="30"/>
        <v>48.033707865168537</v>
      </c>
      <c r="AN59" s="143">
        <f t="shared" si="30"/>
        <v>43.977591036414566</v>
      </c>
      <c r="AO59" s="143">
        <f t="shared" si="30"/>
        <v>44.846796657381617</v>
      </c>
      <c r="AP59" s="143">
        <f t="shared" si="30"/>
        <v>40.502793296089386</v>
      </c>
      <c r="AQ59" s="143">
        <f t="shared" si="30"/>
        <v>48.31460674157303</v>
      </c>
      <c r="AR59" s="144">
        <f t="shared" si="29"/>
        <v>8.6999999999999993</v>
      </c>
      <c r="AS59" s="341" t="e">
        <f t="shared" si="31"/>
        <v>#N/A</v>
      </c>
      <c r="AT59" s="341">
        <f t="shared" si="31"/>
        <v>0.45</v>
      </c>
      <c r="AU59" s="341">
        <f t="shared" si="31"/>
        <v>0.44715447154471544</v>
      </c>
      <c r="AV59" s="341">
        <f t="shared" si="31"/>
        <v>0.61111111111111116</v>
      </c>
      <c r="AW59" s="341">
        <f t="shared" si="31"/>
        <v>0.47169811320754718</v>
      </c>
      <c r="AX59" s="341" t="e">
        <f t="shared" si="32"/>
        <v>#N/A</v>
      </c>
      <c r="AY59" s="341">
        <f t="shared" si="32"/>
        <v>0.77777777777777779</v>
      </c>
      <c r="AZ59" s="341">
        <f t="shared" si="32"/>
        <v>0.63636363636363635</v>
      </c>
      <c r="BA59" s="341">
        <f t="shared" si="32"/>
        <v>0.63636363636363635</v>
      </c>
      <c r="BB59" s="341">
        <f t="shared" si="32"/>
        <v>0.54</v>
      </c>
      <c r="BC59" s="341" t="e">
        <f t="shared" si="33"/>
        <v>#N/A</v>
      </c>
      <c r="BD59" s="341">
        <f t="shared" si="33"/>
        <v>6.3694267515923567E-2</v>
      </c>
      <c r="BE59" s="341">
        <f t="shared" si="33"/>
        <v>9.3167701863354033E-2</v>
      </c>
      <c r="BF59" s="341">
        <f t="shared" si="33"/>
        <v>5.5172413793103448E-2</v>
      </c>
      <c r="BG59" s="341">
        <f t="shared" si="33"/>
        <v>9.8837209302325577E-2</v>
      </c>
      <c r="BH59" s="341">
        <f t="shared" si="34"/>
        <v>5.8479532163742687E-2</v>
      </c>
      <c r="BI59" s="341">
        <f t="shared" si="34"/>
        <v>8.2802547770700632E-2</v>
      </c>
      <c r="BJ59" s="341">
        <f t="shared" si="34"/>
        <v>9.9378881987577633E-2</v>
      </c>
      <c r="BK59" s="341">
        <f t="shared" si="34"/>
        <v>0.1103448275862069</v>
      </c>
      <c r="BL59" s="341">
        <f t="shared" si="34"/>
        <v>0.1744186046511628</v>
      </c>
      <c r="BM59" s="341" t="e">
        <f t="shared" si="35"/>
        <v>#N/A</v>
      </c>
      <c r="BN59" s="341" t="e">
        <f t="shared" si="35"/>
        <v>#N/A</v>
      </c>
      <c r="BO59" s="341" t="e">
        <f t="shared" si="35"/>
        <v>#N/A</v>
      </c>
      <c r="BP59" s="341" t="e">
        <f t="shared" si="35"/>
        <v>#N/A</v>
      </c>
      <c r="BQ59" s="341" t="e">
        <f t="shared" si="35"/>
        <v>#N/A</v>
      </c>
    </row>
    <row r="60" spans="1:69" ht="14.25" customHeight="1" x14ac:dyDescent="0.2">
      <c r="A60" s="120"/>
      <c r="B60" s="368"/>
      <c r="C60" s="368"/>
      <c r="D60" s="58"/>
      <c r="E60" s="58"/>
      <c r="F60" s="58"/>
      <c r="G60" s="58"/>
      <c r="H60" s="58"/>
      <c r="I60" s="58"/>
      <c r="J60" s="13"/>
      <c r="K60" s="15"/>
      <c r="L60" s="15"/>
      <c r="M60" s="15"/>
      <c r="N60" s="15"/>
      <c r="O60" s="9"/>
      <c r="P60" s="9"/>
      <c r="Q60" s="9"/>
      <c r="R60" s="9"/>
      <c r="S60" s="9"/>
      <c r="T60" s="9"/>
      <c r="U60" s="9"/>
      <c r="V60" s="119"/>
      <c r="W60" s="138"/>
      <c r="X60" s="288"/>
      <c r="AJ60" s="560" t="b">
        <v>1</v>
      </c>
      <c r="AK60" s="156" t="s">
        <v>5</v>
      </c>
      <c r="AL60" s="89" t="str">
        <f t="shared" si="22"/>
        <v>West Sussex</v>
      </c>
      <c r="AM60" s="143">
        <f t="shared" si="30"/>
        <v>38.15165876777251</v>
      </c>
      <c r="AN60" s="143">
        <f t="shared" si="30"/>
        <v>37.5</v>
      </c>
      <c r="AO60" s="143">
        <f t="shared" si="30"/>
        <v>38.59138533178114</v>
      </c>
      <c r="AP60" s="143">
        <f t="shared" si="30"/>
        <v>40.623196768609347</v>
      </c>
      <c r="AQ60" s="143">
        <f t="shared" si="30"/>
        <v>40.297653119633658</v>
      </c>
      <c r="AR60" s="144">
        <f t="shared" si="29"/>
        <v>11</v>
      </c>
      <c r="AS60" s="341" t="e">
        <f t="shared" si="31"/>
        <v>#N/A</v>
      </c>
      <c r="AT60" s="341">
        <f t="shared" si="31"/>
        <v>0.37362637362637363</v>
      </c>
      <c r="AU60" s="341">
        <f t="shared" si="31"/>
        <v>0.31914893617021278</v>
      </c>
      <c r="AV60" s="341">
        <f t="shared" si="31"/>
        <v>0.312</v>
      </c>
      <c r="AW60" s="341">
        <f t="shared" si="31"/>
        <v>0.35629921259842517</v>
      </c>
      <c r="AX60" s="341" t="e">
        <f t="shared" si="32"/>
        <v>#N/A</v>
      </c>
      <c r="AY60" s="341">
        <f t="shared" si="32"/>
        <v>0.73529411764705888</v>
      </c>
      <c r="AZ60" s="341">
        <f t="shared" si="32"/>
        <v>0.76666666666666672</v>
      </c>
      <c r="BA60" s="341">
        <f t="shared" si="32"/>
        <v>0.69871794871794868</v>
      </c>
      <c r="BB60" s="341">
        <f t="shared" si="32"/>
        <v>0.66298342541436461</v>
      </c>
      <c r="BC60" s="341" t="e">
        <f t="shared" si="33"/>
        <v>#N/A</v>
      </c>
      <c r="BD60" s="341">
        <f t="shared" si="33"/>
        <v>0.10954616588419405</v>
      </c>
      <c r="BE60" s="341">
        <f t="shared" si="33"/>
        <v>0.12066365007541478</v>
      </c>
      <c r="BF60" s="341">
        <f t="shared" si="33"/>
        <v>0.140625</v>
      </c>
      <c r="BG60" s="341">
        <f t="shared" si="33"/>
        <v>0.10227272727272728</v>
      </c>
      <c r="BH60" s="341">
        <f t="shared" si="34"/>
        <v>5.5900621118012424E-2</v>
      </c>
      <c r="BI60" s="341">
        <f t="shared" si="34"/>
        <v>0.10015649452269171</v>
      </c>
      <c r="BJ60" s="341">
        <f t="shared" si="34"/>
        <v>0.11010558069381599</v>
      </c>
      <c r="BK60" s="341">
        <f t="shared" si="34"/>
        <v>9.8011363636363633E-2</v>
      </c>
      <c r="BL60" s="341">
        <f t="shared" si="34"/>
        <v>0.10227272727272728</v>
      </c>
      <c r="BM60" s="341" t="e">
        <f t="shared" si="35"/>
        <v>#N/A</v>
      </c>
      <c r="BN60" s="341" t="e">
        <f t="shared" si="35"/>
        <v>#N/A</v>
      </c>
      <c r="BO60" s="341" t="e">
        <f t="shared" si="35"/>
        <v>#N/A</v>
      </c>
      <c r="BP60" s="341" t="e">
        <f t="shared" si="35"/>
        <v>#N/A</v>
      </c>
      <c r="BQ60" s="341" t="e">
        <f t="shared" si="35"/>
        <v>#N/A</v>
      </c>
    </row>
    <row r="61" spans="1:69" s="83" customFormat="1" ht="14.25" customHeight="1" x14ac:dyDescent="0.2">
      <c r="A61" s="120"/>
      <c r="B61" s="368"/>
      <c r="C61" s="368"/>
      <c r="D61" s="58"/>
      <c r="E61" s="58"/>
      <c r="F61" s="58"/>
      <c r="G61" s="58"/>
      <c r="H61" s="58"/>
      <c r="I61" s="58"/>
      <c r="J61" s="13"/>
      <c r="K61" s="15"/>
      <c r="L61" s="15"/>
      <c r="M61" s="15"/>
      <c r="N61" s="15"/>
      <c r="O61" s="9"/>
      <c r="P61" s="9"/>
      <c r="Q61" s="9"/>
      <c r="R61" s="9"/>
      <c r="S61" s="9"/>
      <c r="T61" s="9"/>
      <c r="U61" s="9"/>
      <c r="V61" s="119"/>
      <c r="W61" s="138"/>
      <c r="X61" s="288"/>
      <c r="AJ61" s="560" t="b">
        <v>1</v>
      </c>
      <c r="AK61" s="156" t="s">
        <v>30</v>
      </c>
      <c r="AL61" s="89" t="str">
        <f t="shared" si="22"/>
        <v>Windsor &amp; Maidenhead</v>
      </c>
      <c r="AM61" s="143">
        <f t="shared" si="30"/>
        <v>29.640718562874252</v>
      </c>
      <c r="AN61" s="143">
        <f t="shared" si="30"/>
        <v>26.409495548961427</v>
      </c>
      <c r="AO61" s="143">
        <f t="shared" si="30"/>
        <v>31.871345029239766</v>
      </c>
      <c r="AP61" s="143">
        <f t="shared" si="30"/>
        <v>31.104651162790699</v>
      </c>
      <c r="AQ61" s="143">
        <f t="shared" si="30"/>
        <v>35.838150289017342</v>
      </c>
      <c r="AR61" s="144">
        <f t="shared" si="29"/>
        <v>6.7</v>
      </c>
      <c r="AS61" s="341" t="e">
        <f t="shared" si="31"/>
        <v>#N/A</v>
      </c>
      <c r="AT61" s="341">
        <f t="shared" si="31"/>
        <v>0.7</v>
      </c>
      <c r="AU61" s="341">
        <f t="shared" si="31"/>
        <v>0.60344827586206895</v>
      </c>
      <c r="AV61" s="341">
        <f t="shared" si="31"/>
        <v>0.50819672131147542</v>
      </c>
      <c r="AW61" s="341">
        <f t="shared" si="31"/>
        <v>0.37313432835820898</v>
      </c>
      <c r="AX61" s="341" t="e">
        <f t="shared" si="32"/>
        <v>#N/A</v>
      </c>
      <c r="AY61" s="341">
        <f t="shared" si="32"/>
        <v>0.7142857142857143</v>
      </c>
      <c r="AZ61" s="341">
        <f t="shared" si="32"/>
        <v>0.7142857142857143</v>
      </c>
      <c r="BA61" s="341">
        <f t="shared" si="32"/>
        <v>0.70967741935483875</v>
      </c>
      <c r="BB61" s="341">
        <f t="shared" si="32"/>
        <v>0.76</v>
      </c>
      <c r="BC61" s="341" t="e">
        <f t="shared" si="33"/>
        <v>#N/A</v>
      </c>
      <c r="BD61" s="341">
        <f t="shared" si="33"/>
        <v>0.16853932584269662</v>
      </c>
      <c r="BE61" s="341">
        <f t="shared" si="33"/>
        <v>0.13761467889908258</v>
      </c>
      <c r="BF61" s="341">
        <f t="shared" si="33"/>
        <v>0.13084112149532709</v>
      </c>
      <c r="BG61" s="341">
        <f t="shared" si="33"/>
        <v>0.15322580645161291</v>
      </c>
      <c r="BH61" s="341">
        <f t="shared" si="34"/>
        <v>9.0909090909090912E-2</v>
      </c>
      <c r="BI61" s="341" t="e">
        <f t="shared" si="34"/>
        <v>#N/A</v>
      </c>
      <c r="BJ61" s="341">
        <f t="shared" si="34"/>
        <v>6.4220183486238536E-2</v>
      </c>
      <c r="BK61" s="341">
        <f t="shared" si="34"/>
        <v>6.5420560747663545E-2</v>
      </c>
      <c r="BL61" s="341">
        <f t="shared" si="34"/>
        <v>8.0645161290322578E-2</v>
      </c>
      <c r="BM61" s="341" t="e">
        <f t="shared" si="35"/>
        <v>#N/A</v>
      </c>
      <c r="BN61" s="341" t="e">
        <f t="shared" si="35"/>
        <v>#N/A</v>
      </c>
      <c r="BO61" s="341" t="e">
        <f t="shared" si="35"/>
        <v>#N/A</v>
      </c>
      <c r="BP61" s="341" t="e">
        <f t="shared" si="35"/>
        <v>#N/A</v>
      </c>
      <c r="BQ61" s="341" t="e">
        <f t="shared" si="35"/>
        <v>#N/A</v>
      </c>
    </row>
    <row r="62" spans="1:69" s="83" customFormat="1" ht="14.25" customHeight="1" x14ac:dyDescent="0.2">
      <c r="A62" s="120"/>
      <c r="B62" s="368"/>
      <c r="C62" s="368"/>
      <c r="D62" s="58"/>
      <c r="E62" s="58"/>
      <c r="F62" s="58"/>
      <c r="G62" s="58"/>
      <c r="H62" s="58"/>
      <c r="I62" s="58"/>
      <c r="J62" s="13"/>
      <c r="K62" s="15"/>
      <c r="L62" s="15"/>
      <c r="M62" s="15"/>
      <c r="N62" s="15"/>
      <c r="O62" s="9"/>
      <c r="P62" s="9"/>
      <c r="Q62" s="9"/>
      <c r="R62" s="9"/>
      <c r="S62" s="9"/>
      <c r="T62" s="9"/>
      <c r="U62" s="9"/>
      <c r="V62" s="119"/>
      <c r="W62" s="138"/>
      <c r="X62" s="288"/>
      <c r="AJ62" s="560" t="b">
        <v>1</v>
      </c>
      <c r="AK62" s="156" t="s">
        <v>16</v>
      </c>
      <c r="AL62" s="89" t="str">
        <f t="shared" si="22"/>
        <v>Wokingham</v>
      </c>
      <c r="AM62" s="143">
        <f t="shared" si="30"/>
        <v>20.325203252032523</v>
      </c>
      <c r="AN62" s="143">
        <f t="shared" si="30"/>
        <v>21.715817694369974</v>
      </c>
      <c r="AO62" s="143">
        <f t="shared" si="30"/>
        <v>19.736842105263158</v>
      </c>
      <c r="AP62" s="143">
        <f t="shared" si="30"/>
        <v>27.390180878552972</v>
      </c>
      <c r="AQ62" s="143">
        <f t="shared" si="30"/>
        <v>27.848101265822784</v>
      </c>
      <c r="AR62" s="144">
        <f t="shared" si="29"/>
        <v>5.6000000000000005</v>
      </c>
      <c r="AS62" s="341" t="e">
        <f t="shared" si="31"/>
        <v>#N/A</v>
      </c>
      <c r="AT62" s="341">
        <f t="shared" si="31"/>
        <v>0.4</v>
      </c>
      <c r="AU62" s="341">
        <f t="shared" si="31"/>
        <v>0.60606060606060608</v>
      </c>
      <c r="AV62" s="341">
        <f t="shared" si="31"/>
        <v>0.2857142857142857</v>
      </c>
      <c r="AW62" s="341">
        <f t="shared" si="31"/>
        <v>0.20547945205479451</v>
      </c>
      <c r="AX62" s="341" t="e">
        <f t="shared" si="32"/>
        <v>#N/A</v>
      </c>
      <c r="AY62" s="341">
        <f t="shared" si="32"/>
        <v>0.5</v>
      </c>
      <c r="AZ62" s="341">
        <f t="shared" si="32"/>
        <v>0.5</v>
      </c>
      <c r="BA62" s="341">
        <f t="shared" si="32"/>
        <v>0.75</v>
      </c>
      <c r="BB62" s="341">
        <f t="shared" si="32"/>
        <v>0.8</v>
      </c>
      <c r="BC62" s="341" t="e">
        <f t="shared" si="33"/>
        <v>#N/A</v>
      </c>
      <c r="BD62" s="341">
        <f t="shared" si="33"/>
        <v>0.12345679012345678</v>
      </c>
      <c r="BE62" s="341">
        <f t="shared" si="33"/>
        <v>0.2</v>
      </c>
      <c r="BF62" s="341">
        <f t="shared" si="33"/>
        <v>0.13207547169811321</v>
      </c>
      <c r="BG62" s="341">
        <f t="shared" si="33"/>
        <v>0.1</v>
      </c>
      <c r="BH62" s="341" t="e">
        <f t="shared" si="34"/>
        <v>#N/A</v>
      </c>
      <c r="BI62" s="341" t="e">
        <f t="shared" si="34"/>
        <v>#N/A</v>
      </c>
      <c r="BJ62" s="341">
        <f t="shared" si="34"/>
        <v>0.10666666666666667</v>
      </c>
      <c r="BK62" s="341">
        <f t="shared" si="34"/>
        <v>0.13207547169811321</v>
      </c>
      <c r="BL62" s="341">
        <f t="shared" si="34"/>
        <v>0.10909090909090909</v>
      </c>
      <c r="BM62" s="341" t="e">
        <f t="shared" si="35"/>
        <v>#N/A</v>
      </c>
      <c r="BN62" s="341" t="e">
        <f t="shared" si="35"/>
        <v>#N/A</v>
      </c>
      <c r="BO62" s="341" t="e">
        <f t="shared" si="35"/>
        <v>#N/A</v>
      </c>
      <c r="BP62" s="341" t="e">
        <f t="shared" si="35"/>
        <v>#N/A</v>
      </c>
      <c r="BQ62" s="341" t="e">
        <f t="shared" si="35"/>
        <v>#N/A</v>
      </c>
    </row>
    <row r="63" spans="1:69" s="83" customFormat="1" ht="14.25" customHeight="1" x14ac:dyDescent="0.2">
      <c r="A63" s="120"/>
      <c r="B63" s="368"/>
      <c r="C63" s="368"/>
      <c r="D63" s="58"/>
      <c r="E63" s="58"/>
      <c r="F63" s="58"/>
      <c r="G63" s="58"/>
      <c r="H63" s="58"/>
      <c r="I63" s="58"/>
      <c r="J63" s="13"/>
      <c r="K63" s="15"/>
      <c r="L63" s="15"/>
      <c r="M63" s="15"/>
      <c r="N63" s="15"/>
      <c r="O63" s="9"/>
      <c r="P63" s="9"/>
      <c r="Q63" s="9"/>
      <c r="R63" s="9"/>
      <c r="S63" s="9"/>
      <c r="T63" s="9"/>
      <c r="U63" s="9"/>
      <c r="V63" s="119"/>
      <c r="W63" s="138"/>
      <c r="X63" s="288"/>
      <c r="AJ63" s="560" t="b">
        <v>1</v>
      </c>
      <c r="AK63" s="156" t="s">
        <v>74</v>
      </c>
      <c r="AL63" s="89" t="str">
        <f t="shared" si="22"/>
        <v>South East</v>
      </c>
      <c r="AM63" s="143">
        <f t="shared" si="30"/>
        <v>48.886788489813064</v>
      </c>
      <c r="AN63" s="143">
        <f t="shared" si="30"/>
        <v>51.45717115895939</v>
      </c>
      <c r="AO63" s="143">
        <f t="shared" si="30"/>
        <v>50.850964771610364</v>
      </c>
      <c r="AP63" s="143">
        <f t="shared" si="30"/>
        <v>51.442975461700712</v>
      </c>
      <c r="AQ63" s="143">
        <f t="shared" si="30"/>
        <v>52.518647185041381</v>
      </c>
      <c r="AR63" s="144">
        <f t="shared" si="29"/>
        <v>12.371268250968637</v>
      </c>
      <c r="AS63" s="341" t="e">
        <f t="shared" si="31"/>
        <v>#N/A</v>
      </c>
      <c r="AT63" s="341">
        <f t="shared" si="31"/>
        <v>0.40876944837340878</v>
      </c>
      <c r="AU63" s="341">
        <f t="shared" si="31"/>
        <v>0.4102920723226704</v>
      </c>
      <c r="AV63" s="341">
        <f t="shared" si="31"/>
        <v>0.41342281879194631</v>
      </c>
      <c r="AW63" s="341">
        <f t="shared" si="31"/>
        <v>0.42932628797886396</v>
      </c>
      <c r="AX63" s="341" t="e">
        <f t="shared" si="32"/>
        <v>#N/A</v>
      </c>
      <c r="AY63" s="341">
        <f t="shared" si="32"/>
        <v>0.66608996539792387</v>
      </c>
      <c r="AZ63" s="341">
        <f t="shared" si="32"/>
        <v>0.68305084745762712</v>
      </c>
      <c r="BA63" s="341">
        <f t="shared" si="32"/>
        <v>0.68181818181818177</v>
      </c>
      <c r="BB63" s="341">
        <f t="shared" si="32"/>
        <v>0.67692307692307696</v>
      </c>
      <c r="BC63" s="341" t="e">
        <f t="shared" si="33"/>
        <v>#N/A</v>
      </c>
      <c r="BD63" s="341">
        <f t="shared" si="33"/>
        <v>0.12203767470123557</v>
      </c>
      <c r="BE63" s="341">
        <f t="shared" si="33"/>
        <v>0.11698880976602238</v>
      </c>
      <c r="BF63" s="341">
        <f t="shared" si="33"/>
        <v>0.11902380476095219</v>
      </c>
      <c r="BG63" s="341">
        <f t="shared" si="33"/>
        <v>0.11574749537982687</v>
      </c>
      <c r="BH63" s="341">
        <f t="shared" si="34"/>
        <v>8.0047086521483221E-2</v>
      </c>
      <c r="BI63" s="341">
        <f t="shared" si="34"/>
        <v>0.15841584158415842</v>
      </c>
      <c r="BJ63" s="341">
        <f t="shared" si="34"/>
        <v>0.11873350923482849</v>
      </c>
      <c r="BK63" s="341">
        <f t="shared" si="34"/>
        <v>8.9985178911708666E-2</v>
      </c>
      <c r="BL63" s="341">
        <f t="shared" si="34"/>
        <v>9.961606309017329E-2</v>
      </c>
      <c r="BM63" s="341" t="e">
        <f t="shared" si="35"/>
        <v>#N/A</v>
      </c>
      <c r="BN63" s="341" t="e">
        <f t="shared" si="35"/>
        <v>#N/A</v>
      </c>
      <c r="BO63" s="341" t="e">
        <f t="shared" si="35"/>
        <v>#N/A</v>
      </c>
      <c r="BP63" s="341" t="e">
        <f t="shared" si="35"/>
        <v>#N/A</v>
      </c>
      <c r="BQ63" s="341" t="e">
        <f t="shared" si="35"/>
        <v>#N/A</v>
      </c>
    </row>
    <row r="64" spans="1:69" s="83" customFormat="1" ht="14.25" customHeight="1" x14ac:dyDescent="0.2">
      <c r="A64" s="120"/>
      <c r="B64" s="368"/>
      <c r="C64" s="368"/>
      <c r="D64" s="58"/>
      <c r="E64" s="58"/>
      <c r="F64" s="58"/>
      <c r="G64" s="58"/>
      <c r="H64" s="58"/>
      <c r="I64" s="58"/>
      <c r="J64" s="13"/>
      <c r="K64" s="9"/>
      <c r="L64" s="112"/>
      <c r="M64" s="1589" t="s">
        <v>72</v>
      </c>
      <c r="N64" s="1590"/>
      <c r="O64" s="1590"/>
      <c r="P64" s="1591"/>
      <c r="Q64" s="880"/>
      <c r="R64" s="1462" t="s">
        <v>101</v>
      </c>
      <c r="S64" s="1463"/>
      <c r="T64" s="1463"/>
      <c r="U64" s="1470"/>
      <c r="V64" s="119"/>
      <c r="W64" s="138"/>
      <c r="X64" s="288"/>
      <c r="AJ64" s="560" t="b">
        <v>1</v>
      </c>
      <c r="AK64" s="156" t="s">
        <v>126</v>
      </c>
      <c r="AL64" s="89" t="str">
        <f t="shared" si="22"/>
        <v>England</v>
      </c>
      <c r="AM64" s="143">
        <f t="shared" si="30"/>
        <v>59.930812564162288</v>
      </c>
      <c r="AN64" s="143">
        <f t="shared" si="30"/>
        <v>60.293374664965448</v>
      </c>
      <c r="AO64" s="143">
        <f t="shared" si="30"/>
        <v>61.610650556201371</v>
      </c>
      <c r="AP64" s="143">
        <f t="shared" si="30"/>
        <v>63.512260891547989</v>
      </c>
      <c r="AQ64" s="143">
        <f t="shared" si="30"/>
        <v>65.37232529737507</v>
      </c>
      <c r="AR64" s="144">
        <f t="shared" si="29"/>
        <v>17.084413405029373</v>
      </c>
      <c r="AS64" s="341" t="e">
        <f t="shared" si="31"/>
        <v>#N/A</v>
      </c>
      <c r="AT64" s="341">
        <f t="shared" si="31"/>
        <v>0.43785886275236152</v>
      </c>
      <c r="AU64" s="341">
        <f t="shared" si="31"/>
        <v>0.43178141290670502</v>
      </c>
      <c r="AV64" s="341">
        <f t="shared" si="31"/>
        <v>0.44364551500988675</v>
      </c>
      <c r="AW64" s="341">
        <f t="shared" si="31"/>
        <v>0.43074606891937101</v>
      </c>
      <c r="AX64" s="341" t="e">
        <f t="shared" si="32"/>
        <v>#N/A</v>
      </c>
      <c r="AY64" s="341">
        <f t="shared" si="32"/>
        <v>0.68485617597292725</v>
      </c>
      <c r="AZ64" s="341">
        <f t="shared" si="32"/>
        <v>0.70191507077435467</v>
      </c>
      <c r="BA64" s="341">
        <f t="shared" si="32"/>
        <v>0.69813614262560775</v>
      </c>
      <c r="BB64" s="341">
        <f t="shared" si="32"/>
        <v>0.68660194174757283</v>
      </c>
      <c r="BC64" s="341" t="e">
        <f t="shared" si="33"/>
        <v>#N/A</v>
      </c>
      <c r="BD64" s="341">
        <f t="shared" si="33"/>
        <v>0.10296832836244851</v>
      </c>
      <c r="BE64" s="341">
        <f t="shared" si="33"/>
        <v>0.103567001790387</v>
      </c>
      <c r="BF64" s="341">
        <f t="shared" si="33"/>
        <v>0.10468356109858033</v>
      </c>
      <c r="BG64" s="341">
        <f t="shared" si="33"/>
        <v>0.10377479206653871</v>
      </c>
      <c r="BH64" s="341">
        <f t="shared" si="34"/>
        <v>3.9729379588311499E-2</v>
      </c>
      <c r="BI64" s="341">
        <f t="shared" si="34"/>
        <v>6.1638971736969181E-2</v>
      </c>
      <c r="BJ64" s="341">
        <f t="shared" si="34"/>
        <v>6.4729376118991877E-2</v>
      </c>
      <c r="BK64" s="341">
        <f t="shared" si="34"/>
        <v>6.0368847021361284E-2</v>
      </c>
      <c r="BL64" s="341">
        <f t="shared" si="34"/>
        <v>6.4875239923224567E-2</v>
      </c>
      <c r="BM64" s="341" t="e">
        <f t="shared" si="35"/>
        <v>#N/A</v>
      </c>
      <c r="BN64" s="341" t="e">
        <f t="shared" si="35"/>
        <v>#N/A</v>
      </c>
      <c r="BO64" s="341" t="e">
        <f t="shared" si="35"/>
        <v>#N/A</v>
      </c>
      <c r="BP64" s="341" t="e">
        <f t="shared" si="35"/>
        <v>#N/A</v>
      </c>
      <c r="BQ64" s="341" t="e">
        <f t="shared" si="35"/>
        <v>#N/A</v>
      </c>
    </row>
    <row r="65" spans="1:69" s="83" customFormat="1" ht="14.25" customHeight="1" x14ac:dyDescent="0.2">
      <c r="A65" s="120"/>
      <c r="B65" s="368"/>
      <c r="C65" s="368"/>
      <c r="D65" s="58"/>
      <c r="E65" s="58"/>
      <c r="F65" s="58"/>
      <c r="G65" s="58"/>
      <c r="H65" s="58"/>
      <c r="I65" s="58"/>
      <c r="J65" s="13"/>
      <c r="K65" s="9"/>
      <c r="L65" s="113"/>
      <c r="M65" s="1462" t="str">
        <f>AA4</f>
        <v>Selected LA- (none)</v>
      </c>
      <c r="N65" s="1463"/>
      <c r="O65" s="1463"/>
      <c r="P65" s="1463"/>
      <c r="Q65" s="112"/>
      <c r="R65" s="1592" t="s">
        <v>184</v>
      </c>
      <c r="S65" s="1592"/>
      <c r="T65" s="1592"/>
      <c r="U65" s="1593"/>
      <c r="V65" s="119"/>
      <c r="W65" s="138"/>
      <c r="X65" s="147"/>
      <c r="AK65" s="157"/>
      <c r="AL65" s="76" t="str">
        <f>AA4</f>
        <v>Selected LA- (none)</v>
      </c>
      <c r="AM65" s="145" t="e">
        <f>VLOOKUP($Z4,$B$10:$O$32,AM$37,FALSE)</f>
        <v>#N/A</v>
      </c>
      <c r="AN65" s="145" t="e">
        <f>VLOOKUP($Z4,$B$10:$O$32,AN$37,FALSE)</f>
        <v>#N/A</v>
      </c>
      <c r="AO65" s="145" t="e">
        <f>VLOOKUP($Z4,$B$10:$O$32,AO$37,FALSE)</f>
        <v>#N/A</v>
      </c>
      <c r="AP65" s="145" t="e">
        <f>VLOOKUP($Z4,$B$10:$O$32,AP$37,FALSE)</f>
        <v>#N/A</v>
      </c>
      <c r="AQ65" s="145" t="e">
        <f>VLOOKUP($Z4,$B$10:$O$32,AQ$37,FALSE)</f>
        <v>#N/A</v>
      </c>
      <c r="AR65" s="144" t="e">
        <f>VLOOKUP(Z4,$B$10:$U$32,$AR$37,FALSE)</f>
        <v>#N/A</v>
      </c>
      <c r="AS65" s="167" t="e">
        <f>VLOOKUP($Z$4,$B$112:$H$135,AS$37,FALSE)</f>
        <v>#N/A</v>
      </c>
      <c r="AT65" s="167" t="e">
        <f>VLOOKUP($Z$4,$B$112:$H$135,AT$37,FALSE)</f>
        <v>#N/A</v>
      </c>
      <c r="AU65" s="167" t="e">
        <f>VLOOKUP($Z$4,$B$112:$H$135,AU$37,FALSE)</f>
        <v>#N/A</v>
      </c>
      <c r="AV65" s="167" t="e">
        <f>VLOOKUP($Z$4,$B$112:$H$135,AV$37,FALSE)</f>
        <v>#N/A</v>
      </c>
      <c r="AW65" s="167" t="e">
        <f>VLOOKUP($Z$4,$B$112:$H$135,AW$37,FALSE)</f>
        <v>#N/A</v>
      </c>
      <c r="AX65" s="167" t="e">
        <f>VLOOKUP($Z$4,$B$148:$H$171,AX$37,FALSE)</f>
        <v>#N/A</v>
      </c>
      <c r="AY65" s="167" t="e">
        <f>VLOOKUP($Z$4,$B$148:$H$171,AY$37,FALSE)</f>
        <v>#N/A</v>
      </c>
      <c r="AZ65" s="167" t="e">
        <f>VLOOKUP($Z$4,$B$148:$H$171,AZ$37,FALSE)</f>
        <v>#N/A</v>
      </c>
      <c r="BA65" s="167" t="e">
        <f>VLOOKUP($Z$4,$B$148:$H$171,BA$37,FALSE)</f>
        <v>#N/A</v>
      </c>
      <c r="BB65" s="167" t="e">
        <f>VLOOKUP($Z$4,$B$148:$H$171,BB$37,FALSE)</f>
        <v>#N/A</v>
      </c>
      <c r="BC65" s="167" t="e">
        <f>VLOOKUP($Z$4,$B$184:$H$207,BC$37,FALSE)</f>
        <v>#N/A</v>
      </c>
      <c r="BD65" s="167" t="e">
        <f>VLOOKUP($Z$4,$B$184:$H$207,BD$37,FALSE)</f>
        <v>#N/A</v>
      </c>
      <c r="BE65" s="167" t="e">
        <f>VLOOKUP($Z$4,$B$184:$H$207,BE$37,FALSE)</f>
        <v>#N/A</v>
      </c>
      <c r="BF65" s="167" t="e">
        <f>VLOOKUP($Z$4,$B$184:$H$207,BF$37,FALSE)</f>
        <v>#N/A</v>
      </c>
      <c r="BG65" s="167" t="e">
        <f>VLOOKUP($Z$4,$B$184:$H$207,BG$37,FALSE)</f>
        <v>#N/A</v>
      </c>
      <c r="BH65" s="341" t="e">
        <f>VLOOKUP($Z4,$B$256:$H$279,BH$37,FALSE)</f>
        <v>#N/A</v>
      </c>
      <c r="BI65" s="341" t="e">
        <f>VLOOKUP($Z4,$B$256:$H$279,BI$37,FALSE)</f>
        <v>#N/A</v>
      </c>
      <c r="BJ65" s="341" t="e">
        <f>VLOOKUP($Z4,$B$256:$H$279,BJ$37,FALSE)</f>
        <v>#N/A</v>
      </c>
      <c r="BK65" s="341" t="e">
        <f>VLOOKUP($Z4,$B$256:$H$279,BK$37,FALSE)</f>
        <v>#N/A</v>
      </c>
      <c r="BL65" s="341" t="e">
        <f>VLOOKUP($Z4,$B$256:$H$279,BL$37,FALSE)</f>
        <v>#N/A</v>
      </c>
      <c r="BM65" s="341" t="e">
        <f>VLOOKUP($Z4,$B$220:$H$243,BM$37,FALSE)</f>
        <v>#N/A</v>
      </c>
      <c r="BN65" s="341" t="e">
        <f>VLOOKUP($Z4,$B$220:$H$243,BN$37,FALSE)</f>
        <v>#N/A</v>
      </c>
      <c r="BO65" s="341" t="e">
        <f>VLOOKUP($Z4,$B$220:$H$243,BO$37,FALSE)</f>
        <v>#N/A</v>
      </c>
      <c r="BP65" s="341" t="e">
        <f>VLOOKUP($Z4,$B$220:$H$243,BP$37,FALSE)</f>
        <v>#N/A</v>
      </c>
      <c r="BQ65" s="341" t="e">
        <f>VLOOKUP($Z4,$B$220:$H$243,BQ$37,FALSE)</f>
        <v>#N/A</v>
      </c>
    </row>
    <row r="66" spans="1:69" s="83" customFormat="1" ht="42" customHeight="1" x14ac:dyDescent="0.2">
      <c r="A66" s="120"/>
      <c r="B66" s="368"/>
      <c r="C66" s="368"/>
      <c r="D66" s="58"/>
      <c r="E66" s="58"/>
      <c r="F66" s="58"/>
      <c r="G66" s="58"/>
      <c r="H66" s="58"/>
      <c r="I66" s="58"/>
      <c r="J66" s="13"/>
      <c r="K66" s="9"/>
      <c r="L66" s="9"/>
      <c r="M66" s="9"/>
      <c r="N66" s="9"/>
      <c r="O66" s="9"/>
      <c r="P66" s="9"/>
      <c r="Q66" s="9"/>
      <c r="R66" s="9"/>
      <c r="S66" s="9"/>
      <c r="T66" s="9"/>
      <c r="U66" s="9"/>
      <c r="V66" s="119"/>
      <c r="W66" s="138"/>
      <c r="X66" s="147"/>
      <c r="AK66" s="157"/>
    </row>
    <row r="67" spans="1:69" s="89" customFormat="1" ht="42" customHeight="1" x14ac:dyDescent="0.2">
      <c r="A67" s="123"/>
      <c r="B67" s="111"/>
      <c r="C67" s="111"/>
      <c r="D67" s="111"/>
      <c r="E67" s="111"/>
      <c r="F67" s="111"/>
      <c r="G67" s="111"/>
      <c r="H67" s="111"/>
      <c r="I67" s="111"/>
      <c r="J67" s="98"/>
      <c r="K67" s="87"/>
      <c r="L67" s="87"/>
      <c r="M67" s="87"/>
      <c r="N67" s="87"/>
      <c r="O67" s="87"/>
      <c r="P67" s="87"/>
      <c r="Q67" s="87"/>
      <c r="R67" s="87"/>
      <c r="S67" s="87"/>
      <c r="T67" s="87"/>
      <c r="U67" s="87"/>
      <c r="V67" s="124"/>
      <c r="W67" s="140"/>
      <c r="X67" s="149"/>
      <c r="AD67" s="185"/>
      <c r="AE67" s="185"/>
      <c r="AF67" s="185"/>
      <c r="AG67" s="185"/>
      <c r="AH67" s="185"/>
      <c r="AI67" s="185"/>
      <c r="AJ67" s="199"/>
      <c r="AK67" s="156"/>
    </row>
    <row r="68" spans="1:69" s="89" customFormat="1" ht="42" customHeight="1" x14ac:dyDescent="0.2">
      <c r="A68" s="123"/>
      <c r="B68" s="111"/>
      <c r="C68" s="111"/>
      <c r="D68" s="111"/>
      <c r="E68" s="111"/>
      <c r="F68" s="111"/>
      <c r="G68" s="111"/>
      <c r="H68" s="111"/>
      <c r="I68" s="111"/>
      <c r="J68" s="98"/>
      <c r="K68" s="87"/>
      <c r="L68" s="87"/>
      <c r="M68" s="87"/>
      <c r="N68" s="87"/>
      <c r="O68" s="87"/>
      <c r="P68" s="87"/>
      <c r="Q68" s="87"/>
      <c r="R68" s="87"/>
      <c r="S68" s="87"/>
      <c r="T68" s="87"/>
      <c r="U68" s="87"/>
      <c r="V68" s="124"/>
      <c r="W68" s="140"/>
      <c r="X68" s="149"/>
      <c r="AD68" s="185"/>
      <c r="AE68" s="185"/>
      <c r="AF68" s="185"/>
      <c r="AG68" s="185"/>
      <c r="AH68" s="185"/>
      <c r="AI68" s="185"/>
      <c r="AJ68" s="199"/>
      <c r="AK68" s="156"/>
    </row>
    <row r="69" spans="1:69" ht="7.5" customHeight="1" x14ac:dyDescent="0.2">
      <c r="A69" s="120"/>
      <c r="B69" s="18"/>
      <c r="C69" s="18"/>
      <c r="D69" s="17"/>
      <c r="E69" s="17"/>
      <c r="F69" s="17"/>
      <c r="G69" s="17"/>
      <c r="H69" s="17"/>
      <c r="I69" s="17"/>
      <c r="J69" s="13"/>
      <c r="K69" s="19"/>
      <c r="L69" s="19"/>
      <c r="M69" s="19"/>
      <c r="N69" s="19"/>
      <c r="O69" s="19"/>
      <c r="P69" s="19"/>
      <c r="Q69" s="19"/>
      <c r="R69" s="19"/>
      <c r="S69" s="19"/>
      <c r="T69" s="19"/>
      <c r="U69" s="20"/>
      <c r="V69" s="119"/>
      <c r="W69" s="138"/>
      <c r="X69" s="147"/>
      <c r="Y69" s="89"/>
      <c r="Z69" s="89"/>
      <c r="AA69" s="89"/>
      <c r="AB69" s="89"/>
      <c r="AC69" s="89"/>
      <c r="AJ69" s="179"/>
      <c r="AK69" s="153"/>
    </row>
    <row r="70" spans="1:69"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1"/>
      <c r="V70" s="1422"/>
      <c r="W70" s="138"/>
      <c r="X70" s="147"/>
      <c r="Y70" s="89"/>
      <c r="Z70" s="89"/>
      <c r="AA70" s="89"/>
      <c r="AB70" s="89"/>
      <c r="AC70" s="89"/>
      <c r="AJ70" s="179"/>
      <c r="AK70" s="153"/>
    </row>
    <row r="71" spans="1:69"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0"/>
      <c r="J71" s="1429"/>
      <c r="K71" s="1429"/>
      <c r="L71" s="1429"/>
      <c r="M71" s="1429"/>
      <c r="N71" s="1429"/>
      <c r="O71" s="1429"/>
      <c r="P71" s="1431"/>
      <c r="Q71" s="1429"/>
      <c r="R71" s="1429"/>
      <c r="S71" s="1429"/>
      <c r="T71" s="1430"/>
      <c r="U71" s="1429"/>
      <c r="V71" s="1432"/>
      <c r="W71" s="138"/>
      <c r="X71" s="147"/>
      <c r="Y71" s="89"/>
      <c r="Z71" s="89"/>
      <c r="AA71" s="89"/>
      <c r="AB71" s="89"/>
      <c r="AC71" s="89"/>
      <c r="AJ71" s="179"/>
      <c r="AK71" s="153"/>
    </row>
    <row r="72" spans="1:69" ht="11.25" customHeight="1" x14ac:dyDescent="0.2">
      <c r="A72" s="114"/>
      <c r="B72" s="115"/>
      <c r="C72" s="115"/>
      <c r="D72" s="115"/>
      <c r="E72" s="115"/>
      <c r="F72" s="115"/>
      <c r="G72" s="115"/>
      <c r="H72" s="115"/>
      <c r="I72" s="115"/>
      <c r="J72" s="116"/>
      <c r="K72" s="115"/>
      <c r="L72" s="115"/>
      <c r="M72" s="115"/>
      <c r="N72" s="115"/>
      <c r="O72" s="115"/>
      <c r="P72" s="115"/>
      <c r="Q72" s="115"/>
      <c r="R72" s="115"/>
      <c r="S72" s="115"/>
      <c r="T72" s="115"/>
      <c r="U72" s="115"/>
      <c r="V72" s="117"/>
      <c r="W72" s="138"/>
      <c r="X72" s="147"/>
      <c r="Y72" s="183"/>
      <c r="Z72" s="183"/>
      <c r="AA72" s="183"/>
      <c r="AJ72" s="179"/>
      <c r="AK72" s="153"/>
    </row>
    <row r="73" spans="1:69" s="78" customFormat="1" ht="15" customHeight="1" x14ac:dyDescent="0.2">
      <c r="A73" s="121"/>
      <c r="B73" s="59"/>
      <c r="C73" s="367"/>
      <c r="D73" s="367"/>
      <c r="E73" s="367"/>
      <c r="F73" s="367"/>
      <c r="G73" s="367"/>
      <c r="H73" s="367"/>
      <c r="I73" s="367"/>
      <c r="J73" s="69"/>
      <c r="K73" s="69"/>
      <c r="L73" s="69"/>
      <c r="M73" s="69"/>
      <c r="N73" s="366"/>
      <c r="O73" s="69"/>
      <c r="P73" s="69"/>
      <c r="Q73" s="69"/>
      <c r="R73" s="69"/>
      <c r="S73" s="69"/>
      <c r="T73" s="69"/>
      <c r="U73" s="69"/>
      <c r="V73" s="122"/>
      <c r="W73" s="139"/>
      <c r="X73" s="148"/>
      <c r="Y73" s="183"/>
      <c r="Z73" s="183"/>
      <c r="AA73" s="183"/>
      <c r="AB73" s="183"/>
      <c r="AC73" s="183"/>
      <c r="AD73" s="183"/>
      <c r="AE73" s="183"/>
      <c r="AF73" s="183"/>
      <c r="AG73" s="183"/>
      <c r="AH73" s="183"/>
      <c r="AI73" s="183"/>
      <c r="AJ73" s="183"/>
      <c r="AK73" s="154"/>
    </row>
    <row r="74" spans="1:69" ht="13.5" customHeight="1" x14ac:dyDescent="0.2">
      <c r="A74" s="120"/>
      <c r="B74" s="367"/>
      <c r="C74" s="367"/>
      <c r="D74" s="367"/>
      <c r="E74" s="367"/>
      <c r="F74" s="367"/>
      <c r="G74" s="367"/>
      <c r="H74" s="367"/>
      <c r="I74" s="367"/>
      <c r="J74" s="69"/>
      <c r="K74" s="69"/>
      <c r="L74" s="69"/>
      <c r="M74" s="69"/>
      <c r="N74" s="366"/>
      <c r="O74" s="69"/>
      <c r="P74" s="69"/>
      <c r="Q74" s="69"/>
      <c r="R74" s="10"/>
      <c r="S74" s="69"/>
      <c r="T74" s="69"/>
      <c r="U74" s="69"/>
      <c r="V74" s="119"/>
      <c r="W74" s="138"/>
      <c r="X74" s="147"/>
      <c r="Y74" s="183"/>
      <c r="Z74" s="183"/>
      <c r="AA74" s="191"/>
      <c r="AB74" s="191"/>
      <c r="AC74" s="192"/>
      <c r="AD74" s="192"/>
      <c r="AJ74" s="179"/>
      <c r="AK74" s="153"/>
    </row>
    <row r="75" spans="1:69" s="89" customFormat="1" ht="12" customHeight="1" x14ac:dyDescent="0.2">
      <c r="A75" s="123"/>
      <c r="B75" s="367"/>
      <c r="C75" s="367"/>
      <c r="D75" s="367"/>
      <c r="E75" s="367"/>
      <c r="F75" s="367"/>
      <c r="G75" s="367"/>
      <c r="H75" s="367"/>
      <c r="I75" s="98"/>
      <c r="J75" s="98"/>
      <c r="K75" s="61"/>
      <c r="L75" s="61"/>
      <c r="M75" s="61"/>
      <c r="N75" s="61"/>
      <c r="O75" s="61"/>
      <c r="P75" s="61"/>
      <c r="Q75" s="372"/>
      <c r="R75" s="372"/>
      <c r="S75" s="155"/>
      <c r="T75" s="155"/>
      <c r="U75" s="371"/>
      <c r="V75" s="124"/>
      <c r="W75" s="140"/>
      <c r="X75" s="149"/>
      <c r="Y75" s="183"/>
      <c r="Z75" s="183"/>
      <c r="AA75" s="191"/>
      <c r="AB75" s="191"/>
      <c r="AC75" s="192"/>
      <c r="AD75" s="192"/>
      <c r="AE75" s="194"/>
      <c r="AF75" s="185"/>
      <c r="AG75" s="185"/>
      <c r="AH75" s="185"/>
      <c r="AI75" s="185"/>
      <c r="AJ75" s="199"/>
      <c r="AK75" s="156"/>
    </row>
    <row r="76" spans="1:69" s="89" customFormat="1" ht="24" customHeight="1" x14ac:dyDescent="0.2">
      <c r="A76" s="123"/>
      <c r="B76" s="367"/>
      <c r="C76" s="367"/>
      <c r="D76" s="367"/>
      <c r="E76" s="367"/>
      <c r="F76" s="367"/>
      <c r="G76" s="367"/>
      <c r="H76" s="367"/>
      <c r="I76" s="98"/>
      <c r="J76" s="98"/>
      <c r="K76" s="162"/>
      <c r="L76" s="162"/>
      <c r="M76" s="162"/>
      <c r="N76" s="162"/>
      <c r="O76" s="162"/>
      <c r="P76" s="162"/>
      <c r="Q76" s="162"/>
      <c r="R76" s="163"/>
      <c r="S76" s="155"/>
      <c r="T76" s="155"/>
      <c r="U76" s="162"/>
      <c r="V76" s="124"/>
      <c r="W76" s="140"/>
      <c r="X76" s="149"/>
      <c r="Z76" s="346" t="s">
        <v>129</v>
      </c>
      <c r="AA76" s="347" t="s">
        <v>130</v>
      </c>
      <c r="AB76" s="191"/>
      <c r="AC76" s="192"/>
      <c r="AD76" s="192"/>
      <c r="AE76" s="194"/>
      <c r="AF76" s="185"/>
      <c r="AG76" s="185"/>
      <c r="AH76" s="185"/>
      <c r="AI76" s="185"/>
      <c r="AJ76" s="199"/>
      <c r="AK76" s="156"/>
    </row>
    <row r="77" spans="1:69" s="89" customFormat="1" ht="12.75" customHeight="1" x14ac:dyDescent="0.2">
      <c r="A77" s="123"/>
      <c r="B77" s="367"/>
      <c r="C77" s="367"/>
      <c r="D77" s="367"/>
      <c r="E77" s="367"/>
      <c r="F77" s="367"/>
      <c r="G77" s="367"/>
      <c r="H77" s="367"/>
      <c r="I77" s="98"/>
      <c r="J77" s="98"/>
      <c r="K77" s="162"/>
      <c r="L77" s="162"/>
      <c r="M77" s="162"/>
      <c r="N77" s="162"/>
      <c r="O77" s="162"/>
      <c r="P77" s="162"/>
      <c r="Q77" s="162"/>
      <c r="R77" s="163"/>
      <c r="S77" s="155"/>
      <c r="T77" s="155"/>
      <c r="U77" s="162"/>
      <c r="V77" s="124"/>
      <c r="W77" s="140"/>
      <c r="X77" s="149"/>
      <c r="Y77" s="348" t="str">
        <f>B10</f>
        <v>Bracknell Forest</v>
      </c>
      <c r="Z77" s="349" t="e">
        <f>IF(Y77=$Z$4,I10,#N/A)</f>
        <v>#N/A</v>
      </c>
      <c r="AA77" s="349" t="e">
        <f>IF(Y77=$Z$4,U10,#N/A)</f>
        <v>#N/A</v>
      </c>
      <c r="AB77" s="191"/>
      <c r="AC77" s="192"/>
      <c r="AD77" s="192"/>
      <c r="AE77" s="194"/>
      <c r="AF77" s="185"/>
      <c r="AG77" s="185"/>
      <c r="AH77" s="185"/>
      <c r="AI77" s="185"/>
      <c r="AJ77" s="199"/>
      <c r="AK77" s="156"/>
    </row>
    <row r="78" spans="1:69" s="89" customFormat="1" ht="12.75" customHeight="1" x14ac:dyDescent="0.2">
      <c r="A78" s="123"/>
      <c r="B78" s="367"/>
      <c r="C78" s="367"/>
      <c r="D78" s="367"/>
      <c r="E78" s="367"/>
      <c r="F78" s="367"/>
      <c r="G78" s="367"/>
      <c r="H78" s="367"/>
      <c r="I78" s="98"/>
      <c r="J78" s="98"/>
      <c r="K78" s="162"/>
      <c r="L78" s="162"/>
      <c r="M78" s="162"/>
      <c r="N78" s="162"/>
      <c r="O78" s="162"/>
      <c r="P78" s="162"/>
      <c r="Q78" s="162"/>
      <c r="R78" s="163"/>
      <c r="S78" s="155"/>
      <c r="T78" s="155"/>
      <c r="U78" s="162"/>
      <c r="V78" s="124"/>
      <c r="W78" s="140"/>
      <c r="X78" s="149"/>
      <c r="Y78" s="348" t="str">
        <f t="shared" ref="Y78:Y98" si="36">B11</f>
        <v>Brighton &amp; Hove</v>
      </c>
      <c r="Z78" s="349" t="e">
        <f t="shared" ref="Z78:Z100" si="37">IF(Y78=$Z$4,I11,#N/A)</f>
        <v>#N/A</v>
      </c>
      <c r="AA78" s="349" t="e">
        <f t="shared" ref="AA78:AA100" si="38">IF(Y78=$Z$4,U11,#N/A)</f>
        <v>#N/A</v>
      </c>
      <c r="AB78" s="191"/>
      <c r="AC78" s="192"/>
      <c r="AD78" s="192"/>
      <c r="AE78" s="194"/>
      <c r="AF78" s="185"/>
      <c r="AG78" s="185"/>
      <c r="AH78" s="185"/>
      <c r="AI78" s="185"/>
      <c r="AJ78" s="199"/>
      <c r="AK78" s="156"/>
    </row>
    <row r="79" spans="1:69" s="89" customFormat="1" ht="12.75" customHeight="1" x14ac:dyDescent="0.2">
      <c r="A79" s="123"/>
      <c r="B79" s="367"/>
      <c r="C79" s="367"/>
      <c r="D79" s="367"/>
      <c r="E79" s="367"/>
      <c r="F79" s="367"/>
      <c r="G79" s="367"/>
      <c r="H79" s="367"/>
      <c r="I79" s="98"/>
      <c r="J79" s="98"/>
      <c r="K79" s="162"/>
      <c r="L79" s="162"/>
      <c r="M79" s="162"/>
      <c r="N79" s="162"/>
      <c r="O79" s="162"/>
      <c r="P79" s="162"/>
      <c r="Q79" s="162"/>
      <c r="R79" s="163"/>
      <c r="S79" s="155"/>
      <c r="T79" s="155"/>
      <c r="U79" s="162"/>
      <c r="V79" s="124"/>
      <c r="W79" s="140"/>
      <c r="X79" s="149"/>
      <c r="Y79" s="348" t="str">
        <f t="shared" si="36"/>
        <v>Buckinghamshire</v>
      </c>
      <c r="Z79" s="349" t="e">
        <f t="shared" si="37"/>
        <v>#N/A</v>
      </c>
      <c r="AA79" s="349" t="e">
        <f t="shared" si="38"/>
        <v>#N/A</v>
      </c>
      <c r="AB79" s="191"/>
      <c r="AC79" s="192"/>
      <c r="AD79" s="192"/>
      <c r="AE79" s="194"/>
      <c r="AF79" s="185"/>
      <c r="AG79" s="185"/>
      <c r="AH79" s="185"/>
      <c r="AI79" s="185"/>
      <c r="AJ79" s="199"/>
      <c r="AK79" s="156"/>
    </row>
    <row r="80" spans="1:69" s="89" customFormat="1" ht="12.75" customHeight="1" x14ac:dyDescent="0.2">
      <c r="A80" s="123"/>
      <c r="B80" s="367"/>
      <c r="C80" s="367"/>
      <c r="D80" s="367"/>
      <c r="E80" s="367"/>
      <c r="F80" s="367"/>
      <c r="G80" s="367"/>
      <c r="H80" s="367"/>
      <c r="I80" s="98"/>
      <c r="J80" s="98"/>
      <c r="K80" s="162"/>
      <c r="L80" s="162"/>
      <c r="M80" s="162"/>
      <c r="N80" s="162"/>
      <c r="O80" s="162"/>
      <c r="P80" s="162"/>
      <c r="Q80" s="162"/>
      <c r="R80" s="163"/>
      <c r="S80" s="155"/>
      <c r="T80" s="155"/>
      <c r="U80" s="162"/>
      <c r="V80" s="124"/>
      <c r="W80" s="140"/>
      <c r="X80" s="149"/>
      <c r="Y80" s="348" t="str">
        <f t="shared" si="36"/>
        <v>East Sussex</v>
      </c>
      <c r="Z80" s="349" t="e">
        <f t="shared" si="37"/>
        <v>#N/A</v>
      </c>
      <c r="AA80" s="349" t="e">
        <f t="shared" si="38"/>
        <v>#N/A</v>
      </c>
      <c r="AB80" s="191"/>
      <c r="AC80" s="192"/>
      <c r="AD80" s="192"/>
      <c r="AE80" s="194"/>
      <c r="AF80" s="185"/>
      <c r="AG80" s="185"/>
      <c r="AH80" s="185"/>
      <c r="AI80" s="185"/>
      <c r="AJ80" s="199"/>
      <c r="AK80" s="156"/>
    </row>
    <row r="81" spans="1:45" s="89" customFormat="1" ht="12.75" customHeight="1" x14ac:dyDescent="0.2">
      <c r="A81" s="123"/>
      <c r="B81" s="367"/>
      <c r="C81" s="367"/>
      <c r="D81" s="367"/>
      <c r="E81" s="367"/>
      <c r="F81" s="367"/>
      <c r="G81" s="367"/>
      <c r="H81" s="367"/>
      <c r="I81" s="98"/>
      <c r="J81" s="98"/>
      <c r="K81" s="162"/>
      <c r="L81" s="162"/>
      <c r="M81" s="162"/>
      <c r="N81" s="162"/>
      <c r="O81" s="162"/>
      <c r="P81" s="162"/>
      <c r="Q81" s="162"/>
      <c r="R81" s="163"/>
      <c r="S81" s="155"/>
      <c r="T81" s="155"/>
      <c r="U81" s="162"/>
      <c r="V81" s="124"/>
      <c r="W81" s="140"/>
      <c r="X81" s="149"/>
      <c r="Y81" s="348" t="str">
        <f t="shared" si="36"/>
        <v>Hampshire</v>
      </c>
      <c r="Z81" s="349" t="e">
        <f t="shared" si="37"/>
        <v>#N/A</v>
      </c>
      <c r="AA81" s="349" t="e">
        <f t="shared" si="38"/>
        <v>#N/A</v>
      </c>
      <c r="AB81" s="191"/>
      <c r="AC81" s="192"/>
      <c r="AD81" s="192"/>
      <c r="AE81" s="194"/>
      <c r="AF81" s="185"/>
      <c r="AG81" s="185"/>
      <c r="AH81" s="185"/>
      <c r="AI81" s="185"/>
      <c r="AJ81" s="199"/>
      <c r="AK81" s="156"/>
      <c r="AS81" s="89" t="s">
        <v>103</v>
      </c>
    </row>
    <row r="82" spans="1:45" s="89" customFormat="1" ht="12.75" customHeight="1" x14ac:dyDescent="0.2">
      <c r="A82" s="123"/>
      <c r="B82" s="367"/>
      <c r="C82" s="367"/>
      <c r="D82" s="367"/>
      <c r="E82" s="367"/>
      <c r="F82" s="367"/>
      <c r="G82" s="367"/>
      <c r="H82" s="367"/>
      <c r="I82" s="98"/>
      <c r="J82" s="98"/>
      <c r="K82" s="162"/>
      <c r="L82" s="162"/>
      <c r="M82" s="162"/>
      <c r="N82" s="162"/>
      <c r="O82" s="162"/>
      <c r="P82" s="162"/>
      <c r="Q82" s="162"/>
      <c r="R82" s="163"/>
      <c r="S82" s="155"/>
      <c r="T82" s="155"/>
      <c r="U82" s="162"/>
      <c r="V82" s="124"/>
      <c r="W82" s="140"/>
      <c r="X82" s="149"/>
      <c r="Y82" s="348" t="str">
        <f t="shared" si="36"/>
        <v>Isle of Wight</v>
      </c>
      <c r="Z82" s="349" t="e">
        <f t="shared" si="37"/>
        <v>#N/A</v>
      </c>
      <c r="AA82" s="349" t="e">
        <f t="shared" si="38"/>
        <v>#N/A</v>
      </c>
      <c r="AB82" s="191"/>
      <c r="AC82" s="192"/>
      <c r="AD82" s="192"/>
      <c r="AE82" s="194"/>
      <c r="AF82" s="185"/>
      <c r="AG82" s="185"/>
      <c r="AH82" s="185"/>
      <c r="AI82" s="185"/>
      <c r="AJ82" s="199"/>
      <c r="AK82" s="156"/>
    </row>
    <row r="83" spans="1:45" s="89" customFormat="1" ht="12.75" customHeight="1" x14ac:dyDescent="0.2">
      <c r="A83" s="123"/>
      <c r="B83" s="367"/>
      <c r="C83" s="367"/>
      <c r="D83" s="367"/>
      <c r="E83" s="367"/>
      <c r="F83" s="367"/>
      <c r="G83" s="367"/>
      <c r="H83" s="367"/>
      <c r="I83" s="98"/>
      <c r="J83" s="98"/>
      <c r="K83" s="162"/>
      <c r="L83" s="162"/>
      <c r="M83" s="162"/>
      <c r="N83" s="162"/>
      <c r="O83" s="162"/>
      <c r="P83" s="162"/>
      <c r="Q83" s="162"/>
      <c r="R83" s="163"/>
      <c r="S83" s="155"/>
      <c r="T83" s="155"/>
      <c r="U83" s="162"/>
      <c r="V83" s="124"/>
      <c r="W83" s="140"/>
      <c r="X83" s="149"/>
      <c r="Y83" s="348" t="str">
        <f t="shared" si="36"/>
        <v>Kent</v>
      </c>
      <c r="Z83" s="349" t="e">
        <f t="shared" si="37"/>
        <v>#N/A</v>
      </c>
      <c r="AA83" s="349" t="e">
        <f t="shared" si="38"/>
        <v>#N/A</v>
      </c>
      <c r="AB83" s="191"/>
      <c r="AC83" s="192"/>
      <c r="AD83" s="192"/>
      <c r="AE83" s="194"/>
      <c r="AF83" s="185"/>
      <c r="AG83" s="185"/>
      <c r="AH83" s="185"/>
      <c r="AI83" s="185"/>
      <c r="AJ83" s="199"/>
      <c r="AK83" s="156"/>
    </row>
    <row r="84" spans="1:45" s="89" customFormat="1" ht="12.75" customHeight="1" x14ac:dyDescent="0.2">
      <c r="A84" s="123"/>
      <c r="B84" s="367"/>
      <c r="C84" s="367"/>
      <c r="D84" s="367"/>
      <c r="E84" s="367"/>
      <c r="F84" s="367"/>
      <c r="G84" s="367"/>
      <c r="H84" s="367"/>
      <c r="I84" s="98"/>
      <c r="J84" s="98"/>
      <c r="K84" s="162"/>
      <c r="L84" s="162"/>
      <c r="M84" s="162"/>
      <c r="N84" s="162"/>
      <c r="O84" s="162"/>
      <c r="P84" s="162"/>
      <c r="Q84" s="162"/>
      <c r="R84" s="163"/>
      <c r="S84" s="155"/>
      <c r="T84" s="155"/>
      <c r="U84" s="162"/>
      <c r="V84" s="124"/>
      <c r="W84" s="140"/>
      <c r="X84" s="149"/>
      <c r="Y84" s="348" t="str">
        <f t="shared" si="36"/>
        <v>Medway</v>
      </c>
      <c r="Z84" s="349" t="e">
        <f t="shared" si="37"/>
        <v>#N/A</v>
      </c>
      <c r="AA84" s="349" t="e">
        <f t="shared" si="38"/>
        <v>#N/A</v>
      </c>
      <c r="AB84" s="191"/>
      <c r="AC84" s="192"/>
      <c r="AD84" s="192"/>
      <c r="AE84" s="194"/>
      <c r="AF84" s="185"/>
      <c r="AG84" s="185"/>
      <c r="AH84" s="185"/>
      <c r="AI84" s="185"/>
      <c r="AJ84" s="199"/>
      <c r="AK84" s="156"/>
    </row>
    <row r="85" spans="1:45" s="89" customFormat="1" ht="12.75" customHeight="1" x14ac:dyDescent="0.2">
      <c r="A85" s="123"/>
      <c r="B85" s="367"/>
      <c r="C85" s="367"/>
      <c r="D85" s="367"/>
      <c r="E85" s="367"/>
      <c r="F85" s="367"/>
      <c r="G85" s="367"/>
      <c r="H85" s="367"/>
      <c r="I85" s="98"/>
      <c r="J85" s="98"/>
      <c r="K85" s="162"/>
      <c r="L85" s="162"/>
      <c r="M85" s="162"/>
      <c r="N85" s="162"/>
      <c r="O85" s="162"/>
      <c r="P85" s="162"/>
      <c r="Q85" s="162"/>
      <c r="R85" s="163"/>
      <c r="S85" s="155"/>
      <c r="T85" s="155"/>
      <c r="U85" s="162"/>
      <c r="V85" s="124"/>
      <c r="W85" s="140"/>
      <c r="X85" s="149"/>
      <c r="Y85" s="348" t="str">
        <f t="shared" si="36"/>
        <v>Milton Keynes</v>
      </c>
      <c r="Z85" s="349" t="e">
        <f t="shared" si="37"/>
        <v>#N/A</v>
      </c>
      <c r="AA85" s="349" t="e">
        <f t="shared" si="38"/>
        <v>#N/A</v>
      </c>
      <c r="AB85" s="191"/>
      <c r="AC85" s="192"/>
      <c r="AD85" s="192"/>
      <c r="AE85" s="194"/>
      <c r="AF85" s="185"/>
      <c r="AG85" s="185"/>
      <c r="AH85" s="185"/>
      <c r="AI85" s="185"/>
      <c r="AJ85" s="199"/>
      <c r="AK85" s="156"/>
    </row>
    <row r="86" spans="1:45" s="89" customFormat="1" ht="12.75" customHeight="1" x14ac:dyDescent="0.2">
      <c r="A86" s="123"/>
      <c r="B86" s="367"/>
      <c r="C86" s="367"/>
      <c r="D86" s="367"/>
      <c r="E86" s="367"/>
      <c r="F86" s="367"/>
      <c r="G86" s="367"/>
      <c r="H86" s="367"/>
      <c r="I86" s="98"/>
      <c r="J86" s="98"/>
      <c r="K86" s="162"/>
      <c r="L86" s="162"/>
      <c r="M86" s="162"/>
      <c r="N86" s="162"/>
      <c r="O86" s="162"/>
      <c r="P86" s="162"/>
      <c r="Q86" s="162"/>
      <c r="R86" s="163"/>
      <c r="S86" s="155"/>
      <c r="T86" s="155"/>
      <c r="U86" s="162"/>
      <c r="V86" s="124"/>
      <c r="W86" s="140"/>
      <c r="X86" s="149"/>
      <c r="Y86" s="348" t="str">
        <f t="shared" si="36"/>
        <v>Oxfordshire</v>
      </c>
      <c r="Z86" s="349" t="e">
        <f t="shared" si="37"/>
        <v>#N/A</v>
      </c>
      <c r="AA86" s="349" t="e">
        <f t="shared" si="38"/>
        <v>#N/A</v>
      </c>
      <c r="AB86" s="191"/>
      <c r="AC86" s="192"/>
      <c r="AD86" s="192"/>
      <c r="AE86" s="194"/>
      <c r="AF86" s="185"/>
      <c r="AG86" s="185"/>
      <c r="AH86" s="185"/>
      <c r="AI86" s="185"/>
      <c r="AJ86" s="199"/>
      <c r="AK86" s="156"/>
    </row>
    <row r="87" spans="1:45" s="89" customFormat="1" ht="12.75" customHeight="1" x14ac:dyDescent="0.2">
      <c r="A87" s="123"/>
      <c r="B87" s="367"/>
      <c r="C87" s="367"/>
      <c r="D87" s="367"/>
      <c r="E87" s="367"/>
      <c r="F87" s="367"/>
      <c r="G87" s="367"/>
      <c r="H87" s="367"/>
      <c r="I87" s="98"/>
      <c r="J87" s="98"/>
      <c r="K87" s="162"/>
      <c r="L87" s="162"/>
      <c r="M87" s="162"/>
      <c r="N87" s="162"/>
      <c r="O87" s="162"/>
      <c r="P87" s="162"/>
      <c r="Q87" s="162"/>
      <c r="R87" s="163"/>
      <c r="S87" s="155"/>
      <c r="T87" s="155"/>
      <c r="U87" s="162"/>
      <c r="V87" s="124"/>
      <c r="W87" s="140"/>
      <c r="X87" s="149"/>
      <c r="Y87" s="348" t="str">
        <f t="shared" si="36"/>
        <v>Portsmouth</v>
      </c>
      <c r="Z87" s="349" t="e">
        <f t="shared" si="37"/>
        <v>#N/A</v>
      </c>
      <c r="AA87" s="349" t="e">
        <f t="shared" si="38"/>
        <v>#N/A</v>
      </c>
      <c r="AB87" s="191"/>
      <c r="AC87" s="192"/>
      <c r="AD87" s="192"/>
      <c r="AE87" s="194"/>
      <c r="AF87" s="185"/>
      <c r="AG87" s="185"/>
      <c r="AH87" s="185"/>
      <c r="AI87" s="185"/>
      <c r="AJ87" s="199"/>
      <c r="AK87" s="156"/>
    </row>
    <row r="88" spans="1:45" s="89" customFormat="1" ht="12.75" customHeight="1" x14ac:dyDescent="0.2">
      <c r="A88" s="123"/>
      <c r="B88" s="367"/>
      <c r="C88" s="367"/>
      <c r="D88" s="367"/>
      <c r="E88" s="367"/>
      <c r="F88" s="367"/>
      <c r="G88" s="367"/>
      <c r="H88" s="367"/>
      <c r="I88" s="98"/>
      <c r="J88" s="98"/>
      <c r="K88" s="162"/>
      <c r="L88" s="162"/>
      <c r="M88" s="162"/>
      <c r="N88" s="162"/>
      <c r="O88" s="162"/>
      <c r="P88" s="162"/>
      <c r="Q88" s="162"/>
      <c r="R88" s="163"/>
      <c r="S88" s="155"/>
      <c r="T88" s="155"/>
      <c r="U88" s="162"/>
      <c r="V88" s="124"/>
      <c r="W88" s="140"/>
      <c r="X88" s="149"/>
      <c r="Y88" s="348" t="str">
        <f t="shared" si="36"/>
        <v>Reading</v>
      </c>
      <c r="Z88" s="349" t="e">
        <f t="shared" si="37"/>
        <v>#N/A</v>
      </c>
      <c r="AA88" s="349" t="e">
        <f t="shared" si="38"/>
        <v>#N/A</v>
      </c>
      <c r="AB88" s="191"/>
      <c r="AC88" s="192"/>
      <c r="AD88" s="192"/>
      <c r="AE88" s="194"/>
      <c r="AF88" s="185"/>
      <c r="AG88" s="185"/>
      <c r="AH88" s="185"/>
      <c r="AI88" s="185"/>
      <c r="AJ88" s="199"/>
      <c r="AK88" s="156"/>
    </row>
    <row r="89" spans="1:45" s="89" customFormat="1" ht="12.75" customHeight="1" x14ac:dyDescent="0.2">
      <c r="A89" s="123"/>
      <c r="B89" s="367"/>
      <c r="C89" s="367"/>
      <c r="D89" s="367"/>
      <c r="E89" s="367"/>
      <c r="F89" s="367"/>
      <c r="G89" s="367"/>
      <c r="H89" s="367"/>
      <c r="I89" s="98"/>
      <c r="J89" s="98"/>
      <c r="K89" s="162"/>
      <c r="L89" s="162"/>
      <c r="M89" s="162"/>
      <c r="N89" s="162"/>
      <c r="O89" s="162"/>
      <c r="P89" s="162"/>
      <c r="Q89" s="162"/>
      <c r="R89" s="163"/>
      <c r="S89" s="155"/>
      <c r="T89" s="155"/>
      <c r="U89" s="162"/>
      <c r="V89" s="124"/>
      <c r="W89" s="140"/>
      <c r="X89" s="149"/>
      <c r="Y89" s="348" t="str">
        <f t="shared" si="36"/>
        <v>Slough</v>
      </c>
      <c r="Z89" s="349" t="e">
        <f t="shared" si="37"/>
        <v>#N/A</v>
      </c>
      <c r="AA89" s="349" t="e">
        <f t="shared" si="38"/>
        <v>#N/A</v>
      </c>
      <c r="AB89" s="191"/>
      <c r="AC89" s="192"/>
      <c r="AD89" s="192"/>
      <c r="AE89" s="194"/>
      <c r="AF89" s="185"/>
      <c r="AG89" s="185"/>
      <c r="AH89" s="185"/>
      <c r="AI89" s="185"/>
      <c r="AJ89" s="199"/>
      <c r="AK89" s="156"/>
    </row>
    <row r="90" spans="1:45" s="89" customFormat="1" ht="12.75" customHeight="1" x14ac:dyDescent="0.2">
      <c r="A90" s="123"/>
      <c r="B90" s="367"/>
      <c r="C90" s="367"/>
      <c r="D90" s="367"/>
      <c r="E90" s="367"/>
      <c r="F90" s="367"/>
      <c r="G90" s="367"/>
      <c r="H90" s="367"/>
      <c r="I90" s="98"/>
      <c r="J90" s="98"/>
      <c r="K90" s="162"/>
      <c r="L90" s="162"/>
      <c r="M90" s="162"/>
      <c r="N90" s="162"/>
      <c r="O90" s="162"/>
      <c r="P90" s="162"/>
      <c r="Q90" s="162"/>
      <c r="R90" s="163"/>
      <c r="S90" s="155"/>
      <c r="T90" s="155"/>
      <c r="U90" s="162"/>
      <c r="V90" s="124"/>
      <c r="W90" s="140"/>
      <c r="X90" s="149"/>
      <c r="Y90" s="348" t="str">
        <f t="shared" si="36"/>
        <v>Somerset</v>
      </c>
      <c r="Z90" s="349" t="e">
        <f t="shared" si="37"/>
        <v>#N/A</v>
      </c>
      <c r="AA90" s="349" t="e">
        <f t="shared" si="38"/>
        <v>#N/A</v>
      </c>
      <c r="AB90" s="191"/>
      <c r="AC90" s="192"/>
      <c r="AD90" s="192"/>
      <c r="AE90" s="194"/>
      <c r="AF90" s="185"/>
      <c r="AG90" s="185"/>
      <c r="AH90" s="185"/>
      <c r="AI90" s="185"/>
      <c r="AJ90" s="199"/>
      <c r="AK90" s="156"/>
    </row>
    <row r="91" spans="1:45" s="89" customFormat="1" ht="12.75" customHeight="1" x14ac:dyDescent="0.2">
      <c r="A91" s="123"/>
      <c r="B91" s="367"/>
      <c r="C91" s="367"/>
      <c r="D91" s="367"/>
      <c r="E91" s="367"/>
      <c r="F91" s="367"/>
      <c r="G91" s="367"/>
      <c r="H91" s="367"/>
      <c r="I91" s="98"/>
      <c r="J91" s="98"/>
      <c r="K91" s="162"/>
      <c r="L91" s="162"/>
      <c r="M91" s="162"/>
      <c r="N91" s="162"/>
      <c r="O91" s="162"/>
      <c r="P91" s="162"/>
      <c r="Q91" s="162"/>
      <c r="R91" s="163"/>
      <c r="S91" s="155"/>
      <c r="T91" s="155"/>
      <c r="U91" s="162"/>
      <c r="V91" s="124"/>
      <c r="W91" s="140"/>
      <c r="X91" s="149"/>
      <c r="Y91" s="348" t="str">
        <f t="shared" si="36"/>
        <v>Southampton</v>
      </c>
      <c r="Z91" s="349" t="e">
        <f t="shared" si="37"/>
        <v>#N/A</v>
      </c>
      <c r="AA91" s="349" t="e">
        <f t="shared" si="38"/>
        <v>#N/A</v>
      </c>
      <c r="AB91" s="191"/>
      <c r="AC91" s="192"/>
      <c r="AD91" s="192"/>
      <c r="AE91" s="194"/>
      <c r="AF91" s="185"/>
      <c r="AG91" s="185"/>
      <c r="AH91" s="185"/>
      <c r="AI91" s="185"/>
      <c r="AJ91" s="199"/>
      <c r="AK91" s="156"/>
    </row>
    <row r="92" spans="1:45" s="89" customFormat="1" ht="12.75" customHeight="1" x14ac:dyDescent="0.2">
      <c r="A92" s="286"/>
      <c r="B92" s="367"/>
      <c r="C92" s="367"/>
      <c r="D92" s="367"/>
      <c r="E92" s="367"/>
      <c r="F92" s="367"/>
      <c r="G92" s="367"/>
      <c r="H92" s="367"/>
      <c r="I92" s="98"/>
      <c r="J92" s="98"/>
      <c r="K92" s="162"/>
      <c r="L92" s="162"/>
      <c r="M92" s="162"/>
      <c r="N92" s="162"/>
      <c r="O92" s="162"/>
      <c r="P92" s="162"/>
      <c r="Q92" s="162"/>
      <c r="R92" s="163"/>
      <c r="S92" s="155"/>
      <c r="T92" s="155"/>
      <c r="U92" s="162"/>
      <c r="V92" s="124"/>
      <c r="W92" s="140"/>
      <c r="X92" s="149"/>
      <c r="Y92" s="348" t="str">
        <f t="shared" si="36"/>
        <v>Surrey</v>
      </c>
      <c r="Z92" s="349" t="e">
        <f t="shared" si="37"/>
        <v>#N/A</v>
      </c>
      <c r="AA92" s="349" t="e">
        <f t="shared" si="38"/>
        <v>#N/A</v>
      </c>
      <c r="AB92" s="191"/>
      <c r="AC92" s="192"/>
      <c r="AD92" s="192"/>
      <c r="AE92" s="194"/>
      <c r="AF92" s="185"/>
      <c r="AG92" s="185"/>
      <c r="AH92" s="185"/>
      <c r="AI92" s="185"/>
      <c r="AJ92" s="199"/>
      <c r="AK92" s="156"/>
    </row>
    <row r="93" spans="1:45" s="89" customFormat="1" ht="12.75" customHeight="1" x14ac:dyDescent="0.2">
      <c r="A93" s="286"/>
      <c r="B93" s="367"/>
      <c r="C93" s="367"/>
      <c r="D93" s="367"/>
      <c r="E93" s="367"/>
      <c r="F93" s="367"/>
      <c r="G93" s="367"/>
      <c r="H93" s="367"/>
      <c r="I93" s="98"/>
      <c r="J93" s="98"/>
      <c r="K93" s="162"/>
      <c r="L93" s="162"/>
      <c r="M93" s="162"/>
      <c r="N93" s="162"/>
      <c r="O93" s="162"/>
      <c r="P93" s="162"/>
      <c r="Q93" s="162"/>
      <c r="R93" s="163"/>
      <c r="S93" s="155"/>
      <c r="T93" s="155"/>
      <c r="U93" s="162"/>
      <c r="V93" s="124"/>
      <c r="W93" s="140"/>
      <c r="X93" s="149"/>
      <c r="Y93" s="348" t="str">
        <f t="shared" si="36"/>
        <v>Swindon</v>
      </c>
      <c r="Z93" s="349" t="e">
        <f t="shared" si="37"/>
        <v>#N/A</v>
      </c>
      <c r="AA93" s="349" t="e">
        <f t="shared" si="38"/>
        <v>#N/A</v>
      </c>
      <c r="AB93" s="191"/>
      <c r="AC93" s="192"/>
      <c r="AD93" s="192"/>
      <c r="AE93" s="194"/>
      <c r="AF93" s="185"/>
      <c r="AG93" s="185"/>
      <c r="AH93" s="185"/>
      <c r="AI93" s="185"/>
      <c r="AJ93" s="199"/>
      <c r="AK93" s="156"/>
    </row>
    <row r="94" spans="1:45" s="89" customFormat="1" ht="12.75" customHeight="1" x14ac:dyDescent="0.2">
      <c r="A94" s="123"/>
      <c r="B94" s="367"/>
      <c r="C94" s="367"/>
      <c r="D94" s="367"/>
      <c r="E94" s="367"/>
      <c r="F94" s="367"/>
      <c r="G94" s="367"/>
      <c r="H94" s="367"/>
      <c r="I94" s="98"/>
      <c r="J94" s="98"/>
      <c r="K94" s="162"/>
      <c r="L94" s="162"/>
      <c r="M94" s="162"/>
      <c r="N94" s="162"/>
      <c r="O94" s="162"/>
      <c r="P94" s="162"/>
      <c r="Q94" s="162"/>
      <c r="R94" s="163"/>
      <c r="S94" s="155"/>
      <c r="T94" s="155"/>
      <c r="U94" s="162"/>
      <c r="V94" s="124"/>
      <c r="W94" s="140"/>
      <c r="X94" s="149"/>
      <c r="Y94" s="348" t="str">
        <f t="shared" si="36"/>
        <v>Torbay</v>
      </c>
      <c r="Z94" s="349" t="e">
        <f t="shared" si="37"/>
        <v>#N/A</v>
      </c>
      <c r="AA94" s="349" t="e">
        <f t="shared" si="38"/>
        <v>#N/A</v>
      </c>
      <c r="AB94" s="191"/>
      <c r="AC94" s="192"/>
      <c r="AD94" s="192"/>
      <c r="AE94" s="194"/>
      <c r="AF94" s="199"/>
      <c r="AG94" s="185"/>
      <c r="AH94" s="185"/>
      <c r="AI94" s="185"/>
      <c r="AJ94" s="199"/>
      <c r="AK94" s="156"/>
    </row>
    <row r="95" spans="1:45" s="89" customFormat="1" ht="12.75" customHeight="1" x14ac:dyDescent="0.2">
      <c r="A95" s="123"/>
      <c r="B95" s="367"/>
      <c r="C95" s="367"/>
      <c r="D95" s="367"/>
      <c r="E95" s="367"/>
      <c r="F95" s="367"/>
      <c r="G95" s="367"/>
      <c r="H95" s="367"/>
      <c r="I95" s="98"/>
      <c r="J95" s="98"/>
      <c r="K95" s="162"/>
      <c r="L95" s="162"/>
      <c r="M95" s="162"/>
      <c r="N95" s="162"/>
      <c r="O95" s="162"/>
      <c r="P95" s="162"/>
      <c r="Q95" s="162"/>
      <c r="R95" s="163"/>
      <c r="S95" s="155"/>
      <c r="T95" s="155"/>
      <c r="U95" s="162"/>
      <c r="V95" s="124"/>
      <c r="W95" s="140"/>
      <c r="X95" s="149"/>
      <c r="Y95" s="348" t="str">
        <f t="shared" si="36"/>
        <v>West Berkshire</v>
      </c>
      <c r="Z95" s="349" t="e">
        <f t="shared" si="37"/>
        <v>#N/A</v>
      </c>
      <c r="AA95" s="349" t="e">
        <f t="shared" si="38"/>
        <v>#N/A</v>
      </c>
      <c r="AB95" s="191"/>
      <c r="AC95" s="192"/>
      <c r="AD95" s="192"/>
      <c r="AE95" s="194"/>
      <c r="AF95" s="199"/>
      <c r="AG95" s="185"/>
      <c r="AH95" s="185"/>
      <c r="AI95" s="185"/>
      <c r="AJ95" s="199"/>
      <c r="AK95" s="156"/>
    </row>
    <row r="96" spans="1:45" s="89" customFormat="1" ht="12.75" customHeight="1" x14ac:dyDescent="0.2">
      <c r="A96" s="123"/>
      <c r="B96" s="367"/>
      <c r="C96" s="367"/>
      <c r="D96" s="367"/>
      <c r="E96" s="367"/>
      <c r="F96" s="367"/>
      <c r="G96" s="367"/>
      <c r="H96" s="367"/>
      <c r="I96" s="98"/>
      <c r="J96" s="98"/>
      <c r="K96" s="162"/>
      <c r="L96" s="162"/>
      <c r="M96" s="162"/>
      <c r="N96" s="162"/>
      <c r="O96" s="162"/>
      <c r="P96" s="162"/>
      <c r="Q96" s="162"/>
      <c r="R96" s="163"/>
      <c r="S96" s="155"/>
      <c r="T96" s="155"/>
      <c r="U96" s="162"/>
      <c r="V96" s="124"/>
      <c r="W96" s="140"/>
      <c r="X96" s="149"/>
      <c r="Y96" s="348" t="str">
        <f t="shared" si="36"/>
        <v>West Sussex</v>
      </c>
      <c r="Z96" s="349" t="e">
        <f t="shared" si="37"/>
        <v>#N/A</v>
      </c>
      <c r="AA96" s="349" t="e">
        <f t="shared" si="38"/>
        <v>#N/A</v>
      </c>
      <c r="AB96" s="191"/>
      <c r="AC96" s="192"/>
      <c r="AD96" s="192"/>
      <c r="AE96" s="194"/>
      <c r="AF96" s="199"/>
      <c r="AG96" s="199"/>
      <c r="AH96" s="199"/>
      <c r="AI96" s="185"/>
      <c r="AJ96" s="199"/>
      <c r="AK96" s="156"/>
    </row>
    <row r="97" spans="1:46" s="89" customFormat="1" ht="12.75" customHeight="1" x14ac:dyDescent="0.2">
      <c r="A97" s="123"/>
      <c r="B97" s="367"/>
      <c r="C97" s="367"/>
      <c r="D97" s="367"/>
      <c r="E97" s="367"/>
      <c r="F97" s="367"/>
      <c r="G97" s="367"/>
      <c r="H97" s="367"/>
      <c r="I97" s="98"/>
      <c r="J97" s="98"/>
      <c r="K97" s="162"/>
      <c r="L97" s="162"/>
      <c r="M97" s="162"/>
      <c r="N97" s="162"/>
      <c r="O97" s="162"/>
      <c r="P97" s="162"/>
      <c r="Q97" s="162"/>
      <c r="R97" s="163"/>
      <c r="S97" s="155"/>
      <c r="T97" s="155"/>
      <c r="U97" s="162"/>
      <c r="V97" s="124"/>
      <c r="W97" s="140"/>
      <c r="X97" s="149"/>
      <c r="Y97" s="348" t="str">
        <f t="shared" si="36"/>
        <v>Windsor &amp; Maidenhead</v>
      </c>
      <c r="Z97" s="349" t="e">
        <f t="shared" si="37"/>
        <v>#N/A</v>
      </c>
      <c r="AA97" s="349" t="e">
        <f t="shared" si="38"/>
        <v>#N/A</v>
      </c>
      <c r="AB97" s="191"/>
      <c r="AC97" s="192"/>
      <c r="AD97" s="192"/>
      <c r="AE97" s="194"/>
      <c r="AF97" s="199"/>
      <c r="AG97" s="199"/>
      <c r="AH97" s="199"/>
      <c r="AI97" s="185"/>
      <c r="AJ97" s="199"/>
      <c r="AK97" s="156"/>
    </row>
    <row r="98" spans="1:46" s="89" customFormat="1" ht="12.75" customHeight="1" x14ac:dyDescent="0.2">
      <c r="A98" s="123"/>
      <c r="B98" s="367"/>
      <c r="C98" s="367"/>
      <c r="D98" s="367"/>
      <c r="E98" s="367"/>
      <c r="F98" s="367"/>
      <c r="G98" s="367"/>
      <c r="H98" s="367"/>
      <c r="I98" s="98"/>
      <c r="J98" s="98"/>
      <c r="K98" s="164"/>
      <c r="L98" s="164"/>
      <c r="M98" s="164"/>
      <c r="N98" s="164"/>
      <c r="O98" s="164"/>
      <c r="P98" s="164"/>
      <c r="Q98" s="164"/>
      <c r="R98" s="165"/>
      <c r="S98" s="155"/>
      <c r="T98" s="155"/>
      <c r="U98" s="166"/>
      <c r="V98" s="124"/>
      <c r="W98" s="140"/>
      <c r="X98" s="149"/>
      <c r="Y98" s="348" t="str">
        <f t="shared" si="36"/>
        <v>Wokingham</v>
      </c>
      <c r="Z98" s="349" t="e">
        <f t="shared" si="37"/>
        <v>#N/A</v>
      </c>
      <c r="AA98" s="349" t="e">
        <f t="shared" si="38"/>
        <v>#N/A</v>
      </c>
      <c r="AB98" s="191"/>
      <c r="AC98" s="192"/>
      <c r="AD98" s="192"/>
      <c r="AE98" s="194"/>
      <c r="AF98" s="199"/>
      <c r="AG98" s="199"/>
      <c r="AH98" s="199"/>
      <c r="AI98" s="185"/>
      <c r="AJ98" s="199"/>
      <c r="AK98" s="156"/>
    </row>
    <row r="99" spans="1:46" s="89" customFormat="1" ht="12.75" customHeight="1" x14ac:dyDescent="0.2">
      <c r="A99" s="123"/>
      <c r="B99" s="367"/>
      <c r="C99" s="367"/>
      <c r="D99" s="367"/>
      <c r="E99" s="367"/>
      <c r="F99" s="367"/>
      <c r="G99" s="367"/>
      <c r="H99" s="367"/>
      <c r="I99" s="98"/>
      <c r="J99" s="98"/>
      <c r="K99" s="164"/>
      <c r="L99" s="164"/>
      <c r="M99" s="164"/>
      <c r="N99" s="164"/>
      <c r="O99" s="164"/>
      <c r="P99" s="164"/>
      <c r="Q99" s="164"/>
      <c r="R99" s="165"/>
      <c r="S99" s="155"/>
      <c r="T99" s="155"/>
      <c r="U99" s="166"/>
      <c r="V99" s="124"/>
      <c r="W99" s="140"/>
      <c r="X99" s="149"/>
      <c r="Y99" s="348" t="str">
        <f>B32</f>
        <v>South East</v>
      </c>
      <c r="Z99" s="349" t="e">
        <f t="shared" si="37"/>
        <v>#N/A</v>
      </c>
      <c r="AA99" s="349" t="e">
        <f t="shared" si="38"/>
        <v>#N/A</v>
      </c>
      <c r="AB99" s="191"/>
      <c r="AC99" s="192"/>
      <c r="AD99" s="192"/>
      <c r="AE99" s="194"/>
      <c r="AF99" s="199"/>
      <c r="AG99" s="199"/>
      <c r="AH99" s="199"/>
      <c r="AI99" s="185"/>
      <c r="AJ99" s="199"/>
      <c r="AK99" s="156"/>
    </row>
    <row r="100" spans="1:46" s="89" customFormat="1" ht="11.25" customHeight="1" x14ac:dyDescent="0.2">
      <c r="A100" s="286"/>
      <c r="B100" s="367"/>
      <c r="C100" s="367"/>
      <c r="D100" s="367"/>
      <c r="E100" s="367"/>
      <c r="F100" s="367"/>
      <c r="G100" s="367"/>
      <c r="H100" s="367"/>
      <c r="I100" s="98"/>
      <c r="J100" s="98"/>
      <c r="K100" s="164"/>
      <c r="L100" s="164"/>
      <c r="M100" s="164"/>
      <c r="N100" s="164"/>
      <c r="O100" s="164"/>
      <c r="P100" s="164"/>
      <c r="Q100" s="164"/>
      <c r="R100" s="165"/>
      <c r="S100" s="155"/>
      <c r="T100" s="155"/>
      <c r="U100" s="166"/>
      <c r="V100" s="124"/>
      <c r="W100" s="140"/>
      <c r="X100" s="149"/>
      <c r="Y100" s="348" t="str">
        <f>B33</f>
        <v>England</v>
      </c>
      <c r="Z100" s="349" t="e">
        <f t="shared" si="37"/>
        <v>#N/A</v>
      </c>
      <c r="AA100" s="349" t="e">
        <f t="shared" si="38"/>
        <v>#N/A</v>
      </c>
      <c r="AB100" s="191"/>
      <c r="AC100" s="192"/>
      <c r="AD100" s="192"/>
      <c r="AE100" s="194"/>
      <c r="AF100" s="199"/>
      <c r="AG100" s="199"/>
      <c r="AH100" s="199"/>
      <c r="AI100" s="185"/>
      <c r="AJ100" s="199"/>
      <c r="AK100" s="156"/>
    </row>
    <row r="101" spans="1:46" s="83" customFormat="1" ht="42" customHeight="1" x14ac:dyDescent="0.2">
      <c r="A101" s="213"/>
      <c r="B101" s="367"/>
      <c r="C101" s="367"/>
      <c r="D101" s="367"/>
      <c r="E101" s="367"/>
      <c r="F101" s="367"/>
      <c r="G101" s="367"/>
      <c r="H101" s="367"/>
      <c r="I101" s="373"/>
      <c r="J101" s="168"/>
      <c r="K101" s="168"/>
      <c r="L101" s="168"/>
      <c r="M101" s="168"/>
      <c r="N101" s="168"/>
      <c r="O101" s="168"/>
      <c r="P101" s="168"/>
      <c r="Q101" s="168"/>
      <c r="R101" s="137"/>
      <c r="S101" s="168"/>
      <c r="T101" s="168"/>
      <c r="U101" s="168"/>
      <c r="V101" s="119"/>
      <c r="W101" s="138"/>
      <c r="X101" s="147"/>
      <c r="AD101" s="192"/>
      <c r="AE101" s="194"/>
      <c r="AF101" s="179"/>
      <c r="AG101" s="179"/>
      <c r="AH101" s="179"/>
      <c r="AJ101" s="179"/>
      <c r="AK101" s="157"/>
    </row>
    <row r="102" spans="1:46" s="83" customFormat="1" ht="42" customHeight="1" x14ac:dyDescent="0.2">
      <c r="A102" s="213"/>
      <c r="B102" s="367"/>
      <c r="C102" s="367"/>
      <c r="D102" s="367"/>
      <c r="E102" s="367"/>
      <c r="F102" s="367"/>
      <c r="G102" s="367"/>
      <c r="H102" s="367"/>
      <c r="I102" s="373"/>
      <c r="J102" s="168"/>
      <c r="K102" s="168"/>
      <c r="L102" s="168"/>
      <c r="M102" s="168"/>
      <c r="N102" s="168"/>
      <c r="O102" s="168"/>
      <c r="P102" s="168"/>
      <c r="Q102" s="168"/>
      <c r="R102" s="137"/>
      <c r="S102" s="168"/>
      <c r="T102" s="168"/>
      <c r="U102" s="168"/>
      <c r="V102" s="119"/>
      <c r="W102" s="138"/>
      <c r="X102" s="147"/>
      <c r="Z102" s="185"/>
      <c r="AE102" s="194"/>
      <c r="AF102" s="179"/>
      <c r="AG102" s="179"/>
      <c r="AH102" s="179"/>
      <c r="AJ102" s="179"/>
      <c r="AK102" s="157"/>
    </row>
    <row r="103" spans="1:46" s="83" customFormat="1" ht="33" customHeight="1" x14ac:dyDescent="0.2">
      <c r="A103" s="213"/>
      <c r="B103" s="373"/>
      <c r="C103" s="373"/>
      <c r="D103" s="373"/>
      <c r="E103" s="373"/>
      <c r="F103" s="373"/>
      <c r="G103" s="373"/>
      <c r="H103" s="373"/>
      <c r="I103" s="373"/>
      <c r="J103" s="168"/>
      <c r="K103" s="168"/>
      <c r="L103" s="168"/>
      <c r="M103" s="168"/>
      <c r="N103" s="168"/>
      <c r="O103" s="168"/>
      <c r="P103" s="168"/>
      <c r="Q103" s="168"/>
      <c r="R103" s="137"/>
      <c r="S103" s="168"/>
      <c r="T103" s="168"/>
      <c r="U103" s="168"/>
      <c r="V103" s="119"/>
      <c r="W103" s="138"/>
      <c r="X103" s="147"/>
      <c r="Z103" s="185"/>
      <c r="AE103" s="194"/>
      <c r="AF103" s="179"/>
      <c r="AG103" s="179"/>
      <c r="AH103" s="179"/>
      <c r="AJ103" s="179"/>
      <c r="AK103" s="157"/>
    </row>
    <row r="104" spans="1:46" s="83" customFormat="1" ht="7.5" customHeight="1" x14ac:dyDescent="0.2">
      <c r="A104" s="120"/>
      <c r="B104" s="18"/>
      <c r="C104" s="18"/>
      <c r="D104" s="17"/>
      <c r="E104" s="17"/>
      <c r="F104" s="17"/>
      <c r="G104" s="17"/>
      <c r="H104" s="17"/>
      <c r="I104" s="17"/>
      <c r="J104" s="13"/>
      <c r="K104" s="19"/>
      <c r="L104" s="19"/>
      <c r="M104" s="19"/>
      <c r="N104" s="19"/>
      <c r="O104" s="19"/>
      <c r="P104" s="19"/>
      <c r="Q104" s="19"/>
      <c r="R104" s="19"/>
      <c r="S104" s="19"/>
      <c r="T104" s="19"/>
      <c r="U104" s="20"/>
      <c r="V104" s="119"/>
      <c r="W104" s="138"/>
      <c r="X104" s="147"/>
      <c r="Z104" s="185"/>
      <c r="AJ104" s="179"/>
      <c r="AK104" s="153"/>
      <c r="AL104" s="76"/>
      <c r="AM104" s="76"/>
      <c r="AN104" s="76"/>
      <c r="AO104" s="76"/>
      <c r="AP104" s="76"/>
      <c r="AQ104" s="76"/>
      <c r="AR104" s="76"/>
    </row>
    <row r="105" spans="1:46" s="83" customFormat="1" ht="15" customHeight="1" x14ac:dyDescent="0.2">
      <c r="A105" s="1399"/>
      <c r="B105" s="1421"/>
      <c r="C105" s="1421"/>
      <c r="D105" s="1421"/>
      <c r="E105" s="1421"/>
      <c r="F105" s="1421"/>
      <c r="G105" s="1421"/>
      <c r="H105" s="1421"/>
      <c r="I105" s="1421"/>
      <c r="J105" s="1421"/>
      <c r="K105" s="1421"/>
      <c r="L105" s="1421"/>
      <c r="M105" s="1421"/>
      <c r="N105" s="1421"/>
      <c r="O105" s="1421"/>
      <c r="P105" s="1421"/>
      <c r="Q105" s="1421"/>
      <c r="R105" s="1421"/>
      <c r="S105" s="1421"/>
      <c r="T105" s="1421"/>
      <c r="U105" s="1421"/>
      <c r="V105" s="1422"/>
      <c r="W105" s="138"/>
      <c r="X105" s="147"/>
      <c r="Y105" s="183"/>
      <c r="Z105" s="183"/>
      <c r="AK105" s="157"/>
      <c r="AT105" s="76"/>
    </row>
    <row r="106" spans="1:46" s="83" customFormat="1" ht="11.25" customHeight="1" x14ac:dyDescent="0.2">
      <c r="A106" s="1428" t="str">
        <f>Home!$A$40</f>
        <v>LA's provide quarterly data on the condition that it is used by the benchmarking group for internal reporting only. Please DO NOT share other LA's data with any external partners or the public</v>
      </c>
      <c r="B106" s="1429"/>
      <c r="C106" s="1429"/>
      <c r="D106" s="1429"/>
      <c r="E106" s="1429"/>
      <c r="F106" s="1429"/>
      <c r="G106" s="1429"/>
      <c r="H106" s="1429"/>
      <c r="I106" s="1430"/>
      <c r="J106" s="1429"/>
      <c r="K106" s="1429"/>
      <c r="L106" s="1429"/>
      <c r="M106" s="1429"/>
      <c r="N106" s="1429"/>
      <c r="O106" s="1429"/>
      <c r="P106" s="1431"/>
      <c r="Q106" s="1429"/>
      <c r="R106" s="1429"/>
      <c r="S106" s="1429"/>
      <c r="T106" s="1430"/>
      <c r="U106" s="1429"/>
      <c r="V106" s="1432"/>
      <c r="W106" s="138"/>
      <c r="X106" s="147"/>
      <c r="Y106" s="183"/>
      <c r="Z106" s="183"/>
      <c r="AJ106" s="179"/>
      <c r="AK106" s="156"/>
      <c r="AL106" s="89"/>
      <c r="AT106" s="76"/>
    </row>
    <row r="107" spans="1:46" ht="11.25" customHeight="1" x14ac:dyDescent="0.2">
      <c r="A107" s="114"/>
      <c r="B107" s="115"/>
      <c r="C107" s="115"/>
      <c r="D107" s="115"/>
      <c r="E107" s="115"/>
      <c r="F107" s="115"/>
      <c r="G107" s="115"/>
      <c r="H107" s="115"/>
      <c r="I107" s="115"/>
      <c r="J107" s="116"/>
      <c r="K107" s="115"/>
      <c r="L107" s="115"/>
      <c r="M107" s="115"/>
      <c r="N107" s="115"/>
      <c r="O107" s="115"/>
      <c r="P107" s="115"/>
      <c r="Q107" s="115"/>
      <c r="R107" s="115"/>
      <c r="S107" s="115"/>
      <c r="T107" s="115"/>
      <c r="U107" s="115"/>
      <c r="V107" s="117"/>
      <c r="W107" s="138"/>
      <c r="X107" s="147"/>
      <c r="Y107" s="183"/>
      <c r="Z107" s="183"/>
      <c r="AJ107" s="179"/>
      <c r="AK107" s="153"/>
    </row>
    <row r="108" spans="1:46" s="78" customFormat="1" ht="15" customHeight="1" x14ac:dyDescent="0.2">
      <c r="A108" s="121"/>
      <c r="B108" s="1442" t="str">
        <f>"Children Looked After"&amp; Z1 &amp;" (aged &lt;16) who had been looked after for more than 2.5 years (%)"</f>
        <v>Children Looked After at 31st March (aged &lt;16) who had been looked after for more than 2.5 years (%)</v>
      </c>
      <c r="C108" s="1442"/>
      <c r="D108" s="1442"/>
      <c r="E108" s="1442"/>
      <c r="F108" s="1442"/>
      <c r="G108" s="1442"/>
      <c r="H108" s="1442"/>
      <c r="I108" s="1442"/>
      <c r="J108" s="69"/>
      <c r="K108" s="69"/>
      <c r="L108" s="69"/>
      <c r="M108" s="69"/>
      <c r="N108" s="366"/>
      <c r="O108" s="69"/>
      <c r="P108" s="69"/>
      <c r="Q108" s="69"/>
      <c r="R108" s="69"/>
      <c r="S108" s="69"/>
      <c r="T108" s="69"/>
      <c r="U108" s="69"/>
      <c r="V108" s="122"/>
      <c r="W108" s="139"/>
      <c r="X108" s="148"/>
      <c r="Y108" s="577" t="s">
        <v>149</v>
      </c>
      <c r="Z108" s="577"/>
      <c r="AA108" s="577"/>
      <c r="AB108" s="577"/>
      <c r="AC108" s="577"/>
      <c r="AD108" s="577"/>
      <c r="AE108" s="565"/>
      <c r="AF108" s="578" t="s">
        <v>150</v>
      </c>
      <c r="AG108" s="579"/>
      <c r="AH108" s="565"/>
      <c r="AI108" s="376"/>
      <c r="AJ108" s="565"/>
      <c r="AK108" s="154"/>
    </row>
    <row r="109" spans="1:46" ht="15" customHeight="1" thickBot="1" x14ac:dyDescent="0.25">
      <c r="A109" s="120"/>
      <c r="B109" s="1442"/>
      <c r="C109" s="1442"/>
      <c r="D109" s="1442"/>
      <c r="E109" s="1442"/>
      <c r="F109" s="1442"/>
      <c r="G109" s="1442"/>
      <c r="H109" s="1442"/>
      <c r="I109" s="1442"/>
      <c r="J109" s="69"/>
      <c r="K109" s="69"/>
      <c r="L109" s="69"/>
      <c r="M109" s="69"/>
      <c r="N109" s="366"/>
      <c r="O109" s="69"/>
      <c r="P109" s="69"/>
      <c r="Q109" s="69"/>
      <c r="R109" s="10"/>
      <c r="S109" s="69"/>
      <c r="T109" s="69"/>
      <c r="U109" s="69"/>
      <c r="V109" s="119"/>
      <c r="W109" s="138"/>
      <c r="X109" s="147"/>
      <c r="Y109" s="376"/>
      <c r="Z109" s="375"/>
      <c r="AA109" s="376"/>
      <c r="AB109" s="376"/>
      <c r="AC109" s="376"/>
      <c r="AD109" s="565"/>
      <c r="AE109" s="376"/>
      <c r="AF109" s="375"/>
      <c r="AG109" s="376"/>
      <c r="AH109" s="376"/>
      <c r="AI109" s="376"/>
      <c r="AJ109" s="565"/>
      <c r="AK109" s="153"/>
    </row>
    <row r="110" spans="1:46" ht="13.5" customHeight="1" x14ac:dyDescent="0.2">
      <c r="A110" s="271"/>
      <c r="B110" s="1419" t="s">
        <v>190</v>
      </c>
      <c r="C110" s="873"/>
      <c r="D110" s="755" t="str">
        <f>Sheet1!$D$25</f>
        <v>2014-15</v>
      </c>
      <c r="E110" s="756" t="str">
        <f>Sheet1!$E$25</f>
        <v>2015-16</v>
      </c>
      <c r="F110" s="756" t="str">
        <f>Sheet1!$F$25</f>
        <v>2016-17</v>
      </c>
      <c r="G110" s="756" t="str">
        <f>Sheet1!$G$25</f>
        <v>2017-18</v>
      </c>
      <c r="H110" s="757" t="str">
        <f>Sheet1!$H$25</f>
        <v>2018-19</v>
      </c>
      <c r="I110" s="873"/>
      <c r="J110" s="69"/>
      <c r="K110" s="69"/>
      <c r="L110" s="69"/>
      <c r="M110" s="69"/>
      <c r="N110" s="870"/>
      <c r="O110" s="69"/>
      <c r="P110" s="69"/>
      <c r="Q110" s="69"/>
      <c r="R110" s="10"/>
      <c r="S110" s="69"/>
      <c r="T110" s="69"/>
      <c r="U110" s="69"/>
      <c r="V110" s="119"/>
      <c r="W110" s="138"/>
      <c r="X110" s="147"/>
      <c r="Y110" s="376"/>
      <c r="Z110" s="760" t="str">
        <f>IF(Sheet1!$C$3="Annual","",Sheet1!$D$26)</f>
        <v/>
      </c>
      <c r="AA110" s="761" t="str">
        <f>IF(Sheet1!$C$3="Annual","",Sheet1!$E$26)</f>
        <v/>
      </c>
      <c r="AB110" s="761" t="str">
        <f>IF(Sheet1!$C$3="Annual","",Sheet1!$F$26)</f>
        <v/>
      </c>
      <c r="AC110" s="761" t="str">
        <f>IF(Sheet1!$C$3="Annual","",Sheet1!$G$26)</f>
        <v/>
      </c>
      <c r="AD110" s="762" t="str">
        <f>IF(Sheet1!$C$3="Annual","",Sheet1!$H$26)</f>
        <v/>
      </c>
      <c r="AE110" s="376"/>
      <c r="AF110" s="760" t="str">
        <f>IF(Sheet1!$C$3="Annual","",Sheet1!$D$26)</f>
        <v/>
      </c>
      <c r="AG110" s="761" t="str">
        <f>IF(Sheet1!$C$3="Annual","",Sheet1!$E$26)</f>
        <v/>
      </c>
      <c r="AH110" s="761" t="str">
        <f>IF(Sheet1!$C$3="Annual","",Sheet1!$F$26)</f>
        <v/>
      </c>
      <c r="AI110" s="761" t="str">
        <f>IF(Sheet1!$C$3="Annual","",Sheet1!$G$26)</f>
        <v/>
      </c>
      <c r="AJ110" s="762" t="str">
        <f>IF(Sheet1!$C$3="Annual","",Sheet1!$H$26)</f>
        <v/>
      </c>
      <c r="AK110" s="153"/>
    </row>
    <row r="111" spans="1:46" s="89" customFormat="1" ht="13.5" customHeight="1" thickBot="1" x14ac:dyDescent="0.25">
      <c r="A111" s="123"/>
      <c r="B111" s="1420"/>
      <c r="C111" s="87"/>
      <c r="D111" s="758" t="e">
        <f>Sheet1!$D$26</f>
        <v>#N/A</v>
      </c>
      <c r="E111" s="758" t="e">
        <f>Sheet1!$E$26</f>
        <v>#N/A</v>
      </c>
      <c r="F111" s="758" t="e">
        <f>Sheet1!$F$26</f>
        <v>#N/A</v>
      </c>
      <c r="G111" s="758" t="e">
        <f>Sheet1!$G$26</f>
        <v>#N/A</v>
      </c>
      <c r="H111" s="759" t="e">
        <f>Sheet1!$H$26</f>
        <v>#N/A</v>
      </c>
      <c r="I111" s="98"/>
      <c r="J111" s="98"/>
      <c r="K111" s="61"/>
      <c r="L111" s="61"/>
      <c r="M111" s="61"/>
      <c r="N111" s="61"/>
      <c r="O111" s="61"/>
      <c r="P111" s="61"/>
      <c r="Q111" s="372"/>
      <c r="R111" s="372"/>
      <c r="S111" s="155"/>
      <c r="T111" s="155"/>
      <c r="U111" s="371"/>
      <c r="V111" s="124"/>
      <c r="W111" s="140"/>
      <c r="X111" s="149"/>
      <c r="Y111" s="552"/>
      <c r="Z111" s="763" t="str">
        <f>Sheet1!$D$25</f>
        <v>2014-15</v>
      </c>
      <c r="AA111" s="764" t="str">
        <f>Sheet1!$E$25</f>
        <v>2015-16</v>
      </c>
      <c r="AB111" s="764" t="str">
        <f>Sheet1!$F$25</f>
        <v>2016-17</v>
      </c>
      <c r="AC111" s="764" t="str">
        <f>Sheet1!$G$25</f>
        <v>2017-18</v>
      </c>
      <c r="AD111" s="765" t="str">
        <f>Sheet1!$H$25</f>
        <v>2018-19</v>
      </c>
      <c r="AE111" s="377"/>
      <c r="AF111" s="763" t="str">
        <f>Sheet1!$D$25</f>
        <v>2014-15</v>
      </c>
      <c r="AG111" s="764" t="str">
        <f>Sheet1!$E$25</f>
        <v>2015-16</v>
      </c>
      <c r="AH111" s="764" t="str">
        <f>Sheet1!$F$25</f>
        <v>2016-17</v>
      </c>
      <c r="AI111" s="764" t="str">
        <f>Sheet1!$G$25</f>
        <v>2017-18</v>
      </c>
      <c r="AJ111" s="765" t="str">
        <f>Sheet1!$H$25</f>
        <v>2018-19</v>
      </c>
      <c r="AK111" s="156"/>
    </row>
    <row r="112" spans="1:46" s="89" customFormat="1" ht="12.75" customHeight="1" x14ac:dyDescent="0.2">
      <c r="A112" s="462">
        <f>VLOOKUP(B112,Sheet1!$AQ$4:$AR$25,2,FALSE)</f>
        <v>0</v>
      </c>
      <c r="B112" s="95" t="str">
        <f t="shared" ref="B112:B135" si="39">B10</f>
        <v>Bracknell Forest</v>
      </c>
      <c r="C112" s="87"/>
      <c r="D112" s="158" t="e">
        <f>IF(AND(ISNUMBER(AF112),ISNUMBER(Z112)),AF112/Z112,NA())</f>
        <v>#N/A</v>
      </c>
      <c r="E112" s="158">
        <f t="shared" ref="E112:H112" si="40">IF(AND(ISNUMBER(AG112),ISNUMBER(AA112)),AG112/AA112,NA())</f>
        <v>0.41666666666666669</v>
      </c>
      <c r="F112" s="158">
        <f t="shared" si="40"/>
        <v>0.42168674698795183</v>
      </c>
      <c r="G112" s="158">
        <f t="shared" si="40"/>
        <v>0.24271844660194175</v>
      </c>
      <c r="H112" s="160">
        <f t="shared" si="40"/>
        <v>0.31632653061224492</v>
      </c>
      <c r="I112" s="98"/>
      <c r="J112" s="98"/>
      <c r="K112" s="162"/>
      <c r="L112" s="162"/>
      <c r="M112" s="162"/>
      <c r="N112" s="162"/>
      <c r="O112" s="162"/>
      <c r="P112" s="162"/>
      <c r="Q112" s="162"/>
      <c r="R112" s="163"/>
      <c r="S112" s="155"/>
      <c r="T112" s="155"/>
      <c r="U112" s="162"/>
      <c r="V112" s="124"/>
      <c r="W112" s="140"/>
      <c r="X112" s="149"/>
      <c r="Y112" s="552" t="str">
        <f>B112</f>
        <v>Bracknell Forest</v>
      </c>
      <c r="Z112" s="556">
        <f>IF(Year1_Bracknell_Forest Year1_LAC_under16="","",Year1_Bracknell_Forest Year1_LAC_under16)</f>
        <v>75</v>
      </c>
      <c r="AA112" s="365">
        <f>IF(Year2_Bracknell_Forest Year2_LAC_under16="","",Year2_Bracknell_Forest Year2_LAC_under16)</f>
        <v>60</v>
      </c>
      <c r="AB112" s="365">
        <f>IF(Year3_Bracknell_Forest Year3_LAC_under16="","",Year3_Bracknell_Forest Year3_LAC_under16)</f>
        <v>83</v>
      </c>
      <c r="AC112" s="365">
        <f>IF(Year4_Bracknell_Forest Year4_LAC_under16="","",Year4_Bracknell_Forest Year4_LAC_under16)</f>
        <v>103</v>
      </c>
      <c r="AD112" s="552">
        <f>IF(Year5_Bracknell_Forest Year5_LAC_under16="","",Year5_Bracknell_Forest Year5_LAC_under16)</f>
        <v>98</v>
      </c>
      <c r="AE112" s="377" t="str">
        <f>Y112</f>
        <v>Bracknell Forest</v>
      </c>
      <c r="AF112" s="463" t="str">
        <f>IF(Year1_Bracknell_Forest Year1_LAC_under16_2.5years="","",Year1_Bracknell_Forest Year1_LAC_under16_2.5years)</f>
        <v/>
      </c>
      <c r="AG112" s="365">
        <f>IF(Year2_Bracknell_Forest Year2_LAC_under16_2.5years="","",Year2_Bracknell_Forest Year2_LAC_under16_2.5years)</f>
        <v>25</v>
      </c>
      <c r="AH112" s="365">
        <f>IF(Year3_Bracknell_Forest Year3_LAC_under16_2.5years="","",Year3_Bracknell_Forest Year3_LAC_under16_2.5years)</f>
        <v>35</v>
      </c>
      <c r="AI112" s="365">
        <f>IF(Year4_Bracknell_Forest Year4_LAC_under16_2.5years="","",Year4_Bracknell_Forest Year4_LAC_under16_2.5years)</f>
        <v>25</v>
      </c>
      <c r="AJ112" s="365">
        <f>IF(Year5_Bracknell_Forest Year5_LAC_under16_2.5years="","",Year5_Bracknell_Forest Year5_LAC_under16_2.5years)</f>
        <v>31</v>
      </c>
      <c r="AK112" s="156"/>
    </row>
    <row r="113" spans="1:45" s="89" customFormat="1" ht="12.75" customHeight="1" x14ac:dyDescent="0.2">
      <c r="A113" s="462">
        <f>VLOOKUP(B113,Sheet1!$AQ$4:$AR$25,2,FALSE)</f>
        <v>0</v>
      </c>
      <c r="B113" s="95" t="str">
        <f t="shared" si="39"/>
        <v>Brighton &amp; Hove</v>
      </c>
      <c r="C113" s="87"/>
      <c r="D113" s="158" t="e">
        <f t="shared" ref="D113:D135" si="41">IF(AND(ISNUMBER(AF113),ISNUMBER(Z113)),AF113/Z113,NA())</f>
        <v>#N/A</v>
      </c>
      <c r="E113" s="158">
        <f t="shared" ref="E113:E135" si="42">IF(AND(ISNUMBER(AG113),ISNUMBER(AA113)),AG113/AA113,NA())</f>
        <v>0.4375</v>
      </c>
      <c r="F113" s="158">
        <f t="shared" ref="F113:F135" si="43">IF(AND(ISNUMBER(AH113),ISNUMBER(AB113)),AH113/AB113,NA())</f>
        <v>0.40123456790123457</v>
      </c>
      <c r="G113" s="158">
        <f t="shared" ref="G113:G135" si="44">IF(AND(ISNUMBER(AI113),ISNUMBER(AC113)),AI113/AC113,NA())</f>
        <v>0.40531561461794019</v>
      </c>
      <c r="H113" s="160">
        <f t="shared" ref="H113:H135" si="45">IF(AND(ISNUMBER(AJ113),ISNUMBER(AD113)),AJ113/AD113,NA())</f>
        <v>0.41851851851851851</v>
      </c>
      <c r="I113" s="98"/>
      <c r="J113" s="98"/>
      <c r="K113" s="162"/>
      <c r="L113" s="162"/>
      <c r="M113" s="162"/>
      <c r="N113" s="162"/>
      <c r="O113" s="162"/>
      <c r="P113" s="162"/>
      <c r="Q113" s="162"/>
      <c r="R113" s="163"/>
      <c r="S113" s="155"/>
      <c r="T113" s="155"/>
      <c r="U113" s="162"/>
      <c r="V113" s="124"/>
      <c r="W113" s="140"/>
      <c r="X113" s="149"/>
      <c r="Y113" s="552" t="str">
        <f t="shared" ref="Y113:Y135" si="46">B113</f>
        <v>Brighton &amp; Hove</v>
      </c>
      <c r="Z113" s="556">
        <f>IF(Year1_Brighton_Hove Year1_LAC_under16="","",Year1_Brighton_Hove Year1_LAC_under16)</f>
        <v>365</v>
      </c>
      <c r="AA113" s="365">
        <f>IF(Year2_Brighton_Hove Year2_LAC_under16="","",Year2_Brighton_Hove Year2_LAC_under16)</f>
        <v>320</v>
      </c>
      <c r="AB113" s="365">
        <f>IF(Year3_Brighton_Hove Year3_LAC_under16="","",Year3_Brighton_Hove Year3_LAC_under16)</f>
        <v>324</v>
      </c>
      <c r="AC113" s="365">
        <f>IF(Year4_Brighton_Hove Year4_LAC_under16="","",Year4_Brighton_Hove Year4_LAC_under16)</f>
        <v>301</v>
      </c>
      <c r="AD113" s="552">
        <f>IF(Year5_Brighton_Hove Year5_LAC_under16="","",Year5_Brighton_Hove Year5_LAC_under16)</f>
        <v>270</v>
      </c>
      <c r="AE113" s="377" t="str">
        <f t="shared" ref="AE113:AE135" si="47">Y113</f>
        <v>Brighton &amp; Hove</v>
      </c>
      <c r="AF113" s="463" t="str">
        <f>IF(Year1_Brighton_Hove Year1_LAC_under16_2.5years="","",Year1_Brighton_Hove Year1_LAC_under16_2.5years)</f>
        <v/>
      </c>
      <c r="AG113" s="365">
        <f>IF(Year2_Brighton_Hove Year2_LAC_under16_2.5years="","",Year2_Brighton_Hove Year2_LAC_under16_2.5years)</f>
        <v>140</v>
      </c>
      <c r="AH113" s="365">
        <f>IF(Year3_Brighton_Hove Year3_LAC_under16_2.5years="","",Year3_Brighton_Hove Year3_LAC_under16_2.5years)</f>
        <v>130</v>
      </c>
      <c r="AI113" s="365">
        <f>IF(Year4_Brighton_Hove Year4_LAC_under16_2.5years="","",Year4_Brighton_Hove Year4_LAC_under16_2.5years)</f>
        <v>122</v>
      </c>
      <c r="AJ113" s="365">
        <f>IF(Year5_Brighton_Hove Year5_LAC_under16_2.5years="","",Year5_Brighton_Hove Year5_LAC_under16_2.5years)</f>
        <v>113</v>
      </c>
      <c r="AK113" s="156"/>
    </row>
    <row r="114" spans="1:45" s="89" customFormat="1" ht="12.75" customHeight="1" x14ac:dyDescent="0.2">
      <c r="A114" s="462">
        <f>VLOOKUP(B114,Sheet1!$AQ$4:$AR$25,2,FALSE)</f>
        <v>0</v>
      </c>
      <c r="B114" s="95" t="str">
        <f t="shared" si="39"/>
        <v>Buckinghamshire</v>
      </c>
      <c r="C114" s="87"/>
      <c r="D114" s="158" t="e">
        <f t="shared" si="41"/>
        <v>#N/A</v>
      </c>
      <c r="E114" s="158">
        <f t="shared" si="42"/>
        <v>0.42253521126760563</v>
      </c>
      <c r="F114" s="158">
        <f t="shared" si="43"/>
        <v>0.39660056657223797</v>
      </c>
      <c r="G114" s="158">
        <f t="shared" si="44"/>
        <v>0.39943342776203966</v>
      </c>
      <c r="H114" s="160">
        <f t="shared" si="45"/>
        <v>0.45263157894736844</v>
      </c>
      <c r="I114" s="98"/>
      <c r="J114" s="98"/>
      <c r="K114" s="162"/>
      <c r="L114" s="162"/>
      <c r="M114" s="162"/>
      <c r="N114" s="162"/>
      <c r="O114" s="162"/>
      <c r="P114" s="162"/>
      <c r="Q114" s="162"/>
      <c r="R114" s="163"/>
      <c r="S114" s="155"/>
      <c r="T114" s="155"/>
      <c r="U114" s="162"/>
      <c r="V114" s="124"/>
      <c r="W114" s="140"/>
      <c r="X114" s="149"/>
      <c r="Y114" s="552" t="str">
        <f t="shared" si="46"/>
        <v>Buckinghamshire</v>
      </c>
      <c r="Z114" s="556">
        <f>IF(Year1_Buckinghamshire Year1_LAC_under16="","",Year1_Buckinghamshire Year1_LAC_under16)</f>
        <v>330</v>
      </c>
      <c r="AA114" s="365">
        <f>IF(Year2_Buckinghamshire Year2_LAC_under16="","",Year2_Buckinghamshire Year2_LAC_under16)</f>
        <v>355</v>
      </c>
      <c r="AB114" s="365">
        <f>IF(Year3_Buckinghamshire Year3_LAC_under16="","",Year3_Buckinghamshire Year3_LAC_under16)</f>
        <v>353</v>
      </c>
      <c r="AC114" s="365">
        <f>IF(Year4_Buckinghamshire Year4_LAC_under16="","",Year4_Buckinghamshire Year4_LAC_under16)</f>
        <v>353</v>
      </c>
      <c r="AD114" s="552">
        <f>IF(Year5_Buckinghamshire Year5_LAC_under16="","",Year5_Buckinghamshire Year5_LAC_under16)</f>
        <v>380</v>
      </c>
      <c r="AE114" s="377" t="str">
        <f t="shared" si="47"/>
        <v>Buckinghamshire</v>
      </c>
      <c r="AF114" s="463" t="str">
        <f>IF(Year1_Buckinghamshire Year1_LAC_under16_2.5years="","",Year1_Buckinghamshire Year1_LAC_under16_2.5years)</f>
        <v/>
      </c>
      <c r="AG114" s="365">
        <f>IF(Year2_Buckinghamshire Year2_LAC_under16_2.5years="","",Year2_Buckinghamshire Year2_LAC_under16_2.5years)</f>
        <v>150</v>
      </c>
      <c r="AH114" s="365">
        <f>IF(Year3_Buckinghamshire Year3_LAC_under16_2.5years="","",Year3_Buckinghamshire Year3_LAC_under16_2.5years)</f>
        <v>140</v>
      </c>
      <c r="AI114" s="365">
        <f>IF(Year4_Buckinghamshire Year4_LAC_under16_2.5years="","",Year4_Buckinghamshire Year4_LAC_under16_2.5years)</f>
        <v>141</v>
      </c>
      <c r="AJ114" s="365">
        <f>IF(Year5_Buckinghamshire Year5_LAC_under16_2.5years="","",Year5_Buckinghamshire Year5_LAC_under16_2.5years)</f>
        <v>172</v>
      </c>
      <c r="AK114" s="156"/>
    </row>
    <row r="115" spans="1:45" s="89" customFormat="1" ht="12.75" customHeight="1" x14ac:dyDescent="0.2">
      <c r="A115" s="462">
        <f>VLOOKUP(B115,Sheet1!$AQ$4:$AR$25,2,FALSE)</f>
        <v>0</v>
      </c>
      <c r="B115" s="95" t="str">
        <f t="shared" si="39"/>
        <v>East Sussex</v>
      </c>
      <c r="C115" s="87"/>
      <c r="D115" s="158" t="e">
        <f t="shared" si="41"/>
        <v>#N/A</v>
      </c>
      <c r="E115" s="158">
        <f t="shared" si="42"/>
        <v>0.53333333333333333</v>
      </c>
      <c r="F115" s="158">
        <f t="shared" si="43"/>
        <v>0.51044083526682138</v>
      </c>
      <c r="G115" s="158">
        <f t="shared" si="44"/>
        <v>0.44420600858369097</v>
      </c>
      <c r="H115" s="160">
        <f t="shared" si="45"/>
        <v>0.45945945945945948</v>
      </c>
      <c r="I115" s="98"/>
      <c r="J115" s="98"/>
      <c r="K115" s="162"/>
      <c r="L115" s="162"/>
      <c r="M115" s="162"/>
      <c r="N115" s="162"/>
      <c r="O115" s="162"/>
      <c r="P115" s="162"/>
      <c r="Q115" s="162"/>
      <c r="R115" s="163"/>
      <c r="S115" s="155"/>
      <c r="T115" s="155"/>
      <c r="U115" s="162"/>
      <c r="V115" s="124"/>
      <c r="W115" s="140"/>
      <c r="X115" s="149"/>
      <c r="Y115" s="552" t="str">
        <f t="shared" si="46"/>
        <v>East Sussex</v>
      </c>
      <c r="Z115" s="556">
        <f>IF(Year1_East_Sussex Year1_LAC_under16="","",Year1_East_Sussex Year1_LAC_under16)</f>
        <v>445</v>
      </c>
      <c r="AA115" s="365">
        <f>IF(Year2_East_Sussex Year2_LAC_under16="","",Year2_East_Sussex Year2_LAC_under16)</f>
        <v>450</v>
      </c>
      <c r="AB115" s="365">
        <f>IF(Year3_East_Sussex Year3_LAC_under16="","",Year3_East_Sussex Year3_LAC_under16)</f>
        <v>431</v>
      </c>
      <c r="AC115" s="365">
        <f>IF(Year4_East_Sussex Year4_LAC_under16="","",Year4_East_Sussex Year4_LAC_under16)</f>
        <v>466</v>
      </c>
      <c r="AD115" s="552">
        <f>IF(Year5_East_Sussex Year5_LAC_under16="","",Year5_East_Sussex Year5_LAC_under16)</f>
        <v>481</v>
      </c>
      <c r="AE115" s="377" t="str">
        <f t="shared" si="47"/>
        <v>East Sussex</v>
      </c>
      <c r="AF115" s="463" t="str">
        <f>IF(Year1_East_Sussex Year1_LAC_under16_2.5years="","",Year1_East_Sussex Year1_LAC_under16_2.5years)</f>
        <v/>
      </c>
      <c r="AG115" s="365">
        <f>IF(Year2_East_Sussex Year2_LAC_under16_2.5years="","",Year2_East_Sussex Year2_LAC_under16_2.5years)</f>
        <v>240</v>
      </c>
      <c r="AH115" s="365">
        <f>IF(Year3_East_Sussex Year3_LAC_under16_2.5years="","",Year3_East_Sussex Year3_LAC_under16_2.5years)</f>
        <v>220</v>
      </c>
      <c r="AI115" s="365">
        <f>IF(Year4_East_Sussex Year4_LAC_under16_2.5years="","",Year4_East_Sussex Year4_LAC_under16_2.5years)</f>
        <v>207</v>
      </c>
      <c r="AJ115" s="365">
        <f>IF(Year5_East_Sussex Year5_LAC_under16_2.5years="","",Year5_East_Sussex Year5_LAC_under16_2.5years)</f>
        <v>221</v>
      </c>
      <c r="AK115" s="156"/>
    </row>
    <row r="116" spans="1:45" s="89" customFormat="1" ht="12.75" customHeight="1" x14ac:dyDescent="0.2">
      <c r="A116" s="462">
        <f>VLOOKUP(B116,Sheet1!$AQ$4:$AR$25,2,FALSE)</f>
        <v>0</v>
      </c>
      <c r="B116" s="95" t="str">
        <f t="shared" si="39"/>
        <v>Hampshire</v>
      </c>
      <c r="C116" s="87"/>
      <c r="D116" s="158" t="e">
        <f t="shared" si="41"/>
        <v>#N/A</v>
      </c>
      <c r="E116" s="158">
        <f t="shared" si="42"/>
        <v>0.40191387559808611</v>
      </c>
      <c r="F116" s="158">
        <f t="shared" si="43"/>
        <v>0.4144851657940663</v>
      </c>
      <c r="G116" s="158">
        <f t="shared" si="44"/>
        <v>0.4095315024232633</v>
      </c>
      <c r="H116" s="160">
        <f t="shared" si="45"/>
        <v>0.42101105845181674</v>
      </c>
      <c r="I116" s="98"/>
      <c r="J116" s="98"/>
      <c r="K116" s="162"/>
      <c r="L116" s="162"/>
      <c r="M116" s="162"/>
      <c r="N116" s="162"/>
      <c r="O116" s="162"/>
      <c r="P116" s="162"/>
      <c r="Q116" s="162"/>
      <c r="R116" s="163"/>
      <c r="S116" s="155"/>
      <c r="T116" s="155"/>
      <c r="U116" s="162"/>
      <c r="V116" s="124"/>
      <c r="W116" s="140"/>
      <c r="X116" s="149"/>
      <c r="Y116" s="552" t="str">
        <f t="shared" si="46"/>
        <v>Hampshire</v>
      </c>
      <c r="Z116" s="556">
        <f>IF(Year1_Hampshire Year1_LAC_under16="","",Year1_Hampshire Year1_LAC_under16)</f>
        <v>1060</v>
      </c>
      <c r="AA116" s="365">
        <f>IF(Year2_Hampshire Year2_LAC_under16="","",Year2_Hampshire Year2_LAC_under16)</f>
        <v>1045</v>
      </c>
      <c r="AB116" s="365">
        <f>IF(Year3_Hampshire Year3_LAC_under16="","",Year3_Hampshire Year3_LAC_under16)</f>
        <v>1146</v>
      </c>
      <c r="AC116" s="365">
        <f>IF(Year4_Hampshire Year4_LAC_under16="","",Year4_Hampshire Year4_LAC_under16)</f>
        <v>1238</v>
      </c>
      <c r="AD116" s="552">
        <f>IF(Year5_Hampshire Year5_LAC_under16="","",Year5_Hampshire Year5_LAC_under16)</f>
        <v>1266</v>
      </c>
      <c r="AE116" s="377" t="str">
        <f t="shared" si="47"/>
        <v>Hampshire</v>
      </c>
      <c r="AF116" s="463" t="str">
        <f>IF(Year1_Hampshire Year1_LAC_under16_2.5years="","",Year1_Hampshire Year1_LAC_under16_2.5years)</f>
        <v/>
      </c>
      <c r="AG116" s="365">
        <f>IF(Year2_Hampshire Year2_LAC_under16_2.5years="","",Year2_Hampshire Year2_LAC_under16_2.5years)</f>
        <v>420</v>
      </c>
      <c r="AH116" s="365">
        <f>IF(Year3_Hampshire Year3_LAC_under16_2.5years="","",Year3_Hampshire Year3_LAC_under16_2.5years)</f>
        <v>475</v>
      </c>
      <c r="AI116" s="365">
        <f>IF(Year4_Hampshire Year4_LAC_under16_2.5years="","",Year4_Hampshire Year4_LAC_under16_2.5years)</f>
        <v>507</v>
      </c>
      <c r="AJ116" s="365">
        <f>IF(Year5_Hampshire Year5_LAC_under16_2.5years="","",Year5_Hampshire Year5_LAC_under16_2.5years)</f>
        <v>533</v>
      </c>
      <c r="AK116" s="156"/>
    </row>
    <row r="117" spans="1:45" s="89" customFormat="1" ht="12.75" customHeight="1" x14ac:dyDescent="0.2">
      <c r="A117" s="462">
        <f>VLOOKUP(B117,Sheet1!$AQ$4:$AR$25,2,FALSE)</f>
        <v>0</v>
      </c>
      <c r="B117" s="95" t="str">
        <f t="shared" si="39"/>
        <v>Isle of Wight</v>
      </c>
      <c r="C117" s="87"/>
      <c r="D117" s="158" t="e">
        <f t="shared" si="41"/>
        <v>#N/A</v>
      </c>
      <c r="E117" s="158">
        <f t="shared" si="42"/>
        <v>0.41379310344827586</v>
      </c>
      <c r="F117" s="158">
        <f t="shared" si="43"/>
        <v>0.3235294117647059</v>
      </c>
      <c r="G117" s="158">
        <f t="shared" si="44"/>
        <v>0.34946236559139787</v>
      </c>
      <c r="H117" s="160">
        <f t="shared" si="45"/>
        <v>0.46568627450980393</v>
      </c>
      <c r="I117" s="98"/>
      <c r="J117" s="98"/>
      <c r="K117" s="162"/>
      <c r="L117" s="162"/>
      <c r="M117" s="162"/>
      <c r="N117" s="162"/>
      <c r="O117" s="162"/>
      <c r="P117" s="162"/>
      <c r="Q117" s="162"/>
      <c r="R117" s="163"/>
      <c r="S117" s="155"/>
      <c r="T117" s="155"/>
      <c r="U117" s="162"/>
      <c r="V117" s="124"/>
      <c r="W117" s="140"/>
      <c r="X117" s="149"/>
      <c r="Y117" s="552" t="str">
        <f t="shared" si="46"/>
        <v>Isle of Wight</v>
      </c>
      <c r="Z117" s="556">
        <f>IF(Year1_Isle_of_Wight Year1_LAC_under16="","",Year1_Isle_of_Wight Year1_LAC_under16)</f>
        <v>155</v>
      </c>
      <c r="AA117" s="365">
        <f>IF(Year2_Isle_of_Wight Year2_LAC_under16="","",Year2_Isle_of_Wight Year2_LAC_under16)</f>
        <v>145</v>
      </c>
      <c r="AB117" s="365">
        <f>IF(Year3_Isle_of_Wight Year3_LAC_under16="","",Year3_Isle_of_Wight Year3_LAC_under16)</f>
        <v>170</v>
      </c>
      <c r="AC117" s="365">
        <f>IF(Year4_Isle_of_Wight Year4_LAC_under16="","",Year4_Isle_of_Wight Year4_LAC_under16)</f>
        <v>186</v>
      </c>
      <c r="AD117" s="552">
        <f>IF(Year5_Isle_of_Wight Year5_LAC_under16="","",Year5_Isle_of_Wight Year5_LAC_under16)</f>
        <v>204</v>
      </c>
      <c r="AE117" s="377" t="str">
        <f t="shared" si="47"/>
        <v>Isle of Wight</v>
      </c>
      <c r="AF117" s="463" t="str">
        <f>IF(Year1_Isle_of_Wight Year1_LAC_under16_2.5years="","",Year1_Isle_of_Wight Year1_LAC_under16_2.5years)</f>
        <v/>
      </c>
      <c r="AG117" s="365">
        <f>IF(Year2_Isle_of_Wight Year2_LAC_under16_2.5years="","",Year2_Isle_of_Wight Year2_LAC_under16_2.5years)</f>
        <v>60</v>
      </c>
      <c r="AH117" s="365">
        <f>IF(Year3_Isle_of_Wight Year3_LAC_under16_2.5years="","",Year3_Isle_of_Wight Year3_LAC_under16_2.5years)</f>
        <v>55</v>
      </c>
      <c r="AI117" s="365">
        <f>IF(Year4_Isle_of_Wight Year4_LAC_under16_2.5years="","",Year4_Isle_of_Wight Year4_LAC_under16_2.5years)</f>
        <v>65</v>
      </c>
      <c r="AJ117" s="365">
        <f>IF(Year5_Isle_of_Wight Year5_LAC_under16_2.5years="","",Year5_Isle_of_Wight Year5_LAC_under16_2.5years)</f>
        <v>95</v>
      </c>
      <c r="AK117" s="156"/>
      <c r="AS117" s="89" t="s">
        <v>103</v>
      </c>
    </row>
    <row r="118" spans="1:45" s="89" customFormat="1" ht="12.75" customHeight="1" x14ac:dyDescent="0.2">
      <c r="A118" s="462">
        <f>VLOOKUP(B118,Sheet1!$AQ$4:$AR$25,2,FALSE)</f>
        <v>0</v>
      </c>
      <c r="B118" s="95" t="str">
        <f t="shared" si="39"/>
        <v>Kent</v>
      </c>
      <c r="C118" s="87"/>
      <c r="D118" s="158" t="e">
        <f t="shared" si="41"/>
        <v>#N/A</v>
      </c>
      <c r="E118" s="158">
        <f t="shared" si="42"/>
        <v>0.43129770992366412</v>
      </c>
      <c r="F118" s="158">
        <f t="shared" si="43"/>
        <v>0.46179680940386231</v>
      </c>
      <c r="G118" s="158">
        <f t="shared" si="44"/>
        <v>0.5122171945701357</v>
      </c>
      <c r="H118" s="160">
        <f t="shared" si="45"/>
        <v>0.52641690682036502</v>
      </c>
      <c r="I118" s="98"/>
      <c r="J118" s="98"/>
      <c r="K118" s="162"/>
      <c r="L118" s="162"/>
      <c r="M118" s="162"/>
      <c r="N118" s="162"/>
      <c r="O118" s="162"/>
      <c r="P118" s="162"/>
      <c r="Q118" s="162"/>
      <c r="R118" s="163"/>
      <c r="S118" s="155"/>
      <c r="T118" s="155"/>
      <c r="U118" s="162"/>
      <c r="V118" s="124"/>
      <c r="W118" s="140"/>
      <c r="X118" s="149"/>
      <c r="Y118" s="552" t="str">
        <f t="shared" si="46"/>
        <v>Kent</v>
      </c>
      <c r="Z118" s="556">
        <f>IF(Year1_Kent Year1_LAC_under16="","",Year1_Kent Year1_LAC_under16)</f>
        <v>1230</v>
      </c>
      <c r="AA118" s="365">
        <f>IF(Year2_Kent Year2_LAC_under16="","",Year2_Kent Year2_LAC_under16)</f>
        <v>1310</v>
      </c>
      <c r="AB118" s="365">
        <f>IF(Year3_Kent Year3_LAC_under16="","",Year3_Kent Year3_LAC_under16)</f>
        <v>1191</v>
      </c>
      <c r="AC118" s="365">
        <f>IF(Year4_Kent Year4_LAC_under16="","",Year4_Kent Year4_LAC_under16)</f>
        <v>1105</v>
      </c>
      <c r="AD118" s="552">
        <f>IF(Year5_Kent Year5_LAC_under16="","",Year5_Kent Year5_LAC_under16)</f>
        <v>1041</v>
      </c>
      <c r="AE118" s="377" t="str">
        <f t="shared" si="47"/>
        <v>Kent</v>
      </c>
      <c r="AF118" s="463" t="str">
        <f>IF(Year1_Kent Year1_LAC_under16_2.5years="","",Year1_Kent Year1_LAC_under16_2.5years)</f>
        <v/>
      </c>
      <c r="AG118" s="365">
        <f>IF(Year2_Kent Year2_LAC_under16_2.5years="","",Year2_Kent Year2_LAC_under16_2.5years)</f>
        <v>565</v>
      </c>
      <c r="AH118" s="365">
        <f>IF(Year3_Kent Year3_LAC_under16_2.5years="","",Year3_Kent Year3_LAC_under16_2.5years)</f>
        <v>550</v>
      </c>
      <c r="AI118" s="365">
        <f>IF(Year4_Kent Year4_LAC_under16_2.5years="","",Year4_Kent Year4_LAC_under16_2.5years)</f>
        <v>566</v>
      </c>
      <c r="AJ118" s="365">
        <f>IF(Year5_Kent Year5_LAC_under16_2.5years="","",Year5_Kent Year5_LAC_under16_2.5years)</f>
        <v>548</v>
      </c>
      <c r="AK118" s="156"/>
    </row>
    <row r="119" spans="1:45" s="89" customFormat="1" ht="12.75" customHeight="1" x14ac:dyDescent="0.2">
      <c r="A119" s="462">
        <f>VLOOKUP(B119,Sheet1!$AQ$4:$AR$25,2,FALSE)</f>
        <v>0</v>
      </c>
      <c r="B119" s="95" t="str">
        <f t="shared" si="39"/>
        <v>Medway</v>
      </c>
      <c r="C119" s="87"/>
      <c r="D119" s="158" t="e">
        <f t="shared" si="41"/>
        <v>#N/A</v>
      </c>
      <c r="E119" s="158">
        <f t="shared" si="42"/>
        <v>0.37681159420289856</v>
      </c>
      <c r="F119" s="158">
        <f t="shared" si="43"/>
        <v>0.47021943573667713</v>
      </c>
      <c r="G119" s="158">
        <f t="shared" si="44"/>
        <v>0.48973607038123168</v>
      </c>
      <c r="H119" s="160">
        <f t="shared" si="45"/>
        <v>0.50595238095238093</v>
      </c>
      <c r="I119" s="98"/>
      <c r="J119" s="98"/>
      <c r="K119" s="162"/>
      <c r="L119" s="162"/>
      <c r="M119" s="162"/>
      <c r="N119" s="162"/>
      <c r="O119" s="162"/>
      <c r="P119" s="162"/>
      <c r="Q119" s="162"/>
      <c r="R119" s="163"/>
      <c r="S119" s="155"/>
      <c r="T119" s="155"/>
      <c r="U119" s="162"/>
      <c r="V119" s="124"/>
      <c r="W119" s="140"/>
      <c r="X119" s="149"/>
      <c r="Y119" s="552" t="str">
        <f t="shared" si="46"/>
        <v>Medway</v>
      </c>
      <c r="Z119" s="556">
        <f>IF(Year1_Medway Year1_LAC_under16="","",Year1_Medway Year1_LAC_under16)</f>
        <v>355</v>
      </c>
      <c r="AA119" s="365">
        <f>IF(Year2_Medway Year2_LAC_under16="","",Year2_Medway Year2_LAC_under16)</f>
        <v>345</v>
      </c>
      <c r="AB119" s="365">
        <f>IF(Year3_Medway Year3_LAC_under16="","",Year3_Medway Year3_LAC_under16)</f>
        <v>319</v>
      </c>
      <c r="AC119" s="365">
        <f>IF(Year4_Medway Year4_LAC_under16="","",Year4_Medway Year4_LAC_under16)</f>
        <v>341</v>
      </c>
      <c r="AD119" s="552">
        <f>IF(Year5_Medway Year5_LAC_under16="","",Year5_Medway Year5_LAC_under16)</f>
        <v>336</v>
      </c>
      <c r="AE119" s="377" t="str">
        <f t="shared" si="47"/>
        <v>Medway</v>
      </c>
      <c r="AF119" s="463" t="str">
        <f>IF(Year1_Medway Year1_LAC_under16_2.5years="","",Year1_Medway Year1_LAC_under16_2.5years)</f>
        <v/>
      </c>
      <c r="AG119" s="365">
        <f>IF(Year2_Medway Year2_LAC_under16_2.5years="","",Year2_Medway Year2_LAC_under16_2.5years)</f>
        <v>130</v>
      </c>
      <c r="AH119" s="365">
        <f>IF(Year3_Medway Year3_LAC_under16_2.5years="","",Year3_Medway Year3_LAC_under16_2.5years)</f>
        <v>150</v>
      </c>
      <c r="AI119" s="365">
        <f>IF(Year4_Medway Year4_LAC_under16_2.5years="","",Year4_Medway Year4_LAC_under16_2.5years)</f>
        <v>167</v>
      </c>
      <c r="AJ119" s="365">
        <f>IF(Year5_Medway Year5_LAC_under16_2.5years="","",Year5_Medway Year5_LAC_under16_2.5years)</f>
        <v>170</v>
      </c>
      <c r="AK119" s="156"/>
    </row>
    <row r="120" spans="1:45" s="89" customFormat="1" ht="12.75" customHeight="1" x14ac:dyDescent="0.2">
      <c r="A120" s="462">
        <f>VLOOKUP(B120,Sheet1!$AQ$4:$AR$25,2,FALSE)</f>
        <v>0</v>
      </c>
      <c r="B120" s="95" t="str">
        <f t="shared" si="39"/>
        <v>Milton Keynes</v>
      </c>
      <c r="C120" s="87"/>
      <c r="D120" s="158" t="e">
        <f t="shared" si="41"/>
        <v>#N/A</v>
      </c>
      <c r="E120" s="158">
        <f t="shared" si="42"/>
        <v>0.44</v>
      </c>
      <c r="F120" s="158">
        <f t="shared" si="43"/>
        <v>0.39473684210526316</v>
      </c>
      <c r="G120" s="158">
        <f t="shared" si="44"/>
        <v>0.40251572327044027</v>
      </c>
      <c r="H120" s="160">
        <f t="shared" si="45"/>
        <v>0.47468354430379744</v>
      </c>
      <c r="I120" s="98"/>
      <c r="J120" s="98"/>
      <c r="K120" s="162"/>
      <c r="L120" s="162"/>
      <c r="M120" s="162"/>
      <c r="N120" s="162"/>
      <c r="O120" s="162"/>
      <c r="P120" s="162"/>
      <c r="Q120" s="162"/>
      <c r="R120" s="163"/>
      <c r="S120" s="155"/>
      <c r="T120" s="155"/>
      <c r="U120" s="162"/>
      <c r="V120" s="124"/>
      <c r="W120" s="140"/>
      <c r="X120" s="149"/>
      <c r="Y120" s="552" t="str">
        <f t="shared" si="46"/>
        <v>Milton Keynes</v>
      </c>
      <c r="Z120" s="556">
        <f>IF(Year1_Milton_Keynes Year1_LAC_under16="","",Year1_Milton_Keynes Year1_LAC_under16)</f>
        <v>250</v>
      </c>
      <c r="AA120" s="365">
        <f>IF(Year2_Milton_Keynes Year2_LAC_under16="","",Year2_Milton_Keynes Year2_LAC_under16)</f>
        <v>250</v>
      </c>
      <c r="AB120" s="365">
        <f>IF(Year3_Milton_Keynes Year3_LAC_under16="","",Year3_Milton_Keynes Year3_LAC_under16)</f>
        <v>304</v>
      </c>
      <c r="AC120" s="365">
        <f>IF(Year4_Milton_Keynes Year4_LAC_under16="","",Year4_Milton_Keynes Year4_LAC_under16)</f>
        <v>318</v>
      </c>
      <c r="AD120" s="552">
        <f>IF(Year5_Milton_Keynes Year5_LAC_under16="","",Year5_Milton_Keynes Year5_LAC_under16)</f>
        <v>316</v>
      </c>
      <c r="AE120" s="377" t="str">
        <f t="shared" si="47"/>
        <v>Milton Keynes</v>
      </c>
      <c r="AF120" s="463" t="str">
        <f>IF(Year1_Milton_Keynes Year1_LAC_under16_2.5years="","",Year1_Milton_Keynes Year1_LAC_under16_2.5years)</f>
        <v/>
      </c>
      <c r="AG120" s="365">
        <f>IF(Year2_Milton_Keynes Year2_LAC_under16_2.5years="","",Year2_Milton_Keynes Year2_LAC_under16_2.5years)</f>
        <v>110</v>
      </c>
      <c r="AH120" s="365">
        <f>IF(Year3_Milton_Keynes Year3_LAC_under16_2.5years="","",Year3_Milton_Keynes Year3_LAC_under16_2.5years)</f>
        <v>120</v>
      </c>
      <c r="AI120" s="365">
        <f>IF(Year4_Milton_Keynes Year4_LAC_under16_2.5years="","",Year4_Milton_Keynes Year4_LAC_under16_2.5years)</f>
        <v>128</v>
      </c>
      <c r="AJ120" s="365">
        <f>IF(Year5_Milton_Keynes Year5_LAC_under16_2.5years="","",Year5_Milton_Keynes Year5_LAC_under16_2.5years)</f>
        <v>150</v>
      </c>
      <c r="AK120" s="156"/>
    </row>
    <row r="121" spans="1:45" s="89" customFormat="1" ht="12.75" customHeight="1" x14ac:dyDescent="0.2">
      <c r="A121" s="462">
        <f>VLOOKUP(B121,Sheet1!$AQ$4:$AR$25,2,FALSE)</f>
        <v>0</v>
      </c>
      <c r="B121" s="95" t="str">
        <f t="shared" si="39"/>
        <v>Oxfordshire</v>
      </c>
      <c r="C121" s="87"/>
      <c r="D121" s="158" t="e">
        <f t="shared" si="41"/>
        <v>#N/A</v>
      </c>
      <c r="E121" s="158">
        <f t="shared" si="42"/>
        <v>0.27586206896551724</v>
      </c>
      <c r="F121" s="158">
        <f t="shared" si="43"/>
        <v>0.25590551181102361</v>
      </c>
      <c r="G121" s="158">
        <f t="shared" si="44"/>
        <v>0.31517509727626458</v>
      </c>
      <c r="H121" s="160">
        <f t="shared" si="45"/>
        <v>0.32586206896551723</v>
      </c>
      <c r="I121" s="98"/>
      <c r="J121" s="98"/>
      <c r="K121" s="162"/>
      <c r="L121" s="162"/>
      <c r="M121" s="162"/>
      <c r="N121" s="162"/>
      <c r="O121" s="162"/>
      <c r="P121" s="162"/>
      <c r="Q121" s="162"/>
      <c r="R121" s="163"/>
      <c r="S121" s="155"/>
      <c r="T121" s="155"/>
      <c r="U121" s="162"/>
      <c r="V121" s="124"/>
      <c r="W121" s="140"/>
      <c r="X121" s="149"/>
      <c r="Y121" s="552" t="str">
        <f t="shared" si="46"/>
        <v>Oxfordshire</v>
      </c>
      <c r="Z121" s="556">
        <f>IF(Year1_Oxfordshire Year1_LAC_under16="","",Year1_Oxfordshire Year1_LAC_under16)</f>
        <v>375</v>
      </c>
      <c r="AA121" s="365">
        <f>IF(Year2_Oxfordshire Year2_LAC_under16="","",Year2_Oxfordshire Year2_LAC_under16)</f>
        <v>435</v>
      </c>
      <c r="AB121" s="365">
        <f>IF(Year3_Oxfordshire Year3_LAC_under16="","",Year3_Oxfordshire Year3_LAC_under16)</f>
        <v>508</v>
      </c>
      <c r="AC121" s="365">
        <f>IF(Year4_Oxfordshire Year4_LAC_under16="","",Year4_Oxfordshire Year4_LAC_under16)</f>
        <v>514</v>
      </c>
      <c r="AD121" s="552">
        <f>IF(Year5_Oxfordshire Year5_LAC_under16="","",Year5_Oxfordshire Year5_LAC_under16)</f>
        <v>580</v>
      </c>
      <c r="AE121" s="377" t="str">
        <f t="shared" si="47"/>
        <v>Oxfordshire</v>
      </c>
      <c r="AF121" s="463" t="str">
        <f>IF(Year1_Oxfordshire Year1_LAC_under16_2.5years="","",Year1_Oxfordshire Year1_LAC_under16_2.5years)</f>
        <v/>
      </c>
      <c r="AG121" s="365">
        <f>IF(Year2_Oxfordshire Year2_LAC_under16_2.5years="","",Year2_Oxfordshire Year2_LAC_under16_2.5years)</f>
        <v>120</v>
      </c>
      <c r="AH121" s="365">
        <f>IF(Year3_Oxfordshire Year3_LAC_under16_2.5years="","",Year3_Oxfordshire Year3_LAC_under16_2.5years)</f>
        <v>130</v>
      </c>
      <c r="AI121" s="365">
        <f>IF(Year4_Oxfordshire Year4_LAC_under16_2.5years="","",Year4_Oxfordshire Year4_LAC_under16_2.5years)</f>
        <v>162</v>
      </c>
      <c r="AJ121" s="365">
        <f>IF(Year5_Oxfordshire Year5_LAC_under16_2.5years="","",Year5_Oxfordshire Year5_LAC_under16_2.5years)</f>
        <v>189</v>
      </c>
      <c r="AK121" s="156"/>
    </row>
    <row r="122" spans="1:45" s="89" customFormat="1" ht="12.75" customHeight="1" x14ac:dyDescent="0.2">
      <c r="A122" s="462">
        <f>VLOOKUP(B122,Sheet1!$AQ$4:$AR$25,2,FALSE)</f>
        <v>0</v>
      </c>
      <c r="B122" s="95" t="str">
        <f t="shared" si="39"/>
        <v>Portsmouth</v>
      </c>
      <c r="C122" s="87"/>
      <c r="D122" s="158" t="e">
        <f t="shared" si="41"/>
        <v>#N/A</v>
      </c>
      <c r="E122" s="158">
        <f t="shared" si="42"/>
        <v>0.42307692307692307</v>
      </c>
      <c r="F122" s="158">
        <f t="shared" si="43"/>
        <v>0.45955882352941174</v>
      </c>
      <c r="G122" s="158">
        <f t="shared" si="44"/>
        <v>0.40476190476190477</v>
      </c>
      <c r="H122" s="160">
        <f t="shared" si="45"/>
        <v>0.38109756097560976</v>
      </c>
      <c r="I122" s="98"/>
      <c r="J122" s="98"/>
      <c r="K122" s="162"/>
      <c r="L122" s="162"/>
      <c r="M122" s="162"/>
      <c r="N122" s="162"/>
      <c r="O122" s="162"/>
      <c r="P122" s="162"/>
      <c r="Q122" s="162"/>
      <c r="R122" s="163"/>
      <c r="S122" s="155"/>
      <c r="T122" s="155"/>
      <c r="U122" s="162"/>
      <c r="V122" s="124"/>
      <c r="W122" s="140"/>
      <c r="X122" s="149"/>
      <c r="Y122" s="552" t="str">
        <f t="shared" si="46"/>
        <v>Portsmouth</v>
      </c>
      <c r="Z122" s="556">
        <f>IF(Year1_Portsmouth Year1_LAC_under16="","",Year1_Portsmouth Year1_LAC_under16)</f>
        <v>265</v>
      </c>
      <c r="AA122" s="365">
        <f>IF(Year2_Portsmouth Year2_LAC_under16="","",Year2_Portsmouth Year2_LAC_under16)</f>
        <v>260</v>
      </c>
      <c r="AB122" s="365">
        <f>IF(Year3_Portsmouth Year3_LAC_under16="","",Year3_Portsmouth Year3_LAC_under16)</f>
        <v>272</v>
      </c>
      <c r="AC122" s="365">
        <f>IF(Year4_Portsmouth Year4_LAC_under16="","",Year4_Portsmouth Year4_LAC_under16)</f>
        <v>294</v>
      </c>
      <c r="AD122" s="552">
        <f>IF(Year5_Portsmouth Year5_LAC_under16="","",Year5_Portsmouth Year5_LAC_under16)</f>
        <v>328</v>
      </c>
      <c r="AE122" s="377" t="str">
        <f t="shared" si="47"/>
        <v>Portsmouth</v>
      </c>
      <c r="AF122" s="463" t="str">
        <f>IF(Year1_Portsmouth Year1_LAC_under16_2.5years="","",Year1_Portsmouth Year1_LAC_under16_2.5years)</f>
        <v/>
      </c>
      <c r="AG122" s="365">
        <f>IF(Year2_Portsmouth Year2_LAC_under16_2.5years="","",Year2_Portsmouth Year2_LAC_under16_2.5years)</f>
        <v>110</v>
      </c>
      <c r="AH122" s="365">
        <f>IF(Year3_Portsmouth Year3_LAC_under16_2.5years="","",Year3_Portsmouth Year3_LAC_under16_2.5years)</f>
        <v>125</v>
      </c>
      <c r="AI122" s="365">
        <f>IF(Year4_Portsmouth Year4_LAC_under16_2.5years="","",Year4_Portsmouth Year4_LAC_under16_2.5years)</f>
        <v>119</v>
      </c>
      <c r="AJ122" s="365">
        <f>IF(Year5_Portsmouth Year5_LAC_under16_2.5years="","",Year5_Portsmouth Year5_LAC_under16_2.5years)</f>
        <v>125</v>
      </c>
      <c r="AK122" s="156"/>
    </row>
    <row r="123" spans="1:45" s="89" customFormat="1" ht="12.75" customHeight="1" x14ac:dyDescent="0.2">
      <c r="A123" s="462">
        <f>VLOOKUP(B123,Sheet1!$AQ$4:$AR$25,2,FALSE)</f>
        <v>0</v>
      </c>
      <c r="B123" s="95" t="str">
        <f t="shared" si="39"/>
        <v>Reading</v>
      </c>
      <c r="C123" s="87"/>
      <c r="D123" s="158" t="e">
        <f t="shared" si="41"/>
        <v>#N/A</v>
      </c>
      <c r="E123" s="158">
        <f t="shared" si="42"/>
        <v>0.37142857142857144</v>
      </c>
      <c r="F123" s="158">
        <f t="shared" si="43"/>
        <v>0.29556650246305421</v>
      </c>
      <c r="G123" s="158">
        <f t="shared" si="44"/>
        <v>0.37168141592920356</v>
      </c>
      <c r="H123" s="160">
        <f t="shared" si="45"/>
        <v>0.43891402714932126</v>
      </c>
      <c r="I123" s="98"/>
      <c r="J123" s="98"/>
      <c r="K123" s="162"/>
      <c r="L123" s="162"/>
      <c r="M123" s="162"/>
      <c r="N123" s="162"/>
      <c r="O123" s="162"/>
      <c r="P123" s="162"/>
      <c r="Q123" s="162"/>
      <c r="R123" s="163"/>
      <c r="S123" s="155"/>
      <c r="T123" s="155"/>
      <c r="U123" s="162"/>
      <c r="V123" s="124"/>
      <c r="W123" s="140"/>
      <c r="X123" s="149"/>
      <c r="Y123" s="552" t="str">
        <f t="shared" si="46"/>
        <v>Reading</v>
      </c>
      <c r="Z123" s="556">
        <f>IF(Year1_Reading Year1_LAC_under16="","",Year1_Reading Year1_LAC_under16)</f>
        <v>160</v>
      </c>
      <c r="AA123" s="365">
        <f>IF(Year2_Reading Year2_LAC_under16="","",Year2_Reading Year2_LAC_under16)</f>
        <v>175</v>
      </c>
      <c r="AB123" s="365">
        <f>IF(Year3_Reading Year3_LAC_under16="","",Year3_Reading Year3_LAC_under16)</f>
        <v>203</v>
      </c>
      <c r="AC123" s="365">
        <f>IF(Year4_Reading Year4_LAC_under16="","",Year4_Reading Year4_LAC_under16)</f>
        <v>226</v>
      </c>
      <c r="AD123" s="552">
        <f>IF(Year5_Reading Year5_LAC_under16="","",Year5_Reading Year5_LAC_under16)</f>
        <v>221</v>
      </c>
      <c r="AE123" s="377" t="str">
        <f t="shared" si="47"/>
        <v>Reading</v>
      </c>
      <c r="AF123" s="463" t="str">
        <f>IF(Year1_Reading Year1_LAC_under16_2.5years="","",Year1_Reading Year1_LAC_under16_2.5years)</f>
        <v/>
      </c>
      <c r="AG123" s="365">
        <f>IF(Year2_Reading Year2_LAC_under16_2.5years="","",Year2_Reading Year2_LAC_under16_2.5years)</f>
        <v>65</v>
      </c>
      <c r="AH123" s="365">
        <f>IF(Year3_Reading Year3_LAC_under16_2.5years="","",Year3_Reading Year3_LAC_under16_2.5years)</f>
        <v>60</v>
      </c>
      <c r="AI123" s="365">
        <f>IF(Year4_Reading Year4_LAC_under16_2.5years="","",Year4_Reading Year4_LAC_under16_2.5years)</f>
        <v>84</v>
      </c>
      <c r="AJ123" s="365">
        <f>IF(Year5_Reading Year5_LAC_under16_2.5years="","",Year5_Reading Year5_LAC_under16_2.5years)</f>
        <v>97</v>
      </c>
      <c r="AK123" s="156"/>
    </row>
    <row r="124" spans="1:45" s="89" customFormat="1" ht="12.75" customHeight="1" x14ac:dyDescent="0.2">
      <c r="A124" s="462">
        <f>VLOOKUP(B124,Sheet1!$AQ$4:$AR$25,2,FALSE)</f>
        <v>0</v>
      </c>
      <c r="B124" s="95" t="str">
        <f t="shared" si="39"/>
        <v>Slough</v>
      </c>
      <c r="C124" s="87"/>
      <c r="D124" s="158" t="e">
        <f t="shared" si="41"/>
        <v>#N/A</v>
      </c>
      <c r="E124" s="158">
        <f t="shared" si="42"/>
        <v>0.36666666666666664</v>
      </c>
      <c r="F124" s="158">
        <f t="shared" si="43"/>
        <v>0.35714285714285715</v>
      </c>
      <c r="G124" s="158">
        <f t="shared" si="44"/>
        <v>0.30463576158940397</v>
      </c>
      <c r="H124" s="160">
        <f t="shared" si="45"/>
        <v>0.32926829268292684</v>
      </c>
      <c r="I124" s="98"/>
      <c r="J124" s="98"/>
      <c r="K124" s="162"/>
      <c r="L124" s="162"/>
      <c r="M124" s="162"/>
      <c r="N124" s="162"/>
      <c r="O124" s="162"/>
      <c r="P124" s="162"/>
      <c r="Q124" s="162"/>
      <c r="R124" s="163"/>
      <c r="S124" s="155"/>
      <c r="T124" s="155"/>
      <c r="U124" s="162"/>
      <c r="V124" s="124"/>
      <c r="W124" s="140"/>
      <c r="X124" s="149"/>
      <c r="Y124" s="552" t="str">
        <f t="shared" si="46"/>
        <v>Slough</v>
      </c>
      <c r="Z124" s="556">
        <f>IF(Year1_Slough Year1_LAC_under16="","",Year1_Slough Year1_LAC_under16)</f>
        <v>155</v>
      </c>
      <c r="AA124" s="365">
        <f>IF(Year2_Slough Year2_LAC_under16="","",Year2_Slough Year2_LAC_under16)</f>
        <v>150</v>
      </c>
      <c r="AB124" s="365">
        <f>IF(Year3_Slough Year3_LAC_under16="","",Year3_Slough Year3_LAC_under16)</f>
        <v>140</v>
      </c>
      <c r="AC124" s="365">
        <f>IF(Year4_Slough Year4_LAC_under16="","",Year4_Slough Year4_LAC_under16)</f>
        <v>151</v>
      </c>
      <c r="AD124" s="552">
        <f>IF(Year5_Slough Year5_LAC_under16="","",Year5_Slough Year5_LAC_under16)</f>
        <v>164</v>
      </c>
      <c r="AE124" s="377" t="str">
        <f t="shared" si="47"/>
        <v>Slough</v>
      </c>
      <c r="AF124" s="463" t="str">
        <f>IF(Year1_Slough Year1_LAC_under16_2.5years="","",Year1_Slough Year1_LAC_under16_2.5years)</f>
        <v/>
      </c>
      <c r="AG124" s="365">
        <f>IF(Year2_Slough Year2_LAC_under16_2.5years="","",Year2_Slough Year2_LAC_under16_2.5years)</f>
        <v>55</v>
      </c>
      <c r="AH124" s="365">
        <f>IF(Year3_Slough Year3_LAC_under16_2.5years="","",Year3_Slough Year3_LAC_under16_2.5years)</f>
        <v>50</v>
      </c>
      <c r="AI124" s="365">
        <f>IF(Year4_Slough Year4_LAC_under16_2.5years="","",Year4_Slough Year4_LAC_under16_2.5years)</f>
        <v>46</v>
      </c>
      <c r="AJ124" s="365">
        <f>IF(Year5_Slough Year5_LAC_under16_2.5years="","",Year5_Slough Year5_LAC_under16_2.5years)</f>
        <v>54</v>
      </c>
      <c r="AK124" s="156"/>
    </row>
    <row r="125" spans="1:45" s="89" customFormat="1" ht="12.75" customHeight="1" x14ac:dyDescent="0.2">
      <c r="A125" s="462">
        <f>VLOOKUP(B125,Sheet1!$AQ$4:$AR$25,2,FALSE)</f>
        <v>0</v>
      </c>
      <c r="B125" s="95" t="str">
        <f t="shared" si="39"/>
        <v>Somerset</v>
      </c>
      <c r="C125" s="87"/>
      <c r="D125" s="158" t="e">
        <f t="shared" si="41"/>
        <v>#N/A</v>
      </c>
      <c r="E125" s="158">
        <f t="shared" si="42"/>
        <v>0.38461538461538464</v>
      </c>
      <c r="F125" s="158">
        <f t="shared" si="43"/>
        <v>0.4178272980501393</v>
      </c>
      <c r="G125" s="158">
        <f t="shared" si="44"/>
        <v>0.41687979539641945</v>
      </c>
      <c r="H125" s="160">
        <f t="shared" si="45"/>
        <v>0.40404040404040403</v>
      </c>
      <c r="I125" s="98"/>
      <c r="J125" s="98"/>
      <c r="K125" s="162"/>
      <c r="L125" s="162"/>
      <c r="M125" s="162"/>
      <c r="N125" s="162"/>
      <c r="O125" s="162"/>
      <c r="P125" s="162"/>
      <c r="Q125" s="162"/>
      <c r="R125" s="163"/>
      <c r="S125" s="155"/>
      <c r="T125" s="155"/>
      <c r="U125" s="162"/>
      <c r="V125" s="124"/>
      <c r="W125" s="140"/>
      <c r="X125" s="149"/>
      <c r="Y125" s="552" t="str">
        <f t="shared" si="46"/>
        <v>Somerset</v>
      </c>
      <c r="Z125" s="556">
        <f>IF(Year1_Somerset Year1_LAC_under16="","",Year1_Somerset Year1_LAC_under16)</f>
        <v>390</v>
      </c>
      <c r="AA125" s="365">
        <f>IF(Year2_Somerset Year2_LAC_under16="","",Year2_Somerset Year2_LAC_under16)</f>
        <v>390</v>
      </c>
      <c r="AB125" s="365">
        <f>IF(Year3_Somerset Year3_LAC_under16="","",Year3_Somerset Year3_LAC_under16)</f>
        <v>359</v>
      </c>
      <c r="AC125" s="365">
        <f>IF(Year4_Somerset Year4_LAC_under16="","",Year4_Somerset Year4_LAC_under16)</f>
        <v>391</v>
      </c>
      <c r="AD125" s="552">
        <f>IF(Year5_Somerset Year5_LAC_under16="","",Year5_Somerset Year5_LAC_under16)</f>
        <v>396</v>
      </c>
      <c r="AE125" s="377" t="str">
        <f t="shared" si="47"/>
        <v>Somerset</v>
      </c>
      <c r="AF125" s="463" t="str">
        <f>IF(Year1_Somerset Year1_LAC_under16_2.5years="","",Year1_Somerset Year1_LAC_under16_2.5years)</f>
        <v/>
      </c>
      <c r="AG125" s="365">
        <f>IF(Year2_Somerset Year2_LAC_under16_2.5years="","",Year2_Somerset Year2_LAC_under16_2.5years)</f>
        <v>150</v>
      </c>
      <c r="AH125" s="365">
        <f>IF(Year3_Somerset Year3_LAC_under16_2.5years="","",Year3_Somerset Year3_LAC_under16_2.5years)</f>
        <v>150</v>
      </c>
      <c r="AI125" s="365">
        <f>IF(Year4_Somerset Year4_LAC_under16_2.5years="","",Year4_Somerset Year4_LAC_under16_2.5years)</f>
        <v>163</v>
      </c>
      <c r="AJ125" s="365">
        <f>IF(Year5_Somerset Year5_LAC_under16_2.5years="","",Year5_Somerset Year5_LAC_under16_2.5years)</f>
        <v>160</v>
      </c>
      <c r="AK125" s="156"/>
    </row>
    <row r="126" spans="1:45" s="89" customFormat="1" ht="12.75" customHeight="1" x14ac:dyDescent="0.2">
      <c r="A126" s="462">
        <f>VLOOKUP(B126,Sheet1!$AQ$4:$AR$25,2,FALSE)</f>
        <v>0</v>
      </c>
      <c r="B126" s="95" t="str">
        <f t="shared" si="39"/>
        <v>Southampton</v>
      </c>
      <c r="C126" s="87"/>
      <c r="D126" s="158" t="e">
        <f t="shared" si="41"/>
        <v>#N/A</v>
      </c>
      <c r="E126" s="158">
        <f t="shared" si="42"/>
        <v>0.37864077669902912</v>
      </c>
      <c r="F126" s="158">
        <f t="shared" si="43"/>
        <v>0.49568965517241381</v>
      </c>
      <c r="G126" s="158">
        <f t="shared" si="44"/>
        <v>0.53061224489795922</v>
      </c>
      <c r="H126" s="160">
        <f t="shared" si="45"/>
        <v>0.57457212713936434</v>
      </c>
      <c r="I126" s="98"/>
      <c r="J126" s="98"/>
      <c r="K126" s="162"/>
      <c r="L126" s="162"/>
      <c r="M126" s="162"/>
      <c r="N126" s="162"/>
      <c r="O126" s="162"/>
      <c r="P126" s="162"/>
      <c r="Q126" s="162"/>
      <c r="R126" s="163"/>
      <c r="S126" s="155"/>
      <c r="T126" s="155"/>
      <c r="U126" s="162"/>
      <c r="V126" s="124"/>
      <c r="W126" s="140"/>
      <c r="X126" s="149"/>
      <c r="Y126" s="552" t="str">
        <f t="shared" si="46"/>
        <v>Southampton</v>
      </c>
      <c r="Z126" s="556">
        <f>IF(Year1_Southampton Year1_LAC_under16="","",Year1_Southampton Year1_LAC_under16)</f>
        <v>515</v>
      </c>
      <c r="AA126" s="365">
        <f>IF(Year2_Southampton Year2_LAC_under16="","",Year2_Southampton Year2_LAC_under16)</f>
        <v>515</v>
      </c>
      <c r="AB126" s="365">
        <f>IF(Year3_Southampton Year3_LAC_under16="","",Year3_Southampton Year3_LAC_under16)</f>
        <v>464</v>
      </c>
      <c r="AC126" s="365">
        <f>IF(Year4_Southampton Year4_LAC_under16="","",Year4_Southampton Year4_LAC_under16)</f>
        <v>441</v>
      </c>
      <c r="AD126" s="552">
        <f>IF(Year5_Southampton Year5_LAC_under16="","",Year5_Southampton Year5_LAC_under16)</f>
        <v>409</v>
      </c>
      <c r="AE126" s="377" t="str">
        <f t="shared" si="47"/>
        <v>Southampton</v>
      </c>
      <c r="AF126" s="463" t="str">
        <f>IF(Year1_Southampton Year1_LAC_under16_2.5years="","",Year1_Southampton Year1_LAC_under16_2.5years)</f>
        <v/>
      </c>
      <c r="AG126" s="365">
        <f>IF(Year2_Southampton Year2_LAC_under16_2.5years="","",Year2_Southampton Year2_LAC_under16_2.5years)</f>
        <v>195</v>
      </c>
      <c r="AH126" s="365">
        <f>IF(Year3_Southampton Year3_LAC_under16_2.5years="","",Year3_Southampton Year3_LAC_under16_2.5years)</f>
        <v>230</v>
      </c>
      <c r="AI126" s="365">
        <f>IF(Year4_Southampton Year4_LAC_under16_2.5years="","",Year4_Southampton Year4_LAC_under16_2.5years)</f>
        <v>234</v>
      </c>
      <c r="AJ126" s="365">
        <f>IF(Year5_Southampton Year5_LAC_under16_2.5years="","",Year5_Southampton Year5_LAC_under16_2.5years)</f>
        <v>235</v>
      </c>
      <c r="AK126" s="156"/>
    </row>
    <row r="127" spans="1:45" s="89" customFormat="1" ht="12.75" customHeight="1" x14ac:dyDescent="0.2">
      <c r="A127" s="462">
        <f>VLOOKUP(B127,Sheet1!$AQ$4:$AR$25,2,FALSE)</f>
        <v>0</v>
      </c>
      <c r="B127" s="95" t="str">
        <f t="shared" si="39"/>
        <v>Surrey</v>
      </c>
      <c r="C127" s="87"/>
      <c r="D127" s="158" t="e">
        <f t="shared" si="41"/>
        <v>#N/A</v>
      </c>
      <c r="E127" s="158">
        <f t="shared" si="42"/>
        <v>0.39166666666666666</v>
      </c>
      <c r="F127" s="158">
        <f t="shared" si="43"/>
        <v>0.38128249566724437</v>
      </c>
      <c r="G127" s="158">
        <f t="shared" si="44"/>
        <v>0.37308868501529052</v>
      </c>
      <c r="H127" s="160">
        <f t="shared" si="45"/>
        <v>0.36764705882352944</v>
      </c>
      <c r="I127" s="98"/>
      <c r="J127" s="98"/>
      <c r="K127" s="162"/>
      <c r="L127" s="162"/>
      <c r="M127" s="162"/>
      <c r="N127" s="162"/>
      <c r="O127" s="162"/>
      <c r="P127" s="162"/>
      <c r="Q127" s="162"/>
      <c r="R127" s="163"/>
      <c r="S127" s="155"/>
      <c r="T127" s="155"/>
      <c r="U127" s="162"/>
      <c r="V127" s="124"/>
      <c r="W127" s="140"/>
      <c r="X127" s="149"/>
      <c r="Y127" s="552" t="str">
        <f t="shared" si="46"/>
        <v>Surrey</v>
      </c>
      <c r="Z127" s="556">
        <f>IF(Year1_Surrey Year1_LAC_under16="","",Year1_Surrey Year1_LAC_under16)</f>
        <v>560</v>
      </c>
      <c r="AA127" s="365">
        <f>IF(Year2_Surrey Year2_LAC_under16="","",Year2_Surrey Year2_LAC_under16)</f>
        <v>600</v>
      </c>
      <c r="AB127" s="365">
        <f>IF(Year3_Surrey Year3_LAC_under16="","",Year3_Surrey Year3_LAC_under16)</f>
        <v>577</v>
      </c>
      <c r="AC127" s="365">
        <f>IF(Year4_Surrey Year4_LAC_under16="","",Year4_Surrey Year4_LAC_under16)</f>
        <v>654</v>
      </c>
      <c r="AD127" s="552">
        <f>IF(Year5_Surrey Year5_LAC_under16="","",Year5_Surrey Year5_LAC_under16)</f>
        <v>680</v>
      </c>
      <c r="AE127" s="377" t="str">
        <f t="shared" si="47"/>
        <v>Surrey</v>
      </c>
      <c r="AF127" s="463" t="str">
        <f>IF(Year1_Surrey Year1_LAC_under16_2.5years="","",Year1_Surrey Year1_LAC_under16_2.5years)</f>
        <v/>
      </c>
      <c r="AG127" s="365">
        <f>IF(Year2_Surrey Year2_LAC_under16_2.5years="","",Year2_Surrey Year2_LAC_under16_2.5years)</f>
        <v>235</v>
      </c>
      <c r="AH127" s="365">
        <f>IF(Year3_Surrey Year3_LAC_under16_2.5years="","",Year3_Surrey Year3_LAC_under16_2.5years)</f>
        <v>220</v>
      </c>
      <c r="AI127" s="365">
        <f>IF(Year4_Surrey Year4_LAC_under16_2.5years="","",Year4_Surrey Year4_LAC_under16_2.5years)</f>
        <v>244</v>
      </c>
      <c r="AJ127" s="365">
        <f>IF(Year5_Surrey Year5_LAC_under16_2.5years="","",Year5_Surrey Year5_LAC_under16_2.5years)</f>
        <v>250</v>
      </c>
      <c r="AK127" s="156"/>
    </row>
    <row r="128" spans="1:45" s="89" customFormat="1" ht="12.75" customHeight="1" x14ac:dyDescent="0.2">
      <c r="A128" s="462">
        <f>VLOOKUP(B128,Sheet1!$AQ$4:$AR$25,2,FALSE)</f>
        <v>0</v>
      </c>
      <c r="B128" s="95" t="str">
        <f t="shared" si="39"/>
        <v>Swindon</v>
      </c>
      <c r="C128" s="87"/>
      <c r="D128" s="158" t="e">
        <f t="shared" si="41"/>
        <v>#N/A</v>
      </c>
      <c r="E128" s="158">
        <f t="shared" si="42"/>
        <v>0.28888888888888886</v>
      </c>
      <c r="F128" s="158">
        <f t="shared" si="43"/>
        <v>0.22988505747126436</v>
      </c>
      <c r="G128" s="158">
        <f t="shared" si="44"/>
        <v>0.24014336917562723</v>
      </c>
      <c r="H128" s="160">
        <f t="shared" si="45"/>
        <v>0.4140625</v>
      </c>
      <c r="I128" s="98"/>
      <c r="J128" s="98"/>
      <c r="K128" s="162"/>
      <c r="L128" s="162"/>
      <c r="M128" s="162"/>
      <c r="N128" s="162"/>
      <c r="O128" s="162"/>
      <c r="P128" s="162"/>
      <c r="Q128" s="162"/>
      <c r="R128" s="163"/>
      <c r="S128" s="155"/>
      <c r="T128" s="155"/>
      <c r="U128" s="162"/>
      <c r="V128" s="124"/>
      <c r="W128" s="140"/>
      <c r="X128" s="149"/>
      <c r="Y128" s="552" t="str">
        <f t="shared" si="46"/>
        <v>Swindon</v>
      </c>
      <c r="Z128" s="556">
        <f>IF(Year1_Swindon Year1_LAC_under16="","",Year1_Swindon Year1_LAC_under16)</f>
        <v>175</v>
      </c>
      <c r="AA128" s="365">
        <f>IF(Year2_Swindon Year2_LAC_under16="","",Year2_Swindon Year2_LAC_under16)</f>
        <v>225</v>
      </c>
      <c r="AB128" s="365">
        <f>IF(Year3_Swindon Year3_LAC_under16="","",Year3_Swindon Year3_LAC_under16)</f>
        <v>261</v>
      </c>
      <c r="AC128" s="555">
        <f>IF(Year4_Swindon Year4_LAC_under16="","",Year4_Swindon Year4_LAC_under16)</f>
        <v>279</v>
      </c>
      <c r="AD128" s="573">
        <f>IF(Year5_Swindon Year5_LAC_under16="","",Year5_Swindon Year5_LAC_under16)</f>
        <v>256</v>
      </c>
      <c r="AE128" s="377" t="str">
        <f t="shared" si="47"/>
        <v>Swindon</v>
      </c>
      <c r="AF128" s="463" t="str">
        <f>IF(Year1_Swindon Year1_LAC_under16_2.5years="","",Year1_Swindon Year1_LAC_under16_2.5years)</f>
        <v/>
      </c>
      <c r="AG128" s="365">
        <f>IF(Year2_Swindon Year2_LAC_under16_2.5years="","",Year2_Swindon Year2_LAC_under16_2.5years)</f>
        <v>65</v>
      </c>
      <c r="AH128" s="365">
        <f>IF(Year3_Swindon Year3_LAC_under16_2.5years="","",Year3_Swindon Year3_LAC_under16_2.5years)</f>
        <v>60</v>
      </c>
      <c r="AI128" s="555">
        <f>IF(Year4_Swindon Year4_LAC_under16_2.5years="","",Year4_Swindon Year4_LAC_under16_2.5years)</f>
        <v>67</v>
      </c>
      <c r="AJ128" s="574">
        <f>IF(Year5_Swindon Year5_LAC_under16_2.5years="","",Year5_Swindon Year5_LAC_under16_2.5years)</f>
        <v>106</v>
      </c>
      <c r="AK128" s="156"/>
    </row>
    <row r="129" spans="1:46" s="89" customFormat="1" ht="12.75" customHeight="1" x14ac:dyDescent="0.2">
      <c r="A129" s="462">
        <f>VLOOKUP(B129,Sheet1!$AQ$4:$AR$25,2,FALSE)</f>
        <v>0</v>
      </c>
      <c r="B129" s="95" t="str">
        <f t="shared" si="39"/>
        <v>Torbay</v>
      </c>
      <c r="C129" s="87"/>
      <c r="D129" s="158" t="e">
        <f t="shared" si="41"/>
        <v>#N/A</v>
      </c>
      <c r="E129" s="158">
        <f t="shared" si="42"/>
        <v>0.53333333333333333</v>
      </c>
      <c r="F129" s="158">
        <f t="shared" si="43"/>
        <v>0.53418803418803418</v>
      </c>
      <c r="G129" s="158">
        <f t="shared" si="44"/>
        <v>0.49070631970260226</v>
      </c>
      <c r="H129" s="160">
        <f t="shared" si="45"/>
        <v>0.43288590604026844</v>
      </c>
      <c r="I129" s="98"/>
      <c r="J129" s="98"/>
      <c r="K129" s="162"/>
      <c r="L129" s="162"/>
      <c r="M129" s="162"/>
      <c r="N129" s="162"/>
      <c r="O129" s="162"/>
      <c r="P129" s="162"/>
      <c r="Q129" s="162"/>
      <c r="R129" s="163"/>
      <c r="S129" s="155"/>
      <c r="T129" s="155"/>
      <c r="U129" s="162"/>
      <c r="V129" s="124"/>
      <c r="W129" s="140"/>
      <c r="X129" s="149"/>
      <c r="Y129" s="552" t="str">
        <f t="shared" si="46"/>
        <v>Torbay</v>
      </c>
      <c r="Z129" s="556">
        <f>IF(Year1_Torbay Year1_LAC_under16="","",Year1_Torbay Year1_LAC_under16)</f>
        <v>245</v>
      </c>
      <c r="AA129" s="365">
        <f>IF(Year2_Torbay Year2_LAC_under16="","",Year2_Torbay Year2_LAC_under16)</f>
        <v>225</v>
      </c>
      <c r="AB129" s="365">
        <f>IF(Year3_Torbay Year3_LAC_under16="","",Year3_Torbay Year3_LAC_under16)</f>
        <v>234</v>
      </c>
      <c r="AC129" s="555">
        <f>IF(Year4_Torbay Year4_LAC_under16="","",Year4_Torbay Year4_LAC_under16)</f>
        <v>269</v>
      </c>
      <c r="AD129" s="573">
        <f>IF(Year5_Torbay Year5_LAC_under16="","",Year5_Torbay Year5_LAC_under16)</f>
        <v>298</v>
      </c>
      <c r="AE129" s="377" t="str">
        <f t="shared" si="47"/>
        <v>Torbay</v>
      </c>
      <c r="AF129" s="463" t="str">
        <f>IF(Year1_Torbay Year1_LAC_under16_2.5years="","",Year1_Torbay Year1_LAC_under16_2.5years)</f>
        <v/>
      </c>
      <c r="AG129" s="365">
        <f>IF(Year2_Torbay Year2_LAC_under16_2.5years="","",Year2_Torbay Year2_LAC_under16_2.5years)</f>
        <v>120</v>
      </c>
      <c r="AH129" s="365">
        <f>IF(Year3_Torbay Year3_LAC_under16_2.5years="","",Year3_Torbay Year3_LAC_under16_2.5years)</f>
        <v>125</v>
      </c>
      <c r="AI129" s="555">
        <f>IF(Year4_Torbay Year4_LAC_under16_2.5years="","",Year4_Torbay Year4_LAC_under16_2.5years)</f>
        <v>132</v>
      </c>
      <c r="AJ129" s="574">
        <f>IF(Year5_Torbay Year5_LAC_under16_2.5years="","",Year5_Torbay Year5_LAC_under16_2.5years)</f>
        <v>129</v>
      </c>
      <c r="AK129" s="156"/>
    </row>
    <row r="130" spans="1:46" s="89" customFormat="1" ht="12.75" customHeight="1" x14ac:dyDescent="0.2">
      <c r="A130" s="462">
        <f>VLOOKUP(B130,Sheet1!$AQ$4:$AR$25,2,FALSE)</f>
        <v>0</v>
      </c>
      <c r="B130" s="95" t="str">
        <f t="shared" si="39"/>
        <v>West Berkshire</v>
      </c>
      <c r="C130" s="87"/>
      <c r="D130" s="158" t="e">
        <f t="shared" si="41"/>
        <v>#N/A</v>
      </c>
      <c r="E130" s="158">
        <f t="shared" si="42"/>
        <v>0.45</v>
      </c>
      <c r="F130" s="158">
        <f t="shared" si="43"/>
        <v>0.44715447154471544</v>
      </c>
      <c r="G130" s="158">
        <f t="shared" si="44"/>
        <v>0.61111111111111116</v>
      </c>
      <c r="H130" s="160">
        <f t="shared" si="45"/>
        <v>0.47169811320754718</v>
      </c>
      <c r="I130" s="98"/>
      <c r="J130" s="98"/>
      <c r="K130" s="162"/>
      <c r="L130" s="162"/>
      <c r="M130" s="162"/>
      <c r="N130" s="162"/>
      <c r="O130" s="162"/>
      <c r="P130" s="162"/>
      <c r="Q130" s="162"/>
      <c r="R130" s="163"/>
      <c r="S130" s="155"/>
      <c r="T130" s="155"/>
      <c r="U130" s="162"/>
      <c r="V130" s="124"/>
      <c r="W130" s="140"/>
      <c r="X130" s="149"/>
      <c r="Y130" s="552" t="str">
        <f t="shared" si="46"/>
        <v>West Berkshire</v>
      </c>
      <c r="Z130" s="556">
        <f>IF(Year1_West_Berkshire Year1_LAC_under16="","",Year1_West_Berkshire Year1_LAC_under16)</f>
        <v>125</v>
      </c>
      <c r="AA130" s="365">
        <f>IF(Year2_West_Berkshire Year2_LAC_under16="","",Year2_West_Berkshire Year2_LAC_under16)</f>
        <v>100</v>
      </c>
      <c r="AB130" s="365">
        <f>IF(Year3_West_Berkshire Year3_LAC_under16="","",Year3_West_Berkshire Year3_LAC_under16)</f>
        <v>123</v>
      </c>
      <c r="AC130" s="365">
        <f>IF(Year4_West_Berkshire Year4_LAC_under16="","",Year4_West_Berkshire Year4_LAC_under16)</f>
        <v>90</v>
      </c>
      <c r="AD130" s="552">
        <f>IF(Year5_West_Berkshire Year5_LAC_under16="","",Year5_West_Berkshire Year5_LAC_under16)</f>
        <v>106</v>
      </c>
      <c r="AE130" s="377" t="str">
        <f t="shared" si="47"/>
        <v>West Berkshire</v>
      </c>
      <c r="AF130" s="463" t="str">
        <f>IF(Year1_West_Berkshire Year1_LAC_under16_2.5years="","",Year1_West_Berkshire Year1_LAC_under16_2.5years)</f>
        <v/>
      </c>
      <c r="AG130" s="365">
        <f>IF(Year2_West_Berkshire Year2_LAC_under16_2.5years="","",Year2_West_Berkshire Year2_LAC_under16_2.5years)</f>
        <v>45</v>
      </c>
      <c r="AH130" s="365">
        <f>IF(Year3_West_Berkshire Year3_LAC_under16_2.5years="","",Year3_West_Berkshire Year3_LAC_under16_2.5years)</f>
        <v>55</v>
      </c>
      <c r="AI130" s="365">
        <f>IF(Year4_West_Berkshire Year4_LAC_under16_2.5years="","",Year4_West_Berkshire Year4_LAC_under16_2.5years)</f>
        <v>55</v>
      </c>
      <c r="AJ130" s="365">
        <f>IF(Year5_West_Berkshire Year5_LAC_under16_2.5years="","",Year5_West_Berkshire Year5_LAC_under16_2.5years)</f>
        <v>50</v>
      </c>
      <c r="AK130" s="156"/>
    </row>
    <row r="131" spans="1:46" s="89" customFormat="1" ht="12.75" customHeight="1" x14ac:dyDescent="0.2">
      <c r="A131" s="462">
        <f>VLOOKUP(B131,Sheet1!$AQ$4:$AR$25,2,FALSE)</f>
        <v>0</v>
      </c>
      <c r="B131" s="95" t="str">
        <f t="shared" si="39"/>
        <v>West Sussex</v>
      </c>
      <c r="C131" s="87"/>
      <c r="D131" s="158" t="e">
        <f t="shared" si="41"/>
        <v>#N/A</v>
      </c>
      <c r="E131" s="158">
        <f t="shared" si="42"/>
        <v>0.37362637362637363</v>
      </c>
      <c r="F131" s="158">
        <f t="shared" si="43"/>
        <v>0.31914893617021278</v>
      </c>
      <c r="G131" s="158">
        <f t="shared" si="44"/>
        <v>0.312</v>
      </c>
      <c r="H131" s="160">
        <f t="shared" si="45"/>
        <v>0.35629921259842517</v>
      </c>
      <c r="I131" s="98"/>
      <c r="J131" s="98"/>
      <c r="K131" s="162"/>
      <c r="L131" s="162"/>
      <c r="M131" s="162"/>
      <c r="N131" s="162"/>
      <c r="O131" s="162"/>
      <c r="P131" s="162"/>
      <c r="Q131" s="162"/>
      <c r="R131" s="163"/>
      <c r="S131" s="155"/>
      <c r="T131" s="155"/>
      <c r="U131" s="162"/>
      <c r="V131" s="124"/>
      <c r="W131" s="140"/>
      <c r="X131" s="149"/>
      <c r="Y131" s="552" t="str">
        <f t="shared" si="46"/>
        <v>West Sussex</v>
      </c>
      <c r="Z131" s="556">
        <f>IF(Year1_West_Sussex Year1_LAC_under16="","",Year1_West_Sussex Year1_LAC_under16)</f>
        <v>450</v>
      </c>
      <c r="AA131" s="365">
        <f>IF(Year2_West_Sussex Year2_LAC_under16="","",Year2_West_Sussex Year2_LAC_under16)</f>
        <v>455</v>
      </c>
      <c r="AB131" s="365">
        <f>IF(Year3_West_Sussex Year3_LAC_under16="","",Year3_West_Sussex Year3_LAC_under16)</f>
        <v>470</v>
      </c>
      <c r="AC131" s="365">
        <f>IF(Year4_West_Sussex Year4_LAC_under16="","",Year4_West_Sussex Year4_LAC_under16)</f>
        <v>500</v>
      </c>
      <c r="AD131" s="552">
        <f>IF(Year5_West_Sussex Year5_LAC_under16="","",Year5_West_Sussex Year5_LAC_under16)</f>
        <v>508</v>
      </c>
      <c r="AE131" s="377" t="str">
        <f t="shared" si="47"/>
        <v>West Sussex</v>
      </c>
      <c r="AF131" s="463" t="str">
        <f>IF(Year1_West_Sussex Year1_LAC_under16_2.5years="","",Year1_West_Sussex Year1_LAC_under16_2.5years)</f>
        <v/>
      </c>
      <c r="AG131" s="365">
        <f>IF(Year2_West_Sussex Year2_LAC_under16_2.5years="","",Year2_West_Sussex Year2_LAC_under16_2.5years)</f>
        <v>170</v>
      </c>
      <c r="AH131" s="365">
        <f>IF(Year3_West_Sussex Year3_LAC_under16_2.5years="","",Year3_West_Sussex Year3_LAC_under16_2.5years)</f>
        <v>150</v>
      </c>
      <c r="AI131" s="365">
        <f>IF(Year4_West_Sussex Year4_LAC_under16_2.5years="","",Year4_West_Sussex Year4_LAC_under16_2.5years)</f>
        <v>156</v>
      </c>
      <c r="AJ131" s="365">
        <f>IF(Year5_West_Sussex Year5_LAC_under16_2.5years="","",Year5_West_Sussex Year5_LAC_under16_2.5years)</f>
        <v>181</v>
      </c>
      <c r="AK131" s="156"/>
    </row>
    <row r="132" spans="1:46" s="89" customFormat="1" ht="12.75" customHeight="1" x14ac:dyDescent="0.2">
      <c r="A132" s="462">
        <f>VLOOKUP(B132,Sheet1!$AQ$4:$AR$25,2,FALSE)</f>
        <v>0</v>
      </c>
      <c r="B132" s="95" t="str">
        <f t="shared" si="39"/>
        <v>Windsor &amp; Maidenhead</v>
      </c>
      <c r="C132" s="87"/>
      <c r="D132" s="158" t="e">
        <f t="shared" si="41"/>
        <v>#N/A</v>
      </c>
      <c r="E132" s="158">
        <f t="shared" si="42"/>
        <v>0.7</v>
      </c>
      <c r="F132" s="158">
        <f t="shared" si="43"/>
        <v>0.60344827586206895</v>
      </c>
      <c r="G132" s="158">
        <f t="shared" si="44"/>
        <v>0.50819672131147542</v>
      </c>
      <c r="H132" s="160">
        <f t="shared" si="45"/>
        <v>0.37313432835820898</v>
      </c>
      <c r="I132" s="98"/>
      <c r="J132" s="98"/>
      <c r="K132" s="162"/>
      <c r="L132" s="162"/>
      <c r="M132" s="162"/>
      <c r="N132" s="162"/>
      <c r="O132" s="162"/>
      <c r="P132" s="162"/>
      <c r="Q132" s="162"/>
      <c r="R132" s="163"/>
      <c r="S132" s="155"/>
      <c r="T132" s="155"/>
      <c r="U132" s="162"/>
      <c r="V132" s="124"/>
      <c r="W132" s="140"/>
      <c r="X132" s="149"/>
      <c r="Y132" s="552" t="str">
        <f t="shared" si="46"/>
        <v>Windsor &amp; Maidenhead</v>
      </c>
      <c r="Z132" s="556">
        <f>IF(Year1_Windsor_Maidenhead Year1_LAC_under16="","",Year1_Windsor_Maidenhead Year1_LAC_under16)</f>
        <v>70</v>
      </c>
      <c r="AA132" s="365">
        <f>IF(Year2_Windsor_Maidenhead Year2_LAC_under16="","",Year2_Windsor_Maidenhead Year2_LAC_under16)</f>
        <v>50</v>
      </c>
      <c r="AB132" s="365">
        <f>IF(Year3_Windsor_Maidenhead Year3_LAC_under16="","",Year3_Windsor_Maidenhead Year3_LAC_under16)</f>
        <v>58</v>
      </c>
      <c r="AC132" s="365">
        <f>IF(Year4_Windsor_Maidenhead Year4_LAC_under16="","",Year4_Windsor_Maidenhead Year4_LAC_under16)</f>
        <v>61</v>
      </c>
      <c r="AD132" s="552">
        <f>IF(Year5_Windsor_Maidenhead Year5_LAC_under16="","",Year5_Windsor_Maidenhead Year5_LAC_under16)</f>
        <v>67</v>
      </c>
      <c r="AE132" s="377" t="str">
        <f t="shared" si="47"/>
        <v>Windsor &amp; Maidenhead</v>
      </c>
      <c r="AF132" s="463" t="str">
        <f>IF(Year1_Windsor_Maidenhead Year1_LAC_under16_2.5years="","",Year1_Windsor_Maidenhead Year1_LAC_under16_2.5years)</f>
        <v/>
      </c>
      <c r="AG132" s="365">
        <f>IF(Year2_Windsor_Maidenhead Year2_LAC_under16_2.5years="","",Year2_Windsor_Maidenhead Year2_LAC_under16_2.5years)</f>
        <v>35</v>
      </c>
      <c r="AH132" s="365">
        <f>IF(Year3_Windsor_Maidenhead Year3_LAC_under16_2.5years="","",Year3_Windsor_Maidenhead Year3_LAC_under16_2.5years)</f>
        <v>35</v>
      </c>
      <c r="AI132" s="365">
        <f>IF(Year4_Windsor_Maidenhead Year4_LAC_under16_2.5years="","",Year4_Windsor_Maidenhead Year4_LAC_under16_2.5years)</f>
        <v>31</v>
      </c>
      <c r="AJ132" s="365">
        <f>IF(Year5_Windsor_Maidenhead Year5_LAC_under16_2.5years="","",Year5_Windsor_Maidenhead Year5_LAC_under16_2.5years)</f>
        <v>25</v>
      </c>
      <c r="AK132" s="156"/>
    </row>
    <row r="133" spans="1:46" s="89" customFormat="1" ht="12.75" customHeight="1" x14ac:dyDescent="0.2">
      <c r="A133" s="462">
        <f>VLOOKUP(B133,Sheet1!$AQ$4:$AR$25,2,FALSE)</f>
        <v>0</v>
      </c>
      <c r="B133" s="95" t="str">
        <f t="shared" si="39"/>
        <v>Wokingham</v>
      </c>
      <c r="C133" s="87"/>
      <c r="D133" s="158" t="e">
        <f t="shared" si="41"/>
        <v>#N/A</v>
      </c>
      <c r="E133" s="158">
        <f t="shared" si="42"/>
        <v>0.4</v>
      </c>
      <c r="F133" s="158">
        <f t="shared" si="43"/>
        <v>0.60606060606060608</v>
      </c>
      <c r="G133" s="158">
        <f t="shared" si="44"/>
        <v>0.2857142857142857</v>
      </c>
      <c r="H133" s="160">
        <f t="shared" si="45"/>
        <v>0.20547945205479451</v>
      </c>
      <c r="I133" s="98"/>
      <c r="J133" s="98"/>
      <c r="K133" s="162"/>
      <c r="L133" s="162"/>
      <c r="M133" s="162"/>
      <c r="N133" s="162"/>
      <c r="O133" s="162"/>
      <c r="P133" s="162"/>
      <c r="Q133" s="162"/>
      <c r="R133" s="163"/>
      <c r="S133" s="155"/>
      <c r="T133" s="155"/>
      <c r="U133" s="162"/>
      <c r="V133" s="124"/>
      <c r="W133" s="140"/>
      <c r="X133" s="149"/>
      <c r="Y133" s="552" t="str">
        <f t="shared" si="46"/>
        <v>Wokingham</v>
      </c>
      <c r="Z133" s="556">
        <f>IF(Year1_Wokingham Year1_LAC_under16="","",Year1_Wokingham Year1_LAC_under16)</f>
        <v>55</v>
      </c>
      <c r="AA133" s="365">
        <f>IF(Year2_Wokingham Year2_LAC_under16="","",Year2_Wokingham Year2_LAC_under16)</f>
        <v>50</v>
      </c>
      <c r="AB133" s="365">
        <f>IF(Year3_Wokingham Year3_LAC_under16="","",Year3_Wokingham Year3_LAC_under16)</f>
        <v>33</v>
      </c>
      <c r="AC133" s="365">
        <f>IF(Year4_Wokingham Year4_LAC_under16="","",Year4_Wokingham Year4_LAC_under16)</f>
        <v>70</v>
      </c>
      <c r="AD133" s="552">
        <f>IF(Year5_Wokingham Year5_LAC_under16="","",Year5_Wokingham Year5_LAC_under16)</f>
        <v>73</v>
      </c>
      <c r="AE133" s="377" t="str">
        <f t="shared" si="47"/>
        <v>Wokingham</v>
      </c>
      <c r="AF133" s="463" t="str">
        <f>IF(Year1_Wokingham Year1_LAC_under16_2.5years="","",Year1_Wokingham Year1_LAC_under16_2.5years)</f>
        <v/>
      </c>
      <c r="AG133" s="365">
        <f>IF(Year2_Wokingham Year2_LAC_under16_2.5years="","",Year2_Wokingham Year2_LAC_under16_2.5years)</f>
        <v>20</v>
      </c>
      <c r="AH133" s="365">
        <f>IF(Year3_Wokingham Year3_LAC_under16_2.5years="","",Year3_Wokingham Year3_LAC_under16_2.5years)</f>
        <v>20</v>
      </c>
      <c r="AI133" s="365">
        <f>IF(Year4_Wokingham Year4_LAC_under16_2.5years="","",Year4_Wokingham Year4_LAC_under16_2.5years)</f>
        <v>20</v>
      </c>
      <c r="AJ133" s="365">
        <f>IF(Year5_Wokingham Year5_LAC_under16_2.5years="","",Year5_Wokingham Year5_LAC_under16_2.5years)</f>
        <v>15</v>
      </c>
      <c r="AK133" s="156"/>
    </row>
    <row r="134" spans="1:46" s="89" customFormat="1" ht="12.75" customHeight="1" x14ac:dyDescent="0.2">
      <c r="A134" s="123"/>
      <c r="B134" s="131" t="str">
        <f t="shared" si="39"/>
        <v>South East</v>
      </c>
      <c r="C134" s="87"/>
      <c r="D134" s="159" t="e">
        <f t="shared" si="41"/>
        <v>#N/A</v>
      </c>
      <c r="E134" s="159">
        <f t="shared" si="42"/>
        <v>0.40876944837340878</v>
      </c>
      <c r="F134" s="159">
        <f t="shared" si="43"/>
        <v>0.4102920723226704</v>
      </c>
      <c r="G134" s="159">
        <f t="shared" si="44"/>
        <v>0.41342281879194631</v>
      </c>
      <c r="H134" s="161">
        <f t="shared" si="45"/>
        <v>0.42932628797886396</v>
      </c>
      <c r="I134" s="98"/>
      <c r="J134" s="98"/>
      <c r="K134" s="164"/>
      <c r="L134" s="164"/>
      <c r="M134" s="164"/>
      <c r="N134" s="164"/>
      <c r="O134" s="164"/>
      <c r="P134" s="164"/>
      <c r="Q134" s="164"/>
      <c r="R134" s="165"/>
      <c r="S134" s="155"/>
      <c r="T134" s="155"/>
      <c r="U134" s="166"/>
      <c r="V134" s="124"/>
      <c r="W134" s="140"/>
      <c r="X134" s="149"/>
      <c r="Y134" s="552" t="str">
        <f>B134</f>
        <v>South East</v>
      </c>
      <c r="Z134" s="575">
        <f>IF(Year1_SouthEast Year1_LAC_under16="","",Year1_SouthEast Year1_LAC_under16)</f>
        <v>7020</v>
      </c>
      <c r="AA134" s="576">
        <f>IF(Year2_SouthEast Year2_LAC_under16="","",Year2_SouthEast Year2_LAC_under16)</f>
        <v>7070</v>
      </c>
      <c r="AB134" s="576">
        <f>IF(Year3_SouthEast Year3_LAC_under16="","",Year3_SouthEast Year3_LAC_under16)</f>
        <v>7190</v>
      </c>
      <c r="AC134" s="365">
        <f>IF(Year4_SouthEast Year4_LAC_under16="","",Year4_SouthEast Year4_LAC_under16)</f>
        <v>7450</v>
      </c>
      <c r="AD134" s="552">
        <f>IF(Year5_SouthEast Year5_LAC_under16="","",Year5_SouthEast Year5_LAC_under16)</f>
        <v>7570</v>
      </c>
      <c r="AE134" s="377" t="str">
        <f t="shared" si="47"/>
        <v>South East</v>
      </c>
      <c r="AF134" s="555" t="str">
        <f>IF(Year1_SouthEast Year1_LAC_under16_2.5years="","",Year1_SouthEast Year1_LAC_under16_2.5years)</f>
        <v/>
      </c>
      <c r="AG134" s="555">
        <f>IF(Year2_SouthEast Year2_LAC_under16_2.5years="","",Year2_SouthEast Year2_LAC_under16_2.5years)</f>
        <v>2890</v>
      </c>
      <c r="AH134" s="555">
        <f>IF(Year3_SouthEast Year3_LAC_under16_2.5years="","",Year3_SouthEast Year3_LAC_under16_2.5years)</f>
        <v>2950</v>
      </c>
      <c r="AI134" s="555">
        <f>IF(Year4_SouthEast Year4_LAC_under16_2.5years="","",Year4_SouthEast Year4_LAC_under16_2.5years)</f>
        <v>3080</v>
      </c>
      <c r="AJ134" s="555">
        <f>IF(Year5_SouthEast Year5_LAC_under16_2.5years="","",Year5_SouthEast Year5_LAC_under16_2.5years)</f>
        <v>3250</v>
      </c>
      <c r="AK134" s="156"/>
    </row>
    <row r="135" spans="1:46" s="89" customFormat="1" ht="12.75" customHeight="1" x14ac:dyDescent="0.2">
      <c r="A135" s="123"/>
      <c r="B135" s="318" t="str">
        <f t="shared" si="39"/>
        <v>England</v>
      </c>
      <c r="C135" s="87"/>
      <c r="D135" s="344" t="e">
        <f t="shared" si="41"/>
        <v>#N/A</v>
      </c>
      <c r="E135" s="344">
        <f t="shared" si="42"/>
        <v>0.43785886275236152</v>
      </c>
      <c r="F135" s="344">
        <f t="shared" si="43"/>
        <v>0.43178141290670502</v>
      </c>
      <c r="G135" s="344">
        <f t="shared" si="44"/>
        <v>0.44364551500988675</v>
      </c>
      <c r="H135" s="345">
        <f t="shared" si="45"/>
        <v>0.43074606891937101</v>
      </c>
      <c r="I135" s="98"/>
      <c r="J135" s="98"/>
      <c r="K135" s="164"/>
      <c r="L135" s="164"/>
      <c r="M135" s="164"/>
      <c r="N135" s="164"/>
      <c r="O135" s="164"/>
      <c r="P135" s="164"/>
      <c r="Q135" s="164"/>
      <c r="R135" s="165"/>
      <c r="S135" s="155"/>
      <c r="T135" s="155"/>
      <c r="U135" s="166"/>
      <c r="V135" s="124"/>
      <c r="W135" s="140"/>
      <c r="X135" s="149"/>
      <c r="Y135" s="552" t="str">
        <f t="shared" si="46"/>
        <v>England</v>
      </c>
      <c r="Z135" s="575">
        <f>IF(Year1_England Year1_LAC_under16="","",Year1_England Year1_LAC_under16)</f>
        <v>54280</v>
      </c>
      <c r="AA135" s="576">
        <f>IF(Year2_England Year2_LAC_under16="","",Year2_England Year2_LAC_under16)</f>
        <v>53990</v>
      </c>
      <c r="AB135" s="576">
        <f>IF(Year3_England Year3_LAC_under16="","",Year3_England Year3_LAC_under16)</f>
        <v>55630</v>
      </c>
      <c r="AC135" s="365">
        <f>IF(Year4_England Year4_LAC_under16="","",Year4_England Year4_LAC_under16)</f>
        <v>55630</v>
      </c>
      <c r="AD135" s="552">
        <f>IF(Year5_England Year5_LAC_under16="","",Year5_England Year5_LAC_under16)</f>
        <v>59780</v>
      </c>
      <c r="AE135" s="377" t="str">
        <f t="shared" si="47"/>
        <v>England</v>
      </c>
      <c r="AF135" s="555" t="str">
        <f>IF(Year1_England Year1_LAC_under16_2.5years="","",Year1_England Year1_LAC_under16_2.5years)</f>
        <v/>
      </c>
      <c r="AG135" s="555">
        <f>IF(Year2_England Year2_LAC_under16_2.5years="","",Year2_England Year2_LAC_under16_2.5years)</f>
        <v>23640</v>
      </c>
      <c r="AH135" s="555">
        <f>IF(Year3_England Year3_LAC_under16_2.5years="","",Year3_England Year3_LAC_under16_2.5years)</f>
        <v>24020</v>
      </c>
      <c r="AI135" s="365">
        <f>IF(Year4_England Year4_LAC_under16_2.5years="","",Year4_England Year4_LAC_under16_2.5years)</f>
        <v>24680</v>
      </c>
      <c r="AJ135" s="365">
        <f>IF(Year5_England Year5_LAC_under16_2.5years="","",Year5_England Year5_LAC_under16_2.5years)</f>
        <v>25750</v>
      </c>
      <c r="AK135" s="156"/>
    </row>
    <row r="136" spans="1:46" s="89" customFormat="1" ht="7.5" customHeight="1" x14ac:dyDescent="0.2">
      <c r="A136" s="286"/>
      <c r="B136" s="98"/>
      <c r="C136" s="98"/>
      <c r="D136" s="98"/>
      <c r="E136" s="98"/>
      <c r="F136" s="98"/>
      <c r="G136" s="98"/>
      <c r="H136" s="98"/>
      <c r="I136" s="98"/>
      <c r="J136" s="98"/>
      <c r="K136" s="164"/>
      <c r="L136" s="164"/>
      <c r="M136" s="164"/>
      <c r="N136" s="164"/>
      <c r="O136" s="164"/>
      <c r="P136" s="164"/>
      <c r="Q136" s="164"/>
      <c r="R136" s="165"/>
      <c r="S136" s="155"/>
      <c r="T136" s="155"/>
      <c r="U136" s="166"/>
      <c r="V136" s="124"/>
      <c r="W136" s="140"/>
      <c r="X136" s="149"/>
      <c r="Y136" s="183"/>
      <c r="Z136" s="183"/>
      <c r="AA136" s="83"/>
      <c r="AB136" s="83"/>
      <c r="AC136" s="83"/>
      <c r="AD136" s="83"/>
      <c r="AE136" s="83"/>
      <c r="AF136" s="199"/>
      <c r="AG136" s="199"/>
      <c r="AH136" s="199"/>
      <c r="AI136" s="185"/>
      <c r="AJ136" s="199"/>
      <c r="AK136" s="156"/>
    </row>
    <row r="137" spans="1:46" s="83" customFormat="1" ht="38.25" customHeight="1" x14ac:dyDescent="0.2">
      <c r="A137" s="213"/>
      <c r="B137" s="373"/>
      <c r="C137" s="373"/>
      <c r="D137" s="373"/>
      <c r="E137" s="373"/>
      <c r="F137" s="373"/>
      <c r="G137" s="373"/>
      <c r="H137" s="373"/>
      <c r="I137" s="373"/>
      <c r="J137" s="168"/>
      <c r="K137" s="168"/>
      <c r="L137" s="168"/>
      <c r="M137" s="168"/>
      <c r="N137" s="168"/>
      <c r="O137" s="168"/>
      <c r="P137" s="168"/>
      <c r="Q137" s="168"/>
      <c r="R137" s="137"/>
      <c r="S137" s="168"/>
      <c r="T137" s="168"/>
      <c r="U137" s="168"/>
      <c r="V137" s="119"/>
      <c r="W137" s="138"/>
      <c r="X137" s="147"/>
      <c r="AD137" s="192"/>
      <c r="AE137" s="194"/>
      <c r="AF137" s="179"/>
      <c r="AG137" s="179"/>
      <c r="AH137" s="179"/>
      <c r="AJ137" s="179"/>
      <c r="AK137" s="157"/>
    </row>
    <row r="138" spans="1:46" s="83" customFormat="1" ht="39" customHeight="1" x14ac:dyDescent="0.2">
      <c r="A138" s="213"/>
      <c r="B138" s="373"/>
      <c r="C138" s="373"/>
      <c r="D138" s="373"/>
      <c r="E138" s="373"/>
      <c r="F138" s="373"/>
      <c r="G138" s="373"/>
      <c r="H138" s="373"/>
      <c r="I138" s="373"/>
      <c r="J138" s="168"/>
      <c r="K138" s="168"/>
      <c r="L138" s="168"/>
      <c r="M138" s="168"/>
      <c r="N138" s="168"/>
      <c r="O138" s="168"/>
      <c r="P138" s="168"/>
      <c r="Q138" s="168"/>
      <c r="R138" s="137"/>
      <c r="S138" s="168"/>
      <c r="T138" s="168"/>
      <c r="U138" s="168"/>
      <c r="V138" s="119"/>
      <c r="W138" s="138"/>
      <c r="X138" s="147"/>
      <c r="Z138" s="185"/>
      <c r="AE138" s="194"/>
      <c r="AF138" s="179"/>
      <c r="AG138" s="179"/>
      <c r="AH138" s="179"/>
      <c r="AJ138" s="179"/>
      <c r="AK138" s="157"/>
    </row>
    <row r="139" spans="1:46" s="83" customFormat="1" ht="38.25" customHeight="1" x14ac:dyDescent="0.2">
      <c r="A139" s="213"/>
      <c r="B139" s="373"/>
      <c r="C139" s="373"/>
      <c r="D139" s="373"/>
      <c r="E139" s="373"/>
      <c r="F139" s="373"/>
      <c r="G139" s="373"/>
      <c r="H139" s="373"/>
      <c r="I139" s="373"/>
      <c r="J139" s="168"/>
      <c r="K139" s="168"/>
      <c r="L139" s="168"/>
      <c r="M139" s="168"/>
      <c r="N139" s="168"/>
      <c r="O139" s="168"/>
      <c r="P139" s="168"/>
      <c r="Q139" s="168"/>
      <c r="R139" s="137"/>
      <c r="S139" s="168"/>
      <c r="T139" s="168"/>
      <c r="U139" s="168"/>
      <c r="V139" s="119"/>
      <c r="W139" s="138"/>
      <c r="X139" s="147"/>
      <c r="Z139" s="185"/>
      <c r="AE139" s="194"/>
      <c r="AF139" s="179"/>
      <c r="AG139" s="179"/>
      <c r="AH139" s="179"/>
      <c r="AJ139" s="179"/>
      <c r="AK139" s="157"/>
    </row>
    <row r="140" spans="1:46" s="83" customFormat="1" ht="7.5" customHeight="1" x14ac:dyDescent="0.2">
      <c r="A140" s="120"/>
      <c r="B140" s="18"/>
      <c r="C140" s="18"/>
      <c r="D140" s="17"/>
      <c r="E140" s="17"/>
      <c r="F140" s="17"/>
      <c r="G140" s="17"/>
      <c r="H140" s="17"/>
      <c r="I140" s="17"/>
      <c r="J140" s="13"/>
      <c r="K140" s="19"/>
      <c r="L140" s="19"/>
      <c r="M140" s="19"/>
      <c r="N140" s="19"/>
      <c r="O140" s="19"/>
      <c r="P140" s="19"/>
      <c r="Q140" s="19"/>
      <c r="R140" s="19"/>
      <c r="S140" s="19"/>
      <c r="T140" s="19"/>
      <c r="U140" s="20"/>
      <c r="V140" s="119"/>
      <c r="W140" s="138"/>
      <c r="X140" s="147"/>
      <c r="Z140" s="185"/>
      <c r="AJ140" s="179"/>
      <c r="AK140" s="153"/>
      <c r="AL140" s="76"/>
      <c r="AM140" s="76"/>
      <c r="AN140" s="76"/>
      <c r="AO140" s="76"/>
      <c r="AP140" s="76"/>
      <c r="AQ140" s="76"/>
      <c r="AR140" s="76"/>
    </row>
    <row r="141" spans="1:46" s="83" customFormat="1" ht="15" customHeight="1" x14ac:dyDescent="0.2">
      <c r="A141" s="1399"/>
      <c r="B141" s="1421"/>
      <c r="C141" s="1421"/>
      <c r="D141" s="1421"/>
      <c r="E141" s="1421"/>
      <c r="F141" s="1421"/>
      <c r="G141" s="1421"/>
      <c r="H141" s="1421"/>
      <c r="I141" s="1421"/>
      <c r="J141" s="1421"/>
      <c r="K141" s="1421"/>
      <c r="L141" s="1421"/>
      <c r="M141" s="1421"/>
      <c r="N141" s="1421"/>
      <c r="O141" s="1421"/>
      <c r="P141" s="1421"/>
      <c r="Q141" s="1421"/>
      <c r="R141" s="1421"/>
      <c r="S141" s="1421"/>
      <c r="T141" s="1421"/>
      <c r="U141" s="1421"/>
      <c r="V141" s="1422"/>
      <c r="W141" s="138"/>
      <c r="X141" s="147"/>
      <c r="AK141" s="157"/>
      <c r="AT141" s="76"/>
    </row>
    <row r="142" spans="1:46" s="83" customFormat="1" ht="11.25" customHeight="1" x14ac:dyDescent="0.2">
      <c r="A142" s="1428" t="str">
        <f>Home!$A$40</f>
        <v>LA's provide quarterly data on the condition that it is used by the benchmarking group for internal reporting only. Please DO NOT share other LA's data with any external partners or the public</v>
      </c>
      <c r="B142" s="1429"/>
      <c r="C142" s="1429"/>
      <c r="D142" s="1429"/>
      <c r="E142" s="1429"/>
      <c r="F142" s="1429"/>
      <c r="G142" s="1429"/>
      <c r="H142" s="1429"/>
      <c r="I142" s="1430"/>
      <c r="J142" s="1429"/>
      <c r="K142" s="1429"/>
      <c r="L142" s="1429"/>
      <c r="M142" s="1429"/>
      <c r="N142" s="1429"/>
      <c r="O142" s="1429"/>
      <c r="P142" s="1431"/>
      <c r="Q142" s="1429"/>
      <c r="R142" s="1429"/>
      <c r="S142" s="1429"/>
      <c r="T142" s="1430"/>
      <c r="U142" s="1429"/>
      <c r="V142" s="1432"/>
      <c r="W142" s="138"/>
      <c r="X142" s="147"/>
      <c r="AJ142" s="179"/>
      <c r="AK142" s="156"/>
      <c r="AL142" s="89"/>
      <c r="AT142" s="76"/>
    </row>
    <row r="143" spans="1:46" ht="11.25" customHeight="1" x14ac:dyDescent="0.2">
      <c r="A143" s="114"/>
      <c r="B143" s="115"/>
      <c r="C143" s="115"/>
      <c r="D143" s="115"/>
      <c r="E143" s="115"/>
      <c r="F143" s="115"/>
      <c r="G143" s="115"/>
      <c r="H143" s="115"/>
      <c r="I143" s="115"/>
      <c r="J143" s="116"/>
      <c r="K143" s="115"/>
      <c r="L143" s="115"/>
      <c r="M143" s="115"/>
      <c r="N143" s="115"/>
      <c r="O143" s="115"/>
      <c r="P143" s="115"/>
      <c r="Q143" s="115"/>
      <c r="R143" s="115"/>
      <c r="S143" s="115"/>
      <c r="T143" s="115"/>
      <c r="U143" s="115"/>
      <c r="V143" s="117"/>
      <c r="W143" s="138"/>
      <c r="X143" s="147"/>
      <c r="Y143" s="193"/>
      <c r="Z143" s="191"/>
      <c r="AA143" s="183"/>
      <c r="AJ143" s="179"/>
      <c r="AK143" s="157"/>
    </row>
    <row r="144" spans="1:46" s="78" customFormat="1" ht="15" customHeight="1" x14ac:dyDescent="0.2">
      <c r="A144" s="121"/>
      <c r="B144" s="1574" t="str">
        <f>"Children Looked After for 2.5+ years"&amp;Z1 &amp;" who had been  living in the same placement for at least 2 years (%)"</f>
        <v>Children Looked After for 2.5+ years at 31st March who had been  living in the same placement for at least 2 years (%)</v>
      </c>
      <c r="C144" s="1574"/>
      <c r="D144" s="1574"/>
      <c r="E144" s="1574"/>
      <c r="F144" s="1574"/>
      <c r="G144" s="1574"/>
      <c r="H144" s="1574"/>
      <c r="I144" s="1574"/>
      <c r="J144" s="69"/>
      <c r="K144" s="69"/>
      <c r="L144" s="69"/>
      <c r="M144" s="69"/>
      <c r="N144" s="366"/>
      <c r="O144" s="69"/>
      <c r="P144" s="69"/>
      <c r="Q144" s="69"/>
      <c r="R144" s="69"/>
      <c r="S144" s="69"/>
      <c r="T144" s="69"/>
      <c r="U144" s="69"/>
      <c r="V144" s="122"/>
      <c r="W144" s="139"/>
      <c r="X144" s="148"/>
      <c r="Y144" s="374" t="s">
        <v>151</v>
      </c>
      <c r="Z144" s="375"/>
      <c r="AA144" s="376"/>
      <c r="AB144" s="376"/>
      <c r="AC144" s="376"/>
      <c r="AD144" s="565"/>
      <c r="AE144" s="374"/>
      <c r="AF144" s="375"/>
      <c r="AG144" s="376"/>
      <c r="AH144" s="376"/>
      <c r="AI144" s="376"/>
      <c r="AJ144" s="565"/>
      <c r="AK144" s="156"/>
    </row>
    <row r="145" spans="1:45" ht="15" customHeight="1" thickBot="1" x14ac:dyDescent="0.25">
      <c r="A145" s="120"/>
      <c r="B145" s="1574"/>
      <c r="C145" s="1574"/>
      <c r="D145" s="1574"/>
      <c r="E145" s="1574"/>
      <c r="F145" s="1574"/>
      <c r="G145" s="1574"/>
      <c r="H145" s="1574"/>
      <c r="I145" s="1574"/>
      <c r="J145" s="69"/>
      <c r="K145" s="69"/>
      <c r="L145" s="69"/>
      <c r="M145" s="69"/>
      <c r="N145" s="366"/>
      <c r="O145" s="69"/>
      <c r="P145" s="69"/>
      <c r="Q145" s="69"/>
      <c r="R145" s="10"/>
      <c r="S145" s="69"/>
      <c r="T145" s="69"/>
      <c r="U145" s="69"/>
      <c r="V145" s="119"/>
      <c r="W145" s="138"/>
      <c r="X145" s="147"/>
      <c r="Y145" s="376"/>
      <c r="Z145" s="375"/>
      <c r="AA145" s="376"/>
      <c r="AB145" s="376"/>
      <c r="AC145" s="376"/>
      <c r="AD145" s="565"/>
      <c r="AE145" s="374"/>
      <c r="AF145" s="375"/>
      <c r="AG145" s="376"/>
      <c r="AH145" s="376"/>
      <c r="AI145" s="376"/>
      <c r="AJ145" s="565"/>
      <c r="AK145" s="157"/>
    </row>
    <row r="146" spans="1:45" ht="13.5" customHeight="1" x14ac:dyDescent="0.2">
      <c r="A146" s="271"/>
      <c r="B146" s="1419" t="s">
        <v>190</v>
      </c>
      <c r="C146" s="873"/>
      <c r="D146" s="755" t="str">
        <f>Sheet1!$D$25</f>
        <v>2014-15</v>
      </c>
      <c r="E146" s="756" t="str">
        <f>Sheet1!$E$25</f>
        <v>2015-16</v>
      </c>
      <c r="F146" s="756" t="str">
        <f>Sheet1!$F$25</f>
        <v>2016-17</v>
      </c>
      <c r="G146" s="756" t="str">
        <f>Sheet1!$G$25</f>
        <v>2017-18</v>
      </c>
      <c r="H146" s="757" t="str">
        <f>Sheet1!$H$25</f>
        <v>2018-19</v>
      </c>
      <c r="I146" s="873"/>
      <c r="J146" s="69"/>
      <c r="K146" s="69"/>
      <c r="L146" s="69"/>
      <c r="M146" s="69"/>
      <c r="N146" s="870"/>
      <c r="O146" s="69"/>
      <c r="P146" s="69"/>
      <c r="Q146" s="69"/>
      <c r="R146" s="10"/>
      <c r="S146" s="69"/>
      <c r="T146" s="69"/>
      <c r="U146" s="69"/>
      <c r="V146" s="119"/>
      <c r="W146" s="138"/>
      <c r="X146" s="147"/>
      <c r="Y146" s="376"/>
      <c r="Z146" s="760" t="str">
        <f>IF(Sheet1!$C$3="Annual","",Sheet1!$D$26)</f>
        <v/>
      </c>
      <c r="AA146" s="761" t="str">
        <f>IF(Sheet1!$C$3="Annual","",Sheet1!$E$26)</f>
        <v/>
      </c>
      <c r="AB146" s="761" t="str">
        <f>IF(Sheet1!$C$3="Annual","",Sheet1!$F$26)</f>
        <v/>
      </c>
      <c r="AC146" s="761" t="str">
        <f>IF(Sheet1!$C$3="Annual","",Sheet1!$G$26)</f>
        <v/>
      </c>
      <c r="AD146" s="762" t="str">
        <f>IF(Sheet1!$C$3="Annual","",Sheet1!$H$26)</f>
        <v/>
      </c>
      <c r="AE146" s="374"/>
      <c r="AF146" s="375"/>
      <c r="AG146" s="376"/>
      <c r="AH146" s="376"/>
      <c r="AI146" s="376"/>
      <c r="AJ146" s="565"/>
      <c r="AK146" s="157"/>
    </row>
    <row r="147" spans="1:45" s="89" customFormat="1" ht="13.5" customHeight="1" thickBot="1" x14ac:dyDescent="0.25">
      <c r="A147" s="123"/>
      <c r="B147" s="1420"/>
      <c r="C147" s="87"/>
      <c r="D147" s="758" t="e">
        <f>Sheet1!$D$26</f>
        <v>#N/A</v>
      </c>
      <c r="E147" s="758" t="e">
        <f>Sheet1!$E$26</f>
        <v>#N/A</v>
      </c>
      <c r="F147" s="758" t="e">
        <f>Sheet1!$F$26</f>
        <v>#N/A</v>
      </c>
      <c r="G147" s="758" t="e">
        <f>Sheet1!$G$26</f>
        <v>#N/A</v>
      </c>
      <c r="H147" s="759" t="e">
        <f>Sheet1!$H$26</f>
        <v>#N/A</v>
      </c>
      <c r="I147" s="98"/>
      <c r="J147" s="98"/>
      <c r="K147" s="61"/>
      <c r="L147" s="61"/>
      <c r="M147" s="61"/>
      <c r="N147" s="61"/>
      <c r="O147" s="61"/>
      <c r="P147" s="61"/>
      <c r="Q147" s="372"/>
      <c r="R147" s="372"/>
      <c r="S147" s="155"/>
      <c r="T147" s="155"/>
      <c r="U147" s="371"/>
      <c r="V147" s="124"/>
      <c r="W147" s="140"/>
      <c r="X147" s="149"/>
      <c r="Y147" s="365"/>
      <c r="Z147" s="763" t="str">
        <f>Sheet1!$D$25</f>
        <v>2014-15</v>
      </c>
      <c r="AA147" s="764" t="str">
        <f>Sheet1!$E$25</f>
        <v>2015-16</v>
      </c>
      <c r="AB147" s="764" t="str">
        <f>Sheet1!$F$25</f>
        <v>2016-17</v>
      </c>
      <c r="AC147" s="764" t="str">
        <f>Sheet1!$G$25</f>
        <v>2017-18</v>
      </c>
      <c r="AD147" s="765" t="str">
        <f>Sheet1!$H$25</f>
        <v>2018-19</v>
      </c>
      <c r="AE147" s="374"/>
      <c r="AF147" s="375"/>
      <c r="AG147" s="376"/>
      <c r="AH147" s="376"/>
      <c r="AI147" s="376"/>
      <c r="AJ147" s="565"/>
      <c r="AK147" s="156"/>
    </row>
    <row r="148" spans="1:45" s="89" customFormat="1" ht="12.75" customHeight="1" x14ac:dyDescent="0.2">
      <c r="A148" s="462">
        <f>VLOOKUP(B148,Sheet1!$AQ$4:$AR$25,2,FALSE)</f>
        <v>0</v>
      </c>
      <c r="B148" s="95" t="str">
        <f t="shared" ref="B148:B171" si="48">B10</f>
        <v>Bracknell Forest</v>
      </c>
      <c r="C148" s="87"/>
      <c r="D148" s="158" t="e">
        <f t="shared" ref="D148:D171" si="49">IF(AND(ISNUMBER(Z148),ISNUMBER(AF112)),Z148/AF112,NA())</f>
        <v>#N/A</v>
      </c>
      <c r="E148" s="158">
        <f t="shared" ref="E148:H148" si="50">IF(AND(ISNUMBER(AA148),ISNUMBER(AG112)),AA148/AG112,NA())</f>
        <v>0.6</v>
      </c>
      <c r="F148" s="158">
        <f t="shared" si="50"/>
        <v>0.5714285714285714</v>
      </c>
      <c r="G148" s="158">
        <f t="shared" si="50"/>
        <v>0.56000000000000005</v>
      </c>
      <c r="H148" s="160">
        <f t="shared" si="50"/>
        <v>0.64516129032258063</v>
      </c>
      <c r="I148" s="98"/>
      <c r="J148" s="98"/>
      <c r="K148" s="162"/>
      <c r="L148" s="162"/>
      <c r="M148" s="162"/>
      <c r="N148" s="162"/>
      <c r="O148" s="162"/>
      <c r="P148" s="162"/>
      <c r="Q148" s="162"/>
      <c r="R148" s="163"/>
      <c r="S148" s="155"/>
      <c r="T148" s="155"/>
      <c r="U148" s="162"/>
      <c r="V148" s="124"/>
      <c r="W148" s="140"/>
      <c r="X148" s="149"/>
      <c r="Y148" s="365" t="str">
        <f>B148</f>
        <v>Bracknell Forest</v>
      </c>
      <c r="Z148" s="463" t="str">
        <f>IF(Year1_Bracknell_Forest Year1_LAC_under16_2.5years_sameplacement2years="","",Year1_Bracknell_Forest Year1_LAC_under16_2.5years_sameplacement2years)</f>
        <v/>
      </c>
      <c r="AA148" s="365">
        <f>IF(Year2_Bracknell_Forest Year2_LAC_under16_2.5years_sameplacement2years="","",Year2_Bracknell_Forest Year2_LAC_under16_2.5years_sameplacement2years)</f>
        <v>15</v>
      </c>
      <c r="AB148" s="365">
        <f>IF(Year3_Bracknell_Forest Year3_LAC_under16_2.5years_sameplacement2years="","",Year3_Bracknell_Forest Year3_LAC_under16_2.5years_sameplacement2years)</f>
        <v>20</v>
      </c>
      <c r="AC148" s="365">
        <f>IF(Year4_Bracknell_Forest Year4_LAC_under16_2.5years_sameplacement2years="","",Year4_Bracknell_Forest Year4_LAC_under16_2.5years_sameplacement2years)</f>
        <v>14</v>
      </c>
      <c r="AD148" s="365">
        <f>IF(Year5_Bracknell_Forest Year5_LAC_under16_2.5years_sameplacement2years="","",Year5_Bracknell_Forest Year5_LAC_under16_2.5years_sameplacement2years)</f>
        <v>20</v>
      </c>
      <c r="AE148" s="374"/>
      <c r="AF148" s="375"/>
      <c r="AG148" s="376"/>
      <c r="AH148" s="376"/>
      <c r="AI148" s="376"/>
      <c r="AJ148" s="565"/>
      <c r="AK148" s="157"/>
    </row>
    <row r="149" spans="1:45" s="89" customFormat="1" ht="12.75" customHeight="1" x14ac:dyDescent="0.2">
      <c r="A149" s="462">
        <f>VLOOKUP(B149,Sheet1!$AQ$4:$AR$25,2,FALSE)</f>
        <v>0</v>
      </c>
      <c r="B149" s="95" t="str">
        <f t="shared" si="48"/>
        <v>Brighton &amp; Hove</v>
      </c>
      <c r="C149" s="87"/>
      <c r="D149" s="158" t="e">
        <f t="shared" si="49"/>
        <v>#N/A</v>
      </c>
      <c r="E149" s="158">
        <f t="shared" ref="E149:E171" si="51">IF(AND(ISNUMBER(AA149),ISNUMBER(AG113)),AA149/AG113,NA())</f>
        <v>0.6428571428571429</v>
      </c>
      <c r="F149" s="158">
        <f t="shared" ref="F149:F171" si="52">IF(AND(ISNUMBER(AB149),ISNUMBER(AH113)),AB149/AH113,NA())</f>
        <v>0.73076923076923073</v>
      </c>
      <c r="G149" s="158">
        <f t="shared" ref="G149:G171" si="53">IF(AND(ISNUMBER(AC149),ISNUMBER(AI113)),AC149/AI113,NA())</f>
        <v>0.68852459016393441</v>
      </c>
      <c r="H149" s="160">
        <f t="shared" ref="H149:H171" si="54">IF(AND(ISNUMBER(AD149),ISNUMBER(AJ113)),AD149/AJ113,NA())</f>
        <v>0.63716814159292035</v>
      </c>
      <c r="I149" s="98"/>
      <c r="J149" s="98"/>
      <c r="K149" s="162"/>
      <c r="L149" s="162"/>
      <c r="M149" s="162"/>
      <c r="N149" s="162"/>
      <c r="O149" s="162"/>
      <c r="P149" s="162"/>
      <c r="Q149" s="162"/>
      <c r="R149" s="163"/>
      <c r="S149" s="155"/>
      <c r="T149" s="155"/>
      <c r="U149" s="162"/>
      <c r="V149" s="124"/>
      <c r="W149" s="140"/>
      <c r="X149" s="149"/>
      <c r="Y149" s="365" t="str">
        <f t="shared" ref="Y149:Y171" si="55">B149</f>
        <v>Brighton &amp; Hove</v>
      </c>
      <c r="Z149" s="463" t="str">
        <f>IF(Year1_Brighton_Hove Year1_LAC_under16_2.5years_sameplacement2years="","",Year1_Brighton_Hove Year1_LAC_under16_2.5years_sameplacement2years)</f>
        <v/>
      </c>
      <c r="AA149" s="365">
        <f>IF(Year2_Brighton_Hove Year2_LAC_under16_2.5years_sameplacement2years="","",Year2_Brighton_Hove Year2_LAC_under16_2.5years_sameplacement2years)</f>
        <v>90</v>
      </c>
      <c r="AB149" s="365">
        <f>IF(Year3_Brighton_Hove Year3_LAC_under16_2.5years_sameplacement2years="","",Year3_Brighton_Hove Year3_LAC_under16_2.5years_sameplacement2years)</f>
        <v>95</v>
      </c>
      <c r="AC149" s="365">
        <f>IF(Year4_Brighton_Hove Year4_LAC_under16_2.5years_sameplacement2years="","",Year4_Brighton_Hove Year4_LAC_under16_2.5years_sameplacement2years)</f>
        <v>84</v>
      </c>
      <c r="AD149" s="365">
        <f>IF(Year5_Brighton_Hove Year5_LAC_under16_2.5years_sameplacement2years="","",Year5_Brighton_Hove Year5_LAC_under16_2.5years_sameplacement2years)</f>
        <v>72</v>
      </c>
      <c r="AE149" s="374"/>
      <c r="AF149" s="580"/>
      <c r="AG149" s="376"/>
      <c r="AH149" s="376"/>
      <c r="AI149" s="376"/>
      <c r="AJ149" s="565"/>
      <c r="AK149" s="156"/>
    </row>
    <row r="150" spans="1:45" s="89" customFormat="1" ht="12.75" customHeight="1" x14ac:dyDescent="0.2">
      <c r="A150" s="462">
        <f>VLOOKUP(B150,Sheet1!$AQ$4:$AR$25,2,FALSE)</f>
        <v>0</v>
      </c>
      <c r="B150" s="95" t="str">
        <f t="shared" si="48"/>
        <v>Buckinghamshire</v>
      </c>
      <c r="C150" s="87"/>
      <c r="D150" s="158" t="e">
        <f t="shared" si="49"/>
        <v>#N/A</v>
      </c>
      <c r="E150" s="158">
        <f t="shared" si="51"/>
        <v>0.6333333333333333</v>
      </c>
      <c r="F150" s="158">
        <f t="shared" si="52"/>
        <v>0.7142857142857143</v>
      </c>
      <c r="G150" s="158">
        <f t="shared" si="53"/>
        <v>0.7021276595744681</v>
      </c>
      <c r="H150" s="160">
        <f t="shared" si="54"/>
        <v>0.72674418604651159</v>
      </c>
      <c r="I150" s="98"/>
      <c r="J150" s="98"/>
      <c r="K150" s="162"/>
      <c r="L150" s="162"/>
      <c r="M150" s="162"/>
      <c r="N150" s="162"/>
      <c r="O150" s="162"/>
      <c r="P150" s="162"/>
      <c r="Q150" s="162"/>
      <c r="R150" s="163"/>
      <c r="S150" s="155"/>
      <c r="T150" s="155"/>
      <c r="U150" s="162"/>
      <c r="V150" s="124"/>
      <c r="W150" s="140"/>
      <c r="X150" s="149"/>
      <c r="Y150" s="365" t="str">
        <f t="shared" si="55"/>
        <v>Buckinghamshire</v>
      </c>
      <c r="Z150" s="463" t="str">
        <f>IF(Year1_Buckinghamshire Year1_LAC_under16_2.5years_sameplacement2years="","",Year1_Buckinghamshire Year1_LAC_under16_2.5years_sameplacement2years)</f>
        <v/>
      </c>
      <c r="AA150" s="365">
        <f>IF(Year2_Buckinghamshire Year2_LAC_under16_2.5years_sameplacement2years="","",Year2_Buckinghamshire Year2_LAC_under16_2.5years_sameplacement2years)</f>
        <v>95</v>
      </c>
      <c r="AB150" s="365">
        <f>IF(Year3_Buckinghamshire Year3_LAC_under16_2.5years_sameplacement2years="","",Year3_Buckinghamshire Year3_LAC_under16_2.5years_sameplacement2years)</f>
        <v>100</v>
      </c>
      <c r="AC150" s="365">
        <f>IF(Year4_Buckinghamshire Year4_LAC_under16_2.5years_sameplacement2years="","",Year4_Buckinghamshire Year4_LAC_under16_2.5years_sameplacement2years)</f>
        <v>99</v>
      </c>
      <c r="AD150" s="365">
        <f>IF(Year5_Buckinghamshire Year5_LAC_under16_2.5years_sameplacement2years="","",Year5_Buckinghamshire Year5_LAC_under16_2.5years_sameplacement2years)</f>
        <v>125</v>
      </c>
      <c r="AE150" s="374"/>
      <c r="AF150" s="580"/>
      <c r="AG150" s="376"/>
      <c r="AH150" s="376"/>
      <c r="AI150" s="376"/>
      <c r="AJ150" s="565"/>
      <c r="AK150" s="157"/>
    </row>
    <row r="151" spans="1:45" s="89" customFormat="1" ht="12.75" customHeight="1" x14ac:dyDescent="0.2">
      <c r="A151" s="462">
        <f>VLOOKUP(B151,Sheet1!$AQ$4:$AR$25,2,FALSE)</f>
        <v>0</v>
      </c>
      <c r="B151" s="95" t="str">
        <f t="shared" si="48"/>
        <v>East Sussex</v>
      </c>
      <c r="C151" s="87"/>
      <c r="D151" s="158" t="e">
        <f t="shared" si="49"/>
        <v>#N/A</v>
      </c>
      <c r="E151" s="158">
        <f t="shared" si="51"/>
        <v>0.64583333333333337</v>
      </c>
      <c r="F151" s="158">
        <f t="shared" si="52"/>
        <v>0.70454545454545459</v>
      </c>
      <c r="G151" s="158">
        <f t="shared" si="53"/>
        <v>0.70531400966183577</v>
      </c>
      <c r="H151" s="160">
        <f t="shared" si="54"/>
        <v>0.69683257918552033</v>
      </c>
      <c r="I151" s="98"/>
      <c r="J151" s="98"/>
      <c r="K151" s="162"/>
      <c r="L151" s="162"/>
      <c r="M151" s="162"/>
      <c r="N151" s="162"/>
      <c r="O151" s="162"/>
      <c r="P151" s="162"/>
      <c r="Q151" s="162"/>
      <c r="R151" s="163"/>
      <c r="S151" s="155"/>
      <c r="T151" s="155"/>
      <c r="U151" s="162"/>
      <c r="V151" s="124"/>
      <c r="W151" s="140"/>
      <c r="X151" s="149"/>
      <c r="Y151" s="365" t="str">
        <f t="shared" si="55"/>
        <v>East Sussex</v>
      </c>
      <c r="Z151" s="463" t="str">
        <f>IF(Year1_East_Sussex Year1_LAC_under16_2.5years_sameplacement2years="","",Year1_East_Sussex Year1_LAC_under16_2.5years_sameplacement2years)</f>
        <v/>
      </c>
      <c r="AA151" s="365">
        <f>IF(Year2_East_Sussex Year2_LAC_under16_2.5years_sameplacement2years="","",Year2_East_Sussex Year2_LAC_under16_2.5years_sameplacement2years)</f>
        <v>155</v>
      </c>
      <c r="AB151" s="365">
        <f>IF(Year3_East_Sussex Year3_LAC_under16_2.5years_sameplacement2years="","",Year3_East_Sussex Year3_LAC_under16_2.5years_sameplacement2years)</f>
        <v>155</v>
      </c>
      <c r="AC151" s="365">
        <f>IF(Year4_East_Sussex Year4_LAC_under16_2.5years_sameplacement2years="","",Year4_East_Sussex Year4_LAC_under16_2.5years_sameplacement2years)</f>
        <v>146</v>
      </c>
      <c r="AD151" s="365">
        <f>IF(Year5_East_Sussex Year5_LAC_under16_2.5years_sameplacement2years="","",Year5_East_Sussex Year5_LAC_under16_2.5years_sameplacement2years)</f>
        <v>154</v>
      </c>
      <c r="AE151" s="374"/>
      <c r="AF151" s="580"/>
      <c r="AG151" s="376"/>
      <c r="AH151" s="376"/>
      <c r="AI151" s="376"/>
      <c r="AJ151" s="565"/>
      <c r="AK151" s="156"/>
    </row>
    <row r="152" spans="1:45" s="89" customFormat="1" ht="12.75" customHeight="1" x14ac:dyDescent="0.2">
      <c r="A152" s="462">
        <f>VLOOKUP(B152,Sheet1!$AQ$4:$AR$25,2,FALSE)</f>
        <v>0</v>
      </c>
      <c r="B152" s="95" t="str">
        <f t="shared" si="48"/>
        <v>Hampshire</v>
      </c>
      <c r="C152" s="87"/>
      <c r="D152" s="158" t="e">
        <f t="shared" si="49"/>
        <v>#N/A</v>
      </c>
      <c r="E152" s="158">
        <f t="shared" si="51"/>
        <v>0.66666666666666663</v>
      </c>
      <c r="F152" s="158">
        <f t="shared" si="52"/>
        <v>0.68421052631578949</v>
      </c>
      <c r="G152" s="158">
        <f t="shared" si="53"/>
        <v>0.72386587771203159</v>
      </c>
      <c r="H152" s="160">
        <f t="shared" si="54"/>
        <v>0.67354596622889307</v>
      </c>
      <c r="I152" s="98"/>
      <c r="J152" s="98"/>
      <c r="K152" s="162"/>
      <c r="L152" s="162"/>
      <c r="M152" s="162"/>
      <c r="N152" s="162"/>
      <c r="O152" s="162"/>
      <c r="P152" s="162"/>
      <c r="Q152" s="162"/>
      <c r="R152" s="163"/>
      <c r="S152" s="155"/>
      <c r="T152" s="155"/>
      <c r="U152" s="162"/>
      <c r="V152" s="124"/>
      <c r="W152" s="140"/>
      <c r="X152" s="149"/>
      <c r="Y152" s="365" t="str">
        <f t="shared" si="55"/>
        <v>Hampshire</v>
      </c>
      <c r="Z152" s="463" t="str">
        <f>IF(Year1_Hampshire Year1_LAC_under16_2.5years_sameplacement2years="","",Year1_Hampshire Year1_LAC_under16_2.5years_sameplacement2years)</f>
        <v/>
      </c>
      <c r="AA152" s="365">
        <f>IF(Year2_Hampshire Year2_LAC_under16_2.5years_sameplacement2years="","",Year2_Hampshire Year2_LAC_under16_2.5years_sameplacement2years)</f>
        <v>280</v>
      </c>
      <c r="AB152" s="365">
        <f>IF(Year3_Hampshire Year3_LAC_under16_2.5years_sameplacement2years="","",Year3_Hampshire Year3_LAC_under16_2.5years_sameplacement2years)</f>
        <v>325</v>
      </c>
      <c r="AC152" s="365">
        <f>IF(Year4_Hampshire Year4_LAC_under16_2.5years_sameplacement2years="","",Year4_Hampshire Year4_LAC_under16_2.5years_sameplacement2years)</f>
        <v>367</v>
      </c>
      <c r="AD152" s="365">
        <f>IF(Year5_Hampshire Year5_LAC_under16_2.5years_sameplacement2years="","",Year5_Hampshire Year5_LAC_under16_2.5years_sameplacement2years)</f>
        <v>359</v>
      </c>
      <c r="AE152" s="374"/>
      <c r="AF152" s="580"/>
      <c r="AG152" s="376"/>
      <c r="AH152" s="376"/>
      <c r="AI152" s="376"/>
      <c r="AJ152" s="565"/>
      <c r="AK152" s="157"/>
    </row>
    <row r="153" spans="1:45" s="89" customFormat="1" ht="12.75" customHeight="1" x14ac:dyDescent="0.2">
      <c r="A153" s="462">
        <f>VLOOKUP(B153,Sheet1!$AQ$4:$AR$25,2,FALSE)</f>
        <v>0</v>
      </c>
      <c r="B153" s="95" t="str">
        <f t="shared" si="48"/>
        <v>Isle of Wight</v>
      </c>
      <c r="C153" s="87"/>
      <c r="D153" s="158" t="e">
        <f t="shared" si="49"/>
        <v>#N/A</v>
      </c>
      <c r="E153" s="158">
        <f t="shared" si="51"/>
        <v>0.66666666666666663</v>
      </c>
      <c r="F153" s="158">
        <f t="shared" si="52"/>
        <v>0.63636363636363635</v>
      </c>
      <c r="G153" s="158">
        <f t="shared" si="53"/>
        <v>0.7384615384615385</v>
      </c>
      <c r="H153" s="160">
        <f t="shared" si="54"/>
        <v>0.62105263157894741</v>
      </c>
      <c r="I153" s="98"/>
      <c r="J153" s="98"/>
      <c r="K153" s="162"/>
      <c r="L153" s="162"/>
      <c r="M153" s="162"/>
      <c r="N153" s="162"/>
      <c r="O153" s="162"/>
      <c r="P153" s="162"/>
      <c r="Q153" s="162"/>
      <c r="R153" s="163"/>
      <c r="S153" s="155"/>
      <c r="T153" s="155"/>
      <c r="U153" s="162"/>
      <c r="V153" s="124"/>
      <c r="W153" s="140"/>
      <c r="X153" s="149"/>
      <c r="Y153" s="365" t="str">
        <f t="shared" si="55"/>
        <v>Isle of Wight</v>
      </c>
      <c r="Z153" s="463" t="str">
        <f>IF(Year1_Isle_of_Wight Year1_LAC_under16_2.5years_sameplacement2years="","",Year1_Isle_of_Wight Year1_LAC_under16_2.5years_sameplacement2years)</f>
        <v/>
      </c>
      <c r="AA153" s="365">
        <f>IF(Year2_Isle_of_Wight Year2_LAC_under16_2.5years_sameplacement2years="","",Year2_Isle_of_Wight Year2_LAC_under16_2.5years_sameplacement2years)</f>
        <v>40</v>
      </c>
      <c r="AB153" s="365">
        <f>IF(Year3_Isle_of_Wight Year3_LAC_under16_2.5years_sameplacement2years="","",Year3_Isle_of_Wight Year3_LAC_under16_2.5years_sameplacement2years)</f>
        <v>35</v>
      </c>
      <c r="AC153" s="365">
        <f>IF(Year4_Isle_of_Wight Year4_LAC_under16_2.5years_sameplacement2years="","",Year4_Isle_of_Wight Year4_LAC_under16_2.5years_sameplacement2years)</f>
        <v>48</v>
      </c>
      <c r="AD153" s="365">
        <f>IF(Year5_Isle_of_Wight Year5_LAC_under16_2.5years_sameplacement2years="","",Year5_Isle_of_Wight Year5_LAC_under16_2.5years_sameplacement2years)</f>
        <v>59</v>
      </c>
      <c r="AE153" s="374"/>
      <c r="AF153" s="580"/>
      <c r="AG153" s="376"/>
      <c r="AH153" s="376"/>
      <c r="AI153" s="376"/>
      <c r="AJ153" s="565"/>
      <c r="AK153" s="156"/>
      <c r="AS153" s="89" t="s">
        <v>103</v>
      </c>
    </row>
    <row r="154" spans="1:45" s="89" customFormat="1" ht="12.75" customHeight="1" x14ac:dyDescent="0.2">
      <c r="A154" s="462">
        <f>VLOOKUP(B154,Sheet1!$AQ$4:$AR$25,2,FALSE)</f>
        <v>0</v>
      </c>
      <c r="B154" s="95" t="str">
        <f t="shared" si="48"/>
        <v>Kent</v>
      </c>
      <c r="C154" s="87"/>
      <c r="D154" s="158" t="e">
        <f t="shared" si="49"/>
        <v>#N/A</v>
      </c>
      <c r="E154" s="158">
        <f t="shared" si="51"/>
        <v>0.69026548672566368</v>
      </c>
      <c r="F154" s="158">
        <f t="shared" si="52"/>
        <v>0.69090909090909092</v>
      </c>
      <c r="G154" s="158">
        <f t="shared" si="53"/>
        <v>0.67844522968197885</v>
      </c>
      <c r="H154" s="160">
        <f t="shared" si="54"/>
        <v>0.70437956204379559</v>
      </c>
      <c r="I154" s="98"/>
      <c r="J154" s="98"/>
      <c r="K154" s="162"/>
      <c r="L154" s="162"/>
      <c r="M154" s="162"/>
      <c r="N154" s="162"/>
      <c r="O154" s="162"/>
      <c r="P154" s="162"/>
      <c r="Q154" s="162"/>
      <c r="R154" s="163"/>
      <c r="S154" s="155"/>
      <c r="T154" s="155"/>
      <c r="U154" s="162"/>
      <c r="V154" s="124"/>
      <c r="W154" s="140"/>
      <c r="X154" s="149"/>
      <c r="Y154" s="365" t="str">
        <f t="shared" si="55"/>
        <v>Kent</v>
      </c>
      <c r="Z154" s="463" t="str">
        <f>IF(Year1_Kent Year1_LAC_under16_2.5years_sameplacement2years="","",Year1_Kent Year1_LAC_under16_2.5years_sameplacement2years)</f>
        <v/>
      </c>
      <c r="AA154" s="365">
        <f>IF(Year2_Kent Year2_LAC_under16_2.5years_sameplacement2years="","",Year2_Kent Year2_LAC_under16_2.5years_sameplacement2years)</f>
        <v>390</v>
      </c>
      <c r="AB154" s="365">
        <f>IF(Year3_Kent Year3_LAC_under16_2.5years_sameplacement2years="","",Year3_Kent Year3_LAC_under16_2.5years_sameplacement2years)</f>
        <v>380</v>
      </c>
      <c r="AC154" s="365">
        <f>IF(Year4_Kent Year4_LAC_under16_2.5years_sameplacement2years="","",Year4_Kent Year4_LAC_under16_2.5years_sameplacement2years)</f>
        <v>384</v>
      </c>
      <c r="AD154" s="365">
        <f>IF(Year5_Kent Year5_LAC_under16_2.5years_sameplacement2years="","",Year5_Kent Year5_LAC_under16_2.5years_sameplacement2years)</f>
        <v>386</v>
      </c>
      <c r="AE154" s="374"/>
      <c r="AF154" s="375"/>
      <c r="AG154" s="376"/>
      <c r="AH154" s="376"/>
      <c r="AI154" s="376"/>
      <c r="AJ154" s="565"/>
      <c r="AK154" s="157"/>
    </row>
    <row r="155" spans="1:45" s="89" customFormat="1" ht="12.75" customHeight="1" x14ac:dyDescent="0.2">
      <c r="A155" s="462">
        <f>VLOOKUP(B155,Sheet1!$AQ$4:$AR$25,2,FALSE)</f>
        <v>0</v>
      </c>
      <c r="B155" s="95" t="str">
        <f t="shared" si="48"/>
        <v>Medway</v>
      </c>
      <c r="C155" s="87"/>
      <c r="D155" s="158" t="e">
        <f t="shared" si="49"/>
        <v>#N/A</v>
      </c>
      <c r="E155" s="158">
        <f t="shared" si="51"/>
        <v>0.73076923076923073</v>
      </c>
      <c r="F155" s="158">
        <f t="shared" si="52"/>
        <v>0.76666666666666672</v>
      </c>
      <c r="G155" s="158">
        <f t="shared" si="53"/>
        <v>0.6706586826347305</v>
      </c>
      <c r="H155" s="160">
        <f t="shared" si="54"/>
        <v>0.71176470588235297</v>
      </c>
      <c r="I155" s="98"/>
      <c r="J155" s="98"/>
      <c r="K155" s="162"/>
      <c r="L155" s="162"/>
      <c r="M155" s="162"/>
      <c r="N155" s="162"/>
      <c r="O155" s="162"/>
      <c r="P155" s="162"/>
      <c r="Q155" s="162"/>
      <c r="R155" s="163"/>
      <c r="S155" s="155"/>
      <c r="T155" s="155"/>
      <c r="U155" s="162"/>
      <c r="V155" s="124"/>
      <c r="W155" s="140"/>
      <c r="X155" s="149"/>
      <c r="Y155" s="365" t="str">
        <f t="shared" si="55"/>
        <v>Medway</v>
      </c>
      <c r="Z155" s="463" t="str">
        <f>IF(Year1_Medway Year1_LAC_under16_2.5years_sameplacement2years="","",Year1_Medway Year1_LAC_under16_2.5years_sameplacement2years)</f>
        <v/>
      </c>
      <c r="AA155" s="365">
        <f>IF(Year2_Medway Year2_LAC_under16_2.5years_sameplacement2years="","",Year2_Medway Year2_LAC_under16_2.5years_sameplacement2years)</f>
        <v>95</v>
      </c>
      <c r="AB155" s="365">
        <f>IF(Year3_Medway Year3_LAC_under16_2.5years_sameplacement2years="","",Year3_Medway Year3_LAC_under16_2.5years_sameplacement2years)</f>
        <v>115</v>
      </c>
      <c r="AC155" s="365">
        <f>IF(Year4_Medway Year4_LAC_under16_2.5years_sameplacement2years="","",Year4_Medway Year4_LAC_under16_2.5years_sameplacement2years)</f>
        <v>112</v>
      </c>
      <c r="AD155" s="365">
        <f>IF(Year5_Medway Year5_LAC_under16_2.5years_sameplacement2years="","",Year5_Medway Year5_LAC_under16_2.5years_sameplacement2years)</f>
        <v>121</v>
      </c>
      <c r="AE155" s="374"/>
      <c r="AF155" s="375"/>
      <c r="AG155" s="376"/>
      <c r="AH155" s="376"/>
      <c r="AI155" s="376"/>
      <c r="AJ155" s="565"/>
      <c r="AK155" s="156"/>
    </row>
    <row r="156" spans="1:45" s="89" customFormat="1" ht="12.75" customHeight="1" x14ac:dyDescent="0.2">
      <c r="A156" s="462">
        <f>VLOOKUP(B156,Sheet1!$AQ$4:$AR$25,2,FALSE)</f>
        <v>0</v>
      </c>
      <c r="B156" s="95" t="str">
        <f t="shared" si="48"/>
        <v>Milton Keynes</v>
      </c>
      <c r="C156" s="87"/>
      <c r="D156" s="158" t="e">
        <f t="shared" si="49"/>
        <v>#N/A</v>
      </c>
      <c r="E156" s="158">
        <f t="shared" si="51"/>
        <v>0.54545454545454541</v>
      </c>
      <c r="F156" s="158">
        <f t="shared" si="52"/>
        <v>0.625</v>
      </c>
      <c r="G156" s="158">
        <f t="shared" si="53"/>
        <v>0.5703125</v>
      </c>
      <c r="H156" s="160">
        <f t="shared" si="54"/>
        <v>0.66</v>
      </c>
      <c r="I156" s="98"/>
      <c r="J156" s="98"/>
      <c r="K156" s="162"/>
      <c r="L156" s="162"/>
      <c r="M156" s="162"/>
      <c r="N156" s="162"/>
      <c r="O156" s="162"/>
      <c r="P156" s="162"/>
      <c r="Q156" s="162"/>
      <c r="R156" s="163"/>
      <c r="S156" s="155"/>
      <c r="T156" s="155"/>
      <c r="U156" s="162"/>
      <c r="V156" s="124"/>
      <c r="W156" s="140"/>
      <c r="X156" s="149"/>
      <c r="Y156" s="365" t="str">
        <f t="shared" si="55"/>
        <v>Milton Keynes</v>
      </c>
      <c r="Z156" s="463" t="str">
        <f>IF(Year1_Milton_Keynes Year1_LAC_under16_2.5years_sameplacement2years="","",Year1_Milton_Keynes Year1_LAC_under16_2.5years_sameplacement2years)</f>
        <v/>
      </c>
      <c r="AA156" s="365">
        <f>IF(Year2_Milton_Keynes Year2_LAC_under16_2.5years_sameplacement2years="","",Year2_Milton_Keynes Year2_LAC_under16_2.5years_sameplacement2years)</f>
        <v>60</v>
      </c>
      <c r="AB156" s="365">
        <f>IF(Year3_Milton_Keynes Year3_LAC_under16_2.5years_sameplacement2years="","",Year3_Milton_Keynes Year3_LAC_under16_2.5years_sameplacement2years)</f>
        <v>75</v>
      </c>
      <c r="AC156" s="365">
        <f>IF(Year4_Milton_Keynes Year4_LAC_under16_2.5years_sameplacement2years="","",Year4_Milton_Keynes Year4_LAC_under16_2.5years_sameplacement2years)</f>
        <v>73</v>
      </c>
      <c r="AD156" s="365">
        <f>IF(Year5_Milton_Keynes Year5_LAC_under16_2.5years_sameplacement2years="","",Year5_Milton_Keynes Year5_LAC_under16_2.5years_sameplacement2years)</f>
        <v>99</v>
      </c>
      <c r="AE156" s="374"/>
      <c r="AF156" s="375"/>
      <c r="AG156" s="376"/>
      <c r="AH156" s="376"/>
      <c r="AI156" s="376"/>
      <c r="AJ156" s="565"/>
      <c r="AK156" s="157"/>
    </row>
    <row r="157" spans="1:45" s="89" customFormat="1" ht="12.75" customHeight="1" x14ac:dyDescent="0.2">
      <c r="A157" s="462">
        <f>VLOOKUP(B157,Sheet1!$AQ$4:$AR$25,2,FALSE)</f>
        <v>0</v>
      </c>
      <c r="B157" s="95" t="str">
        <f t="shared" si="48"/>
        <v>Oxfordshire</v>
      </c>
      <c r="C157" s="87"/>
      <c r="D157" s="158" t="e">
        <f t="shared" si="49"/>
        <v>#N/A</v>
      </c>
      <c r="E157" s="158">
        <f t="shared" si="51"/>
        <v>0.66666666666666663</v>
      </c>
      <c r="F157" s="158">
        <f t="shared" si="52"/>
        <v>0.69230769230769229</v>
      </c>
      <c r="G157" s="158">
        <f t="shared" si="53"/>
        <v>0.65432098765432101</v>
      </c>
      <c r="H157" s="160">
        <f t="shared" si="54"/>
        <v>0.70370370370370372</v>
      </c>
      <c r="I157" s="98"/>
      <c r="J157" s="98"/>
      <c r="K157" s="162"/>
      <c r="L157" s="162"/>
      <c r="M157" s="162"/>
      <c r="N157" s="162"/>
      <c r="O157" s="162"/>
      <c r="P157" s="162"/>
      <c r="Q157" s="162"/>
      <c r="R157" s="163"/>
      <c r="S157" s="155"/>
      <c r="T157" s="155"/>
      <c r="U157" s="162"/>
      <c r="V157" s="124"/>
      <c r="W157" s="140"/>
      <c r="X157" s="149"/>
      <c r="Y157" s="365" t="str">
        <f t="shared" si="55"/>
        <v>Oxfordshire</v>
      </c>
      <c r="Z157" s="463" t="str">
        <f>IF(Year1_Oxfordshire Year1_LAC_under16_2.5years_sameplacement2years="","",Year1_Oxfordshire Year1_LAC_under16_2.5years_sameplacement2years)</f>
        <v/>
      </c>
      <c r="AA157" s="365">
        <f>IF(Year2_Oxfordshire Year2_LAC_under16_2.5years_sameplacement2years="","",Year2_Oxfordshire Year2_LAC_under16_2.5years_sameplacement2years)</f>
        <v>80</v>
      </c>
      <c r="AB157" s="365">
        <f>IF(Year3_Oxfordshire Year3_LAC_under16_2.5years_sameplacement2years="","",Year3_Oxfordshire Year3_LAC_under16_2.5years_sameplacement2years)</f>
        <v>90</v>
      </c>
      <c r="AC157" s="365">
        <f>IF(Year4_Oxfordshire Year4_LAC_under16_2.5years_sameplacement2years="","",Year4_Oxfordshire Year4_LAC_under16_2.5years_sameplacement2years)</f>
        <v>106</v>
      </c>
      <c r="AD157" s="365">
        <f>IF(Year5_Oxfordshire Year5_LAC_under16_2.5years_sameplacement2years="","",Year5_Oxfordshire Year5_LAC_under16_2.5years_sameplacement2years)</f>
        <v>133</v>
      </c>
      <c r="AE157" s="374"/>
      <c r="AF157" s="375"/>
      <c r="AG157" s="376"/>
      <c r="AH157" s="376"/>
      <c r="AI157" s="376"/>
      <c r="AJ157" s="565"/>
      <c r="AK157" s="156"/>
    </row>
    <row r="158" spans="1:45" s="89" customFormat="1" ht="12.75" customHeight="1" x14ac:dyDescent="0.2">
      <c r="A158" s="462">
        <f>VLOOKUP(B158,Sheet1!$AQ$4:$AR$25,2,FALSE)</f>
        <v>0</v>
      </c>
      <c r="B158" s="95" t="str">
        <f t="shared" si="48"/>
        <v>Portsmouth</v>
      </c>
      <c r="C158" s="87"/>
      <c r="D158" s="158" t="e">
        <f t="shared" si="49"/>
        <v>#N/A</v>
      </c>
      <c r="E158" s="158">
        <f t="shared" si="51"/>
        <v>0.54545454545454541</v>
      </c>
      <c r="F158" s="158">
        <f t="shared" si="52"/>
        <v>0.6</v>
      </c>
      <c r="G158" s="158">
        <f t="shared" si="53"/>
        <v>0.62184873949579833</v>
      </c>
      <c r="H158" s="160">
        <f t="shared" si="54"/>
        <v>0.66400000000000003</v>
      </c>
      <c r="I158" s="98"/>
      <c r="J158" s="98"/>
      <c r="K158" s="162"/>
      <c r="L158" s="162"/>
      <c r="M158" s="162"/>
      <c r="N158" s="162"/>
      <c r="O158" s="162"/>
      <c r="P158" s="162"/>
      <c r="Q158" s="162"/>
      <c r="R158" s="163"/>
      <c r="S158" s="155"/>
      <c r="T158" s="155"/>
      <c r="U158" s="162"/>
      <c r="V158" s="124"/>
      <c r="W158" s="140"/>
      <c r="X158" s="149"/>
      <c r="Y158" s="365" t="str">
        <f t="shared" si="55"/>
        <v>Portsmouth</v>
      </c>
      <c r="Z158" s="463" t="str">
        <f>IF(Year1_Portsmouth Year1_LAC_under16_2.5years_sameplacement2years="","",Year1_Portsmouth Year1_LAC_under16_2.5years_sameplacement2years)</f>
        <v/>
      </c>
      <c r="AA158" s="365">
        <f>IF(Year2_Portsmouth Year2_LAC_under16_2.5years_sameplacement2years="","",Year2_Portsmouth Year2_LAC_under16_2.5years_sameplacement2years)</f>
        <v>60</v>
      </c>
      <c r="AB158" s="365">
        <f>IF(Year3_Portsmouth Year3_LAC_under16_2.5years_sameplacement2years="","",Year3_Portsmouth Year3_LAC_under16_2.5years_sameplacement2years)</f>
        <v>75</v>
      </c>
      <c r="AC158" s="365">
        <f>IF(Year4_Portsmouth Year4_LAC_under16_2.5years_sameplacement2years="","",Year4_Portsmouth Year4_LAC_under16_2.5years_sameplacement2years)</f>
        <v>74</v>
      </c>
      <c r="AD158" s="365">
        <f>IF(Year5_Portsmouth Year5_LAC_under16_2.5years_sameplacement2years="","",Year5_Portsmouth Year5_LAC_under16_2.5years_sameplacement2years)</f>
        <v>83</v>
      </c>
      <c r="AE158" s="374"/>
      <c r="AF158" s="375"/>
      <c r="AG158" s="376"/>
      <c r="AH158" s="376"/>
      <c r="AI158" s="376"/>
      <c r="AJ158" s="565"/>
      <c r="AK158" s="157"/>
    </row>
    <row r="159" spans="1:45" s="89" customFormat="1" ht="12.75" customHeight="1" x14ac:dyDescent="0.2">
      <c r="A159" s="462">
        <f>VLOOKUP(B159,Sheet1!$AQ$4:$AR$25,2,FALSE)</f>
        <v>0</v>
      </c>
      <c r="B159" s="95" t="str">
        <f t="shared" si="48"/>
        <v>Reading</v>
      </c>
      <c r="C159" s="87"/>
      <c r="D159" s="158" t="e">
        <f t="shared" si="49"/>
        <v>#N/A</v>
      </c>
      <c r="E159" s="158">
        <f t="shared" si="51"/>
        <v>0.61538461538461542</v>
      </c>
      <c r="F159" s="158">
        <f t="shared" si="52"/>
        <v>0.75</v>
      </c>
      <c r="G159" s="158">
        <f t="shared" si="53"/>
        <v>0.63095238095238093</v>
      </c>
      <c r="H159" s="160">
        <f t="shared" si="54"/>
        <v>0.65979381443298968</v>
      </c>
      <c r="I159" s="98"/>
      <c r="J159" s="98"/>
      <c r="K159" s="162"/>
      <c r="L159" s="162"/>
      <c r="M159" s="162"/>
      <c r="N159" s="162"/>
      <c r="O159" s="162"/>
      <c r="P159" s="162"/>
      <c r="Q159" s="162"/>
      <c r="R159" s="163"/>
      <c r="S159" s="155"/>
      <c r="T159" s="155"/>
      <c r="U159" s="162"/>
      <c r="V159" s="124"/>
      <c r="W159" s="140"/>
      <c r="X159" s="149"/>
      <c r="Y159" s="365" t="str">
        <f t="shared" si="55"/>
        <v>Reading</v>
      </c>
      <c r="Z159" s="463" t="str">
        <f>IF(Year1_Reading Year1_LAC_under16_2.5years_sameplacement2years="","",Year1_Reading Year1_LAC_under16_2.5years_sameplacement2years)</f>
        <v/>
      </c>
      <c r="AA159" s="365">
        <f>IF(Year2_Reading Year2_LAC_under16_2.5years_sameplacement2years="","",Year2_Reading Year2_LAC_under16_2.5years_sameplacement2years)</f>
        <v>40</v>
      </c>
      <c r="AB159" s="365">
        <f>IF(Year3_Reading Year3_LAC_under16_2.5years_sameplacement2years="","",Year3_Reading Year3_LAC_under16_2.5years_sameplacement2years)</f>
        <v>45</v>
      </c>
      <c r="AC159" s="365">
        <f>IF(Year4_Reading Year4_LAC_under16_2.5years_sameplacement2years="","",Year4_Reading Year4_LAC_under16_2.5years_sameplacement2years)</f>
        <v>53</v>
      </c>
      <c r="AD159" s="365">
        <f>IF(Year5_Reading Year5_LAC_under16_2.5years_sameplacement2years="","",Year5_Reading Year5_LAC_under16_2.5years_sameplacement2years)</f>
        <v>64</v>
      </c>
      <c r="AE159" s="374"/>
      <c r="AF159" s="375"/>
      <c r="AG159" s="376"/>
      <c r="AH159" s="376"/>
      <c r="AI159" s="376"/>
      <c r="AJ159" s="565"/>
      <c r="AK159" s="156"/>
    </row>
    <row r="160" spans="1:45" s="89" customFormat="1" ht="12.75" customHeight="1" x14ac:dyDescent="0.2">
      <c r="A160" s="462">
        <f>VLOOKUP(B160,Sheet1!$AQ$4:$AR$25,2,FALSE)</f>
        <v>0</v>
      </c>
      <c r="B160" s="95" t="str">
        <f t="shared" si="48"/>
        <v>Slough</v>
      </c>
      <c r="C160" s="87"/>
      <c r="D160" s="158" t="e">
        <f t="shared" si="49"/>
        <v>#N/A</v>
      </c>
      <c r="E160" s="158">
        <f t="shared" si="51"/>
        <v>0.54545454545454541</v>
      </c>
      <c r="F160" s="158">
        <f t="shared" si="52"/>
        <v>0.6</v>
      </c>
      <c r="G160" s="158">
        <f t="shared" si="53"/>
        <v>0.71739130434782605</v>
      </c>
      <c r="H160" s="160">
        <f t="shared" si="54"/>
        <v>0.64814814814814814</v>
      </c>
      <c r="I160" s="98"/>
      <c r="J160" s="98"/>
      <c r="K160" s="162"/>
      <c r="L160" s="162"/>
      <c r="M160" s="162"/>
      <c r="N160" s="162"/>
      <c r="O160" s="162"/>
      <c r="P160" s="162"/>
      <c r="Q160" s="162"/>
      <c r="R160" s="163"/>
      <c r="S160" s="155"/>
      <c r="T160" s="155"/>
      <c r="U160" s="162"/>
      <c r="V160" s="124"/>
      <c r="W160" s="140"/>
      <c r="X160" s="149"/>
      <c r="Y160" s="365" t="str">
        <f t="shared" si="55"/>
        <v>Slough</v>
      </c>
      <c r="Z160" s="463" t="str">
        <f>IF(Year1_Slough Year1_LAC_under16_2.5years_sameplacement2years="","",Year1_Slough Year1_LAC_under16_2.5years_sameplacement2years)</f>
        <v/>
      </c>
      <c r="AA160" s="365">
        <f>IF(Year2_Slough Year2_LAC_under16_2.5years_sameplacement2years="","",Year2_Slough Year2_LAC_under16_2.5years_sameplacement2years)</f>
        <v>30</v>
      </c>
      <c r="AB160" s="365">
        <f>IF(Year3_Slough Year3_LAC_under16_2.5years_sameplacement2years="","",Year3_Slough Year3_LAC_under16_2.5years_sameplacement2years)</f>
        <v>30</v>
      </c>
      <c r="AC160" s="365">
        <f>IF(Year4_Slough Year4_LAC_under16_2.5years_sameplacement2years="","",Year4_Slough Year4_LAC_under16_2.5years_sameplacement2years)</f>
        <v>33</v>
      </c>
      <c r="AD160" s="365">
        <f>IF(Year5_Slough Year5_LAC_under16_2.5years_sameplacement2years="","",Year5_Slough Year5_LAC_under16_2.5years_sameplacement2years)</f>
        <v>35</v>
      </c>
      <c r="AE160" s="374"/>
      <c r="AF160" s="375"/>
      <c r="AG160" s="376"/>
      <c r="AH160" s="376"/>
      <c r="AI160" s="376"/>
      <c r="AJ160" s="565"/>
      <c r="AK160" s="157"/>
    </row>
    <row r="161" spans="1:44" s="89" customFormat="1" ht="12.75" customHeight="1" x14ac:dyDescent="0.2">
      <c r="A161" s="462">
        <f>VLOOKUP(B161,Sheet1!$AQ$4:$AR$25,2,FALSE)</f>
        <v>0</v>
      </c>
      <c r="B161" s="95" t="str">
        <f t="shared" si="48"/>
        <v>Somerset</v>
      </c>
      <c r="C161" s="87"/>
      <c r="D161" s="158" t="e">
        <f t="shared" si="49"/>
        <v>#N/A</v>
      </c>
      <c r="E161" s="158">
        <f t="shared" si="51"/>
        <v>0.56666666666666665</v>
      </c>
      <c r="F161" s="158">
        <f t="shared" si="52"/>
        <v>0.6</v>
      </c>
      <c r="G161" s="158">
        <f t="shared" si="53"/>
        <v>0.61963190184049077</v>
      </c>
      <c r="H161" s="160">
        <f t="shared" si="54"/>
        <v>0.625</v>
      </c>
      <c r="I161" s="98"/>
      <c r="J161" s="98"/>
      <c r="K161" s="162"/>
      <c r="L161" s="162"/>
      <c r="M161" s="162"/>
      <c r="N161" s="162"/>
      <c r="O161" s="162"/>
      <c r="P161" s="162"/>
      <c r="Q161" s="162"/>
      <c r="R161" s="163"/>
      <c r="S161" s="155"/>
      <c r="T161" s="155"/>
      <c r="U161" s="162"/>
      <c r="V161" s="124"/>
      <c r="W161" s="140"/>
      <c r="X161" s="149"/>
      <c r="Y161" s="365" t="str">
        <f t="shared" si="55"/>
        <v>Somerset</v>
      </c>
      <c r="Z161" s="463" t="str">
        <f>IF(Year1_Somerset Year1_LAC_under16_2.5years_sameplacement2years="","",Year1_Somerset Year1_LAC_under16_2.5years_sameplacement2years)</f>
        <v/>
      </c>
      <c r="AA161" s="365">
        <f>IF(Year2_Somerset Year2_LAC_under16_2.5years_sameplacement2years="","",Year2_Somerset Year2_LAC_under16_2.5years_sameplacement2years)</f>
        <v>85</v>
      </c>
      <c r="AB161" s="365">
        <f>IF(Year3_Somerset Year3_LAC_under16_2.5years_sameplacement2years="","",Year3_Somerset Year3_LAC_under16_2.5years_sameplacement2years)</f>
        <v>90</v>
      </c>
      <c r="AC161" s="365">
        <f>IF(Year4_Somerset Year4_LAC_under16_2.5years_sameplacement2years="","",Year4_Somerset Year4_LAC_under16_2.5years_sameplacement2years)</f>
        <v>101</v>
      </c>
      <c r="AD161" s="365">
        <f>IF(Year5_Somerset Year5_LAC_under16_2.5years_sameplacement2years="","",Year5_Somerset Year5_LAC_under16_2.5years_sameplacement2years)</f>
        <v>100</v>
      </c>
      <c r="AE161" s="374"/>
      <c r="AF161" s="375"/>
      <c r="AG161" s="376"/>
      <c r="AH161" s="376"/>
      <c r="AI161" s="376"/>
      <c r="AJ161" s="565"/>
      <c r="AK161" s="156"/>
    </row>
    <row r="162" spans="1:44" s="89" customFormat="1" ht="12.75" customHeight="1" x14ac:dyDescent="0.2">
      <c r="A162" s="462">
        <f>VLOOKUP(B162,Sheet1!$AQ$4:$AR$25,2,FALSE)</f>
        <v>0</v>
      </c>
      <c r="B162" s="95" t="str">
        <f t="shared" si="48"/>
        <v>Southampton</v>
      </c>
      <c r="C162" s="87"/>
      <c r="D162" s="158" t="e">
        <f t="shared" si="49"/>
        <v>#N/A</v>
      </c>
      <c r="E162" s="158">
        <f t="shared" si="51"/>
        <v>0.69230769230769229</v>
      </c>
      <c r="F162" s="158">
        <f t="shared" si="52"/>
        <v>0.65217391304347827</v>
      </c>
      <c r="G162" s="158">
        <f t="shared" si="53"/>
        <v>0.70940170940170943</v>
      </c>
      <c r="H162" s="160">
        <f t="shared" si="54"/>
        <v>0.64680851063829792</v>
      </c>
      <c r="I162" s="98"/>
      <c r="J162" s="98"/>
      <c r="K162" s="162"/>
      <c r="L162" s="162"/>
      <c r="M162" s="162"/>
      <c r="N162" s="162"/>
      <c r="O162" s="162"/>
      <c r="P162" s="162"/>
      <c r="Q162" s="162"/>
      <c r="R162" s="163"/>
      <c r="S162" s="155"/>
      <c r="T162" s="155"/>
      <c r="U162" s="162"/>
      <c r="V162" s="124"/>
      <c r="W162" s="140"/>
      <c r="X162" s="149"/>
      <c r="Y162" s="365" t="str">
        <f t="shared" si="55"/>
        <v>Southampton</v>
      </c>
      <c r="Z162" s="463" t="str">
        <f>IF(Year1_Southampton Year1_LAC_under16_2.5years_sameplacement2years="","",Year1_Southampton Year1_LAC_under16_2.5years_sameplacement2years)</f>
        <v/>
      </c>
      <c r="AA162" s="365">
        <f>IF(Year2_Southampton Year2_LAC_under16_2.5years_sameplacement2years="","",Year2_Southampton Year2_LAC_under16_2.5years_sameplacement2years)</f>
        <v>135</v>
      </c>
      <c r="AB162" s="365">
        <f>IF(Year3_Southampton Year3_LAC_under16_2.5years_sameplacement2years="","",Year3_Southampton Year3_LAC_under16_2.5years_sameplacement2years)</f>
        <v>150</v>
      </c>
      <c r="AC162" s="365">
        <f>IF(Year4_Southampton Year4_LAC_under16_2.5years_sameplacement2years="","",Year4_Southampton Year4_LAC_under16_2.5years_sameplacement2years)</f>
        <v>166</v>
      </c>
      <c r="AD162" s="365">
        <f>IF(Year5_Southampton Year5_LAC_under16_2.5years_sameplacement2years="","",Year5_Southampton Year5_LAC_under16_2.5years_sameplacement2years)</f>
        <v>152</v>
      </c>
      <c r="AE162" s="374"/>
      <c r="AF162" s="375"/>
      <c r="AG162" s="376"/>
      <c r="AH162" s="376"/>
      <c r="AI162" s="376"/>
      <c r="AJ162" s="565"/>
      <c r="AK162" s="157"/>
    </row>
    <row r="163" spans="1:44" s="89" customFormat="1" ht="12.75" customHeight="1" x14ac:dyDescent="0.2">
      <c r="A163" s="462">
        <f>VLOOKUP(B163,Sheet1!$AQ$4:$AR$25,2,FALSE)</f>
        <v>0</v>
      </c>
      <c r="B163" s="95" t="str">
        <f t="shared" si="48"/>
        <v>Surrey</v>
      </c>
      <c r="C163" s="87"/>
      <c r="D163" s="158" t="e">
        <f t="shared" si="49"/>
        <v>#N/A</v>
      </c>
      <c r="E163" s="158">
        <f t="shared" si="51"/>
        <v>0.7021276595744681</v>
      </c>
      <c r="F163" s="158">
        <f t="shared" si="52"/>
        <v>0.63636363636363635</v>
      </c>
      <c r="G163" s="158">
        <f t="shared" si="53"/>
        <v>0.67213114754098358</v>
      </c>
      <c r="H163" s="160">
        <f t="shared" si="54"/>
        <v>0.64800000000000002</v>
      </c>
      <c r="I163" s="98"/>
      <c r="J163" s="98"/>
      <c r="K163" s="162"/>
      <c r="L163" s="162"/>
      <c r="M163" s="162"/>
      <c r="N163" s="162"/>
      <c r="O163" s="162"/>
      <c r="P163" s="162"/>
      <c r="Q163" s="162"/>
      <c r="R163" s="163"/>
      <c r="S163" s="155"/>
      <c r="T163" s="155"/>
      <c r="U163" s="162"/>
      <c r="V163" s="124"/>
      <c r="W163" s="140"/>
      <c r="X163" s="149"/>
      <c r="Y163" s="365" t="str">
        <f t="shared" si="55"/>
        <v>Surrey</v>
      </c>
      <c r="Z163" s="463" t="str">
        <f>IF(Year1_Surrey Year1_LAC_under16_2.5years_sameplacement2years="","",Year1_Surrey Year1_LAC_under16_2.5years_sameplacement2years)</f>
        <v/>
      </c>
      <c r="AA163" s="365">
        <f>IF(Year2_Surrey Year2_LAC_under16_2.5years_sameplacement2years="","",Year2_Surrey Year2_LAC_under16_2.5years_sameplacement2years)</f>
        <v>165</v>
      </c>
      <c r="AB163" s="365">
        <f>IF(Year3_Surrey Year3_LAC_under16_2.5years_sameplacement2years="","",Year3_Surrey Year3_LAC_under16_2.5years_sameplacement2years)</f>
        <v>140</v>
      </c>
      <c r="AC163" s="365">
        <f>IF(Year4_Surrey Year4_LAC_under16_2.5years_sameplacement2years="","",Year4_Surrey Year4_LAC_under16_2.5years_sameplacement2years)</f>
        <v>164</v>
      </c>
      <c r="AD163" s="365">
        <f>IF(Year5_Surrey Year5_LAC_under16_2.5years_sameplacement2years="","",Year5_Surrey Year5_LAC_under16_2.5years_sameplacement2years)</f>
        <v>162</v>
      </c>
      <c r="AE163" s="374"/>
      <c r="AF163" s="375"/>
      <c r="AG163" s="376"/>
      <c r="AH163" s="376"/>
      <c r="AI163" s="376"/>
      <c r="AJ163" s="565"/>
      <c r="AK163" s="156"/>
    </row>
    <row r="164" spans="1:44" s="89" customFormat="1" ht="12.75" customHeight="1" x14ac:dyDescent="0.2">
      <c r="A164" s="462">
        <f>VLOOKUP(B164,Sheet1!$AQ$4:$AR$25,2,FALSE)</f>
        <v>0</v>
      </c>
      <c r="B164" s="95" t="str">
        <f t="shared" si="48"/>
        <v>Swindon</v>
      </c>
      <c r="C164" s="87"/>
      <c r="D164" s="158" t="e">
        <f t="shared" si="49"/>
        <v>#N/A</v>
      </c>
      <c r="E164" s="158">
        <f t="shared" si="51"/>
        <v>0.61538461538461542</v>
      </c>
      <c r="F164" s="158">
        <f t="shared" si="52"/>
        <v>0.75</v>
      </c>
      <c r="G164" s="158">
        <f t="shared" si="53"/>
        <v>0.61194029850746268</v>
      </c>
      <c r="H164" s="160">
        <f t="shared" si="54"/>
        <v>0.58490566037735847</v>
      </c>
      <c r="I164" s="98"/>
      <c r="J164" s="98"/>
      <c r="K164" s="162"/>
      <c r="L164" s="162"/>
      <c r="M164" s="162"/>
      <c r="N164" s="162"/>
      <c r="O164" s="162"/>
      <c r="P164" s="162"/>
      <c r="Q164" s="162"/>
      <c r="R164" s="163"/>
      <c r="S164" s="155"/>
      <c r="T164" s="155"/>
      <c r="U164" s="162"/>
      <c r="V164" s="124"/>
      <c r="W164" s="140"/>
      <c r="X164" s="149"/>
      <c r="Y164" s="365" t="str">
        <f t="shared" si="55"/>
        <v>Swindon</v>
      </c>
      <c r="Z164" s="463" t="str">
        <f>IF(Year1_Swindon Year1_LAC_under16_2.5years_sameplacement2years="","",Year1_Swindon Year1_LAC_under16_2.5years_sameplacement2years)</f>
        <v/>
      </c>
      <c r="AA164" s="365">
        <f>IF(Year2_Swindon Year2_LAC_under16_2.5years_sameplacement2years="","",Year2_Swindon Year2_LAC_under16_2.5years_sameplacement2years)</f>
        <v>40</v>
      </c>
      <c r="AB164" s="365">
        <f>IF(Year3_Swindon Year3_LAC_under16_2.5years_sameplacement2years="","",Year3_Swindon Year3_LAC_under16_2.5years_sameplacement2years)</f>
        <v>45</v>
      </c>
      <c r="AC164" s="365">
        <f>IF(Year4_Swindon Year4_LAC_under16_2.5years_sameplacement2years="","",Year4_Swindon Year4_LAC_under16_2.5years_sameplacement2years)</f>
        <v>41</v>
      </c>
      <c r="AD164" s="365">
        <f>IF(Year5_Swindon Year5_LAC_under16_2.5years_sameplacement2years="","",Year5_Swindon Year5_LAC_under16_2.5years_sameplacement2years)</f>
        <v>62</v>
      </c>
      <c r="AE164" s="374"/>
      <c r="AF164" s="375"/>
      <c r="AG164" s="376"/>
      <c r="AH164" s="376"/>
      <c r="AI164" s="376"/>
      <c r="AJ164" s="565"/>
      <c r="AK164" s="157"/>
    </row>
    <row r="165" spans="1:44" s="89" customFormat="1" ht="12.75" customHeight="1" x14ac:dyDescent="0.2">
      <c r="A165" s="462">
        <f>VLOOKUP(B165,Sheet1!$AQ$4:$AR$25,2,FALSE)</f>
        <v>0</v>
      </c>
      <c r="B165" s="95" t="str">
        <f t="shared" si="48"/>
        <v>Torbay</v>
      </c>
      <c r="C165" s="87"/>
      <c r="D165" s="158" t="e">
        <f t="shared" si="49"/>
        <v>#N/A</v>
      </c>
      <c r="E165" s="158">
        <f t="shared" si="51"/>
        <v>0.45833333333333331</v>
      </c>
      <c r="F165" s="158">
        <f t="shared" si="52"/>
        <v>0.56000000000000005</v>
      </c>
      <c r="G165" s="158">
        <f t="shared" si="53"/>
        <v>0.56818181818181823</v>
      </c>
      <c r="H165" s="160">
        <f t="shared" si="54"/>
        <v>0.64341085271317833</v>
      </c>
      <c r="I165" s="98"/>
      <c r="J165" s="98"/>
      <c r="K165" s="162"/>
      <c r="L165" s="162"/>
      <c r="M165" s="162"/>
      <c r="N165" s="162"/>
      <c r="O165" s="162"/>
      <c r="P165" s="162"/>
      <c r="Q165" s="162"/>
      <c r="R165" s="163"/>
      <c r="S165" s="155"/>
      <c r="T165" s="155"/>
      <c r="U165" s="162"/>
      <c r="V165" s="124"/>
      <c r="W165" s="140"/>
      <c r="X165" s="149"/>
      <c r="Y165" s="365" t="str">
        <f t="shared" si="55"/>
        <v>Torbay</v>
      </c>
      <c r="Z165" s="463" t="str">
        <f>IF(Year1_Torbay Year1_LAC_under16_2.5years_sameplacement2years="","",Year1_Torbay Year1_LAC_under16_2.5years_sameplacement2years)</f>
        <v/>
      </c>
      <c r="AA165" s="365">
        <f>IF(Year2_Torbay Year2_LAC_under16_2.5years_sameplacement2years="","",Year2_Torbay Year2_LAC_under16_2.5years_sameplacement2years)</f>
        <v>55</v>
      </c>
      <c r="AB165" s="365">
        <f>IF(Year3_Torbay Year3_LAC_under16_2.5years_sameplacement2years="","",Year3_Torbay Year3_LAC_under16_2.5years_sameplacement2years)</f>
        <v>70</v>
      </c>
      <c r="AC165" s="365">
        <f>IF(Year4_Torbay Year4_LAC_under16_2.5years_sameplacement2years="","",Year4_Torbay Year4_LAC_under16_2.5years_sameplacement2years)</f>
        <v>75</v>
      </c>
      <c r="AD165" s="365">
        <f>IF(Year5_Torbay Year5_LAC_under16_2.5years_sameplacement2years="","",Year5_Torbay Year5_LAC_under16_2.5years_sameplacement2years)</f>
        <v>83</v>
      </c>
      <c r="AE165" s="374"/>
      <c r="AF165" s="375"/>
      <c r="AG165" s="376"/>
      <c r="AH165" s="376"/>
      <c r="AI165" s="376"/>
      <c r="AJ165" s="565"/>
      <c r="AK165" s="156"/>
    </row>
    <row r="166" spans="1:44" s="89" customFormat="1" ht="12.75" customHeight="1" x14ac:dyDescent="0.2">
      <c r="A166" s="462">
        <f>VLOOKUP(B166,Sheet1!$AQ$4:$AR$25,2,FALSE)</f>
        <v>0</v>
      </c>
      <c r="B166" s="95" t="str">
        <f t="shared" si="48"/>
        <v>West Berkshire</v>
      </c>
      <c r="C166" s="87"/>
      <c r="D166" s="158" t="e">
        <f t="shared" si="49"/>
        <v>#N/A</v>
      </c>
      <c r="E166" s="158">
        <f t="shared" si="51"/>
        <v>0.77777777777777779</v>
      </c>
      <c r="F166" s="158">
        <f t="shared" si="52"/>
        <v>0.63636363636363635</v>
      </c>
      <c r="G166" s="158">
        <f t="shared" si="53"/>
        <v>0.63636363636363635</v>
      </c>
      <c r="H166" s="160">
        <f t="shared" si="54"/>
        <v>0.54</v>
      </c>
      <c r="I166" s="98"/>
      <c r="J166" s="98"/>
      <c r="K166" s="162"/>
      <c r="L166" s="162"/>
      <c r="M166" s="162"/>
      <c r="N166" s="162"/>
      <c r="O166" s="162"/>
      <c r="P166" s="162"/>
      <c r="Q166" s="162"/>
      <c r="R166" s="163"/>
      <c r="S166" s="155"/>
      <c r="T166" s="155"/>
      <c r="U166" s="162"/>
      <c r="V166" s="124"/>
      <c r="W166" s="140"/>
      <c r="X166" s="149"/>
      <c r="Y166" s="365" t="str">
        <f t="shared" si="55"/>
        <v>West Berkshire</v>
      </c>
      <c r="Z166" s="463" t="str">
        <f>IF(Year1_West_Berkshire Year1_LAC_under16_2.5years_sameplacement2years="","",Year1_West_Berkshire Year1_LAC_under16_2.5years_sameplacement2years)</f>
        <v/>
      </c>
      <c r="AA166" s="365">
        <f>IF(Year2_West_Berkshire Year2_LAC_under16_2.5years_sameplacement2years="","",Year2_West_Berkshire Year2_LAC_under16_2.5years_sameplacement2years)</f>
        <v>35</v>
      </c>
      <c r="AB166" s="365">
        <f>IF(Year3_West_Berkshire Year3_LAC_under16_2.5years_sameplacement2years="","",Year3_West_Berkshire Year3_LAC_under16_2.5years_sameplacement2years)</f>
        <v>35</v>
      </c>
      <c r="AC166" s="365">
        <f>IF(Year4_West_Berkshire Year4_LAC_under16_2.5years_sameplacement2years="","",Year4_West_Berkshire Year4_LAC_under16_2.5years_sameplacement2years)</f>
        <v>35</v>
      </c>
      <c r="AD166" s="555">
        <f>IF(Year5_West_Berkshire Year5_LAC_under16_2.5years_sameplacement2years="","",Year5_West_Berkshire Year5_LAC_under16_2.5years_sameplacement2years)</f>
        <v>27</v>
      </c>
      <c r="AE166" s="374"/>
      <c r="AF166" s="375"/>
      <c r="AG166" s="376"/>
      <c r="AH166" s="376"/>
      <c r="AI166" s="376"/>
      <c r="AJ166" s="565"/>
      <c r="AK166" s="157"/>
    </row>
    <row r="167" spans="1:44" s="89" customFormat="1" ht="12.75" customHeight="1" x14ac:dyDescent="0.2">
      <c r="A167" s="462">
        <f>VLOOKUP(B167,Sheet1!$AQ$4:$AR$25,2,FALSE)</f>
        <v>0</v>
      </c>
      <c r="B167" s="95" t="str">
        <f t="shared" si="48"/>
        <v>West Sussex</v>
      </c>
      <c r="C167" s="87"/>
      <c r="D167" s="158" t="e">
        <f t="shared" si="49"/>
        <v>#N/A</v>
      </c>
      <c r="E167" s="158">
        <f t="shared" si="51"/>
        <v>0.73529411764705888</v>
      </c>
      <c r="F167" s="158">
        <f t="shared" si="52"/>
        <v>0.76666666666666672</v>
      </c>
      <c r="G167" s="158">
        <f t="shared" si="53"/>
        <v>0.69871794871794868</v>
      </c>
      <c r="H167" s="160">
        <f t="shared" si="54"/>
        <v>0.66298342541436461</v>
      </c>
      <c r="I167" s="98"/>
      <c r="J167" s="98"/>
      <c r="K167" s="162"/>
      <c r="L167" s="162"/>
      <c r="M167" s="162"/>
      <c r="N167" s="162"/>
      <c r="O167" s="162"/>
      <c r="P167" s="162"/>
      <c r="Q167" s="162"/>
      <c r="R167" s="163"/>
      <c r="S167" s="155"/>
      <c r="T167" s="155"/>
      <c r="U167" s="162"/>
      <c r="V167" s="124"/>
      <c r="W167" s="140"/>
      <c r="X167" s="149"/>
      <c r="Y167" s="365" t="str">
        <f t="shared" si="55"/>
        <v>West Sussex</v>
      </c>
      <c r="Z167" s="463" t="str">
        <f>IF(Year1_West_Sussex Year1_LAC_under16_2.5years_sameplacement2years="","",Year1_West_Sussex Year1_LAC_under16_2.5years_sameplacement2years)</f>
        <v/>
      </c>
      <c r="AA167" s="365">
        <f>IF(Year2_West_Sussex Year2_LAC_under16_2.5years_sameplacement2years="","",Year2_West_Sussex Year2_LAC_under16_2.5years_sameplacement2years)</f>
        <v>125</v>
      </c>
      <c r="AB167" s="365">
        <f>IF(Year3_West_Sussex Year3_LAC_under16_2.5years_sameplacement2years="","",Year3_West_Sussex Year3_LAC_under16_2.5years_sameplacement2years)</f>
        <v>115</v>
      </c>
      <c r="AC167" s="365">
        <f>IF(Year4_West_Sussex Year4_LAC_under16_2.5years_sameplacement2years="","",Year4_West_Sussex Year4_LAC_under16_2.5years_sameplacement2years)</f>
        <v>109</v>
      </c>
      <c r="AD167" s="555">
        <f>IF(Year5_West_Sussex Year5_LAC_under16_2.5years_sameplacement2years="","",Year5_West_Sussex Year5_LAC_under16_2.5years_sameplacement2years)</f>
        <v>120</v>
      </c>
      <c r="AE167" s="374"/>
      <c r="AF167" s="375"/>
      <c r="AG167" s="376"/>
      <c r="AH167" s="376"/>
      <c r="AI167" s="376"/>
      <c r="AJ167" s="565"/>
      <c r="AK167" s="156"/>
    </row>
    <row r="168" spans="1:44" s="89" customFormat="1" ht="12.75" customHeight="1" x14ac:dyDescent="0.2">
      <c r="A168" s="462">
        <f>VLOOKUP(B168,Sheet1!$AQ$4:$AR$25,2,FALSE)</f>
        <v>0</v>
      </c>
      <c r="B168" s="95" t="str">
        <f t="shared" si="48"/>
        <v>Windsor &amp; Maidenhead</v>
      </c>
      <c r="C168" s="87"/>
      <c r="D168" s="158" t="e">
        <f t="shared" si="49"/>
        <v>#N/A</v>
      </c>
      <c r="E168" s="158">
        <f t="shared" si="51"/>
        <v>0.7142857142857143</v>
      </c>
      <c r="F168" s="158">
        <f t="shared" si="52"/>
        <v>0.7142857142857143</v>
      </c>
      <c r="G168" s="158">
        <f t="shared" si="53"/>
        <v>0.70967741935483875</v>
      </c>
      <c r="H168" s="160">
        <f t="shared" si="54"/>
        <v>0.76</v>
      </c>
      <c r="I168" s="98"/>
      <c r="J168" s="98"/>
      <c r="K168" s="162"/>
      <c r="L168" s="162"/>
      <c r="M168" s="162"/>
      <c r="N168" s="162"/>
      <c r="O168" s="162"/>
      <c r="P168" s="162"/>
      <c r="Q168" s="162"/>
      <c r="R168" s="163"/>
      <c r="S168" s="155"/>
      <c r="T168" s="155"/>
      <c r="U168" s="162"/>
      <c r="V168" s="124"/>
      <c r="W168" s="140"/>
      <c r="X168" s="149"/>
      <c r="Y168" s="365" t="str">
        <f t="shared" si="55"/>
        <v>Windsor &amp; Maidenhead</v>
      </c>
      <c r="Z168" s="463" t="str">
        <f>IF(Year1_Windsor_Maidenhead Year1_LAC_under16_2.5years_sameplacement2years="","",Year1_Windsor_Maidenhead Year1_LAC_under16_2.5years_sameplacement2years)</f>
        <v/>
      </c>
      <c r="AA168" s="365">
        <f>IF(Year2_Windsor_Maidenhead Year2_LAC_under16_2.5years_sameplacement2years="","",Year2_Windsor_Maidenhead Year2_LAC_under16_2.5years_sameplacement2years)</f>
        <v>25</v>
      </c>
      <c r="AB168" s="365">
        <f>IF(Year3_Windsor_Maidenhead Year3_LAC_under16_2.5years_sameplacement2years="","",Year3_Windsor_Maidenhead Year3_LAC_under16_2.5years_sameplacement2years)</f>
        <v>25</v>
      </c>
      <c r="AC168" s="365">
        <f>IF(Year4_Windsor_Maidenhead Year4_LAC_under16_2.5years_sameplacement2years="","",Year4_Windsor_Maidenhead Year4_LAC_under16_2.5years_sameplacement2years)</f>
        <v>22</v>
      </c>
      <c r="AD168" s="555">
        <f>IF(Year5_Windsor_Maidenhead Year5_LAC_under16_2.5years_sameplacement2years="","",Year5_Windsor_Maidenhead Year5_LAC_under16_2.5years_sameplacement2years)</f>
        <v>19</v>
      </c>
      <c r="AE168" s="374"/>
      <c r="AF168" s="375"/>
      <c r="AG168" s="376"/>
      <c r="AH168" s="376"/>
      <c r="AI168" s="376"/>
      <c r="AJ168" s="565"/>
      <c r="AK168" s="157"/>
    </row>
    <row r="169" spans="1:44" s="89" customFormat="1" ht="12.75" customHeight="1" x14ac:dyDescent="0.2">
      <c r="A169" s="462">
        <f>VLOOKUP(B169,Sheet1!$AQ$4:$AR$25,2,FALSE)</f>
        <v>0</v>
      </c>
      <c r="B169" s="95" t="str">
        <f t="shared" si="48"/>
        <v>Wokingham</v>
      </c>
      <c r="C169" s="87"/>
      <c r="D169" s="158" t="e">
        <f t="shared" si="49"/>
        <v>#N/A</v>
      </c>
      <c r="E169" s="158">
        <f t="shared" si="51"/>
        <v>0.5</v>
      </c>
      <c r="F169" s="158">
        <f t="shared" si="52"/>
        <v>0.5</v>
      </c>
      <c r="G169" s="158">
        <f t="shared" si="53"/>
        <v>0.75</v>
      </c>
      <c r="H169" s="160">
        <f t="shared" si="54"/>
        <v>0.8</v>
      </c>
      <c r="I169" s="98"/>
      <c r="J169" s="98"/>
      <c r="K169" s="162"/>
      <c r="L169" s="162"/>
      <c r="M169" s="162"/>
      <c r="N169" s="162"/>
      <c r="O169" s="162"/>
      <c r="P169" s="162"/>
      <c r="Q169" s="162"/>
      <c r="R169" s="163"/>
      <c r="S169" s="155"/>
      <c r="T169" s="155"/>
      <c r="U169" s="162"/>
      <c r="V169" s="124"/>
      <c r="W169" s="140"/>
      <c r="X169" s="149"/>
      <c r="Y169" s="365" t="str">
        <f t="shared" si="55"/>
        <v>Wokingham</v>
      </c>
      <c r="Z169" s="463" t="str">
        <f>IF(Year1_Wokingham Year1_LAC_under16_2.5years_sameplacement2years="","",Year1_Wokingham Year1_LAC_under16_2.5years_sameplacement2years)</f>
        <v/>
      </c>
      <c r="AA169" s="365">
        <f>IF(Year2_Wokingham Year2_LAC_under16_2.5years_sameplacement2years="","",Year2_Wokingham Year2_LAC_under16_2.5years_sameplacement2years)</f>
        <v>10</v>
      </c>
      <c r="AB169" s="365">
        <f>IF(Year3_Wokingham Year3_LAC_under16_2.5years_sameplacement2years="","",Year3_Wokingham Year3_LAC_under16_2.5years_sameplacement2years)</f>
        <v>10</v>
      </c>
      <c r="AC169" s="365">
        <f>IF(Year4_Wokingham Year4_LAC_under16_2.5years_sameplacement2years="","",Year4_Wokingham Year4_LAC_under16_2.5years_sameplacement2years)</f>
        <v>15</v>
      </c>
      <c r="AD169" s="555">
        <f>IF(Year5_Wokingham Year5_LAC_under16_2.5years_sameplacement2years="","",Year5_Wokingham Year5_LAC_under16_2.5years_sameplacement2years)</f>
        <v>12</v>
      </c>
      <c r="AE169" s="374"/>
      <c r="AF169" s="375"/>
      <c r="AG169" s="376"/>
      <c r="AH169" s="376"/>
      <c r="AI169" s="376"/>
      <c r="AJ169" s="565"/>
      <c r="AK169" s="156"/>
    </row>
    <row r="170" spans="1:44" s="89" customFormat="1" ht="12.75" customHeight="1" x14ac:dyDescent="0.2">
      <c r="A170" s="123"/>
      <c r="B170" s="131" t="str">
        <f t="shared" si="48"/>
        <v>South East</v>
      </c>
      <c r="C170" s="87"/>
      <c r="D170" s="159" t="e">
        <f t="shared" si="49"/>
        <v>#N/A</v>
      </c>
      <c r="E170" s="159">
        <f t="shared" si="51"/>
        <v>0.66608996539792387</v>
      </c>
      <c r="F170" s="159">
        <f t="shared" si="52"/>
        <v>0.68305084745762712</v>
      </c>
      <c r="G170" s="159">
        <f t="shared" si="53"/>
        <v>0.68181818181818177</v>
      </c>
      <c r="H170" s="161">
        <f t="shared" si="54"/>
        <v>0.67692307692307696</v>
      </c>
      <c r="I170" s="98"/>
      <c r="J170" s="98"/>
      <c r="K170" s="164"/>
      <c r="L170" s="164"/>
      <c r="M170" s="164"/>
      <c r="N170" s="164"/>
      <c r="O170" s="164"/>
      <c r="P170" s="164"/>
      <c r="Q170" s="164"/>
      <c r="R170" s="165"/>
      <c r="S170" s="155"/>
      <c r="T170" s="155"/>
      <c r="U170" s="166"/>
      <c r="V170" s="124"/>
      <c r="W170" s="140"/>
      <c r="X170" s="149"/>
      <c r="Y170" s="365" t="str">
        <f t="shared" si="55"/>
        <v>South East</v>
      </c>
      <c r="Z170" s="365" t="str">
        <f>IF(Year1_SouthEast Year1_LAC_under16_2.5years_sameplacement2years="","",Year1_SouthEast Year1_LAC_under16_2.5years_sameplacement2years)</f>
        <v/>
      </c>
      <c r="AA170" s="365">
        <f>IF(Year2_SouthEast Year2_LAC_under16_2.5years_sameplacement2years="","",Year2_SouthEast Year2_LAC_under16_2.5years_sameplacement2years)</f>
        <v>1925</v>
      </c>
      <c r="AB170" s="365">
        <f>IF(Year3_SouthEast Year3_LAC_under16_2.5years_sameplacement2years="","",Year3_SouthEast Year3_LAC_under16_2.5years_sameplacement2years)</f>
        <v>2015</v>
      </c>
      <c r="AC170" s="365">
        <f>IF(Year4_SouthEast Year4_LAC_under16_2.5years_sameplacement2years="","",Year4_SouthEast Year4_LAC_under16_2.5years_sameplacement2years)</f>
        <v>2100</v>
      </c>
      <c r="AD170" s="365">
        <f>IF(Year5_SouthEast Year5_LAC_under16_2.5years_sameplacement2years="","",Year5_SouthEast Year5_LAC_under16_2.5years_sameplacement2years)</f>
        <v>2200</v>
      </c>
      <c r="AE170" s="374"/>
      <c r="AF170" s="375"/>
      <c r="AG170" s="376"/>
      <c r="AH170" s="376"/>
      <c r="AI170" s="376"/>
      <c r="AJ170" s="565"/>
      <c r="AK170" s="157"/>
    </row>
    <row r="171" spans="1:44" s="89" customFormat="1" ht="12.75" customHeight="1" x14ac:dyDescent="0.2">
      <c r="A171" s="123"/>
      <c r="B171" s="318" t="str">
        <f t="shared" si="48"/>
        <v>England</v>
      </c>
      <c r="C171" s="87"/>
      <c r="D171" s="344" t="e">
        <f t="shared" si="49"/>
        <v>#N/A</v>
      </c>
      <c r="E171" s="344">
        <f t="shared" si="51"/>
        <v>0.68485617597292725</v>
      </c>
      <c r="F171" s="344">
        <f t="shared" si="52"/>
        <v>0.70191507077435467</v>
      </c>
      <c r="G171" s="344">
        <f t="shared" si="53"/>
        <v>0.69813614262560775</v>
      </c>
      <c r="H171" s="345">
        <f t="shared" si="54"/>
        <v>0.68660194174757283</v>
      </c>
      <c r="I171" s="98"/>
      <c r="J171" s="98"/>
      <c r="K171" s="164"/>
      <c r="L171" s="164"/>
      <c r="M171" s="164"/>
      <c r="N171" s="164"/>
      <c r="O171" s="164"/>
      <c r="P171" s="164"/>
      <c r="Q171" s="164"/>
      <c r="R171" s="165"/>
      <c r="S171" s="155"/>
      <c r="T171" s="155"/>
      <c r="U171" s="166"/>
      <c r="V171" s="124"/>
      <c r="W171" s="140"/>
      <c r="X171" s="149"/>
      <c r="Y171" s="365" t="str">
        <f t="shared" si="55"/>
        <v>England</v>
      </c>
      <c r="Z171" s="576" t="str">
        <f>IF(Year1_England Year1_LAC_under16_2.5years_sameplacement2years="","",Year1_England Year1_LAC_under16_2.5years_sameplacement2years)</f>
        <v/>
      </c>
      <c r="AA171" s="576">
        <f>IF(Year2_England Year2_LAC_under16_2.5years_sameplacement2years="","",Year2_England Year2_LAC_under16_2.5years_sameplacement2years)</f>
        <v>16190</v>
      </c>
      <c r="AB171" s="365">
        <f>IF(Year3_England Year3_LAC_under16_2.5years_sameplacement2years="","",Year3_England Year3_LAC_under16_2.5years_sameplacement2years)</f>
        <v>16860</v>
      </c>
      <c r="AC171" s="365">
        <f>IF(Year4_England Year4_LAC_under16_2.5years_sameplacement2years="","",Year4_England Year4_LAC_under16_2.5years_sameplacement2years)</f>
        <v>17230</v>
      </c>
      <c r="AD171" s="555">
        <f>IF(Year5_England Year5_LAC_under16_2.5years_sameplacement2years="","",Year5_England Year5_LAC_under16_2.5years_sameplacement2years)</f>
        <v>17680</v>
      </c>
      <c r="AE171" s="374"/>
      <c r="AF171" s="375"/>
      <c r="AG171" s="376"/>
      <c r="AH171" s="376"/>
      <c r="AI171" s="376"/>
      <c r="AJ171" s="565"/>
      <c r="AK171" s="156"/>
    </row>
    <row r="172" spans="1:44" s="89" customFormat="1" ht="7.5" customHeight="1" x14ac:dyDescent="0.2">
      <c r="A172" s="286"/>
      <c r="B172" s="98"/>
      <c r="C172" s="98"/>
      <c r="D172" s="98"/>
      <c r="E172" s="98"/>
      <c r="F172" s="98"/>
      <c r="G172" s="98"/>
      <c r="H172" s="98"/>
      <c r="I172" s="98"/>
      <c r="J172" s="98"/>
      <c r="K172" s="164"/>
      <c r="L172" s="164"/>
      <c r="M172" s="164"/>
      <c r="N172" s="164"/>
      <c r="O172" s="164"/>
      <c r="P172" s="164"/>
      <c r="Q172" s="164"/>
      <c r="R172" s="165"/>
      <c r="S172" s="155"/>
      <c r="T172" s="155"/>
      <c r="U172" s="166"/>
      <c r="V172" s="124"/>
      <c r="W172" s="140"/>
      <c r="X172" s="149"/>
      <c r="Y172" s="83"/>
      <c r="Z172" s="83"/>
      <c r="AA172" s="191"/>
      <c r="AB172" s="191"/>
      <c r="AC172" s="192"/>
      <c r="AD172" s="192"/>
      <c r="AE172" s="194"/>
      <c r="AF172" s="199"/>
      <c r="AG172" s="199"/>
      <c r="AH172" s="199"/>
      <c r="AI172" s="185"/>
      <c r="AJ172" s="199"/>
      <c r="AK172" s="156"/>
    </row>
    <row r="173" spans="1:44" s="83" customFormat="1" ht="38.25" customHeight="1" x14ac:dyDescent="0.2">
      <c r="A173" s="213"/>
      <c r="B173" s="373"/>
      <c r="C173" s="373"/>
      <c r="D173" s="373"/>
      <c r="E173" s="373"/>
      <c r="F173" s="373"/>
      <c r="G173" s="373"/>
      <c r="H173" s="373"/>
      <c r="I173" s="373"/>
      <c r="J173" s="168"/>
      <c r="K173" s="168"/>
      <c r="L173" s="168"/>
      <c r="M173" s="168"/>
      <c r="N173" s="168"/>
      <c r="O173" s="168"/>
      <c r="P173" s="168"/>
      <c r="Q173" s="168"/>
      <c r="R173" s="137"/>
      <c r="S173" s="168"/>
      <c r="T173" s="168"/>
      <c r="U173" s="168"/>
      <c r="V173" s="119"/>
      <c r="W173" s="138"/>
      <c r="X173" s="147"/>
      <c r="AD173" s="192"/>
      <c r="AE173" s="194"/>
      <c r="AF173" s="179"/>
      <c r="AG173" s="179"/>
      <c r="AH173" s="179"/>
      <c r="AJ173" s="179"/>
      <c r="AK173" s="157"/>
    </row>
    <row r="174" spans="1:44" s="83" customFormat="1" ht="39" customHeight="1" x14ac:dyDescent="0.2">
      <c r="A174" s="213"/>
      <c r="B174" s="373"/>
      <c r="C174" s="373"/>
      <c r="D174" s="373"/>
      <c r="E174" s="373"/>
      <c r="F174" s="373"/>
      <c r="G174" s="373"/>
      <c r="H174" s="373"/>
      <c r="I174" s="373"/>
      <c r="J174" s="168"/>
      <c r="K174" s="168"/>
      <c r="L174" s="168"/>
      <c r="M174" s="168"/>
      <c r="N174" s="168"/>
      <c r="O174" s="168"/>
      <c r="P174" s="168"/>
      <c r="Q174" s="168"/>
      <c r="R174" s="137"/>
      <c r="S174" s="168"/>
      <c r="T174" s="168"/>
      <c r="U174" s="168"/>
      <c r="V174" s="119"/>
      <c r="W174" s="138"/>
      <c r="X174" s="147"/>
      <c r="Z174" s="185"/>
      <c r="AE174" s="194"/>
      <c r="AF174" s="179"/>
      <c r="AG174" s="179"/>
      <c r="AH174" s="179"/>
      <c r="AJ174" s="179"/>
      <c r="AK174" s="157"/>
    </row>
    <row r="175" spans="1:44" s="83" customFormat="1" ht="38.25" customHeight="1" x14ac:dyDescent="0.2">
      <c r="A175" s="213"/>
      <c r="B175" s="373"/>
      <c r="C175" s="373"/>
      <c r="D175" s="373"/>
      <c r="E175" s="373"/>
      <c r="F175" s="373"/>
      <c r="G175" s="373"/>
      <c r="H175" s="373"/>
      <c r="I175" s="373"/>
      <c r="J175" s="168"/>
      <c r="K175" s="168"/>
      <c r="L175" s="168"/>
      <c r="M175" s="168"/>
      <c r="N175" s="168"/>
      <c r="O175" s="168"/>
      <c r="P175" s="168"/>
      <c r="Q175" s="168"/>
      <c r="R175" s="137"/>
      <c r="S175" s="168"/>
      <c r="T175" s="168"/>
      <c r="U175" s="168"/>
      <c r="V175" s="119"/>
      <c r="W175" s="138"/>
      <c r="X175" s="147"/>
      <c r="Z175" s="185"/>
      <c r="AE175" s="194"/>
      <c r="AF175" s="179"/>
      <c r="AG175" s="179"/>
      <c r="AH175" s="179"/>
      <c r="AJ175" s="179"/>
      <c r="AK175" s="157"/>
    </row>
    <row r="176" spans="1:44" s="83" customFormat="1" ht="7.5" customHeight="1" x14ac:dyDescent="0.2">
      <c r="A176" s="120"/>
      <c r="B176" s="18"/>
      <c r="C176" s="18"/>
      <c r="D176" s="17"/>
      <c r="E176" s="17"/>
      <c r="F176" s="17"/>
      <c r="G176" s="17"/>
      <c r="H176" s="17"/>
      <c r="I176" s="17"/>
      <c r="J176" s="13"/>
      <c r="K176" s="19"/>
      <c r="L176" s="19"/>
      <c r="M176" s="19"/>
      <c r="N176" s="19"/>
      <c r="O176" s="19"/>
      <c r="P176" s="19"/>
      <c r="Q176" s="19"/>
      <c r="R176" s="19"/>
      <c r="S176" s="19"/>
      <c r="T176" s="19"/>
      <c r="U176" s="20"/>
      <c r="V176" s="119"/>
      <c r="W176" s="138"/>
      <c r="X176" s="147"/>
      <c r="Z176" s="185"/>
      <c r="AJ176" s="179"/>
      <c r="AK176" s="153"/>
      <c r="AL176" s="76"/>
      <c r="AM176" s="76"/>
      <c r="AN176" s="76"/>
      <c r="AO176" s="76"/>
      <c r="AP176" s="76"/>
      <c r="AQ176" s="76"/>
      <c r="AR176" s="76"/>
    </row>
    <row r="177" spans="1:46" s="83" customFormat="1" ht="15" customHeight="1" x14ac:dyDescent="0.2">
      <c r="A177" s="1399"/>
      <c r="B177" s="1421"/>
      <c r="C177" s="1421"/>
      <c r="D177" s="1421"/>
      <c r="E177" s="1421"/>
      <c r="F177" s="1421"/>
      <c r="G177" s="1421"/>
      <c r="H177" s="1421"/>
      <c r="I177" s="1421"/>
      <c r="J177" s="1421"/>
      <c r="K177" s="1421"/>
      <c r="L177" s="1421"/>
      <c r="M177" s="1421"/>
      <c r="N177" s="1421"/>
      <c r="O177" s="1421"/>
      <c r="P177" s="1421"/>
      <c r="Q177" s="1421"/>
      <c r="R177" s="1421"/>
      <c r="S177" s="1421"/>
      <c r="T177" s="1421"/>
      <c r="U177" s="1421"/>
      <c r="V177" s="1422"/>
      <c r="W177" s="138"/>
      <c r="X177" s="147"/>
      <c r="AK177" s="157"/>
      <c r="AT177" s="76"/>
    </row>
    <row r="178" spans="1:46" s="83" customFormat="1" ht="11.25" customHeight="1" x14ac:dyDescent="0.2">
      <c r="A178" s="1428" t="str">
        <f>Home!$A$40</f>
        <v>LA's provide quarterly data on the condition that it is used by the benchmarking group for internal reporting only. Please DO NOT share other LA's data with any external partners or the public</v>
      </c>
      <c r="B178" s="1429"/>
      <c r="C178" s="1429"/>
      <c r="D178" s="1429"/>
      <c r="E178" s="1429"/>
      <c r="F178" s="1429"/>
      <c r="G178" s="1429"/>
      <c r="H178" s="1429"/>
      <c r="I178" s="1430"/>
      <c r="J178" s="1429"/>
      <c r="K178" s="1429"/>
      <c r="L178" s="1429"/>
      <c r="M178" s="1429"/>
      <c r="N178" s="1429"/>
      <c r="O178" s="1429"/>
      <c r="P178" s="1431"/>
      <c r="Q178" s="1429"/>
      <c r="R178" s="1429"/>
      <c r="S178" s="1429"/>
      <c r="T178" s="1430"/>
      <c r="U178" s="1429"/>
      <c r="V178" s="1432"/>
      <c r="W178" s="138"/>
      <c r="X178" s="147"/>
      <c r="AJ178" s="179"/>
      <c r="AK178" s="156"/>
      <c r="AL178" s="89"/>
      <c r="AT178" s="76"/>
    </row>
    <row r="179" spans="1:46" ht="11.25" customHeight="1" x14ac:dyDescent="0.2">
      <c r="A179" s="114"/>
      <c r="B179" s="115"/>
      <c r="C179" s="115"/>
      <c r="D179" s="115"/>
      <c r="E179" s="115"/>
      <c r="F179" s="115"/>
      <c r="G179" s="115"/>
      <c r="H179" s="115"/>
      <c r="I179" s="115"/>
      <c r="J179" s="116"/>
      <c r="K179" s="115"/>
      <c r="L179" s="115"/>
      <c r="M179" s="115"/>
      <c r="N179" s="115"/>
      <c r="O179" s="115"/>
      <c r="P179" s="115"/>
      <c r="Q179" s="115"/>
      <c r="R179" s="115"/>
      <c r="S179" s="115"/>
      <c r="T179" s="115"/>
      <c r="U179" s="115"/>
      <c r="V179" s="117"/>
      <c r="W179" s="138"/>
      <c r="X179" s="147"/>
      <c r="Y179" s="193"/>
      <c r="Z179" s="191"/>
      <c r="AA179" s="183"/>
      <c r="AJ179" s="179"/>
      <c r="AK179" s="156"/>
    </row>
    <row r="180" spans="1:46" s="78" customFormat="1" ht="15" customHeight="1" x14ac:dyDescent="0.2">
      <c r="A180" s="121"/>
      <c r="B180" s="1442" t="str">
        <f>"Children Looked After"&amp;Z1&amp;" who had 3 or more placements during the last year"</f>
        <v>Children Looked After at 31st March who had 3 or more placements during the last year</v>
      </c>
      <c r="C180" s="1442"/>
      <c r="D180" s="1442"/>
      <c r="E180" s="1442"/>
      <c r="F180" s="1442"/>
      <c r="G180" s="1442"/>
      <c r="H180" s="1442"/>
      <c r="I180" s="1442"/>
      <c r="J180" s="69"/>
      <c r="K180" s="69"/>
      <c r="L180" s="69"/>
      <c r="M180" s="69"/>
      <c r="N180" s="366"/>
      <c r="O180" s="69"/>
      <c r="P180" s="69"/>
      <c r="Q180" s="69"/>
      <c r="R180" s="69"/>
      <c r="S180" s="69"/>
      <c r="T180" s="69"/>
      <c r="U180" s="69"/>
      <c r="V180" s="122"/>
      <c r="W180" s="139"/>
      <c r="X180" s="148"/>
      <c r="Y180" s="374" t="s">
        <v>152</v>
      </c>
      <c r="Z180" s="375"/>
      <c r="AA180" s="376"/>
      <c r="AB180" s="376"/>
      <c r="AC180" s="376"/>
      <c r="AD180" s="83"/>
      <c r="AE180" s="728" t="s">
        <v>785</v>
      </c>
      <c r="AF180" s="83"/>
      <c r="AG180" s="83"/>
      <c r="AH180" s="83"/>
      <c r="AI180" s="83"/>
      <c r="AJ180" s="179"/>
      <c r="AK180" s="156"/>
    </row>
    <row r="181" spans="1:46" ht="15" customHeight="1" thickBot="1" x14ac:dyDescent="0.25">
      <c r="A181" s="120"/>
      <c r="B181" s="1442"/>
      <c r="C181" s="1442"/>
      <c r="D181" s="1442"/>
      <c r="E181" s="1442"/>
      <c r="F181" s="1442"/>
      <c r="G181" s="1442"/>
      <c r="H181" s="1442"/>
      <c r="I181" s="1442"/>
      <c r="J181" s="69"/>
      <c r="K181" s="69"/>
      <c r="L181" s="69"/>
      <c r="M181" s="69"/>
      <c r="N181" s="366"/>
      <c r="O181" s="69"/>
      <c r="P181" s="69"/>
      <c r="Q181" s="69"/>
      <c r="R181" s="10"/>
      <c r="S181" s="69"/>
      <c r="T181" s="69"/>
      <c r="U181" s="69"/>
      <c r="V181" s="119"/>
      <c r="W181" s="138"/>
      <c r="X181" s="147"/>
      <c r="Y181" s="376"/>
      <c r="Z181" s="375"/>
      <c r="AA181" s="376"/>
      <c r="AB181" s="376"/>
      <c r="AC181" s="376"/>
      <c r="AJ181" s="179"/>
      <c r="AK181" s="156"/>
    </row>
    <row r="182" spans="1:46" ht="13.5" customHeight="1" x14ac:dyDescent="0.2">
      <c r="A182" s="271"/>
      <c r="B182" s="1419" t="s">
        <v>190</v>
      </c>
      <c r="C182" s="873"/>
      <c r="D182" s="755" t="str">
        <f>Sheet1!$D$25</f>
        <v>2014-15</v>
      </c>
      <c r="E182" s="756" t="str">
        <f>Sheet1!$E$25</f>
        <v>2015-16</v>
      </c>
      <c r="F182" s="756" t="str">
        <f>Sheet1!$F$25</f>
        <v>2016-17</v>
      </c>
      <c r="G182" s="756" t="str">
        <f>Sheet1!$G$25</f>
        <v>2017-18</v>
      </c>
      <c r="H182" s="757" t="str">
        <f>Sheet1!$H$25</f>
        <v>2018-19</v>
      </c>
      <c r="I182" s="873"/>
      <c r="J182" s="69"/>
      <c r="K182" s="69"/>
      <c r="L182" s="69"/>
      <c r="M182" s="69"/>
      <c r="N182" s="870"/>
      <c r="O182" s="69"/>
      <c r="P182" s="69"/>
      <c r="Q182" s="69"/>
      <c r="R182" s="10"/>
      <c r="S182" s="69"/>
      <c r="T182" s="69"/>
      <c r="U182" s="69"/>
      <c r="V182" s="119"/>
      <c r="W182" s="138"/>
      <c r="X182" s="147"/>
      <c r="Y182" s="376"/>
      <c r="Z182" s="760" t="str">
        <f>IF(Sheet1!$C$3="Annual","",Sheet1!$D$26)</f>
        <v/>
      </c>
      <c r="AA182" s="761" t="str">
        <f>IF(Sheet1!$C$3="Annual","",Sheet1!$E$26)</f>
        <v/>
      </c>
      <c r="AB182" s="761" t="str">
        <f>IF(Sheet1!$C$3="Annual","",Sheet1!$F$26)</f>
        <v/>
      </c>
      <c r="AC182" s="761" t="str">
        <f>IF(Sheet1!$C$3="Annual","",Sheet1!$G$26)</f>
        <v/>
      </c>
      <c r="AD182" s="762" t="str">
        <f>IF(Sheet1!$C$3="Annual","",Sheet1!$H$26)</f>
        <v/>
      </c>
      <c r="AE182" s="760" t="str">
        <f>IF(Sheet1!$C$3="Annual","",Sheet1!$D$26)</f>
        <v/>
      </c>
      <c r="AF182" s="761" t="str">
        <f>IF(Sheet1!$C$3="Annual","",Sheet1!$E$26)</f>
        <v/>
      </c>
      <c r="AG182" s="761" t="str">
        <f>IF(Sheet1!$C$3="Annual","",Sheet1!$F$26)</f>
        <v/>
      </c>
      <c r="AH182" s="761" t="str">
        <f>IF(Sheet1!$C$3="Annual","",Sheet1!$G$26)</f>
        <v/>
      </c>
      <c r="AI182" s="762" t="str">
        <f>IF(Sheet1!$C$3="Annual","",Sheet1!$H$26)</f>
        <v/>
      </c>
      <c r="AJ182" s="179"/>
      <c r="AK182" s="156"/>
    </row>
    <row r="183" spans="1:46" s="89" customFormat="1" ht="13.5" customHeight="1" thickBot="1" x14ac:dyDescent="0.25">
      <c r="A183" s="123"/>
      <c r="B183" s="1420"/>
      <c r="C183" s="87"/>
      <c r="D183" s="758" t="e">
        <f>Sheet1!$D$26</f>
        <v>#N/A</v>
      </c>
      <c r="E183" s="758" t="e">
        <f>Sheet1!$E$26</f>
        <v>#N/A</v>
      </c>
      <c r="F183" s="758" t="e">
        <f>Sheet1!$F$26</f>
        <v>#N/A</v>
      </c>
      <c r="G183" s="758" t="e">
        <f>Sheet1!$G$26</f>
        <v>#N/A</v>
      </c>
      <c r="H183" s="759" t="e">
        <f>Sheet1!$H$26</f>
        <v>#N/A</v>
      </c>
      <c r="I183" s="98"/>
      <c r="J183" s="98"/>
      <c r="K183" s="61"/>
      <c r="L183" s="61"/>
      <c r="M183" s="61"/>
      <c r="N183" s="61"/>
      <c r="O183" s="61"/>
      <c r="P183" s="61"/>
      <c r="Q183" s="372"/>
      <c r="R183" s="372"/>
      <c r="S183" s="155"/>
      <c r="T183" s="155"/>
      <c r="U183" s="371"/>
      <c r="V183" s="124"/>
      <c r="W183" s="140"/>
      <c r="X183" s="149"/>
      <c r="Y183" s="365"/>
      <c r="Z183" s="763" t="str">
        <f>Sheet1!$D$25</f>
        <v>2014-15</v>
      </c>
      <c r="AA183" s="764" t="str">
        <f>Sheet1!$E$25</f>
        <v>2015-16</v>
      </c>
      <c r="AB183" s="764" t="str">
        <f>Sheet1!$F$25</f>
        <v>2016-17</v>
      </c>
      <c r="AC183" s="764" t="str">
        <f>Sheet1!$G$25</f>
        <v>2017-18</v>
      </c>
      <c r="AD183" s="765" t="str">
        <f>Sheet1!$H$25</f>
        <v>2018-19</v>
      </c>
      <c r="AE183" s="763" t="str">
        <f>Sheet1!$D$25</f>
        <v>2014-15</v>
      </c>
      <c r="AF183" s="764" t="str">
        <f>Sheet1!$E$25</f>
        <v>2015-16</v>
      </c>
      <c r="AG183" s="764" t="str">
        <f>Sheet1!$F$25</f>
        <v>2016-17</v>
      </c>
      <c r="AH183" s="764" t="str">
        <f>Sheet1!$G$25</f>
        <v>2017-18</v>
      </c>
      <c r="AI183" s="765" t="str">
        <f>Sheet1!$H$25</f>
        <v>2018-19</v>
      </c>
      <c r="AJ183" s="179"/>
      <c r="AK183" s="156"/>
    </row>
    <row r="184" spans="1:46" s="89" customFormat="1" ht="12.75" x14ac:dyDescent="0.2">
      <c r="A184" s="462">
        <f>VLOOKUP(B184,Sheet1!$AQ$4:$AR$25,2,FALSE)</f>
        <v>0</v>
      </c>
      <c r="B184" s="95" t="str">
        <f t="shared" ref="B184:B207" si="56">B148</f>
        <v>Bracknell Forest</v>
      </c>
      <c r="C184" s="87"/>
      <c r="D184" s="158" t="e">
        <f t="shared" ref="D184:D207" si="57">IF(AND(ISNUMBER(D10),ISNUMBER(Z184)),Z184/D10,NA())</f>
        <v>#N/A</v>
      </c>
      <c r="E184" s="158">
        <f t="shared" ref="E184:E207" si="58">IF(AND(ISNUMBER(E10),ISNUMBER(AA184)),AA184/E10,NA())</f>
        <v>0.15306122448979592</v>
      </c>
      <c r="F184" s="158">
        <f t="shared" ref="F184:F207" si="59">IF(AND(ISNUMBER(F10),ISNUMBER(AB184)),AB184/F10,NA())</f>
        <v>8.6206896551724144E-2</v>
      </c>
      <c r="G184" s="158">
        <f t="shared" ref="G184:G207" si="60">IF(AND(ISNUMBER(G10),ISNUMBER(AC184)),AC184/G10,NA())</f>
        <v>0.13768115942028986</v>
      </c>
      <c r="H184" s="160">
        <f t="shared" ref="H184:H207" si="61">IF(AND(ISNUMBER(H10),ISNUMBER(AD184)),AD184/H10,NA())</f>
        <v>0.19620253164556961</v>
      </c>
      <c r="I184" s="98"/>
      <c r="J184" s="98"/>
      <c r="K184" s="162"/>
      <c r="L184" s="162"/>
      <c r="M184" s="162"/>
      <c r="N184" s="162"/>
      <c r="O184" s="162"/>
      <c r="P184" s="162"/>
      <c r="Q184" s="162"/>
      <c r="R184" s="163"/>
      <c r="S184" s="155"/>
      <c r="T184" s="155"/>
      <c r="U184" s="162"/>
      <c r="V184" s="124"/>
      <c r="W184" s="140"/>
      <c r="X184" s="149"/>
      <c r="Y184" s="365" t="str">
        <f>B184</f>
        <v>Bracknell Forest</v>
      </c>
      <c r="Z184" s="463" t="str">
        <f>IF(Year1_Bracknell_Forest Year1_LAC_3_or_more_Placements="","",Year1_Bracknell_Forest Year1_LAC_3_or_more_Placements)</f>
        <v/>
      </c>
      <c r="AA184" s="365">
        <f>IF(Year2_Bracknell_Forest Year2_LAC_3_or_more_Placements="","",Year2_Bracknell_Forest Year2_LAC_3_or_more_Placements)</f>
        <v>15</v>
      </c>
      <c r="AB184" s="365">
        <f>IF(Year3_Bracknell_Forest Year3_LAC_3_or_more_Placements="","",Year3_Bracknell_Forest Year3_LAC_3_or_more_Placements)</f>
        <v>10</v>
      </c>
      <c r="AC184" s="365">
        <f>IF(Year4_Bracknell_Forest Year4_LAC_3_or_more_Placements="","",Year4_Bracknell_Forest Year4_LAC_3_or_more_Placements)</f>
        <v>19</v>
      </c>
      <c r="AD184" s="552">
        <f>IF(Year5_Bracknell_Forest Year5_LAC_3_or_more_Placements="","",Year5_Bracknell_Forest Year5_LAC_3_or_more_Placements)</f>
        <v>31</v>
      </c>
      <c r="AE184" s="463">
        <f>IF(ISNUMBER(Z184),D10,0)</f>
        <v>0</v>
      </c>
      <c r="AF184" s="463">
        <f t="shared" ref="AF184:AI184" si="62">IF(ISNUMBER(AA184),E10,0)</f>
        <v>98</v>
      </c>
      <c r="AG184" s="463">
        <f t="shared" si="62"/>
        <v>116</v>
      </c>
      <c r="AH184" s="463">
        <f t="shared" si="62"/>
        <v>138</v>
      </c>
      <c r="AI184" s="463">
        <f t="shared" si="62"/>
        <v>158</v>
      </c>
      <c r="AJ184" s="179"/>
      <c r="AK184" s="156"/>
    </row>
    <row r="185" spans="1:46" s="89" customFormat="1" ht="12.75" customHeight="1" x14ac:dyDescent="0.2">
      <c r="A185" s="462">
        <f>VLOOKUP(B185,Sheet1!$AQ$4:$AR$25,2,FALSE)</f>
        <v>0</v>
      </c>
      <c r="B185" s="95" t="str">
        <f t="shared" si="56"/>
        <v>Brighton &amp; Hove</v>
      </c>
      <c r="C185" s="87"/>
      <c r="D185" s="158" t="e">
        <f t="shared" si="57"/>
        <v>#N/A</v>
      </c>
      <c r="E185" s="158">
        <f t="shared" si="58"/>
        <v>0.14840182648401826</v>
      </c>
      <c r="F185" s="158">
        <f t="shared" si="59"/>
        <v>0.1206140350877193</v>
      </c>
      <c r="G185" s="158">
        <f t="shared" si="60"/>
        <v>9.5465393794749401E-2</v>
      </c>
      <c r="H185" s="160">
        <f t="shared" si="61"/>
        <v>8.1841432225063945E-2</v>
      </c>
      <c r="I185" s="98"/>
      <c r="J185" s="98"/>
      <c r="K185" s="162"/>
      <c r="L185" s="162"/>
      <c r="M185" s="162"/>
      <c r="N185" s="162"/>
      <c r="O185" s="162"/>
      <c r="P185" s="162"/>
      <c r="Q185" s="162"/>
      <c r="R185" s="163"/>
      <c r="S185" s="155"/>
      <c r="T185" s="155"/>
      <c r="U185" s="162"/>
      <c r="V185" s="124"/>
      <c r="W185" s="140"/>
      <c r="X185" s="149"/>
      <c r="Y185" s="365" t="str">
        <f t="shared" ref="Y185:Y207" si="63">B185</f>
        <v>Brighton &amp; Hove</v>
      </c>
      <c r="Z185" s="463" t="str">
        <f>IF(Year1_Brighton_Hove Year1_LAC_3_or_more_Placements="","",Year1_Brighton_Hove Year1_LAC_3_or_more_Placements)</f>
        <v/>
      </c>
      <c r="AA185" s="365">
        <f>IF(Year2_Brighton_Hove Year2_LAC_3_or_more_Placements="","",Year2_Brighton_Hove Year2_LAC_3_or_more_Placements)</f>
        <v>65</v>
      </c>
      <c r="AB185" s="365">
        <f>IF(Year3_Brighton_Hove Year3_LAC_3_or_more_Placements="","",Year3_Brighton_Hove Year3_LAC_3_or_more_Placements)</f>
        <v>55</v>
      </c>
      <c r="AC185" s="365">
        <f>IF(Year4_Brighton_Hove Year4_LAC_3_or_more_Placements="","",Year4_Brighton_Hove Year4_LAC_3_or_more_Placements)</f>
        <v>40</v>
      </c>
      <c r="AD185" s="552">
        <f>IF(Year5_Brighton_Hove Year5_LAC_3_or_more_Placements="","",Year5_Brighton_Hove Year5_LAC_3_or_more_Placements)</f>
        <v>32</v>
      </c>
      <c r="AE185" s="463">
        <f t="shared" ref="AE185:AE205" si="64">IF(ISNUMBER(Z185),D11,0)</f>
        <v>0</v>
      </c>
      <c r="AF185" s="463">
        <f t="shared" ref="AF185:AF205" si="65">IF(ISNUMBER(AA185),E11,0)</f>
        <v>438</v>
      </c>
      <c r="AG185" s="463">
        <f t="shared" ref="AG185:AG205" si="66">IF(ISNUMBER(AB185),F11,0)</f>
        <v>456</v>
      </c>
      <c r="AH185" s="463">
        <f t="shared" ref="AH185:AH205" si="67">IF(ISNUMBER(AC185),G11,0)</f>
        <v>419</v>
      </c>
      <c r="AI185" s="463">
        <f t="shared" ref="AI185:AI205" si="68">IF(ISNUMBER(AD185),H11,0)</f>
        <v>391</v>
      </c>
      <c r="AJ185" s="179"/>
      <c r="AK185" s="156"/>
    </row>
    <row r="186" spans="1:46" s="89" customFormat="1" ht="12.75" customHeight="1" x14ac:dyDescent="0.2">
      <c r="A186" s="462">
        <f>VLOOKUP(B186,Sheet1!$AQ$4:$AR$25,2,FALSE)</f>
        <v>0</v>
      </c>
      <c r="B186" s="95" t="str">
        <f t="shared" si="56"/>
        <v>Buckinghamshire</v>
      </c>
      <c r="C186" s="87"/>
      <c r="D186" s="158" t="e">
        <f t="shared" si="57"/>
        <v>#N/A</v>
      </c>
      <c r="E186" s="158">
        <f t="shared" si="58"/>
        <v>7.6252723311546838E-2</v>
      </c>
      <c r="F186" s="158">
        <f t="shared" si="59"/>
        <v>7.7092511013215861E-2</v>
      </c>
      <c r="G186" s="158">
        <f t="shared" si="60"/>
        <v>5.9322033898305086E-2</v>
      </c>
      <c r="H186" s="160">
        <f t="shared" si="61"/>
        <v>8.9320388349514557E-2</v>
      </c>
      <c r="I186" s="98"/>
      <c r="J186" s="98"/>
      <c r="K186" s="162"/>
      <c r="L186" s="162"/>
      <c r="M186" s="162"/>
      <c r="N186" s="162"/>
      <c r="O186" s="162"/>
      <c r="P186" s="162"/>
      <c r="Q186" s="162"/>
      <c r="R186" s="163"/>
      <c r="S186" s="155"/>
      <c r="T186" s="155"/>
      <c r="U186" s="162"/>
      <c r="V186" s="124"/>
      <c r="W186" s="140"/>
      <c r="X186" s="149"/>
      <c r="Y186" s="365" t="str">
        <f t="shared" si="63"/>
        <v>Buckinghamshire</v>
      </c>
      <c r="Z186" s="463" t="str">
        <f>IF(Year1_Buckinghamshire Year1_LAC_3_or_more_Placements="","",Year1_Buckinghamshire Year1_LAC_3_or_more_Placements)</f>
        <v/>
      </c>
      <c r="AA186" s="365">
        <f>IF(Year2_Buckinghamshire Year2_LAC_3_or_more_Placements="","",Year2_Buckinghamshire Year2_LAC_3_or_more_Placements)</f>
        <v>35</v>
      </c>
      <c r="AB186" s="365">
        <f>IF(Year3_Buckinghamshire Year3_LAC_3_or_more_Placements="","",Year3_Buckinghamshire Year3_LAC_3_or_more_Placements)</f>
        <v>35</v>
      </c>
      <c r="AC186" s="365">
        <f>IF(Year4_Buckinghamshire Year4_LAC_3_or_more_Placements="","",Year4_Buckinghamshire Year4_LAC_3_or_more_Placements)</f>
        <v>28</v>
      </c>
      <c r="AD186" s="552">
        <f>IF(Year5_Buckinghamshire Year5_LAC_3_or_more_Placements="","",Year5_Buckinghamshire Year5_LAC_3_or_more_Placements)</f>
        <v>46</v>
      </c>
      <c r="AE186" s="463">
        <f t="shared" si="64"/>
        <v>0</v>
      </c>
      <c r="AF186" s="463">
        <f t="shared" si="65"/>
        <v>459</v>
      </c>
      <c r="AG186" s="463">
        <f t="shared" si="66"/>
        <v>454</v>
      </c>
      <c r="AH186" s="463">
        <f t="shared" si="67"/>
        <v>472</v>
      </c>
      <c r="AI186" s="463">
        <f t="shared" si="68"/>
        <v>515</v>
      </c>
      <c r="AJ186" s="179"/>
      <c r="AK186" s="156"/>
    </row>
    <row r="187" spans="1:46" s="89" customFormat="1" ht="12.75" customHeight="1" x14ac:dyDescent="0.2">
      <c r="A187" s="462">
        <f>VLOOKUP(B187,Sheet1!$AQ$4:$AR$25,2,FALSE)</f>
        <v>0</v>
      </c>
      <c r="B187" s="95" t="str">
        <f t="shared" si="56"/>
        <v>East Sussex</v>
      </c>
      <c r="C187" s="87"/>
      <c r="D187" s="158" t="e">
        <f t="shared" si="57"/>
        <v>#N/A</v>
      </c>
      <c r="E187" s="158">
        <f t="shared" si="58"/>
        <v>0.11049723756906077</v>
      </c>
      <c r="F187" s="158">
        <f t="shared" si="59"/>
        <v>0.13513513513513514</v>
      </c>
      <c r="G187" s="158">
        <f t="shared" si="60"/>
        <v>0.11129568106312292</v>
      </c>
      <c r="H187" s="160">
        <f t="shared" si="61"/>
        <v>0.12</v>
      </c>
      <c r="I187" s="98"/>
      <c r="J187" s="98"/>
      <c r="K187" s="162"/>
      <c r="L187" s="162"/>
      <c r="M187" s="162"/>
      <c r="N187" s="162"/>
      <c r="O187" s="162"/>
      <c r="P187" s="162"/>
      <c r="Q187" s="162"/>
      <c r="R187" s="163"/>
      <c r="S187" s="155"/>
      <c r="T187" s="155"/>
      <c r="U187" s="162"/>
      <c r="V187" s="124"/>
      <c r="W187" s="140"/>
      <c r="X187" s="149"/>
      <c r="Y187" s="365" t="str">
        <f t="shared" si="63"/>
        <v>East Sussex</v>
      </c>
      <c r="Z187" s="463" t="str">
        <f>IF(Year1_East_Sussex Year1_LAC_3_or_more_Placements="","",Year1_East_Sussex Year1_LAC_3_or_more_Placements)</f>
        <v/>
      </c>
      <c r="AA187" s="365">
        <f>IF(Year2_East_Sussex Year2_LAC_3_or_more_Placements="","",Year2_East_Sussex Year2_LAC_3_or_more_Placements)</f>
        <v>60</v>
      </c>
      <c r="AB187" s="365">
        <f>IF(Year3_East_Sussex Year3_LAC_3_or_more_Placements="","",Year3_East_Sussex Year3_LAC_3_or_more_Placements)</f>
        <v>75</v>
      </c>
      <c r="AC187" s="365">
        <f>IF(Year4_East_Sussex Year4_LAC_3_or_more_Placements="","",Year4_East_Sussex Year4_LAC_3_or_more_Placements)</f>
        <v>67</v>
      </c>
      <c r="AD187" s="552">
        <f>IF(Year5_East_Sussex Year5_LAC_3_or_more_Placements="","",Year5_East_Sussex Year5_LAC_3_or_more_Placements)</f>
        <v>72</v>
      </c>
      <c r="AE187" s="463">
        <f t="shared" si="64"/>
        <v>0</v>
      </c>
      <c r="AF187" s="463">
        <f t="shared" si="65"/>
        <v>543</v>
      </c>
      <c r="AG187" s="463">
        <f t="shared" si="66"/>
        <v>555</v>
      </c>
      <c r="AH187" s="463">
        <f t="shared" si="67"/>
        <v>602</v>
      </c>
      <c r="AI187" s="463">
        <f t="shared" si="68"/>
        <v>600</v>
      </c>
      <c r="AJ187" s="179"/>
      <c r="AK187" s="156"/>
    </row>
    <row r="188" spans="1:46" s="89" customFormat="1" ht="12.75" customHeight="1" x14ac:dyDescent="0.2">
      <c r="A188" s="462">
        <f>VLOOKUP(B188,Sheet1!$AQ$4:$AR$25,2,FALSE)</f>
        <v>0</v>
      </c>
      <c r="B188" s="95" t="str">
        <f t="shared" si="56"/>
        <v>Hampshire</v>
      </c>
      <c r="C188" s="87"/>
      <c r="D188" s="158" t="e">
        <f t="shared" si="57"/>
        <v>#N/A</v>
      </c>
      <c r="E188" s="158">
        <f t="shared" si="58"/>
        <v>0.17241379310344829</v>
      </c>
      <c r="F188" s="158">
        <f t="shared" si="59"/>
        <v>0.15625</v>
      </c>
      <c r="G188" s="158">
        <f t="shared" si="60"/>
        <v>0.16436637390213299</v>
      </c>
      <c r="H188" s="160">
        <f t="shared" si="61"/>
        <v>0.15925480769230768</v>
      </c>
      <c r="I188" s="98"/>
      <c r="J188" s="98"/>
      <c r="K188" s="162"/>
      <c r="L188" s="162"/>
      <c r="M188" s="162"/>
      <c r="N188" s="162"/>
      <c r="O188" s="162"/>
      <c r="P188" s="162"/>
      <c r="Q188" s="162"/>
      <c r="R188" s="163"/>
      <c r="S188" s="155"/>
      <c r="T188" s="155"/>
      <c r="U188" s="162"/>
      <c r="V188" s="124"/>
      <c r="W188" s="140"/>
      <c r="X188" s="149"/>
      <c r="Y188" s="365" t="str">
        <f t="shared" si="63"/>
        <v>Hampshire</v>
      </c>
      <c r="Z188" s="463" t="str">
        <f>IF(Year1_Hampshire Year1_LAC_3_or_more_Placements="","",Year1_Hampshire Year1_LAC_3_or_more_Placements)</f>
        <v/>
      </c>
      <c r="AA188" s="365">
        <f>IF(Year2_Hampshire Year2_LAC_3_or_more_Placements="","",Year2_Hampshire Year2_LAC_3_or_more_Placements)</f>
        <v>225</v>
      </c>
      <c r="AB188" s="365">
        <f>IF(Year3_Hampshire Year3_LAC_3_or_more_Placements="","",Year3_Hampshire Year3_LAC_3_or_more_Placements)</f>
        <v>225</v>
      </c>
      <c r="AC188" s="365">
        <f>IF(Year4_Hampshire Year4_LAC_3_or_more_Placements="","",Year4_Hampshire Year4_LAC_3_or_more_Placements)</f>
        <v>262</v>
      </c>
      <c r="AD188" s="552">
        <f>IF(Year5_Hampshire Year5_LAC_3_or_more_Placements="","",Year5_Hampshire Year5_LAC_3_or_more_Placements)</f>
        <v>265</v>
      </c>
      <c r="AE188" s="463">
        <f t="shared" si="64"/>
        <v>0</v>
      </c>
      <c r="AF188" s="463">
        <f t="shared" si="65"/>
        <v>1305</v>
      </c>
      <c r="AG188" s="463">
        <f t="shared" si="66"/>
        <v>1440</v>
      </c>
      <c r="AH188" s="463">
        <f t="shared" si="67"/>
        <v>1594</v>
      </c>
      <c r="AI188" s="463">
        <f t="shared" si="68"/>
        <v>1664</v>
      </c>
      <c r="AJ188" s="179"/>
      <c r="AK188" s="156"/>
    </row>
    <row r="189" spans="1:46" s="89" customFormat="1" ht="12.75" customHeight="1" x14ac:dyDescent="0.2">
      <c r="A189" s="462">
        <f>VLOOKUP(B189,Sheet1!$AQ$4:$AR$25,2,FALSE)</f>
        <v>0</v>
      </c>
      <c r="B189" s="95" t="str">
        <f t="shared" si="56"/>
        <v>Isle of Wight</v>
      </c>
      <c r="C189" s="87"/>
      <c r="D189" s="158" t="e">
        <f t="shared" si="57"/>
        <v>#N/A</v>
      </c>
      <c r="E189" s="158">
        <f t="shared" si="58"/>
        <v>0.12254901960784313</v>
      </c>
      <c r="F189" s="158">
        <f t="shared" si="59"/>
        <v>0.10964912280701754</v>
      </c>
      <c r="G189" s="158">
        <f t="shared" si="60"/>
        <v>0.18141592920353983</v>
      </c>
      <c r="H189" s="160">
        <f t="shared" si="61"/>
        <v>9.8765432098765427E-2</v>
      </c>
      <c r="I189" s="98"/>
      <c r="J189" s="98"/>
      <c r="K189" s="162"/>
      <c r="L189" s="162"/>
      <c r="M189" s="162"/>
      <c r="N189" s="162"/>
      <c r="O189" s="162"/>
      <c r="P189" s="162"/>
      <c r="Q189" s="162"/>
      <c r="R189" s="163"/>
      <c r="S189" s="155"/>
      <c r="T189" s="155"/>
      <c r="U189" s="162"/>
      <c r="V189" s="124"/>
      <c r="W189" s="140"/>
      <c r="X189" s="149"/>
      <c r="Y189" s="365" t="str">
        <f t="shared" si="63"/>
        <v>Isle of Wight</v>
      </c>
      <c r="Z189" s="463" t="str">
        <f>IF(Year1_Isle_of_Wight Year1_LAC_3_or_more_Placements="","",Year1_Isle_of_Wight Year1_LAC_3_or_more_Placements)</f>
        <v/>
      </c>
      <c r="AA189" s="365">
        <f>IF(Year2_Isle_of_Wight Year2_LAC_3_or_more_Placements="","",Year2_Isle_of_Wight Year2_LAC_3_or_more_Placements)</f>
        <v>25</v>
      </c>
      <c r="AB189" s="365">
        <f>IF(Year3_Isle_of_Wight Year3_LAC_3_or_more_Placements="","",Year3_Isle_of_Wight Year3_LAC_3_or_more_Placements)</f>
        <v>25</v>
      </c>
      <c r="AC189" s="365">
        <f>IF(Year4_Isle_of_Wight Year4_LAC_3_or_more_Placements="","",Year4_Isle_of_Wight Year4_LAC_3_or_more_Placements)</f>
        <v>41</v>
      </c>
      <c r="AD189" s="552">
        <f>IF(Year5_Isle_of_Wight Year5_LAC_3_or_more_Placements="","",Year5_Isle_of_Wight Year5_LAC_3_or_more_Placements)</f>
        <v>24</v>
      </c>
      <c r="AE189" s="463">
        <f t="shared" si="64"/>
        <v>0</v>
      </c>
      <c r="AF189" s="463">
        <f t="shared" si="65"/>
        <v>204</v>
      </c>
      <c r="AG189" s="463">
        <f t="shared" si="66"/>
        <v>228</v>
      </c>
      <c r="AH189" s="463">
        <f t="shared" si="67"/>
        <v>226</v>
      </c>
      <c r="AI189" s="463">
        <f t="shared" si="68"/>
        <v>243</v>
      </c>
      <c r="AJ189" s="179"/>
      <c r="AK189" s="156"/>
      <c r="AS189" s="89" t="s">
        <v>103</v>
      </c>
    </row>
    <row r="190" spans="1:46" s="89" customFormat="1" ht="12.75" customHeight="1" x14ac:dyDescent="0.2">
      <c r="A190" s="462">
        <f>VLOOKUP(B190,Sheet1!$AQ$4:$AR$25,2,FALSE)</f>
        <v>0</v>
      </c>
      <c r="B190" s="95" t="str">
        <f t="shared" si="56"/>
        <v>Kent</v>
      </c>
      <c r="C190" s="87"/>
      <c r="D190" s="158" t="e">
        <f t="shared" si="57"/>
        <v>#N/A</v>
      </c>
      <c r="E190" s="158">
        <f t="shared" si="58"/>
        <v>0.12532411408815902</v>
      </c>
      <c r="F190" s="158">
        <f t="shared" si="59"/>
        <v>0.1262493424513414</v>
      </c>
      <c r="G190" s="158">
        <f t="shared" si="60"/>
        <v>0.11761121267519806</v>
      </c>
      <c r="H190" s="160">
        <f t="shared" si="61"/>
        <v>0.10377358490566038</v>
      </c>
      <c r="I190" s="98"/>
      <c r="J190" s="98"/>
      <c r="K190" s="162"/>
      <c r="L190" s="162"/>
      <c r="M190" s="162"/>
      <c r="N190" s="162"/>
      <c r="O190" s="162"/>
      <c r="P190" s="162"/>
      <c r="Q190" s="162"/>
      <c r="R190" s="163"/>
      <c r="S190" s="155"/>
      <c r="T190" s="155"/>
      <c r="U190" s="162"/>
      <c r="V190" s="124"/>
      <c r="W190" s="140"/>
      <c r="X190" s="149"/>
      <c r="Y190" s="365" t="str">
        <f t="shared" si="63"/>
        <v>Kent</v>
      </c>
      <c r="Z190" s="463" t="str">
        <f>IF(Year1_Kent Year1_LAC_3_or_more_Placements="","",Year1_Kent Year1_LAC_3_or_more_Placements)</f>
        <v/>
      </c>
      <c r="AA190" s="365">
        <f>IF(Year2_Kent Year2_LAC_3_or_more_Placements="","",Year2_Kent Year2_LAC_3_or_more_Placements)</f>
        <v>290</v>
      </c>
      <c r="AB190" s="365">
        <f>IF(Year3_Kent Year3_LAC_3_or_more_Placements="","",Year3_Kent Year3_LAC_3_or_more_Placements)</f>
        <v>240</v>
      </c>
      <c r="AC190" s="365">
        <f>IF(Year4_Kent Year4_LAC_3_or_more_Placements="","",Year4_Kent Year4_LAC_3_or_more_Placements)</f>
        <v>193</v>
      </c>
      <c r="AD190" s="552">
        <f>IF(Year5_Kent Year5_LAC_3_or_more_Placements="","",Year5_Kent Year5_LAC_3_or_more_Placements)</f>
        <v>165</v>
      </c>
      <c r="AE190" s="463">
        <f t="shared" si="64"/>
        <v>0</v>
      </c>
      <c r="AF190" s="463">
        <f t="shared" si="65"/>
        <v>2314</v>
      </c>
      <c r="AG190" s="463">
        <f t="shared" si="66"/>
        <v>1901</v>
      </c>
      <c r="AH190" s="463">
        <f t="shared" si="67"/>
        <v>1641</v>
      </c>
      <c r="AI190" s="463">
        <f t="shared" si="68"/>
        <v>1590</v>
      </c>
      <c r="AJ190" s="179"/>
      <c r="AK190" s="156"/>
    </row>
    <row r="191" spans="1:46" s="89" customFormat="1" ht="12.75" customHeight="1" x14ac:dyDescent="0.2">
      <c r="A191" s="462">
        <f>VLOOKUP(B191,Sheet1!$AQ$4:$AR$25,2,FALSE)</f>
        <v>0</v>
      </c>
      <c r="B191" s="95" t="str">
        <f t="shared" si="56"/>
        <v>Medway</v>
      </c>
      <c r="C191" s="87"/>
      <c r="D191" s="158" t="e">
        <f t="shared" si="57"/>
        <v>#N/A</v>
      </c>
      <c r="E191" s="158">
        <f t="shared" si="58"/>
        <v>9.3023255813953487E-2</v>
      </c>
      <c r="F191" s="158">
        <f t="shared" si="59"/>
        <v>0.11538461538461539</v>
      </c>
      <c r="G191" s="158">
        <f t="shared" si="60"/>
        <v>9.9033816425120769E-2</v>
      </c>
      <c r="H191" s="160">
        <f t="shared" si="61"/>
        <v>9.4339622641509441E-2</v>
      </c>
      <c r="I191" s="98"/>
      <c r="J191" s="98"/>
      <c r="K191" s="162"/>
      <c r="L191" s="162"/>
      <c r="M191" s="162"/>
      <c r="N191" s="162"/>
      <c r="O191" s="162"/>
      <c r="P191" s="162"/>
      <c r="Q191" s="162"/>
      <c r="R191" s="163"/>
      <c r="S191" s="155"/>
      <c r="T191" s="155"/>
      <c r="U191" s="162"/>
      <c r="V191" s="124"/>
      <c r="W191" s="140"/>
      <c r="X191" s="149"/>
      <c r="Y191" s="365" t="str">
        <f t="shared" si="63"/>
        <v>Medway</v>
      </c>
      <c r="Z191" s="463" t="str">
        <f>IF(Year1_Medway Year1_LAC_3_or_more_Placements="","",Year1_Medway Year1_LAC_3_or_more_Placements)</f>
        <v/>
      </c>
      <c r="AA191" s="365">
        <f>IF(Year2_Medway Year2_LAC_3_or_more_Placements="","",Year2_Medway Year2_LAC_3_or_more_Placements)</f>
        <v>40</v>
      </c>
      <c r="AB191" s="365">
        <f>IF(Year3_Medway Year3_LAC_3_or_more_Placements="","",Year3_Medway Year3_LAC_3_or_more_Placements)</f>
        <v>45</v>
      </c>
      <c r="AC191" s="365">
        <f>IF(Year4_Medway Year4_LAC_3_or_more_Placements="","",Year4_Medway Year4_LAC_3_or_more_Placements)</f>
        <v>41</v>
      </c>
      <c r="AD191" s="552">
        <f>IF(Year5_Medway Year5_LAC_3_or_more_Placements="","",Year5_Medway Year5_LAC_3_or_more_Placements)</f>
        <v>40</v>
      </c>
      <c r="AE191" s="463">
        <f t="shared" si="64"/>
        <v>0</v>
      </c>
      <c r="AF191" s="463">
        <f t="shared" si="65"/>
        <v>430</v>
      </c>
      <c r="AG191" s="463">
        <f t="shared" si="66"/>
        <v>390</v>
      </c>
      <c r="AH191" s="463">
        <f t="shared" si="67"/>
        <v>414</v>
      </c>
      <c r="AI191" s="463">
        <f t="shared" si="68"/>
        <v>424</v>
      </c>
      <c r="AJ191" s="179"/>
      <c r="AK191" s="156"/>
    </row>
    <row r="192" spans="1:46" s="89" customFormat="1" ht="12.75" customHeight="1" x14ac:dyDescent="0.2">
      <c r="A192" s="462">
        <f>VLOOKUP(B192,Sheet1!$AQ$4:$AR$25,2,FALSE)</f>
        <v>0</v>
      </c>
      <c r="B192" s="95" t="str">
        <f t="shared" si="56"/>
        <v>Milton Keynes</v>
      </c>
      <c r="C192" s="87"/>
      <c r="D192" s="158" t="e">
        <f t="shared" si="57"/>
        <v>#N/A</v>
      </c>
      <c r="E192" s="158">
        <f t="shared" si="58"/>
        <v>0.11594202898550725</v>
      </c>
      <c r="F192" s="158">
        <f t="shared" si="59"/>
        <v>8.8383838383838384E-2</v>
      </c>
      <c r="G192" s="158">
        <f t="shared" si="60"/>
        <v>0.1116751269035533</v>
      </c>
      <c r="H192" s="160">
        <f t="shared" si="61"/>
        <v>0.10761154855643044</v>
      </c>
      <c r="I192" s="98"/>
      <c r="J192" s="98"/>
      <c r="K192" s="162"/>
      <c r="L192" s="162"/>
      <c r="M192" s="162"/>
      <c r="N192" s="162"/>
      <c r="O192" s="162"/>
      <c r="P192" s="162"/>
      <c r="Q192" s="162"/>
      <c r="R192" s="163"/>
      <c r="S192" s="155"/>
      <c r="T192" s="155"/>
      <c r="U192" s="162"/>
      <c r="V192" s="124"/>
      <c r="W192" s="140"/>
      <c r="X192" s="149"/>
      <c r="Y192" s="365" t="str">
        <f t="shared" si="63"/>
        <v>Milton Keynes</v>
      </c>
      <c r="Z192" s="463" t="str">
        <f>IF(Year1_Milton_Keynes Year1_LAC_3_or_more_Placements="","",Year1_Milton_Keynes Year1_LAC_3_or_more_Placements)</f>
        <v/>
      </c>
      <c r="AA192" s="365">
        <f>IF(Year2_Milton_Keynes Year2_LAC_3_or_more_Placements="","",Year2_Milton_Keynes Year2_LAC_3_or_more_Placements)</f>
        <v>40</v>
      </c>
      <c r="AB192" s="365">
        <f>IF(Year3_Milton_Keynes Year3_LAC_3_or_more_Placements="","",Year3_Milton_Keynes Year3_LAC_3_or_more_Placements)</f>
        <v>35</v>
      </c>
      <c r="AC192" s="365">
        <f>IF(Year4_Milton_Keynes Year4_LAC_3_or_more_Placements="","",Year4_Milton_Keynes Year4_LAC_3_or_more_Placements)</f>
        <v>44</v>
      </c>
      <c r="AD192" s="552">
        <f>IF(Year5_Milton_Keynes Year5_LAC_3_or_more_Placements="","",Year5_Milton_Keynes Year5_LAC_3_or_more_Placements)</f>
        <v>41</v>
      </c>
      <c r="AE192" s="463">
        <f t="shared" si="64"/>
        <v>0</v>
      </c>
      <c r="AF192" s="463">
        <f t="shared" si="65"/>
        <v>345</v>
      </c>
      <c r="AG192" s="463">
        <f t="shared" si="66"/>
        <v>396</v>
      </c>
      <c r="AH192" s="463">
        <f t="shared" si="67"/>
        <v>394</v>
      </c>
      <c r="AI192" s="463">
        <f t="shared" si="68"/>
        <v>381</v>
      </c>
      <c r="AJ192" s="179"/>
      <c r="AK192" s="156"/>
    </row>
    <row r="193" spans="1:37" s="89" customFormat="1" ht="12.75" customHeight="1" x14ac:dyDescent="0.2">
      <c r="A193" s="462">
        <f>VLOOKUP(B193,Sheet1!$AQ$4:$AR$25,2,FALSE)</f>
        <v>0</v>
      </c>
      <c r="B193" s="95" t="str">
        <f t="shared" si="56"/>
        <v>Oxfordshire</v>
      </c>
      <c r="C193" s="87"/>
      <c r="D193" s="158" t="e">
        <f t="shared" si="57"/>
        <v>#N/A</v>
      </c>
      <c r="E193" s="158">
        <f t="shared" si="58"/>
        <v>6.7453625632377737E-2</v>
      </c>
      <c r="F193" s="158">
        <f t="shared" si="59"/>
        <v>8.2582582582582581E-2</v>
      </c>
      <c r="G193" s="158">
        <f t="shared" si="60"/>
        <v>0.11257309941520467</v>
      </c>
      <c r="H193" s="160">
        <f t="shared" si="61"/>
        <v>9.2426187419768935E-2</v>
      </c>
      <c r="I193" s="98"/>
      <c r="J193" s="98"/>
      <c r="K193" s="162"/>
      <c r="L193" s="162"/>
      <c r="M193" s="162"/>
      <c r="N193" s="162"/>
      <c r="O193" s="162"/>
      <c r="P193" s="162"/>
      <c r="Q193" s="162"/>
      <c r="R193" s="163"/>
      <c r="S193" s="155"/>
      <c r="T193" s="155"/>
      <c r="U193" s="162"/>
      <c r="V193" s="124"/>
      <c r="W193" s="140"/>
      <c r="X193" s="149"/>
      <c r="Y193" s="365" t="str">
        <f t="shared" si="63"/>
        <v>Oxfordshire</v>
      </c>
      <c r="Z193" s="463" t="str">
        <f>IF(Year1_Oxfordshire Year1_LAC_3_or_more_Placements="","",Year1_Oxfordshire Year1_LAC_3_or_more_Placements)</f>
        <v/>
      </c>
      <c r="AA193" s="365">
        <f>IF(Year2_Oxfordshire Year2_LAC_3_or_more_Placements="","",Year2_Oxfordshire Year2_LAC_3_or_more_Placements)</f>
        <v>40</v>
      </c>
      <c r="AB193" s="365">
        <f>IF(Year3_Oxfordshire Year3_LAC_3_or_more_Placements="","",Year3_Oxfordshire Year3_LAC_3_or_more_Placements)</f>
        <v>55</v>
      </c>
      <c r="AC193" s="365">
        <f>IF(Year4_Oxfordshire Year4_LAC_3_or_more_Placements="","",Year4_Oxfordshire Year4_LAC_3_or_more_Placements)</f>
        <v>77</v>
      </c>
      <c r="AD193" s="552">
        <f>IF(Year5_Oxfordshire Year5_LAC_3_or_more_Placements="","",Year5_Oxfordshire Year5_LAC_3_or_more_Placements)</f>
        <v>72</v>
      </c>
      <c r="AE193" s="463">
        <f t="shared" si="64"/>
        <v>0</v>
      </c>
      <c r="AF193" s="463">
        <f t="shared" si="65"/>
        <v>593</v>
      </c>
      <c r="AG193" s="463">
        <f t="shared" si="66"/>
        <v>666</v>
      </c>
      <c r="AH193" s="463">
        <f t="shared" si="67"/>
        <v>684</v>
      </c>
      <c r="AI193" s="463">
        <f t="shared" si="68"/>
        <v>779</v>
      </c>
      <c r="AJ193" s="179"/>
      <c r="AK193" s="156"/>
    </row>
    <row r="194" spans="1:37" s="89" customFormat="1" ht="12.75" customHeight="1" x14ac:dyDescent="0.2">
      <c r="A194" s="462">
        <f>VLOOKUP(B194,Sheet1!$AQ$4:$AR$25,2,FALSE)</f>
        <v>0</v>
      </c>
      <c r="B194" s="95" t="str">
        <f t="shared" si="56"/>
        <v>Portsmouth</v>
      </c>
      <c r="C194" s="87"/>
      <c r="D194" s="158" t="e">
        <f t="shared" si="57"/>
        <v>#N/A</v>
      </c>
      <c r="E194" s="158">
        <f t="shared" si="58"/>
        <v>0.15527950310559005</v>
      </c>
      <c r="F194" s="158">
        <f t="shared" si="59"/>
        <v>0.15363128491620112</v>
      </c>
      <c r="G194" s="158">
        <f t="shared" si="60"/>
        <v>0.14457831325301204</v>
      </c>
      <c r="H194" s="160">
        <f t="shared" si="61"/>
        <v>0.15843621399176955</v>
      </c>
      <c r="I194" s="98"/>
      <c r="J194" s="98"/>
      <c r="K194" s="162"/>
      <c r="L194" s="162"/>
      <c r="M194" s="162"/>
      <c r="N194" s="162"/>
      <c r="O194" s="162"/>
      <c r="P194" s="162"/>
      <c r="Q194" s="162"/>
      <c r="R194" s="163"/>
      <c r="S194" s="155"/>
      <c r="T194" s="155"/>
      <c r="U194" s="162"/>
      <c r="V194" s="124"/>
      <c r="W194" s="140"/>
      <c r="X194" s="149"/>
      <c r="Y194" s="365" t="str">
        <f t="shared" si="63"/>
        <v>Portsmouth</v>
      </c>
      <c r="Z194" s="463" t="str">
        <f>IF(Year1_Portsmouth Year1_LAC_3_or_more_Placements="","",Year1_Portsmouth Year1_LAC_3_or_more_Placements)</f>
        <v/>
      </c>
      <c r="AA194" s="365">
        <f>IF(Year2_Portsmouth Year2_LAC_3_or_more_Placements="","",Year2_Portsmouth Year2_LAC_3_or_more_Placements)</f>
        <v>50</v>
      </c>
      <c r="AB194" s="365">
        <f>IF(Year3_Portsmouth Year3_LAC_3_or_more_Placements="","",Year3_Portsmouth Year3_LAC_3_or_more_Placements)</f>
        <v>55</v>
      </c>
      <c r="AC194" s="365">
        <f>IF(Year4_Portsmouth Year4_LAC_3_or_more_Placements="","",Year4_Portsmouth Year4_LAC_3_or_more_Placements)</f>
        <v>60</v>
      </c>
      <c r="AD194" s="552">
        <f>IF(Year5_Portsmouth Year5_LAC_3_or_more_Placements="","",Year5_Portsmouth Year5_LAC_3_or_more_Placements)</f>
        <v>77</v>
      </c>
      <c r="AE194" s="463">
        <f t="shared" si="64"/>
        <v>0</v>
      </c>
      <c r="AF194" s="463">
        <f t="shared" si="65"/>
        <v>322</v>
      </c>
      <c r="AG194" s="463">
        <f t="shared" si="66"/>
        <v>358</v>
      </c>
      <c r="AH194" s="463">
        <f t="shared" si="67"/>
        <v>415</v>
      </c>
      <c r="AI194" s="463">
        <f t="shared" si="68"/>
        <v>486</v>
      </c>
      <c r="AJ194" s="179"/>
      <c r="AK194" s="156"/>
    </row>
    <row r="195" spans="1:37" s="89" customFormat="1" ht="12.75" customHeight="1" x14ac:dyDescent="0.2">
      <c r="A195" s="462">
        <f>VLOOKUP(B195,Sheet1!$AQ$4:$AR$25,2,FALSE)</f>
        <v>0</v>
      </c>
      <c r="B195" s="95" t="str">
        <f t="shared" si="56"/>
        <v>Reading</v>
      </c>
      <c r="C195" s="87"/>
      <c r="D195" s="158" t="e">
        <f t="shared" si="57"/>
        <v>#N/A</v>
      </c>
      <c r="E195" s="158">
        <f t="shared" si="58"/>
        <v>9.0909090909090912E-2</v>
      </c>
      <c r="F195" s="158">
        <f t="shared" si="59"/>
        <v>3.8022813688212927E-2</v>
      </c>
      <c r="G195" s="158">
        <f t="shared" si="60"/>
        <v>0.11469534050179211</v>
      </c>
      <c r="H195" s="160">
        <f t="shared" si="61"/>
        <v>0.12087912087912088</v>
      </c>
      <c r="I195" s="98"/>
      <c r="J195" s="98"/>
      <c r="K195" s="162"/>
      <c r="L195" s="162"/>
      <c r="M195" s="162"/>
      <c r="N195" s="162"/>
      <c r="O195" s="162"/>
      <c r="P195" s="162"/>
      <c r="Q195" s="162"/>
      <c r="R195" s="163"/>
      <c r="S195" s="155"/>
      <c r="T195" s="155"/>
      <c r="U195" s="162"/>
      <c r="V195" s="124"/>
      <c r="W195" s="140"/>
      <c r="X195" s="149"/>
      <c r="Y195" s="365" t="str">
        <f t="shared" si="63"/>
        <v>Reading</v>
      </c>
      <c r="Z195" s="463" t="str">
        <f>IF(Year1_Reading Year1_LAC_3_or_more_Placements="","",Year1_Reading Year1_LAC_3_or_more_Placements)</f>
        <v/>
      </c>
      <c r="AA195" s="365">
        <f>IF(Year2_Reading Year2_LAC_3_or_more_Placements="","",Year2_Reading Year2_LAC_3_or_more_Placements)</f>
        <v>20</v>
      </c>
      <c r="AB195" s="365">
        <f>IF(Year3_Reading Year3_LAC_3_or_more_Placements="","",Year3_Reading Year3_LAC_3_or_more_Placements)</f>
        <v>10</v>
      </c>
      <c r="AC195" s="365">
        <f>IF(Year4_Reading Year4_LAC_3_or_more_Placements="","",Year4_Reading Year4_LAC_3_or_more_Placements)</f>
        <v>32</v>
      </c>
      <c r="AD195" s="552">
        <f>IF(Year5_Reading Year5_LAC_3_or_more_Placements="","",Year5_Reading Year5_LAC_3_or_more_Placements)</f>
        <v>33</v>
      </c>
      <c r="AE195" s="463">
        <f t="shared" si="64"/>
        <v>0</v>
      </c>
      <c r="AF195" s="463">
        <f t="shared" si="65"/>
        <v>220</v>
      </c>
      <c r="AG195" s="463">
        <f t="shared" si="66"/>
        <v>263</v>
      </c>
      <c r="AH195" s="463">
        <f t="shared" si="67"/>
        <v>279</v>
      </c>
      <c r="AI195" s="463">
        <f t="shared" si="68"/>
        <v>273</v>
      </c>
      <c r="AJ195" s="179"/>
      <c r="AK195" s="156"/>
    </row>
    <row r="196" spans="1:37" s="89" customFormat="1" ht="12.75" customHeight="1" x14ac:dyDescent="0.2">
      <c r="A196" s="462">
        <f>VLOOKUP(B196,Sheet1!$AQ$4:$AR$25,2,FALSE)</f>
        <v>0</v>
      </c>
      <c r="B196" s="95" t="str">
        <f t="shared" si="56"/>
        <v>Slough</v>
      </c>
      <c r="C196" s="87"/>
      <c r="D196" s="158" t="e">
        <f t="shared" si="57"/>
        <v>#N/A</v>
      </c>
      <c r="E196" s="158">
        <f t="shared" si="58"/>
        <v>0.13966480446927373</v>
      </c>
      <c r="F196" s="158">
        <f t="shared" si="59"/>
        <v>0.13157894736842105</v>
      </c>
      <c r="G196" s="158">
        <f t="shared" si="60"/>
        <v>0.16019417475728157</v>
      </c>
      <c r="H196" s="160">
        <f t="shared" si="61"/>
        <v>0.107981220657277</v>
      </c>
      <c r="I196" s="98"/>
      <c r="J196" s="98"/>
      <c r="K196" s="162"/>
      <c r="L196" s="162"/>
      <c r="M196" s="162"/>
      <c r="N196" s="162"/>
      <c r="O196" s="162"/>
      <c r="P196" s="162"/>
      <c r="Q196" s="162"/>
      <c r="R196" s="163"/>
      <c r="S196" s="155"/>
      <c r="T196" s="155"/>
      <c r="U196" s="162"/>
      <c r="V196" s="124"/>
      <c r="W196" s="140"/>
      <c r="X196" s="149"/>
      <c r="Y196" s="365" t="str">
        <f t="shared" si="63"/>
        <v>Slough</v>
      </c>
      <c r="Z196" s="463" t="str">
        <f>IF(Year1_Slough Year1_LAC_3_or_more_Placements="","",Year1_Slough Year1_LAC_3_or_more_Placements)</f>
        <v/>
      </c>
      <c r="AA196" s="365">
        <f>IF(Year2_Slough Year2_LAC_3_or_more_Placements="","",Year2_Slough Year2_LAC_3_or_more_Placements)</f>
        <v>25</v>
      </c>
      <c r="AB196" s="365">
        <f>IF(Year3_Slough Year3_LAC_3_or_more_Placements="","",Year3_Slough Year3_LAC_3_or_more_Placements)</f>
        <v>25</v>
      </c>
      <c r="AC196" s="365">
        <f>IF(Year4_Slough Year4_LAC_3_or_more_Placements="","",Year4_Slough Year4_LAC_3_or_more_Placements)</f>
        <v>33</v>
      </c>
      <c r="AD196" s="552">
        <f>IF(Year5_Slough Year5_LAC_3_or_more_Placements="","",Year5_Slough Year5_LAC_3_or_more_Placements)</f>
        <v>23</v>
      </c>
      <c r="AE196" s="463">
        <f t="shared" si="64"/>
        <v>0</v>
      </c>
      <c r="AF196" s="463">
        <f t="shared" si="65"/>
        <v>179</v>
      </c>
      <c r="AG196" s="463">
        <f t="shared" si="66"/>
        <v>190</v>
      </c>
      <c r="AH196" s="463">
        <f t="shared" si="67"/>
        <v>206</v>
      </c>
      <c r="AI196" s="463">
        <f t="shared" si="68"/>
        <v>213</v>
      </c>
      <c r="AJ196" s="179"/>
      <c r="AK196" s="156"/>
    </row>
    <row r="197" spans="1:37" s="89" customFormat="1" ht="12.75" customHeight="1" x14ac:dyDescent="0.2">
      <c r="A197" s="462">
        <f>VLOOKUP(B197,Sheet1!$AQ$4:$AR$25,2,FALSE)</f>
        <v>0</v>
      </c>
      <c r="B197" s="95" t="str">
        <f t="shared" si="56"/>
        <v>Somerset</v>
      </c>
      <c r="C197" s="87"/>
      <c r="D197" s="158" t="e">
        <f t="shared" si="57"/>
        <v>#N/A</v>
      </c>
      <c r="E197" s="158">
        <f t="shared" si="58"/>
        <v>0.12974051896207583</v>
      </c>
      <c r="F197" s="158">
        <f t="shared" si="59"/>
        <v>0.10504201680672269</v>
      </c>
      <c r="G197" s="158">
        <f t="shared" si="60"/>
        <v>0.15473887814313347</v>
      </c>
      <c r="H197" s="160">
        <f t="shared" si="61"/>
        <v>0.14419475655430711</v>
      </c>
      <c r="I197" s="98"/>
      <c r="J197" s="98"/>
      <c r="K197" s="162"/>
      <c r="L197" s="162"/>
      <c r="M197" s="162"/>
      <c r="N197" s="162"/>
      <c r="O197" s="162"/>
      <c r="P197" s="162"/>
      <c r="Q197" s="162"/>
      <c r="R197" s="163"/>
      <c r="S197" s="155"/>
      <c r="T197" s="155"/>
      <c r="U197" s="162"/>
      <c r="V197" s="124"/>
      <c r="W197" s="140"/>
      <c r="X197" s="149"/>
      <c r="Y197" s="365" t="str">
        <f t="shared" si="63"/>
        <v>Somerset</v>
      </c>
      <c r="Z197" s="463" t="str">
        <f>IF(Year1_Somerset Year1_LAC_3_or_more_Placements="","",Year1_Somerset Year1_LAC_3_or_more_Placements)</f>
        <v/>
      </c>
      <c r="AA197" s="365">
        <f>IF(Year2_Somerset Year2_LAC_3_or_more_Placements="","",Year2_Somerset Year2_LAC_3_or_more_Placements)</f>
        <v>65</v>
      </c>
      <c r="AB197" s="365">
        <f>IF(Year3_Somerset Year3_LAC_3_or_more_Placements="","",Year3_Somerset Year3_LAC_3_or_more_Placements)</f>
        <v>50</v>
      </c>
      <c r="AC197" s="365">
        <f>IF(Year4_Somerset Year4_LAC_3_or_more_Placements="","",Year4_Somerset Year4_LAC_3_or_more_Placements)</f>
        <v>80</v>
      </c>
      <c r="AD197" s="552">
        <f>IF(Year5_Somerset Year5_LAC_3_or_more_Placements="","",Year5_Somerset Year5_LAC_3_or_more_Placements)</f>
        <v>77</v>
      </c>
      <c r="AE197" s="463">
        <f t="shared" si="64"/>
        <v>0</v>
      </c>
      <c r="AF197" s="463">
        <f t="shared" si="65"/>
        <v>501</v>
      </c>
      <c r="AG197" s="463">
        <f t="shared" si="66"/>
        <v>476</v>
      </c>
      <c r="AH197" s="463">
        <f t="shared" si="67"/>
        <v>517</v>
      </c>
      <c r="AI197" s="463">
        <f t="shared" si="68"/>
        <v>534</v>
      </c>
      <c r="AJ197" s="179"/>
      <c r="AK197" s="156"/>
    </row>
    <row r="198" spans="1:37" s="89" customFormat="1" ht="12.75" customHeight="1" x14ac:dyDescent="0.2">
      <c r="A198" s="462">
        <f>VLOOKUP(B198,Sheet1!$AQ$4:$AR$25,2,FALSE)</f>
        <v>0</v>
      </c>
      <c r="B198" s="95" t="str">
        <f t="shared" si="56"/>
        <v>Southampton</v>
      </c>
      <c r="C198" s="87"/>
      <c r="D198" s="158" t="e">
        <f t="shared" si="57"/>
        <v>#N/A</v>
      </c>
      <c r="E198" s="158">
        <f t="shared" si="58"/>
        <v>0.13536379018612521</v>
      </c>
      <c r="F198" s="158">
        <f t="shared" si="59"/>
        <v>0.12037037037037036</v>
      </c>
      <c r="G198" s="158">
        <f t="shared" si="60"/>
        <v>9.5785440613026823E-2</v>
      </c>
      <c r="H198" s="160">
        <f t="shared" si="61"/>
        <v>0.12474012474012475</v>
      </c>
      <c r="I198" s="98"/>
      <c r="J198" s="98"/>
      <c r="K198" s="162"/>
      <c r="L198" s="162"/>
      <c r="M198" s="162"/>
      <c r="N198" s="162"/>
      <c r="O198" s="162"/>
      <c r="P198" s="162"/>
      <c r="Q198" s="162"/>
      <c r="R198" s="163"/>
      <c r="S198" s="155"/>
      <c r="T198" s="155"/>
      <c r="U198" s="162"/>
      <c r="V198" s="124"/>
      <c r="W198" s="140"/>
      <c r="X198" s="149"/>
      <c r="Y198" s="365" t="str">
        <f t="shared" si="63"/>
        <v>Southampton</v>
      </c>
      <c r="Z198" s="463" t="str">
        <f>IF(Year1_Southampton Year1_LAC_3_or_more_Placements="","",Year1_Southampton Year1_LAC_3_or_more_Placements)</f>
        <v/>
      </c>
      <c r="AA198" s="365">
        <f>IF(Year2_Southampton Year2_LAC_3_or_more_Placements="","",Year2_Southampton Year2_LAC_3_or_more_Placements)</f>
        <v>80</v>
      </c>
      <c r="AB198" s="365">
        <f>IF(Year3_Southampton Year3_LAC_3_or_more_Placements="","",Year3_Southampton Year3_LAC_3_or_more_Placements)</f>
        <v>65</v>
      </c>
      <c r="AC198" s="365">
        <f>IF(Year4_Southampton Year4_LAC_3_or_more_Placements="","",Year4_Southampton Year4_LAC_3_or_more_Placements)</f>
        <v>50</v>
      </c>
      <c r="AD198" s="552">
        <f>IF(Year5_Southampton Year5_LAC_3_or_more_Placements="","",Year5_Southampton Year5_LAC_3_or_more_Placements)</f>
        <v>60</v>
      </c>
      <c r="AE198" s="463">
        <f t="shared" si="64"/>
        <v>0</v>
      </c>
      <c r="AF198" s="463">
        <f t="shared" si="65"/>
        <v>591</v>
      </c>
      <c r="AG198" s="463">
        <f t="shared" si="66"/>
        <v>540</v>
      </c>
      <c r="AH198" s="463">
        <f t="shared" si="67"/>
        <v>522</v>
      </c>
      <c r="AI198" s="463">
        <f t="shared" si="68"/>
        <v>481</v>
      </c>
      <c r="AJ198" s="179"/>
      <c r="AK198" s="156"/>
    </row>
    <row r="199" spans="1:37" s="89" customFormat="1" ht="12.75" customHeight="1" x14ac:dyDescent="0.2">
      <c r="A199" s="462">
        <f>VLOOKUP(B199,Sheet1!$AQ$4:$AR$25,2,FALSE)</f>
        <v>0</v>
      </c>
      <c r="B199" s="95" t="str">
        <f t="shared" si="56"/>
        <v>Surrey</v>
      </c>
      <c r="C199" s="87"/>
      <c r="D199" s="158" t="e">
        <f t="shared" si="57"/>
        <v>#N/A</v>
      </c>
      <c r="E199" s="158">
        <f t="shared" si="58"/>
        <v>0.10380622837370242</v>
      </c>
      <c r="F199" s="158">
        <f t="shared" si="59"/>
        <v>8.0552359033371698E-2</v>
      </c>
      <c r="G199" s="158">
        <f t="shared" si="60"/>
        <v>7.6344086021505372E-2</v>
      </c>
      <c r="H199" s="160">
        <f t="shared" si="61"/>
        <v>9.044193216855087E-2</v>
      </c>
      <c r="I199" s="98"/>
      <c r="J199" s="98"/>
      <c r="K199" s="162"/>
      <c r="L199" s="162"/>
      <c r="M199" s="162"/>
      <c r="N199" s="162"/>
      <c r="O199" s="162"/>
      <c r="P199" s="162"/>
      <c r="Q199" s="162"/>
      <c r="R199" s="163"/>
      <c r="S199" s="155"/>
      <c r="T199" s="155"/>
      <c r="U199" s="162"/>
      <c r="V199" s="124"/>
      <c r="W199" s="140"/>
      <c r="X199" s="149"/>
      <c r="Y199" s="365" t="str">
        <f t="shared" si="63"/>
        <v>Surrey</v>
      </c>
      <c r="Z199" s="463" t="str">
        <f>IF(Year1_Surrey Year1_LAC_3_or_more_Placements="","",Year1_Surrey Year1_LAC_3_or_more_Placements)</f>
        <v/>
      </c>
      <c r="AA199" s="365">
        <f>IF(Year2_Surrey Year2_LAC_3_or_more_Placements="","",Year2_Surrey Year2_LAC_3_or_more_Placements)</f>
        <v>90</v>
      </c>
      <c r="AB199" s="365">
        <f>IF(Year3_Surrey Year3_LAC_3_or_more_Placements="","",Year3_Surrey Year3_LAC_3_or_more_Placements)</f>
        <v>70</v>
      </c>
      <c r="AC199" s="365">
        <f>IF(Year4_Surrey Year4_LAC_3_or_more_Placements="","",Year4_Surrey Year4_LAC_3_or_more_Placements)</f>
        <v>71</v>
      </c>
      <c r="AD199" s="552">
        <f>IF(Year5_Surrey Year5_LAC_3_or_more_Placements="","",Year5_Surrey Year5_LAC_3_or_more_Placements)</f>
        <v>88</v>
      </c>
      <c r="AE199" s="463">
        <f t="shared" si="64"/>
        <v>0</v>
      </c>
      <c r="AF199" s="463">
        <f t="shared" si="65"/>
        <v>867</v>
      </c>
      <c r="AG199" s="463">
        <f t="shared" si="66"/>
        <v>869</v>
      </c>
      <c r="AH199" s="463">
        <f t="shared" si="67"/>
        <v>930</v>
      </c>
      <c r="AI199" s="463">
        <f t="shared" si="68"/>
        <v>973</v>
      </c>
      <c r="AJ199" s="179"/>
      <c r="AK199" s="156"/>
    </row>
    <row r="200" spans="1:37" s="89" customFormat="1" ht="12.75" customHeight="1" x14ac:dyDescent="0.2">
      <c r="A200" s="462">
        <f>VLOOKUP(B200,Sheet1!$AQ$4:$AR$25,2,FALSE)</f>
        <v>0</v>
      </c>
      <c r="B200" s="95" t="str">
        <f t="shared" si="56"/>
        <v>Swindon</v>
      </c>
      <c r="C200" s="87"/>
      <c r="D200" s="158" t="e">
        <f t="shared" si="57"/>
        <v>#N/A</v>
      </c>
      <c r="E200" s="158">
        <f t="shared" si="58"/>
        <v>0.10238907849829351</v>
      </c>
      <c r="F200" s="158">
        <f t="shared" si="59"/>
        <v>0.12121212121212122</v>
      </c>
      <c r="G200" s="158">
        <f t="shared" si="60"/>
        <v>0.12222222222222222</v>
      </c>
      <c r="H200" s="160">
        <f t="shared" si="61"/>
        <v>7.183908045977011E-2</v>
      </c>
      <c r="I200" s="98"/>
      <c r="J200" s="98"/>
      <c r="K200" s="162"/>
      <c r="L200" s="162"/>
      <c r="M200" s="162"/>
      <c r="N200" s="162"/>
      <c r="O200" s="162"/>
      <c r="P200" s="162"/>
      <c r="Q200" s="162"/>
      <c r="R200" s="163"/>
      <c r="S200" s="155"/>
      <c r="T200" s="155"/>
      <c r="U200" s="162"/>
      <c r="V200" s="124"/>
      <c r="W200" s="140"/>
      <c r="X200" s="149"/>
      <c r="Y200" s="365" t="str">
        <f t="shared" si="63"/>
        <v>Swindon</v>
      </c>
      <c r="Z200" s="463" t="str">
        <f>IF(Year1_Swindon Year1_LAC_3_or_more_Placements="","",Year1_Swindon Year1_LAC_3_or_more_Placements)</f>
        <v/>
      </c>
      <c r="AA200" s="365">
        <f>IF(Year2_Swindon Year2_LAC_3_or_more_Placements="","",Year2_Swindon Year2_LAC_3_or_more_Placements)</f>
        <v>30</v>
      </c>
      <c r="AB200" s="365">
        <f>IF(Year3_Swindon Year3_LAC_3_or_more_Placements="","",Year3_Swindon Year3_LAC_3_or_more_Placements)</f>
        <v>40</v>
      </c>
      <c r="AC200" s="555">
        <f>IF(Year4_Swindon Year4_LAC_3_or_more_Placements="","",Year4_Swindon Year4_LAC_3_or_more_Placements)</f>
        <v>44</v>
      </c>
      <c r="AD200" s="573">
        <f>IF(Year5_Swindon Year5_LAC_3_or_more_Placements="","",Year5_Swindon Year5_LAC_3_or_more_Placements)</f>
        <v>25</v>
      </c>
      <c r="AE200" s="463">
        <f t="shared" si="64"/>
        <v>0</v>
      </c>
      <c r="AF200" s="463">
        <f t="shared" si="65"/>
        <v>293</v>
      </c>
      <c r="AG200" s="463">
        <f t="shared" si="66"/>
        <v>330</v>
      </c>
      <c r="AH200" s="463">
        <f t="shared" si="67"/>
        <v>360</v>
      </c>
      <c r="AI200" s="463">
        <f t="shared" si="68"/>
        <v>348</v>
      </c>
      <c r="AJ200" s="179"/>
      <c r="AK200" s="156"/>
    </row>
    <row r="201" spans="1:37" s="89" customFormat="1" ht="12.75" customHeight="1" x14ac:dyDescent="0.2">
      <c r="A201" s="462">
        <f>VLOOKUP(B201,Sheet1!$AQ$4:$AR$25,2,FALSE)</f>
        <v>0</v>
      </c>
      <c r="B201" s="95" t="str">
        <f t="shared" si="56"/>
        <v>Torbay</v>
      </c>
      <c r="C201" s="87"/>
      <c r="D201" s="158" t="e">
        <f t="shared" si="57"/>
        <v>#N/A</v>
      </c>
      <c r="E201" s="158">
        <f t="shared" si="58"/>
        <v>0.21505376344086022</v>
      </c>
      <c r="F201" s="158">
        <f t="shared" si="59"/>
        <v>0.25951557093425603</v>
      </c>
      <c r="G201" s="158">
        <f t="shared" si="60"/>
        <v>0.25227963525835867</v>
      </c>
      <c r="H201" s="160">
        <f t="shared" si="61"/>
        <v>0.11049723756906077</v>
      </c>
      <c r="I201" s="98"/>
      <c r="J201" s="98"/>
      <c r="K201" s="162"/>
      <c r="L201" s="162"/>
      <c r="M201" s="162"/>
      <c r="N201" s="162"/>
      <c r="O201" s="162"/>
      <c r="P201" s="162"/>
      <c r="Q201" s="162"/>
      <c r="R201" s="163"/>
      <c r="S201" s="155"/>
      <c r="T201" s="155"/>
      <c r="U201" s="162"/>
      <c r="V201" s="124"/>
      <c r="W201" s="140"/>
      <c r="X201" s="149"/>
      <c r="Y201" s="365" t="str">
        <f t="shared" si="63"/>
        <v>Torbay</v>
      </c>
      <c r="Z201" s="463" t="str">
        <f>IF(Year1_Torbay Year1_LAC_3_or_more_Placements="","",Year1_Torbay Year1_LAC_3_or_more_Placements)</f>
        <v/>
      </c>
      <c r="AA201" s="365">
        <f>IF(Year2_Torbay Year2_LAC_3_or_more_Placements="","",Year2_Torbay Year2_LAC_3_or_more_Placements)</f>
        <v>60</v>
      </c>
      <c r="AB201" s="365">
        <f>IF(Year3_Torbay Year3_LAC_3_or_more_Placements="","",Year3_Torbay Year3_LAC_3_or_more_Placements)</f>
        <v>75</v>
      </c>
      <c r="AC201" s="555">
        <f>IF(Year4_Torbay Year4_LAC_3_or_more_Placements="","",Year4_Torbay Year4_LAC_3_or_more_Placements)</f>
        <v>83</v>
      </c>
      <c r="AD201" s="573">
        <f>IF(Year5_Torbay Year5_LAC_3_or_more_Placements="","",Year5_Torbay Year5_LAC_3_or_more_Placements)</f>
        <v>40</v>
      </c>
      <c r="AE201" s="463">
        <f t="shared" si="64"/>
        <v>0</v>
      </c>
      <c r="AF201" s="463">
        <f t="shared" si="65"/>
        <v>279</v>
      </c>
      <c r="AG201" s="463">
        <f t="shared" si="66"/>
        <v>289</v>
      </c>
      <c r="AH201" s="463">
        <f t="shared" si="67"/>
        <v>329</v>
      </c>
      <c r="AI201" s="463">
        <f t="shared" si="68"/>
        <v>362</v>
      </c>
      <c r="AJ201" s="179"/>
      <c r="AK201" s="156"/>
    </row>
    <row r="202" spans="1:37" s="89" customFormat="1" ht="12.75" customHeight="1" x14ac:dyDescent="0.2">
      <c r="A202" s="462">
        <f>VLOOKUP(B202,Sheet1!$AQ$4:$AR$25,2,FALSE)</f>
        <v>0</v>
      </c>
      <c r="B202" s="95" t="str">
        <f t="shared" si="56"/>
        <v>West Berkshire</v>
      </c>
      <c r="C202" s="87"/>
      <c r="D202" s="158" t="e">
        <f t="shared" si="57"/>
        <v>#N/A</v>
      </c>
      <c r="E202" s="158">
        <f t="shared" si="58"/>
        <v>6.3694267515923567E-2</v>
      </c>
      <c r="F202" s="158">
        <f t="shared" si="59"/>
        <v>9.3167701863354033E-2</v>
      </c>
      <c r="G202" s="158">
        <f t="shared" si="60"/>
        <v>5.5172413793103448E-2</v>
      </c>
      <c r="H202" s="160">
        <f t="shared" si="61"/>
        <v>9.8837209302325577E-2</v>
      </c>
      <c r="I202" s="98"/>
      <c r="J202" s="98"/>
      <c r="K202" s="162"/>
      <c r="L202" s="162"/>
      <c r="M202" s="162"/>
      <c r="N202" s="162"/>
      <c r="O202" s="162"/>
      <c r="P202" s="162"/>
      <c r="Q202" s="162"/>
      <c r="R202" s="163"/>
      <c r="S202" s="155"/>
      <c r="T202" s="155"/>
      <c r="U202" s="162"/>
      <c r="V202" s="124"/>
      <c r="W202" s="140"/>
      <c r="X202" s="149"/>
      <c r="Y202" s="365" t="str">
        <f t="shared" si="63"/>
        <v>West Berkshire</v>
      </c>
      <c r="Z202" s="463" t="str">
        <f>IF(Year1_West_Berkshire Year1_LAC_3_or_more_Placements="","",Year1_West_Berkshire Year1_LAC_3_or_more_Placements)</f>
        <v/>
      </c>
      <c r="AA202" s="365">
        <f>IF(Year2_West_Berkshire Year2_LAC_3_or_more_Placements="","",Year2_West_Berkshire Year2_LAC_3_or_more_Placements)</f>
        <v>10</v>
      </c>
      <c r="AB202" s="365">
        <f>IF(Year3_West_Berkshire Year3_LAC_3_or_more_Placements="","",Year3_West_Berkshire Year3_LAC_3_or_more_Placements)</f>
        <v>15</v>
      </c>
      <c r="AC202" s="365">
        <f>IF(Year4_West_Berkshire Year4_LAC_3_or_more_Placements="","",Year4_West_Berkshire Year4_LAC_3_or_more_Placements)</f>
        <v>8</v>
      </c>
      <c r="AD202" s="552">
        <f>IF(Year5_West_Berkshire Year5_LAC_3_or_more_Placements="","",Year5_West_Berkshire Year5_LAC_3_or_more_Placements)</f>
        <v>17</v>
      </c>
      <c r="AE202" s="463">
        <f t="shared" si="64"/>
        <v>0</v>
      </c>
      <c r="AF202" s="463">
        <f t="shared" si="65"/>
        <v>157</v>
      </c>
      <c r="AG202" s="463">
        <f t="shared" si="66"/>
        <v>161</v>
      </c>
      <c r="AH202" s="463">
        <f t="shared" si="67"/>
        <v>145</v>
      </c>
      <c r="AI202" s="463">
        <f t="shared" si="68"/>
        <v>172</v>
      </c>
      <c r="AJ202" s="179"/>
      <c r="AK202" s="156"/>
    </row>
    <row r="203" spans="1:37" s="89" customFormat="1" ht="12.75" customHeight="1" x14ac:dyDescent="0.2">
      <c r="A203" s="462">
        <f>VLOOKUP(B203,Sheet1!$AQ$4:$AR$25,2,FALSE)</f>
        <v>0</v>
      </c>
      <c r="B203" s="95" t="str">
        <f t="shared" si="56"/>
        <v>West Sussex</v>
      </c>
      <c r="C203" s="87"/>
      <c r="D203" s="158" t="e">
        <f t="shared" si="57"/>
        <v>#N/A</v>
      </c>
      <c r="E203" s="158">
        <f t="shared" si="58"/>
        <v>0.10954616588419405</v>
      </c>
      <c r="F203" s="158">
        <f t="shared" si="59"/>
        <v>0.12066365007541478</v>
      </c>
      <c r="G203" s="158">
        <f t="shared" si="60"/>
        <v>0.140625</v>
      </c>
      <c r="H203" s="160">
        <f t="shared" si="61"/>
        <v>0.10227272727272728</v>
      </c>
      <c r="I203" s="98"/>
      <c r="J203" s="98"/>
      <c r="K203" s="162"/>
      <c r="L203" s="162"/>
      <c r="M203" s="162"/>
      <c r="N203" s="162"/>
      <c r="O203" s="162"/>
      <c r="P203" s="162"/>
      <c r="Q203" s="162"/>
      <c r="R203" s="163"/>
      <c r="S203" s="155"/>
      <c r="T203" s="155"/>
      <c r="U203" s="162"/>
      <c r="V203" s="124"/>
      <c r="W203" s="140"/>
      <c r="X203" s="149"/>
      <c r="Y203" s="365" t="str">
        <f t="shared" si="63"/>
        <v>West Sussex</v>
      </c>
      <c r="Z203" s="463" t="str">
        <f>IF(Year1_West_Sussex Year1_LAC_3_or_more_Placements="","",Year1_West_Sussex Year1_LAC_3_or_more_Placements)</f>
        <v/>
      </c>
      <c r="AA203" s="365">
        <f>IF(Year2_West_Sussex Year2_LAC_3_or_more_Placements="","",Year2_West_Sussex Year2_LAC_3_or_more_Placements)</f>
        <v>70</v>
      </c>
      <c r="AB203" s="365">
        <f>IF(Year3_West_Sussex Year3_LAC_3_or_more_Placements="","",Year3_West_Sussex Year3_LAC_3_or_more_Placements)</f>
        <v>80</v>
      </c>
      <c r="AC203" s="365">
        <f>IF(Year4_West_Sussex Year4_LAC_3_or_more_Placements="","",Year4_West_Sussex Year4_LAC_3_or_more_Placements)</f>
        <v>99</v>
      </c>
      <c r="AD203" s="552">
        <f>IF(Year5_West_Sussex Year5_LAC_3_or_more_Placements="","",Year5_West_Sussex Year5_LAC_3_or_more_Placements)</f>
        <v>72</v>
      </c>
      <c r="AE203" s="463">
        <f t="shared" si="64"/>
        <v>0</v>
      </c>
      <c r="AF203" s="463">
        <f t="shared" si="65"/>
        <v>639</v>
      </c>
      <c r="AG203" s="463">
        <f t="shared" si="66"/>
        <v>663</v>
      </c>
      <c r="AH203" s="463">
        <f t="shared" si="67"/>
        <v>704</v>
      </c>
      <c r="AI203" s="463">
        <f t="shared" si="68"/>
        <v>704</v>
      </c>
      <c r="AJ203" s="179"/>
      <c r="AK203" s="156"/>
    </row>
    <row r="204" spans="1:37" s="89" customFormat="1" ht="12.75" customHeight="1" x14ac:dyDescent="0.2">
      <c r="A204" s="462">
        <f>VLOOKUP(B204,Sheet1!$AQ$4:$AR$25,2,FALSE)</f>
        <v>0</v>
      </c>
      <c r="B204" s="95" t="str">
        <f t="shared" si="56"/>
        <v>Windsor &amp; Maidenhead</v>
      </c>
      <c r="C204" s="87"/>
      <c r="D204" s="158" t="e">
        <f t="shared" si="57"/>
        <v>#N/A</v>
      </c>
      <c r="E204" s="158">
        <f t="shared" si="58"/>
        <v>0.16853932584269662</v>
      </c>
      <c r="F204" s="158">
        <f t="shared" si="59"/>
        <v>0.13761467889908258</v>
      </c>
      <c r="G204" s="158">
        <f t="shared" si="60"/>
        <v>0.13084112149532709</v>
      </c>
      <c r="H204" s="160">
        <f t="shared" si="61"/>
        <v>0.15322580645161291</v>
      </c>
      <c r="I204" s="98"/>
      <c r="J204" s="98"/>
      <c r="K204" s="162"/>
      <c r="L204" s="162"/>
      <c r="M204" s="162"/>
      <c r="N204" s="162"/>
      <c r="O204" s="162"/>
      <c r="P204" s="162"/>
      <c r="Q204" s="162"/>
      <c r="R204" s="163"/>
      <c r="S204" s="155"/>
      <c r="T204" s="155"/>
      <c r="U204" s="162"/>
      <c r="V204" s="124"/>
      <c r="W204" s="140"/>
      <c r="X204" s="149"/>
      <c r="Y204" s="365" t="str">
        <f t="shared" si="63"/>
        <v>Windsor &amp; Maidenhead</v>
      </c>
      <c r="Z204" s="463" t="str">
        <f>IF(Year1_Windsor_Maidenhead Year1_LAC_3_or_more_Placements="","",Year1_Windsor_Maidenhead Year1_LAC_3_or_more_Placements)</f>
        <v/>
      </c>
      <c r="AA204" s="365">
        <f>IF(Year2_Windsor_Maidenhead Year2_LAC_3_or_more_Placements="","",Year2_Windsor_Maidenhead Year2_LAC_3_or_more_Placements)</f>
        <v>15</v>
      </c>
      <c r="AB204" s="365">
        <f>IF(Year3_Windsor_Maidenhead Year3_LAC_3_or_more_Placements="","",Year3_Windsor_Maidenhead Year3_LAC_3_or_more_Placements)</f>
        <v>15</v>
      </c>
      <c r="AC204" s="365">
        <f>IF(Year4_Windsor_Maidenhead Year4_LAC_3_or_more_Placements="","",Year4_Windsor_Maidenhead Year4_LAC_3_or_more_Placements)</f>
        <v>14</v>
      </c>
      <c r="AD204" s="552">
        <f>IF(Year5_Windsor_Maidenhead Year5_LAC_3_or_more_Placements="","",Year5_Windsor_Maidenhead Year5_LAC_3_or_more_Placements)</f>
        <v>19</v>
      </c>
      <c r="AE204" s="463">
        <f t="shared" si="64"/>
        <v>0</v>
      </c>
      <c r="AF204" s="463">
        <f t="shared" si="65"/>
        <v>89</v>
      </c>
      <c r="AG204" s="463">
        <f t="shared" si="66"/>
        <v>109</v>
      </c>
      <c r="AH204" s="463">
        <f t="shared" si="67"/>
        <v>107</v>
      </c>
      <c r="AI204" s="463">
        <f t="shared" si="68"/>
        <v>124</v>
      </c>
      <c r="AJ204" s="179"/>
      <c r="AK204" s="156"/>
    </row>
    <row r="205" spans="1:37" s="89" customFormat="1" ht="12.75" customHeight="1" x14ac:dyDescent="0.2">
      <c r="A205" s="462">
        <f>VLOOKUP(B205,Sheet1!$AQ$4:$AR$25,2,FALSE)</f>
        <v>0</v>
      </c>
      <c r="B205" s="95" t="str">
        <f t="shared" si="56"/>
        <v>Wokingham</v>
      </c>
      <c r="C205" s="87"/>
      <c r="D205" s="158" t="e">
        <f t="shared" si="57"/>
        <v>#N/A</v>
      </c>
      <c r="E205" s="158">
        <f t="shared" si="58"/>
        <v>0.12345679012345678</v>
      </c>
      <c r="F205" s="158">
        <f t="shared" si="59"/>
        <v>0.2</v>
      </c>
      <c r="G205" s="158">
        <f t="shared" si="60"/>
        <v>0.13207547169811321</v>
      </c>
      <c r="H205" s="160">
        <f t="shared" si="61"/>
        <v>0.1</v>
      </c>
      <c r="I205" s="98"/>
      <c r="J205" s="98"/>
      <c r="K205" s="162"/>
      <c r="L205" s="162"/>
      <c r="M205" s="162"/>
      <c r="N205" s="162"/>
      <c r="O205" s="162"/>
      <c r="P205" s="162"/>
      <c r="Q205" s="162"/>
      <c r="R205" s="163"/>
      <c r="S205" s="155"/>
      <c r="T205" s="155"/>
      <c r="U205" s="162"/>
      <c r="V205" s="124"/>
      <c r="W205" s="140"/>
      <c r="X205" s="149"/>
      <c r="Y205" s="365" t="str">
        <f t="shared" si="63"/>
        <v>Wokingham</v>
      </c>
      <c r="Z205" s="463" t="str">
        <f>IF(Year1_Wokingham Year1_LAC_3_or_more_Placements="","",Year1_Wokingham Year1_LAC_3_or_more_Placements)</f>
        <v/>
      </c>
      <c r="AA205" s="365">
        <f>IF(Year2_Wokingham Year2_LAC_3_or_more_Placements="","",Year2_Wokingham Year2_LAC_3_or_more_Placements)</f>
        <v>10</v>
      </c>
      <c r="AB205" s="365">
        <f>IF(Year3_Wokingham Year3_LAC_3_or_more_Placements="","",Year3_Wokingham Year3_LAC_3_or_more_Placements)</f>
        <v>15</v>
      </c>
      <c r="AC205" s="365">
        <f>IF(Year4_Wokingham Year4_LAC_3_or_more_Placements="","",Year4_Wokingham Year4_LAC_3_or_more_Placements)</f>
        <v>14</v>
      </c>
      <c r="AD205" s="552">
        <f>IF(Year5_Wokingham Year5_LAC_3_or_more_Placements="","",Year5_Wokingham Year5_LAC_3_or_more_Placements)</f>
        <v>11</v>
      </c>
      <c r="AE205" s="463">
        <f t="shared" si="64"/>
        <v>0</v>
      </c>
      <c r="AF205" s="463">
        <f t="shared" si="65"/>
        <v>81</v>
      </c>
      <c r="AG205" s="463">
        <f t="shared" si="66"/>
        <v>75</v>
      </c>
      <c r="AH205" s="463">
        <f t="shared" si="67"/>
        <v>106</v>
      </c>
      <c r="AI205" s="463">
        <f t="shared" si="68"/>
        <v>110</v>
      </c>
      <c r="AJ205" s="179"/>
      <c r="AK205" s="156"/>
    </row>
    <row r="206" spans="1:37" s="89" customFormat="1" ht="12.75" customHeight="1" x14ac:dyDescent="0.2">
      <c r="A206" s="123"/>
      <c r="B206" s="131" t="str">
        <f t="shared" si="56"/>
        <v>South East</v>
      </c>
      <c r="C206" s="87"/>
      <c r="D206" s="159" t="e">
        <f>IF(AND(ISNUMBER(AE206),ISNUMBER(Z206)),Z206/AE206,NA())</f>
        <v>#N/A</v>
      </c>
      <c r="E206" s="159">
        <f t="shared" ref="E206:H206" si="69">IF(AND(ISNUMBER(AF206),ISNUMBER(AA206)),AA206/AF206,NA())</f>
        <v>0.12203767470123557</v>
      </c>
      <c r="F206" s="159">
        <f t="shared" si="69"/>
        <v>0.11698880976602238</v>
      </c>
      <c r="G206" s="159">
        <f t="shared" si="69"/>
        <v>0.11902380476095219</v>
      </c>
      <c r="H206" s="161">
        <f t="shared" si="69"/>
        <v>0.11574749537982687</v>
      </c>
      <c r="I206" s="98"/>
      <c r="J206" s="98"/>
      <c r="K206" s="164"/>
      <c r="L206" s="164"/>
      <c r="M206" s="164"/>
      <c r="N206" s="164"/>
      <c r="O206" s="164"/>
      <c r="P206" s="164"/>
      <c r="Q206" s="164"/>
      <c r="R206" s="165"/>
      <c r="S206" s="155"/>
      <c r="T206" s="155"/>
      <c r="U206" s="166"/>
      <c r="V206" s="124"/>
      <c r="W206" s="140"/>
      <c r="X206" s="149"/>
      <c r="Y206" s="365" t="str">
        <f t="shared" si="63"/>
        <v>South East</v>
      </c>
      <c r="Z206" s="576" t="str">
        <f>IF(Year1_SouthEast Year1_LAC_3_or_more_Placements="","",Year1_SouthEast Year1_LAC_3_or_more_Placements)</f>
        <v/>
      </c>
      <c r="AA206" s="576">
        <f>IF(Year2_SouthEast Year2_LAC_3_or_more_Placements="","",Year2_SouthEast Year2_LAC_3_or_more_Placements)</f>
        <v>1205</v>
      </c>
      <c r="AB206" s="576">
        <f>IF(Year3_SouthEast Year3_LAC_3_or_more_Placements="","",Year3_SouthEast Year3_LAC_3_or_more_Placements)</f>
        <v>1150</v>
      </c>
      <c r="AC206" s="365">
        <f>IF(Year4_SouthEast Year4_LAC_3_or_more_Placements="","",Year4_SouthEast Year4_LAC_3_or_more_Placements)</f>
        <v>1190</v>
      </c>
      <c r="AD206" s="552">
        <f>IF(Year5_SouthEast Year5_LAC_3_or_more_Placements="","",Year5_SouthEast Year5_LAC_3_or_more_Placements)</f>
        <v>1190</v>
      </c>
      <c r="AE206" s="576">
        <f>SUM(AE184:AE196,AE198:AE199,AE202:AE205)</f>
        <v>0</v>
      </c>
      <c r="AF206" s="576">
        <f t="shared" ref="AF206:AI206" si="70">SUM(AF184:AF196,AF198:AF199,AF202:AF205)</f>
        <v>9874</v>
      </c>
      <c r="AG206" s="576">
        <f t="shared" si="70"/>
        <v>9830</v>
      </c>
      <c r="AH206" s="576">
        <f t="shared" si="70"/>
        <v>9998</v>
      </c>
      <c r="AI206" s="576">
        <f t="shared" si="70"/>
        <v>10281</v>
      </c>
      <c r="AJ206" s="179"/>
      <c r="AK206" s="156"/>
    </row>
    <row r="207" spans="1:37" s="89" customFormat="1" ht="12.75" customHeight="1" x14ac:dyDescent="0.2">
      <c r="A207" s="123"/>
      <c r="B207" s="318" t="str">
        <f t="shared" si="56"/>
        <v>England</v>
      </c>
      <c r="C207" s="87"/>
      <c r="D207" s="344" t="e">
        <f t="shared" si="57"/>
        <v>#N/A</v>
      </c>
      <c r="E207" s="344">
        <f t="shared" si="58"/>
        <v>0.10296832836244851</v>
      </c>
      <c r="F207" s="344">
        <f t="shared" si="59"/>
        <v>0.103567001790387</v>
      </c>
      <c r="G207" s="344">
        <f t="shared" si="60"/>
        <v>0.10468356109858033</v>
      </c>
      <c r="H207" s="345">
        <f t="shared" si="61"/>
        <v>0.10377479206653871</v>
      </c>
      <c r="I207" s="98"/>
      <c r="J207" s="98"/>
      <c r="K207" s="164"/>
      <c r="L207" s="164"/>
      <c r="M207" s="164"/>
      <c r="N207" s="164"/>
      <c r="O207" s="164"/>
      <c r="P207" s="164"/>
      <c r="Q207" s="164"/>
      <c r="R207" s="165"/>
      <c r="S207" s="155"/>
      <c r="T207" s="155"/>
      <c r="U207" s="166"/>
      <c r="V207" s="124"/>
      <c r="W207" s="140"/>
      <c r="X207" s="149"/>
      <c r="Y207" s="365" t="str">
        <f t="shared" si="63"/>
        <v>England</v>
      </c>
      <c r="Z207" s="576" t="str">
        <f>IF(Year1_England Year1_LAC_3_or_more_Placements="","",Year1_England Year1_LAC_3_or_more_Placements)</f>
        <v/>
      </c>
      <c r="AA207" s="576">
        <f>IF(Year2_England Year2_LAC_3_or_more_Placements="","",Year2_England Year2_LAC_3_or_more_Placements)</f>
        <v>7250</v>
      </c>
      <c r="AB207" s="576">
        <f>IF(Year3_England Year3_LAC_3_or_more_Placements="","",Year3_England Year3_LAC_3_or_more_Placements)</f>
        <v>7520</v>
      </c>
      <c r="AC207" s="365">
        <f>IF(Year4_England Year4_LAC_3_or_more_Placements="","",Year4_England Year4_LAC_3_or_more_Placements)</f>
        <v>7890</v>
      </c>
      <c r="AD207" s="552">
        <f>IF(Year5_England Year5_LAC_3_or_more_Placements="","",Year5_England Year5_LAC_3_or_more_Placements)</f>
        <v>8110</v>
      </c>
      <c r="AE207" s="576" t="str">
        <f>IF(Year1_England Year1_LAC_3_or_more_Placements="","",Year1_England Year1_LAC_3_or_more_Placements)</f>
        <v/>
      </c>
      <c r="AF207" s="576">
        <f>IF(Year2_England Year2_LAC_3_or_more_Placements="","",Year2_England Year2_LAC_3_or_more_Placements)</f>
        <v>7250</v>
      </c>
      <c r="AG207" s="576">
        <f>IF(Year3_England Year3_LAC_3_or_more_Placements="","",Year3_England Year3_LAC_3_or_more_Placements)</f>
        <v>7520</v>
      </c>
      <c r="AH207" s="365">
        <f>IF(Year4_England Year4_LAC_3_or_more_Placements="","",Year4_England Year4_LAC_3_or_more_Placements)</f>
        <v>7890</v>
      </c>
      <c r="AI207" s="552">
        <f>IF(Year5_England Year5_LAC_3_or_more_Placements="","",Year5_England Year5_LAC_3_or_more_Placements)</f>
        <v>8110</v>
      </c>
      <c r="AJ207" s="179"/>
      <c r="AK207" s="156"/>
    </row>
    <row r="208" spans="1:37" s="89" customFormat="1" ht="7.5" customHeight="1" x14ac:dyDescent="0.2">
      <c r="A208" s="286"/>
      <c r="B208" s="98"/>
      <c r="C208" s="98"/>
      <c r="D208" s="98"/>
      <c r="E208" s="98"/>
      <c r="F208" s="98"/>
      <c r="G208" s="98"/>
      <c r="H208" s="98"/>
      <c r="I208" s="98"/>
      <c r="J208" s="98"/>
      <c r="K208" s="164"/>
      <c r="L208" s="164"/>
      <c r="M208" s="164"/>
      <c r="N208" s="164"/>
      <c r="O208" s="164"/>
      <c r="P208" s="164"/>
      <c r="Q208" s="164"/>
      <c r="R208" s="165"/>
      <c r="S208" s="155"/>
      <c r="T208" s="155"/>
      <c r="U208" s="166"/>
      <c r="V208" s="124"/>
      <c r="W208" s="140"/>
      <c r="X208" s="149"/>
      <c r="Y208" s="83"/>
      <c r="Z208" s="83"/>
      <c r="AA208" s="191"/>
      <c r="AB208" s="191"/>
      <c r="AC208" s="192"/>
      <c r="AD208" s="83"/>
      <c r="AE208" s="83"/>
      <c r="AF208" s="83"/>
      <c r="AG208" s="83"/>
      <c r="AH208" s="83"/>
      <c r="AI208" s="83"/>
      <c r="AJ208" s="179"/>
      <c r="AK208" s="156"/>
    </row>
    <row r="209" spans="1:46" s="83" customFormat="1" ht="38.25" customHeight="1" x14ac:dyDescent="0.2">
      <c r="A209" s="213"/>
      <c r="B209" s="373"/>
      <c r="C209" s="373"/>
      <c r="D209" s="373"/>
      <c r="E209" s="373"/>
      <c r="F209" s="373"/>
      <c r="G209" s="373"/>
      <c r="H209" s="373"/>
      <c r="I209" s="373"/>
      <c r="J209" s="168"/>
      <c r="K209" s="168"/>
      <c r="L209" s="168"/>
      <c r="M209" s="168"/>
      <c r="N209" s="168"/>
      <c r="O209" s="168"/>
      <c r="P209" s="168"/>
      <c r="Q209" s="168"/>
      <c r="R209" s="137"/>
      <c r="S209" s="168"/>
      <c r="T209" s="168"/>
      <c r="U209" s="168"/>
      <c r="V209" s="119"/>
      <c r="W209" s="138"/>
      <c r="X209" s="147"/>
      <c r="AD209" s="192"/>
      <c r="AE209" s="194"/>
      <c r="AF209" s="179"/>
      <c r="AG209" s="179"/>
      <c r="AH209" s="179"/>
      <c r="AJ209" s="179"/>
      <c r="AK209" s="157"/>
    </row>
    <row r="210" spans="1:46" s="83" customFormat="1" ht="39" customHeight="1" x14ac:dyDescent="0.2">
      <c r="A210" s="213"/>
      <c r="B210" s="373"/>
      <c r="C210" s="373"/>
      <c r="D210" s="373"/>
      <c r="E210" s="373"/>
      <c r="F210" s="373"/>
      <c r="G210" s="373"/>
      <c r="H210" s="373"/>
      <c r="I210" s="373"/>
      <c r="J210" s="168"/>
      <c r="K210" s="168"/>
      <c r="L210" s="168"/>
      <c r="M210" s="168"/>
      <c r="N210" s="168"/>
      <c r="O210" s="168"/>
      <c r="P210" s="168"/>
      <c r="Q210" s="168"/>
      <c r="R210" s="137"/>
      <c r="S210" s="168"/>
      <c r="T210" s="168"/>
      <c r="U210" s="168"/>
      <c r="V210" s="119"/>
      <c r="W210" s="138"/>
      <c r="X210" s="147"/>
      <c r="Z210" s="185"/>
      <c r="AE210" s="194"/>
      <c r="AF210" s="179"/>
      <c r="AG210" s="179"/>
      <c r="AH210" s="179"/>
      <c r="AJ210" s="179"/>
      <c r="AK210" s="157"/>
    </row>
    <row r="211" spans="1:46" s="83" customFormat="1" ht="38.25" customHeight="1" x14ac:dyDescent="0.2">
      <c r="A211" s="213"/>
      <c r="B211" s="373"/>
      <c r="C211" s="373"/>
      <c r="D211" s="373"/>
      <c r="E211" s="373"/>
      <c r="F211" s="373"/>
      <c r="G211" s="373"/>
      <c r="H211" s="373"/>
      <c r="I211" s="373"/>
      <c r="J211" s="168"/>
      <c r="K211" s="168"/>
      <c r="L211" s="168"/>
      <c r="M211" s="168"/>
      <c r="N211" s="168"/>
      <c r="O211" s="168"/>
      <c r="P211" s="168"/>
      <c r="Q211" s="168"/>
      <c r="R211" s="137"/>
      <c r="S211" s="168"/>
      <c r="T211" s="168"/>
      <c r="U211" s="168"/>
      <c r="V211" s="119"/>
      <c r="W211" s="138"/>
      <c r="X211" s="147"/>
      <c r="Z211" s="185"/>
      <c r="AE211" s="194"/>
      <c r="AF211" s="179"/>
      <c r="AG211" s="179"/>
      <c r="AH211" s="179"/>
      <c r="AJ211" s="179"/>
      <c r="AK211" s="157"/>
    </row>
    <row r="212" spans="1:46" s="83" customFormat="1" ht="7.5" customHeight="1" x14ac:dyDescent="0.2">
      <c r="A212" s="120"/>
      <c r="B212" s="18"/>
      <c r="C212" s="18"/>
      <c r="D212" s="17"/>
      <c r="E212" s="17"/>
      <c r="F212" s="17"/>
      <c r="G212" s="17"/>
      <c r="H212" s="17"/>
      <c r="I212" s="17"/>
      <c r="J212" s="13"/>
      <c r="K212" s="19"/>
      <c r="L212" s="19"/>
      <c r="M212" s="19"/>
      <c r="N212" s="19"/>
      <c r="O212" s="19"/>
      <c r="P212" s="19"/>
      <c r="Q212" s="19"/>
      <c r="R212" s="19"/>
      <c r="S212" s="19"/>
      <c r="T212" s="19"/>
      <c r="U212" s="20"/>
      <c r="V212" s="119"/>
      <c r="W212" s="138"/>
      <c r="X212" s="147"/>
      <c r="Z212" s="185"/>
      <c r="AJ212" s="179"/>
      <c r="AK212" s="153"/>
      <c r="AL212" s="76"/>
      <c r="AM212" s="76"/>
      <c r="AN212" s="76"/>
      <c r="AO212" s="76"/>
      <c r="AP212" s="76"/>
      <c r="AQ212" s="76"/>
      <c r="AR212" s="76"/>
    </row>
    <row r="213" spans="1:46" s="83" customFormat="1" ht="15" customHeight="1" x14ac:dyDescent="0.2">
      <c r="A213" s="1399"/>
      <c r="B213" s="1421"/>
      <c r="C213" s="1421"/>
      <c r="D213" s="1421"/>
      <c r="E213" s="1421"/>
      <c r="F213" s="1421"/>
      <c r="G213" s="1421"/>
      <c r="H213" s="1421"/>
      <c r="I213" s="1421"/>
      <c r="J213" s="1421"/>
      <c r="K213" s="1421"/>
      <c r="L213" s="1421"/>
      <c r="M213" s="1421"/>
      <c r="N213" s="1421"/>
      <c r="O213" s="1421"/>
      <c r="P213" s="1421"/>
      <c r="Q213" s="1421"/>
      <c r="R213" s="1421"/>
      <c r="S213" s="1421"/>
      <c r="T213" s="1421"/>
      <c r="U213" s="1421"/>
      <c r="V213" s="1422"/>
      <c r="W213" s="138"/>
      <c r="X213" s="147"/>
      <c r="AK213" s="157"/>
      <c r="AT213" s="76"/>
    </row>
    <row r="214" spans="1:46" s="83" customFormat="1" ht="11.25" customHeight="1" x14ac:dyDescent="0.2">
      <c r="A214" s="1428" t="str">
        <f>Home!$A$40</f>
        <v>LA's provide quarterly data on the condition that it is used by the benchmarking group for internal reporting only. Please DO NOT share other LA's data with any external partners or the public</v>
      </c>
      <c r="B214" s="1429"/>
      <c r="C214" s="1429"/>
      <c r="D214" s="1429"/>
      <c r="E214" s="1429"/>
      <c r="F214" s="1429"/>
      <c r="G214" s="1429"/>
      <c r="H214" s="1429"/>
      <c r="I214" s="1430"/>
      <c r="J214" s="1429"/>
      <c r="K214" s="1429"/>
      <c r="L214" s="1429"/>
      <c r="M214" s="1429"/>
      <c r="N214" s="1429"/>
      <c r="O214" s="1429"/>
      <c r="P214" s="1431"/>
      <c r="Q214" s="1429"/>
      <c r="R214" s="1429"/>
      <c r="S214" s="1429"/>
      <c r="T214" s="1430"/>
      <c r="U214" s="1429"/>
      <c r="V214" s="1432"/>
      <c r="W214" s="138"/>
      <c r="X214" s="147"/>
      <c r="AJ214" s="179"/>
      <c r="AK214" s="156"/>
      <c r="AL214" s="89"/>
      <c r="AT214" s="76"/>
    </row>
    <row r="215" spans="1:46" ht="11.25" hidden="1" customHeight="1" x14ac:dyDescent="0.2">
      <c r="A215" s="114"/>
      <c r="B215" s="115"/>
      <c r="C215" s="115"/>
      <c r="D215" s="115"/>
      <c r="E215" s="115"/>
      <c r="F215" s="115"/>
      <c r="G215" s="115"/>
      <c r="H215" s="115"/>
      <c r="I215" s="115"/>
      <c r="J215" s="116"/>
      <c r="K215" s="115"/>
      <c r="L215" s="115"/>
      <c r="M215" s="115"/>
      <c r="N215" s="115"/>
      <c r="O215" s="115"/>
      <c r="P215" s="115"/>
      <c r="Q215" s="115"/>
      <c r="R215" s="115"/>
      <c r="S215" s="115"/>
      <c r="T215" s="115"/>
      <c r="U215" s="115"/>
      <c r="V215" s="117"/>
      <c r="W215" s="138"/>
      <c r="X215" s="147"/>
      <c r="Y215" s="193"/>
      <c r="Z215" s="191"/>
      <c r="AA215" s="183"/>
      <c r="AJ215" s="179"/>
      <c r="AK215" s="156"/>
    </row>
    <row r="216" spans="1:46" s="78" customFormat="1" ht="15" hidden="1" customHeight="1" x14ac:dyDescent="0.2">
      <c r="A216" s="121"/>
      <c r="B216" s="1442" t="str">
        <f>"Children Looked After for 4+ weeks"&amp; Z1&amp;" who had been Reviewed within the required Timescales"</f>
        <v>Children Looked After for 4+ weeks at 31st March who had been Reviewed within the required Timescales</v>
      </c>
      <c r="C216" s="1442"/>
      <c r="D216" s="1442"/>
      <c r="E216" s="1442"/>
      <c r="F216" s="1442"/>
      <c r="G216" s="1442"/>
      <c r="H216" s="1442"/>
      <c r="I216" s="1442"/>
      <c r="J216" s="69"/>
      <c r="K216" s="69"/>
      <c r="L216" s="69"/>
      <c r="M216" s="69"/>
      <c r="N216" s="408"/>
      <c r="O216" s="69"/>
      <c r="P216" s="69"/>
      <c r="Q216" s="69"/>
      <c r="R216" s="69"/>
      <c r="S216" s="69"/>
      <c r="T216" s="69"/>
      <c r="U216" s="69"/>
      <c r="V216" s="122"/>
      <c r="W216" s="139"/>
      <c r="X216" s="148"/>
      <c r="Y216" s="374" t="s">
        <v>180</v>
      </c>
      <c r="Z216" s="375"/>
      <c r="AA216" s="376"/>
      <c r="AB216" s="376"/>
      <c r="AC216" s="376"/>
      <c r="AD216" s="83"/>
      <c r="AE216" s="374" t="s">
        <v>181</v>
      </c>
      <c r="AF216" s="375"/>
      <c r="AG216" s="376"/>
      <c r="AH216" s="376"/>
      <c r="AI216" s="376"/>
      <c r="AJ216" s="83"/>
      <c r="AK216" s="156"/>
    </row>
    <row r="217" spans="1:46" ht="15" hidden="1" customHeight="1" x14ac:dyDescent="0.2">
      <c r="A217" s="120"/>
      <c r="B217" s="1442"/>
      <c r="C217" s="1442"/>
      <c r="D217" s="1442"/>
      <c r="E217" s="1442"/>
      <c r="F217" s="1442"/>
      <c r="G217" s="1442"/>
      <c r="H217" s="1442"/>
      <c r="I217" s="1442"/>
      <c r="J217" s="69"/>
      <c r="K217" s="69"/>
      <c r="L217" s="69"/>
      <c r="M217" s="69"/>
      <c r="N217" s="408"/>
      <c r="O217" s="69"/>
      <c r="P217" s="69"/>
      <c r="Q217" s="69"/>
      <c r="R217" s="10"/>
      <c r="S217" s="69"/>
      <c r="T217" s="69"/>
      <c r="U217" s="69"/>
      <c r="V217" s="119"/>
      <c r="W217" s="138"/>
      <c r="X217" s="147"/>
      <c r="Y217" s="376"/>
      <c r="Z217" s="375"/>
      <c r="AA217" s="376"/>
      <c r="AB217" s="376"/>
      <c r="AC217" s="376"/>
      <c r="AE217" s="376"/>
      <c r="AF217" s="375"/>
      <c r="AG217" s="376"/>
      <c r="AH217" s="376"/>
      <c r="AI217" s="376"/>
      <c r="AJ217" s="83"/>
      <c r="AK217" s="156"/>
    </row>
    <row r="218" spans="1:46" ht="13.5" hidden="1" customHeight="1" x14ac:dyDescent="0.2">
      <c r="A218" s="271"/>
      <c r="B218" s="1419" t="s">
        <v>190</v>
      </c>
      <c r="C218" s="873"/>
      <c r="D218" s="755" t="str">
        <f>Sheet1!$D$25</f>
        <v>2014-15</v>
      </c>
      <c r="E218" s="756" t="str">
        <f>Sheet1!$E$25</f>
        <v>2015-16</v>
      </c>
      <c r="F218" s="756" t="str">
        <f>Sheet1!$F$25</f>
        <v>2016-17</v>
      </c>
      <c r="G218" s="756" t="str">
        <f>Sheet1!$G$25</f>
        <v>2017-18</v>
      </c>
      <c r="H218" s="757" t="str">
        <f>Sheet1!$H$25</f>
        <v>2018-19</v>
      </c>
      <c r="I218" s="873"/>
      <c r="J218" s="69"/>
      <c r="K218" s="69"/>
      <c r="L218" s="69"/>
      <c r="M218" s="69"/>
      <c r="N218" s="870"/>
      <c r="O218" s="69"/>
      <c r="P218" s="69"/>
      <c r="Q218" s="69"/>
      <c r="R218" s="10"/>
      <c r="S218" s="69"/>
      <c r="T218" s="69"/>
      <c r="U218" s="69"/>
      <c r="V218" s="119"/>
      <c r="W218" s="138"/>
      <c r="X218" s="147"/>
      <c r="Y218" s="376"/>
      <c r="Z218" s="375"/>
      <c r="AA218" s="376"/>
      <c r="AB218" s="376"/>
      <c r="AC218" s="376"/>
      <c r="AE218" s="376"/>
      <c r="AF218" s="375"/>
      <c r="AG218" s="376"/>
      <c r="AH218" s="376"/>
      <c r="AI218" s="376"/>
      <c r="AJ218" s="83"/>
      <c r="AK218" s="156"/>
    </row>
    <row r="219" spans="1:46" s="89" customFormat="1" ht="13.5" hidden="1" customHeight="1" x14ac:dyDescent="0.2">
      <c r="A219" s="123"/>
      <c r="B219" s="1420"/>
      <c r="C219" s="87"/>
      <c r="D219" s="758" t="e">
        <f>Sheet1!$D$26</f>
        <v>#N/A</v>
      </c>
      <c r="E219" s="758" t="e">
        <f>Sheet1!$E$26</f>
        <v>#N/A</v>
      </c>
      <c r="F219" s="758" t="e">
        <f>Sheet1!$F$26</f>
        <v>#N/A</v>
      </c>
      <c r="G219" s="758" t="e">
        <f>Sheet1!$G$26</f>
        <v>#N/A</v>
      </c>
      <c r="H219" s="759" t="e">
        <f>Sheet1!$H$26</f>
        <v>#N/A</v>
      </c>
      <c r="I219" s="98"/>
      <c r="J219" s="98"/>
      <c r="K219" s="61"/>
      <c r="L219" s="61"/>
      <c r="M219" s="61"/>
      <c r="N219" s="61"/>
      <c r="O219" s="61"/>
      <c r="P219" s="61"/>
      <c r="Q219" s="386"/>
      <c r="R219" s="386"/>
      <c r="S219" s="155"/>
      <c r="T219" s="155"/>
      <c r="U219" s="384"/>
      <c r="V219" s="124"/>
      <c r="W219" s="140"/>
      <c r="X219" s="149"/>
      <c r="Y219" s="377"/>
      <c r="Z219" s="419" t="e">
        <f>D219</f>
        <v>#N/A</v>
      </c>
      <c r="AA219" s="419" t="e">
        <f t="shared" ref="AA219" si="71">E219</f>
        <v>#N/A</v>
      </c>
      <c r="AB219" s="419" t="e">
        <f t="shared" ref="AB219" si="72">F219</f>
        <v>#N/A</v>
      </c>
      <c r="AC219" s="419" t="e">
        <f t="shared" ref="AC219" si="73">G219</f>
        <v>#N/A</v>
      </c>
      <c r="AD219" s="419" t="e">
        <f t="shared" ref="AD219" si="74">H219</f>
        <v>#N/A</v>
      </c>
      <c r="AE219" s="377"/>
      <c r="AF219" s="419" t="e">
        <f>Z219</f>
        <v>#N/A</v>
      </c>
      <c r="AG219" s="419" t="e">
        <f t="shared" ref="AG219:AJ219" si="75">AA219</f>
        <v>#N/A</v>
      </c>
      <c r="AH219" s="419" t="e">
        <f t="shared" si="75"/>
        <v>#N/A</v>
      </c>
      <c r="AI219" s="419" t="e">
        <f t="shared" si="75"/>
        <v>#N/A</v>
      </c>
      <c r="AJ219" s="421" t="e">
        <f t="shared" si="75"/>
        <v>#N/A</v>
      </c>
      <c r="AK219" s="156"/>
    </row>
    <row r="220" spans="1:46" s="89" customFormat="1" ht="12.75" hidden="1" customHeight="1" x14ac:dyDescent="0.2">
      <c r="A220" s="462">
        <f>VLOOKUP(B220,Sheet1!$AQ$4:$AR$25,2,FALSE)</f>
        <v>0</v>
      </c>
      <c r="B220" s="95" t="str">
        <f t="shared" ref="B220:B243" si="76">B184</f>
        <v>Bracknell Forest</v>
      </c>
      <c r="C220" s="87"/>
      <c r="D220" s="158" t="e">
        <f>IF(AND(ISNUMBER(AF220),ISNUMBER(Z220)),AF220/Z220,NA())</f>
        <v>#N/A</v>
      </c>
      <c r="E220" s="158" t="e">
        <f>IF(AND(ISNUMBER(AG220),ISNUMBER(AA220)),AG220/AA220,NA())</f>
        <v>#N/A</v>
      </c>
      <c r="F220" s="158" t="e">
        <f>IF(AND(ISNUMBER(AH220),ISNUMBER(AB220)),AH220/AB220,NA())</f>
        <v>#N/A</v>
      </c>
      <c r="G220" s="158" t="e">
        <f t="shared" ref="G220:H220" si="77">IF(AND(ISNUMBER(AI220),ISNUMBER(AC220)),AI220/AC220,NA())</f>
        <v>#N/A</v>
      </c>
      <c r="H220" s="160" t="e">
        <f t="shared" si="77"/>
        <v>#N/A</v>
      </c>
      <c r="I220" s="98"/>
      <c r="J220" s="98"/>
      <c r="K220" s="162"/>
      <c r="L220" s="162"/>
      <c r="M220" s="162"/>
      <c r="N220" s="162"/>
      <c r="O220" s="162"/>
      <c r="P220" s="162"/>
      <c r="Q220" s="162"/>
      <c r="R220" s="163"/>
      <c r="S220" s="155"/>
      <c r="T220" s="155"/>
      <c r="U220" s="162"/>
      <c r="V220" s="124"/>
      <c r="W220" s="140"/>
      <c r="X220" s="149"/>
      <c r="Y220" s="418" t="str">
        <f>B220</f>
        <v>Bracknell Forest</v>
      </c>
      <c r="Z220" s="463" t="str">
        <f>IF(Year1_Bracknell_Forest Year1_LAC_4weeks="","",Year1_Bracknell_Forest Year1_LAC_4weeks)</f>
        <v/>
      </c>
      <c r="AA220" s="365" t="str">
        <f>IF(Year2_Bracknell_Forest Year2_LAC_4weeks="","",Year2_Bracknell_Forest Year2_LAC_4weeks)</f>
        <v/>
      </c>
      <c r="AB220" s="365" t="str">
        <f>IF(Year3_Bracknell_Forest Year3_LAC_4weeks="","",Year3_Bracknell_Forest Year3_LAC_4weeks)</f>
        <v/>
      </c>
      <c r="AC220" s="365" t="str">
        <f>IF(Year4_Bracknell_Forest Year4_LAC_4weeks="","",Year4_Bracknell_Forest Year4_LAC_4weeks)</f>
        <v/>
      </c>
      <c r="AD220" s="552" t="str">
        <f>IF(Year5_Bracknell_Forest Year5_LAC_4weeks="","",Year5_Bracknell_Forest Year5_LAC_4weeks)</f>
        <v/>
      </c>
      <c r="AE220" s="418" t="str">
        <f>Y220</f>
        <v>Bracknell Forest</v>
      </c>
      <c r="AF220" s="463" t="str">
        <f>IF(Year1_Bracknell_Forest Year1_LAC_4weeks_reviews_in_timescales="","",Year1_Bracknell_Forest Year1_LAC_4weeks_reviews_in_timescales)</f>
        <v/>
      </c>
      <c r="AG220" s="365" t="str">
        <f>IF(Year2_Bracknell_Forest Year2_LAC_4weeks_reviews_in_timescales="","",Year2_Bracknell_Forest Year2_LAC_4weeks_reviews_in_timescales)</f>
        <v/>
      </c>
      <c r="AH220" s="365" t="str">
        <f>IF(Year3_Bracknell_Forest Year3_LAC_4weeks_reviews_in_timescales="","",Year3_Bracknell_Forest Year3_LAC_4weeks_reviews_in_timescales)</f>
        <v/>
      </c>
      <c r="AI220" s="365" t="str">
        <f>IF(Year4_Bracknell_Forest Year4_LAC_4weeks_reviews_in_timescales="","",Year4_Bracknell_Forest Year4_LAC_4weeks_reviews_in_timescales)</f>
        <v/>
      </c>
      <c r="AJ220" s="552" t="str">
        <f>IF(Year5_Bracknell_Forest Year5_LAC_4weeks_reviews_in_timescales="","",Year5_Bracknell_Forest Year5_LAC_4weeks_reviews_in_timescales)</f>
        <v/>
      </c>
      <c r="AK220" s="156"/>
    </row>
    <row r="221" spans="1:46" s="89" customFormat="1" ht="12.75" hidden="1" customHeight="1" x14ac:dyDescent="0.2">
      <c r="A221" s="462">
        <f>VLOOKUP(B221,Sheet1!$AQ$4:$AR$25,2,FALSE)</f>
        <v>0</v>
      </c>
      <c r="B221" s="95" t="str">
        <f t="shared" si="76"/>
        <v>Brighton &amp; Hove</v>
      </c>
      <c r="C221" s="87"/>
      <c r="D221" s="158" t="e">
        <f t="shared" ref="D221:F243" si="78">IF(AND(ISNUMBER(AF221),ISNUMBER(Z221)),AF221/Z221,NA())</f>
        <v>#N/A</v>
      </c>
      <c r="E221" s="158" t="e">
        <f t="shared" si="78"/>
        <v>#N/A</v>
      </c>
      <c r="F221" s="158" t="e">
        <f t="shared" si="78"/>
        <v>#N/A</v>
      </c>
      <c r="G221" s="158" t="e">
        <f t="shared" ref="G221:G243" si="79">IF(AND(ISNUMBER(AI221),ISNUMBER(AC221)),AI221/AC221,NA())</f>
        <v>#N/A</v>
      </c>
      <c r="H221" s="160" t="e">
        <f t="shared" ref="H221:H243" si="80">IF(AND(ISNUMBER(AJ221),ISNUMBER(AD221)),AJ221/AD221,NA())</f>
        <v>#N/A</v>
      </c>
      <c r="I221" s="98"/>
      <c r="J221" s="98"/>
      <c r="K221" s="162"/>
      <c r="L221" s="162"/>
      <c r="M221" s="162"/>
      <c r="N221" s="162"/>
      <c r="O221" s="162"/>
      <c r="P221" s="162"/>
      <c r="Q221" s="162"/>
      <c r="R221" s="163"/>
      <c r="S221" s="155"/>
      <c r="T221" s="155"/>
      <c r="U221" s="162"/>
      <c r="V221" s="124"/>
      <c r="W221" s="140"/>
      <c r="X221" s="149"/>
      <c r="Y221" s="418" t="str">
        <f t="shared" ref="Y221:Y243" si="81">B221</f>
        <v>Brighton &amp; Hove</v>
      </c>
      <c r="Z221" s="463" t="str">
        <f>IF(Year1_Brighton_Hove Year1_LAC_4weeks="","",Year1_Brighton_Hove Year1_LAC_4weeks)</f>
        <v/>
      </c>
      <c r="AA221" s="365" t="str">
        <f>IF(Year2_Brighton_Hove Year2_LAC_4weeks="","",Year2_Brighton_Hove Year2_LAC_4weeks)</f>
        <v/>
      </c>
      <c r="AB221" s="365" t="str">
        <f>IF(Year3_Brighton_Hove Year3_LAC_4weeks="","",Year3_Brighton_Hove Year3_LAC_4weeks)</f>
        <v/>
      </c>
      <c r="AC221" s="365" t="str">
        <f>IF(Year4_Brighton_Hove Year4_LAC_4weeks="","",Year4_Brighton_Hove Year4_LAC_4weeks)</f>
        <v/>
      </c>
      <c r="AD221" s="552" t="str">
        <f>IF(Year5_Brighton_Hove Year5_LAC_4weeks="","",Year5_Brighton_Hove Year5_LAC_4weeks)</f>
        <v/>
      </c>
      <c r="AE221" s="418" t="str">
        <f t="shared" ref="AE221:AE243" si="82">Y221</f>
        <v>Brighton &amp; Hove</v>
      </c>
      <c r="AF221" s="463" t="str">
        <f>IF(Year1_Brighton_Hove Year1_LAC_4weeks_reviews_in_timescales="","",Year1_Brighton_Hove Year1_LAC_4weeks_reviews_in_timescales)</f>
        <v/>
      </c>
      <c r="AG221" s="365" t="str">
        <f>IF(Year2_Brighton_Hove Year2_LAC_4weeks_reviews_in_timescales="","",Year2_Brighton_Hove Year2_LAC_4weeks_reviews_in_timescales)</f>
        <v/>
      </c>
      <c r="AH221" s="365" t="str">
        <f>IF(Year3_Brighton_Hove Year3_LAC_4weeks_reviews_in_timescales="","",Year3_Brighton_Hove Year3_LAC_4weeks_reviews_in_timescales)</f>
        <v/>
      </c>
      <c r="AI221" s="365" t="str">
        <f>IF(Year4_Brighton_Hove Year4_LAC_4weeks_reviews_in_timescales="","",Year4_Brighton_Hove Year4_LAC_4weeks_reviews_in_timescales)</f>
        <v/>
      </c>
      <c r="AJ221" s="552" t="str">
        <f>IF(Year5_Brighton_Hove Year5_LAC_4weeks_reviews_in_timescales="","",Year5_Brighton_Hove Year5_LAC_4weeks_reviews_in_timescales)</f>
        <v/>
      </c>
      <c r="AK221" s="156"/>
    </row>
    <row r="222" spans="1:46" s="89" customFormat="1" ht="12.75" hidden="1" customHeight="1" x14ac:dyDescent="0.2">
      <c r="A222" s="462">
        <f>VLOOKUP(B222,Sheet1!$AQ$4:$AR$25,2,FALSE)</f>
        <v>0</v>
      </c>
      <c r="B222" s="95" t="str">
        <f t="shared" si="76"/>
        <v>Buckinghamshire</v>
      </c>
      <c r="C222" s="87"/>
      <c r="D222" s="158" t="e">
        <f t="shared" si="78"/>
        <v>#N/A</v>
      </c>
      <c r="E222" s="158" t="e">
        <f t="shared" si="78"/>
        <v>#N/A</v>
      </c>
      <c r="F222" s="158" t="e">
        <f t="shared" si="78"/>
        <v>#N/A</v>
      </c>
      <c r="G222" s="158" t="e">
        <f t="shared" si="79"/>
        <v>#N/A</v>
      </c>
      <c r="H222" s="160" t="e">
        <f t="shared" si="80"/>
        <v>#N/A</v>
      </c>
      <c r="I222" s="98"/>
      <c r="J222" s="98"/>
      <c r="K222" s="162"/>
      <c r="L222" s="162"/>
      <c r="M222" s="162"/>
      <c r="N222" s="162"/>
      <c r="O222" s="162"/>
      <c r="P222" s="162"/>
      <c r="Q222" s="162"/>
      <c r="R222" s="163"/>
      <c r="S222" s="155"/>
      <c r="T222" s="155"/>
      <c r="U222" s="162"/>
      <c r="V222" s="124"/>
      <c r="W222" s="140"/>
      <c r="X222" s="149"/>
      <c r="Y222" s="418" t="str">
        <f t="shared" si="81"/>
        <v>Buckinghamshire</v>
      </c>
      <c r="Z222" s="463" t="str">
        <f>IF(Year1_Buckinghamshire Year1_LAC_4weeks="","",Year1_Buckinghamshire Year1_LAC_4weeks)</f>
        <v/>
      </c>
      <c r="AA222" s="365" t="str">
        <f>IF(Year2_Buckinghamshire Year2_LAC_4weeks="","",Year2_Buckinghamshire Year2_LAC_4weeks)</f>
        <v/>
      </c>
      <c r="AB222" s="365" t="str">
        <f>IF(Year3_Buckinghamshire Year3_LAC_4weeks="","",Year3_Buckinghamshire Year3_LAC_4weeks)</f>
        <v/>
      </c>
      <c r="AC222" s="365" t="str">
        <f>IF(Year4_Buckinghamshire Year4_LAC_4weeks="","",Year4_Buckinghamshire Year4_LAC_4weeks)</f>
        <v/>
      </c>
      <c r="AD222" s="552" t="str">
        <f>IF(Year5_Buckinghamshire Year5_LAC_4weeks="","",Year5_Buckinghamshire Year5_LAC_4weeks)</f>
        <v/>
      </c>
      <c r="AE222" s="418" t="str">
        <f t="shared" si="82"/>
        <v>Buckinghamshire</v>
      </c>
      <c r="AF222" s="463" t="str">
        <f>IF(Year1_Buckinghamshire Year1_LAC_4weeks_reviews_in_timescales="","",Year1_Buckinghamshire Year1_LAC_4weeks_reviews_in_timescales)</f>
        <v/>
      </c>
      <c r="AG222" s="365" t="str">
        <f>IF(Year2_Buckinghamshire Year2_LAC_4weeks_reviews_in_timescales="","",Year2_Buckinghamshire Year2_LAC_4weeks_reviews_in_timescales)</f>
        <v/>
      </c>
      <c r="AH222" s="365" t="str">
        <f>IF(Year3_Buckinghamshire Year3_LAC_4weeks_reviews_in_timescales="","",Year3_Buckinghamshire Year3_LAC_4weeks_reviews_in_timescales)</f>
        <v/>
      </c>
      <c r="AI222" s="365" t="str">
        <f>IF(Year4_Buckinghamshire Year4_LAC_4weeks_reviews_in_timescales="","",Year4_Buckinghamshire Year4_LAC_4weeks_reviews_in_timescales)</f>
        <v/>
      </c>
      <c r="AJ222" s="552" t="str">
        <f>IF(Year5_Buckinghamshire Year5_LAC_4weeks_reviews_in_timescales="","",Year5_Buckinghamshire Year5_LAC_4weeks_reviews_in_timescales)</f>
        <v/>
      </c>
      <c r="AK222" s="156"/>
    </row>
    <row r="223" spans="1:46" s="89" customFormat="1" ht="12.75" hidden="1" customHeight="1" x14ac:dyDescent="0.2">
      <c r="A223" s="462">
        <f>VLOOKUP(B223,Sheet1!$AQ$4:$AR$25,2,FALSE)</f>
        <v>0</v>
      </c>
      <c r="B223" s="95" t="str">
        <f t="shared" si="76"/>
        <v>East Sussex</v>
      </c>
      <c r="C223" s="87"/>
      <c r="D223" s="158" t="e">
        <f t="shared" si="78"/>
        <v>#N/A</v>
      </c>
      <c r="E223" s="158" t="e">
        <f t="shared" si="78"/>
        <v>#N/A</v>
      </c>
      <c r="F223" s="158" t="e">
        <f t="shared" si="78"/>
        <v>#N/A</v>
      </c>
      <c r="G223" s="158" t="e">
        <f t="shared" si="79"/>
        <v>#N/A</v>
      </c>
      <c r="H223" s="160" t="e">
        <f t="shared" si="80"/>
        <v>#N/A</v>
      </c>
      <c r="I223" s="98"/>
      <c r="J223" s="98"/>
      <c r="K223" s="162"/>
      <c r="L223" s="162"/>
      <c r="M223" s="162"/>
      <c r="N223" s="162"/>
      <c r="O223" s="162"/>
      <c r="P223" s="162"/>
      <c r="Q223" s="162"/>
      <c r="R223" s="163"/>
      <c r="S223" s="155"/>
      <c r="T223" s="155"/>
      <c r="U223" s="162"/>
      <c r="V223" s="124"/>
      <c r="W223" s="140"/>
      <c r="X223" s="149"/>
      <c r="Y223" s="418" t="str">
        <f t="shared" si="81"/>
        <v>East Sussex</v>
      </c>
      <c r="Z223" s="463" t="str">
        <f>IF(Year1_East_Sussex Year1_LAC_4weeks="","",Year1_East_Sussex Year1_LAC_4weeks)</f>
        <v/>
      </c>
      <c r="AA223" s="365" t="str">
        <f>IF(Year2_East_Sussex Year2_LAC_4weeks="","",Year2_East_Sussex Year2_LAC_4weeks)</f>
        <v/>
      </c>
      <c r="AB223" s="365" t="str">
        <f>IF(Year3_East_Sussex Year3_LAC_4weeks="","",Year3_East_Sussex Year3_LAC_4weeks)</f>
        <v/>
      </c>
      <c r="AC223" s="365" t="str">
        <f>IF(Year4_East_Sussex Year4_LAC_4weeks="","",Year4_East_Sussex Year4_LAC_4weeks)</f>
        <v/>
      </c>
      <c r="AD223" s="552" t="str">
        <f>IF(Year5_East_Sussex Year5_LAC_4weeks="","",Year5_East_Sussex Year5_LAC_4weeks)</f>
        <v/>
      </c>
      <c r="AE223" s="418" t="str">
        <f t="shared" si="82"/>
        <v>East Sussex</v>
      </c>
      <c r="AF223" s="463" t="str">
        <f>IF(Year1_East_Sussex Year1_LAC_4weeks_reviews_in_timescales="","",Year1_East_Sussex Year1_LAC_4weeks_reviews_in_timescales)</f>
        <v/>
      </c>
      <c r="AG223" s="365" t="str">
        <f>IF(Year2_East_Sussex Year2_LAC_4weeks_reviews_in_timescales="","",Year2_East_Sussex Year2_LAC_4weeks_reviews_in_timescales)</f>
        <v/>
      </c>
      <c r="AH223" s="365" t="str">
        <f>IF(Year3_East_Sussex Year3_LAC_4weeks_reviews_in_timescales="","",Year3_East_Sussex Year3_LAC_4weeks_reviews_in_timescales)</f>
        <v/>
      </c>
      <c r="AI223" s="365" t="str">
        <f>IF(Year4_East_Sussex Year4_LAC_4weeks_reviews_in_timescales="","",Year4_East_Sussex Year4_LAC_4weeks_reviews_in_timescales)</f>
        <v/>
      </c>
      <c r="AJ223" s="552" t="str">
        <f>IF(Year5_East_Sussex Year5_LAC_4weeks_reviews_in_timescales="","",Year5_East_Sussex Year5_LAC_4weeks_reviews_in_timescales)</f>
        <v/>
      </c>
      <c r="AK223" s="156"/>
    </row>
    <row r="224" spans="1:46" s="89" customFormat="1" ht="12.75" hidden="1" customHeight="1" x14ac:dyDescent="0.2">
      <c r="A224" s="462">
        <f>VLOOKUP(B224,Sheet1!$AQ$4:$AR$25,2,FALSE)</f>
        <v>0</v>
      </c>
      <c r="B224" s="95" t="str">
        <f t="shared" si="76"/>
        <v>Hampshire</v>
      </c>
      <c r="C224" s="87"/>
      <c r="D224" s="158" t="e">
        <f t="shared" si="78"/>
        <v>#N/A</v>
      </c>
      <c r="E224" s="158" t="e">
        <f t="shared" si="78"/>
        <v>#N/A</v>
      </c>
      <c r="F224" s="158" t="e">
        <f t="shared" si="78"/>
        <v>#N/A</v>
      </c>
      <c r="G224" s="158" t="e">
        <f t="shared" si="79"/>
        <v>#N/A</v>
      </c>
      <c r="H224" s="160" t="e">
        <f t="shared" si="80"/>
        <v>#N/A</v>
      </c>
      <c r="I224" s="98"/>
      <c r="J224" s="98"/>
      <c r="K224" s="162"/>
      <c r="L224" s="162"/>
      <c r="M224" s="162"/>
      <c r="N224" s="162"/>
      <c r="O224" s="162"/>
      <c r="P224" s="162"/>
      <c r="Q224" s="162"/>
      <c r="R224" s="163"/>
      <c r="S224" s="155"/>
      <c r="T224" s="155"/>
      <c r="U224" s="162"/>
      <c r="V224" s="124"/>
      <c r="W224" s="140"/>
      <c r="X224" s="149"/>
      <c r="Y224" s="418" t="str">
        <f t="shared" si="81"/>
        <v>Hampshire</v>
      </c>
      <c r="Z224" s="463" t="str">
        <f>IF(Year1_Hampshire Year1_LAC_4weeks="","",Year1_Hampshire Year1_LAC_4weeks)</f>
        <v/>
      </c>
      <c r="AA224" s="365" t="str">
        <f>IF(Year2_Hampshire Year2_LAC_4weeks="","",Year2_Hampshire Year2_LAC_4weeks)</f>
        <v/>
      </c>
      <c r="AB224" s="365" t="str">
        <f>IF(Year3_Hampshire Year3_LAC_4weeks="","",Year3_Hampshire Year3_LAC_4weeks)</f>
        <v/>
      </c>
      <c r="AC224" s="365" t="str">
        <f>IF(Year4_Hampshire Year4_LAC_4weeks="","",Year4_Hampshire Year4_LAC_4weeks)</f>
        <v/>
      </c>
      <c r="AD224" s="552" t="str">
        <f>IF(Year5_Hampshire Year5_LAC_4weeks="","",Year5_Hampshire Year5_LAC_4weeks)</f>
        <v/>
      </c>
      <c r="AE224" s="418" t="str">
        <f t="shared" si="82"/>
        <v>Hampshire</v>
      </c>
      <c r="AF224" s="463" t="str">
        <f>IF(Year1_Hampshire Year1_LAC_4weeks_reviews_in_timescales="","",Year1_Hampshire Year1_LAC_4weeks_reviews_in_timescales)</f>
        <v/>
      </c>
      <c r="AG224" s="365" t="str">
        <f>IF(Year2_Hampshire Year2_LAC_4weeks_reviews_in_timescales="","",Year2_Hampshire Year2_LAC_4weeks_reviews_in_timescales)</f>
        <v/>
      </c>
      <c r="AH224" s="365" t="str">
        <f>IF(Year3_Hampshire Year3_LAC_4weeks_reviews_in_timescales="","",Year3_Hampshire Year3_LAC_4weeks_reviews_in_timescales)</f>
        <v/>
      </c>
      <c r="AI224" s="365" t="str">
        <f>IF(Year4_Hampshire Year4_LAC_4weeks_reviews_in_timescales="","",Year4_Hampshire Year4_LAC_4weeks_reviews_in_timescales)</f>
        <v/>
      </c>
      <c r="AJ224" s="552" t="str">
        <f>IF(Year5_Hampshire Year5_LAC_4weeks_reviews_in_timescales="","",Year5_Hampshire Year5_LAC_4weeks_reviews_in_timescales)</f>
        <v/>
      </c>
      <c r="AK224" s="156"/>
    </row>
    <row r="225" spans="1:45" s="89" customFormat="1" ht="12.75" hidden="1" customHeight="1" x14ac:dyDescent="0.2">
      <c r="A225" s="462">
        <f>VLOOKUP(B225,Sheet1!$AQ$4:$AR$25,2,FALSE)</f>
        <v>0</v>
      </c>
      <c r="B225" s="95" t="str">
        <f t="shared" si="76"/>
        <v>Isle of Wight</v>
      </c>
      <c r="C225" s="87"/>
      <c r="D225" s="158" t="e">
        <f t="shared" si="78"/>
        <v>#N/A</v>
      </c>
      <c r="E225" s="158" t="e">
        <f t="shared" si="78"/>
        <v>#N/A</v>
      </c>
      <c r="F225" s="158" t="e">
        <f t="shared" si="78"/>
        <v>#N/A</v>
      </c>
      <c r="G225" s="158" t="e">
        <f t="shared" si="79"/>
        <v>#N/A</v>
      </c>
      <c r="H225" s="160" t="e">
        <f t="shared" si="80"/>
        <v>#N/A</v>
      </c>
      <c r="I225" s="98"/>
      <c r="J225" s="98"/>
      <c r="K225" s="162"/>
      <c r="L225" s="162"/>
      <c r="M225" s="162"/>
      <c r="N225" s="162"/>
      <c r="O225" s="162"/>
      <c r="P225" s="162"/>
      <c r="Q225" s="162"/>
      <c r="R225" s="163"/>
      <c r="S225" s="155"/>
      <c r="T225" s="155"/>
      <c r="U225" s="162"/>
      <c r="V225" s="124"/>
      <c r="W225" s="140"/>
      <c r="X225" s="149"/>
      <c r="Y225" s="418" t="str">
        <f t="shared" si="81"/>
        <v>Isle of Wight</v>
      </c>
      <c r="Z225" s="463" t="str">
        <f>IF(Year1_Isle_of_Wight Year1_LAC_4weeks="","",Year1_Isle_of_Wight Year1_LAC_4weeks)</f>
        <v/>
      </c>
      <c r="AA225" s="365" t="str">
        <f>IF(Year2_Isle_of_Wight Year2_LAC_4weeks="","",Year2_Isle_of_Wight Year2_LAC_4weeks)</f>
        <v/>
      </c>
      <c r="AB225" s="365" t="str">
        <f>IF(Year3_Isle_of_Wight Year3_LAC_4weeks="","",Year3_Isle_of_Wight Year3_LAC_4weeks)</f>
        <v/>
      </c>
      <c r="AC225" s="365" t="str">
        <f>IF(Year4_Isle_of_Wight Year4_LAC_4weeks="","",Year4_Isle_of_Wight Year4_LAC_4weeks)</f>
        <v/>
      </c>
      <c r="AD225" s="552" t="str">
        <f>IF(Year5_Isle_of_Wight Year5_LAC_4weeks="","",Year5_Isle_of_Wight Year5_LAC_4weeks)</f>
        <v/>
      </c>
      <c r="AE225" s="418" t="str">
        <f t="shared" si="82"/>
        <v>Isle of Wight</v>
      </c>
      <c r="AF225" s="463" t="str">
        <f>IF(Year1_Isle_of_Wight Year1_LAC_4weeks_reviews_in_timescales="","",Year1_Isle_of_Wight Year1_LAC_4weeks_reviews_in_timescales)</f>
        <v/>
      </c>
      <c r="AG225" s="365" t="str">
        <f>IF(Year2_Isle_of_Wight Year2_LAC_4weeks_reviews_in_timescales="","",Year2_Isle_of_Wight Year2_LAC_4weeks_reviews_in_timescales)</f>
        <v/>
      </c>
      <c r="AH225" s="365" t="str">
        <f>IF(Year3_Isle_of_Wight Year3_LAC_4weeks_reviews_in_timescales="","",Year3_Isle_of_Wight Year3_LAC_4weeks_reviews_in_timescales)</f>
        <v/>
      </c>
      <c r="AI225" s="365" t="str">
        <f>IF(Year4_Isle_of_Wight Year4_LAC_4weeks_reviews_in_timescales="","",Year4_Isle_of_Wight Year4_LAC_4weeks_reviews_in_timescales)</f>
        <v/>
      </c>
      <c r="AJ225" s="552" t="str">
        <f>IF(Year5_Isle_of_Wight Year5_LAC_4weeks_reviews_in_timescales="","",Year5_Isle_of_Wight Year5_LAC_4weeks_reviews_in_timescales)</f>
        <v/>
      </c>
      <c r="AK225" s="156"/>
      <c r="AS225" s="89" t="s">
        <v>103</v>
      </c>
    </row>
    <row r="226" spans="1:45" s="89" customFormat="1" ht="12.75" hidden="1" customHeight="1" x14ac:dyDescent="0.2">
      <c r="A226" s="462">
        <f>VLOOKUP(B226,Sheet1!$AQ$4:$AR$25,2,FALSE)</f>
        <v>0</v>
      </c>
      <c r="B226" s="95" t="str">
        <f t="shared" si="76"/>
        <v>Kent</v>
      </c>
      <c r="C226" s="87"/>
      <c r="D226" s="158" t="e">
        <f t="shared" si="78"/>
        <v>#N/A</v>
      </c>
      <c r="E226" s="158" t="e">
        <f t="shared" si="78"/>
        <v>#N/A</v>
      </c>
      <c r="F226" s="158" t="e">
        <f t="shared" si="78"/>
        <v>#N/A</v>
      </c>
      <c r="G226" s="158" t="e">
        <f t="shared" si="79"/>
        <v>#N/A</v>
      </c>
      <c r="H226" s="160" t="e">
        <f t="shared" si="80"/>
        <v>#N/A</v>
      </c>
      <c r="I226" s="98"/>
      <c r="J226" s="98"/>
      <c r="K226" s="162"/>
      <c r="L226" s="162"/>
      <c r="M226" s="162"/>
      <c r="N226" s="162"/>
      <c r="O226" s="162"/>
      <c r="P226" s="162"/>
      <c r="Q226" s="162"/>
      <c r="R226" s="163"/>
      <c r="S226" s="155"/>
      <c r="T226" s="155"/>
      <c r="U226" s="162"/>
      <c r="V226" s="124"/>
      <c r="W226" s="140"/>
      <c r="X226" s="149"/>
      <c r="Y226" s="418" t="str">
        <f t="shared" si="81"/>
        <v>Kent</v>
      </c>
      <c r="Z226" s="463" t="str">
        <f>IF(Year1_Kent Year1_LAC_4weeks="","",Year1_Kent Year1_LAC_4weeks)</f>
        <v/>
      </c>
      <c r="AA226" s="365" t="str">
        <f>IF(Year2_Kent Year2_LAC_4weeks="","",Year2_Kent Year2_LAC_4weeks)</f>
        <v/>
      </c>
      <c r="AB226" s="365" t="str">
        <f>IF(Year3_Kent Year3_LAC_4weeks="","",Year3_Kent Year3_LAC_4weeks)</f>
        <v/>
      </c>
      <c r="AC226" s="365" t="str">
        <f>IF(Year4_Kent Year4_LAC_4weeks="","",Year4_Kent Year4_LAC_4weeks)</f>
        <v/>
      </c>
      <c r="AD226" s="552" t="str">
        <f>IF(Year5_Kent Year5_LAC_4weeks="","",Year5_Kent Year5_LAC_4weeks)</f>
        <v/>
      </c>
      <c r="AE226" s="418" t="str">
        <f t="shared" si="82"/>
        <v>Kent</v>
      </c>
      <c r="AF226" s="463" t="str">
        <f>IF(Year1_Kent Year1_LAC_4weeks_reviews_in_timescales="","",Year1_Kent Year1_LAC_4weeks_reviews_in_timescales)</f>
        <v/>
      </c>
      <c r="AG226" s="365" t="str">
        <f>IF(Year2_Kent Year2_LAC_4weeks_reviews_in_timescales="","",Year2_Kent Year2_LAC_4weeks_reviews_in_timescales)</f>
        <v/>
      </c>
      <c r="AH226" s="365" t="str">
        <f>IF(Year3_Kent Year3_LAC_4weeks_reviews_in_timescales="","",Year3_Kent Year3_LAC_4weeks_reviews_in_timescales)</f>
        <v/>
      </c>
      <c r="AI226" s="365" t="str">
        <f>IF(Year4_Kent Year4_LAC_4weeks_reviews_in_timescales="","",Year4_Kent Year4_LAC_4weeks_reviews_in_timescales)</f>
        <v/>
      </c>
      <c r="AJ226" s="552" t="str">
        <f>IF(Year5_Kent Year5_LAC_4weeks_reviews_in_timescales="","",Year5_Kent Year5_LAC_4weeks_reviews_in_timescales)</f>
        <v/>
      </c>
      <c r="AK226" s="156"/>
    </row>
    <row r="227" spans="1:45" s="89" customFormat="1" ht="12.75" hidden="1" customHeight="1" x14ac:dyDescent="0.2">
      <c r="A227" s="462">
        <f>VLOOKUP(B227,Sheet1!$AQ$4:$AR$25,2,FALSE)</f>
        <v>0</v>
      </c>
      <c r="B227" s="95" t="str">
        <f t="shared" si="76"/>
        <v>Medway</v>
      </c>
      <c r="C227" s="87"/>
      <c r="D227" s="158" t="e">
        <f t="shared" si="78"/>
        <v>#N/A</v>
      </c>
      <c r="E227" s="158" t="e">
        <f t="shared" si="78"/>
        <v>#N/A</v>
      </c>
      <c r="F227" s="158" t="e">
        <f t="shared" si="78"/>
        <v>#N/A</v>
      </c>
      <c r="G227" s="158" t="e">
        <f t="shared" si="79"/>
        <v>#N/A</v>
      </c>
      <c r="H227" s="160" t="e">
        <f t="shared" si="80"/>
        <v>#N/A</v>
      </c>
      <c r="I227" s="98"/>
      <c r="J227" s="98"/>
      <c r="K227" s="162"/>
      <c r="L227" s="162"/>
      <c r="M227" s="162"/>
      <c r="N227" s="162"/>
      <c r="O227" s="162"/>
      <c r="P227" s="162"/>
      <c r="Q227" s="162"/>
      <c r="R227" s="163"/>
      <c r="S227" s="155"/>
      <c r="T227" s="155"/>
      <c r="U227" s="162"/>
      <c r="V227" s="124"/>
      <c r="W227" s="140"/>
      <c r="X227" s="149"/>
      <c r="Y227" s="418" t="str">
        <f t="shared" si="81"/>
        <v>Medway</v>
      </c>
      <c r="Z227" s="463" t="str">
        <f>IF(Year1_Medway Year1_LAC_4weeks="","",Year1_Medway Year1_LAC_4weeks)</f>
        <v/>
      </c>
      <c r="AA227" s="365" t="str">
        <f>IF(Year2_Medway Year2_LAC_4weeks="","",Year2_Medway Year2_LAC_4weeks)</f>
        <v/>
      </c>
      <c r="AB227" s="365" t="str">
        <f>IF(Year3_Medway Year3_LAC_4weeks="","",Year3_Medway Year3_LAC_4weeks)</f>
        <v/>
      </c>
      <c r="AC227" s="365" t="str">
        <f>IF(Year4_Medway Year4_LAC_4weeks="","",Year4_Medway Year4_LAC_4weeks)</f>
        <v/>
      </c>
      <c r="AD227" s="552" t="str">
        <f>IF(Year5_Medway Year5_LAC_4weeks="","",Year5_Medway Year5_LAC_4weeks)</f>
        <v/>
      </c>
      <c r="AE227" s="418" t="str">
        <f t="shared" si="82"/>
        <v>Medway</v>
      </c>
      <c r="AF227" s="463" t="str">
        <f>IF(Year1_Medway Year1_LAC_4weeks_reviews_in_timescales="","",Year1_Medway Year1_LAC_4weeks_reviews_in_timescales)</f>
        <v/>
      </c>
      <c r="AG227" s="365" t="str">
        <f>IF(Year2_Medway Year2_LAC_4weeks_reviews_in_timescales="","",Year2_Medway Year2_LAC_4weeks_reviews_in_timescales)</f>
        <v/>
      </c>
      <c r="AH227" s="365" t="str">
        <f>IF(Year3_Medway Year3_LAC_4weeks_reviews_in_timescales="","",Year3_Medway Year3_LAC_4weeks_reviews_in_timescales)</f>
        <v/>
      </c>
      <c r="AI227" s="365" t="str">
        <f>IF(Year4_Medway Year4_LAC_4weeks_reviews_in_timescales="","",Year4_Medway Year4_LAC_4weeks_reviews_in_timescales)</f>
        <v/>
      </c>
      <c r="AJ227" s="552" t="str">
        <f>IF(Year5_Medway Year5_LAC_4weeks_reviews_in_timescales="","",Year5_Medway Year5_LAC_4weeks_reviews_in_timescales)</f>
        <v/>
      </c>
      <c r="AK227" s="156"/>
    </row>
    <row r="228" spans="1:45" s="89" customFormat="1" ht="12.75" hidden="1" customHeight="1" x14ac:dyDescent="0.2">
      <c r="A228" s="462">
        <f>VLOOKUP(B228,Sheet1!$AQ$4:$AR$25,2,FALSE)</f>
        <v>0</v>
      </c>
      <c r="B228" s="95" t="str">
        <f t="shared" si="76"/>
        <v>Milton Keynes</v>
      </c>
      <c r="C228" s="87"/>
      <c r="D228" s="158" t="e">
        <f t="shared" si="78"/>
        <v>#N/A</v>
      </c>
      <c r="E228" s="158" t="e">
        <f t="shared" si="78"/>
        <v>#N/A</v>
      </c>
      <c r="F228" s="158" t="e">
        <f t="shared" si="78"/>
        <v>#N/A</v>
      </c>
      <c r="G228" s="158" t="e">
        <f t="shared" si="79"/>
        <v>#N/A</v>
      </c>
      <c r="H228" s="160" t="e">
        <f t="shared" si="80"/>
        <v>#N/A</v>
      </c>
      <c r="I228" s="98"/>
      <c r="J228" s="98"/>
      <c r="K228" s="162"/>
      <c r="L228" s="162"/>
      <c r="M228" s="162"/>
      <c r="N228" s="162"/>
      <c r="O228" s="162"/>
      <c r="P228" s="162"/>
      <c r="Q228" s="162"/>
      <c r="R228" s="163"/>
      <c r="S228" s="155"/>
      <c r="T228" s="155"/>
      <c r="U228" s="162"/>
      <c r="V228" s="124"/>
      <c r="W228" s="140"/>
      <c r="X228" s="149"/>
      <c r="Y228" s="418" t="str">
        <f t="shared" si="81"/>
        <v>Milton Keynes</v>
      </c>
      <c r="Z228" s="463" t="str">
        <f>IF(Year1_Milton_Keynes Year1_LAC_4weeks="","",Year1_Milton_Keynes Year1_LAC_4weeks)</f>
        <v/>
      </c>
      <c r="AA228" s="365" t="str">
        <f>IF(Year2_Milton_Keynes Year2_LAC_4weeks="","",Year2_Milton_Keynes Year2_LAC_4weeks)</f>
        <v/>
      </c>
      <c r="AB228" s="365" t="str">
        <f>IF(Year3_Milton_Keynes Year3_LAC_4weeks="","",Year3_Milton_Keynes Year3_LAC_4weeks)</f>
        <v/>
      </c>
      <c r="AC228" s="365" t="str">
        <f>IF(Year4_Milton_Keynes Year4_LAC_4weeks="","",Year4_Milton_Keynes Year4_LAC_4weeks)</f>
        <v/>
      </c>
      <c r="AD228" s="552" t="str">
        <f>IF(Year5_Milton_Keynes Year5_LAC_4weeks="","",Year5_Milton_Keynes Year5_LAC_4weeks)</f>
        <v/>
      </c>
      <c r="AE228" s="418" t="str">
        <f t="shared" si="82"/>
        <v>Milton Keynes</v>
      </c>
      <c r="AF228" s="463" t="str">
        <f>IF(Year1_Milton_Keynes Year1_LAC_4weeks_reviews_in_timescales="","",Year1_Milton_Keynes Year1_LAC_4weeks_reviews_in_timescales)</f>
        <v/>
      </c>
      <c r="AG228" s="365" t="str">
        <f>IF(Year2_Milton_Keynes Year2_LAC_4weeks_reviews_in_timescales="","",Year2_Milton_Keynes Year2_LAC_4weeks_reviews_in_timescales)</f>
        <v/>
      </c>
      <c r="AH228" s="365" t="str">
        <f>IF(Year3_Milton_Keynes Year3_LAC_4weeks_reviews_in_timescales="","",Year3_Milton_Keynes Year3_LAC_4weeks_reviews_in_timescales)</f>
        <v/>
      </c>
      <c r="AI228" s="365" t="str">
        <f>IF(Year4_Milton_Keynes Year4_LAC_4weeks_reviews_in_timescales="","",Year4_Milton_Keynes Year4_LAC_4weeks_reviews_in_timescales)</f>
        <v/>
      </c>
      <c r="AJ228" s="552" t="str">
        <f>IF(Year5_Milton_Keynes Year5_LAC_4weeks_reviews_in_timescales="","",Year5_Milton_Keynes Year5_LAC_4weeks_reviews_in_timescales)</f>
        <v/>
      </c>
      <c r="AK228" s="156"/>
    </row>
    <row r="229" spans="1:45" s="89" customFormat="1" ht="12.75" hidden="1" customHeight="1" x14ac:dyDescent="0.2">
      <c r="A229" s="462">
        <f>VLOOKUP(B229,Sheet1!$AQ$4:$AR$25,2,FALSE)</f>
        <v>0</v>
      </c>
      <c r="B229" s="95" t="str">
        <f t="shared" si="76"/>
        <v>Oxfordshire</v>
      </c>
      <c r="C229" s="87"/>
      <c r="D229" s="158" t="e">
        <f t="shared" si="78"/>
        <v>#N/A</v>
      </c>
      <c r="E229" s="158" t="e">
        <f t="shared" si="78"/>
        <v>#N/A</v>
      </c>
      <c r="F229" s="158" t="e">
        <f t="shared" si="78"/>
        <v>#N/A</v>
      </c>
      <c r="G229" s="158" t="e">
        <f t="shared" si="79"/>
        <v>#N/A</v>
      </c>
      <c r="H229" s="160" t="e">
        <f t="shared" si="80"/>
        <v>#N/A</v>
      </c>
      <c r="I229" s="98"/>
      <c r="J229" s="98"/>
      <c r="K229" s="162"/>
      <c r="L229" s="162"/>
      <c r="M229" s="162"/>
      <c r="N229" s="162"/>
      <c r="O229" s="162"/>
      <c r="P229" s="162"/>
      <c r="Q229" s="162"/>
      <c r="R229" s="163"/>
      <c r="S229" s="155"/>
      <c r="T229" s="155"/>
      <c r="U229" s="162"/>
      <c r="V229" s="124"/>
      <c r="W229" s="140"/>
      <c r="X229" s="149"/>
      <c r="Y229" s="418" t="str">
        <f t="shared" si="81"/>
        <v>Oxfordshire</v>
      </c>
      <c r="Z229" s="463" t="str">
        <f>IF(Year1_Oxfordshire Year1_LAC_4weeks="","",Year1_Oxfordshire Year1_LAC_4weeks)</f>
        <v/>
      </c>
      <c r="AA229" s="365" t="str">
        <f>IF(Year2_Oxfordshire Year2_LAC_4weeks="","",Year2_Oxfordshire Year2_LAC_4weeks)</f>
        <v/>
      </c>
      <c r="AB229" s="365" t="str">
        <f>IF(Year3_Oxfordshire Year3_LAC_4weeks="","",Year3_Oxfordshire Year3_LAC_4weeks)</f>
        <v/>
      </c>
      <c r="AC229" s="365" t="str">
        <f>IF(Year4_Oxfordshire Year4_LAC_4weeks="","",Year4_Oxfordshire Year4_LAC_4weeks)</f>
        <v/>
      </c>
      <c r="AD229" s="552" t="str">
        <f>IF(Year5_Oxfordshire Year5_LAC_4weeks="","",Year5_Oxfordshire Year5_LAC_4weeks)</f>
        <v/>
      </c>
      <c r="AE229" s="418" t="str">
        <f t="shared" si="82"/>
        <v>Oxfordshire</v>
      </c>
      <c r="AF229" s="463" t="str">
        <f>IF(Year1_Oxfordshire Year1_LAC_4weeks_reviews_in_timescales="","",Year1_Oxfordshire Year1_LAC_4weeks_reviews_in_timescales)</f>
        <v/>
      </c>
      <c r="AG229" s="365" t="str">
        <f>IF(Year2_Oxfordshire Year2_LAC_4weeks_reviews_in_timescales="","",Year2_Oxfordshire Year2_LAC_4weeks_reviews_in_timescales)</f>
        <v/>
      </c>
      <c r="AH229" s="365" t="str">
        <f>IF(Year3_Oxfordshire Year3_LAC_4weeks_reviews_in_timescales="","",Year3_Oxfordshire Year3_LAC_4weeks_reviews_in_timescales)</f>
        <v/>
      </c>
      <c r="AI229" s="365" t="str">
        <f>IF(Year4_Oxfordshire Year4_LAC_4weeks_reviews_in_timescales="","",Year4_Oxfordshire Year4_LAC_4weeks_reviews_in_timescales)</f>
        <v/>
      </c>
      <c r="AJ229" s="552" t="str">
        <f>IF(Year5_Oxfordshire Year5_LAC_4weeks_reviews_in_timescales="","",Year5_Oxfordshire Year5_LAC_4weeks_reviews_in_timescales)</f>
        <v/>
      </c>
      <c r="AK229" s="156"/>
    </row>
    <row r="230" spans="1:45" s="89" customFormat="1" ht="12.75" hidden="1" customHeight="1" x14ac:dyDescent="0.2">
      <c r="A230" s="462">
        <f>VLOOKUP(B230,Sheet1!$AQ$4:$AR$25,2,FALSE)</f>
        <v>0</v>
      </c>
      <c r="B230" s="95" t="str">
        <f t="shared" si="76"/>
        <v>Portsmouth</v>
      </c>
      <c r="C230" s="87"/>
      <c r="D230" s="158" t="e">
        <f t="shared" si="78"/>
        <v>#N/A</v>
      </c>
      <c r="E230" s="158" t="e">
        <f t="shared" si="78"/>
        <v>#N/A</v>
      </c>
      <c r="F230" s="158" t="e">
        <f t="shared" si="78"/>
        <v>#N/A</v>
      </c>
      <c r="G230" s="158" t="e">
        <f t="shared" si="79"/>
        <v>#N/A</v>
      </c>
      <c r="H230" s="160" t="e">
        <f t="shared" si="80"/>
        <v>#N/A</v>
      </c>
      <c r="I230" s="98"/>
      <c r="J230" s="98"/>
      <c r="K230" s="162"/>
      <c r="L230" s="162"/>
      <c r="M230" s="162"/>
      <c r="N230" s="162"/>
      <c r="O230" s="162"/>
      <c r="P230" s="162"/>
      <c r="Q230" s="162"/>
      <c r="R230" s="163"/>
      <c r="S230" s="155"/>
      <c r="T230" s="155"/>
      <c r="U230" s="162"/>
      <c r="V230" s="124"/>
      <c r="W230" s="140"/>
      <c r="X230" s="149"/>
      <c r="Y230" s="418" t="str">
        <f t="shared" si="81"/>
        <v>Portsmouth</v>
      </c>
      <c r="Z230" s="463" t="str">
        <f>IF(Year1_Portsmouth Year1_LAC_4weeks="","",Year1_Portsmouth Year1_LAC_4weeks)</f>
        <v/>
      </c>
      <c r="AA230" s="365" t="str">
        <f>IF(Year2_Portsmouth Year2_LAC_4weeks="","",Year2_Portsmouth Year2_LAC_4weeks)</f>
        <v/>
      </c>
      <c r="AB230" s="365" t="str">
        <f>IF(Year3_Portsmouth Year3_LAC_4weeks="","",Year3_Portsmouth Year3_LAC_4weeks)</f>
        <v/>
      </c>
      <c r="AC230" s="365" t="str">
        <f>IF(Year4_Portsmouth Year4_LAC_4weeks="","",Year4_Portsmouth Year4_LAC_4weeks)</f>
        <v/>
      </c>
      <c r="AD230" s="552" t="str">
        <f>IF(Year5_Portsmouth Year5_LAC_4weeks="","",Year5_Portsmouth Year5_LAC_4weeks)</f>
        <v/>
      </c>
      <c r="AE230" s="418" t="str">
        <f t="shared" si="82"/>
        <v>Portsmouth</v>
      </c>
      <c r="AF230" s="463" t="str">
        <f>IF(Year1_Portsmouth Year1_LAC_4weeks_reviews_in_timescales="","",Year1_Portsmouth Year1_LAC_4weeks_reviews_in_timescales)</f>
        <v/>
      </c>
      <c r="AG230" s="365" t="str">
        <f>IF(Year2_Portsmouth Year2_LAC_4weeks_reviews_in_timescales="","",Year2_Portsmouth Year2_LAC_4weeks_reviews_in_timescales)</f>
        <v/>
      </c>
      <c r="AH230" s="365" t="str">
        <f>IF(Year3_Portsmouth Year3_LAC_4weeks_reviews_in_timescales="","",Year3_Portsmouth Year3_LAC_4weeks_reviews_in_timescales)</f>
        <v/>
      </c>
      <c r="AI230" s="365" t="str">
        <f>IF(Year4_Portsmouth Year4_LAC_4weeks_reviews_in_timescales="","",Year4_Portsmouth Year4_LAC_4weeks_reviews_in_timescales)</f>
        <v/>
      </c>
      <c r="AJ230" s="552" t="str">
        <f>IF(Year5_Portsmouth Year5_LAC_4weeks_reviews_in_timescales="","",Year5_Portsmouth Year5_LAC_4weeks_reviews_in_timescales)</f>
        <v/>
      </c>
      <c r="AK230" s="156"/>
    </row>
    <row r="231" spans="1:45" s="89" customFormat="1" ht="12.75" hidden="1" customHeight="1" x14ac:dyDescent="0.2">
      <c r="A231" s="462">
        <f>VLOOKUP(B231,Sheet1!$AQ$4:$AR$25,2,FALSE)</f>
        <v>0</v>
      </c>
      <c r="B231" s="95" t="str">
        <f t="shared" si="76"/>
        <v>Reading</v>
      </c>
      <c r="C231" s="87"/>
      <c r="D231" s="158" t="e">
        <f t="shared" si="78"/>
        <v>#N/A</v>
      </c>
      <c r="E231" s="158" t="e">
        <f t="shared" si="78"/>
        <v>#N/A</v>
      </c>
      <c r="F231" s="158" t="e">
        <f t="shared" si="78"/>
        <v>#N/A</v>
      </c>
      <c r="G231" s="158" t="e">
        <f t="shared" si="79"/>
        <v>#N/A</v>
      </c>
      <c r="H231" s="160" t="e">
        <f t="shared" si="80"/>
        <v>#N/A</v>
      </c>
      <c r="I231" s="98"/>
      <c r="J231" s="98"/>
      <c r="K231" s="162"/>
      <c r="L231" s="162"/>
      <c r="M231" s="162"/>
      <c r="N231" s="162"/>
      <c r="O231" s="162"/>
      <c r="P231" s="162"/>
      <c r="Q231" s="162"/>
      <c r="R231" s="163"/>
      <c r="S231" s="155"/>
      <c r="T231" s="155"/>
      <c r="U231" s="162"/>
      <c r="V231" s="124"/>
      <c r="W231" s="140"/>
      <c r="X231" s="149"/>
      <c r="Y231" s="418" t="str">
        <f t="shared" si="81"/>
        <v>Reading</v>
      </c>
      <c r="Z231" s="463" t="str">
        <f>IF(Year1_Reading Year1_LAC_4weeks="","",Year1_Reading Year1_LAC_4weeks)</f>
        <v/>
      </c>
      <c r="AA231" s="365" t="str">
        <f>IF(Year2_Reading Year2_LAC_4weeks="","",Year2_Reading Year2_LAC_4weeks)</f>
        <v/>
      </c>
      <c r="AB231" s="365" t="str">
        <f>IF(Year3_Reading Year3_LAC_4weeks="","",Year3_Reading Year3_LAC_4weeks)</f>
        <v/>
      </c>
      <c r="AC231" s="365" t="str">
        <f>IF(Year4_Reading Year4_LAC_4weeks="","",Year4_Reading Year4_LAC_4weeks)</f>
        <v/>
      </c>
      <c r="AD231" s="552" t="str">
        <f>IF(Year5_Reading Year5_LAC_4weeks="","",Year5_Reading Year5_LAC_4weeks)</f>
        <v/>
      </c>
      <c r="AE231" s="418" t="str">
        <f t="shared" si="82"/>
        <v>Reading</v>
      </c>
      <c r="AF231" s="463" t="str">
        <f>IF(Year1_Reading Year1_LAC_4weeks_reviews_in_timescales="","",Year1_Reading Year1_LAC_4weeks_reviews_in_timescales)</f>
        <v/>
      </c>
      <c r="AG231" s="365" t="str">
        <f>IF(Year2_Reading Year2_LAC_4weeks_reviews_in_timescales="","",Year2_Reading Year2_LAC_4weeks_reviews_in_timescales)</f>
        <v/>
      </c>
      <c r="AH231" s="365" t="str">
        <f>IF(Year3_Reading Year3_LAC_4weeks_reviews_in_timescales="","",Year3_Reading Year3_LAC_4weeks_reviews_in_timescales)</f>
        <v/>
      </c>
      <c r="AI231" s="365" t="str">
        <f>IF(Year4_Reading Year4_LAC_4weeks_reviews_in_timescales="","",Year4_Reading Year4_LAC_4weeks_reviews_in_timescales)</f>
        <v/>
      </c>
      <c r="AJ231" s="552" t="str">
        <f>IF(Year5_Reading Year5_LAC_4weeks_reviews_in_timescales="","",Year5_Reading Year5_LAC_4weeks_reviews_in_timescales)</f>
        <v/>
      </c>
      <c r="AK231" s="156"/>
    </row>
    <row r="232" spans="1:45" s="89" customFormat="1" ht="12.75" hidden="1" customHeight="1" x14ac:dyDescent="0.2">
      <c r="A232" s="462">
        <f>VLOOKUP(B232,Sheet1!$AQ$4:$AR$25,2,FALSE)</f>
        <v>0</v>
      </c>
      <c r="B232" s="95" t="str">
        <f t="shared" si="76"/>
        <v>Slough</v>
      </c>
      <c r="C232" s="87"/>
      <c r="D232" s="158" t="e">
        <f t="shared" si="78"/>
        <v>#N/A</v>
      </c>
      <c r="E232" s="158" t="e">
        <f t="shared" si="78"/>
        <v>#N/A</v>
      </c>
      <c r="F232" s="158" t="e">
        <f t="shared" si="78"/>
        <v>#N/A</v>
      </c>
      <c r="G232" s="158" t="e">
        <f t="shared" si="79"/>
        <v>#N/A</v>
      </c>
      <c r="H232" s="160" t="e">
        <f t="shared" si="80"/>
        <v>#N/A</v>
      </c>
      <c r="I232" s="98"/>
      <c r="J232" s="98"/>
      <c r="K232" s="162"/>
      <c r="L232" s="162"/>
      <c r="M232" s="162"/>
      <c r="N232" s="162"/>
      <c r="O232" s="162"/>
      <c r="P232" s="162"/>
      <c r="Q232" s="162"/>
      <c r="R232" s="163"/>
      <c r="S232" s="155"/>
      <c r="T232" s="155"/>
      <c r="U232" s="162"/>
      <c r="V232" s="124"/>
      <c r="W232" s="140"/>
      <c r="X232" s="149"/>
      <c r="Y232" s="418" t="str">
        <f t="shared" si="81"/>
        <v>Slough</v>
      </c>
      <c r="Z232" s="463" t="str">
        <f>IF(Year1_Slough Year1_LAC_4weeks="","",Year1_Slough Year1_LAC_4weeks)</f>
        <v/>
      </c>
      <c r="AA232" s="365" t="str">
        <f>IF(Year2_Slough Year2_LAC_4weeks="","",Year2_Slough Year2_LAC_4weeks)</f>
        <v/>
      </c>
      <c r="AB232" s="365" t="str">
        <f>IF(Year3_Slough Year3_LAC_4weeks="","",Year3_Slough Year3_LAC_4weeks)</f>
        <v/>
      </c>
      <c r="AC232" s="365" t="str">
        <f>IF(Year4_Slough Year4_LAC_4weeks="","",Year4_Slough Year4_LAC_4weeks)</f>
        <v/>
      </c>
      <c r="AD232" s="552" t="str">
        <f>IF(Year5_Slough Year5_LAC_4weeks="","",Year5_Slough Year5_LAC_4weeks)</f>
        <v/>
      </c>
      <c r="AE232" s="418" t="str">
        <f t="shared" si="82"/>
        <v>Slough</v>
      </c>
      <c r="AF232" s="463" t="str">
        <f>IF(Year1_Slough Year1_LAC_4weeks_reviews_in_timescales="","",Year1_Slough Year1_LAC_4weeks_reviews_in_timescales)</f>
        <v/>
      </c>
      <c r="AG232" s="365" t="str">
        <f>IF(Year2_Slough Year2_LAC_4weeks_reviews_in_timescales="","",Year2_Slough Year2_LAC_4weeks_reviews_in_timescales)</f>
        <v/>
      </c>
      <c r="AH232" s="365" t="str">
        <f>IF(Year3_Slough Year3_LAC_4weeks_reviews_in_timescales="","",Year3_Slough Year3_LAC_4weeks_reviews_in_timescales)</f>
        <v/>
      </c>
      <c r="AI232" s="365" t="str">
        <f>IF(Year4_Slough Year4_LAC_4weeks_reviews_in_timescales="","",Year4_Slough Year4_LAC_4weeks_reviews_in_timescales)</f>
        <v/>
      </c>
      <c r="AJ232" s="552" t="str">
        <f>IF(Year5_Slough Year5_LAC_4weeks_reviews_in_timescales="","",Year5_Slough Year5_LAC_4weeks_reviews_in_timescales)</f>
        <v/>
      </c>
      <c r="AK232" s="156"/>
    </row>
    <row r="233" spans="1:45" s="89" customFormat="1" ht="12.75" hidden="1" customHeight="1" x14ac:dyDescent="0.2">
      <c r="A233" s="462">
        <f>VLOOKUP(B233,Sheet1!$AQ$4:$AR$25,2,FALSE)</f>
        <v>0</v>
      </c>
      <c r="B233" s="95" t="str">
        <f t="shared" si="76"/>
        <v>Somerset</v>
      </c>
      <c r="C233" s="87"/>
      <c r="D233" s="158" t="e">
        <f t="shared" si="78"/>
        <v>#N/A</v>
      </c>
      <c r="E233" s="158" t="e">
        <f t="shared" si="78"/>
        <v>#N/A</v>
      </c>
      <c r="F233" s="158" t="e">
        <f t="shared" si="78"/>
        <v>#N/A</v>
      </c>
      <c r="G233" s="158" t="e">
        <f t="shared" si="79"/>
        <v>#N/A</v>
      </c>
      <c r="H233" s="160" t="e">
        <f t="shared" si="80"/>
        <v>#N/A</v>
      </c>
      <c r="I233" s="98"/>
      <c r="J233" s="98"/>
      <c r="K233" s="162"/>
      <c r="L233" s="162"/>
      <c r="M233" s="162"/>
      <c r="N233" s="162"/>
      <c r="O233" s="162"/>
      <c r="P233" s="162"/>
      <c r="Q233" s="162"/>
      <c r="R233" s="163"/>
      <c r="S233" s="155"/>
      <c r="T233" s="155"/>
      <c r="U233" s="162"/>
      <c r="V233" s="124"/>
      <c r="W233" s="140"/>
      <c r="X233" s="149"/>
      <c r="Y233" s="418" t="str">
        <f t="shared" si="81"/>
        <v>Somerset</v>
      </c>
      <c r="Z233" s="463" t="str">
        <f>IF(Year1_Somerset Year1_LAC_4weeks="","",Year1_Somerset Year1_LAC_4weeks)</f>
        <v/>
      </c>
      <c r="AA233" s="365" t="str">
        <f>IF(Year2_Somerset Year2_LAC_4weeks="","",Year2_Somerset Year2_LAC_4weeks)</f>
        <v/>
      </c>
      <c r="AB233" s="365" t="str">
        <f>IF(Year3_Somerset Year3_LAC_4weeks="","",Year3_Somerset Year3_LAC_4weeks)</f>
        <v/>
      </c>
      <c r="AC233" s="365" t="str">
        <f>IF(Year4_Somerset Year4_LAC_4weeks="","",Year4_Somerset Year4_LAC_4weeks)</f>
        <v/>
      </c>
      <c r="AD233" s="552" t="str">
        <f>IF(Year5_Somerset Year5_LAC_4weeks="","",Year5_Somerset Year5_LAC_4weeks)</f>
        <v/>
      </c>
      <c r="AE233" s="418" t="str">
        <f t="shared" si="82"/>
        <v>Somerset</v>
      </c>
      <c r="AF233" s="463" t="str">
        <f>IF(Year1_Somerset Year1_LAC_4weeks_reviews_in_timescales="","",Year1_Somerset Year1_LAC_4weeks_reviews_in_timescales)</f>
        <v/>
      </c>
      <c r="AG233" s="365" t="str">
        <f>IF(Year2_Somerset Year2_LAC_4weeks_reviews_in_timescales="","",Year2_Somerset Year2_LAC_4weeks_reviews_in_timescales)</f>
        <v/>
      </c>
      <c r="AH233" s="365" t="str">
        <f>IF(Year3_Somerset Year3_LAC_4weeks_reviews_in_timescales="","",Year3_Somerset Year3_LAC_4weeks_reviews_in_timescales)</f>
        <v/>
      </c>
      <c r="AI233" s="365" t="str">
        <f>IF(Year4_Somerset Year4_LAC_4weeks_reviews_in_timescales="","",Year4_Somerset Year4_LAC_4weeks_reviews_in_timescales)</f>
        <v/>
      </c>
      <c r="AJ233" s="552" t="str">
        <f>IF(Year5_Somerset Year5_LAC_4weeks_reviews_in_timescales="","",Year5_Somerset Year5_LAC_4weeks_reviews_in_timescales)</f>
        <v/>
      </c>
      <c r="AK233" s="156"/>
    </row>
    <row r="234" spans="1:45" s="89" customFormat="1" ht="12.75" hidden="1" customHeight="1" x14ac:dyDescent="0.2">
      <c r="A234" s="462">
        <f>VLOOKUP(B234,Sheet1!$AQ$4:$AR$25,2,FALSE)</f>
        <v>0</v>
      </c>
      <c r="B234" s="95" t="str">
        <f t="shared" si="76"/>
        <v>Southampton</v>
      </c>
      <c r="C234" s="87"/>
      <c r="D234" s="158" t="e">
        <f t="shared" si="78"/>
        <v>#N/A</v>
      </c>
      <c r="E234" s="158" t="e">
        <f t="shared" si="78"/>
        <v>#N/A</v>
      </c>
      <c r="F234" s="158" t="e">
        <f t="shared" si="78"/>
        <v>#N/A</v>
      </c>
      <c r="G234" s="158" t="e">
        <f t="shared" si="79"/>
        <v>#N/A</v>
      </c>
      <c r="H234" s="160" t="e">
        <f t="shared" si="80"/>
        <v>#N/A</v>
      </c>
      <c r="I234" s="98"/>
      <c r="J234" s="98"/>
      <c r="K234" s="162"/>
      <c r="L234" s="162"/>
      <c r="M234" s="162"/>
      <c r="N234" s="162"/>
      <c r="O234" s="162"/>
      <c r="P234" s="162"/>
      <c r="Q234" s="162"/>
      <c r="R234" s="163"/>
      <c r="S234" s="155"/>
      <c r="T234" s="155"/>
      <c r="U234" s="162"/>
      <c r="V234" s="124"/>
      <c r="W234" s="140"/>
      <c r="X234" s="149"/>
      <c r="Y234" s="418" t="str">
        <f t="shared" si="81"/>
        <v>Southampton</v>
      </c>
      <c r="Z234" s="463" t="str">
        <f>IF(Year1_Southampton Year1_LAC_4weeks="","",Year1_Southampton Year1_LAC_4weeks)</f>
        <v/>
      </c>
      <c r="AA234" s="365" t="str">
        <f>IF(Year2_Southampton Year2_LAC_4weeks="","",Year2_Southampton Year2_LAC_4weeks)</f>
        <v/>
      </c>
      <c r="AB234" s="365" t="str">
        <f>IF(Year3_Southampton Year3_LAC_4weeks="","",Year3_Southampton Year3_LAC_4weeks)</f>
        <v/>
      </c>
      <c r="AC234" s="365" t="str">
        <f>IF(Year4_Southampton Year4_LAC_4weeks="","",Year4_Southampton Year4_LAC_4weeks)</f>
        <v/>
      </c>
      <c r="AD234" s="552" t="str">
        <f>IF(Year5_Southampton Year5_LAC_4weeks="","",Year5_Southampton Year5_LAC_4weeks)</f>
        <v/>
      </c>
      <c r="AE234" s="418" t="str">
        <f t="shared" si="82"/>
        <v>Southampton</v>
      </c>
      <c r="AF234" s="463" t="str">
        <f>IF(Year1_Southampton Year1_LAC_4weeks_reviews_in_timescales="","",Year1_Southampton Year1_LAC_4weeks_reviews_in_timescales)</f>
        <v/>
      </c>
      <c r="AG234" s="365" t="str">
        <f>IF(Year2_Southampton Year2_LAC_4weeks_reviews_in_timescales="","",Year2_Southampton Year2_LAC_4weeks_reviews_in_timescales)</f>
        <v/>
      </c>
      <c r="AH234" s="365" t="str">
        <f>IF(Year3_Southampton Year3_LAC_4weeks_reviews_in_timescales="","",Year3_Southampton Year3_LAC_4weeks_reviews_in_timescales)</f>
        <v/>
      </c>
      <c r="AI234" s="365" t="str">
        <f>IF(Year4_Southampton Year4_LAC_4weeks_reviews_in_timescales="","",Year4_Southampton Year4_LAC_4weeks_reviews_in_timescales)</f>
        <v/>
      </c>
      <c r="AJ234" s="552" t="str">
        <f>IF(Year5_Southampton Year5_LAC_4weeks_reviews_in_timescales="","",Year5_Southampton Year5_LAC_4weeks_reviews_in_timescales)</f>
        <v/>
      </c>
      <c r="AK234" s="156"/>
    </row>
    <row r="235" spans="1:45" s="89" customFormat="1" ht="12.75" hidden="1" customHeight="1" x14ac:dyDescent="0.2">
      <c r="A235" s="462">
        <f>VLOOKUP(B235,Sheet1!$AQ$4:$AR$25,2,FALSE)</f>
        <v>0</v>
      </c>
      <c r="B235" s="95" t="str">
        <f t="shared" si="76"/>
        <v>Surrey</v>
      </c>
      <c r="C235" s="87"/>
      <c r="D235" s="158" t="e">
        <f t="shared" si="78"/>
        <v>#N/A</v>
      </c>
      <c r="E235" s="158" t="e">
        <f t="shared" si="78"/>
        <v>#N/A</v>
      </c>
      <c r="F235" s="158" t="e">
        <f t="shared" si="78"/>
        <v>#N/A</v>
      </c>
      <c r="G235" s="158" t="e">
        <f t="shared" si="79"/>
        <v>#N/A</v>
      </c>
      <c r="H235" s="160" t="e">
        <f t="shared" si="80"/>
        <v>#N/A</v>
      </c>
      <c r="I235" s="98"/>
      <c r="J235" s="98"/>
      <c r="K235" s="162"/>
      <c r="L235" s="162"/>
      <c r="M235" s="162"/>
      <c r="N235" s="162"/>
      <c r="O235" s="162"/>
      <c r="P235" s="162"/>
      <c r="Q235" s="162"/>
      <c r="R235" s="163"/>
      <c r="S235" s="155"/>
      <c r="T235" s="155"/>
      <c r="U235" s="162"/>
      <c r="V235" s="124"/>
      <c r="W235" s="140"/>
      <c r="X235" s="149"/>
      <c r="Y235" s="418" t="str">
        <f t="shared" si="81"/>
        <v>Surrey</v>
      </c>
      <c r="Z235" s="463" t="str">
        <f>IF(Year1_Surrey Year1_LAC_4weeks="","",Year1_Surrey Year1_LAC_4weeks)</f>
        <v/>
      </c>
      <c r="AA235" s="365" t="str">
        <f>IF(Year2_Surrey Year2_LAC_4weeks="","",Year2_Surrey Year2_LAC_4weeks)</f>
        <v/>
      </c>
      <c r="AB235" s="365" t="str">
        <f>IF(Year3_Surrey Year3_LAC_4weeks="","",Year3_Surrey Year3_LAC_4weeks)</f>
        <v/>
      </c>
      <c r="AC235" s="365" t="str">
        <f>IF(Year4_Surrey Year4_LAC_4weeks="","",Year4_Surrey Year4_LAC_4weeks)</f>
        <v/>
      </c>
      <c r="AD235" s="552" t="str">
        <f>IF(Year5_Surrey Year5_LAC_4weeks="","",Year5_Surrey Year5_LAC_4weeks)</f>
        <v/>
      </c>
      <c r="AE235" s="418" t="str">
        <f t="shared" si="82"/>
        <v>Surrey</v>
      </c>
      <c r="AF235" s="463" t="str">
        <f>IF(Year1_Surrey Year1_LAC_4weeks_reviews_in_timescales="","",Year1_Surrey Year1_LAC_4weeks_reviews_in_timescales)</f>
        <v/>
      </c>
      <c r="AG235" s="365" t="str">
        <f>IF(Year2_Surrey Year2_LAC_4weeks_reviews_in_timescales="","",Year2_Surrey Year2_LAC_4weeks_reviews_in_timescales)</f>
        <v/>
      </c>
      <c r="AH235" s="365" t="str">
        <f>IF(Year3_Surrey Year3_LAC_4weeks_reviews_in_timescales="","",Year3_Surrey Year3_LAC_4weeks_reviews_in_timescales)</f>
        <v/>
      </c>
      <c r="AI235" s="365" t="str">
        <f>IF(Year4_Surrey Year4_LAC_4weeks_reviews_in_timescales="","",Year4_Surrey Year4_LAC_4weeks_reviews_in_timescales)</f>
        <v/>
      </c>
      <c r="AJ235" s="552" t="str">
        <f>IF(Year5_Surrey Year5_LAC_4weeks_reviews_in_timescales="","",Year5_Surrey Year5_LAC_4weeks_reviews_in_timescales)</f>
        <v/>
      </c>
      <c r="AK235" s="156"/>
    </row>
    <row r="236" spans="1:45" s="89" customFormat="1" ht="12.75" hidden="1" customHeight="1" x14ac:dyDescent="0.2">
      <c r="A236" s="462">
        <f>VLOOKUP(B236,Sheet1!$AQ$4:$AR$25,2,FALSE)</f>
        <v>0</v>
      </c>
      <c r="B236" s="95" t="str">
        <f t="shared" si="76"/>
        <v>Swindon</v>
      </c>
      <c r="C236" s="87"/>
      <c r="D236" s="158" t="e">
        <f t="shared" si="78"/>
        <v>#N/A</v>
      </c>
      <c r="E236" s="158" t="e">
        <f t="shared" si="78"/>
        <v>#N/A</v>
      </c>
      <c r="F236" s="158" t="e">
        <f t="shared" si="78"/>
        <v>#N/A</v>
      </c>
      <c r="G236" s="158" t="e">
        <f t="shared" si="79"/>
        <v>#N/A</v>
      </c>
      <c r="H236" s="160" t="e">
        <f t="shared" si="80"/>
        <v>#N/A</v>
      </c>
      <c r="I236" s="98"/>
      <c r="J236" s="98"/>
      <c r="K236" s="162"/>
      <c r="L236" s="162"/>
      <c r="M236" s="162"/>
      <c r="N236" s="162"/>
      <c r="O236" s="162"/>
      <c r="P236" s="162"/>
      <c r="Q236" s="162"/>
      <c r="R236" s="163"/>
      <c r="S236" s="155"/>
      <c r="T236" s="155"/>
      <c r="U236" s="162"/>
      <c r="V236" s="124"/>
      <c r="W236" s="140"/>
      <c r="X236" s="149"/>
      <c r="Y236" s="418" t="str">
        <f t="shared" si="81"/>
        <v>Swindon</v>
      </c>
      <c r="Z236" s="463" t="str">
        <f>IF(Year1_Swindon Year1_LAC_4weeks="","",Year1_Swindon Year1_LAC_4weeks)</f>
        <v/>
      </c>
      <c r="AA236" s="365" t="str">
        <f>IF(Year2_Swindon Year2_LAC_4weeks="","",Year2_Swindon Year2_LAC_4weeks)</f>
        <v/>
      </c>
      <c r="AB236" s="365" t="str">
        <f>IF(Year3_Swindon Year3_LAC_4weeks="","",Year3_Swindon Year3_LAC_4weeks)</f>
        <v/>
      </c>
      <c r="AC236" s="555" t="str">
        <f>IF(Year4_Swindon Year4_LAC_4weeks="","",Year4_Swindon Year4_LAC_4weeks)</f>
        <v/>
      </c>
      <c r="AD236" s="573" t="str">
        <f>IF(Year5_Swindon Year5_LAC_4weeks="","",Year5_Swindon Year5_LAC_4weeks)</f>
        <v/>
      </c>
      <c r="AE236" s="418" t="str">
        <f t="shared" si="82"/>
        <v>Swindon</v>
      </c>
      <c r="AF236" s="463" t="str">
        <f>IF(Year1_Swindon Year1_LAC_4weeks_reviews_in_timescales="","",Year1_Swindon Year1_LAC_4weeks_reviews_in_timescales)</f>
        <v/>
      </c>
      <c r="AG236" s="365" t="str">
        <f>IF(Year2_Swindon Year2_LAC_4weeks_reviews_in_timescales="","",Year2_Swindon Year2_LAC_4weeks_reviews_in_timescales)</f>
        <v/>
      </c>
      <c r="AH236" s="365" t="str">
        <f>IF(Year3_Swindon Year3_LAC_4weeks_reviews_in_timescales="","",Year3_Swindon Year3_LAC_4weeks_reviews_in_timescales)</f>
        <v/>
      </c>
      <c r="AI236" s="555" t="str">
        <f>IF(Year4_Swindon Year4_LAC_4weeks_reviews_in_timescales="","",Year4_Swindon Year4_LAC_4weeks_reviews_in_timescales)</f>
        <v/>
      </c>
      <c r="AJ236" s="573" t="str">
        <f>IF(Year5_Swindon Year5_LAC_4weeks_reviews_in_timescales="","",Year5_Swindon Year5_LAC_4weeks_reviews_in_timescales)</f>
        <v/>
      </c>
      <c r="AK236" s="156"/>
    </row>
    <row r="237" spans="1:45" s="89" customFormat="1" ht="12.75" hidden="1" customHeight="1" x14ac:dyDescent="0.2">
      <c r="A237" s="462">
        <f>VLOOKUP(B237,Sheet1!$AQ$4:$AR$25,2,FALSE)</f>
        <v>0</v>
      </c>
      <c r="B237" s="95" t="str">
        <f t="shared" si="76"/>
        <v>Torbay</v>
      </c>
      <c r="C237" s="87"/>
      <c r="D237" s="158" t="e">
        <f t="shared" si="78"/>
        <v>#N/A</v>
      </c>
      <c r="E237" s="158" t="e">
        <f t="shared" si="78"/>
        <v>#N/A</v>
      </c>
      <c r="F237" s="158" t="e">
        <f t="shared" si="78"/>
        <v>#N/A</v>
      </c>
      <c r="G237" s="158" t="e">
        <f t="shared" si="79"/>
        <v>#N/A</v>
      </c>
      <c r="H237" s="160" t="e">
        <f t="shared" si="80"/>
        <v>#N/A</v>
      </c>
      <c r="I237" s="98"/>
      <c r="J237" s="98"/>
      <c r="K237" s="162"/>
      <c r="L237" s="162"/>
      <c r="M237" s="162"/>
      <c r="N237" s="162"/>
      <c r="O237" s="162"/>
      <c r="P237" s="162"/>
      <c r="Q237" s="162"/>
      <c r="R237" s="163"/>
      <c r="S237" s="155"/>
      <c r="T237" s="155"/>
      <c r="U237" s="162"/>
      <c r="V237" s="124"/>
      <c r="W237" s="140"/>
      <c r="X237" s="149"/>
      <c r="Y237" s="418" t="str">
        <f t="shared" si="81"/>
        <v>Torbay</v>
      </c>
      <c r="Z237" s="463" t="str">
        <f>IF(Year1_Torbay Year1_LAC_4weeks="","",Year1_Torbay Year1_LAC_4weeks)</f>
        <v/>
      </c>
      <c r="AA237" s="365" t="str">
        <f>IF(Year2_Torbay Year2_LAC_4weeks="","",Year2_Torbay Year2_LAC_4weeks)</f>
        <v/>
      </c>
      <c r="AB237" s="365" t="str">
        <f>IF(Year3_Torbay Year3_LAC_4weeks="","",Year3_Torbay Year3_LAC_4weeks)</f>
        <v/>
      </c>
      <c r="AC237" s="555" t="str">
        <f>IF(Year4_Torbay Year4_LAC_4weeks="","",Year4_Torbay Year4_LAC_4weeks)</f>
        <v/>
      </c>
      <c r="AD237" s="573" t="str">
        <f>IF(Year5_Torbay Year5_LAC_4weeks="","",Year5_Torbay Year5_LAC_4weeks)</f>
        <v/>
      </c>
      <c r="AE237" s="418" t="str">
        <f t="shared" si="82"/>
        <v>Torbay</v>
      </c>
      <c r="AF237" s="463" t="str">
        <f>IF(Year1_Torbay Year1_LAC_4weeks_reviews_in_timescales="","",Year1_Torbay Year1_LAC_4weeks_reviews_in_timescales)</f>
        <v/>
      </c>
      <c r="AG237" s="365" t="str">
        <f>IF(Year2_Torbay Year2_LAC_4weeks_reviews_in_timescales="","",Year2_Torbay Year2_LAC_4weeks_reviews_in_timescales)</f>
        <v/>
      </c>
      <c r="AH237" s="365" t="str">
        <f>IF(Year3_Torbay Year3_LAC_4weeks_reviews_in_timescales="","",Year3_Torbay Year3_LAC_4weeks_reviews_in_timescales)</f>
        <v/>
      </c>
      <c r="AI237" s="555" t="str">
        <f>IF(Year4_Torbay Year4_LAC_4weeks_reviews_in_timescales="","",Year4_Torbay Year4_LAC_4weeks_reviews_in_timescales)</f>
        <v/>
      </c>
      <c r="AJ237" s="573" t="str">
        <f>IF(Year5_Torbay Year5_LAC_4weeks_reviews_in_timescales="","",Year5_Torbay Year5_LAC_4weeks_reviews_in_timescales)</f>
        <v/>
      </c>
      <c r="AK237" s="156"/>
    </row>
    <row r="238" spans="1:45" s="89" customFormat="1" ht="12.75" hidden="1" customHeight="1" x14ac:dyDescent="0.2">
      <c r="A238" s="462">
        <f>VLOOKUP(B238,Sheet1!$AQ$4:$AR$25,2,FALSE)</f>
        <v>0</v>
      </c>
      <c r="B238" s="95" t="str">
        <f t="shared" si="76"/>
        <v>West Berkshire</v>
      </c>
      <c r="C238" s="87"/>
      <c r="D238" s="158" t="e">
        <f t="shared" si="78"/>
        <v>#N/A</v>
      </c>
      <c r="E238" s="158" t="e">
        <f t="shared" si="78"/>
        <v>#N/A</v>
      </c>
      <c r="F238" s="158" t="e">
        <f t="shared" si="78"/>
        <v>#N/A</v>
      </c>
      <c r="G238" s="158" t="e">
        <f t="shared" si="79"/>
        <v>#N/A</v>
      </c>
      <c r="H238" s="160" t="e">
        <f t="shared" si="80"/>
        <v>#N/A</v>
      </c>
      <c r="I238" s="98"/>
      <c r="J238" s="98"/>
      <c r="K238" s="162"/>
      <c r="L238" s="162"/>
      <c r="M238" s="162"/>
      <c r="N238" s="162"/>
      <c r="O238" s="162"/>
      <c r="P238" s="162"/>
      <c r="Q238" s="162"/>
      <c r="R238" s="163"/>
      <c r="S238" s="155"/>
      <c r="T238" s="155"/>
      <c r="U238" s="162"/>
      <c r="V238" s="124"/>
      <c r="W238" s="140"/>
      <c r="X238" s="149"/>
      <c r="Y238" s="418" t="str">
        <f t="shared" si="81"/>
        <v>West Berkshire</v>
      </c>
      <c r="Z238" s="463" t="str">
        <f>IF(Year1_West_Berkshire Year1_LAC_4weeks="","",Year1_West_Berkshire Year1_LAC_4weeks)</f>
        <v/>
      </c>
      <c r="AA238" s="365" t="str">
        <f>IF(Year2_West_Berkshire Year2_LAC_4weeks="","",Year2_West_Berkshire Year2_LAC_4weeks)</f>
        <v/>
      </c>
      <c r="AB238" s="365" t="str">
        <f>IF(Year3_West_Berkshire Year3_LAC_4weeks="","",Year3_West_Berkshire Year3_LAC_4weeks)</f>
        <v/>
      </c>
      <c r="AC238" s="365" t="str">
        <f>IF(Year4_West_Berkshire Year4_LAC_4weeks="","",Year4_West_Berkshire Year4_LAC_4weeks)</f>
        <v/>
      </c>
      <c r="AD238" s="552" t="str">
        <f>IF(Year5_West_Berkshire Year5_LAC_4weeks="","",Year5_West_Berkshire Year5_LAC_4weeks)</f>
        <v/>
      </c>
      <c r="AE238" s="418" t="str">
        <f t="shared" si="82"/>
        <v>West Berkshire</v>
      </c>
      <c r="AF238" s="463" t="str">
        <f>IF(Year1_West_Berkshire Year1_LAC_4weeks_reviews_in_timescales="","",Year1_West_Berkshire Year1_LAC_4weeks_reviews_in_timescales)</f>
        <v/>
      </c>
      <c r="AG238" s="365" t="str">
        <f>IF(Year2_West_Berkshire Year2_LAC_4weeks_reviews_in_timescales="","",Year2_West_Berkshire Year2_LAC_4weeks_reviews_in_timescales)</f>
        <v/>
      </c>
      <c r="AH238" s="365" t="str">
        <f>IF(Year3_West_Berkshire Year3_LAC_4weeks_reviews_in_timescales="","",Year3_West_Berkshire Year3_LAC_4weeks_reviews_in_timescales)</f>
        <v/>
      </c>
      <c r="AI238" s="365" t="str">
        <f>IF(Year4_West_Berkshire Year4_LAC_4weeks_reviews_in_timescales="","",Year4_West_Berkshire Year4_LAC_4weeks_reviews_in_timescales)</f>
        <v/>
      </c>
      <c r="AJ238" s="552" t="str">
        <f>IF(Year5_West_Berkshire Year5_LAC_4weeks_reviews_in_timescales="","",Year5_West_Berkshire Year5_LAC_4weeks_reviews_in_timescales)</f>
        <v/>
      </c>
      <c r="AK238" s="156"/>
    </row>
    <row r="239" spans="1:45" s="89" customFormat="1" ht="12.75" hidden="1" customHeight="1" x14ac:dyDescent="0.2">
      <c r="A239" s="462">
        <f>VLOOKUP(B239,Sheet1!$AQ$4:$AR$25,2,FALSE)</f>
        <v>0</v>
      </c>
      <c r="B239" s="95" t="str">
        <f t="shared" si="76"/>
        <v>West Sussex</v>
      </c>
      <c r="C239" s="87"/>
      <c r="D239" s="158" t="e">
        <f t="shared" si="78"/>
        <v>#N/A</v>
      </c>
      <c r="E239" s="158" t="e">
        <f t="shared" si="78"/>
        <v>#N/A</v>
      </c>
      <c r="F239" s="158" t="e">
        <f t="shared" si="78"/>
        <v>#N/A</v>
      </c>
      <c r="G239" s="158" t="e">
        <f t="shared" si="79"/>
        <v>#N/A</v>
      </c>
      <c r="H239" s="160" t="e">
        <f t="shared" si="80"/>
        <v>#N/A</v>
      </c>
      <c r="I239" s="98"/>
      <c r="J239" s="98"/>
      <c r="K239" s="162"/>
      <c r="L239" s="162"/>
      <c r="M239" s="162"/>
      <c r="N239" s="162"/>
      <c r="O239" s="162"/>
      <c r="P239" s="162"/>
      <c r="Q239" s="162"/>
      <c r="R239" s="163"/>
      <c r="S239" s="155"/>
      <c r="T239" s="155"/>
      <c r="U239" s="162"/>
      <c r="V239" s="124"/>
      <c r="W239" s="140"/>
      <c r="X239" s="149"/>
      <c r="Y239" s="418" t="str">
        <f t="shared" si="81"/>
        <v>West Sussex</v>
      </c>
      <c r="Z239" s="463" t="str">
        <f>IF(Year1_West_Sussex Year1_LAC_4weeks="","",Year1_West_Sussex Year1_LAC_4weeks)</f>
        <v/>
      </c>
      <c r="AA239" s="365" t="str">
        <f>IF(Year2_West_Sussex Year2_LAC_4weeks="","",Year2_West_Sussex Year2_LAC_4weeks)</f>
        <v/>
      </c>
      <c r="AB239" s="365" t="str">
        <f>IF(Year3_West_Sussex Year3_LAC_4weeks="","",Year3_West_Sussex Year3_LAC_4weeks)</f>
        <v/>
      </c>
      <c r="AC239" s="365" t="str">
        <f>IF(Year4_West_Sussex Year4_LAC_4weeks="","",Year4_West_Sussex Year4_LAC_4weeks)</f>
        <v/>
      </c>
      <c r="AD239" s="552" t="str">
        <f>IF(Year5_West_Sussex Year5_LAC_4weeks="","",Year5_West_Sussex Year5_LAC_4weeks)</f>
        <v/>
      </c>
      <c r="AE239" s="418" t="str">
        <f t="shared" si="82"/>
        <v>West Sussex</v>
      </c>
      <c r="AF239" s="463" t="str">
        <f>IF(Year1_West_Sussex Year1_LAC_4weeks_reviews_in_timescales="","",Year1_West_Sussex Year1_LAC_4weeks_reviews_in_timescales)</f>
        <v/>
      </c>
      <c r="AG239" s="365" t="str">
        <f>IF(Year2_West_Sussex Year2_LAC_4weeks_reviews_in_timescales="","",Year2_West_Sussex Year2_LAC_4weeks_reviews_in_timescales)</f>
        <v/>
      </c>
      <c r="AH239" s="365" t="str">
        <f>IF(Year3_West_Sussex Year3_LAC_4weeks_reviews_in_timescales="","",Year3_West_Sussex Year3_LAC_4weeks_reviews_in_timescales)</f>
        <v/>
      </c>
      <c r="AI239" s="365" t="str">
        <f>IF(Year4_West_Sussex Year4_LAC_4weeks_reviews_in_timescales="","",Year4_West_Sussex Year4_LAC_4weeks_reviews_in_timescales)</f>
        <v/>
      </c>
      <c r="AJ239" s="552" t="str">
        <f>IF(Year5_West_Sussex Year5_LAC_4weeks_reviews_in_timescales="","",Year5_West_Sussex Year5_LAC_4weeks_reviews_in_timescales)</f>
        <v/>
      </c>
      <c r="AK239" s="156"/>
    </row>
    <row r="240" spans="1:45" s="89" customFormat="1" ht="12.75" hidden="1" customHeight="1" x14ac:dyDescent="0.2">
      <c r="A240" s="462">
        <f>VLOOKUP(B240,Sheet1!$AQ$4:$AR$25,2,FALSE)</f>
        <v>0</v>
      </c>
      <c r="B240" s="95" t="str">
        <f t="shared" si="76"/>
        <v>Windsor &amp; Maidenhead</v>
      </c>
      <c r="C240" s="87"/>
      <c r="D240" s="158" t="e">
        <f t="shared" si="78"/>
        <v>#N/A</v>
      </c>
      <c r="E240" s="158" t="e">
        <f t="shared" si="78"/>
        <v>#N/A</v>
      </c>
      <c r="F240" s="158" t="e">
        <f t="shared" si="78"/>
        <v>#N/A</v>
      </c>
      <c r="G240" s="158" t="e">
        <f t="shared" si="79"/>
        <v>#N/A</v>
      </c>
      <c r="H240" s="160" t="e">
        <f t="shared" si="80"/>
        <v>#N/A</v>
      </c>
      <c r="I240" s="98"/>
      <c r="J240" s="98"/>
      <c r="K240" s="162"/>
      <c r="L240" s="162"/>
      <c r="M240" s="162"/>
      <c r="N240" s="162"/>
      <c r="O240" s="162"/>
      <c r="P240" s="162"/>
      <c r="Q240" s="162"/>
      <c r="R240" s="163"/>
      <c r="S240" s="155"/>
      <c r="T240" s="155"/>
      <c r="U240" s="162"/>
      <c r="V240" s="124"/>
      <c r="W240" s="140"/>
      <c r="X240" s="149"/>
      <c r="Y240" s="418" t="str">
        <f t="shared" si="81"/>
        <v>Windsor &amp; Maidenhead</v>
      </c>
      <c r="Z240" s="463" t="str">
        <f>IF(Year1_Windsor_Maidenhead Year1_LAC_4weeks="","",Year1_Windsor_Maidenhead Year1_LAC_4weeks)</f>
        <v/>
      </c>
      <c r="AA240" s="365" t="str">
        <f>IF(Year2_Windsor_Maidenhead Year2_LAC_4weeks="","",Year2_Windsor_Maidenhead Year2_LAC_4weeks)</f>
        <v/>
      </c>
      <c r="AB240" s="365" t="str">
        <f>IF(Year3_Windsor_Maidenhead Year3_LAC_4weeks="","",Year3_Windsor_Maidenhead Year3_LAC_4weeks)</f>
        <v/>
      </c>
      <c r="AC240" s="365" t="str">
        <f>IF(Year4_Windsor_Maidenhead Year4_LAC_4weeks="","",Year4_Windsor_Maidenhead Year4_LAC_4weeks)</f>
        <v/>
      </c>
      <c r="AD240" s="552" t="str">
        <f>IF(Year5_Windsor_Maidenhead Year5_LAC_4weeks="","",Year5_Windsor_Maidenhead Year5_LAC_4weeks)</f>
        <v/>
      </c>
      <c r="AE240" s="418" t="str">
        <f t="shared" si="82"/>
        <v>Windsor &amp; Maidenhead</v>
      </c>
      <c r="AF240" s="463" t="str">
        <f>IF(Year1_Windsor_Maidenhead Year1_LAC_4weeks_reviews_in_timescales="","",Year1_Windsor_Maidenhead Year1_LAC_4weeks_reviews_in_timescales)</f>
        <v/>
      </c>
      <c r="AG240" s="365" t="str">
        <f>IF(Year2_Windsor_Maidenhead Year2_LAC_4weeks_reviews_in_timescales="","",Year2_Windsor_Maidenhead Year2_LAC_4weeks_reviews_in_timescales)</f>
        <v/>
      </c>
      <c r="AH240" s="365" t="str">
        <f>IF(Year3_Windsor_Maidenhead Year3_LAC_4weeks_reviews_in_timescales="","",Year3_Windsor_Maidenhead Year3_LAC_4weeks_reviews_in_timescales)</f>
        <v/>
      </c>
      <c r="AI240" s="365" t="str">
        <f>IF(Year4_Windsor_Maidenhead Year4_LAC_4weeks_reviews_in_timescales="","",Year4_Windsor_Maidenhead Year4_LAC_4weeks_reviews_in_timescales)</f>
        <v/>
      </c>
      <c r="AJ240" s="552" t="str">
        <f>IF(Year5_Windsor_Maidenhead Year5_LAC_4weeks_reviews_in_timescales="","",Year5_Windsor_Maidenhead Year5_LAC_4weeks_reviews_in_timescales)</f>
        <v/>
      </c>
      <c r="AK240" s="156"/>
    </row>
    <row r="241" spans="1:46" s="89" customFormat="1" ht="12.75" hidden="1" customHeight="1" x14ac:dyDescent="0.2">
      <c r="A241" s="462">
        <f>VLOOKUP(B241,Sheet1!$AQ$4:$AR$25,2,FALSE)</f>
        <v>0</v>
      </c>
      <c r="B241" s="95" t="str">
        <f t="shared" si="76"/>
        <v>Wokingham</v>
      </c>
      <c r="C241" s="87"/>
      <c r="D241" s="158" t="e">
        <f t="shared" si="78"/>
        <v>#N/A</v>
      </c>
      <c r="E241" s="158" t="e">
        <f t="shared" si="78"/>
        <v>#N/A</v>
      </c>
      <c r="F241" s="158" t="e">
        <f t="shared" si="78"/>
        <v>#N/A</v>
      </c>
      <c r="G241" s="158" t="e">
        <f t="shared" si="79"/>
        <v>#N/A</v>
      </c>
      <c r="H241" s="160" t="e">
        <f t="shared" si="80"/>
        <v>#N/A</v>
      </c>
      <c r="I241" s="98"/>
      <c r="J241" s="98"/>
      <c r="K241" s="162"/>
      <c r="L241" s="162"/>
      <c r="M241" s="162"/>
      <c r="N241" s="162"/>
      <c r="O241" s="162"/>
      <c r="P241" s="162"/>
      <c r="Q241" s="162"/>
      <c r="R241" s="163"/>
      <c r="S241" s="155"/>
      <c r="T241" s="155"/>
      <c r="U241" s="162"/>
      <c r="V241" s="124"/>
      <c r="W241" s="140"/>
      <c r="X241" s="149"/>
      <c r="Y241" s="418" t="str">
        <f t="shared" si="81"/>
        <v>Wokingham</v>
      </c>
      <c r="Z241" s="463" t="str">
        <f>IF(Year1_Wokingham Year1_LAC_4weeks="","",Year1_Wokingham Year1_LAC_4weeks)</f>
        <v/>
      </c>
      <c r="AA241" s="365" t="str">
        <f>IF(Year2_Wokingham Year2_LAC_4weeks="","",Year2_Wokingham Year2_LAC_4weeks)</f>
        <v/>
      </c>
      <c r="AB241" s="365" t="str">
        <f>IF(Year3_Wokingham Year3_LAC_4weeks="","",Year3_Wokingham Year3_LAC_4weeks)</f>
        <v/>
      </c>
      <c r="AC241" s="365" t="str">
        <f>IF(Year4_Wokingham Year4_LAC_4weeks="","",Year4_Wokingham Year4_LAC_4weeks)</f>
        <v/>
      </c>
      <c r="AD241" s="552" t="str">
        <f>IF(Year5_Wokingham Year5_LAC_4weeks="","",Year5_Wokingham Year5_LAC_4weeks)</f>
        <v/>
      </c>
      <c r="AE241" s="418" t="str">
        <f t="shared" si="82"/>
        <v>Wokingham</v>
      </c>
      <c r="AF241" s="463" t="str">
        <f>IF(Year1_Wokingham Year1_LAC_4weeks_reviews_in_timescales="","",Year1_Wokingham Year1_LAC_4weeks_reviews_in_timescales)</f>
        <v/>
      </c>
      <c r="AG241" s="365" t="str">
        <f>IF(Year2_Wokingham Year2_LAC_4weeks_reviews_in_timescales="","",Year2_Wokingham Year2_LAC_4weeks_reviews_in_timescales)</f>
        <v/>
      </c>
      <c r="AH241" s="365" t="str">
        <f>IF(Year3_Wokingham Year3_LAC_4weeks_reviews_in_timescales="","",Year3_Wokingham Year3_LAC_4weeks_reviews_in_timescales)</f>
        <v/>
      </c>
      <c r="AI241" s="365" t="str">
        <f>IF(Year4_Wokingham Year4_LAC_4weeks_reviews_in_timescales="","",Year4_Wokingham Year4_LAC_4weeks_reviews_in_timescales)</f>
        <v/>
      </c>
      <c r="AJ241" s="552" t="str">
        <f>IF(Year5_Wokingham Year5_LAC_4weeks_reviews_in_timescales="","",Year5_Wokingham Year5_LAC_4weeks_reviews_in_timescales)</f>
        <v/>
      </c>
      <c r="AK241" s="156"/>
    </row>
    <row r="242" spans="1:46" s="89" customFormat="1" ht="12.75" hidden="1" customHeight="1" x14ac:dyDescent="0.2">
      <c r="A242" s="123"/>
      <c r="B242" s="131" t="str">
        <f t="shared" si="76"/>
        <v>South East</v>
      </c>
      <c r="C242" s="87"/>
      <c r="D242" s="159" t="e">
        <f t="shared" si="78"/>
        <v>#N/A</v>
      </c>
      <c r="E242" s="159" t="e">
        <f t="shared" si="78"/>
        <v>#N/A</v>
      </c>
      <c r="F242" s="159" t="e">
        <f t="shared" si="78"/>
        <v>#N/A</v>
      </c>
      <c r="G242" s="159" t="e">
        <f t="shared" si="79"/>
        <v>#N/A</v>
      </c>
      <c r="H242" s="161" t="e">
        <f t="shared" si="80"/>
        <v>#N/A</v>
      </c>
      <c r="I242" s="98"/>
      <c r="J242" s="98"/>
      <c r="K242" s="164"/>
      <c r="L242" s="164"/>
      <c r="M242" s="164"/>
      <c r="N242" s="164"/>
      <c r="O242" s="164"/>
      <c r="P242" s="164"/>
      <c r="Q242" s="164"/>
      <c r="R242" s="165"/>
      <c r="S242" s="155"/>
      <c r="T242" s="155"/>
      <c r="U242" s="166"/>
      <c r="V242" s="124"/>
      <c r="W242" s="140"/>
      <c r="X242" s="149"/>
      <c r="Y242" s="418" t="str">
        <f t="shared" si="81"/>
        <v>South East</v>
      </c>
      <c r="Z242" s="576" t="str">
        <f>IF(Year1_SouthEast Year1_LAC_4weeks="","",Year1_SouthEast Year1_LAC_4weeks)</f>
        <v/>
      </c>
      <c r="AA242" s="576" t="str">
        <f>IF(Year2_SouthEast Year2_LAC_4weeks="","",Year2_SouthEast Year2_LAC_4weeks)</f>
        <v/>
      </c>
      <c r="AB242" s="576" t="str">
        <f>IF(Year3_SouthEast Year3_LAC_4weeks="","",Year3_SouthEast Year3_LAC_4weeks)</f>
        <v/>
      </c>
      <c r="AC242" s="365" t="str">
        <f>IF(Year4_SouthEast Year4_LAC_4weeks="","",Year4_SouthEast Year4_LAC_4weeks)</f>
        <v/>
      </c>
      <c r="AD242" s="552" t="str">
        <f>IF(Year5_SouthEast Year5_LAC_4weeks="","",Year5_SouthEast Year5_LAC_4weeks)</f>
        <v/>
      </c>
      <c r="AE242" s="418" t="str">
        <f t="shared" si="82"/>
        <v>South East</v>
      </c>
      <c r="AF242" s="576" t="str">
        <f>IF(Year1_SouthEast Year1_LAC_4weeks_reviews_in_timescales="","",Year1_SouthEast Year1_LAC_4weeks_reviews_in_timescales)</f>
        <v/>
      </c>
      <c r="AG242" s="576" t="str">
        <f>IF(Year2_SouthEast Year2_LAC_4weeks_reviews_in_timescales="","",Year2_SouthEast Year2_LAC_4weeks_reviews_in_timescales)</f>
        <v/>
      </c>
      <c r="AH242" s="576" t="str">
        <f>IF(Year3_SouthEast Year3_LAC_4weeks_reviews_in_timescales="","",Year3_SouthEast Year3_LAC_4weeks_reviews_in_timescales)</f>
        <v/>
      </c>
      <c r="AI242" s="365" t="str">
        <f>IF(Year4_SouthEast Year4_LAC_4weeks_reviews_in_timescales="","",Year4_SouthEast Year4_LAC_4weeks_reviews_in_timescales)</f>
        <v/>
      </c>
      <c r="AJ242" s="552" t="str">
        <f>IF(Year5_SouthEast Year5_LAC_4weeks_reviews_in_timescales="","",Year5_SouthEast Year5_LAC_4weeks_reviews_in_timescales)</f>
        <v/>
      </c>
      <c r="AK242" s="156"/>
    </row>
    <row r="243" spans="1:46" s="89" customFormat="1" ht="12.75" hidden="1" customHeight="1" x14ac:dyDescent="0.2">
      <c r="A243" s="123"/>
      <c r="B243" s="318" t="str">
        <f t="shared" si="76"/>
        <v>England</v>
      </c>
      <c r="C243" s="87"/>
      <c r="D243" s="470" t="e">
        <f t="shared" si="78"/>
        <v>#N/A</v>
      </c>
      <c r="E243" s="470" t="e">
        <f t="shared" si="78"/>
        <v>#N/A</v>
      </c>
      <c r="F243" s="470" t="e">
        <f t="shared" si="78"/>
        <v>#N/A</v>
      </c>
      <c r="G243" s="470" t="e">
        <f t="shared" si="79"/>
        <v>#N/A</v>
      </c>
      <c r="H243" s="469" t="e">
        <f t="shared" si="80"/>
        <v>#N/A</v>
      </c>
      <c r="I243" s="98"/>
      <c r="J243" s="98"/>
      <c r="K243" s="164"/>
      <c r="L243" s="164"/>
      <c r="M243" s="164"/>
      <c r="N243" s="164"/>
      <c r="O243" s="164"/>
      <c r="P243" s="164"/>
      <c r="Q243" s="164"/>
      <c r="R243" s="165"/>
      <c r="S243" s="155"/>
      <c r="T243" s="155"/>
      <c r="U243" s="166"/>
      <c r="V243" s="124"/>
      <c r="W243" s="140"/>
      <c r="X243" s="149"/>
      <c r="Y243" s="418" t="str">
        <f t="shared" si="81"/>
        <v>England</v>
      </c>
      <c r="Z243" s="576" t="str">
        <f>IF(Year1_England Year1_LAC_4weeks="","",Year1_England Year1_LAC_4weeks)</f>
        <v/>
      </c>
      <c r="AA243" s="576" t="str">
        <f>IF(Year2_England Year2_LAC_4weeks="","",Year2_England Year2_LAC_4weeks)</f>
        <v/>
      </c>
      <c r="AB243" s="576" t="str">
        <f>IF(Year3_England Year3_LAC_4weeks="","",Year3_England Year3_LAC_4weeks)</f>
        <v/>
      </c>
      <c r="AC243" s="365" t="str">
        <f>IF(Year4_England Year4_LAC_4weeks="","",Year4_England Year4_LAC_4weeks)</f>
        <v/>
      </c>
      <c r="AD243" s="552" t="str">
        <f>IF(Year5_England Year5_LAC_4weeks="","",Year5_England Year5_LAC_4weeks)</f>
        <v/>
      </c>
      <c r="AE243" s="418" t="str">
        <f t="shared" si="82"/>
        <v>England</v>
      </c>
      <c r="AF243" s="576" t="str">
        <f>IF(Year1_England Year1_LAC_4weeks_reviews_in_timescales="","",Year1_England Year1_LAC_4weeks_reviews_in_timescales)</f>
        <v/>
      </c>
      <c r="AG243" s="576" t="str">
        <f>IF(Year2_England Year2_LAC_4weeks_reviews_in_timescales="","",Year2_England Year2_LAC_4weeks_reviews_in_timescales)</f>
        <v/>
      </c>
      <c r="AH243" s="576" t="str">
        <f>IF(Year3_England Year3_LAC_4weeks_reviews_in_timescales="","",Year3_England Year3_LAC_4weeks_reviews_in_timescales)</f>
        <v/>
      </c>
      <c r="AI243" s="365" t="str">
        <f>IF(Year4_England Year4_LAC_4weeks_reviews_in_timescales="","",Year4_England Year4_LAC_4weeks_reviews_in_timescales)</f>
        <v/>
      </c>
      <c r="AJ243" s="552" t="str">
        <f>IF(Year5_England Year5_LAC_4weeks_reviews_in_timescales="","",Year5_England Year5_LAC_4weeks_reviews_in_timescales)</f>
        <v/>
      </c>
      <c r="AK243" s="156"/>
    </row>
    <row r="244" spans="1:46" s="89" customFormat="1" ht="7.5" hidden="1" customHeight="1" x14ac:dyDescent="0.2">
      <c r="A244" s="286"/>
      <c r="B244" s="98"/>
      <c r="C244" s="98"/>
      <c r="D244" s="98"/>
      <c r="E244" s="98"/>
      <c r="F244" s="98"/>
      <c r="G244" s="98"/>
      <c r="H244" s="98"/>
      <c r="I244" s="98"/>
      <c r="J244" s="98"/>
      <c r="K244" s="164"/>
      <c r="L244" s="164"/>
      <c r="M244" s="164"/>
      <c r="N244" s="164"/>
      <c r="O244" s="164"/>
      <c r="P244" s="164"/>
      <c r="Q244" s="164"/>
      <c r="R244" s="165"/>
      <c r="S244" s="155"/>
      <c r="T244" s="155"/>
      <c r="U244" s="166"/>
      <c r="V244" s="124"/>
      <c r="W244" s="140"/>
      <c r="X244" s="149"/>
      <c r="Y244" s="83"/>
      <c r="Z244" s="83"/>
      <c r="AA244" s="191"/>
      <c r="AB244" s="191"/>
      <c r="AC244" s="192"/>
      <c r="AD244" s="83"/>
      <c r="AE244" s="83"/>
      <c r="AF244" s="83"/>
      <c r="AG244" s="83"/>
      <c r="AH244" s="83"/>
      <c r="AI244" s="83"/>
      <c r="AJ244" s="179"/>
      <c r="AK244" s="156"/>
    </row>
    <row r="245" spans="1:46" s="83" customFormat="1" ht="38.25" hidden="1" customHeight="1" x14ac:dyDescent="0.2">
      <c r="A245" s="213"/>
      <c r="B245" s="385"/>
      <c r="C245" s="385"/>
      <c r="D245" s="385"/>
      <c r="E245" s="385"/>
      <c r="F245" s="385"/>
      <c r="G245" s="385"/>
      <c r="H245" s="385"/>
      <c r="I245" s="385"/>
      <c r="J245" s="168"/>
      <c r="K245" s="168"/>
      <c r="L245" s="168"/>
      <c r="M245" s="168"/>
      <c r="N245" s="168"/>
      <c r="O245" s="168"/>
      <c r="P245" s="168"/>
      <c r="Q245" s="168"/>
      <c r="R245" s="137"/>
      <c r="S245" s="168"/>
      <c r="T245" s="168"/>
      <c r="U245" s="168"/>
      <c r="V245" s="119"/>
      <c r="W245" s="138"/>
      <c r="X245" s="147"/>
      <c r="AD245" s="192"/>
      <c r="AE245" s="194"/>
      <c r="AF245" s="179"/>
      <c r="AG245" s="179"/>
      <c r="AH245" s="179"/>
      <c r="AJ245" s="179"/>
      <c r="AK245" s="157"/>
    </row>
    <row r="246" spans="1:46" s="83" customFormat="1" ht="39" hidden="1" customHeight="1" x14ac:dyDescent="0.2">
      <c r="A246" s="213"/>
      <c r="B246" s="385"/>
      <c r="C246" s="385"/>
      <c r="D246" s="385"/>
      <c r="E246" s="385"/>
      <c r="F246" s="385"/>
      <c r="G246" s="385"/>
      <c r="H246" s="385"/>
      <c r="I246" s="385"/>
      <c r="J246" s="168"/>
      <c r="K246" s="168"/>
      <c r="L246" s="168"/>
      <c r="M246" s="168"/>
      <c r="N246" s="168"/>
      <c r="O246" s="168"/>
      <c r="P246" s="168"/>
      <c r="Q246" s="168"/>
      <c r="R246" s="137"/>
      <c r="S246" s="168"/>
      <c r="T246" s="168"/>
      <c r="U246" s="168"/>
      <c r="V246" s="119"/>
      <c r="W246" s="138"/>
      <c r="X246" s="147"/>
      <c r="Z246" s="185"/>
      <c r="AE246" s="194"/>
      <c r="AF246" s="179"/>
      <c r="AG246" s="179"/>
      <c r="AH246" s="179"/>
      <c r="AJ246" s="179"/>
      <c r="AK246" s="157"/>
    </row>
    <row r="247" spans="1:46" s="83" customFormat="1" ht="38.25" hidden="1" customHeight="1" x14ac:dyDescent="0.2">
      <c r="A247" s="213"/>
      <c r="B247" s="385"/>
      <c r="C247" s="385"/>
      <c r="D247" s="385"/>
      <c r="E247" s="385"/>
      <c r="F247" s="385"/>
      <c r="G247" s="385"/>
      <c r="H247" s="385"/>
      <c r="I247" s="385"/>
      <c r="J247" s="168"/>
      <c r="K247" s="168"/>
      <c r="L247" s="168"/>
      <c r="M247" s="168"/>
      <c r="N247" s="168"/>
      <c r="O247" s="168"/>
      <c r="P247" s="168"/>
      <c r="Q247" s="168"/>
      <c r="R247" s="137"/>
      <c r="S247" s="168"/>
      <c r="T247" s="168"/>
      <c r="U247" s="168"/>
      <c r="V247" s="119"/>
      <c r="W247" s="138"/>
      <c r="X247" s="147"/>
      <c r="Z247" s="185"/>
      <c r="AE247" s="194"/>
      <c r="AF247" s="179"/>
      <c r="AG247" s="179"/>
      <c r="AH247" s="179"/>
      <c r="AJ247" s="179"/>
      <c r="AK247" s="157"/>
    </row>
    <row r="248" spans="1:46" s="83" customFormat="1" ht="7.5" hidden="1" customHeight="1" x14ac:dyDescent="0.2">
      <c r="A248" s="120"/>
      <c r="B248" s="18"/>
      <c r="C248" s="18"/>
      <c r="D248" s="17"/>
      <c r="E248" s="17"/>
      <c r="F248" s="17"/>
      <c r="G248" s="17"/>
      <c r="H248" s="17"/>
      <c r="I248" s="17"/>
      <c r="J248" s="13"/>
      <c r="K248" s="19"/>
      <c r="L248" s="19"/>
      <c r="M248" s="19"/>
      <c r="N248" s="19"/>
      <c r="O248" s="19"/>
      <c r="P248" s="19"/>
      <c r="Q248" s="19"/>
      <c r="R248" s="19"/>
      <c r="S248" s="19"/>
      <c r="T248" s="19"/>
      <c r="U248" s="20"/>
      <c r="V248" s="119"/>
      <c r="W248" s="138"/>
      <c r="X248" s="147"/>
      <c r="Z248" s="185"/>
      <c r="AJ248" s="179"/>
      <c r="AK248" s="153"/>
      <c r="AL248" s="76"/>
      <c r="AM248" s="76"/>
      <c r="AN248" s="76"/>
      <c r="AO248" s="76"/>
      <c r="AP248" s="76"/>
      <c r="AQ248" s="76"/>
      <c r="AR248" s="76"/>
    </row>
    <row r="249" spans="1:46" s="83" customFormat="1" ht="15" hidden="1" customHeight="1" x14ac:dyDescent="0.2">
      <c r="A249" s="1399"/>
      <c r="B249" s="1421"/>
      <c r="C249" s="1421"/>
      <c r="D249" s="1421"/>
      <c r="E249" s="1421"/>
      <c r="F249" s="1421"/>
      <c r="G249" s="1421"/>
      <c r="H249" s="1421"/>
      <c r="I249" s="1421"/>
      <c r="J249" s="1421"/>
      <c r="K249" s="1421"/>
      <c r="L249" s="1421"/>
      <c r="M249" s="1421"/>
      <c r="N249" s="1421"/>
      <c r="O249" s="1421"/>
      <c r="P249" s="1421"/>
      <c r="Q249" s="1421"/>
      <c r="R249" s="1421"/>
      <c r="S249" s="1421"/>
      <c r="T249" s="1421"/>
      <c r="U249" s="1421"/>
      <c r="V249" s="1422"/>
      <c r="W249" s="138"/>
      <c r="X249" s="147"/>
      <c r="AK249" s="157"/>
      <c r="AT249" s="76"/>
    </row>
    <row r="250" spans="1:46" s="83" customFormat="1" ht="11.25" hidden="1" customHeight="1" x14ac:dyDescent="0.2">
      <c r="A250" s="1428" t="str">
        <f>Home!$A$40</f>
        <v>LA's provide quarterly data on the condition that it is used by the benchmarking group for internal reporting only. Please DO NOT share other LA's data with any external partners or the public</v>
      </c>
      <c r="B250" s="1429"/>
      <c r="C250" s="1429"/>
      <c r="D250" s="1429"/>
      <c r="E250" s="1429"/>
      <c r="F250" s="1429"/>
      <c r="G250" s="1429"/>
      <c r="H250" s="1429"/>
      <c r="I250" s="1430"/>
      <c r="J250" s="1429"/>
      <c r="K250" s="1429"/>
      <c r="L250" s="1429"/>
      <c r="M250" s="1429"/>
      <c r="N250" s="1429"/>
      <c r="O250" s="1429"/>
      <c r="P250" s="1431"/>
      <c r="Q250" s="1429"/>
      <c r="R250" s="1429"/>
      <c r="S250" s="1429"/>
      <c r="T250" s="1430"/>
      <c r="U250" s="1429"/>
      <c r="V250" s="1432"/>
      <c r="W250" s="138"/>
      <c r="X250" s="147"/>
      <c r="AJ250" s="179"/>
      <c r="AK250" s="156"/>
      <c r="AL250" s="89"/>
      <c r="AT250" s="76"/>
    </row>
    <row r="251" spans="1:46" ht="11.25" customHeight="1" x14ac:dyDescent="0.2">
      <c r="A251" s="114"/>
      <c r="B251" s="115"/>
      <c r="C251" s="115"/>
      <c r="D251" s="115"/>
      <c r="E251" s="115"/>
      <c r="F251" s="115"/>
      <c r="G251" s="115"/>
      <c r="H251" s="115"/>
      <c r="I251" s="115"/>
      <c r="J251" s="116"/>
      <c r="K251" s="115"/>
      <c r="L251" s="115"/>
      <c r="M251" s="115"/>
      <c r="N251" s="115"/>
      <c r="O251" s="115"/>
      <c r="P251" s="115"/>
      <c r="Q251" s="115"/>
      <c r="R251" s="115"/>
      <c r="S251" s="115"/>
      <c r="T251" s="115"/>
      <c r="U251" s="115"/>
      <c r="V251" s="117"/>
      <c r="W251" s="138"/>
      <c r="X251" s="147"/>
      <c r="Y251" s="193"/>
      <c r="Z251" s="191"/>
      <c r="AA251" s="183"/>
      <c r="AJ251" s="179"/>
      <c r="AK251" s="156"/>
    </row>
    <row r="252" spans="1:46" s="78" customFormat="1" ht="15" customHeight="1" x14ac:dyDescent="0.2">
      <c r="A252" s="121"/>
      <c r="B252" s="1442" t="str">
        <f>"Children Looked After"&amp;Z1&amp;" who were Unaccompanied Asylum Seeking Children (UASC)"</f>
        <v>Children Looked After at 31st March who were Unaccompanied Asylum Seeking Children (UASC)</v>
      </c>
      <c r="C252" s="1442"/>
      <c r="D252" s="1442"/>
      <c r="E252" s="1442"/>
      <c r="F252" s="1442"/>
      <c r="G252" s="1442"/>
      <c r="H252" s="1442"/>
      <c r="I252" s="1442"/>
      <c r="J252" s="69"/>
      <c r="K252" s="69"/>
      <c r="L252" s="69"/>
      <c r="M252" s="69"/>
      <c r="N252" s="408"/>
      <c r="O252" s="69"/>
      <c r="P252" s="69"/>
      <c r="Q252" s="69"/>
      <c r="R252" s="69"/>
      <c r="S252" s="69"/>
      <c r="T252" s="69"/>
      <c r="U252" s="69"/>
      <c r="V252" s="122"/>
      <c r="W252" s="139"/>
      <c r="X252" s="148"/>
      <c r="Y252" s="374" t="s">
        <v>177</v>
      </c>
      <c r="Z252" s="375"/>
      <c r="AA252" s="376"/>
      <c r="AB252" s="376"/>
      <c r="AC252" s="376"/>
      <c r="AD252" s="83"/>
      <c r="AE252" s="728" t="s">
        <v>785</v>
      </c>
      <c r="AF252" s="83"/>
      <c r="AG252" s="83"/>
      <c r="AH252" s="83"/>
      <c r="AI252" s="83"/>
      <c r="AJ252" s="179"/>
      <c r="AK252" s="156"/>
    </row>
    <row r="253" spans="1:46" ht="15" customHeight="1" thickBot="1" x14ac:dyDescent="0.25">
      <c r="A253" s="120"/>
      <c r="B253" s="1442"/>
      <c r="C253" s="1442"/>
      <c r="D253" s="1442"/>
      <c r="E253" s="1442"/>
      <c r="F253" s="1442"/>
      <c r="G253" s="1442"/>
      <c r="H253" s="1442"/>
      <c r="I253" s="1442"/>
      <c r="J253" s="69"/>
      <c r="K253" s="69"/>
      <c r="L253" s="69"/>
      <c r="M253" s="69"/>
      <c r="N253" s="408"/>
      <c r="O253" s="69"/>
      <c r="P253" s="69"/>
      <c r="Q253" s="69"/>
      <c r="R253" s="10"/>
      <c r="S253" s="69"/>
      <c r="T253" s="69"/>
      <c r="U253" s="69"/>
      <c r="V253" s="119"/>
      <c r="W253" s="138"/>
      <c r="X253" s="147"/>
      <c r="Y253" s="376"/>
      <c r="Z253" s="375"/>
      <c r="AA253" s="376"/>
      <c r="AB253" s="376"/>
      <c r="AC253" s="376"/>
      <c r="AJ253" s="179"/>
      <c r="AK253" s="156"/>
    </row>
    <row r="254" spans="1:46" ht="13.5" customHeight="1" x14ac:dyDescent="0.2">
      <c r="A254" s="271"/>
      <c r="B254" s="1419" t="s">
        <v>190</v>
      </c>
      <c r="C254" s="873"/>
      <c r="D254" s="755" t="str">
        <f>Sheet1!$D$25</f>
        <v>2014-15</v>
      </c>
      <c r="E254" s="756" t="str">
        <f>Sheet1!$E$25</f>
        <v>2015-16</v>
      </c>
      <c r="F254" s="756" t="str">
        <f>Sheet1!$F$25</f>
        <v>2016-17</v>
      </c>
      <c r="G254" s="756" t="str">
        <f>Sheet1!$G$25</f>
        <v>2017-18</v>
      </c>
      <c r="H254" s="757" t="str">
        <f>Sheet1!$H$25</f>
        <v>2018-19</v>
      </c>
      <c r="I254" s="873"/>
      <c r="J254" s="69"/>
      <c r="K254" s="69"/>
      <c r="L254" s="69"/>
      <c r="M254" s="69"/>
      <c r="N254" s="870"/>
      <c r="O254" s="69"/>
      <c r="P254" s="69"/>
      <c r="Q254" s="69"/>
      <c r="R254" s="10"/>
      <c r="S254" s="69"/>
      <c r="T254" s="69"/>
      <c r="U254" s="69"/>
      <c r="V254" s="119"/>
      <c r="W254" s="138"/>
      <c r="X254" s="147"/>
      <c r="Y254" s="376"/>
      <c r="Z254" s="375"/>
      <c r="AA254" s="376"/>
      <c r="AB254" s="376"/>
      <c r="AC254" s="376"/>
      <c r="AE254" s="760" t="str">
        <f>IF(Sheet1!$C$3="Annual","",Sheet1!$D$26)</f>
        <v/>
      </c>
      <c r="AF254" s="761" t="str">
        <f>IF(Sheet1!$C$3="Annual","",Sheet1!$E$26)</f>
        <v/>
      </c>
      <c r="AG254" s="761" t="str">
        <f>IF(Sheet1!$C$3="Annual","",Sheet1!$F$26)</f>
        <v/>
      </c>
      <c r="AH254" s="761" t="str">
        <f>IF(Sheet1!$C$3="Annual","",Sheet1!$G$26)</f>
        <v/>
      </c>
      <c r="AI254" s="762" t="str">
        <f>IF(Sheet1!$C$3="Annual","",Sheet1!$H$26)</f>
        <v/>
      </c>
      <c r="AJ254" s="179"/>
      <c r="AK254" s="156"/>
    </row>
    <row r="255" spans="1:46" s="89" customFormat="1" ht="13.5" customHeight="1" thickBot="1" x14ac:dyDescent="0.25">
      <c r="A255" s="123"/>
      <c r="B255" s="1420"/>
      <c r="C255" s="87"/>
      <c r="D255" s="758" t="e">
        <f>Sheet1!$D$26</f>
        <v>#N/A</v>
      </c>
      <c r="E255" s="758" t="e">
        <f>Sheet1!$E$26</f>
        <v>#N/A</v>
      </c>
      <c r="F255" s="758" t="e">
        <f>Sheet1!$F$26</f>
        <v>#N/A</v>
      </c>
      <c r="G255" s="758" t="e">
        <f>Sheet1!$G$26</f>
        <v>#N/A</v>
      </c>
      <c r="H255" s="759" t="e">
        <f>Sheet1!$H$26</f>
        <v>#N/A</v>
      </c>
      <c r="I255" s="98"/>
      <c r="J255" s="98"/>
      <c r="K255" s="61"/>
      <c r="L255" s="61"/>
      <c r="M255" s="61"/>
      <c r="N255" s="61"/>
      <c r="O255" s="61"/>
      <c r="P255" s="61"/>
      <c r="Q255" s="386"/>
      <c r="R255" s="386"/>
      <c r="S255" s="155"/>
      <c r="T255" s="155"/>
      <c r="U255" s="384"/>
      <c r="V255" s="124"/>
      <c r="W255" s="140"/>
      <c r="X255" s="149"/>
      <c r="Y255" s="365"/>
      <c r="Z255" s="419" t="e">
        <f>D255</f>
        <v>#N/A</v>
      </c>
      <c r="AA255" s="419" t="e">
        <f t="shared" ref="AA255" si="83">E255</f>
        <v>#N/A</v>
      </c>
      <c r="AB255" s="419" t="e">
        <f t="shared" ref="AB255" si="84">F255</f>
        <v>#N/A</v>
      </c>
      <c r="AC255" s="419" t="e">
        <f t="shared" ref="AC255" si="85">G255</f>
        <v>#N/A</v>
      </c>
      <c r="AD255" s="553" t="e">
        <f t="shared" ref="AD255" si="86">H255</f>
        <v>#N/A</v>
      </c>
      <c r="AE255" s="763" t="str">
        <f>Sheet1!$D$25</f>
        <v>2014-15</v>
      </c>
      <c r="AF255" s="764" t="str">
        <f>Sheet1!$E$25</f>
        <v>2015-16</v>
      </c>
      <c r="AG255" s="764" t="str">
        <f>Sheet1!$F$25</f>
        <v>2016-17</v>
      </c>
      <c r="AH255" s="764" t="str">
        <f>Sheet1!$G$25</f>
        <v>2017-18</v>
      </c>
      <c r="AI255" s="765" t="str">
        <f>Sheet1!$H$25</f>
        <v>2018-19</v>
      </c>
      <c r="AJ255" s="179"/>
      <c r="AK255" s="156"/>
    </row>
    <row r="256" spans="1:46" s="89" customFormat="1" ht="12.75" customHeight="1" x14ac:dyDescent="0.2">
      <c r="A256" s="462">
        <f>VLOOKUP(B256,Sheet1!$AQ$4:$AR$25,2,FALSE)</f>
        <v>0</v>
      </c>
      <c r="B256" s="95" t="str">
        <f t="shared" ref="B256:B279" si="87">B184</f>
        <v>Bracknell Forest</v>
      </c>
      <c r="C256" s="87"/>
      <c r="D256" s="158" t="e">
        <f t="shared" ref="D256:D279" si="88">IF(AND(ISNUMBER(D10),ISNUMBER(Z256)),Z256/D10,NA())</f>
        <v>#N/A</v>
      </c>
      <c r="E256" s="158" t="e">
        <f t="shared" ref="E256:E279" si="89">IF(AND(ISNUMBER(E10),ISNUMBER(AA256)),AA256/E10,NA())</f>
        <v>#N/A</v>
      </c>
      <c r="F256" s="158" t="e">
        <f t="shared" ref="F256:F279" si="90">IF(AND(ISNUMBER(F10),ISNUMBER(AB256)),AB256/F10,NA())</f>
        <v>#N/A</v>
      </c>
      <c r="G256" s="158" t="e">
        <f t="shared" ref="G256:G279" si="91">IF(AND(ISNUMBER(G10),ISNUMBER(AC256)),AC256/G10,NA())</f>
        <v>#N/A</v>
      </c>
      <c r="H256" s="160" t="e">
        <f t="shared" ref="H256:H279" si="92">IF(AND(ISNUMBER(H10),ISNUMBER(AD256)),AD256/H10,NA())</f>
        <v>#N/A</v>
      </c>
      <c r="I256" s="98"/>
      <c r="J256" s="98"/>
      <c r="K256" s="162"/>
      <c r="L256" s="162"/>
      <c r="M256" s="162"/>
      <c r="N256" s="162"/>
      <c r="O256" s="162"/>
      <c r="P256" s="162"/>
      <c r="Q256" s="162"/>
      <c r="R256" s="163"/>
      <c r="S256" s="155"/>
      <c r="T256" s="155"/>
      <c r="U256" s="162"/>
      <c r="V256" s="124"/>
      <c r="W256" s="140"/>
      <c r="X256" s="149"/>
      <c r="Y256" s="420" t="str">
        <f>B256</f>
        <v>Bracknell Forest</v>
      </c>
      <c r="Z256" s="463" t="str">
        <f>IF(Year1_Bracknell_Forest Year1_LAC_UASC="","",Year1_Bracknell_Forest Year1_LAC_UASC)</f>
        <v>c</v>
      </c>
      <c r="AA256" s="365" t="str">
        <f>IF(Year2_Bracknell_Forest Year2_LAC_UASC="","",Year2_Bracknell_Forest Year2_LAC_UASC)</f>
        <v>c</v>
      </c>
      <c r="AB256" s="365" t="str">
        <f>IF(Year3_Bracknell_Forest Year3_LAC_UASC="","",Year3_Bracknell_Forest Year3_LAC_UASC)</f>
        <v>c</v>
      </c>
      <c r="AC256" s="365" t="str">
        <f>IF(Year4_Bracknell_Forest Year4_LAC_UASC="","",Year4_Bracknell_Forest Year4_LAC_UASC)</f>
        <v>c</v>
      </c>
      <c r="AD256" s="552" t="str">
        <f>IF(Year5_Bracknell_Forest Year5_LAC_UASC="","",Year5_Bracknell_Forest Year5_LAC_UASC)</f>
        <v>x</v>
      </c>
      <c r="AE256" s="463">
        <f>IF(ISNUMBER(Z256),D10,0)</f>
        <v>0</v>
      </c>
      <c r="AF256" s="463">
        <f t="shared" ref="AF256:AI256" si="93">IF(ISNUMBER(AA256),E10,0)</f>
        <v>0</v>
      </c>
      <c r="AG256" s="463">
        <f t="shared" si="93"/>
        <v>0</v>
      </c>
      <c r="AH256" s="463">
        <f t="shared" si="93"/>
        <v>0</v>
      </c>
      <c r="AI256" s="463">
        <f t="shared" si="93"/>
        <v>0</v>
      </c>
      <c r="AJ256" s="179"/>
      <c r="AK256" s="156"/>
    </row>
    <row r="257" spans="1:45" s="89" customFormat="1" ht="12.75" customHeight="1" x14ac:dyDescent="0.2">
      <c r="A257" s="462">
        <f>VLOOKUP(B257,Sheet1!$AQ$4:$AR$25,2,FALSE)</f>
        <v>0</v>
      </c>
      <c r="B257" s="95" t="str">
        <f t="shared" si="87"/>
        <v>Brighton &amp; Hove</v>
      </c>
      <c r="C257" s="87"/>
      <c r="D257" s="158">
        <f t="shared" si="88"/>
        <v>2.1186440677966101E-2</v>
      </c>
      <c r="E257" s="158">
        <f t="shared" si="89"/>
        <v>7.7625570776255703E-2</v>
      </c>
      <c r="F257" s="158">
        <f t="shared" si="90"/>
        <v>8.3333333333333329E-2</v>
      </c>
      <c r="G257" s="158">
        <f t="shared" si="91"/>
        <v>7.1599045346062054E-2</v>
      </c>
      <c r="H257" s="160">
        <f t="shared" si="92"/>
        <v>9.718670076726342E-2</v>
      </c>
      <c r="I257" s="98"/>
      <c r="J257" s="98"/>
      <c r="K257" s="162"/>
      <c r="L257" s="162"/>
      <c r="M257" s="162"/>
      <c r="N257" s="162"/>
      <c r="O257" s="162"/>
      <c r="P257" s="162"/>
      <c r="Q257" s="162"/>
      <c r="R257" s="163"/>
      <c r="S257" s="155"/>
      <c r="T257" s="155"/>
      <c r="U257" s="162"/>
      <c r="V257" s="124"/>
      <c r="W257" s="140"/>
      <c r="X257" s="149"/>
      <c r="Y257" s="420" t="str">
        <f t="shared" ref="Y257:Y279" si="94">B257</f>
        <v>Brighton &amp; Hove</v>
      </c>
      <c r="Z257" s="463">
        <f>IF(Year1_Brighton_Hove Year1_LAC_UASC="","",Year1_Brighton_Hove Year1_LAC_UASC)</f>
        <v>10</v>
      </c>
      <c r="AA257" s="365">
        <f>IF(Year2_Brighton_Hove Year2_LAC_UASC="","",Year2_Brighton_Hove Year2_LAC_UASC)</f>
        <v>34</v>
      </c>
      <c r="AB257" s="365">
        <f>IF(Year3_Brighton_Hove Year3_LAC_UASC="","",Year3_Brighton_Hove Year3_LAC_UASC)</f>
        <v>38</v>
      </c>
      <c r="AC257" s="365">
        <f>IF(Year4_Brighton_Hove Year4_LAC_UASC="","",Year4_Brighton_Hove Year4_LAC_UASC)</f>
        <v>30</v>
      </c>
      <c r="AD257" s="552">
        <f>IF(Year5_Brighton_Hove Year5_LAC_UASC="","",Year5_Brighton_Hove Year5_LAC_UASC)</f>
        <v>38</v>
      </c>
      <c r="AE257" s="463">
        <f t="shared" ref="AE257:AE277" si="95">IF(ISNUMBER(Z257),D11,0)</f>
        <v>472</v>
      </c>
      <c r="AF257" s="463">
        <f t="shared" ref="AF257:AF277" si="96">IF(ISNUMBER(AA257),E11,0)</f>
        <v>438</v>
      </c>
      <c r="AG257" s="463">
        <f t="shared" ref="AG257:AG277" si="97">IF(ISNUMBER(AB257),F11,0)</f>
        <v>456</v>
      </c>
      <c r="AH257" s="463">
        <f t="shared" ref="AH257:AH277" si="98">IF(ISNUMBER(AC257),G11,0)</f>
        <v>419</v>
      </c>
      <c r="AI257" s="463">
        <f t="shared" ref="AI257:AI277" si="99">IF(ISNUMBER(AD257),H11,0)</f>
        <v>391</v>
      </c>
      <c r="AJ257" s="179"/>
      <c r="AK257" s="156"/>
    </row>
    <row r="258" spans="1:45" s="89" customFormat="1" ht="12.75" customHeight="1" x14ac:dyDescent="0.2">
      <c r="A258" s="462">
        <f>VLOOKUP(B258,Sheet1!$AQ$4:$AR$25,2,FALSE)</f>
        <v>0</v>
      </c>
      <c r="B258" s="95" t="str">
        <f t="shared" si="87"/>
        <v>Buckinghamshire</v>
      </c>
      <c r="C258" s="87"/>
      <c r="D258" s="158">
        <f t="shared" si="88"/>
        <v>4.1379310344827586E-2</v>
      </c>
      <c r="E258" s="158">
        <f t="shared" si="89"/>
        <v>4.1394335511982572E-2</v>
      </c>
      <c r="F258" s="158">
        <f t="shared" si="90"/>
        <v>5.2863436123348019E-2</v>
      </c>
      <c r="G258" s="158">
        <f t="shared" si="91"/>
        <v>7.4152542372881353E-2</v>
      </c>
      <c r="H258" s="160">
        <f t="shared" si="92"/>
        <v>6.0194174757281553E-2</v>
      </c>
      <c r="I258" s="98"/>
      <c r="J258" s="98"/>
      <c r="K258" s="162"/>
      <c r="L258" s="162"/>
      <c r="M258" s="162"/>
      <c r="N258" s="162"/>
      <c r="O258" s="162"/>
      <c r="P258" s="162"/>
      <c r="Q258" s="162"/>
      <c r="R258" s="163"/>
      <c r="S258" s="155"/>
      <c r="T258" s="155"/>
      <c r="U258" s="162"/>
      <c r="V258" s="124"/>
      <c r="W258" s="140"/>
      <c r="X258" s="149"/>
      <c r="Y258" s="420" t="str">
        <f t="shared" si="94"/>
        <v>Buckinghamshire</v>
      </c>
      <c r="Z258" s="463">
        <f>IF(Year1_Buckinghamshire Year1_LAC_UASC="","",Year1_Buckinghamshire Year1_LAC_UASC)</f>
        <v>18</v>
      </c>
      <c r="AA258" s="365">
        <f>IF(Year2_Buckinghamshire Year2_LAC_UASC="","",Year2_Buckinghamshire Year2_LAC_UASC)</f>
        <v>19</v>
      </c>
      <c r="AB258" s="365">
        <f>IF(Year3_Buckinghamshire Year3_LAC_UASC="","",Year3_Buckinghamshire Year3_LAC_UASC)</f>
        <v>24</v>
      </c>
      <c r="AC258" s="365">
        <f>IF(Year4_Buckinghamshire Year4_LAC_UASC="","",Year4_Buckinghamshire Year4_LAC_UASC)</f>
        <v>35</v>
      </c>
      <c r="AD258" s="552">
        <f>IF(Year5_Buckinghamshire Year5_LAC_UASC="","",Year5_Buckinghamshire Year5_LAC_UASC)</f>
        <v>31</v>
      </c>
      <c r="AE258" s="463">
        <f t="shared" si="95"/>
        <v>435</v>
      </c>
      <c r="AF258" s="463">
        <f t="shared" si="96"/>
        <v>459</v>
      </c>
      <c r="AG258" s="463">
        <f t="shared" si="97"/>
        <v>454</v>
      </c>
      <c r="AH258" s="463">
        <f t="shared" si="98"/>
        <v>472</v>
      </c>
      <c r="AI258" s="463">
        <f t="shared" si="99"/>
        <v>515</v>
      </c>
      <c r="AJ258" s="179"/>
      <c r="AK258" s="156"/>
    </row>
    <row r="259" spans="1:45" s="89" customFormat="1" ht="12.75" customHeight="1" x14ac:dyDescent="0.2">
      <c r="A259" s="462">
        <f>VLOOKUP(B259,Sheet1!$AQ$4:$AR$25,2,FALSE)</f>
        <v>0</v>
      </c>
      <c r="B259" s="95" t="str">
        <f t="shared" si="87"/>
        <v>East Sussex</v>
      </c>
      <c r="C259" s="87"/>
      <c r="D259" s="158">
        <f t="shared" si="88"/>
        <v>1.098901098901099E-2</v>
      </c>
      <c r="E259" s="158">
        <f t="shared" si="89"/>
        <v>3.1307550644567222E-2</v>
      </c>
      <c r="F259" s="158">
        <f t="shared" si="90"/>
        <v>4.3243243243243246E-2</v>
      </c>
      <c r="G259" s="158">
        <f t="shared" si="91"/>
        <v>3.3222591362126248E-2</v>
      </c>
      <c r="H259" s="160">
        <f t="shared" si="92"/>
        <v>0.06</v>
      </c>
      <c r="I259" s="98"/>
      <c r="J259" s="98"/>
      <c r="K259" s="162"/>
      <c r="L259" s="162"/>
      <c r="M259" s="162"/>
      <c r="N259" s="162"/>
      <c r="O259" s="162"/>
      <c r="P259" s="162"/>
      <c r="Q259" s="162"/>
      <c r="R259" s="163"/>
      <c r="S259" s="155"/>
      <c r="T259" s="155"/>
      <c r="U259" s="162"/>
      <c r="V259" s="124"/>
      <c r="W259" s="140"/>
      <c r="X259" s="149"/>
      <c r="Y259" s="420" t="str">
        <f t="shared" si="94"/>
        <v>East Sussex</v>
      </c>
      <c r="Z259" s="463">
        <f>IF(Year1_East_Sussex Year1_LAC_UASC="","",Year1_East_Sussex Year1_LAC_UASC)</f>
        <v>6</v>
      </c>
      <c r="AA259" s="365">
        <f>IF(Year2_East_Sussex Year2_LAC_UASC="","",Year2_East_Sussex Year2_LAC_UASC)</f>
        <v>17</v>
      </c>
      <c r="AB259" s="365">
        <f>IF(Year3_East_Sussex Year3_LAC_UASC="","",Year3_East_Sussex Year3_LAC_UASC)</f>
        <v>24</v>
      </c>
      <c r="AC259" s="365">
        <f>IF(Year4_East_Sussex Year4_LAC_UASC="","",Year4_East_Sussex Year4_LAC_UASC)</f>
        <v>20</v>
      </c>
      <c r="AD259" s="552">
        <f>IF(Year5_East_Sussex Year5_LAC_UASC="","",Year5_East_Sussex Year5_LAC_UASC)</f>
        <v>36</v>
      </c>
      <c r="AE259" s="463">
        <f t="shared" si="95"/>
        <v>546</v>
      </c>
      <c r="AF259" s="463">
        <f t="shared" si="96"/>
        <v>543</v>
      </c>
      <c r="AG259" s="463">
        <f t="shared" si="97"/>
        <v>555</v>
      </c>
      <c r="AH259" s="463">
        <f t="shared" si="98"/>
        <v>602</v>
      </c>
      <c r="AI259" s="463">
        <f t="shared" si="99"/>
        <v>600</v>
      </c>
      <c r="AJ259" s="179"/>
      <c r="AK259" s="156"/>
    </row>
    <row r="260" spans="1:45" s="89" customFormat="1" ht="12.75" customHeight="1" x14ac:dyDescent="0.2">
      <c r="A260" s="462">
        <f>VLOOKUP(B260,Sheet1!$AQ$4:$AR$25,2,FALSE)</f>
        <v>0</v>
      </c>
      <c r="B260" s="95" t="str">
        <f t="shared" si="87"/>
        <v>Hampshire</v>
      </c>
      <c r="C260" s="87"/>
      <c r="D260" s="158">
        <f t="shared" si="88"/>
        <v>1.5003750937734433E-2</v>
      </c>
      <c r="E260" s="158">
        <f t="shared" si="89"/>
        <v>2.2222222222222223E-2</v>
      </c>
      <c r="F260" s="158">
        <f t="shared" si="90"/>
        <v>5.5555555555555552E-2</v>
      </c>
      <c r="G260" s="158">
        <f t="shared" si="91"/>
        <v>7.0890840652446677E-2</v>
      </c>
      <c r="H260" s="160">
        <f t="shared" si="92"/>
        <v>7.9927884615384609E-2</v>
      </c>
      <c r="I260" s="98"/>
      <c r="J260" s="98"/>
      <c r="K260" s="162"/>
      <c r="L260" s="162"/>
      <c r="M260" s="162"/>
      <c r="N260" s="162"/>
      <c r="O260" s="162"/>
      <c r="P260" s="162"/>
      <c r="Q260" s="162"/>
      <c r="R260" s="163"/>
      <c r="S260" s="155"/>
      <c r="T260" s="155"/>
      <c r="U260" s="162"/>
      <c r="V260" s="124"/>
      <c r="W260" s="140"/>
      <c r="X260" s="149"/>
      <c r="Y260" s="420" t="str">
        <f t="shared" si="94"/>
        <v>Hampshire</v>
      </c>
      <c r="Z260" s="463">
        <f>IF(Year1_Hampshire Year1_LAC_UASC="","",Year1_Hampshire Year1_LAC_UASC)</f>
        <v>20</v>
      </c>
      <c r="AA260" s="365">
        <f>IF(Year2_Hampshire Year2_LAC_UASC="","",Year2_Hampshire Year2_LAC_UASC)</f>
        <v>29</v>
      </c>
      <c r="AB260" s="365">
        <f>IF(Year3_Hampshire Year3_LAC_UASC="","",Year3_Hampshire Year3_LAC_UASC)</f>
        <v>80</v>
      </c>
      <c r="AC260" s="365">
        <f>IF(Year4_Hampshire Year4_LAC_UASC="","",Year4_Hampshire Year4_LAC_UASC)</f>
        <v>113</v>
      </c>
      <c r="AD260" s="552">
        <f>IF(Year5_Hampshire Year5_LAC_UASC="","",Year5_Hampshire Year5_LAC_UASC)</f>
        <v>133</v>
      </c>
      <c r="AE260" s="463">
        <f t="shared" si="95"/>
        <v>1333</v>
      </c>
      <c r="AF260" s="463">
        <f t="shared" si="96"/>
        <v>1305</v>
      </c>
      <c r="AG260" s="463">
        <f t="shared" si="97"/>
        <v>1440</v>
      </c>
      <c r="AH260" s="463">
        <f t="shared" si="98"/>
        <v>1594</v>
      </c>
      <c r="AI260" s="463">
        <f t="shared" si="99"/>
        <v>1664</v>
      </c>
      <c r="AJ260" s="179"/>
      <c r="AK260" s="156"/>
    </row>
    <row r="261" spans="1:45" s="89" customFormat="1" ht="12.75" customHeight="1" x14ac:dyDescent="0.2">
      <c r="A261" s="462">
        <f>VLOOKUP(B261,Sheet1!$AQ$4:$AR$25,2,FALSE)</f>
        <v>0</v>
      </c>
      <c r="B261" s="95" t="str">
        <f t="shared" si="87"/>
        <v>Isle of Wight</v>
      </c>
      <c r="C261" s="87"/>
      <c r="D261" s="158">
        <f t="shared" si="88"/>
        <v>0</v>
      </c>
      <c r="E261" s="158">
        <f t="shared" si="89"/>
        <v>0</v>
      </c>
      <c r="F261" s="158" t="e">
        <f t="shared" si="90"/>
        <v>#N/A</v>
      </c>
      <c r="G261" s="158">
        <f t="shared" si="91"/>
        <v>3.0973451327433628E-2</v>
      </c>
      <c r="H261" s="160">
        <f t="shared" si="92"/>
        <v>2.4691358024691357E-2</v>
      </c>
      <c r="I261" s="98"/>
      <c r="J261" s="98"/>
      <c r="K261" s="162"/>
      <c r="L261" s="162"/>
      <c r="M261" s="162"/>
      <c r="N261" s="162"/>
      <c r="O261" s="162"/>
      <c r="P261" s="162"/>
      <c r="Q261" s="162"/>
      <c r="R261" s="163"/>
      <c r="S261" s="155"/>
      <c r="T261" s="155"/>
      <c r="U261" s="162"/>
      <c r="V261" s="124"/>
      <c r="W261" s="140"/>
      <c r="X261" s="149"/>
      <c r="Y261" s="420" t="str">
        <f t="shared" si="94"/>
        <v>Isle of Wight</v>
      </c>
      <c r="Z261" s="463">
        <f>IF(Year1_Isle_of_Wight Year1_LAC_UASC="","",Year1_Isle_of_Wight Year1_LAC_UASC)</f>
        <v>0</v>
      </c>
      <c r="AA261" s="365">
        <f>IF(Year2_Isle_of_Wight Year2_LAC_UASC="","",Year2_Isle_of_Wight Year2_LAC_UASC)</f>
        <v>0</v>
      </c>
      <c r="AB261" s="365" t="str">
        <f>IF(Year3_Isle_of_Wight Year3_LAC_UASC="","",Year3_Isle_of_Wight Year3_LAC_UASC)</f>
        <v>c</v>
      </c>
      <c r="AC261" s="365">
        <f>IF(Year4_Isle_of_Wight Year4_LAC_UASC="","",Year4_Isle_of_Wight Year4_LAC_UASC)</f>
        <v>7</v>
      </c>
      <c r="AD261" s="552">
        <f>IF(Year5_Isle_of_Wight Year5_LAC_UASC="","",Year5_Isle_of_Wight Year5_LAC_UASC)</f>
        <v>6</v>
      </c>
      <c r="AE261" s="463">
        <f t="shared" si="95"/>
        <v>202</v>
      </c>
      <c r="AF261" s="463">
        <f t="shared" si="96"/>
        <v>204</v>
      </c>
      <c r="AG261" s="463">
        <f t="shared" si="97"/>
        <v>0</v>
      </c>
      <c r="AH261" s="463">
        <f t="shared" si="98"/>
        <v>226</v>
      </c>
      <c r="AI261" s="463">
        <f t="shared" si="99"/>
        <v>243</v>
      </c>
      <c r="AJ261" s="179"/>
      <c r="AK261" s="156"/>
      <c r="AS261" s="89" t="s">
        <v>103</v>
      </c>
    </row>
    <row r="262" spans="1:45" s="89" customFormat="1" ht="12.75" customHeight="1" x14ac:dyDescent="0.2">
      <c r="A262" s="462">
        <f>VLOOKUP(B262,Sheet1!$AQ$4:$AR$25,2,FALSE)</f>
        <v>0</v>
      </c>
      <c r="B262" s="95" t="str">
        <f t="shared" si="87"/>
        <v>Kent</v>
      </c>
      <c r="C262" s="87"/>
      <c r="D262" s="158">
        <f t="shared" si="88"/>
        <v>0.19657204070701662</v>
      </c>
      <c r="E262" s="158">
        <f t="shared" si="89"/>
        <v>0.37510803802938636</v>
      </c>
      <c r="F262" s="158">
        <f t="shared" si="90"/>
        <v>0.25460284061020516</v>
      </c>
      <c r="G262" s="158">
        <f t="shared" si="91"/>
        <v>0.14259597806215721</v>
      </c>
      <c r="H262" s="160">
        <f t="shared" si="92"/>
        <v>0.16037735849056603</v>
      </c>
      <c r="I262" s="98"/>
      <c r="J262" s="98"/>
      <c r="K262" s="162"/>
      <c r="L262" s="162"/>
      <c r="M262" s="162"/>
      <c r="N262" s="162"/>
      <c r="O262" s="162"/>
      <c r="P262" s="162"/>
      <c r="Q262" s="162"/>
      <c r="R262" s="163"/>
      <c r="S262" s="155"/>
      <c r="T262" s="155"/>
      <c r="U262" s="162"/>
      <c r="V262" s="124"/>
      <c r="W262" s="140"/>
      <c r="X262" s="149"/>
      <c r="Y262" s="420" t="str">
        <f t="shared" si="94"/>
        <v>Kent</v>
      </c>
      <c r="Z262" s="463">
        <f>IF(Year1_Kent Year1_LAC_UASC="","",Year1_Kent Year1_LAC_UASC)</f>
        <v>367</v>
      </c>
      <c r="AA262" s="365">
        <f>IF(Year2_Kent Year2_LAC_UASC="","",Year2_Kent Year2_LAC_UASC)</f>
        <v>868</v>
      </c>
      <c r="AB262" s="365">
        <f>IF(Year3_Kent Year3_LAC_UASC="","",Year3_Kent Year3_LAC_UASC)</f>
        <v>484</v>
      </c>
      <c r="AC262" s="365">
        <f>IF(Year4_Kent Year4_LAC_UASC="","",Year4_Kent Year4_LAC_UASC)</f>
        <v>234</v>
      </c>
      <c r="AD262" s="552">
        <f>IF(Year5_Kent Year5_LAC_UASC="","",Year5_Kent Year5_LAC_UASC)</f>
        <v>255</v>
      </c>
      <c r="AE262" s="463">
        <f t="shared" si="95"/>
        <v>1867</v>
      </c>
      <c r="AF262" s="463">
        <f t="shared" si="96"/>
        <v>2314</v>
      </c>
      <c r="AG262" s="463">
        <f t="shared" si="97"/>
        <v>1901</v>
      </c>
      <c r="AH262" s="463">
        <f t="shared" si="98"/>
        <v>1641</v>
      </c>
      <c r="AI262" s="463">
        <f t="shared" si="99"/>
        <v>1590</v>
      </c>
      <c r="AJ262" s="179"/>
      <c r="AK262" s="156"/>
    </row>
    <row r="263" spans="1:45" s="89" customFormat="1" ht="12.75" customHeight="1" x14ac:dyDescent="0.2">
      <c r="A263" s="462">
        <f>VLOOKUP(B263,Sheet1!$AQ$4:$AR$25,2,FALSE)</f>
        <v>0</v>
      </c>
      <c r="B263" s="95" t="str">
        <f t="shared" si="87"/>
        <v>Medway</v>
      </c>
      <c r="C263" s="87"/>
      <c r="D263" s="158" t="e">
        <f t="shared" si="88"/>
        <v>#N/A</v>
      </c>
      <c r="E263" s="158" t="e">
        <f t="shared" si="89"/>
        <v>#N/A</v>
      </c>
      <c r="F263" s="158" t="e">
        <f t="shared" si="90"/>
        <v>#N/A</v>
      </c>
      <c r="G263" s="158" t="e">
        <f t="shared" si="91"/>
        <v>#N/A</v>
      </c>
      <c r="H263" s="160">
        <f t="shared" si="92"/>
        <v>2.5943396226415096E-2</v>
      </c>
      <c r="I263" s="98"/>
      <c r="J263" s="98"/>
      <c r="K263" s="162"/>
      <c r="L263" s="162"/>
      <c r="M263" s="162"/>
      <c r="N263" s="162"/>
      <c r="O263" s="162"/>
      <c r="P263" s="162"/>
      <c r="Q263" s="162"/>
      <c r="R263" s="163"/>
      <c r="S263" s="155"/>
      <c r="T263" s="155"/>
      <c r="U263" s="162"/>
      <c r="V263" s="124"/>
      <c r="W263" s="140"/>
      <c r="X263" s="149"/>
      <c r="Y263" s="420" t="str">
        <f t="shared" si="94"/>
        <v>Medway</v>
      </c>
      <c r="Z263" s="463" t="str">
        <f>IF(Year1_Medway Year1_LAC_UASC="","",Year1_Medway Year1_LAC_UASC)</f>
        <v>c</v>
      </c>
      <c r="AA263" s="365" t="str">
        <f>IF(Year2_Medway Year2_LAC_UASC="","",Year2_Medway Year2_LAC_UASC)</f>
        <v>c</v>
      </c>
      <c r="AB263" s="365" t="str">
        <f>IF(Year3_Medway Year3_LAC_UASC="","",Year3_Medway Year3_LAC_UASC)</f>
        <v>c</v>
      </c>
      <c r="AC263" s="365" t="str">
        <f>IF(Year4_Medway Year4_LAC_UASC="","",Year4_Medway Year4_LAC_UASC)</f>
        <v>c</v>
      </c>
      <c r="AD263" s="552">
        <f>IF(Year5_Medway Year5_LAC_UASC="","",Year5_Medway Year5_LAC_UASC)</f>
        <v>11</v>
      </c>
      <c r="AE263" s="463">
        <f t="shared" si="95"/>
        <v>0</v>
      </c>
      <c r="AF263" s="463">
        <f t="shared" si="96"/>
        <v>0</v>
      </c>
      <c r="AG263" s="463">
        <f t="shared" si="97"/>
        <v>0</v>
      </c>
      <c r="AH263" s="463">
        <f t="shared" si="98"/>
        <v>0</v>
      </c>
      <c r="AI263" s="463">
        <f t="shared" si="99"/>
        <v>424</v>
      </c>
      <c r="AJ263" s="179"/>
      <c r="AK263" s="156"/>
    </row>
    <row r="264" spans="1:45" s="89" customFormat="1" ht="12.75" customHeight="1" x14ac:dyDescent="0.2">
      <c r="A264" s="462">
        <f>VLOOKUP(B264,Sheet1!$AQ$4:$AR$25,2,FALSE)</f>
        <v>0</v>
      </c>
      <c r="B264" s="95" t="str">
        <f t="shared" si="87"/>
        <v>Milton Keynes</v>
      </c>
      <c r="C264" s="87"/>
      <c r="D264" s="158">
        <f t="shared" si="88"/>
        <v>7.3746312684365781E-2</v>
      </c>
      <c r="E264" s="158">
        <f t="shared" si="89"/>
        <v>0.11884057971014493</v>
      </c>
      <c r="F264" s="158">
        <f t="shared" si="90"/>
        <v>0.10353535353535354</v>
      </c>
      <c r="G264" s="158">
        <f t="shared" si="91"/>
        <v>7.6142131979695438E-2</v>
      </c>
      <c r="H264" s="160">
        <f t="shared" si="92"/>
        <v>6.0367454068241469E-2</v>
      </c>
      <c r="I264" s="98"/>
      <c r="J264" s="98"/>
      <c r="K264" s="162"/>
      <c r="L264" s="162"/>
      <c r="M264" s="162"/>
      <c r="N264" s="162"/>
      <c r="O264" s="162"/>
      <c r="P264" s="162"/>
      <c r="Q264" s="162"/>
      <c r="R264" s="163"/>
      <c r="S264" s="155"/>
      <c r="T264" s="155"/>
      <c r="U264" s="162"/>
      <c r="V264" s="124"/>
      <c r="W264" s="140"/>
      <c r="X264" s="149"/>
      <c r="Y264" s="420" t="str">
        <f t="shared" si="94"/>
        <v>Milton Keynes</v>
      </c>
      <c r="Z264" s="463">
        <f>IF(Year1_Milton_Keynes Year1_LAC_UASC="","",Year1_Milton_Keynes Year1_LAC_UASC)</f>
        <v>25</v>
      </c>
      <c r="AA264" s="365">
        <f>IF(Year2_Milton_Keynes Year2_LAC_UASC="","",Year2_Milton_Keynes Year2_LAC_UASC)</f>
        <v>41</v>
      </c>
      <c r="AB264" s="365">
        <f>IF(Year3_Milton_Keynes Year3_LAC_UASC="","",Year3_Milton_Keynes Year3_LAC_UASC)</f>
        <v>41</v>
      </c>
      <c r="AC264" s="365">
        <f>IF(Year4_Milton_Keynes Year4_LAC_UASC="","",Year4_Milton_Keynes Year4_LAC_UASC)</f>
        <v>30</v>
      </c>
      <c r="AD264" s="552">
        <f>IF(Year5_Milton_Keynes Year5_LAC_UASC="","",Year5_Milton_Keynes Year5_LAC_UASC)</f>
        <v>23</v>
      </c>
      <c r="AE264" s="463">
        <f t="shared" si="95"/>
        <v>339</v>
      </c>
      <c r="AF264" s="463">
        <f t="shared" si="96"/>
        <v>345</v>
      </c>
      <c r="AG264" s="463">
        <f t="shared" si="97"/>
        <v>396</v>
      </c>
      <c r="AH264" s="463">
        <f t="shared" si="98"/>
        <v>394</v>
      </c>
      <c r="AI264" s="463">
        <f t="shared" si="99"/>
        <v>381</v>
      </c>
      <c r="AJ264" s="179"/>
      <c r="AK264" s="156"/>
    </row>
    <row r="265" spans="1:45" s="89" customFormat="1" ht="12.75" customHeight="1" x14ac:dyDescent="0.2">
      <c r="A265" s="462">
        <f>VLOOKUP(B265,Sheet1!$AQ$4:$AR$25,2,FALSE)</f>
        <v>0</v>
      </c>
      <c r="B265" s="95" t="str">
        <f t="shared" si="87"/>
        <v>Oxfordshire</v>
      </c>
      <c r="C265" s="87"/>
      <c r="D265" s="158">
        <f t="shared" si="88"/>
        <v>8.2352941176470587E-2</v>
      </c>
      <c r="E265" s="158">
        <f t="shared" si="89"/>
        <v>9.7807757166947729E-2</v>
      </c>
      <c r="F265" s="158">
        <f t="shared" si="90"/>
        <v>8.1081081081081086E-2</v>
      </c>
      <c r="G265" s="158">
        <f t="shared" si="91"/>
        <v>8.3333333333333329E-2</v>
      </c>
      <c r="H265" s="160">
        <f t="shared" si="92"/>
        <v>8.2156611039794603E-2</v>
      </c>
      <c r="I265" s="98"/>
      <c r="J265" s="98"/>
      <c r="K265" s="162"/>
      <c r="L265" s="162"/>
      <c r="M265" s="162"/>
      <c r="N265" s="162"/>
      <c r="O265" s="162"/>
      <c r="P265" s="162"/>
      <c r="Q265" s="162"/>
      <c r="R265" s="163"/>
      <c r="S265" s="155"/>
      <c r="T265" s="155"/>
      <c r="U265" s="162"/>
      <c r="V265" s="124"/>
      <c r="W265" s="140"/>
      <c r="X265" s="149"/>
      <c r="Y265" s="420" t="str">
        <f t="shared" si="94"/>
        <v>Oxfordshire</v>
      </c>
      <c r="Z265" s="463">
        <f>IF(Year1_Oxfordshire Year1_LAC_UASC="","",Year1_Oxfordshire Year1_LAC_UASC)</f>
        <v>42</v>
      </c>
      <c r="AA265" s="365">
        <f>IF(Year2_Oxfordshire Year2_LAC_UASC="","",Year2_Oxfordshire Year2_LAC_UASC)</f>
        <v>58</v>
      </c>
      <c r="AB265" s="365">
        <f>IF(Year3_Oxfordshire Year3_LAC_UASC="","",Year3_Oxfordshire Year3_LAC_UASC)</f>
        <v>54</v>
      </c>
      <c r="AC265" s="365">
        <f>IF(Year4_Oxfordshire Year4_LAC_UASC="","",Year4_Oxfordshire Year4_LAC_UASC)</f>
        <v>57</v>
      </c>
      <c r="AD265" s="552">
        <f>IF(Year5_Oxfordshire Year5_LAC_UASC="","",Year5_Oxfordshire Year5_LAC_UASC)</f>
        <v>64</v>
      </c>
      <c r="AE265" s="463">
        <f t="shared" si="95"/>
        <v>510</v>
      </c>
      <c r="AF265" s="463">
        <f t="shared" si="96"/>
        <v>593</v>
      </c>
      <c r="AG265" s="463">
        <f t="shared" si="97"/>
        <v>666</v>
      </c>
      <c r="AH265" s="463">
        <f t="shared" si="98"/>
        <v>684</v>
      </c>
      <c r="AI265" s="463">
        <f t="shared" si="99"/>
        <v>779</v>
      </c>
      <c r="AJ265" s="179"/>
      <c r="AK265" s="156"/>
    </row>
    <row r="266" spans="1:45" s="89" customFormat="1" ht="12.75" customHeight="1" x14ac:dyDescent="0.2">
      <c r="A266" s="462">
        <f>VLOOKUP(B266,Sheet1!$AQ$4:$AR$25,2,FALSE)</f>
        <v>0</v>
      </c>
      <c r="B266" s="95" t="str">
        <f t="shared" si="87"/>
        <v>Portsmouth</v>
      </c>
      <c r="C266" s="87"/>
      <c r="D266" s="158">
        <f t="shared" si="88"/>
        <v>2.8125000000000001E-2</v>
      </c>
      <c r="E266" s="158">
        <f t="shared" si="89"/>
        <v>9.9378881987577633E-2</v>
      </c>
      <c r="F266" s="158">
        <f t="shared" si="90"/>
        <v>0.12569832402234637</v>
      </c>
      <c r="G266" s="158">
        <f t="shared" si="91"/>
        <v>0.17349397590361446</v>
      </c>
      <c r="H266" s="160">
        <f t="shared" si="92"/>
        <v>0.20781893004115226</v>
      </c>
      <c r="I266" s="98"/>
      <c r="J266" s="98"/>
      <c r="K266" s="162"/>
      <c r="L266" s="162"/>
      <c r="M266" s="162"/>
      <c r="N266" s="162"/>
      <c r="O266" s="162"/>
      <c r="P266" s="162"/>
      <c r="Q266" s="162"/>
      <c r="R266" s="163"/>
      <c r="S266" s="155"/>
      <c r="T266" s="155"/>
      <c r="U266" s="162"/>
      <c r="V266" s="124"/>
      <c r="W266" s="140"/>
      <c r="X266" s="149"/>
      <c r="Y266" s="420" t="str">
        <f t="shared" si="94"/>
        <v>Portsmouth</v>
      </c>
      <c r="Z266" s="463">
        <f>IF(Year1_Portsmouth Year1_LAC_UASC="","",Year1_Portsmouth Year1_LAC_UASC)</f>
        <v>9</v>
      </c>
      <c r="AA266" s="365">
        <f>IF(Year2_Portsmouth Year2_LAC_UASC="","",Year2_Portsmouth Year2_LAC_UASC)</f>
        <v>32</v>
      </c>
      <c r="AB266" s="365">
        <f>IF(Year3_Portsmouth Year3_LAC_UASC="","",Year3_Portsmouth Year3_LAC_UASC)</f>
        <v>45</v>
      </c>
      <c r="AC266" s="365">
        <f>IF(Year4_Portsmouth Year4_LAC_UASC="","",Year4_Portsmouth Year4_LAC_UASC)</f>
        <v>72</v>
      </c>
      <c r="AD266" s="552">
        <f>IF(Year5_Portsmouth Year5_LAC_UASC="","",Year5_Portsmouth Year5_LAC_UASC)</f>
        <v>101</v>
      </c>
      <c r="AE266" s="463">
        <f t="shared" si="95"/>
        <v>320</v>
      </c>
      <c r="AF266" s="463">
        <f t="shared" si="96"/>
        <v>322</v>
      </c>
      <c r="AG266" s="463">
        <f t="shared" si="97"/>
        <v>358</v>
      </c>
      <c r="AH266" s="463">
        <f t="shared" si="98"/>
        <v>415</v>
      </c>
      <c r="AI266" s="463">
        <f t="shared" si="99"/>
        <v>486</v>
      </c>
      <c r="AJ266" s="179"/>
      <c r="AK266" s="156"/>
    </row>
    <row r="267" spans="1:45" s="89" customFormat="1" ht="12.75" customHeight="1" x14ac:dyDescent="0.2">
      <c r="A267" s="462">
        <f>VLOOKUP(B267,Sheet1!$AQ$4:$AR$25,2,FALSE)</f>
        <v>0</v>
      </c>
      <c r="B267" s="95" t="str">
        <f t="shared" si="87"/>
        <v>Reading</v>
      </c>
      <c r="C267" s="87"/>
      <c r="D267" s="158" t="e">
        <f t="shared" si="88"/>
        <v>#N/A</v>
      </c>
      <c r="E267" s="158">
        <f t="shared" si="89"/>
        <v>2.7272727272727271E-2</v>
      </c>
      <c r="F267" s="158">
        <f t="shared" si="90"/>
        <v>4.1825095057034217E-2</v>
      </c>
      <c r="G267" s="158">
        <f t="shared" si="91"/>
        <v>3.2258064516129031E-2</v>
      </c>
      <c r="H267" s="160" t="e">
        <f t="shared" si="92"/>
        <v>#N/A</v>
      </c>
      <c r="I267" s="98"/>
      <c r="J267" s="98"/>
      <c r="K267" s="162"/>
      <c r="L267" s="162"/>
      <c r="M267" s="162"/>
      <c r="N267" s="162"/>
      <c r="O267" s="162"/>
      <c r="P267" s="162"/>
      <c r="Q267" s="162"/>
      <c r="R267" s="163"/>
      <c r="S267" s="155"/>
      <c r="T267" s="155"/>
      <c r="U267" s="162"/>
      <c r="V267" s="124"/>
      <c r="W267" s="140"/>
      <c r="X267" s="149"/>
      <c r="Y267" s="420" t="str">
        <f t="shared" si="94"/>
        <v>Reading</v>
      </c>
      <c r="Z267" s="463" t="str">
        <f>IF(Year1_Reading Year1_LAC_UASC="","",Year1_Reading Year1_LAC_UASC)</f>
        <v>c</v>
      </c>
      <c r="AA267" s="365">
        <f>IF(Year2_Reading Year2_LAC_UASC="","",Year2_Reading Year2_LAC_UASC)</f>
        <v>6</v>
      </c>
      <c r="AB267" s="365">
        <f>IF(Year3_Reading Year3_LAC_UASC="","",Year3_Reading Year3_LAC_UASC)</f>
        <v>11</v>
      </c>
      <c r="AC267" s="365">
        <f>IF(Year4_Reading Year4_LAC_UASC="","",Year4_Reading Year4_LAC_UASC)</f>
        <v>9</v>
      </c>
      <c r="AD267" s="552" t="str">
        <f>IF(Year5_Reading Year5_LAC_UASC="","",Year5_Reading Year5_LAC_UASC)</f>
        <v>x</v>
      </c>
      <c r="AE267" s="463">
        <f t="shared" si="95"/>
        <v>0</v>
      </c>
      <c r="AF267" s="463">
        <f t="shared" si="96"/>
        <v>220</v>
      </c>
      <c r="AG267" s="463">
        <f t="shared" si="97"/>
        <v>263</v>
      </c>
      <c r="AH267" s="463">
        <f t="shared" si="98"/>
        <v>279</v>
      </c>
      <c r="AI267" s="463">
        <f t="shared" si="99"/>
        <v>0</v>
      </c>
      <c r="AJ267" s="179"/>
      <c r="AK267" s="156"/>
    </row>
    <row r="268" spans="1:45" s="89" customFormat="1" ht="12.75" customHeight="1" x14ac:dyDescent="0.2">
      <c r="A268" s="462">
        <f>VLOOKUP(B268,Sheet1!$AQ$4:$AR$25,2,FALSE)</f>
        <v>0</v>
      </c>
      <c r="B268" s="95" t="str">
        <f t="shared" si="87"/>
        <v>Slough</v>
      </c>
      <c r="C268" s="87"/>
      <c r="D268" s="158">
        <f t="shared" si="88"/>
        <v>5.1020408163265307E-2</v>
      </c>
      <c r="E268" s="158">
        <f t="shared" si="89"/>
        <v>6.7039106145251395E-2</v>
      </c>
      <c r="F268" s="158">
        <f t="shared" si="90"/>
        <v>7.3684210526315783E-2</v>
      </c>
      <c r="G268" s="158">
        <f t="shared" si="91"/>
        <v>3.8834951456310676E-2</v>
      </c>
      <c r="H268" s="160" t="e">
        <f t="shared" si="92"/>
        <v>#N/A</v>
      </c>
      <c r="I268" s="98"/>
      <c r="J268" s="98"/>
      <c r="K268" s="162"/>
      <c r="L268" s="162"/>
      <c r="M268" s="162"/>
      <c r="N268" s="162"/>
      <c r="O268" s="162"/>
      <c r="P268" s="162"/>
      <c r="Q268" s="162"/>
      <c r="R268" s="163"/>
      <c r="S268" s="155"/>
      <c r="T268" s="155"/>
      <c r="U268" s="162"/>
      <c r="V268" s="124"/>
      <c r="W268" s="140"/>
      <c r="X268" s="149"/>
      <c r="Y268" s="420" t="str">
        <f t="shared" si="94"/>
        <v>Slough</v>
      </c>
      <c r="Z268" s="463">
        <f>IF(Year1_Slough Year1_LAC_UASC="","",Year1_Slough Year1_LAC_UASC)</f>
        <v>10</v>
      </c>
      <c r="AA268" s="365">
        <f>IF(Year2_Slough Year2_LAC_UASC="","",Year2_Slough Year2_LAC_UASC)</f>
        <v>12</v>
      </c>
      <c r="AB268" s="365">
        <f>IF(Year3_Slough Year3_LAC_UASC="","",Year3_Slough Year3_LAC_UASC)</f>
        <v>14</v>
      </c>
      <c r="AC268" s="365">
        <f>IF(Year4_Slough Year4_LAC_UASC="","",Year4_Slough Year4_LAC_UASC)</f>
        <v>8</v>
      </c>
      <c r="AD268" s="552" t="str">
        <f>IF(Year5_Slough Year5_LAC_UASC="","",Year5_Slough Year5_LAC_UASC)</f>
        <v>x</v>
      </c>
      <c r="AE268" s="463">
        <f t="shared" si="95"/>
        <v>196</v>
      </c>
      <c r="AF268" s="463">
        <f t="shared" si="96"/>
        <v>179</v>
      </c>
      <c r="AG268" s="463">
        <f t="shared" si="97"/>
        <v>190</v>
      </c>
      <c r="AH268" s="463">
        <f t="shared" si="98"/>
        <v>206</v>
      </c>
      <c r="AI268" s="463">
        <f t="shared" si="99"/>
        <v>0</v>
      </c>
      <c r="AJ268" s="179"/>
      <c r="AK268" s="156"/>
    </row>
    <row r="269" spans="1:45" s="89" customFormat="1" ht="12.75" customHeight="1" x14ac:dyDescent="0.2">
      <c r="A269" s="462">
        <f>VLOOKUP(B269,Sheet1!$AQ$4:$AR$25,2,FALSE)</f>
        <v>0</v>
      </c>
      <c r="B269" s="95" t="str">
        <f t="shared" si="87"/>
        <v>Somerset</v>
      </c>
      <c r="C269" s="87"/>
      <c r="D269" s="158" t="e">
        <f t="shared" si="88"/>
        <v>#N/A</v>
      </c>
      <c r="E269" s="158" t="e">
        <f t="shared" si="89"/>
        <v>#N/A</v>
      </c>
      <c r="F269" s="158">
        <f t="shared" si="90"/>
        <v>2.9411764705882353E-2</v>
      </c>
      <c r="G269" s="158">
        <f t="shared" si="91"/>
        <v>5.4158607350096713E-2</v>
      </c>
      <c r="H269" s="160">
        <f t="shared" si="92"/>
        <v>2.4344569288389514E-2</v>
      </c>
      <c r="I269" s="98"/>
      <c r="J269" s="98"/>
      <c r="K269" s="162"/>
      <c r="L269" s="162"/>
      <c r="M269" s="162"/>
      <c r="N269" s="162"/>
      <c r="O269" s="162"/>
      <c r="P269" s="162"/>
      <c r="Q269" s="162"/>
      <c r="R269" s="163"/>
      <c r="S269" s="155"/>
      <c r="T269" s="155"/>
      <c r="U269" s="162"/>
      <c r="V269" s="124"/>
      <c r="W269" s="140"/>
      <c r="X269" s="149"/>
      <c r="Y269" s="420" t="str">
        <f t="shared" si="94"/>
        <v>Somerset</v>
      </c>
      <c r="Z269" s="463" t="str">
        <f>IF(Year1_Somerset Year1_LAC_UASC="","",Year1_Somerset Year1_LAC_UASC)</f>
        <v>c</v>
      </c>
      <c r="AA269" s="365" t="str">
        <f>IF(Year2_Somerset Year2_LAC_UASC="","",Year2_Somerset Year2_LAC_UASC)</f>
        <v>c</v>
      </c>
      <c r="AB269" s="365">
        <f>IF(Year3_Somerset Year3_LAC_UASC="","",Year3_Somerset Year3_LAC_UASC)</f>
        <v>14</v>
      </c>
      <c r="AC269" s="365">
        <f>IF(Year4_Somerset Year4_LAC_UASC="","",Year4_Somerset Year4_LAC_UASC)</f>
        <v>28</v>
      </c>
      <c r="AD269" s="552">
        <f>IF(Year5_Somerset Year5_LAC_UASC="","",Year5_Somerset Year5_LAC_UASC)</f>
        <v>13</v>
      </c>
      <c r="AE269" s="463">
        <f t="shared" si="95"/>
        <v>0</v>
      </c>
      <c r="AF269" s="463">
        <f t="shared" si="96"/>
        <v>0</v>
      </c>
      <c r="AG269" s="463">
        <f t="shared" si="97"/>
        <v>476</v>
      </c>
      <c r="AH269" s="463">
        <f t="shared" si="98"/>
        <v>517</v>
      </c>
      <c r="AI269" s="463">
        <f t="shared" si="99"/>
        <v>534</v>
      </c>
      <c r="AJ269" s="179"/>
      <c r="AK269" s="156"/>
    </row>
    <row r="270" spans="1:45" s="89" customFormat="1" ht="12.75" customHeight="1" x14ac:dyDescent="0.2">
      <c r="A270" s="462">
        <f>VLOOKUP(B270,Sheet1!$AQ$4:$AR$25,2,FALSE)</f>
        <v>0</v>
      </c>
      <c r="B270" s="95" t="str">
        <f t="shared" si="87"/>
        <v>Southampton</v>
      </c>
      <c r="C270" s="87"/>
      <c r="D270" s="158">
        <f t="shared" si="88"/>
        <v>1.0309278350515464E-2</v>
      </c>
      <c r="E270" s="158" t="e">
        <f t="shared" si="89"/>
        <v>#N/A</v>
      </c>
      <c r="F270" s="158">
        <f t="shared" si="90"/>
        <v>2.0370370370370372E-2</v>
      </c>
      <c r="G270" s="158">
        <f t="shared" si="91"/>
        <v>2.8735632183908046E-2</v>
      </c>
      <c r="H270" s="160">
        <f t="shared" si="92"/>
        <v>3.1185031185031187E-2</v>
      </c>
      <c r="I270" s="98"/>
      <c r="J270" s="98"/>
      <c r="K270" s="162"/>
      <c r="L270" s="162"/>
      <c r="M270" s="162"/>
      <c r="N270" s="162"/>
      <c r="O270" s="162"/>
      <c r="P270" s="162"/>
      <c r="Q270" s="162"/>
      <c r="R270" s="163"/>
      <c r="S270" s="155"/>
      <c r="T270" s="155"/>
      <c r="U270" s="162"/>
      <c r="V270" s="124"/>
      <c r="W270" s="140"/>
      <c r="X270" s="149"/>
      <c r="Y270" s="420" t="str">
        <f t="shared" si="94"/>
        <v>Southampton</v>
      </c>
      <c r="Z270" s="463">
        <f>IF(Year1_Southampton Year1_LAC_UASC="","",Year1_Southampton Year1_LAC_UASC)</f>
        <v>6</v>
      </c>
      <c r="AA270" s="365" t="str">
        <f>IF(Year2_Southampton Year2_LAC_UASC="","",Year2_Southampton Year2_LAC_UASC)</f>
        <v>c</v>
      </c>
      <c r="AB270" s="365">
        <f>IF(Year3_Southampton Year3_LAC_UASC="","",Year3_Southampton Year3_LAC_UASC)</f>
        <v>11</v>
      </c>
      <c r="AC270" s="365">
        <f>IF(Year4_Southampton Year4_LAC_UASC="","",Year4_Southampton Year4_LAC_UASC)</f>
        <v>15</v>
      </c>
      <c r="AD270" s="552">
        <f>IF(Year5_Southampton Year5_LAC_UASC="","",Year5_Southampton Year5_LAC_UASC)</f>
        <v>15</v>
      </c>
      <c r="AE270" s="463">
        <f t="shared" si="95"/>
        <v>582</v>
      </c>
      <c r="AF270" s="463">
        <f t="shared" si="96"/>
        <v>0</v>
      </c>
      <c r="AG270" s="463">
        <f t="shared" si="97"/>
        <v>540</v>
      </c>
      <c r="AH270" s="463">
        <f t="shared" si="98"/>
        <v>522</v>
      </c>
      <c r="AI270" s="463">
        <f t="shared" si="99"/>
        <v>481</v>
      </c>
      <c r="AJ270" s="179"/>
      <c r="AK270" s="156"/>
    </row>
    <row r="271" spans="1:45" s="89" customFormat="1" ht="12.75" customHeight="1" x14ac:dyDescent="0.2">
      <c r="A271" s="462">
        <f>VLOOKUP(B271,Sheet1!$AQ$4:$AR$25,2,FALSE)</f>
        <v>0</v>
      </c>
      <c r="B271" s="95" t="str">
        <f t="shared" si="87"/>
        <v>Surrey</v>
      </c>
      <c r="C271" s="87"/>
      <c r="D271" s="158">
        <f t="shared" si="88"/>
        <v>0.12836970474967907</v>
      </c>
      <c r="E271" s="158">
        <f t="shared" si="89"/>
        <v>0.17416378316032297</v>
      </c>
      <c r="F271" s="158">
        <f t="shared" si="90"/>
        <v>0.16340621403912542</v>
      </c>
      <c r="G271" s="158">
        <f t="shared" si="91"/>
        <v>0.11935483870967742</v>
      </c>
      <c r="H271" s="160">
        <f t="shared" si="92"/>
        <v>0.1171634121274409</v>
      </c>
      <c r="I271" s="98"/>
      <c r="J271" s="98"/>
      <c r="K271" s="162"/>
      <c r="L271" s="162"/>
      <c r="M271" s="162"/>
      <c r="N271" s="162"/>
      <c r="O271" s="162"/>
      <c r="P271" s="162"/>
      <c r="Q271" s="162"/>
      <c r="R271" s="163"/>
      <c r="S271" s="155"/>
      <c r="T271" s="155"/>
      <c r="U271" s="162"/>
      <c r="V271" s="124"/>
      <c r="W271" s="140"/>
      <c r="X271" s="149"/>
      <c r="Y271" s="420" t="str">
        <f t="shared" si="94"/>
        <v>Surrey</v>
      </c>
      <c r="Z271" s="463">
        <f>IF(Year1_Surrey Year1_LAC_UASC="","",Year1_Surrey Year1_LAC_UASC)</f>
        <v>100</v>
      </c>
      <c r="AA271" s="365">
        <f>IF(Year2_Surrey Year2_LAC_UASC="","",Year2_Surrey Year2_LAC_UASC)</f>
        <v>151</v>
      </c>
      <c r="AB271" s="365">
        <f>IF(Year3_Surrey Year3_LAC_UASC="","",Year3_Surrey Year3_LAC_UASC)</f>
        <v>142</v>
      </c>
      <c r="AC271" s="365">
        <f>IF(Year4_Surrey Year4_LAC_UASC="","",Year4_Surrey Year4_LAC_UASC)</f>
        <v>111</v>
      </c>
      <c r="AD271" s="552">
        <f>IF(Year5_Surrey Year5_LAC_UASC="","",Year5_Surrey Year5_LAC_UASC)</f>
        <v>114</v>
      </c>
      <c r="AE271" s="463">
        <f t="shared" si="95"/>
        <v>779</v>
      </c>
      <c r="AF271" s="463">
        <f t="shared" si="96"/>
        <v>867</v>
      </c>
      <c r="AG271" s="463">
        <f t="shared" si="97"/>
        <v>869</v>
      </c>
      <c r="AH271" s="463">
        <f t="shared" si="98"/>
        <v>930</v>
      </c>
      <c r="AI271" s="463">
        <f t="shared" si="99"/>
        <v>973</v>
      </c>
      <c r="AJ271" s="179"/>
      <c r="AK271" s="156"/>
    </row>
    <row r="272" spans="1:45" s="89" customFormat="1" ht="12.75" customHeight="1" x14ac:dyDescent="0.2">
      <c r="A272" s="462">
        <f>VLOOKUP(B272,Sheet1!$AQ$4:$AR$25,2,FALSE)</f>
        <v>0</v>
      </c>
      <c r="B272" s="95" t="str">
        <f t="shared" si="87"/>
        <v>Swindon</v>
      </c>
      <c r="C272" s="87"/>
      <c r="D272" s="158" t="e">
        <f t="shared" si="88"/>
        <v>#N/A</v>
      </c>
      <c r="E272" s="158">
        <f t="shared" si="89"/>
        <v>4.778156996587031E-2</v>
      </c>
      <c r="F272" s="158">
        <f t="shared" si="90"/>
        <v>6.363636363636363E-2</v>
      </c>
      <c r="G272" s="158">
        <f t="shared" si="91"/>
        <v>7.2222222222222215E-2</v>
      </c>
      <c r="H272" s="160">
        <f t="shared" si="92"/>
        <v>6.8965517241379309E-2</v>
      </c>
      <c r="I272" s="98"/>
      <c r="J272" s="98"/>
      <c r="K272" s="162"/>
      <c r="L272" s="162"/>
      <c r="M272" s="162"/>
      <c r="N272" s="162"/>
      <c r="O272" s="162"/>
      <c r="P272" s="162"/>
      <c r="Q272" s="162"/>
      <c r="R272" s="163"/>
      <c r="S272" s="155"/>
      <c r="T272" s="155"/>
      <c r="U272" s="162"/>
      <c r="V272" s="124"/>
      <c r="W272" s="140"/>
      <c r="X272" s="149"/>
      <c r="Y272" s="420" t="str">
        <f t="shared" si="94"/>
        <v>Swindon</v>
      </c>
      <c r="Z272" s="463" t="str">
        <f>IF(Year1_Swindon Year1_LAC_UASC="","",Year1_Swindon Year1_LAC_UASC)</f>
        <v>c</v>
      </c>
      <c r="AA272" s="365">
        <f>IF(Year2_Swindon Year2_LAC_UASC="","",Year2_Swindon Year2_LAC_UASC)</f>
        <v>14</v>
      </c>
      <c r="AB272" s="365">
        <f>IF(Year3_Swindon Year3_LAC_UASC="","",Year3_Swindon Year3_LAC_UASC)</f>
        <v>21</v>
      </c>
      <c r="AC272" s="555">
        <f>IF(Year4_Swindon Year4_LAC_UASC="","",Year4_Swindon Year4_LAC_UASC)</f>
        <v>26</v>
      </c>
      <c r="AD272" s="573">
        <f>IF(Year5_Swindon Year5_LAC_UASC="","",Year5_Swindon Year5_LAC_UASC)</f>
        <v>24</v>
      </c>
      <c r="AE272" s="463">
        <f t="shared" si="95"/>
        <v>0</v>
      </c>
      <c r="AF272" s="463">
        <f t="shared" si="96"/>
        <v>293</v>
      </c>
      <c r="AG272" s="463">
        <f t="shared" si="97"/>
        <v>330</v>
      </c>
      <c r="AH272" s="463">
        <f t="shared" si="98"/>
        <v>360</v>
      </c>
      <c r="AI272" s="463">
        <f t="shared" si="99"/>
        <v>348</v>
      </c>
      <c r="AJ272" s="179"/>
      <c r="AK272" s="156"/>
    </row>
    <row r="273" spans="1:46" s="89" customFormat="1" ht="12.75" customHeight="1" x14ac:dyDescent="0.2">
      <c r="A273" s="462">
        <f>VLOOKUP(B273,Sheet1!$AQ$4:$AR$25,2,FALSE)</f>
        <v>0</v>
      </c>
      <c r="B273" s="95" t="str">
        <f t="shared" si="87"/>
        <v>Torbay</v>
      </c>
      <c r="C273" s="87"/>
      <c r="D273" s="158">
        <f t="shared" si="88"/>
        <v>0</v>
      </c>
      <c r="E273" s="158">
        <f t="shared" si="89"/>
        <v>0</v>
      </c>
      <c r="F273" s="158" t="e">
        <f t="shared" si="90"/>
        <v>#N/A</v>
      </c>
      <c r="G273" s="158" t="e">
        <f t="shared" si="91"/>
        <v>#N/A</v>
      </c>
      <c r="H273" s="160" t="e">
        <f t="shared" si="92"/>
        <v>#N/A</v>
      </c>
      <c r="I273" s="98"/>
      <c r="J273" s="98"/>
      <c r="K273" s="162"/>
      <c r="L273" s="162"/>
      <c r="M273" s="162"/>
      <c r="N273" s="162"/>
      <c r="O273" s="162"/>
      <c r="P273" s="162"/>
      <c r="Q273" s="162"/>
      <c r="R273" s="163"/>
      <c r="S273" s="155"/>
      <c r="T273" s="155"/>
      <c r="U273" s="162"/>
      <c r="V273" s="124"/>
      <c r="W273" s="140"/>
      <c r="X273" s="149"/>
      <c r="Y273" s="420" t="str">
        <f t="shared" si="94"/>
        <v>Torbay</v>
      </c>
      <c r="Z273" s="463">
        <f>IF(Year1_Torbay Year1_LAC_UASC="","",Year1_Torbay Year1_LAC_UASC)</f>
        <v>0</v>
      </c>
      <c r="AA273" s="365">
        <f>IF(Year2_Torbay Year2_LAC_UASC="","",Year2_Torbay Year2_LAC_UASC)</f>
        <v>0</v>
      </c>
      <c r="AB273" s="365" t="str">
        <f>IF(Year3_Torbay Year3_LAC_UASC="","",Year3_Torbay Year3_LAC_UASC)</f>
        <v>c</v>
      </c>
      <c r="AC273" s="555" t="str">
        <f>IF(Year4_Torbay Year4_LAC_UASC="","",Year4_Torbay Year4_LAC_UASC)</f>
        <v>c</v>
      </c>
      <c r="AD273" s="573" t="str">
        <f>IF(Year5_Torbay Year5_LAC_UASC="","",Year5_Torbay Year5_LAC_UASC)</f>
        <v>x</v>
      </c>
      <c r="AE273" s="463">
        <f t="shared" si="95"/>
        <v>306</v>
      </c>
      <c r="AF273" s="463">
        <f t="shared" si="96"/>
        <v>279</v>
      </c>
      <c r="AG273" s="463">
        <f t="shared" si="97"/>
        <v>0</v>
      </c>
      <c r="AH273" s="463">
        <f t="shared" si="98"/>
        <v>0</v>
      </c>
      <c r="AI273" s="463">
        <f t="shared" si="99"/>
        <v>0</v>
      </c>
      <c r="AJ273" s="179"/>
      <c r="AK273" s="156"/>
    </row>
    <row r="274" spans="1:46" s="89" customFormat="1" ht="12.75" customHeight="1" x14ac:dyDescent="0.2">
      <c r="A274" s="462">
        <f>VLOOKUP(B274,Sheet1!$AQ$4:$AR$25,2,FALSE)</f>
        <v>0</v>
      </c>
      <c r="B274" s="95" t="str">
        <f t="shared" si="87"/>
        <v>West Berkshire</v>
      </c>
      <c r="C274" s="87"/>
      <c r="D274" s="158">
        <f t="shared" si="88"/>
        <v>5.8479532163742687E-2</v>
      </c>
      <c r="E274" s="158">
        <f t="shared" si="89"/>
        <v>8.2802547770700632E-2</v>
      </c>
      <c r="F274" s="158">
        <f t="shared" si="90"/>
        <v>9.9378881987577633E-2</v>
      </c>
      <c r="G274" s="158">
        <f t="shared" si="91"/>
        <v>0.1103448275862069</v>
      </c>
      <c r="H274" s="160">
        <f t="shared" si="92"/>
        <v>0.1744186046511628</v>
      </c>
      <c r="I274" s="98"/>
      <c r="J274" s="98"/>
      <c r="K274" s="162"/>
      <c r="L274" s="162"/>
      <c r="M274" s="162"/>
      <c r="N274" s="162"/>
      <c r="O274" s="162"/>
      <c r="P274" s="162"/>
      <c r="Q274" s="162"/>
      <c r="R274" s="163"/>
      <c r="S274" s="155"/>
      <c r="T274" s="155"/>
      <c r="U274" s="162"/>
      <c r="V274" s="124"/>
      <c r="W274" s="140"/>
      <c r="X274" s="149"/>
      <c r="Y274" s="420" t="str">
        <f t="shared" si="94"/>
        <v>West Berkshire</v>
      </c>
      <c r="Z274" s="463">
        <f>IF(Year1_West_Berkshire Year1_LAC_UASC="","",Year1_West_Berkshire Year1_LAC_UASC)</f>
        <v>10</v>
      </c>
      <c r="AA274" s="365">
        <f>IF(Year2_West_Berkshire Year2_LAC_UASC="","",Year2_West_Berkshire Year2_LAC_UASC)</f>
        <v>13</v>
      </c>
      <c r="AB274" s="365">
        <f>IF(Year3_West_Berkshire Year3_LAC_UASC="","",Year3_West_Berkshire Year3_LAC_UASC)</f>
        <v>16</v>
      </c>
      <c r="AC274" s="365">
        <f>IF(Year4_West_Berkshire Year4_LAC_UASC="","",Year4_West_Berkshire Year4_LAC_UASC)</f>
        <v>16</v>
      </c>
      <c r="AD274" s="552">
        <f>IF(Year5_West_Berkshire Year5_LAC_UASC="","",Year5_West_Berkshire Year5_LAC_UASC)</f>
        <v>30</v>
      </c>
      <c r="AE274" s="463">
        <f t="shared" si="95"/>
        <v>171</v>
      </c>
      <c r="AF274" s="463">
        <f t="shared" si="96"/>
        <v>157</v>
      </c>
      <c r="AG274" s="463">
        <f t="shared" si="97"/>
        <v>161</v>
      </c>
      <c r="AH274" s="463">
        <f t="shared" si="98"/>
        <v>145</v>
      </c>
      <c r="AI274" s="463">
        <f t="shared" si="99"/>
        <v>172</v>
      </c>
      <c r="AJ274" s="179"/>
      <c r="AK274" s="156"/>
    </row>
    <row r="275" spans="1:46" s="89" customFormat="1" ht="12.75" customHeight="1" x14ac:dyDescent="0.2">
      <c r="A275" s="462">
        <f>VLOOKUP(B275,Sheet1!$AQ$4:$AR$25,2,FALSE)</f>
        <v>0</v>
      </c>
      <c r="B275" s="95" t="str">
        <f t="shared" si="87"/>
        <v>West Sussex</v>
      </c>
      <c r="C275" s="87"/>
      <c r="D275" s="158">
        <f t="shared" si="88"/>
        <v>5.5900621118012424E-2</v>
      </c>
      <c r="E275" s="158">
        <f t="shared" si="89"/>
        <v>0.10015649452269171</v>
      </c>
      <c r="F275" s="158">
        <f t="shared" si="90"/>
        <v>0.11010558069381599</v>
      </c>
      <c r="G275" s="158">
        <f t="shared" si="91"/>
        <v>9.8011363636363633E-2</v>
      </c>
      <c r="H275" s="160">
        <f t="shared" si="92"/>
        <v>0.10227272727272728</v>
      </c>
      <c r="I275" s="98"/>
      <c r="J275" s="98"/>
      <c r="K275" s="162"/>
      <c r="L275" s="162"/>
      <c r="M275" s="162"/>
      <c r="N275" s="162"/>
      <c r="O275" s="162"/>
      <c r="P275" s="162"/>
      <c r="Q275" s="162"/>
      <c r="R275" s="163"/>
      <c r="S275" s="155"/>
      <c r="T275" s="155"/>
      <c r="U275" s="162"/>
      <c r="V275" s="124"/>
      <c r="W275" s="140"/>
      <c r="X275" s="149"/>
      <c r="Y275" s="420" t="str">
        <f t="shared" si="94"/>
        <v>West Sussex</v>
      </c>
      <c r="Z275" s="463">
        <f>IF(Year1_West_Sussex Year1_LAC_UASC="","",Year1_West_Sussex Year1_LAC_UASC)</f>
        <v>36</v>
      </c>
      <c r="AA275" s="365">
        <f>IF(Year2_West_Sussex Year2_LAC_UASC="","",Year2_West_Sussex Year2_LAC_UASC)</f>
        <v>64</v>
      </c>
      <c r="AB275" s="365">
        <f>IF(Year3_West_Sussex Year3_LAC_UASC="","",Year3_West_Sussex Year3_LAC_UASC)</f>
        <v>73</v>
      </c>
      <c r="AC275" s="365">
        <f>IF(Year4_West_Sussex Year4_LAC_UASC="","",Year4_West_Sussex Year4_LAC_UASC)</f>
        <v>69</v>
      </c>
      <c r="AD275" s="552">
        <f>IF(Year5_West_Sussex Year5_LAC_UASC="","",Year5_West_Sussex Year5_LAC_UASC)</f>
        <v>72</v>
      </c>
      <c r="AE275" s="463">
        <f t="shared" si="95"/>
        <v>644</v>
      </c>
      <c r="AF275" s="463">
        <f t="shared" si="96"/>
        <v>639</v>
      </c>
      <c r="AG275" s="463">
        <f t="shared" si="97"/>
        <v>663</v>
      </c>
      <c r="AH275" s="463">
        <f t="shared" si="98"/>
        <v>704</v>
      </c>
      <c r="AI275" s="463">
        <f t="shared" si="99"/>
        <v>704</v>
      </c>
      <c r="AJ275" s="179"/>
      <c r="AK275" s="156"/>
    </row>
    <row r="276" spans="1:46" s="89" customFormat="1" ht="12.75" customHeight="1" x14ac:dyDescent="0.2">
      <c r="A276" s="462">
        <f>VLOOKUP(B276,Sheet1!$AQ$4:$AR$25,2,FALSE)</f>
        <v>0</v>
      </c>
      <c r="B276" s="95" t="str">
        <f t="shared" si="87"/>
        <v>Windsor &amp; Maidenhead</v>
      </c>
      <c r="C276" s="87"/>
      <c r="D276" s="158">
        <f t="shared" si="88"/>
        <v>9.0909090909090912E-2</v>
      </c>
      <c r="E276" s="158" t="e">
        <f t="shared" si="89"/>
        <v>#N/A</v>
      </c>
      <c r="F276" s="158">
        <f t="shared" si="90"/>
        <v>6.4220183486238536E-2</v>
      </c>
      <c r="G276" s="158">
        <f t="shared" si="91"/>
        <v>6.5420560747663545E-2</v>
      </c>
      <c r="H276" s="160">
        <f t="shared" si="92"/>
        <v>8.0645161290322578E-2</v>
      </c>
      <c r="I276" s="98"/>
      <c r="J276" s="98"/>
      <c r="K276" s="162"/>
      <c r="L276" s="162"/>
      <c r="M276" s="162"/>
      <c r="N276" s="162"/>
      <c r="O276" s="162"/>
      <c r="P276" s="162"/>
      <c r="Q276" s="162"/>
      <c r="R276" s="163"/>
      <c r="S276" s="155"/>
      <c r="T276" s="155"/>
      <c r="U276" s="162"/>
      <c r="V276" s="124"/>
      <c r="W276" s="140"/>
      <c r="X276" s="149"/>
      <c r="Y276" s="420" t="str">
        <f t="shared" si="94"/>
        <v>Windsor &amp; Maidenhead</v>
      </c>
      <c r="Z276" s="463">
        <f>IF(Year1_Windsor_Maidenhead Year1_LAC_UASC="","",Year1_Windsor_Maidenhead Year1_LAC_UASC)</f>
        <v>9</v>
      </c>
      <c r="AA276" s="365" t="str">
        <f>IF(Year2_Windsor_Maidenhead Year2_LAC_UASC="","",Year2_Windsor_Maidenhead Year2_LAC_UASC)</f>
        <v>c</v>
      </c>
      <c r="AB276" s="365">
        <f>IF(Year3_Windsor_Maidenhead Year3_LAC_UASC="","",Year3_Windsor_Maidenhead Year3_LAC_UASC)</f>
        <v>7</v>
      </c>
      <c r="AC276" s="365">
        <f>IF(Year4_Windsor_Maidenhead Year4_LAC_UASC="","",Year4_Windsor_Maidenhead Year4_LAC_UASC)</f>
        <v>7</v>
      </c>
      <c r="AD276" s="552">
        <f>IF(Year5_Windsor_Maidenhead Year5_LAC_UASC="","",Year5_Windsor_Maidenhead Year5_LAC_UASC)</f>
        <v>10</v>
      </c>
      <c r="AE276" s="463">
        <f t="shared" si="95"/>
        <v>99</v>
      </c>
      <c r="AF276" s="463">
        <f t="shared" si="96"/>
        <v>0</v>
      </c>
      <c r="AG276" s="463">
        <f t="shared" si="97"/>
        <v>109</v>
      </c>
      <c r="AH276" s="463">
        <f t="shared" si="98"/>
        <v>107</v>
      </c>
      <c r="AI276" s="463">
        <f t="shared" si="99"/>
        <v>124</v>
      </c>
      <c r="AJ276" s="179"/>
      <c r="AK276" s="156"/>
    </row>
    <row r="277" spans="1:46" s="89" customFormat="1" ht="12.75" customHeight="1" x14ac:dyDescent="0.2">
      <c r="A277" s="462">
        <f>VLOOKUP(B277,Sheet1!$AQ$4:$AR$25,2,FALSE)</f>
        <v>0</v>
      </c>
      <c r="B277" s="95" t="str">
        <f t="shared" si="87"/>
        <v>Wokingham</v>
      </c>
      <c r="C277" s="87"/>
      <c r="D277" s="158" t="e">
        <f t="shared" si="88"/>
        <v>#N/A</v>
      </c>
      <c r="E277" s="158" t="e">
        <f t="shared" si="89"/>
        <v>#N/A</v>
      </c>
      <c r="F277" s="158">
        <f t="shared" si="90"/>
        <v>0.10666666666666667</v>
      </c>
      <c r="G277" s="158">
        <f t="shared" si="91"/>
        <v>0.13207547169811321</v>
      </c>
      <c r="H277" s="160">
        <f t="shared" si="92"/>
        <v>0.10909090909090909</v>
      </c>
      <c r="I277" s="98"/>
      <c r="J277" s="98"/>
      <c r="K277" s="162"/>
      <c r="L277" s="162"/>
      <c r="M277" s="162"/>
      <c r="N277" s="162"/>
      <c r="O277" s="162"/>
      <c r="P277" s="162"/>
      <c r="Q277" s="162"/>
      <c r="R277" s="163"/>
      <c r="S277" s="155"/>
      <c r="T277" s="155"/>
      <c r="U277" s="162"/>
      <c r="V277" s="124"/>
      <c r="W277" s="140"/>
      <c r="X277" s="149"/>
      <c r="Y277" s="420" t="str">
        <f t="shared" si="94"/>
        <v>Wokingham</v>
      </c>
      <c r="Z277" s="463" t="str">
        <f>IF(Year1_Wokingham Year1_LAC_UASC="","",Year1_Wokingham Year1_LAC_UASC)</f>
        <v>c</v>
      </c>
      <c r="AA277" s="365" t="str">
        <f>IF(Year2_Wokingham Year2_LAC_UASC="","",Year2_Wokingham Year2_LAC_UASC)</f>
        <v>c</v>
      </c>
      <c r="AB277" s="365">
        <f>IF(Year3_Wokingham Year3_LAC_UASC="","",Year3_Wokingham Year3_LAC_UASC)</f>
        <v>8</v>
      </c>
      <c r="AC277" s="365">
        <f>IF(Year4_Wokingham Year4_LAC_UASC="","",Year4_Wokingham Year4_LAC_UASC)</f>
        <v>14</v>
      </c>
      <c r="AD277" s="552">
        <f>IF(Year5_Wokingham Year5_LAC_UASC="","",Year5_Wokingham Year5_LAC_UASC)</f>
        <v>12</v>
      </c>
      <c r="AE277" s="463">
        <f t="shared" si="95"/>
        <v>0</v>
      </c>
      <c r="AF277" s="463">
        <f t="shared" si="96"/>
        <v>0</v>
      </c>
      <c r="AG277" s="463">
        <f t="shared" si="97"/>
        <v>75</v>
      </c>
      <c r="AH277" s="463">
        <f t="shared" si="98"/>
        <v>106</v>
      </c>
      <c r="AI277" s="463">
        <f t="shared" si="99"/>
        <v>110</v>
      </c>
      <c r="AJ277" s="179"/>
      <c r="AK277" s="156"/>
    </row>
    <row r="278" spans="1:46" s="89" customFormat="1" ht="12.75" customHeight="1" x14ac:dyDescent="0.2">
      <c r="A278" s="123"/>
      <c r="B278" s="131" t="str">
        <f t="shared" si="87"/>
        <v>South East</v>
      </c>
      <c r="C278" s="87"/>
      <c r="D278" s="159">
        <f>IF(AND(ISNUMBER(AE278),ISNUMBER(Z278)),Z278/AE278,NA())</f>
        <v>8.0047086521483221E-2</v>
      </c>
      <c r="E278" s="159">
        <f t="shared" ref="E278:H278" si="100">IF(AND(ISNUMBER(AF278),ISNUMBER(AA278)),AA278/AF278,NA())</f>
        <v>0.15841584158415842</v>
      </c>
      <c r="F278" s="159">
        <f t="shared" si="100"/>
        <v>0.11873350923482849</v>
      </c>
      <c r="G278" s="159">
        <f t="shared" si="100"/>
        <v>8.9985178911708666E-2</v>
      </c>
      <c r="H278" s="161">
        <f t="shared" si="100"/>
        <v>9.961606309017329E-2</v>
      </c>
      <c r="I278" s="98"/>
      <c r="J278" s="98"/>
      <c r="K278" s="164"/>
      <c r="L278" s="164"/>
      <c r="M278" s="164"/>
      <c r="N278" s="164"/>
      <c r="O278" s="164"/>
      <c r="P278" s="164"/>
      <c r="Q278" s="164"/>
      <c r="R278" s="165"/>
      <c r="S278" s="155"/>
      <c r="T278" s="155"/>
      <c r="U278" s="166"/>
      <c r="V278" s="124"/>
      <c r="W278" s="140"/>
      <c r="X278" s="149"/>
      <c r="Y278" s="420" t="str">
        <f t="shared" si="94"/>
        <v>South East</v>
      </c>
      <c r="Z278" s="576">
        <f>IF(Year1_SouthEast Year1_LAC_UASC="","",Year1_SouthEast Year1_LAC_UASC)</f>
        <v>680</v>
      </c>
      <c r="AA278" s="576">
        <f>IF(Year2_SouthEast Year2_LAC_UASC="","",Year2_SouthEast Year2_LAC_UASC)</f>
        <v>1360</v>
      </c>
      <c r="AB278" s="576">
        <f>IF(Year3_SouthEast Year3_LAC_UASC="","",Year3_SouthEast Year3_LAC_UASC)</f>
        <v>1080</v>
      </c>
      <c r="AC278" s="365">
        <f>IF(Year4_SouthEast Year4_LAC_UASC="","",Year4_SouthEast Year4_LAC_UASC)</f>
        <v>850</v>
      </c>
      <c r="AD278" s="552">
        <f>IF(Year5_SouthEast Year5_LAC_UASC="","",Year5_SouthEast Year5_LAC_UASC)</f>
        <v>960</v>
      </c>
      <c r="AE278" s="576">
        <f>SUM(AE256:AE268,AE270:AE271,AE274:AE277)</f>
        <v>8495</v>
      </c>
      <c r="AF278" s="576">
        <f t="shared" ref="AF278" si="101">SUM(AF256:AF268,AF270:AF271,AF274:AF277)</f>
        <v>8585</v>
      </c>
      <c r="AG278" s="576">
        <f t="shared" ref="AG278" si="102">SUM(AG256:AG268,AG270:AG271,AG274:AG277)</f>
        <v>9096</v>
      </c>
      <c r="AH278" s="576">
        <f t="shared" ref="AH278" si="103">SUM(AH256:AH268,AH270:AH271,AH274:AH277)</f>
        <v>9446</v>
      </c>
      <c r="AI278" s="576">
        <f t="shared" ref="AI278" si="104">SUM(AI256:AI268,AI270:AI271,AI274:AI277)</f>
        <v>9637</v>
      </c>
      <c r="AJ278" s="179"/>
      <c r="AK278" s="156"/>
    </row>
    <row r="279" spans="1:46" s="89" customFormat="1" ht="12.75" customHeight="1" x14ac:dyDescent="0.2">
      <c r="A279" s="123"/>
      <c r="B279" s="318" t="str">
        <f t="shared" si="87"/>
        <v>England</v>
      </c>
      <c r="C279" s="87"/>
      <c r="D279" s="470">
        <f t="shared" si="88"/>
        <v>3.9729379588311499E-2</v>
      </c>
      <c r="E279" s="470">
        <f t="shared" si="89"/>
        <v>6.1638971736969181E-2</v>
      </c>
      <c r="F279" s="470">
        <f t="shared" si="90"/>
        <v>6.4729376118991877E-2</v>
      </c>
      <c r="G279" s="470">
        <f t="shared" si="91"/>
        <v>6.0368847021361284E-2</v>
      </c>
      <c r="H279" s="469">
        <f t="shared" si="92"/>
        <v>6.4875239923224567E-2</v>
      </c>
      <c r="I279" s="98"/>
      <c r="J279" s="98"/>
      <c r="K279" s="164"/>
      <c r="L279" s="164"/>
      <c r="M279" s="164"/>
      <c r="N279" s="164"/>
      <c r="O279" s="164"/>
      <c r="P279" s="164"/>
      <c r="Q279" s="164"/>
      <c r="R279" s="165"/>
      <c r="S279" s="155"/>
      <c r="T279" s="155"/>
      <c r="U279" s="166"/>
      <c r="V279" s="124"/>
      <c r="W279" s="140"/>
      <c r="X279" s="149"/>
      <c r="Y279" s="420" t="str">
        <f t="shared" si="94"/>
        <v>England</v>
      </c>
      <c r="Z279" s="576">
        <f>IF(Year1_England Year1_LAC_UASC="","",Year1_England Year1_LAC_UASC)</f>
        <v>2760</v>
      </c>
      <c r="AA279" s="576">
        <f>IF(Year2_England Year2_LAC_UASC="","",Year2_England Year2_LAC_UASC)</f>
        <v>4340</v>
      </c>
      <c r="AB279" s="576">
        <f>IF(Year3_England Year3_LAC_UASC="","",Year3_England Year3_LAC_UASC)</f>
        <v>4700</v>
      </c>
      <c r="AC279" s="365">
        <f>IF(Year4_England Year4_LAC_UASC="","",Year4_England Year4_LAC_UASC)</f>
        <v>4550</v>
      </c>
      <c r="AD279" s="552">
        <f>IF(Year5_England Year5_LAC_UASC="","",Year5_England Year5_LAC_UASC)</f>
        <v>5070</v>
      </c>
      <c r="AE279" s="576" t="str">
        <f>IF(Year1_England Year1_LAC_3_or_more_Placements="","",Year1_England Year1_LAC_3_or_more_Placements)</f>
        <v/>
      </c>
      <c r="AF279" s="576">
        <f>IF(Year2_England Year2_LAC_3_or_more_Placements="","",Year2_England Year2_LAC_3_or_more_Placements)</f>
        <v>7250</v>
      </c>
      <c r="AG279" s="576">
        <f>IF(Year3_England Year3_LAC_3_or_more_Placements="","",Year3_England Year3_LAC_3_or_more_Placements)</f>
        <v>7520</v>
      </c>
      <c r="AH279" s="365">
        <f>IF(Year4_England Year4_LAC_3_or_more_Placements="","",Year4_England Year4_LAC_3_or_more_Placements)</f>
        <v>7890</v>
      </c>
      <c r="AI279" s="552">
        <f>IF(Year5_England Year5_LAC_3_or_more_Placements="","",Year5_England Year5_LAC_3_or_more_Placements)</f>
        <v>8110</v>
      </c>
      <c r="AJ279" s="179"/>
      <c r="AK279" s="156"/>
    </row>
    <row r="280" spans="1:46" s="89" customFormat="1" ht="7.5" customHeight="1" x14ac:dyDescent="0.2">
      <c r="A280" s="286"/>
      <c r="B280" s="98"/>
      <c r="C280" s="98"/>
      <c r="D280" s="98"/>
      <c r="E280" s="98"/>
      <c r="F280" s="98"/>
      <c r="G280" s="98"/>
      <c r="H280" s="98"/>
      <c r="I280" s="98"/>
      <c r="J280" s="98"/>
      <c r="K280" s="164"/>
      <c r="L280" s="164"/>
      <c r="M280" s="164"/>
      <c r="N280" s="164"/>
      <c r="O280" s="164"/>
      <c r="P280" s="164"/>
      <c r="Q280" s="164"/>
      <c r="R280" s="165"/>
      <c r="S280" s="155"/>
      <c r="T280" s="155"/>
      <c r="U280" s="166"/>
      <c r="V280" s="124"/>
      <c r="W280" s="140"/>
      <c r="X280" s="149"/>
      <c r="Y280" s="83"/>
      <c r="Z280" s="83"/>
      <c r="AA280" s="191"/>
      <c r="AB280" s="191"/>
      <c r="AC280" s="192"/>
      <c r="AD280" s="83"/>
      <c r="AE280" s="83"/>
      <c r="AF280" s="83"/>
      <c r="AG280" s="83"/>
      <c r="AH280" s="83"/>
      <c r="AI280" s="83"/>
      <c r="AJ280" s="179"/>
      <c r="AK280" s="156"/>
    </row>
    <row r="281" spans="1:46" s="83" customFormat="1" ht="38.25" customHeight="1" x14ac:dyDescent="0.2">
      <c r="A281" s="213"/>
      <c r="B281" s="385"/>
      <c r="C281" s="385"/>
      <c r="D281" s="385"/>
      <c r="E281" s="385"/>
      <c r="F281" s="385"/>
      <c r="G281" s="385"/>
      <c r="H281" s="385"/>
      <c r="I281" s="385"/>
      <c r="J281" s="168"/>
      <c r="K281" s="168"/>
      <c r="L281" s="168"/>
      <c r="M281" s="168"/>
      <c r="N281" s="168"/>
      <c r="O281" s="168"/>
      <c r="P281" s="168"/>
      <c r="Q281" s="168"/>
      <c r="R281" s="137"/>
      <c r="S281" s="168"/>
      <c r="T281" s="168"/>
      <c r="U281" s="168"/>
      <c r="V281" s="119"/>
      <c r="W281" s="138"/>
      <c r="X281" s="147"/>
      <c r="AD281" s="192"/>
      <c r="AE281" s="194"/>
      <c r="AF281" s="179"/>
      <c r="AG281" s="179"/>
      <c r="AH281" s="179"/>
      <c r="AJ281" s="179"/>
      <c r="AK281" s="157"/>
    </row>
    <row r="282" spans="1:46" s="83" customFormat="1" ht="39" customHeight="1" x14ac:dyDescent="0.2">
      <c r="A282" s="213"/>
      <c r="B282" s="385"/>
      <c r="C282" s="385"/>
      <c r="D282" s="385"/>
      <c r="E282" s="385"/>
      <c r="F282" s="385"/>
      <c r="G282" s="385"/>
      <c r="H282" s="385"/>
      <c r="I282" s="385"/>
      <c r="J282" s="168"/>
      <c r="K282" s="168"/>
      <c r="L282" s="168"/>
      <c r="M282" s="168"/>
      <c r="N282" s="168"/>
      <c r="O282" s="168"/>
      <c r="P282" s="168"/>
      <c r="Q282" s="168"/>
      <c r="R282" s="137"/>
      <c r="S282" s="168"/>
      <c r="T282" s="168"/>
      <c r="U282" s="168"/>
      <c r="V282" s="119"/>
      <c r="W282" s="138"/>
      <c r="X282" s="147"/>
      <c r="Z282" s="185"/>
      <c r="AE282" s="194"/>
      <c r="AF282" s="179"/>
      <c r="AG282" s="179"/>
      <c r="AH282" s="179"/>
      <c r="AJ282" s="179"/>
      <c r="AK282" s="157"/>
    </row>
    <row r="283" spans="1:46" s="83" customFormat="1" ht="38.25" customHeight="1" x14ac:dyDescent="0.2">
      <c r="A283" s="213"/>
      <c r="B283" s="385"/>
      <c r="C283" s="385"/>
      <c r="D283" s="385"/>
      <c r="E283" s="385"/>
      <c r="F283" s="385"/>
      <c r="G283" s="385"/>
      <c r="H283" s="385"/>
      <c r="I283" s="385"/>
      <c r="J283" s="168"/>
      <c r="K283" s="168"/>
      <c r="L283" s="168"/>
      <c r="M283" s="168"/>
      <c r="N283" s="168"/>
      <c r="O283" s="168"/>
      <c r="P283" s="168"/>
      <c r="Q283" s="168"/>
      <c r="R283" s="137"/>
      <c r="S283" s="168"/>
      <c r="T283" s="168"/>
      <c r="U283" s="168"/>
      <c r="V283" s="119"/>
      <c r="W283" s="138"/>
      <c r="X283" s="147"/>
      <c r="Z283" s="185"/>
      <c r="AE283" s="194"/>
      <c r="AF283" s="179"/>
      <c r="AG283" s="179"/>
      <c r="AH283" s="179"/>
      <c r="AJ283" s="179"/>
      <c r="AK283" s="157"/>
    </row>
    <row r="284" spans="1:46" s="83" customFormat="1" ht="7.5" customHeight="1" x14ac:dyDescent="0.2">
      <c r="A284" s="120"/>
      <c r="B284" s="18"/>
      <c r="C284" s="18"/>
      <c r="D284" s="17"/>
      <c r="E284" s="17"/>
      <c r="F284" s="17"/>
      <c r="G284" s="17"/>
      <c r="H284" s="17"/>
      <c r="I284" s="17"/>
      <c r="J284" s="13"/>
      <c r="K284" s="19"/>
      <c r="L284" s="19"/>
      <c r="M284" s="19"/>
      <c r="N284" s="19"/>
      <c r="O284" s="19"/>
      <c r="P284" s="19"/>
      <c r="Q284" s="19"/>
      <c r="R284" s="19"/>
      <c r="S284" s="19"/>
      <c r="T284" s="19"/>
      <c r="U284" s="20"/>
      <c r="V284" s="119"/>
      <c r="W284" s="138"/>
      <c r="X284" s="147"/>
      <c r="Z284" s="185"/>
      <c r="AJ284" s="179"/>
      <c r="AK284" s="153"/>
      <c r="AL284" s="76"/>
      <c r="AM284" s="76"/>
      <c r="AN284" s="76"/>
      <c r="AO284" s="76"/>
      <c r="AP284" s="76"/>
      <c r="AQ284" s="76"/>
      <c r="AR284" s="76"/>
    </row>
    <row r="285" spans="1:46" s="83" customFormat="1" ht="15" customHeight="1" x14ac:dyDescent="0.2">
      <c r="A285" s="1399"/>
      <c r="B285" s="1421"/>
      <c r="C285" s="1421"/>
      <c r="D285" s="1421"/>
      <c r="E285" s="1421"/>
      <c r="F285" s="1421"/>
      <c r="G285" s="1421"/>
      <c r="H285" s="1421"/>
      <c r="I285" s="1421"/>
      <c r="J285" s="1421"/>
      <c r="K285" s="1421"/>
      <c r="L285" s="1421"/>
      <c r="M285" s="1421"/>
      <c r="N285" s="1421"/>
      <c r="O285" s="1421"/>
      <c r="P285" s="1421"/>
      <c r="Q285" s="1421"/>
      <c r="R285" s="1421"/>
      <c r="S285" s="1421"/>
      <c r="T285" s="1421"/>
      <c r="U285" s="1421"/>
      <c r="V285" s="1422"/>
      <c r="W285" s="138"/>
      <c r="X285" s="147"/>
      <c r="AK285" s="157"/>
      <c r="AT285" s="76"/>
    </row>
    <row r="286" spans="1:46" s="83" customFormat="1" ht="11.25" customHeight="1" x14ac:dyDescent="0.2">
      <c r="A286" s="1428" t="str">
        <f>Home!$A$40</f>
        <v>LA's provide quarterly data on the condition that it is used by the benchmarking group for internal reporting only. Please DO NOT share other LA's data with any external partners or the public</v>
      </c>
      <c r="B286" s="1429"/>
      <c r="C286" s="1429"/>
      <c r="D286" s="1429"/>
      <c r="E286" s="1429"/>
      <c r="F286" s="1429"/>
      <c r="G286" s="1429"/>
      <c r="H286" s="1429"/>
      <c r="I286" s="1430"/>
      <c r="J286" s="1429"/>
      <c r="K286" s="1429"/>
      <c r="L286" s="1429"/>
      <c r="M286" s="1429"/>
      <c r="N286" s="1429"/>
      <c r="O286" s="1429"/>
      <c r="P286" s="1431"/>
      <c r="Q286" s="1429"/>
      <c r="R286" s="1429"/>
      <c r="S286" s="1429"/>
      <c r="T286" s="1430"/>
      <c r="U286" s="1429"/>
      <c r="V286" s="1432"/>
      <c r="W286" s="138"/>
      <c r="X286" s="147"/>
      <c r="AJ286" s="179"/>
      <c r="AK286" s="156"/>
      <c r="AL286" s="89"/>
      <c r="AT286" s="76"/>
    </row>
    <row r="287" spans="1:46" ht="11.25" customHeight="1" x14ac:dyDescent="0.2">
      <c r="A287" s="114"/>
      <c r="B287" s="115"/>
      <c r="C287" s="115"/>
      <c r="D287" s="115"/>
      <c r="E287" s="115"/>
      <c r="F287" s="115"/>
      <c r="G287" s="115"/>
      <c r="H287" s="115"/>
      <c r="I287" s="115"/>
      <c r="J287" s="116"/>
      <c r="K287" s="115"/>
      <c r="L287" s="115"/>
      <c r="M287" s="115"/>
      <c r="N287" s="115"/>
      <c r="O287" s="115"/>
      <c r="P287" s="115"/>
      <c r="Q287" s="115"/>
      <c r="R287" s="115"/>
      <c r="S287" s="115"/>
      <c r="T287" s="115"/>
      <c r="U287" s="115"/>
      <c r="V287" s="117"/>
      <c r="W287" s="138"/>
      <c r="X287" s="147"/>
      <c r="Y287" s="193"/>
      <c r="Z287" s="191"/>
      <c r="AA287" s="183"/>
      <c r="AJ287" s="179"/>
      <c r="AK287" s="156"/>
    </row>
    <row r="288" spans="1:46" s="78" customFormat="1" ht="21" customHeight="1" x14ac:dyDescent="0.2">
      <c r="A288" s="121"/>
      <c r="B288" s="1442" t="str">
        <f>"Age breakdown of Children Looked After"&amp;Z1&amp;" ("&amp;Y288&amp;")"</f>
        <v>Age breakdown of Children Looked After at 31st March (2018-19)</v>
      </c>
      <c r="C288" s="1442"/>
      <c r="D288" s="1442"/>
      <c r="E288" s="1442"/>
      <c r="F288" s="1442"/>
      <c r="G288" s="1442"/>
      <c r="H288" s="1442"/>
      <c r="I288" s="1442"/>
      <c r="J288" s="1442"/>
      <c r="K288" s="1442"/>
      <c r="L288" s="1442"/>
      <c r="M288" s="1442"/>
      <c r="N288" s="1442"/>
      <c r="O288" s="1442"/>
      <c r="P288" s="873"/>
      <c r="Q288" s="162"/>
      <c r="R288" s="69"/>
      <c r="S288" s="69"/>
      <c r="T288" s="69"/>
      <c r="U288" s="69"/>
      <c r="V288" s="122"/>
      <c r="W288" s="139"/>
      <c r="X288" s="148"/>
      <c r="Y288" s="985" t="str">
        <f>IF(Sheet1!C3="Annual",'Looked After Children'!AD3,(AD3&amp;" "&amp;AD2))</f>
        <v>2018-19</v>
      </c>
      <c r="Z288" s="375"/>
      <c r="AA288" s="376"/>
      <c r="AB288" s="376"/>
      <c r="AC288" s="376"/>
      <c r="AD288" s="83"/>
      <c r="AE288" s="83"/>
      <c r="AF288" s="83"/>
      <c r="AG288" s="83"/>
      <c r="AH288" s="83"/>
      <c r="AI288" s="83"/>
      <c r="AJ288" s="179"/>
      <c r="AK288" s="156"/>
    </row>
    <row r="289" spans="1:45" ht="25.5" customHeight="1" x14ac:dyDescent="0.2">
      <c r="A289" s="120"/>
      <c r="B289" s="1531" t="s">
        <v>190</v>
      </c>
      <c r="C289" s="220"/>
      <c r="D289" s="1391" t="s">
        <v>163</v>
      </c>
      <c r="E289" s="1596"/>
      <c r="F289" s="1596"/>
      <c r="G289" s="1596"/>
      <c r="H289" s="1597"/>
      <c r="I289" s="1602" t="s">
        <v>164</v>
      </c>
      <c r="J289" s="1603"/>
      <c r="K289" s="1603"/>
      <c r="L289" s="1603"/>
      <c r="M289" s="1603"/>
      <c r="N289" s="1604"/>
      <c r="O289" s="387"/>
      <c r="P289" s="388"/>
      <c r="Q289" s="388"/>
      <c r="R289" s="388"/>
      <c r="S289" s="388"/>
      <c r="T289" s="389"/>
      <c r="U289" s="390"/>
      <c r="V289" s="119"/>
      <c r="W289" s="138"/>
      <c r="X289" s="147"/>
      <c r="Y289" s="374" t="s">
        <v>178</v>
      </c>
      <c r="Z289" s="375"/>
      <c r="AA289" s="376"/>
      <c r="AB289" s="376"/>
      <c r="AC289" s="376"/>
      <c r="AJ289" s="179"/>
      <c r="AK289" s="156"/>
    </row>
    <row r="290" spans="1:45" s="89" customFormat="1" ht="12" customHeight="1" x14ac:dyDescent="0.2">
      <c r="A290" s="123"/>
      <c r="B290" s="1588"/>
      <c r="C290" s="87"/>
      <c r="D290" s="338" t="s">
        <v>153</v>
      </c>
      <c r="E290" s="338" t="s">
        <v>155</v>
      </c>
      <c r="F290" s="338" t="s">
        <v>156</v>
      </c>
      <c r="G290" s="338" t="s">
        <v>157</v>
      </c>
      <c r="H290" s="339" t="s">
        <v>154</v>
      </c>
      <c r="I290" s="340" t="s">
        <v>158</v>
      </c>
      <c r="J290" s="1600" t="s">
        <v>159</v>
      </c>
      <c r="K290" s="1601"/>
      <c r="L290" s="381" t="s">
        <v>160</v>
      </c>
      <c r="M290" s="382" t="s">
        <v>161</v>
      </c>
      <c r="N290" s="383" t="s">
        <v>162</v>
      </c>
      <c r="O290" s="391"/>
      <c r="P290" s="385"/>
      <c r="Q290" s="380"/>
      <c r="R290" s="380"/>
      <c r="S290" s="380"/>
      <c r="T290" s="168"/>
      <c r="U290" s="392"/>
      <c r="V290" s="124"/>
      <c r="W290" s="140"/>
      <c r="X290" s="149"/>
      <c r="Y290" s="365"/>
      <c r="Z290" s="419" t="str">
        <f>D290</f>
        <v>Under 1</v>
      </c>
      <c r="AA290" s="419" t="str">
        <f t="shared" ref="AA290" si="105">E290</f>
        <v xml:space="preserve">      1 - 4    </v>
      </c>
      <c r="AB290" s="419" t="str">
        <f t="shared" ref="AB290" si="106">F290</f>
        <v xml:space="preserve">      5 - 9    </v>
      </c>
      <c r="AC290" s="419" t="str">
        <f>G290</f>
        <v xml:space="preserve">   10 - 15  </v>
      </c>
      <c r="AD290" s="419" t="str">
        <f>H290</f>
        <v>16 +</v>
      </c>
      <c r="AE290" s="83"/>
      <c r="AF290" s="83" t="s">
        <v>185</v>
      </c>
      <c r="AG290" s="83"/>
      <c r="AH290" s="83"/>
      <c r="AI290" s="83"/>
      <c r="AJ290" s="179"/>
      <c r="AK290" s="156"/>
    </row>
    <row r="291" spans="1:45" s="89" customFormat="1" ht="15" customHeight="1" x14ac:dyDescent="0.2">
      <c r="A291" s="462">
        <f>VLOOKUP(B291,Sheet1!$AQ$4:$AR$25,2,FALSE)</f>
        <v>0</v>
      </c>
      <c r="B291" s="95" t="str">
        <f t="shared" ref="B291:B313" si="107">B184</f>
        <v>Bracknell Forest</v>
      </c>
      <c r="C291" s="87"/>
      <c r="D291" s="572" t="e">
        <f>IF(ISNUMBER(Z291),Z291,NA())</f>
        <v>#N/A</v>
      </c>
      <c r="E291" s="572" t="e">
        <f t="shared" ref="E291:H291" si="108">IF(ISNUMBER(AA291),AA291,NA())</f>
        <v>#N/A</v>
      </c>
      <c r="F291" s="572">
        <f t="shared" si="108"/>
        <v>24</v>
      </c>
      <c r="G291" s="572">
        <f t="shared" si="108"/>
        <v>74</v>
      </c>
      <c r="H291" s="602">
        <f t="shared" si="108"/>
        <v>38</v>
      </c>
      <c r="I291" s="603" t="e">
        <f>IF($AF291&gt;0,Z291/$AF291,NA())</f>
        <v>#VALUE!</v>
      </c>
      <c r="J291" s="1584" t="e">
        <f>IF($AF291&gt;0,AA291/$AF291,NA())</f>
        <v>#VALUE!</v>
      </c>
      <c r="K291" s="1585"/>
      <c r="L291" s="603">
        <f>IF($AF291&gt;0,AB291/$AF291,NA())</f>
        <v>0.17647058823529413</v>
      </c>
      <c r="M291" s="603">
        <f t="shared" ref="M291:N291" si="109">IF($AF291&gt;0,AC291/$AF291,NA())</f>
        <v>0.54411764705882348</v>
      </c>
      <c r="N291" s="604">
        <f t="shared" si="109"/>
        <v>0.27941176470588236</v>
      </c>
      <c r="O291" s="391"/>
      <c r="P291" s="385"/>
      <c r="Q291" s="380"/>
      <c r="R291" s="380"/>
      <c r="S291" s="380"/>
      <c r="T291" s="168"/>
      <c r="U291" s="392"/>
      <c r="V291" s="124"/>
      <c r="W291" s="140"/>
      <c r="X291" s="149"/>
      <c r="Y291" s="365" t="str">
        <f>B291</f>
        <v>Bracknell Forest</v>
      </c>
      <c r="Z291" s="365" t="str">
        <f>IF(Year5_Bracknell_Forest Year5_LAC_Under1="","",Year5_Bracknell_Forest Year5_LAC_Under1)</f>
        <v>x</v>
      </c>
      <c r="AA291" s="365" t="str">
        <f>IF(Year5_Bracknell_Forest Year5_LAC_1to4="","",Year5_Bracknell_Forest Year5_LAC_1to4)</f>
        <v>x</v>
      </c>
      <c r="AB291" s="365">
        <f>IF(Year5_Bracknell_Forest Year5_LAC_5to9="","",Year5_Bracknell_Forest Year5_LAC_5to9)</f>
        <v>24</v>
      </c>
      <c r="AC291" s="365">
        <f>IF(Year5_Bracknell_Forest Year5_LAC_10to15="","",Year5_Bracknell_Forest Year5_LAC_10to15)</f>
        <v>74</v>
      </c>
      <c r="AD291" s="365">
        <f>IF(Year5_Bracknell_Forest Year5_LAC_16plus="","",Year5_Bracknell_Forest Year5_LAC_16plus)</f>
        <v>38</v>
      </c>
      <c r="AE291" s="83" t="e">
        <f>IF(Y291=$Z$4,1,NA())</f>
        <v>#N/A</v>
      </c>
      <c r="AF291" s="83">
        <f>IF(SUM(Z291:AD291)&gt;0,SUM(Z291:AD291),NA())</f>
        <v>136</v>
      </c>
      <c r="AG291" s="83"/>
      <c r="AH291" s="83"/>
      <c r="AI291" s="83"/>
      <c r="AJ291" s="179"/>
      <c r="AK291" s="156"/>
    </row>
    <row r="292" spans="1:45" s="89" customFormat="1" ht="15" customHeight="1" x14ac:dyDescent="0.2">
      <c r="A292" s="462">
        <f>VLOOKUP(B292,Sheet1!$AQ$4:$AR$25,2,FALSE)</f>
        <v>0</v>
      </c>
      <c r="B292" s="95" t="str">
        <f t="shared" si="107"/>
        <v>Brighton &amp; Hove</v>
      </c>
      <c r="C292" s="87"/>
      <c r="D292" s="572">
        <f t="shared" ref="D292:D314" si="110">IF(ISNUMBER(Z292),Z292,NA())</f>
        <v>14</v>
      </c>
      <c r="E292" s="572">
        <f t="shared" ref="E292:E314" si="111">IF(ISNUMBER(AA292),AA292,NA())</f>
        <v>33</v>
      </c>
      <c r="F292" s="572">
        <f t="shared" ref="F292:F314" si="112">IF(ISNUMBER(AB292),AB292,NA())</f>
        <v>67</v>
      </c>
      <c r="G292" s="572">
        <f t="shared" ref="G292:G314" si="113">IF(ISNUMBER(AC292),AC292,NA())</f>
        <v>156</v>
      </c>
      <c r="H292" s="602">
        <f t="shared" ref="H292:H314" si="114">IF(ISNUMBER(AD292),AD292,NA())</f>
        <v>121</v>
      </c>
      <c r="I292" s="603">
        <f t="shared" ref="I292:J314" si="115">IF($AF292&gt;0,Z292/$AF292,NA())</f>
        <v>3.5805626598465472E-2</v>
      </c>
      <c r="J292" s="1584">
        <f t="shared" si="115"/>
        <v>8.4398976982097182E-2</v>
      </c>
      <c r="K292" s="1585"/>
      <c r="L292" s="603">
        <f t="shared" ref="L292:L314" si="116">IF($AF292&gt;0,AB292/$AF292,NA())</f>
        <v>0.17135549872122763</v>
      </c>
      <c r="M292" s="603">
        <f t="shared" ref="M292:M314" si="117">IF($AF292&gt;0,AC292/$AF292,NA())</f>
        <v>0.39897698209718668</v>
      </c>
      <c r="N292" s="604">
        <f t="shared" ref="N292:N314" si="118">IF($AF292&gt;0,AD292/$AF292,NA())</f>
        <v>0.30946291560102301</v>
      </c>
      <c r="O292" s="391"/>
      <c r="P292" s="385"/>
      <c r="Q292" s="380"/>
      <c r="R292" s="380"/>
      <c r="S292" s="380"/>
      <c r="T292" s="168"/>
      <c r="U292" s="392"/>
      <c r="V292" s="124"/>
      <c r="W292" s="140"/>
      <c r="X292" s="149"/>
      <c r="Y292" s="365" t="str">
        <f t="shared" ref="Y292:Y314" si="119">B292</f>
        <v>Brighton &amp; Hove</v>
      </c>
      <c r="Z292" s="365">
        <f>IF(Year5_Brighton_Hove Year5_LAC_Under1="","",Year5_Brighton_Hove Year5_LAC_Under1)</f>
        <v>14</v>
      </c>
      <c r="AA292" s="365">
        <f>IF(Year5_Brighton_Hove Year5_LAC_1to4="","",Year5_Brighton_Hove Year5_LAC_1to4)</f>
        <v>33</v>
      </c>
      <c r="AB292" s="365">
        <f>IF(Year5_Brighton_Hove Year5_LAC_5to9="","",Year5_Brighton_Hove Year5_LAC_5to9)</f>
        <v>67</v>
      </c>
      <c r="AC292" s="365">
        <f>IF(Year5_Brighton_Hove Year5_LAC_10to15="","",Year5_Brighton_Hove Year5_LAC_10to15)</f>
        <v>156</v>
      </c>
      <c r="AD292" s="365">
        <f>IF(Year5_Brighton_Hove Year5_LAC_16plus="","",Year5_Brighton_Hove Year5_LAC_16plus)</f>
        <v>121</v>
      </c>
      <c r="AE292" s="83" t="e">
        <f>IF(Y292=$Z$4,1,NA())</f>
        <v>#N/A</v>
      </c>
      <c r="AF292" s="83">
        <f t="shared" ref="AF292:AF314" si="120">IF(SUM(Z292:AD292)&gt;0,SUM(Z292:AD292),NA())</f>
        <v>391</v>
      </c>
      <c r="AG292" s="83"/>
      <c r="AH292" s="83"/>
      <c r="AI292" s="83"/>
      <c r="AJ292" s="179"/>
      <c r="AK292" s="156"/>
    </row>
    <row r="293" spans="1:45" s="89" customFormat="1" ht="15" customHeight="1" x14ac:dyDescent="0.2">
      <c r="A293" s="462">
        <f>VLOOKUP(B293,Sheet1!$AQ$4:$AR$25,2,FALSE)</f>
        <v>0</v>
      </c>
      <c r="B293" s="95" t="str">
        <f t="shared" si="107"/>
        <v>Buckinghamshire</v>
      </c>
      <c r="C293" s="87"/>
      <c r="D293" s="572">
        <f t="shared" si="110"/>
        <v>21</v>
      </c>
      <c r="E293" s="572">
        <f t="shared" si="111"/>
        <v>62</v>
      </c>
      <c r="F293" s="572">
        <f t="shared" si="112"/>
        <v>78</v>
      </c>
      <c r="G293" s="572">
        <f t="shared" si="113"/>
        <v>219</v>
      </c>
      <c r="H293" s="602">
        <f t="shared" si="114"/>
        <v>135</v>
      </c>
      <c r="I293" s="603">
        <f t="shared" si="115"/>
        <v>4.0776699029126215E-2</v>
      </c>
      <c r="J293" s="1584">
        <f t="shared" si="115"/>
        <v>0.12038834951456311</v>
      </c>
      <c r="K293" s="1585"/>
      <c r="L293" s="603">
        <f t="shared" si="116"/>
        <v>0.15145631067961166</v>
      </c>
      <c r="M293" s="603">
        <f t="shared" si="117"/>
        <v>0.42524271844660194</v>
      </c>
      <c r="N293" s="604">
        <f t="shared" si="118"/>
        <v>0.26213592233009708</v>
      </c>
      <c r="O293" s="391"/>
      <c r="P293" s="385"/>
      <c r="Q293" s="380"/>
      <c r="R293" s="380"/>
      <c r="S293" s="380"/>
      <c r="T293" s="168"/>
      <c r="U293" s="392"/>
      <c r="V293" s="124"/>
      <c r="W293" s="140"/>
      <c r="X293" s="149"/>
      <c r="Y293" s="365" t="str">
        <f t="shared" si="119"/>
        <v>Buckinghamshire</v>
      </c>
      <c r="Z293" s="365">
        <f>IF(Year5_Buckinghamshire Year5_LAC_Under1="","",Year5_Buckinghamshire Year5_LAC_Under1)</f>
        <v>21</v>
      </c>
      <c r="AA293" s="365">
        <f>IF(Year5_Buckinghamshire Year5_LAC_1to4="","",Year5_Buckinghamshire Year5_LAC_1to4)</f>
        <v>62</v>
      </c>
      <c r="AB293" s="365">
        <f>IF(Year5_Buckinghamshire Year5_LAC_5to9="","",Year5_Buckinghamshire Year5_LAC_5to9)</f>
        <v>78</v>
      </c>
      <c r="AC293" s="365">
        <f>IF(Year5_Buckinghamshire Year5_LAC_10to15="","",Year5_Buckinghamshire Year5_LAC_10to15)</f>
        <v>219</v>
      </c>
      <c r="AD293" s="365">
        <f>IF(Year5_Buckinghamshire Year5_LAC_16plus="","",Year5_Buckinghamshire Year5_LAC_16plus)</f>
        <v>135</v>
      </c>
      <c r="AE293" s="83" t="e">
        <f t="shared" ref="AE293:AE314" si="121">IF(Y293=$Z$4,1,NA())</f>
        <v>#N/A</v>
      </c>
      <c r="AF293" s="83">
        <f t="shared" si="120"/>
        <v>515</v>
      </c>
      <c r="AG293" s="83"/>
      <c r="AH293" s="83"/>
      <c r="AI293" s="83"/>
      <c r="AJ293" s="179"/>
      <c r="AK293" s="156"/>
    </row>
    <row r="294" spans="1:45" s="89" customFormat="1" ht="15" customHeight="1" x14ac:dyDescent="0.2">
      <c r="A294" s="462">
        <f>VLOOKUP(B294,Sheet1!$AQ$4:$AR$25,2,FALSE)</f>
        <v>0</v>
      </c>
      <c r="B294" s="95" t="str">
        <f t="shared" si="107"/>
        <v>East Sussex</v>
      </c>
      <c r="C294" s="87"/>
      <c r="D294" s="572">
        <f t="shared" si="110"/>
        <v>32</v>
      </c>
      <c r="E294" s="572">
        <f t="shared" si="111"/>
        <v>83</v>
      </c>
      <c r="F294" s="572">
        <f t="shared" si="112"/>
        <v>116</v>
      </c>
      <c r="G294" s="572">
        <f t="shared" si="113"/>
        <v>250</v>
      </c>
      <c r="H294" s="602">
        <f t="shared" si="114"/>
        <v>119</v>
      </c>
      <c r="I294" s="603">
        <f t="shared" si="115"/>
        <v>5.3333333333333337E-2</v>
      </c>
      <c r="J294" s="1584">
        <f t="shared" si="115"/>
        <v>0.13833333333333334</v>
      </c>
      <c r="K294" s="1585"/>
      <c r="L294" s="603">
        <f t="shared" si="116"/>
        <v>0.19333333333333333</v>
      </c>
      <c r="M294" s="603">
        <f t="shared" si="117"/>
        <v>0.41666666666666669</v>
      </c>
      <c r="N294" s="604">
        <f t="shared" si="118"/>
        <v>0.19833333333333333</v>
      </c>
      <c r="O294" s="391"/>
      <c r="P294" s="385"/>
      <c r="Q294" s="380"/>
      <c r="R294" s="380"/>
      <c r="S294" s="380"/>
      <c r="T294" s="168"/>
      <c r="U294" s="392"/>
      <c r="V294" s="124"/>
      <c r="W294" s="140"/>
      <c r="X294" s="149"/>
      <c r="Y294" s="365" t="str">
        <f t="shared" si="119"/>
        <v>East Sussex</v>
      </c>
      <c r="Z294" s="365">
        <f>IF(Year5_East_Sussex Year5_LAC_Under1="","",Year5_East_Sussex Year5_LAC_Under1)</f>
        <v>32</v>
      </c>
      <c r="AA294" s="365">
        <f>IF(Year5_East_Sussex Year5_LAC_1to4="","",Year5_East_Sussex Year5_LAC_1to4)</f>
        <v>83</v>
      </c>
      <c r="AB294" s="365">
        <f>IF(Year5_East_Sussex Year5_LAC_5to9="","",Year5_East_Sussex Year5_LAC_5to9)</f>
        <v>116</v>
      </c>
      <c r="AC294" s="365">
        <f>IF(Year5_East_Sussex Year5_LAC_10to15="","",Year5_East_Sussex Year5_LAC_10to15)</f>
        <v>250</v>
      </c>
      <c r="AD294" s="365">
        <f>IF(Year5_East_Sussex Year5_LAC_16plus="","",Year5_East_Sussex Year5_LAC_16plus)</f>
        <v>119</v>
      </c>
      <c r="AE294" s="83" t="e">
        <f t="shared" si="121"/>
        <v>#N/A</v>
      </c>
      <c r="AF294" s="83">
        <f t="shared" si="120"/>
        <v>600</v>
      </c>
      <c r="AG294" s="83"/>
      <c r="AH294" s="83"/>
      <c r="AI294" s="83"/>
      <c r="AJ294" s="179"/>
      <c r="AK294" s="156"/>
    </row>
    <row r="295" spans="1:45" s="89" customFormat="1" ht="15" customHeight="1" x14ac:dyDescent="0.2">
      <c r="A295" s="462">
        <f>VLOOKUP(B295,Sheet1!$AQ$4:$AR$25,2,FALSE)</f>
        <v>0</v>
      </c>
      <c r="B295" s="95" t="str">
        <f t="shared" si="107"/>
        <v>Hampshire</v>
      </c>
      <c r="C295" s="87"/>
      <c r="D295" s="572">
        <f t="shared" si="110"/>
        <v>62</v>
      </c>
      <c r="E295" s="572">
        <f t="shared" si="111"/>
        <v>200</v>
      </c>
      <c r="F295" s="572">
        <f t="shared" si="112"/>
        <v>356</v>
      </c>
      <c r="G295" s="572">
        <f t="shared" si="113"/>
        <v>648</v>
      </c>
      <c r="H295" s="602">
        <f t="shared" si="114"/>
        <v>398</v>
      </c>
      <c r="I295" s="603">
        <f t="shared" si="115"/>
        <v>3.7259615384615384E-2</v>
      </c>
      <c r="J295" s="1584">
        <f t="shared" si="115"/>
        <v>0.1201923076923077</v>
      </c>
      <c r="K295" s="1585"/>
      <c r="L295" s="603">
        <f t="shared" si="116"/>
        <v>0.21394230769230768</v>
      </c>
      <c r="M295" s="603">
        <f t="shared" si="117"/>
        <v>0.38942307692307693</v>
      </c>
      <c r="N295" s="604">
        <f t="shared" si="118"/>
        <v>0.23918269230769232</v>
      </c>
      <c r="O295" s="391"/>
      <c r="P295" s="385"/>
      <c r="Q295" s="380"/>
      <c r="R295" s="380"/>
      <c r="S295" s="380"/>
      <c r="T295" s="168"/>
      <c r="U295" s="392"/>
      <c r="V295" s="124"/>
      <c r="W295" s="140"/>
      <c r="X295" s="149"/>
      <c r="Y295" s="365" t="str">
        <f t="shared" si="119"/>
        <v>Hampshire</v>
      </c>
      <c r="Z295" s="365">
        <f>IF(Year5_Hampshire Year5_LAC_Under1="","",Year5_Hampshire Year5_LAC_Under1)</f>
        <v>62</v>
      </c>
      <c r="AA295" s="365">
        <f>IF(Year5_Hampshire Year5_LAC_1to4="","",Year5_Hampshire Year5_LAC_1to4)</f>
        <v>200</v>
      </c>
      <c r="AB295" s="365">
        <f>IF(Year5_Hampshire Year5_LAC_5to9="","",Year5_Hampshire Year5_LAC_5to9)</f>
        <v>356</v>
      </c>
      <c r="AC295" s="365">
        <f>IF(Year5_Hampshire Year5_LAC_10to15="","",Year5_Hampshire Year5_LAC_10to15)</f>
        <v>648</v>
      </c>
      <c r="AD295" s="365">
        <f>IF(Year5_Hampshire Year5_LAC_16plus="","",Year5_Hampshire Year5_LAC_16plus)</f>
        <v>398</v>
      </c>
      <c r="AE295" s="83" t="e">
        <f t="shared" si="121"/>
        <v>#N/A</v>
      </c>
      <c r="AF295" s="83">
        <f t="shared" si="120"/>
        <v>1664</v>
      </c>
      <c r="AG295" s="83"/>
      <c r="AH295" s="83"/>
      <c r="AI295" s="83"/>
      <c r="AJ295" s="179"/>
      <c r="AK295" s="156"/>
    </row>
    <row r="296" spans="1:45" s="89" customFormat="1" ht="15" customHeight="1" x14ac:dyDescent="0.2">
      <c r="A296" s="462">
        <f>VLOOKUP(B296,Sheet1!$AQ$4:$AR$25,2,FALSE)</f>
        <v>0</v>
      </c>
      <c r="B296" s="95" t="str">
        <f t="shared" si="107"/>
        <v>Isle of Wight</v>
      </c>
      <c r="C296" s="87"/>
      <c r="D296" s="572">
        <f t="shared" si="110"/>
        <v>13</v>
      </c>
      <c r="E296" s="572">
        <f t="shared" si="111"/>
        <v>38</v>
      </c>
      <c r="F296" s="572">
        <f t="shared" si="112"/>
        <v>58</v>
      </c>
      <c r="G296" s="572">
        <f t="shared" si="113"/>
        <v>95</v>
      </c>
      <c r="H296" s="602">
        <f t="shared" si="114"/>
        <v>39</v>
      </c>
      <c r="I296" s="603">
        <f t="shared" si="115"/>
        <v>5.3497942386831275E-2</v>
      </c>
      <c r="J296" s="1584">
        <f t="shared" si="115"/>
        <v>0.15637860082304528</v>
      </c>
      <c r="K296" s="1585"/>
      <c r="L296" s="603">
        <f t="shared" si="116"/>
        <v>0.23868312757201646</v>
      </c>
      <c r="M296" s="603">
        <f t="shared" si="117"/>
        <v>0.39094650205761317</v>
      </c>
      <c r="N296" s="604">
        <f t="shared" si="118"/>
        <v>0.16049382716049382</v>
      </c>
      <c r="O296" s="391"/>
      <c r="P296" s="385"/>
      <c r="Q296" s="380"/>
      <c r="R296" s="380"/>
      <c r="S296" s="380"/>
      <c r="T296" s="168"/>
      <c r="U296" s="392"/>
      <c r="V296" s="124"/>
      <c r="W296" s="140"/>
      <c r="X296" s="149"/>
      <c r="Y296" s="365" t="str">
        <f t="shared" si="119"/>
        <v>Isle of Wight</v>
      </c>
      <c r="Z296" s="365">
        <f>IF(Year5_Isle_of_Wight Year5_LAC_Under1="","",Year5_Isle_of_Wight Year5_LAC_Under1)</f>
        <v>13</v>
      </c>
      <c r="AA296" s="365">
        <f>IF(Year5_Isle_of_Wight Year5_LAC_1to4="","",Year5_Isle_of_Wight Year5_LAC_1to4)</f>
        <v>38</v>
      </c>
      <c r="AB296" s="365">
        <f>IF(Year5_Isle_of_Wight Year5_LAC_5to9="","",Year5_Isle_of_Wight Year5_LAC_5to9)</f>
        <v>58</v>
      </c>
      <c r="AC296" s="365">
        <f>IF(Year5_Isle_of_Wight Year5_LAC_10to15="","",Year5_Isle_of_Wight Year5_LAC_10to15)</f>
        <v>95</v>
      </c>
      <c r="AD296" s="365">
        <f>IF(Year5_Isle_of_Wight Year5_LAC_16plus="","",Year5_Isle_of_Wight Year5_LAC_16plus)</f>
        <v>39</v>
      </c>
      <c r="AE296" s="83" t="e">
        <f t="shared" si="121"/>
        <v>#N/A</v>
      </c>
      <c r="AF296" s="83">
        <f t="shared" si="120"/>
        <v>243</v>
      </c>
      <c r="AG296" s="83"/>
      <c r="AH296" s="83"/>
      <c r="AI296" s="83"/>
      <c r="AJ296" s="179"/>
      <c r="AK296" s="156"/>
      <c r="AS296" s="89" t="s">
        <v>103</v>
      </c>
    </row>
    <row r="297" spans="1:45" s="89" customFormat="1" ht="15" customHeight="1" x14ac:dyDescent="0.2">
      <c r="A297" s="462">
        <f>VLOOKUP(B297,Sheet1!$AQ$4:$AR$25,2,FALSE)</f>
        <v>0</v>
      </c>
      <c r="B297" s="95" t="str">
        <f t="shared" si="107"/>
        <v>Kent</v>
      </c>
      <c r="C297" s="87"/>
      <c r="D297" s="572">
        <f t="shared" si="110"/>
        <v>64</v>
      </c>
      <c r="E297" s="572">
        <f t="shared" si="111"/>
        <v>84</v>
      </c>
      <c r="F297" s="572">
        <f t="shared" si="112"/>
        <v>200</v>
      </c>
      <c r="G297" s="572">
        <f t="shared" si="113"/>
        <v>693</v>
      </c>
      <c r="H297" s="602">
        <f t="shared" si="114"/>
        <v>549</v>
      </c>
      <c r="I297" s="603">
        <f t="shared" si="115"/>
        <v>4.0251572327044023E-2</v>
      </c>
      <c r="J297" s="1584">
        <f t="shared" si="115"/>
        <v>5.2830188679245285E-2</v>
      </c>
      <c r="K297" s="1585"/>
      <c r="L297" s="603">
        <f t="shared" si="116"/>
        <v>0.12578616352201258</v>
      </c>
      <c r="M297" s="603">
        <f t="shared" si="117"/>
        <v>0.4358490566037736</v>
      </c>
      <c r="N297" s="604">
        <f t="shared" si="118"/>
        <v>0.34528301886792451</v>
      </c>
      <c r="O297" s="391"/>
      <c r="P297" s="385"/>
      <c r="Q297" s="380"/>
      <c r="R297" s="380"/>
      <c r="S297" s="380"/>
      <c r="T297" s="168"/>
      <c r="U297" s="392"/>
      <c r="V297" s="124"/>
      <c r="W297" s="140"/>
      <c r="X297" s="149"/>
      <c r="Y297" s="365" t="str">
        <f t="shared" si="119"/>
        <v>Kent</v>
      </c>
      <c r="Z297" s="365">
        <f>IF(Year5_Kent Year5_LAC_Under1="","",Year5_Kent Year5_LAC_Under1)</f>
        <v>64</v>
      </c>
      <c r="AA297" s="365">
        <f>IF(Year5_Kent Year5_LAC_1to4="","",Year5_Kent Year5_LAC_1to4)</f>
        <v>84</v>
      </c>
      <c r="AB297" s="365">
        <f>IF(Year5_Kent Year5_LAC_5to9="","",Year5_Kent Year5_LAC_5to9)</f>
        <v>200</v>
      </c>
      <c r="AC297" s="365">
        <f>IF(Year5_Kent Year5_LAC_10to15="","",Year5_Kent Year5_LAC_10to15)</f>
        <v>693</v>
      </c>
      <c r="AD297" s="365">
        <f>IF(Year5_Kent Year5_LAC_16plus="","",Year5_Kent Year5_LAC_16plus)</f>
        <v>549</v>
      </c>
      <c r="AE297" s="83" t="e">
        <f t="shared" si="121"/>
        <v>#N/A</v>
      </c>
      <c r="AF297" s="83">
        <f t="shared" si="120"/>
        <v>1590</v>
      </c>
      <c r="AG297" s="83"/>
      <c r="AH297" s="83"/>
      <c r="AI297" s="83"/>
      <c r="AJ297" s="179"/>
      <c r="AK297" s="156"/>
    </row>
    <row r="298" spans="1:45" s="89" customFormat="1" ht="15" customHeight="1" x14ac:dyDescent="0.2">
      <c r="A298" s="462">
        <f>VLOOKUP(B298,Sheet1!$AQ$4:$AR$25,2,FALSE)</f>
        <v>0</v>
      </c>
      <c r="B298" s="95" t="str">
        <f t="shared" si="107"/>
        <v>Medway</v>
      </c>
      <c r="C298" s="87"/>
      <c r="D298" s="572">
        <f t="shared" si="110"/>
        <v>30</v>
      </c>
      <c r="E298" s="572">
        <f t="shared" si="111"/>
        <v>53</v>
      </c>
      <c r="F298" s="572">
        <f t="shared" si="112"/>
        <v>74</v>
      </c>
      <c r="G298" s="572">
        <f t="shared" si="113"/>
        <v>179</v>
      </c>
      <c r="H298" s="602">
        <f t="shared" si="114"/>
        <v>88</v>
      </c>
      <c r="I298" s="603">
        <f t="shared" si="115"/>
        <v>7.0754716981132074E-2</v>
      </c>
      <c r="J298" s="1584">
        <f t="shared" si="115"/>
        <v>0.125</v>
      </c>
      <c r="K298" s="1585"/>
      <c r="L298" s="603">
        <f t="shared" si="116"/>
        <v>0.17452830188679244</v>
      </c>
      <c r="M298" s="603">
        <f t="shared" si="117"/>
        <v>0.42216981132075471</v>
      </c>
      <c r="N298" s="604">
        <f t="shared" si="118"/>
        <v>0.20754716981132076</v>
      </c>
      <c r="O298" s="391"/>
      <c r="P298" s="385"/>
      <c r="Q298" s="380"/>
      <c r="R298" s="380"/>
      <c r="S298" s="380"/>
      <c r="T298" s="168"/>
      <c r="U298" s="392"/>
      <c r="V298" s="124"/>
      <c r="W298" s="140"/>
      <c r="X298" s="149"/>
      <c r="Y298" s="365" t="str">
        <f t="shared" si="119"/>
        <v>Medway</v>
      </c>
      <c r="Z298" s="365">
        <f>IF(Year5_Medway Year5_LAC_Under1="","",Year5_Medway Year5_LAC_Under1)</f>
        <v>30</v>
      </c>
      <c r="AA298" s="365">
        <f>IF(Year5_Medway Year5_LAC_1to4="","",Year5_Medway Year5_LAC_1to4)</f>
        <v>53</v>
      </c>
      <c r="AB298" s="365">
        <f>IF(Year5_Medway Year5_LAC_5to9="","",Year5_Medway Year5_LAC_5to9)</f>
        <v>74</v>
      </c>
      <c r="AC298" s="365">
        <f>IF(Year5_Medway Year5_LAC_10to15="","",Year5_Medway Year5_LAC_10to15)</f>
        <v>179</v>
      </c>
      <c r="AD298" s="365">
        <f>IF(Year5_Medway Year5_LAC_16plus="","",Year5_Medway Year5_LAC_16plus)</f>
        <v>88</v>
      </c>
      <c r="AE298" s="83" t="e">
        <f t="shared" si="121"/>
        <v>#N/A</v>
      </c>
      <c r="AF298" s="83">
        <f t="shared" si="120"/>
        <v>424</v>
      </c>
      <c r="AG298" s="83"/>
      <c r="AH298" s="83"/>
      <c r="AI298" s="83"/>
      <c r="AJ298" s="179"/>
      <c r="AK298" s="156"/>
    </row>
    <row r="299" spans="1:45" s="89" customFormat="1" ht="15" customHeight="1" x14ac:dyDescent="0.2">
      <c r="A299" s="462">
        <f>VLOOKUP(B299,Sheet1!$AQ$4:$AR$25,2,FALSE)</f>
        <v>0</v>
      </c>
      <c r="B299" s="95" t="str">
        <f t="shared" si="107"/>
        <v>Milton Keynes</v>
      </c>
      <c r="C299" s="87"/>
      <c r="D299" s="572">
        <f t="shared" si="110"/>
        <v>28</v>
      </c>
      <c r="E299" s="572">
        <f t="shared" si="111"/>
        <v>51</v>
      </c>
      <c r="F299" s="572">
        <f t="shared" si="112"/>
        <v>87</v>
      </c>
      <c r="G299" s="572">
        <f t="shared" si="113"/>
        <v>150</v>
      </c>
      <c r="H299" s="602">
        <f t="shared" si="114"/>
        <v>65</v>
      </c>
      <c r="I299" s="603">
        <f t="shared" si="115"/>
        <v>7.3490813648293962E-2</v>
      </c>
      <c r="J299" s="1584">
        <f t="shared" si="115"/>
        <v>0.13385826771653545</v>
      </c>
      <c r="K299" s="1585"/>
      <c r="L299" s="603">
        <f t="shared" si="116"/>
        <v>0.2283464566929134</v>
      </c>
      <c r="M299" s="603">
        <f t="shared" si="117"/>
        <v>0.39370078740157483</v>
      </c>
      <c r="N299" s="604">
        <f t="shared" si="118"/>
        <v>0.17060367454068243</v>
      </c>
      <c r="O299" s="391"/>
      <c r="P299" s="385"/>
      <c r="Q299" s="380"/>
      <c r="R299" s="380"/>
      <c r="S299" s="380"/>
      <c r="T299" s="168"/>
      <c r="U299" s="392"/>
      <c r="V299" s="124"/>
      <c r="W299" s="140"/>
      <c r="X299" s="149"/>
      <c r="Y299" s="365" t="str">
        <f t="shared" si="119"/>
        <v>Milton Keynes</v>
      </c>
      <c r="Z299" s="365">
        <f>IF(Year5_Milton_Keynes Year5_LAC_Under1="","",Year5_Milton_Keynes Year5_LAC_Under1)</f>
        <v>28</v>
      </c>
      <c r="AA299" s="365">
        <f>IF(Year5_Milton_Keynes Year5_LAC_1to4="","",Year5_Milton_Keynes Year5_LAC_1to4)</f>
        <v>51</v>
      </c>
      <c r="AB299" s="365">
        <f>IF(Year5_Milton_Keynes Year5_LAC_5to9="","",Year5_Milton_Keynes Year5_LAC_5to9)</f>
        <v>87</v>
      </c>
      <c r="AC299" s="365">
        <f>IF(Year5_Milton_Keynes Year5_LAC_10to15="","",Year5_Milton_Keynes Year5_LAC_10to15)</f>
        <v>150</v>
      </c>
      <c r="AD299" s="365">
        <f>IF(Year5_Milton_Keynes Year5_LAC_16plus="","",Year5_Milton_Keynes Year5_LAC_16plus)</f>
        <v>65</v>
      </c>
      <c r="AE299" s="83" t="e">
        <f t="shared" si="121"/>
        <v>#N/A</v>
      </c>
      <c r="AF299" s="83">
        <f t="shared" si="120"/>
        <v>381</v>
      </c>
      <c r="AG299" s="83"/>
      <c r="AH299" s="83"/>
      <c r="AI299" s="83"/>
      <c r="AJ299" s="179"/>
      <c r="AK299" s="156"/>
    </row>
    <row r="300" spans="1:45" s="89" customFormat="1" ht="15" customHeight="1" x14ac:dyDescent="0.2">
      <c r="A300" s="462">
        <f>VLOOKUP(B300,Sheet1!$AQ$4:$AR$25,2,FALSE)</f>
        <v>0</v>
      </c>
      <c r="B300" s="95" t="str">
        <f t="shared" si="107"/>
        <v>Oxfordshire</v>
      </c>
      <c r="C300" s="87"/>
      <c r="D300" s="572">
        <f t="shared" si="110"/>
        <v>33</v>
      </c>
      <c r="E300" s="572">
        <f t="shared" si="111"/>
        <v>94</v>
      </c>
      <c r="F300" s="572">
        <f t="shared" si="112"/>
        <v>154</v>
      </c>
      <c r="G300" s="572">
        <f t="shared" si="113"/>
        <v>299</v>
      </c>
      <c r="H300" s="602">
        <f t="shared" si="114"/>
        <v>199</v>
      </c>
      <c r="I300" s="603">
        <f t="shared" si="115"/>
        <v>4.2362002567394093E-2</v>
      </c>
      <c r="J300" s="1584">
        <f t="shared" si="115"/>
        <v>0.12066752246469833</v>
      </c>
      <c r="K300" s="1585"/>
      <c r="L300" s="603">
        <f t="shared" si="116"/>
        <v>0.19768934531450577</v>
      </c>
      <c r="M300" s="603">
        <f t="shared" si="117"/>
        <v>0.38382541720154045</v>
      </c>
      <c r="N300" s="604">
        <f t="shared" si="118"/>
        <v>0.25545571245186138</v>
      </c>
      <c r="O300" s="391"/>
      <c r="P300" s="385"/>
      <c r="Q300" s="380"/>
      <c r="R300" s="380"/>
      <c r="S300" s="380"/>
      <c r="T300" s="168"/>
      <c r="U300" s="392"/>
      <c r="V300" s="124"/>
      <c r="W300" s="140"/>
      <c r="X300" s="149"/>
      <c r="Y300" s="365" t="str">
        <f t="shared" si="119"/>
        <v>Oxfordshire</v>
      </c>
      <c r="Z300" s="365">
        <f>IF(Year5_Oxfordshire Year5_LAC_Under1="","",Year5_Oxfordshire Year5_LAC_Under1)</f>
        <v>33</v>
      </c>
      <c r="AA300" s="365">
        <f>IF(Year5_Oxfordshire Year5_LAC_1to4="","",Year5_Oxfordshire Year5_LAC_1to4)</f>
        <v>94</v>
      </c>
      <c r="AB300" s="365">
        <f>IF(Year5_Oxfordshire Year5_LAC_5to9="","",Year5_Oxfordshire Year5_LAC_5to9)</f>
        <v>154</v>
      </c>
      <c r="AC300" s="365">
        <f>IF(Year5_Oxfordshire Year5_LAC_10to15="","",Year5_Oxfordshire Year5_LAC_10to15)</f>
        <v>299</v>
      </c>
      <c r="AD300" s="365">
        <f>IF(Year5_Oxfordshire Year5_LAC_16plus="","",Year5_Oxfordshire Year5_LAC_16plus)</f>
        <v>199</v>
      </c>
      <c r="AE300" s="83" t="e">
        <f t="shared" si="121"/>
        <v>#N/A</v>
      </c>
      <c r="AF300" s="83">
        <f t="shared" si="120"/>
        <v>779</v>
      </c>
      <c r="AG300" s="83"/>
      <c r="AH300" s="83"/>
      <c r="AI300" s="83"/>
      <c r="AJ300" s="179"/>
      <c r="AK300" s="156"/>
    </row>
    <row r="301" spans="1:45" s="89" customFormat="1" ht="15" customHeight="1" x14ac:dyDescent="0.2">
      <c r="A301" s="462">
        <f>VLOOKUP(B301,Sheet1!$AQ$4:$AR$25,2,FALSE)</f>
        <v>0</v>
      </c>
      <c r="B301" s="95" t="str">
        <f t="shared" si="107"/>
        <v>Portsmouth</v>
      </c>
      <c r="C301" s="87"/>
      <c r="D301" s="572">
        <f t="shared" si="110"/>
        <v>18</v>
      </c>
      <c r="E301" s="572">
        <f t="shared" si="111"/>
        <v>57</v>
      </c>
      <c r="F301" s="572">
        <f t="shared" si="112"/>
        <v>63</v>
      </c>
      <c r="G301" s="572">
        <f t="shared" si="113"/>
        <v>190</v>
      </c>
      <c r="H301" s="602">
        <f t="shared" si="114"/>
        <v>158</v>
      </c>
      <c r="I301" s="603">
        <f t="shared" si="115"/>
        <v>3.7037037037037035E-2</v>
      </c>
      <c r="J301" s="1584">
        <f t="shared" si="115"/>
        <v>0.11728395061728394</v>
      </c>
      <c r="K301" s="1585"/>
      <c r="L301" s="603">
        <f t="shared" si="116"/>
        <v>0.12962962962962962</v>
      </c>
      <c r="M301" s="603">
        <f t="shared" si="117"/>
        <v>0.39094650205761317</v>
      </c>
      <c r="N301" s="604">
        <f t="shared" si="118"/>
        <v>0.32510288065843623</v>
      </c>
      <c r="O301" s="391"/>
      <c r="P301" s="385"/>
      <c r="Q301" s="380"/>
      <c r="R301" s="380"/>
      <c r="S301" s="380"/>
      <c r="T301" s="168"/>
      <c r="U301" s="392"/>
      <c r="V301" s="124"/>
      <c r="W301" s="140"/>
      <c r="X301" s="149"/>
      <c r="Y301" s="365" t="str">
        <f t="shared" si="119"/>
        <v>Portsmouth</v>
      </c>
      <c r="Z301" s="365">
        <f>IF(Year5_Portsmouth Year5_LAC_Under1="","",Year5_Portsmouth Year5_LAC_Under1)</f>
        <v>18</v>
      </c>
      <c r="AA301" s="365">
        <f>IF(Year5_Portsmouth Year5_LAC_1to4="","",Year5_Portsmouth Year5_LAC_1to4)</f>
        <v>57</v>
      </c>
      <c r="AB301" s="365">
        <f>IF(Year5_Portsmouth Year5_LAC_5to9="","",Year5_Portsmouth Year5_LAC_5to9)</f>
        <v>63</v>
      </c>
      <c r="AC301" s="365">
        <f>IF(Year5_Portsmouth Year5_LAC_10to15="","",Year5_Portsmouth Year5_LAC_10to15)</f>
        <v>190</v>
      </c>
      <c r="AD301" s="365">
        <f>IF(Year5_Portsmouth Year5_LAC_16plus="","",Year5_Portsmouth Year5_LAC_16plus)</f>
        <v>158</v>
      </c>
      <c r="AE301" s="83" t="e">
        <f t="shared" si="121"/>
        <v>#N/A</v>
      </c>
      <c r="AF301" s="83">
        <f t="shared" si="120"/>
        <v>486</v>
      </c>
      <c r="AG301" s="83"/>
      <c r="AH301" s="83"/>
      <c r="AI301" s="83"/>
      <c r="AJ301" s="179"/>
      <c r="AK301" s="156"/>
    </row>
    <row r="302" spans="1:45" s="89" customFormat="1" ht="15" customHeight="1" x14ac:dyDescent="0.2">
      <c r="A302" s="462">
        <f>VLOOKUP(B302,Sheet1!$AQ$4:$AR$25,2,FALSE)</f>
        <v>0</v>
      </c>
      <c r="B302" s="95" t="str">
        <f t="shared" si="107"/>
        <v>Reading</v>
      </c>
      <c r="C302" s="87"/>
      <c r="D302" s="572">
        <f t="shared" si="110"/>
        <v>20</v>
      </c>
      <c r="E302" s="572">
        <f t="shared" si="111"/>
        <v>34</v>
      </c>
      <c r="F302" s="572">
        <f t="shared" si="112"/>
        <v>57</v>
      </c>
      <c r="G302" s="572">
        <f t="shared" si="113"/>
        <v>110</v>
      </c>
      <c r="H302" s="602">
        <f t="shared" si="114"/>
        <v>52</v>
      </c>
      <c r="I302" s="603">
        <f t="shared" si="115"/>
        <v>7.3260073260073263E-2</v>
      </c>
      <c r="J302" s="1584">
        <f t="shared" si="115"/>
        <v>0.12454212454212454</v>
      </c>
      <c r="K302" s="1585"/>
      <c r="L302" s="603">
        <f t="shared" si="116"/>
        <v>0.2087912087912088</v>
      </c>
      <c r="M302" s="603">
        <f t="shared" si="117"/>
        <v>0.40293040293040294</v>
      </c>
      <c r="N302" s="604">
        <f t="shared" si="118"/>
        <v>0.19047619047619047</v>
      </c>
      <c r="O302" s="391"/>
      <c r="P302" s="385"/>
      <c r="Q302" s="380"/>
      <c r="R302" s="380"/>
      <c r="S302" s="380"/>
      <c r="T302" s="168"/>
      <c r="U302" s="392"/>
      <c r="V302" s="124"/>
      <c r="W302" s="140"/>
      <c r="X302" s="149"/>
      <c r="Y302" s="365" t="str">
        <f t="shared" si="119"/>
        <v>Reading</v>
      </c>
      <c r="Z302" s="365">
        <f>IF(Year5_Reading Year5_LAC_Under1="","",Year5_Reading Year5_LAC_Under1)</f>
        <v>20</v>
      </c>
      <c r="AA302" s="365">
        <f>IF(Year5_Reading Year5_LAC_1to4="","",Year5_Reading Year5_LAC_1to4)</f>
        <v>34</v>
      </c>
      <c r="AB302" s="365">
        <f>IF(Year5_Reading Year5_LAC_5to9="","",Year5_Reading Year5_LAC_5to9)</f>
        <v>57</v>
      </c>
      <c r="AC302" s="365">
        <f>IF(Year5_Reading Year5_LAC_10to15="","",Year5_Reading Year5_LAC_10to15)</f>
        <v>110</v>
      </c>
      <c r="AD302" s="365">
        <f>IF(Year5_Reading Year5_LAC_16plus="","",Year5_Reading Year5_LAC_16plus)</f>
        <v>52</v>
      </c>
      <c r="AE302" s="83" t="e">
        <f t="shared" si="121"/>
        <v>#N/A</v>
      </c>
      <c r="AF302" s="83">
        <f t="shared" si="120"/>
        <v>273</v>
      </c>
      <c r="AG302" s="83"/>
      <c r="AH302" s="83"/>
      <c r="AI302" s="83"/>
      <c r="AJ302" s="179"/>
      <c r="AK302" s="156"/>
    </row>
    <row r="303" spans="1:45" s="89" customFormat="1" ht="15" customHeight="1" x14ac:dyDescent="0.2">
      <c r="A303" s="462">
        <f>VLOOKUP(B303,Sheet1!$AQ$4:$AR$25,2,FALSE)</f>
        <v>0</v>
      </c>
      <c r="B303" s="95" t="str">
        <f t="shared" si="107"/>
        <v>Slough</v>
      </c>
      <c r="C303" s="87"/>
      <c r="D303" s="572">
        <f t="shared" si="110"/>
        <v>17</v>
      </c>
      <c r="E303" s="572">
        <f t="shared" si="111"/>
        <v>33</v>
      </c>
      <c r="F303" s="572">
        <f t="shared" si="112"/>
        <v>31</v>
      </c>
      <c r="G303" s="572">
        <f t="shared" si="113"/>
        <v>83</v>
      </c>
      <c r="H303" s="602">
        <f t="shared" si="114"/>
        <v>49</v>
      </c>
      <c r="I303" s="603">
        <f t="shared" si="115"/>
        <v>7.9812206572769953E-2</v>
      </c>
      <c r="J303" s="1584">
        <f t="shared" si="115"/>
        <v>0.15492957746478872</v>
      </c>
      <c r="K303" s="1585"/>
      <c r="L303" s="603">
        <f t="shared" si="116"/>
        <v>0.14553990610328638</v>
      </c>
      <c r="M303" s="603">
        <f t="shared" si="117"/>
        <v>0.38967136150234744</v>
      </c>
      <c r="N303" s="604">
        <f t="shared" si="118"/>
        <v>0.2300469483568075</v>
      </c>
      <c r="O303" s="391"/>
      <c r="P303" s="385"/>
      <c r="Q303" s="380"/>
      <c r="R303" s="380"/>
      <c r="S303" s="380"/>
      <c r="T303" s="168"/>
      <c r="U303" s="392"/>
      <c r="V303" s="124"/>
      <c r="W303" s="140"/>
      <c r="X303" s="149"/>
      <c r="Y303" s="365" t="str">
        <f t="shared" si="119"/>
        <v>Slough</v>
      </c>
      <c r="Z303" s="365">
        <f>IF(Year5_Slough Year5_LAC_Under1="","",Year5_Slough Year5_LAC_Under1)</f>
        <v>17</v>
      </c>
      <c r="AA303" s="365">
        <f>IF(Year5_Slough Year5_LAC_1to4="","",Year5_Slough Year5_LAC_1to4)</f>
        <v>33</v>
      </c>
      <c r="AB303" s="365">
        <f>IF(Year5_Slough Year5_LAC_5to9="","",Year5_Slough Year5_LAC_5to9)</f>
        <v>31</v>
      </c>
      <c r="AC303" s="365">
        <f>IF(Year5_Slough Year5_LAC_10to15="","",Year5_Slough Year5_LAC_10to15)</f>
        <v>83</v>
      </c>
      <c r="AD303" s="365">
        <f>IF(Year5_Slough Year5_LAC_16plus="","",Year5_Slough Year5_LAC_16plus)</f>
        <v>49</v>
      </c>
      <c r="AE303" s="83" t="e">
        <f t="shared" si="121"/>
        <v>#N/A</v>
      </c>
      <c r="AF303" s="83">
        <f t="shared" si="120"/>
        <v>213</v>
      </c>
      <c r="AG303" s="83"/>
      <c r="AH303" s="83"/>
      <c r="AI303" s="83"/>
      <c r="AJ303" s="179"/>
      <c r="AK303" s="156"/>
    </row>
    <row r="304" spans="1:45" s="89" customFormat="1" ht="15" customHeight="1" x14ac:dyDescent="0.2">
      <c r="A304" s="462">
        <f>VLOOKUP(B304,Sheet1!$AQ$4:$AR$25,2,FALSE)</f>
        <v>0</v>
      </c>
      <c r="B304" s="95" t="str">
        <f t="shared" si="107"/>
        <v>Somerset</v>
      </c>
      <c r="C304" s="87"/>
      <c r="D304" s="572">
        <f t="shared" si="110"/>
        <v>31</v>
      </c>
      <c r="E304" s="572">
        <f t="shared" si="111"/>
        <v>80</v>
      </c>
      <c r="F304" s="572">
        <f t="shared" si="112"/>
        <v>82</v>
      </c>
      <c r="G304" s="572">
        <f t="shared" si="113"/>
        <v>203</v>
      </c>
      <c r="H304" s="602">
        <f t="shared" si="114"/>
        <v>138</v>
      </c>
      <c r="I304" s="603">
        <f t="shared" si="115"/>
        <v>5.8052434456928842E-2</v>
      </c>
      <c r="J304" s="1584">
        <f t="shared" si="115"/>
        <v>0.14981273408239701</v>
      </c>
      <c r="K304" s="1585"/>
      <c r="L304" s="603">
        <f t="shared" si="116"/>
        <v>0.15355805243445692</v>
      </c>
      <c r="M304" s="603">
        <f t="shared" si="117"/>
        <v>0.38014981273408238</v>
      </c>
      <c r="N304" s="604">
        <f t="shared" si="118"/>
        <v>0.25842696629213485</v>
      </c>
      <c r="O304" s="391"/>
      <c r="P304" s="385"/>
      <c r="Q304" s="380"/>
      <c r="R304" s="380"/>
      <c r="S304" s="380"/>
      <c r="T304" s="168"/>
      <c r="U304" s="392"/>
      <c r="V304" s="124"/>
      <c r="W304" s="140"/>
      <c r="X304" s="149"/>
      <c r="Y304" s="365" t="str">
        <f t="shared" si="119"/>
        <v>Somerset</v>
      </c>
      <c r="Z304" s="365">
        <f>IF(Year5_Somerset Year5_LAC_Under1="","",Year5_Somerset Year5_LAC_Under1)</f>
        <v>31</v>
      </c>
      <c r="AA304" s="365">
        <f>IF(Year5_Somerset Year5_LAC_1to4="","",Year5_Somerset Year5_LAC_1to4)</f>
        <v>80</v>
      </c>
      <c r="AB304" s="365">
        <f>IF(Year5_Somerset Year5_LAC_5to9="","",Year5_Somerset Year5_LAC_5to9)</f>
        <v>82</v>
      </c>
      <c r="AC304" s="365">
        <f>IF(Year5_Somerset Year5_LAC_10to15="","",Year5_Somerset Year5_LAC_10to15)</f>
        <v>203</v>
      </c>
      <c r="AD304" s="365">
        <f>IF(Year5_Somerset Year5_LAC_16plus="","",Year5_Somerset Year5_LAC_16plus)</f>
        <v>138</v>
      </c>
      <c r="AE304" s="83" t="e">
        <f t="shared" si="121"/>
        <v>#N/A</v>
      </c>
      <c r="AF304" s="83">
        <f t="shared" si="120"/>
        <v>534</v>
      </c>
      <c r="AG304" s="83"/>
      <c r="AH304" s="83"/>
      <c r="AI304" s="83"/>
      <c r="AJ304" s="179"/>
      <c r="AK304" s="156"/>
    </row>
    <row r="305" spans="1:46" s="89" customFormat="1" ht="15" customHeight="1" x14ac:dyDescent="0.2">
      <c r="A305" s="462">
        <f>VLOOKUP(B305,Sheet1!$AQ$4:$AR$25,2,FALSE)</f>
        <v>0</v>
      </c>
      <c r="B305" s="95" t="str">
        <f t="shared" si="107"/>
        <v>Southampton</v>
      </c>
      <c r="C305" s="87"/>
      <c r="D305" s="572">
        <f t="shared" si="110"/>
        <v>25</v>
      </c>
      <c r="E305" s="572">
        <f t="shared" si="111"/>
        <v>55</v>
      </c>
      <c r="F305" s="572">
        <f t="shared" si="112"/>
        <v>115</v>
      </c>
      <c r="G305" s="572">
        <f t="shared" si="113"/>
        <v>214</v>
      </c>
      <c r="H305" s="602">
        <f t="shared" si="114"/>
        <v>72</v>
      </c>
      <c r="I305" s="603">
        <f t="shared" si="115"/>
        <v>5.1975051975051978E-2</v>
      </c>
      <c r="J305" s="1584">
        <f t="shared" si="115"/>
        <v>0.11434511434511435</v>
      </c>
      <c r="K305" s="1585"/>
      <c r="L305" s="603">
        <f t="shared" si="116"/>
        <v>0.2390852390852391</v>
      </c>
      <c r="M305" s="603">
        <f t="shared" si="117"/>
        <v>0.44490644490644493</v>
      </c>
      <c r="N305" s="604">
        <f t="shared" si="118"/>
        <v>0.1496881496881497</v>
      </c>
      <c r="O305" s="391"/>
      <c r="P305" s="385"/>
      <c r="Q305" s="380"/>
      <c r="R305" s="380"/>
      <c r="S305" s="380"/>
      <c r="T305" s="168"/>
      <c r="U305" s="392"/>
      <c r="V305" s="124"/>
      <c r="W305" s="140"/>
      <c r="X305" s="149"/>
      <c r="Y305" s="365" t="str">
        <f t="shared" si="119"/>
        <v>Southampton</v>
      </c>
      <c r="Z305" s="365">
        <f>IF(Year5_Southampton Year5_LAC_Under1="","",Year5_Southampton Year5_LAC_Under1)</f>
        <v>25</v>
      </c>
      <c r="AA305" s="365">
        <f>IF(Year5_Southampton Year5_LAC_1to4="","",Year5_Southampton Year5_LAC_1to4)</f>
        <v>55</v>
      </c>
      <c r="AB305" s="365">
        <f>IF(Year5_Southampton Year5_LAC_5to9="","",Year5_Southampton Year5_LAC_5to9)</f>
        <v>115</v>
      </c>
      <c r="AC305" s="365">
        <f>IF(Year5_Southampton Year5_LAC_10to15="","",Year5_Southampton Year5_LAC_10to15)</f>
        <v>214</v>
      </c>
      <c r="AD305" s="365">
        <f>IF(Year5_Southampton Year5_LAC_16plus="","",Year5_Southampton Year5_LAC_16plus)</f>
        <v>72</v>
      </c>
      <c r="AE305" s="83" t="e">
        <f t="shared" si="121"/>
        <v>#N/A</v>
      </c>
      <c r="AF305" s="83">
        <f t="shared" si="120"/>
        <v>481</v>
      </c>
      <c r="AG305" s="83"/>
      <c r="AH305" s="83"/>
      <c r="AI305" s="83"/>
      <c r="AJ305" s="179"/>
      <c r="AK305" s="156"/>
    </row>
    <row r="306" spans="1:46" s="89" customFormat="1" ht="15" customHeight="1" x14ac:dyDescent="0.2">
      <c r="A306" s="462">
        <f>VLOOKUP(B306,Sheet1!$AQ$4:$AR$25,2,FALSE)</f>
        <v>0</v>
      </c>
      <c r="B306" s="95" t="str">
        <f t="shared" si="107"/>
        <v>Surrey</v>
      </c>
      <c r="C306" s="87"/>
      <c r="D306" s="572">
        <f t="shared" si="110"/>
        <v>37</v>
      </c>
      <c r="E306" s="572">
        <f t="shared" si="111"/>
        <v>93</v>
      </c>
      <c r="F306" s="572">
        <f t="shared" si="112"/>
        <v>180</v>
      </c>
      <c r="G306" s="572">
        <f t="shared" si="113"/>
        <v>370</v>
      </c>
      <c r="H306" s="602">
        <f t="shared" si="114"/>
        <v>293</v>
      </c>
      <c r="I306" s="603">
        <f t="shared" si="115"/>
        <v>3.8026721479958892E-2</v>
      </c>
      <c r="J306" s="1584">
        <f t="shared" si="115"/>
        <v>9.5580678314491269E-2</v>
      </c>
      <c r="K306" s="1585"/>
      <c r="L306" s="603">
        <f t="shared" si="116"/>
        <v>0.18499486125385406</v>
      </c>
      <c r="M306" s="603">
        <f t="shared" si="117"/>
        <v>0.38026721479958892</v>
      </c>
      <c r="N306" s="604">
        <f t="shared" si="118"/>
        <v>0.30113052415210689</v>
      </c>
      <c r="O306" s="391"/>
      <c r="P306" s="385"/>
      <c r="Q306" s="380"/>
      <c r="R306" s="380"/>
      <c r="S306" s="380"/>
      <c r="T306" s="168"/>
      <c r="U306" s="392"/>
      <c r="V306" s="124"/>
      <c r="W306" s="140"/>
      <c r="X306" s="149"/>
      <c r="Y306" s="365" t="str">
        <f t="shared" si="119"/>
        <v>Surrey</v>
      </c>
      <c r="Z306" s="365">
        <f>IF(Year5_Surrey Year5_LAC_Under1="","",Year5_Surrey Year5_LAC_Under1)</f>
        <v>37</v>
      </c>
      <c r="AA306" s="365">
        <f>IF(Year5_Surrey Year5_LAC_1to4="","",Year5_Surrey Year5_LAC_1to4)</f>
        <v>93</v>
      </c>
      <c r="AB306" s="365">
        <f>IF(Year5_Surrey Year5_LAC_5to9="","",Year5_Surrey Year5_LAC_5to9)</f>
        <v>180</v>
      </c>
      <c r="AC306" s="365">
        <f>IF(Year5_Surrey Year5_LAC_10to15="","",Year5_Surrey Year5_LAC_10to15)</f>
        <v>370</v>
      </c>
      <c r="AD306" s="365">
        <f>IF(Year5_Surrey Year5_LAC_16plus="","",Year5_Surrey Year5_LAC_16plus)</f>
        <v>293</v>
      </c>
      <c r="AE306" s="83" t="e">
        <f t="shared" si="121"/>
        <v>#N/A</v>
      </c>
      <c r="AF306" s="83">
        <f t="shared" si="120"/>
        <v>973</v>
      </c>
      <c r="AG306" s="83"/>
      <c r="AH306" s="83"/>
      <c r="AI306" s="83"/>
      <c r="AJ306" s="179"/>
      <c r="AK306" s="156"/>
    </row>
    <row r="307" spans="1:46" s="89" customFormat="1" ht="15" customHeight="1" x14ac:dyDescent="0.2">
      <c r="A307" s="462">
        <f>VLOOKUP(B307,Sheet1!$AQ$4:$AR$25,2,FALSE)</f>
        <v>0</v>
      </c>
      <c r="B307" s="95" t="str">
        <f t="shared" si="107"/>
        <v>Swindon</v>
      </c>
      <c r="C307" s="87"/>
      <c r="D307" s="572">
        <f t="shared" si="110"/>
        <v>15</v>
      </c>
      <c r="E307" s="572">
        <f t="shared" si="111"/>
        <v>54</v>
      </c>
      <c r="F307" s="572">
        <f t="shared" si="112"/>
        <v>77</v>
      </c>
      <c r="G307" s="572">
        <f t="shared" si="113"/>
        <v>110</v>
      </c>
      <c r="H307" s="602">
        <f t="shared" si="114"/>
        <v>92</v>
      </c>
      <c r="I307" s="603">
        <f t="shared" si="115"/>
        <v>4.3103448275862072E-2</v>
      </c>
      <c r="J307" s="1584">
        <f t="shared" si="115"/>
        <v>0.15517241379310345</v>
      </c>
      <c r="K307" s="1585"/>
      <c r="L307" s="603">
        <f t="shared" si="116"/>
        <v>0.22126436781609196</v>
      </c>
      <c r="M307" s="603">
        <f t="shared" si="117"/>
        <v>0.31609195402298851</v>
      </c>
      <c r="N307" s="604">
        <f t="shared" si="118"/>
        <v>0.26436781609195403</v>
      </c>
      <c r="O307" s="391"/>
      <c r="P307" s="385"/>
      <c r="Q307" s="380"/>
      <c r="R307" s="380"/>
      <c r="S307" s="380"/>
      <c r="T307" s="168"/>
      <c r="U307" s="392"/>
      <c r="V307" s="124"/>
      <c r="W307" s="140"/>
      <c r="X307" s="149"/>
      <c r="Y307" s="365" t="str">
        <f t="shared" si="119"/>
        <v>Swindon</v>
      </c>
      <c r="Z307" s="574">
        <f>IF(Year5_Swindon Year5_LAC_Under1="","",Year5_Swindon Year5_LAC_Under1)</f>
        <v>15</v>
      </c>
      <c r="AA307" s="574">
        <f>IF(Year5_Swindon Year5_LAC_1to4="","",Year5_Swindon Year5_LAC_1to4)</f>
        <v>54</v>
      </c>
      <c r="AB307" s="574">
        <f>IF(Year5_Swindon Year5_LAC_5to9="","",Year5_Swindon Year5_LAC_5to9)</f>
        <v>77</v>
      </c>
      <c r="AC307" s="574">
        <f>IF(Year5_Swindon Year5_LAC_10to15="","",Year5_Swindon Year5_LAC_10to15)</f>
        <v>110</v>
      </c>
      <c r="AD307" s="574">
        <f>IF(Year5_Swindon Year5_LAC_16plus="","",Year5_Swindon Year5_LAC_16plus)</f>
        <v>92</v>
      </c>
      <c r="AE307" s="83" t="e">
        <f t="shared" si="121"/>
        <v>#N/A</v>
      </c>
      <c r="AF307" s="83">
        <f t="shared" si="120"/>
        <v>348</v>
      </c>
      <c r="AG307" s="83"/>
      <c r="AH307" s="83"/>
      <c r="AI307" s="83"/>
      <c r="AJ307" s="179"/>
      <c r="AK307" s="156"/>
    </row>
    <row r="308" spans="1:46" s="89" customFormat="1" ht="15" customHeight="1" x14ac:dyDescent="0.2">
      <c r="A308" s="462">
        <f>VLOOKUP(B308,Sheet1!$AQ$4:$AR$25,2,FALSE)</f>
        <v>0</v>
      </c>
      <c r="B308" s="95" t="str">
        <f t="shared" si="107"/>
        <v>Torbay</v>
      </c>
      <c r="C308" s="87"/>
      <c r="D308" s="572">
        <f t="shared" si="110"/>
        <v>13</v>
      </c>
      <c r="E308" s="572">
        <f t="shared" si="111"/>
        <v>54</v>
      </c>
      <c r="F308" s="572">
        <f t="shared" si="112"/>
        <v>64</v>
      </c>
      <c r="G308" s="572">
        <f t="shared" si="113"/>
        <v>167</v>
      </c>
      <c r="H308" s="602">
        <f t="shared" si="114"/>
        <v>64</v>
      </c>
      <c r="I308" s="603">
        <f t="shared" si="115"/>
        <v>3.591160220994475E-2</v>
      </c>
      <c r="J308" s="1584">
        <f t="shared" si="115"/>
        <v>0.14917127071823205</v>
      </c>
      <c r="K308" s="1585"/>
      <c r="L308" s="603">
        <f t="shared" si="116"/>
        <v>0.17679558011049723</v>
      </c>
      <c r="M308" s="603">
        <f t="shared" si="117"/>
        <v>0.46132596685082872</v>
      </c>
      <c r="N308" s="604">
        <f t="shared" si="118"/>
        <v>0.17679558011049723</v>
      </c>
      <c r="O308" s="391"/>
      <c r="P308" s="385"/>
      <c r="Q308" s="380"/>
      <c r="R308" s="380"/>
      <c r="S308" s="380"/>
      <c r="T308" s="168"/>
      <c r="U308" s="392"/>
      <c r="V308" s="124"/>
      <c r="W308" s="140"/>
      <c r="X308" s="149"/>
      <c r="Y308" s="365" t="str">
        <f t="shared" si="119"/>
        <v>Torbay</v>
      </c>
      <c r="Z308" s="574">
        <f>IF(Year5_Torbay Year5_LAC_Under1="","",Year5_Torbay Year5_LAC_Under1)</f>
        <v>13</v>
      </c>
      <c r="AA308" s="574">
        <f>IF(Year5_Torbay Year5_LAC_1to4="","",Year5_Torbay Year5_LAC_1to4)</f>
        <v>54</v>
      </c>
      <c r="AB308" s="574">
        <f>IF(Year5_Torbay Year5_LAC_5to9="","",Year5_Torbay Year5_LAC_5to9)</f>
        <v>64</v>
      </c>
      <c r="AC308" s="574">
        <f>IF(Year5_Torbay Year5_LAC_10to15="","",Year5_Torbay Year5_LAC_10to15)</f>
        <v>167</v>
      </c>
      <c r="AD308" s="574">
        <f>IF(Year5_Torbay Year5_LAC_16plus="","",Year5_Torbay Year5_LAC_16plus)</f>
        <v>64</v>
      </c>
      <c r="AE308" s="83" t="e">
        <f t="shared" si="121"/>
        <v>#N/A</v>
      </c>
      <c r="AF308" s="83">
        <f t="shared" si="120"/>
        <v>362</v>
      </c>
      <c r="AG308" s="83"/>
      <c r="AH308" s="83"/>
      <c r="AI308" s="83"/>
      <c r="AJ308" s="179"/>
      <c r="AK308" s="156"/>
    </row>
    <row r="309" spans="1:46" s="89" customFormat="1" ht="15" customHeight="1" x14ac:dyDescent="0.2">
      <c r="A309" s="462">
        <f>VLOOKUP(B309,Sheet1!$AQ$4:$AR$25,2,FALSE)</f>
        <v>0</v>
      </c>
      <c r="B309" s="95" t="str">
        <f t="shared" si="107"/>
        <v>West Berkshire</v>
      </c>
      <c r="C309" s="87"/>
      <c r="D309" s="572">
        <f t="shared" si="110"/>
        <v>10</v>
      </c>
      <c r="E309" s="572">
        <f t="shared" si="111"/>
        <v>10</v>
      </c>
      <c r="F309" s="572">
        <f t="shared" si="112"/>
        <v>23</v>
      </c>
      <c r="G309" s="572">
        <f t="shared" si="113"/>
        <v>63</v>
      </c>
      <c r="H309" s="602">
        <f t="shared" si="114"/>
        <v>66</v>
      </c>
      <c r="I309" s="603">
        <f t="shared" si="115"/>
        <v>5.8139534883720929E-2</v>
      </c>
      <c r="J309" s="1584">
        <f t="shared" si="115"/>
        <v>5.8139534883720929E-2</v>
      </c>
      <c r="K309" s="1585"/>
      <c r="L309" s="603">
        <f t="shared" si="116"/>
        <v>0.13372093023255813</v>
      </c>
      <c r="M309" s="603">
        <f t="shared" si="117"/>
        <v>0.36627906976744184</v>
      </c>
      <c r="N309" s="604">
        <f t="shared" si="118"/>
        <v>0.38372093023255816</v>
      </c>
      <c r="O309" s="391"/>
      <c r="P309" s="385"/>
      <c r="Q309" s="380"/>
      <c r="R309" s="380"/>
      <c r="S309" s="380"/>
      <c r="T309" s="168"/>
      <c r="U309" s="392"/>
      <c r="V309" s="124"/>
      <c r="W309" s="140"/>
      <c r="X309" s="149"/>
      <c r="Y309" s="365" t="str">
        <f t="shared" si="119"/>
        <v>West Berkshire</v>
      </c>
      <c r="Z309" s="365">
        <f>IF(Year5_West_Berkshire Year5_LAC_Under1="","",Year5_West_Berkshire Year5_LAC_Under1)</f>
        <v>10</v>
      </c>
      <c r="AA309" s="365">
        <f>IF(Year5_West_Berkshire Year5_LAC_1to4="","",Year5_West_Berkshire Year5_LAC_1to4)</f>
        <v>10</v>
      </c>
      <c r="AB309" s="365">
        <f>IF(Year5_West_Berkshire Year5_LAC_5to9="","",Year5_West_Berkshire Year5_LAC_5to9)</f>
        <v>23</v>
      </c>
      <c r="AC309" s="365">
        <f>IF(Year5_West_Berkshire Year5_LAC_10to15="","",Year5_West_Berkshire Year5_LAC_10to15)</f>
        <v>63</v>
      </c>
      <c r="AD309" s="365">
        <f>IF(Year5_West_Berkshire Year5_LAC_16plus="","",Year5_West_Berkshire Year5_LAC_16plus)</f>
        <v>66</v>
      </c>
      <c r="AE309" s="83" t="e">
        <f t="shared" si="121"/>
        <v>#N/A</v>
      </c>
      <c r="AF309" s="83">
        <f t="shared" si="120"/>
        <v>172</v>
      </c>
      <c r="AG309" s="83"/>
      <c r="AH309" s="83"/>
      <c r="AI309" s="83"/>
      <c r="AJ309" s="179"/>
      <c r="AK309" s="156"/>
    </row>
    <row r="310" spans="1:46" s="89" customFormat="1" ht="15" customHeight="1" x14ac:dyDescent="0.2">
      <c r="A310" s="462">
        <f>VLOOKUP(B310,Sheet1!$AQ$4:$AR$25,2,FALSE)</f>
        <v>0</v>
      </c>
      <c r="B310" s="95" t="str">
        <f t="shared" si="107"/>
        <v>West Sussex</v>
      </c>
      <c r="C310" s="87"/>
      <c r="D310" s="572">
        <f t="shared" si="110"/>
        <v>51</v>
      </c>
      <c r="E310" s="572">
        <f t="shared" si="111"/>
        <v>80</v>
      </c>
      <c r="F310" s="572">
        <f t="shared" si="112"/>
        <v>102</v>
      </c>
      <c r="G310" s="572">
        <f t="shared" si="113"/>
        <v>275</v>
      </c>
      <c r="H310" s="602">
        <f t="shared" si="114"/>
        <v>196</v>
      </c>
      <c r="I310" s="603">
        <f t="shared" si="115"/>
        <v>7.2443181818181823E-2</v>
      </c>
      <c r="J310" s="1584">
        <f t="shared" si="115"/>
        <v>0.11363636363636363</v>
      </c>
      <c r="K310" s="1585"/>
      <c r="L310" s="603">
        <f t="shared" si="116"/>
        <v>0.14488636363636365</v>
      </c>
      <c r="M310" s="603">
        <f t="shared" si="117"/>
        <v>0.390625</v>
      </c>
      <c r="N310" s="604">
        <f t="shared" si="118"/>
        <v>0.27840909090909088</v>
      </c>
      <c r="O310" s="391"/>
      <c r="P310" s="385"/>
      <c r="Q310" s="380"/>
      <c r="R310" s="380"/>
      <c r="S310" s="380"/>
      <c r="T310" s="168"/>
      <c r="U310" s="392"/>
      <c r="V310" s="124"/>
      <c r="W310" s="140"/>
      <c r="X310" s="149"/>
      <c r="Y310" s="365" t="str">
        <f t="shared" si="119"/>
        <v>West Sussex</v>
      </c>
      <c r="Z310" s="365">
        <f>IF(Year5_West_Sussex Year5_LAC_Under1="","",Year5_West_Sussex Year5_LAC_Under1)</f>
        <v>51</v>
      </c>
      <c r="AA310" s="365">
        <f>IF(Year5_West_Sussex Year5_LAC_1to4="","",Year5_West_Sussex Year5_LAC_1to4)</f>
        <v>80</v>
      </c>
      <c r="AB310" s="365">
        <f>IF(Year5_West_Sussex Year5_LAC_5to9="","",Year5_West_Sussex Year5_LAC_5to9)</f>
        <v>102</v>
      </c>
      <c r="AC310" s="365">
        <f>IF(Year5_West_Sussex Year5_LAC_10to15="","",Year5_West_Sussex Year5_LAC_10to15)</f>
        <v>275</v>
      </c>
      <c r="AD310" s="365">
        <f>IF(Year5_West_Sussex Year5_LAC_16plus="","",Year5_West_Sussex Year5_LAC_16plus)</f>
        <v>196</v>
      </c>
      <c r="AE310" s="83" t="e">
        <f t="shared" si="121"/>
        <v>#N/A</v>
      </c>
      <c r="AF310" s="83">
        <f t="shared" si="120"/>
        <v>704</v>
      </c>
      <c r="AG310" s="83"/>
      <c r="AH310" s="83"/>
      <c r="AI310" s="83"/>
      <c r="AJ310" s="179"/>
      <c r="AK310" s="156"/>
    </row>
    <row r="311" spans="1:46" s="89" customFormat="1" ht="15" customHeight="1" x14ac:dyDescent="0.2">
      <c r="A311" s="462">
        <f>VLOOKUP(B311,Sheet1!$AQ$4:$AR$25,2,FALSE)</f>
        <v>0</v>
      </c>
      <c r="B311" s="95" t="str">
        <f t="shared" si="107"/>
        <v>Windsor &amp; Maidenhead</v>
      </c>
      <c r="C311" s="87"/>
      <c r="D311" s="572" t="e">
        <f t="shared" si="110"/>
        <v>#N/A</v>
      </c>
      <c r="E311" s="572" t="e">
        <f t="shared" si="111"/>
        <v>#N/A</v>
      </c>
      <c r="F311" s="572">
        <f t="shared" si="112"/>
        <v>15</v>
      </c>
      <c r="G311" s="572">
        <f t="shared" si="113"/>
        <v>52</v>
      </c>
      <c r="H311" s="602">
        <f t="shared" si="114"/>
        <v>42</v>
      </c>
      <c r="I311" s="603" t="e">
        <f t="shared" si="115"/>
        <v>#VALUE!</v>
      </c>
      <c r="J311" s="1584" t="e">
        <f t="shared" si="115"/>
        <v>#VALUE!</v>
      </c>
      <c r="K311" s="1585"/>
      <c r="L311" s="603">
        <f t="shared" si="116"/>
        <v>0.13761467889908258</v>
      </c>
      <c r="M311" s="603">
        <f t="shared" si="117"/>
        <v>0.47706422018348627</v>
      </c>
      <c r="N311" s="604">
        <f t="shared" si="118"/>
        <v>0.38532110091743121</v>
      </c>
      <c r="O311" s="391"/>
      <c r="P311" s="385"/>
      <c r="Q311" s="380"/>
      <c r="R311" s="380"/>
      <c r="S311" s="380"/>
      <c r="T311" s="168"/>
      <c r="U311" s="392"/>
      <c r="V311" s="124"/>
      <c r="W311" s="140"/>
      <c r="X311" s="149"/>
      <c r="Y311" s="365" t="str">
        <f t="shared" si="119"/>
        <v>Windsor &amp; Maidenhead</v>
      </c>
      <c r="Z311" s="365" t="str">
        <f>IF(Year5_Windsor_Maidenhead Year5_LAC_Under1="","",Year5_Windsor_Maidenhead Year5_LAC_Under1)</f>
        <v>x</v>
      </c>
      <c r="AA311" s="365" t="str">
        <f>IF(Year5_Windsor_Maidenhead Year5_LAC_1to4="","",Year5_Windsor_Maidenhead Year5_LAC_1to4)</f>
        <v>x</v>
      </c>
      <c r="AB311" s="365">
        <f>IF(Year5_Windsor_Maidenhead Year5_LAC_5to9="","",Year5_Windsor_Maidenhead Year5_LAC_5to9)</f>
        <v>15</v>
      </c>
      <c r="AC311" s="365">
        <f>IF(Year5_Windsor_Maidenhead Year5_LAC_10to15="","",Year5_Windsor_Maidenhead Year5_LAC_10to15)</f>
        <v>52</v>
      </c>
      <c r="AD311" s="365">
        <f>IF(Year5_Windsor_Maidenhead Year5_LAC_16plus="","",Year5_Windsor_Maidenhead Year5_LAC_16plus)</f>
        <v>42</v>
      </c>
      <c r="AE311" s="83" t="e">
        <f t="shared" si="121"/>
        <v>#N/A</v>
      </c>
      <c r="AF311" s="83">
        <f t="shared" si="120"/>
        <v>109</v>
      </c>
      <c r="AG311" s="83"/>
      <c r="AH311" s="83"/>
      <c r="AI311" s="83"/>
      <c r="AJ311" s="179"/>
      <c r="AK311" s="156"/>
    </row>
    <row r="312" spans="1:46" s="89" customFormat="1" ht="15" customHeight="1" x14ac:dyDescent="0.2">
      <c r="A312" s="462">
        <f>VLOOKUP(B312,Sheet1!$AQ$4:$AR$25,2,FALSE)</f>
        <v>0</v>
      </c>
      <c r="B312" s="95" t="str">
        <f t="shared" si="107"/>
        <v>Wokingham</v>
      </c>
      <c r="C312" s="87"/>
      <c r="D312" s="572">
        <f t="shared" si="110"/>
        <v>7</v>
      </c>
      <c r="E312" s="572">
        <f t="shared" si="111"/>
        <v>12</v>
      </c>
      <c r="F312" s="572">
        <f t="shared" si="112"/>
        <v>18</v>
      </c>
      <c r="G312" s="572">
        <f t="shared" si="113"/>
        <v>36</v>
      </c>
      <c r="H312" s="602">
        <f t="shared" si="114"/>
        <v>37</v>
      </c>
      <c r="I312" s="603">
        <f t="shared" si="115"/>
        <v>6.363636363636363E-2</v>
      </c>
      <c r="J312" s="1584">
        <f t="shared" si="115"/>
        <v>0.10909090909090909</v>
      </c>
      <c r="K312" s="1585"/>
      <c r="L312" s="603">
        <f t="shared" si="116"/>
        <v>0.16363636363636364</v>
      </c>
      <c r="M312" s="603">
        <f t="shared" si="117"/>
        <v>0.32727272727272727</v>
      </c>
      <c r="N312" s="604">
        <f t="shared" si="118"/>
        <v>0.33636363636363636</v>
      </c>
      <c r="O312" s="391"/>
      <c r="P312" s="385"/>
      <c r="Q312" s="380"/>
      <c r="R312" s="380"/>
      <c r="S312" s="380"/>
      <c r="T312" s="168"/>
      <c r="U312" s="392"/>
      <c r="V312" s="124"/>
      <c r="W312" s="140"/>
      <c r="X312" s="149"/>
      <c r="Y312" s="365" t="str">
        <f t="shared" si="119"/>
        <v>Wokingham</v>
      </c>
      <c r="Z312" s="365">
        <f>IF(Year5_Wokingham Year5_LAC_Under1="","",Year5_Wokingham Year5_LAC_Under1)</f>
        <v>7</v>
      </c>
      <c r="AA312" s="365">
        <f>IF(Year5_Wokingham Year5_LAC_1to4="","",Year5_Wokingham Year5_LAC_1to4)</f>
        <v>12</v>
      </c>
      <c r="AB312" s="365">
        <f>IF(Year5_Wokingham Year5_LAC_5to9="","",Year5_Wokingham Year5_LAC_5to9)</f>
        <v>18</v>
      </c>
      <c r="AC312" s="365">
        <f>IF(Year5_Wokingham Year5_LAC_10to15="","",Year5_Wokingham Year5_LAC_10to15)</f>
        <v>36</v>
      </c>
      <c r="AD312" s="365">
        <f>IF(Year5_Wokingham Year5_LAC_16plus="","",Year5_Wokingham Year5_LAC_16plus)</f>
        <v>37</v>
      </c>
      <c r="AE312" s="83" t="e">
        <f t="shared" si="121"/>
        <v>#N/A</v>
      </c>
      <c r="AF312" s="83">
        <f t="shared" si="120"/>
        <v>110</v>
      </c>
      <c r="AG312" s="83"/>
      <c r="AH312" s="83"/>
      <c r="AI312" s="83"/>
      <c r="AJ312" s="179"/>
      <c r="AK312" s="156"/>
    </row>
    <row r="313" spans="1:46" s="89" customFormat="1" ht="15" customHeight="1" x14ac:dyDescent="0.2">
      <c r="A313" s="123"/>
      <c r="B313" s="131" t="str">
        <f t="shared" si="107"/>
        <v>South East</v>
      </c>
      <c r="C313" s="87"/>
      <c r="D313" s="397">
        <f t="shared" si="110"/>
        <v>490</v>
      </c>
      <c r="E313" s="397">
        <f t="shared" si="111"/>
        <v>1100</v>
      </c>
      <c r="F313" s="397">
        <f t="shared" si="112"/>
        <v>1820</v>
      </c>
      <c r="G313" s="397">
        <f t="shared" si="113"/>
        <v>4160</v>
      </c>
      <c r="H313" s="398">
        <f t="shared" si="114"/>
        <v>2720</v>
      </c>
      <c r="I313" s="159">
        <f t="shared" si="115"/>
        <v>4.7619047619047616E-2</v>
      </c>
      <c r="J313" s="1586">
        <f t="shared" si="115"/>
        <v>0.10689990281827016</v>
      </c>
      <c r="K313" s="1587"/>
      <c r="L313" s="159">
        <f t="shared" si="116"/>
        <v>0.17687074829931973</v>
      </c>
      <c r="M313" s="159">
        <f t="shared" si="117"/>
        <v>0.4042759961127308</v>
      </c>
      <c r="N313" s="161">
        <f t="shared" si="118"/>
        <v>0.26433430515063167</v>
      </c>
      <c r="O313" s="391"/>
      <c r="P313" s="385"/>
      <c r="Q313" s="380"/>
      <c r="R313" s="380"/>
      <c r="S313" s="380"/>
      <c r="T313" s="168"/>
      <c r="U313" s="392"/>
      <c r="V313" s="124"/>
      <c r="W313" s="140"/>
      <c r="X313" s="149"/>
      <c r="Y313" s="365" t="str">
        <f t="shared" si="119"/>
        <v>South East</v>
      </c>
      <c r="Z313" s="365">
        <f>IF(Year5_SouthEast Year5_LAC_Under1="","",Year5_SouthEast Year5_LAC_Under1)</f>
        <v>490</v>
      </c>
      <c r="AA313" s="365">
        <f>IF(Year5_SouthEast Year5_LAC_1to4="","",Year5_SouthEast Year5_LAC_1to4)</f>
        <v>1100</v>
      </c>
      <c r="AB313" s="365">
        <f>IF(Year5_SouthEast Year5_LAC_5to9="","",Year5_SouthEast Year5_LAC_5to9)</f>
        <v>1820</v>
      </c>
      <c r="AC313" s="365">
        <f>IF(Year5_SouthEast Year5_LAC_10to15="","",Year5_SouthEast Year5_LAC_10to15)</f>
        <v>4160</v>
      </c>
      <c r="AD313" s="365">
        <f>IF(Year5_SouthEast Year5_LAC_16plus="","",Year5_SouthEast Year5_LAC_16plus)</f>
        <v>2720</v>
      </c>
      <c r="AE313" s="83" t="e">
        <f t="shared" si="121"/>
        <v>#N/A</v>
      </c>
      <c r="AF313" s="83">
        <f t="shared" si="120"/>
        <v>10290</v>
      </c>
      <c r="AG313" s="83"/>
      <c r="AH313" s="83"/>
      <c r="AI313" s="83"/>
      <c r="AJ313" s="179"/>
      <c r="AK313" s="156"/>
    </row>
    <row r="314" spans="1:46" s="89" customFormat="1" ht="15" customHeight="1" x14ac:dyDescent="0.2">
      <c r="A314" s="123"/>
      <c r="B314" s="318" t="s">
        <v>226</v>
      </c>
      <c r="C314" s="87"/>
      <c r="D314" s="399">
        <f t="shared" si="110"/>
        <v>4090</v>
      </c>
      <c r="E314" s="399">
        <f t="shared" si="111"/>
        <v>10490</v>
      </c>
      <c r="F314" s="399">
        <f t="shared" si="112"/>
        <v>14420</v>
      </c>
      <c r="G314" s="399">
        <f t="shared" si="113"/>
        <v>30780</v>
      </c>
      <c r="H314" s="400">
        <f t="shared" si="114"/>
        <v>18380</v>
      </c>
      <c r="I314" s="344">
        <f t="shared" si="115"/>
        <v>5.2328556806550665E-2</v>
      </c>
      <c r="J314" s="1598">
        <f t="shared" si="115"/>
        <v>0.13421187308085977</v>
      </c>
      <c r="K314" s="1599"/>
      <c r="L314" s="344">
        <f t="shared" si="116"/>
        <v>0.18449334698055272</v>
      </c>
      <c r="M314" s="344">
        <f t="shared" si="117"/>
        <v>0.39380757420675538</v>
      </c>
      <c r="N314" s="345">
        <f t="shared" si="118"/>
        <v>0.23515864892528146</v>
      </c>
      <c r="O314" s="393"/>
      <c r="P314" s="906"/>
      <c r="Q314" s="394"/>
      <c r="R314" s="394"/>
      <c r="S314" s="394"/>
      <c r="T314" s="395"/>
      <c r="U314" s="396"/>
      <c r="V314" s="124"/>
      <c r="W314" s="140"/>
      <c r="X314" s="149"/>
      <c r="Y314" s="365" t="str">
        <f t="shared" si="119"/>
        <v>England (2017)</v>
      </c>
      <c r="Z314" s="365">
        <f>IF(Year5_England Year5_LAC_Under1="","",Year5_England Year5_LAC_Under1)</f>
        <v>4090</v>
      </c>
      <c r="AA314" s="365">
        <f>IF(Year5_England Year5_LAC_1to4="","",Year5_England Year5_LAC_1to4)</f>
        <v>10490</v>
      </c>
      <c r="AB314" s="365">
        <f>IF(Year5_England Year5_LAC_5to9="","",Year5_England Year5_LAC_5to9)</f>
        <v>14420</v>
      </c>
      <c r="AC314" s="365">
        <f>IF(Year5_England Year5_LAC_10to15="","",Year5_England Year5_LAC_10to15)</f>
        <v>30780</v>
      </c>
      <c r="AD314" s="365">
        <f>IF(Year5_England Year5_LAC_16plus="","",Year5_England Year5_LAC_16plus)</f>
        <v>18380</v>
      </c>
      <c r="AE314" s="83" t="e">
        <f t="shared" si="121"/>
        <v>#N/A</v>
      </c>
      <c r="AF314" s="83">
        <f t="shared" si="120"/>
        <v>78160</v>
      </c>
      <c r="AG314" s="83"/>
      <c r="AH314" s="83"/>
      <c r="AI314" s="83"/>
      <c r="AJ314" s="179"/>
      <c r="AK314" s="156"/>
    </row>
    <row r="315" spans="1:46" s="89" customFormat="1" ht="6.75" customHeight="1" x14ac:dyDescent="0.2">
      <c r="A315" s="286"/>
      <c r="B315" s="98"/>
      <c r="C315" s="98"/>
      <c r="D315" s="98"/>
      <c r="E315" s="98"/>
      <c r="F315" s="98"/>
      <c r="G315" s="98"/>
      <c r="H315" s="98"/>
      <c r="I315" s="98"/>
      <c r="J315" s="98"/>
      <c r="K315" s="164"/>
      <c r="L315" s="164"/>
      <c r="M315" s="164"/>
      <c r="N315" s="164"/>
      <c r="O315" s="380"/>
      <c r="P315" s="385"/>
      <c r="Q315" s="380"/>
      <c r="R315" s="380"/>
      <c r="S315" s="380"/>
      <c r="T315" s="168"/>
      <c r="U315" s="392"/>
      <c r="V315" s="124"/>
      <c r="W315" s="140"/>
      <c r="X315" s="149"/>
      <c r="Y315" s="83"/>
      <c r="Z315" s="83"/>
      <c r="AA315" s="191"/>
      <c r="AB315" s="191"/>
      <c r="AC315" s="192"/>
      <c r="AD315" s="83"/>
      <c r="AE315" s="83"/>
      <c r="AF315" s="83"/>
      <c r="AG315" s="83"/>
      <c r="AH315" s="83"/>
      <c r="AI315" s="83"/>
      <c r="AJ315" s="179"/>
      <c r="AK315" s="156"/>
    </row>
    <row r="316" spans="1:46" s="83" customFormat="1" ht="15" customHeight="1" x14ac:dyDescent="0.2">
      <c r="A316" s="213"/>
      <c r="B316" s="379"/>
      <c r="C316" s="379"/>
      <c r="D316" s="379"/>
      <c r="E316" s="379"/>
      <c r="F316" s="379"/>
      <c r="G316" s="379"/>
      <c r="H316" s="379"/>
      <c r="I316" s="379"/>
      <c r="J316" s="168"/>
      <c r="K316" s="168"/>
      <c r="L316" s="168"/>
      <c r="M316" s="168"/>
      <c r="N316" s="168"/>
      <c r="O316" s="380"/>
      <c r="P316" s="385"/>
      <c r="Q316" s="380"/>
      <c r="R316" s="380"/>
      <c r="S316" s="380"/>
      <c r="T316" s="168"/>
      <c r="U316" s="392"/>
      <c r="V316" s="119"/>
      <c r="W316" s="138"/>
      <c r="X316" s="147"/>
      <c r="AD316" s="192"/>
      <c r="AE316" s="194"/>
      <c r="AF316" s="179"/>
      <c r="AG316" s="179"/>
      <c r="AH316" s="179"/>
      <c r="AJ316" s="179"/>
      <c r="AK316" s="157"/>
    </row>
    <row r="317" spans="1:46" s="83" customFormat="1" ht="24.75" customHeight="1" x14ac:dyDescent="0.2">
      <c r="A317" s="213"/>
      <c r="B317" s="379"/>
      <c r="C317" s="379"/>
      <c r="D317" s="379"/>
      <c r="E317" s="379"/>
      <c r="F317" s="379"/>
      <c r="G317" s="379"/>
      <c r="H317" s="379"/>
      <c r="I317" s="379"/>
      <c r="J317" s="168"/>
      <c r="K317" s="168"/>
      <c r="L317" s="168"/>
      <c r="M317" s="168"/>
      <c r="N317" s="168"/>
      <c r="O317" s="380"/>
      <c r="P317" s="385"/>
      <c r="Q317" s="380"/>
      <c r="R317" s="380"/>
      <c r="S317" s="380"/>
      <c r="T317" s="168"/>
      <c r="U317" s="392"/>
      <c r="V317" s="119"/>
      <c r="W317" s="138"/>
      <c r="X317" s="147"/>
      <c r="Z317" s="185"/>
      <c r="AE317" s="194"/>
      <c r="AF317" s="179"/>
      <c r="AG317" s="179"/>
      <c r="AH317" s="179"/>
      <c r="AJ317" s="179"/>
      <c r="AK317" s="157"/>
    </row>
    <row r="318" spans="1:46" s="83" customFormat="1" ht="21.75" customHeight="1" x14ac:dyDescent="0.2">
      <c r="A318" s="213"/>
      <c r="B318" s="379"/>
      <c r="C318" s="379"/>
      <c r="D318" s="379"/>
      <c r="E318" s="379"/>
      <c r="F318" s="379"/>
      <c r="G318" s="379"/>
      <c r="H318" s="379"/>
      <c r="I318" s="380"/>
      <c r="J318" s="380"/>
      <c r="K318" s="380"/>
      <c r="L318" s="380"/>
      <c r="M318" s="380"/>
      <c r="N318" s="380"/>
      <c r="O318" s="380"/>
      <c r="P318" s="385"/>
      <c r="Q318" s="380"/>
      <c r="R318" s="380"/>
      <c r="S318" s="380"/>
      <c r="T318" s="168"/>
      <c r="U318" s="392"/>
      <c r="V318" s="119"/>
      <c r="W318" s="138"/>
      <c r="X318" s="147"/>
      <c r="Z318" s="185"/>
      <c r="AE318" s="194"/>
      <c r="AF318" s="179"/>
      <c r="AG318" s="179"/>
      <c r="AH318" s="179"/>
      <c r="AJ318" s="179"/>
      <c r="AK318" s="157"/>
    </row>
    <row r="319" spans="1:46" s="83" customFormat="1" ht="7.5" customHeight="1" x14ac:dyDescent="0.2">
      <c r="A319" s="120"/>
      <c r="B319" s="18"/>
      <c r="C319" s="18"/>
      <c r="D319" s="17"/>
      <c r="E319" s="17"/>
      <c r="F319" s="17"/>
      <c r="G319" s="17"/>
      <c r="H319" s="17"/>
      <c r="I319" s="17"/>
      <c r="J319" s="13"/>
      <c r="K319" s="19"/>
      <c r="L319" s="19"/>
      <c r="M319" s="19"/>
      <c r="N319" s="19"/>
      <c r="O319" s="19"/>
      <c r="P319" s="19"/>
      <c r="Q319" s="19"/>
      <c r="R319" s="19"/>
      <c r="S319" s="19"/>
      <c r="T319" s="19"/>
      <c r="U319" s="20"/>
      <c r="V319" s="119"/>
      <c r="W319" s="138"/>
      <c r="X319" s="147"/>
      <c r="Z319" s="185"/>
      <c r="AJ319" s="179"/>
      <c r="AK319" s="153"/>
      <c r="AL319" s="76"/>
      <c r="AM319" s="76"/>
      <c r="AN319" s="76"/>
      <c r="AO319" s="76"/>
      <c r="AP319" s="76"/>
      <c r="AQ319" s="76"/>
      <c r="AR319" s="76"/>
    </row>
    <row r="320" spans="1:46" s="83" customFormat="1" ht="15" customHeight="1" x14ac:dyDescent="0.2">
      <c r="A320" s="1399"/>
      <c r="B320" s="1421"/>
      <c r="C320" s="1421"/>
      <c r="D320" s="1421"/>
      <c r="E320" s="1421"/>
      <c r="F320" s="1421"/>
      <c r="G320" s="1421"/>
      <c r="H320" s="1421"/>
      <c r="I320" s="1421"/>
      <c r="J320" s="1421"/>
      <c r="K320" s="1421"/>
      <c r="L320" s="1421"/>
      <c r="M320" s="1421"/>
      <c r="N320" s="1421"/>
      <c r="O320" s="1421"/>
      <c r="P320" s="1421"/>
      <c r="Q320" s="1421"/>
      <c r="R320" s="1421"/>
      <c r="S320" s="1421"/>
      <c r="T320" s="1421"/>
      <c r="U320" s="1421"/>
      <c r="V320" s="1422"/>
      <c r="W320" s="138"/>
      <c r="X320" s="147"/>
      <c r="AK320" s="157"/>
      <c r="AT320" s="76"/>
    </row>
    <row r="321" spans="1:46" s="83" customFormat="1" ht="11.25" customHeight="1" x14ac:dyDescent="0.2">
      <c r="A321" s="1428" t="str">
        <f>Home!$A$40</f>
        <v>LA's provide quarterly data on the condition that it is used by the benchmarking group for internal reporting only. Please DO NOT share other LA's data with any external partners or the public</v>
      </c>
      <c r="B321" s="1429"/>
      <c r="C321" s="1429"/>
      <c r="D321" s="1429"/>
      <c r="E321" s="1429"/>
      <c r="F321" s="1429"/>
      <c r="G321" s="1429"/>
      <c r="H321" s="1429"/>
      <c r="I321" s="1430"/>
      <c r="J321" s="1429"/>
      <c r="K321" s="1429"/>
      <c r="L321" s="1429"/>
      <c r="M321" s="1429"/>
      <c r="N321" s="1429"/>
      <c r="O321" s="1429"/>
      <c r="P321" s="1431"/>
      <c r="Q321" s="1429"/>
      <c r="R321" s="1429"/>
      <c r="S321" s="1429"/>
      <c r="T321" s="1430"/>
      <c r="U321" s="1429"/>
      <c r="V321" s="1432"/>
      <c r="W321" s="138"/>
      <c r="X321" s="147"/>
      <c r="AJ321" s="179"/>
      <c r="AK321" s="156"/>
      <c r="AL321" s="89"/>
      <c r="AT321" s="76"/>
    </row>
    <row r="322" spans="1:46" ht="11.25" customHeight="1" x14ac:dyDescent="0.2">
      <c r="A322" s="114"/>
      <c r="B322" s="115"/>
      <c r="C322" s="115"/>
      <c r="D322" s="115"/>
      <c r="E322" s="115"/>
      <c r="F322" s="115"/>
      <c r="G322" s="115"/>
      <c r="H322" s="115"/>
      <c r="I322" s="115"/>
      <c r="J322" s="116"/>
      <c r="K322" s="115"/>
      <c r="L322" s="115"/>
      <c r="M322" s="115"/>
      <c r="N322" s="115"/>
      <c r="O322" s="115"/>
      <c r="P322" s="115"/>
      <c r="Q322" s="115"/>
      <c r="R322" s="115"/>
      <c r="S322" s="115"/>
      <c r="T322" s="115"/>
      <c r="U322" s="115"/>
      <c r="V322" s="117"/>
      <c r="W322" s="138"/>
      <c r="X322" s="147"/>
      <c r="Y322" s="193"/>
      <c r="Z322" s="191"/>
      <c r="AA322" s="183"/>
      <c r="AJ322" s="179"/>
      <c r="AK322" s="156"/>
    </row>
    <row r="323" spans="1:46" s="78" customFormat="1" ht="21" customHeight="1" x14ac:dyDescent="0.2">
      <c r="A323" s="121"/>
      <c r="B323" s="1442" t="str">
        <f>"Age breakdown of Children Looked After"&amp;Z1&amp;" ("&amp;Y288&amp;")"&amp;" (groups)"</f>
        <v>Age breakdown of Children Looked After at 31st March (2018-19) (groups)</v>
      </c>
      <c r="C323" s="1442"/>
      <c r="D323" s="1442"/>
      <c r="E323" s="1442"/>
      <c r="F323" s="1442"/>
      <c r="G323" s="1442"/>
      <c r="H323" s="1442"/>
      <c r="I323" s="1442"/>
      <c r="J323" s="1442"/>
      <c r="K323" s="1442"/>
      <c r="L323" s="1442"/>
      <c r="M323" s="1442"/>
      <c r="N323" s="1442"/>
      <c r="O323" s="1442"/>
      <c r="P323" s="873"/>
      <c r="Q323" s="162"/>
      <c r="R323" s="69"/>
      <c r="S323" s="69"/>
      <c r="T323" s="69"/>
      <c r="U323" s="69"/>
      <c r="V323" s="122"/>
      <c r="W323" s="139"/>
      <c r="X323" s="148"/>
      <c r="Y323" s="374" t="s">
        <v>606</v>
      </c>
      <c r="Z323" s="375"/>
      <c r="AA323" s="376"/>
      <c r="AB323" s="376"/>
      <c r="AC323" s="376"/>
      <c r="AD323" s="83"/>
      <c r="AE323" s="83"/>
      <c r="AF323" s="83"/>
      <c r="AG323" s="83"/>
      <c r="AH323" s="83"/>
      <c r="AI323" s="83"/>
      <c r="AJ323" s="179"/>
      <c r="AK323" s="156"/>
    </row>
    <row r="324" spans="1:46" ht="25.5" customHeight="1" x14ac:dyDescent="0.2">
      <c r="A324" s="120"/>
      <c r="B324" s="1531" t="s">
        <v>190</v>
      </c>
      <c r="C324" s="220"/>
      <c r="D324" s="1537" t="s">
        <v>165</v>
      </c>
      <c r="E324" s="1594"/>
      <c r="F324" s="1594"/>
      <c r="G324" s="1594"/>
      <c r="H324" s="1594"/>
      <c r="I324" s="1594"/>
      <c r="J324" s="1594"/>
      <c r="K324" s="1594"/>
      <c r="L324" s="1594"/>
      <c r="M324" s="1594"/>
      <c r="N324" s="1594"/>
      <c r="O324" s="1594"/>
      <c r="P324" s="1594"/>
      <c r="Q324" s="1594"/>
      <c r="R324" s="1594"/>
      <c r="S324" s="1594"/>
      <c r="T324" s="1594"/>
      <c r="U324" s="1595"/>
      <c r="V324" s="119"/>
      <c r="W324" s="138"/>
      <c r="X324" s="147"/>
      <c r="Y324" s="376"/>
      <c r="Z324" s="375"/>
      <c r="AA324" s="376"/>
      <c r="AB324" s="376"/>
      <c r="AC324" s="376"/>
      <c r="AJ324" s="179"/>
      <c r="AK324" s="156"/>
    </row>
    <row r="325" spans="1:46" s="89" customFormat="1" ht="12" customHeight="1" x14ac:dyDescent="0.2">
      <c r="A325" s="123"/>
      <c r="B325" s="1588"/>
      <c r="C325" s="87"/>
      <c r="D325" s="406" t="s">
        <v>153</v>
      </c>
      <c r="E325" s="406" t="s">
        <v>155</v>
      </c>
      <c r="F325" s="406" t="s">
        <v>156</v>
      </c>
      <c r="G325" s="406" t="s">
        <v>157</v>
      </c>
      <c r="H325" s="407" t="s">
        <v>166</v>
      </c>
      <c r="I325" s="385"/>
      <c r="J325" s="168"/>
      <c r="K325" s="168"/>
      <c r="L325" s="168"/>
      <c r="M325" s="168"/>
      <c r="N325" s="168"/>
      <c r="O325" s="385"/>
      <c r="P325" s="385"/>
      <c r="Q325" s="385"/>
      <c r="R325" s="385"/>
      <c r="S325" s="385"/>
      <c r="T325" s="168"/>
      <c r="U325" s="392"/>
      <c r="V325" s="124"/>
      <c r="W325" s="140"/>
      <c r="X325" s="149"/>
      <c r="Y325" s="365"/>
      <c r="Z325" s="463" t="str">
        <f>D325</f>
        <v>Under 1</v>
      </c>
      <c r="AA325" s="463" t="str">
        <f t="shared" ref="AA325" si="122">E325</f>
        <v xml:space="preserve">      1 - 4    </v>
      </c>
      <c r="AB325" s="463" t="str">
        <f t="shared" ref="AB325" si="123">F325</f>
        <v xml:space="preserve">      5 - 9    </v>
      </c>
      <c r="AC325" s="463" t="str">
        <f t="shared" ref="AC325" si="124">G325</f>
        <v xml:space="preserve">   10 - 15  </v>
      </c>
      <c r="AD325" s="463" t="str">
        <f t="shared" ref="AD325" si="125">H325</f>
        <v>16-17</v>
      </c>
      <c r="AE325" s="83"/>
      <c r="AF325" s="83"/>
      <c r="AG325" s="83"/>
      <c r="AH325" s="83"/>
      <c r="AI325" s="83"/>
      <c r="AJ325" s="179"/>
      <c r="AK325" s="156"/>
    </row>
    <row r="326" spans="1:46" s="89" customFormat="1" ht="15" customHeight="1" x14ac:dyDescent="0.2">
      <c r="A326" s="462">
        <f>VLOOKUP(B326,Sheet1!$AQ$4:$AR$25,2,FALSE)</f>
        <v>0</v>
      </c>
      <c r="B326" s="95" t="str">
        <f>B291</f>
        <v>Bracknell Forest</v>
      </c>
      <c r="C326" s="87"/>
      <c r="D326" s="226" t="e">
        <f>IF(SUM($Z291:$AD291)&gt;0,Z291/Z326*10000,NA())</f>
        <v>#VALUE!</v>
      </c>
      <c r="E326" s="226" t="e">
        <f t="shared" ref="E326:H326" si="126">IF(SUM($Z291:$AD291)&gt;0,AA291/AA326*10000,NA())</f>
        <v>#VALUE!</v>
      </c>
      <c r="F326" s="226">
        <f t="shared" si="126"/>
        <v>28.271881258098716</v>
      </c>
      <c r="G326" s="226">
        <f t="shared" si="126"/>
        <v>82.644628099173559</v>
      </c>
      <c r="H326" s="401">
        <f t="shared" si="126"/>
        <v>119.76047904191617</v>
      </c>
      <c r="I326" s="385"/>
      <c r="J326" s="168"/>
      <c r="K326" s="168"/>
      <c r="L326" s="168"/>
      <c r="M326" s="168"/>
      <c r="N326" s="168"/>
      <c r="O326" s="385"/>
      <c r="P326" s="385"/>
      <c r="Q326" s="385"/>
      <c r="R326" s="385"/>
      <c r="S326" s="385"/>
      <c r="T326" s="168"/>
      <c r="U326" s="392"/>
      <c r="V326" s="124"/>
      <c r="W326" s="140"/>
      <c r="X326" s="149"/>
      <c r="Y326" s="365" t="str">
        <f>B326</f>
        <v>Bracknell Forest</v>
      </c>
      <c r="Z326" s="463">
        <v>1377</v>
      </c>
      <c r="AA326" s="365">
        <v>6078</v>
      </c>
      <c r="AB326" s="365">
        <v>8489</v>
      </c>
      <c r="AC326" s="365">
        <v>8954</v>
      </c>
      <c r="AD326" s="605">
        <v>3173</v>
      </c>
      <c r="AE326" s="83" t="e">
        <f>IF($Y326=$Z$4,150,NA())</f>
        <v>#N/A</v>
      </c>
      <c r="AF326" s="83" t="e">
        <f>IF($Y326=$Z$4,100,NA())</f>
        <v>#N/A</v>
      </c>
      <c r="AG326" s="83" t="e">
        <f>IF($Y326=$Z$4,100,NA())</f>
        <v>#N/A</v>
      </c>
      <c r="AH326" s="83" t="e">
        <f>IF($Y326=$Z$4,200,NA())</f>
        <v>#N/A</v>
      </c>
      <c r="AI326" s="83" t="e">
        <f>IF($Y326=$Z$4,250,NA())</f>
        <v>#N/A</v>
      </c>
      <c r="AJ326" s="179"/>
      <c r="AK326" s="156"/>
    </row>
    <row r="327" spans="1:46" s="89" customFormat="1" ht="15" customHeight="1" x14ac:dyDescent="0.2">
      <c r="A327" s="462">
        <f>VLOOKUP(B327,Sheet1!$AQ$4:$AR$25,2,FALSE)</f>
        <v>0</v>
      </c>
      <c r="B327" s="95" t="str">
        <f t="shared" ref="B327:B348" si="127">B292</f>
        <v>Brighton &amp; Hove</v>
      </c>
      <c r="C327" s="87"/>
      <c r="D327" s="226">
        <f>IF(SUM($Z292:$AD292)&gt;0,Z292/Z327*10000,NA())</f>
        <v>50.909090909090914</v>
      </c>
      <c r="E327" s="226">
        <f t="shared" ref="E327:E328" si="128">IF(SUM($Z292:$AD292)&gt;0,AA292/AA327*10000,NA())</f>
        <v>28.932140978432404</v>
      </c>
      <c r="F327" s="226">
        <f t="shared" ref="F327:F328" si="129">IF(SUM($Z292:$AD292)&gt;0,AB292/AB327*10000,NA())</f>
        <v>45.307005680281307</v>
      </c>
      <c r="G327" s="226">
        <f t="shared" ref="G327:G328" si="130">IF(SUM($Z292:$AD292)&gt;0,AC292/AC327*10000,NA())</f>
        <v>94.907829895966415</v>
      </c>
      <c r="H327" s="401">
        <f t="shared" ref="H327:H328" si="131">IF(SUM($Z292:$AD292)&gt;0,AD292/AD327*10000,NA())</f>
        <v>216.07142857142856</v>
      </c>
      <c r="I327" s="385"/>
      <c r="J327" s="168"/>
      <c r="K327" s="168"/>
      <c r="L327" s="168"/>
      <c r="M327" s="168"/>
      <c r="N327" s="168"/>
      <c r="O327" s="385"/>
      <c r="P327" s="385"/>
      <c r="Q327" s="385"/>
      <c r="R327" s="385"/>
      <c r="S327" s="385"/>
      <c r="T327" s="168"/>
      <c r="U327" s="392"/>
      <c r="V327" s="124"/>
      <c r="W327" s="140"/>
      <c r="X327" s="149"/>
      <c r="Y327" s="365" t="str">
        <f t="shared" ref="Y327:Y348" si="132">B327</f>
        <v>Brighton &amp; Hove</v>
      </c>
      <c r="Z327" s="463">
        <v>2750</v>
      </c>
      <c r="AA327" s="365">
        <v>11406</v>
      </c>
      <c r="AB327" s="365">
        <v>14788</v>
      </c>
      <c r="AC327" s="365">
        <v>16437</v>
      </c>
      <c r="AD327" s="605">
        <v>5600</v>
      </c>
      <c r="AE327" s="83" t="e">
        <f t="shared" ref="AE327:AE349" si="133">IF($Y327=$Z$4,150,NA())</f>
        <v>#N/A</v>
      </c>
      <c r="AF327" s="83" t="e">
        <f t="shared" ref="AF327:AG349" si="134">IF($Y327=$Z$4,100,NA())</f>
        <v>#N/A</v>
      </c>
      <c r="AG327" s="83" t="e">
        <f t="shared" si="134"/>
        <v>#N/A</v>
      </c>
      <c r="AH327" s="83" t="e">
        <f t="shared" ref="AH327:AH349" si="135">IF($Y327=$Z$4,200,NA())</f>
        <v>#N/A</v>
      </c>
      <c r="AI327" s="83" t="e">
        <f t="shared" ref="AI327:AI349" si="136">IF($Y327=$Z$4,250,NA())</f>
        <v>#N/A</v>
      </c>
      <c r="AJ327" s="179"/>
      <c r="AK327" s="156"/>
    </row>
    <row r="328" spans="1:46" s="89" customFormat="1" ht="15" customHeight="1" x14ac:dyDescent="0.2">
      <c r="A328" s="462">
        <f>VLOOKUP(B328,Sheet1!$AQ$4:$AR$25,2,FALSE)</f>
        <v>0</v>
      </c>
      <c r="B328" s="95" t="str">
        <f t="shared" si="127"/>
        <v>Buckinghamshire</v>
      </c>
      <c r="C328" s="87"/>
      <c r="D328" s="226">
        <f t="shared" ref="D328:D349" si="137">IF(SUM($Z293:$AD293)&gt;0,Z293/Z328*10000,NA())</f>
        <v>35.437057036787039</v>
      </c>
      <c r="E328" s="226">
        <f t="shared" si="128"/>
        <v>23.234897316744117</v>
      </c>
      <c r="F328" s="226">
        <f t="shared" si="129"/>
        <v>21.281820414176966</v>
      </c>
      <c r="G328" s="226">
        <f t="shared" si="130"/>
        <v>53.923620515598451</v>
      </c>
      <c r="H328" s="401">
        <f t="shared" si="131"/>
        <v>102.26497992576321</v>
      </c>
      <c r="I328" s="385"/>
      <c r="J328" s="168"/>
      <c r="K328" s="168"/>
      <c r="L328" s="168"/>
      <c r="M328" s="168"/>
      <c r="N328" s="168"/>
      <c r="O328" s="385"/>
      <c r="P328" s="385"/>
      <c r="Q328" s="385"/>
      <c r="R328" s="385"/>
      <c r="S328" s="385"/>
      <c r="T328" s="168"/>
      <c r="U328" s="392"/>
      <c r="V328" s="124"/>
      <c r="W328" s="140"/>
      <c r="X328" s="149"/>
      <c r="Y328" s="365" t="str">
        <f t="shared" si="132"/>
        <v>Buckinghamshire</v>
      </c>
      <c r="Z328" s="463">
        <v>5926</v>
      </c>
      <c r="AA328" s="365">
        <v>26684</v>
      </c>
      <c r="AB328" s="365">
        <v>36651</v>
      </c>
      <c r="AC328" s="365">
        <v>40613</v>
      </c>
      <c r="AD328" s="605">
        <v>13201</v>
      </c>
      <c r="AE328" s="83" t="e">
        <f t="shared" si="133"/>
        <v>#N/A</v>
      </c>
      <c r="AF328" s="83" t="e">
        <f t="shared" si="134"/>
        <v>#N/A</v>
      </c>
      <c r="AG328" s="83" t="e">
        <f t="shared" si="134"/>
        <v>#N/A</v>
      </c>
      <c r="AH328" s="83" t="e">
        <f t="shared" si="135"/>
        <v>#N/A</v>
      </c>
      <c r="AI328" s="83" t="e">
        <f t="shared" si="136"/>
        <v>#N/A</v>
      </c>
      <c r="AJ328" s="179"/>
      <c r="AK328" s="156"/>
    </row>
    <row r="329" spans="1:46" s="89" customFormat="1" ht="15" customHeight="1" x14ac:dyDescent="0.2">
      <c r="A329" s="462">
        <f>VLOOKUP(B329,Sheet1!$AQ$4:$AR$25,2,FALSE)</f>
        <v>0</v>
      </c>
      <c r="B329" s="95" t="str">
        <f t="shared" si="127"/>
        <v>East Sussex</v>
      </c>
      <c r="C329" s="87"/>
      <c r="D329" s="226">
        <f t="shared" si="137"/>
        <v>63.253607432298878</v>
      </c>
      <c r="E329" s="226">
        <f t="shared" ref="E329:E349" si="138">IF(SUM($Z294:$AD294)&gt;0,AA294/AA329*10000,NA())</f>
        <v>36.997414638495144</v>
      </c>
      <c r="F329" s="226">
        <f t="shared" ref="F329:F349" si="139">IF(SUM($Z294:$AD294)&gt;0,AB294/AB329*10000,NA())</f>
        <v>37.331445306214398</v>
      </c>
      <c r="G329" s="226">
        <f t="shared" ref="G329:G349" si="140">IF(SUM($Z294:$AD294)&gt;0,AC294/AC329*10000,NA())</f>
        <v>70.54574185902139</v>
      </c>
      <c r="H329" s="401">
        <f t="shared" ref="H329:H349" si="141">IF(SUM($Z294:$AD294)&gt;0,AD294/AD329*10000,NA())</f>
        <v>98.829000913545386</v>
      </c>
      <c r="I329" s="385"/>
      <c r="J329" s="168"/>
      <c r="K329" s="168"/>
      <c r="L329" s="168"/>
      <c r="M329" s="168"/>
      <c r="N329" s="168"/>
      <c r="O329" s="385"/>
      <c r="P329" s="385"/>
      <c r="Q329" s="385"/>
      <c r="R329" s="385"/>
      <c r="S329" s="385"/>
      <c r="T329" s="168"/>
      <c r="U329" s="392"/>
      <c r="V329" s="124"/>
      <c r="W329" s="140"/>
      <c r="X329" s="149"/>
      <c r="Y329" s="365" t="str">
        <f t="shared" si="132"/>
        <v>East Sussex</v>
      </c>
      <c r="Z329" s="463">
        <v>5059</v>
      </c>
      <c r="AA329" s="365">
        <v>22434</v>
      </c>
      <c r="AB329" s="365">
        <v>31073</v>
      </c>
      <c r="AC329" s="365">
        <v>35438</v>
      </c>
      <c r="AD329" s="605">
        <v>12041</v>
      </c>
      <c r="AE329" s="83" t="e">
        <f t="shared" si="133"/>
        <v>#N/A</v>
      </c>
      <c r="AF329" s="83" t="e">
        <f t="shared" si="134"/>
        <v>#N/A</v>
      </c>
      <c r="AG329" s="83" t="e">
        <f t="shared" si="134"/>
        <v>#N/A</v>
      </c>
      <c r="AH329" s="83" t="e">
        <f t="shared" si="135"/>
        <v>#N/A</v>
      </c>
      <c r="AI329" s="83" t="e">
        <f t="shared" si="136"/>
        <v>#N/A</v>
      </c>
      <c r="AJ329" s="179"/>
      <c r="AK329" s="156"/>
    </row>
    <row r="330" spans="1:46" s="89" customFormat="1" ht="15" customHeight="1" x14ac:dyDescent="0.2">
      <c r="A330" s="462">
        <f>VLOOKUP(B330,Sheet1!$AQ$4:$AR$25,2,FALSE)</f>
        <v>0</v>
      </c>
      <c r="B330" s="95" t="str">
        <f t="shared" si="127"/>
        <v>Hampshire</v>
      </c>
      <c r="C330" s="87"/>
      <c r="D330" s="226">
        <f t="shared" si="137"/>
        <v>44.165835589115254</v>
      </c>
      <c r="E330" s="226">
        <f t="shared" si="138"/>
        <v>32.456467762613393</v>
      </c>
      <c r="F330" s="226">
        <f t="shared" si="139"/>
        <v>42.542004254200428</v>
      </c>
      <c r="G330" s="226">
        <f t="shared" si="140"/>
        <v>69.71565051802601</v>
      </c>
      <c r="H330" s="401">
        <f t="shared" si="141"/>
        <v>128.28777720474471</v>
      </c>
      <c r="I330" s="385"/>
      <c r="J330" s="168"/>
      <c r="K330" s="168"/>
      <c r="L330" s="168"/>
      <c r="M330" s="168"/>
      <c r="N330" s="168"/>
      <c r="O330" s="385"/>
      <c r="P330" s="385"/>
      <c r="Q330" s="385"/>
      <c r="R330" s="385"/>
      <c r="S330" s="385"/>
      <c r="T330" s="168"/>
      <c r="U330" s="392"/>
      <c r="V330" s="124"/>
      <c r="W330" s="140"/>
      <c r="X330" s="149"/>
      <c r="Y330" s="365" t="str">
        <f t="shared" si="132"/>
        <v>Hampshire</v>
      </c>
      <c r="Z330" s="463">
        <v>14038</v>
      </c>
      <c r="AA330" s="365">
        <v>61621</v>
      </c>
      <c r="AB330" s="365">
        <v>83682</v>
      </c>
      <c r="AC330" s="365">
        <v>92949</v>
      </c>
      <c r="AD330" s="605">
        <v>31024</v>
      </c>
      <c r="AE330" s="83" t="e">
        <f t="shared" si="133"/>
        <v>#N/A</v>
      </c>
      <c r="AF330" s="83" t="e">
        <f t="shared" si="134"/>
        <v>#N/A</v>
      </c>
      <c r="AG330" s="83" t="e">
        <f t="shared" si="134"/>
        <v>#N/A</v>
      </c>
      <c r="AH330" s="83" t="e">
        <f t="shared" si="135"/>
        <v>#N/A</v>
      </c>
      <c r="AI330" s="83" t="e">
        <f t="shared" si="136"/>
        <v>#N/A</v>
      </c>
      <c r="AJ330" s="179"/>
      <c r="AK330" s="156"/>
    </row>
    <row r="331" spans="1:46" s="89" customFormat="1" ht="15" customHeight="1" x14ac:dyDescent="0.2">
      <c r="A331" s="462">
        <f>VLOOKUP(B331,Sheet1!$AQ$4:$AR$25,2,FALSE)</f>
        <v>0</v>
      </c>
      <c r="B331" s="95" t="str">
        <f t="shared" si="127"/>
        <v>Isle of Wight</v>
      </c>
      <c r="C331" s="87"/>
      <c r="D331" s="226">
        <f t="shared" si="137"/>
        <v>107.43801652892562</v>
      </c>
      <c r="E331" s="226">
        <f t="shared" si="138"/>
        <v>70.331297427355167</v>
      </c>
      <c r="F331" s="226">
        <f t="shared" si="139"/>
        <v>83.094555873925501</v>
      </c>
      <c r="G331" s="226">
        <f t="shared" si="140"/>
        <v>113.05486135903844</v>
      </c>
      <c r="H331" s="401">
        <f t="shared" si="141"/>
        <v>127.49264465511605</v>
      </c>
      <c r="I331" s="385"/>
      <c r="J331" s="168"/>
      <c r="K331" s="168"/>
      <c r="L331" s="168"/>
      <c r="M331" s="168"/>
      <c r="N331" s="168"/>
      <c r="O331" s="385"/>
      <c r="P331" s="385"/>
      <c r="Q331" s="385"/>
      <c r="R331" s="385"/>
      <c r="S331" s="385"/>
      <c r="T331" s="168"/>
      <c r="U331" s="392"/>
      <c r="V331" s="124"/>
      <c r="W331" s="140"/>
      <c r="X331" s="149"/>
      <c r="Y331" s="365" t="str">
        <f t="shared" si="132"/>
        <v>Isle of Wight</v>
      </c>
      <c r="Z331" s="463">
        <v>1210</v>
      </c>
      <c r="AA331" s="365">
        <v>5403</v>
      </c>
      <c r="AB331" s="365">
        <v>6980</v>
      </c>
      <c r="AC331" s="365">
        <v>8403</v>
      </c>
      <c r="AD331" s="605">
        <v>3059</v>
      </c>
      <c r="AE331" s="83" t="e">
        <f t="shared" si="133"/>
        <v>#N/A</v>
      </c>
      <c r="AF331" s="83" t="e">
        <f t="shared" si="134"/>
        <v>#N/A</v>
      </c>
      <c r="AG331" s="83" t="e">
        <f t="shared" si="134"/>
        <v>#N/A</v>
      </c>
      <c r="AH331" s="83" t="e">
        <f t="shared" si="135"/>
        <v>#N/A</v>
      </c>
      <c r="AI331" s="83" t="e">
        <f t="shared" si="136"/>
        <v>#N/A</v>
      </c>
      <c r="AJ331" s="179"/>
      <c r="AK331" s="156"/>
      <c r="AS331" s="89" t="s">
        <v>103</v>
      </c>
    </row>
    <row r="332" spans="1:46" s="89" customFormat="1" ht="15" customHeight="1" x14ac:dyDescent="0.2">
      <c r="A332" s="462">
        <f>VLOOKUP(B332,Sheet1!$AQ$4:$AR$25,2,FALSE)</f>
        <v>0</v>
      </c>
      <c r="B332" s="95" t="str">
        <f t="shared" si="127"/>
        <v>Kent</v>
      </c>
      <c r="C332" s="87"/>
      <c r="D332" s="226">
        <f t="shared" si="137"/>
        <v>36.693039789015018</v>
      </c>
      <c r="E332" s="226">
        <f t="shared" si="138"/>
        <v>11.357951241937883</v>
      </c>
      <c r="F332" s="226">
        <f t="shared" si="139"/>
        <v>20.272256403498989</v>
      </c>
      <c r="G332" s="226">
        <f t="shared" si="140"/>
        <v>63.081432394545686</v>
      </c>
      <c r="H332" s="401">
        <f t="shared" si="141"/>
        <v>151.75807164971252</v>
      </c>
      <c r="I332" s="385"/>
      <c r="J332" s="168"/>
      <c r="K332" s="168"/>
      <c r="L332" s="168"/>
      <c r="M332" s="168"/>
      <c r="N332" s="168"/>
      <c r="O332" s="385"/>
      <c r="P332" s="385"/>
      <c r="Q332" s="385"/>
      <c r="R332" s="385"/>
      <c r="S332" s="385"/>
      <c r="T332" s="168"/>
      <c r="U332" s="392"/>
      <c r="V332" s="124"/>
      <c r="W332" s="140"/>
      <c r="X332" s="149"/>
      <c r="Y332" s="365" t="str">
        <f t="shared" si="132"/>
        <v>Kent</v>
      </c>
      <c r="Z332" s="463">
        <v>17442</v>
      </c>
      <c r="AA332" s="365">
        <v>73957</v>
      </c>
      <c r="AB332" s="365">
        <v>98657</v>
      </c>
      <c r="AC332" s="365">
        <v>109858</v>
      </c>
      <c r="AD332" s="605">
        <v>36176</v>
      </c>
      <c r="AE332" s="83" t="e">
        <f t="shared" si="133"/>
        <v>#N/A</v>
      </c>
      <c r="AF332" s="83" t="e">
        <f t="shared" si="134"/>
        <v>#N/A</v>
      </c>
      <c r="AG332" s="83" t="e">
        <f t="shared" si="134"/>
        <v>#N/A</v>
      </c>
      <c r="AH332" s="83" t="e">
        <f t="shared" si="135"/>
        <v>#N/A</v>
      </c>
      <c r="AI332" s="83" t="e">
        <f t="shared" si="136"/>
        <v>#N/A</v>
      </c>
      <c r="AJ332" s="179"/>
      <c r="AK332" s="156"/>
    </row>
    <row r="333" spans="1:46" s="89" customFormat="1" ht="15" customHeight="1" x14ac:dyDescent="0.2">
      <c r="A333" s="462">
        <f>VLOOKUP(B333,Sheet1!$AQ$4:$AR$25,2,FALSE)</f>
        <v>0</v>
      </c>
      <c r="B333" s="95" t="str">
        <f t="shared" si="127"/>
        <v>Medway</v>
      </c>
      <c r="C333" s="87"/>
      <c r="D333" s="226">
        <f t="shared" si="137"/>
        <v>82.191780821917803</v>
      </c>
      <c r="E333" s="226">
        <f t="shared" si="138"/>
        <v>35.532314293376238</v>
      </c>
      <c r="F333" s="226">
        <f t="shared" si="139"/>
        <v>39.76784178847808</v>
      </c>
      <c r="G333" s="226">
        <f t="shared" si="140"/>
        <v>89.045866082976815</v>
      </c>
      <c r="H333" s="401">
        <f t="shared" si="141"/>
        <v>131.9934003299835</v>
      </c>
      <c r="I333" s="385"/>
      <c r="J333" s="168"/>
      <c r="K333" s="168"/>
      <c r="L333" s="168"/>
      <c r="M333" s="168"/>
      <c r="N333" s="168"/>
      <c r="O333" s="385"/>
      <c r="P333" s="385"/>
      <c r="Q333" s="385"/>
      <c r="R333" s="385"/>
      <c r="S333" s="385"/>
      <c r="T333" s="168"/>
      <c r="U333" s="392"/>
      <c r="V333" s="124"/>
      <c r="W333" s="140"/>
      <c r="X333" s="149"/>
      <c r="Y333" s="365" t="str">
        <f t="shared" si="132"/>
        <v>Medway</v>
      </c>
      <c r="Z333" s="463">
        <v>3650</v>
      </c>
      <c r="AA333" s="365">
        <v>14916</v>
      </c>
      <c r="AB333" s="365">
        <v>18608</v>
      </c>
      <c r="AC333" s="365">
        <v>20102</v>
      </c>
      <c r="AD333" s="605">
        <v>6667</v>
      </c>
      <c r="AE333" s="83" t="e">
        <f t="shared" si="133"/>
        <v>#N/A</v>
      </c>
      <c r="AF333" s="83" t="e">
        <f t="shared" si="134"/>
        <v>#N/A</v>
      </c>
      <c r="AG333" s="83" t="e">
        <f t="shared" si="134"/>
        <v>#N/A</v>
      </c>
      <c r="AH333" s="83" t="e">
        <f t="shared" si="135"/>
        <v>#N/A</v>
      </c>
      <c r="AI333" s="83" t="e">
        <f t="shared" si="136"/>
        <v>#N/A</v>
      </c>
      <c r="AJ333" s="179"/>
      <c r="AK333" s="156"/>
    </row>
    <row r="334" spans="1:46" s="89" customFormat="1" ht="15" customHeight="1" x14ac:dyDescent="0.2">
      <c r="A334" s="462">
        <f>VLOOKUP(B334,Sheet1!$AQ$4:$AR$25,2,FALSE)</f>
        <v>0</v>
      </c>
      <c r="B334" s="95" t="str">
        <f t="shared" si="127"/>
        <v>Milton Keynes</v>
      </c>
      <c r="C334" s="87"/>
      <c r="D334" s="226">
        <f t="shared" si="137"/>
        <v>77.929306985805738</v>
      </c>
      <c r="E334" s="226">
        <f t="shared" si="138"/>
        <v>32.317343641087383</v>
      </c>
      <c r="F334" s="226">
        <f t="shared" si="139"/>
        <v>40.952739597062703</v>
      </c>
      <c r="G334" s="226">
        <f t="shared" si="140"/>
        <v>72.365881898880744</v>
      </c>
      <c r="H334" s="401">
        <f t="shared" si="141"/>
        <v>103.15822885256308</v>
      </c>
      <c r="I334" s="385"/>
      <c r="J334" s="168"/>
      <c r="K334" s="168"/>
      <c r="L334" s="168"/>
      <c r="M334" s="168"/>
      <c r="N334" s="168"/>
      <c r="O334" s="385"/>
      <c r="P334" s="385"/>
      <c r="Q334" s="385"/>
      <c r="R334" s="385"/>
      <c r="S334" s="385"/>
      <c r="T334" s="168"/>
      <c r="U334" s="392"/>
      <c r="V334" s="124"/>
      <c r="W334" s="140"/>
      <c r="X334" s="149"/>
      <c r="Y334" s="365" t="str">
        <f t="shared" si="132"/>
        <v>Milton Keynes</v>
      </c>
      <c r="Z334" s="463">
        <v>3593</v>
      </c>
      <c r="AA334" s="365">
        <v>15781</v>
      </c>
      <c r="AB334" s="365">
        <v>21244</v>
      </c>
      <c r="AC334" s="365">
        <v>20728</v>
      </c>
      <c r="AD334" s="605">
        <v>6301</v>
      </c>
      <c r="AE334" s="83" t="e">
        <f t="shared" si="133"/>
        <v>#N/A</v>
      </c>
      <c r="AF334" s="83" t="e">
        <f t="shared" si="134"/>
        <v>#N/A</v>
      </c>
      <c r="AG334" s="83" t="e">
        <f t="shared" si="134"/>
        <v>#N/A</v>
      </c>
      <c r="AH334" s="83" t="e">
        <f t="shared" si="135"/>
        <v>#N/A</v>
      </c>
      <c r="AI334" s="83" t="e">
        <f t="shared" si="136"/>
        <v>#N/A</v>
      </c>
      <c r="AJ334" s="179"/>
      <c r="AK334" s="156"/>
    </row>
    <row r="335" spans="1:46" s="89" customFormat="1" ht="15" customHeight="1" x14ac:dyDescent="0.2">
      <c r="A335" s="462">
        <f>VLOOKUP(B335,Sheet1!$AQ$4:$AR$25,2,FALSE)</f>
        <v>0</v>
      </c>
      <c r="B335" s="95" t="str">
        <f t="shared" si="127"/>
        <v>Oxfordshire</v>
      </c>
      <c r="C335" s="87"/>
      <c r="D335" s="226">
        <f t="shared" si="137"/>
        <v>43.888815001994942</v>
      </c>
      <c r="E335" s="226">
        <f t="shared" si="138"/>
        <v>29.361236920193658</v>
      </c>
      <c r="F335" s="226">
        <f t="shared" si="139"/>
        <v>36.196117143797302</v>
      </c>
      <c r="G335" s="226">
        <f t="shared" si="140"/>
        <v>64.770487186707967</v>
      </c>
      <c r="H335" s="401">
        <f t="shared" si="141"/>
        <v>130.91243997105454</v>
      </c>
      <c r="I335" s="385"/>
      <c r="J335" s="168"/>
      <c r="K335" s="168"/>
      <c r="L335" s="168"/>
      <c r="M335" s="168"/>
      <c r="N335" s="168"/>
      <c r="O335" s="385"/>
      <c r="P335" s="385"/>
      <c r="Q335" s="385"/>
      <c r="R335" s="385"/>
      <c r="S335" s="385"/>
      <c r="T335" s="168"/>
      <c r="U335" s="392"/>
      <c r="V335" s="124"/>
      <c r="W335" s="140"/>
      <c r="X335" s="149"/>
      <c r="Y335" s="365" t="str">
        <f t="shared" si="132"/>
        <v>Oxfordshire</v>
      </c>
      <c r="Z335" s="463">
        <v>7519</v>
      </c>
      <c r="AA335" s="365">
        <v>32015</v>
      </c>
      <c r="AB335" s="365">
        <v>42546</v>
      </c>
      <c r="AC335" s="365">
        <v>46163</v>
      </c>
      <c r="AD335" s="605">
        <v>15201</v>
      </c>
      <c r="AE335" s="83" t="e">
        <f t="shared" si="133"/>
        <v>#N/A</v>
      </c>
      <c r="AF335" s="83" t="e">
        <f t="shared" si="134"/>
        <v>#N/A</v>
      </c>
      <c r="AG335" s="83" t="e">
        <f t="shared" si="134"/>
        <v>#N/A</v>
      </c>
      <c r="AH335" s="83" t="e">
        <f t="shared" si="135"/>
        <v>#N/A</v>
      </c>
      <c r="AI335" s="83" t="e">
        <f t="shared" si="136"/>
        <v>#N/A</v>
      </c>
      <c r="AJ335" s="179"/>
      <c r="AK335" s="156"/>
    </row>
    <row r="336" spans="1:46" s="89" customFormat="1" ht="15" customHeight="1" x14ac:dyDescent="0.2">
      <c r="A336" s="462">
        <f>VLOOKUP(B336,Sheet1!$AQ$4:$AR$25,2,FALSE)</f>
        <v>0</v>
      </c>
      <c r="B336" s="95" t="str">
        <f t="shared" si="127"/>
        <v>Portsmouth</v>
      </c>
      <c r="C336" s="87"/>
      <c r="D336" s="226">
        <f t="shared" si="137"/>
        <v>72.609923356192013</v>
      </c>
      <c r="E336" s="226">
        <f t="shared" si="138"/>
        <v>53.541236145031</v>
      </c>
      <c r="F336" s="226">
        <f t="shared" si="139"/>
        <v>47.759836251989995</v>
      </c>
      <c r="G336" s="226">
        <f t="shared" si="140"/>
        <v>139.65453877251011</v>
      </c>
      <c r="H336" s="401">
        <f t="shared" si="141"/>
        <v>369.93678295481146</v>
      </c>
      <c r="I336" s="385"/>
      <c r="J336" s="168"/>
      <c r="K336" s="168"/>
      <c r="L336" s="168"/>
      <c r="M336" s="168"/>
      <c r="N336" s="168"/>
      <c r="O336" s="385"/>
      <c r="P336" s="385"/>
      <c r="Q336" s="385"/>
      <c r="R336" s="385"/>
      <c r="S336" s="385"/>
      <c r="T336" s="168"/>
      <c r="U336" s="392"/>
      <c r="V336" s="124"/>
      <c r="W336" s="140"/>
      <c r="X336" s="149"/>
      <c r="Y336" s="365" t="str">
        <f t="shared" si="132"/>
        <v>Portsmouth</v>
      </c>
      <c r="Z336" s="463">
        <v>2479</v>
      </c>
      <c r="AA336" s="365">
        <v>10646</v>
      </c>
      <c r="AB336" s="365">
        <v>13191</v>
      </c>
      <c r="AC336" s="365">
        <v>13605</v>
      </c>
      <c r="AD336" s="605">
        <v>4271</v>
      </c>
      <c r="AE336" s="83" t="e">
        <f t="shared" si="133"/>
        <v>#N/A</v>
      </c>
      <c r="AF336" s="83" t="e">
        <f t="shared" si="134"/>
        <v>#N/A</v>
      </c>
      <c r="AG336" s="83" t="e">
        <f t="shared" si="134"/>
        <v>#N/A</v>
      </c>
      <c r="AH336" s="83" t="e">
        <f t="shared" si="135"/>
        <v>#N/A</v>
      </c>
      <c r="AI336" s="83" t="e">
        <f t="shared" si="136"/>
        <v>#N/A</v>
      </c>
      <c r="AJ336" s="179"/>
      <c r="AK336" s="156"/>
    </row>
    <row r="337" spans="1:37" s="89" customFormat="1" ht="15" customHeight="1" x14ac:dyDescent="0.2">
      <c r="A337" s="462">
        <f>VLOOKUP(B337,Sheet1!$AQ$4:$AR$25,2,FALSE)</f>
        <v>0</v>
      </c>
      <c r="B337" s="95" t="str">
        <f t="shared" si="127"/>
        <v>Reading</v>
      </c>
      <c r="C337" s="87"/>
      <c r="D337" s="226">
        <f t="shared" si="137"/>
        <v>81.26777732629013</v>
      </c>
      <c r="E337" s="226">
        <f t="shared" si="138"/>
        <v>35.153019023986765</v>
      </c>
      <c r="F337" s="226">
        <f t="shared" si="139"/>
        <v>50.938337801608576</v>
      </c>
      <c r="G337" s="226">
        <f t="shared" si="140"/>
        <v>105.27323188821897</v>
      </c>
      <c r="H337" s="401">
        <f t="shared" si="141"/>
        <v>156.57934357121349</v>
      </c>
      <c r="I337" s="385"/>
      <c r="J337" s="168"/>
      <c r="K337" s="168"/>
      <c r="L337" s="168"/>
      <c r="M337" s="168"/>
      <c r="N337" s="168"/>
      <c r="O337" s="385"/>
      <c r="P337" s="385"/>
      <c r="Q337" s="385"/>
      <c r="R337" s="385"/>
      <c r="S337" s="385"/>
      <c r="T337" s="168"/>
      <c r="U337" s="392"/>
      <c r="V337" s="124"/>
      <c r="W337" s="140"/>
      <c r="X337" s="149"/>
      <c r="Y337" s="365" t="str">
        <f t="shared" si="132"/>
        <v>Reading</v>
      </c>
      <c r="Z337" s="463">
        <v>2461</v>
      </c>
      <c r="AA337" s="365">
        <v>9672</v>
      </c>
      <c r="AB337" s="365">
        <v>11190</v>
      </c>
      <c r="AC337" s="365">
        <v>10449</v>
      </c>
      <c r="AD337" s="605">
        <v>3321</v>
      </c>
      <c r="AE337" s="83" t="e">
        <f t="shared" si="133"/>
        <v>#N/A</v>
      </c>
      <c r="AF337" s="83" t="e">
        <f t="shared" si="134"/>
        <v>#N/A</v>
      </c>
      <c r="AG337" s="83" t="e">
        <f t="shared" si="134"/>
        <v>#N/A</v>
      </c>
      <c r="AH337" s="83" t="e">
        <f t="shared" si="135"/>
        <v>#N/A</v>
      </c>
      <c r="AI337" s="83" t="e">
        <f t="shared" si="136"/>
        <v>#N/A</v>
      </c>
      <c r="AJ337" s="179"/>
      <c r="AK337" s="156"/>
    </row>
    <row r="338" spans="1:37" s="89" customFormat="1" ht="15" customHeight="1" x14ac:dyDescent="0.2">
      <c r="A338" s="462">
        <f>VLOOKUP(B338,Sheet1!$AQ$4:$AR$25,2,FALSE)</f>
        <v>0</v>
      </c>
      <c r="B338" s="95" t="str">
        <f t="shared" si="127"/>
        <v>Slough</v>
      </c>
      <c r="C338" s="87"/>
      <c r="D338" s="226">
        <f t="shared" si="137"/>
        <v>66.484161126319904</v>
      </c>
      <c r="E338" s="226">
        <f t="shared" si="138"/>
        <v>31.536697247706424</v>
      </c>
      <c r="F338" s="226">
        <f t="shared" si="139"/>
        <v>24.060850667494567</v>
      </c>
      <c r="G338" s="226">
        <f t="shared" si="140"/>
        <v>65.669752353825459</v>
      </c>
      <c r="H338" s="401">
        <f t="shared" si="141"/>
        <v>134.76347634763476</v>
      </c>
      <c r="I338" s="385"/>
      <c r="J338" s="168"/>
      <c r="K338" s="168"/>
      <c r="L338" s="168"/>
      <c r="M338" s="168"/>
      <c r="N338" s="168"/>
      <c r="O338" s="385"/>
      <c r="P338" s="385"/>
      <c r="Q338" s="385"/>
      <c r="R338" s="385"/>
      <c r="S338" s="385"/>
      <c r="T338" s="168"/>
      <c r="U338" s="392"/>
      <c r="V338" s="124"/>
      <c r="W338" s="140"/>
      <c r="X338" s="149"/>
      <c r="Y338" s="365" t="str">
        <f t="shared" si="132"/>
        <v>Slough</v>
      </c>
      <c r="Z338" s="463">
        <v>2557</v>
      </c>
      <c r="AA338" s="365">
        <v>10464</v>
      </c>
      <c r="AB338" s="365">
        <v>12884</v>
      </c>
      <c r="AC338" s="365">
        <v>12639</v>
      </c>
      <c r="AD338" s="605">
        <v>3636</v>
      </c>
      <c r="AE338" s="83" t="e">
        <f t="shared" si="133"/>
        <v>#N/A</v>
      </c>
      <c r="AF338" s="83" t="e">
        <f t="shared" si="134"/>
        <v>#N/A</v>
      </c>
      <c r="AG338" s="83" t="e">
        <f t="shared" si="134"/>
        <v>#N/A</v>
      </c>
      <c r="AH338" s="83" t="e">
        <f t="shared" si="135"/>
        <v>#N/A</v>
      </c>
      <c r="AI338" s="83" t="e">
        <f t="shared" si="136"/>
        <v>#N/A</v>
      </c>
      <c r="AJ338" s="179"/>
      <c r="AK338" s="156"/>
    </row>
    <row r="339" spans="1:37" s="89" customFormat="1" ht="15" customHeight="1" x14ac:dyDescent="0.2">
      <c r="A339" s="462">
        <f>VLOOKUP(B339,Sheet1!$AQ$4:$AR$25,2,FALSE)</f>
        <v>0</v>
      </c>
      <c r="B339" s="95" t="str">
        <f t="shared" si="127"/>
        <v>Somerset</v>
      </c>
      <c r="C339" s="87"/>
      <c r="D339" s="226">
        <f t="shared" si="137"/>
        <v>56.81818181818182</v>
      </c>
      <c r="E339" s="226">
        <f t="shared" si="138"/>
        <v>33.655868742111906</v>
      </c>
      <c r="F339" s="226">
        <f t="shared" si="139"/>
        <v>25.716615442513955</v>
      </c>
      <c r="G339" s="226">
        <f t="shared" si="140"/>
        <v>55.70954197425835</v>
      </c>
      <c r="H339" s="401">
        <f t="shared" si="141"/>
        <v>110.10931141785686</v>
      </c>
      <c r="I339" s="385"/>
      <c r="J339" s="168"/>
      <c r="K339" s="168"/>
      <c r="L339" s="168"/>
      <c r="M339" s="168"/>
      <c r="N339" s="168"/>
      <c r="O339" s="385"/>
      <c r="P339" s="385"/>
      <c r="Q339" s="385"/>
      <c r="R339" s="385"/>
      <c r="S339" s="385"/>
      <c r="T339" s="168"/>
      <c r="U339" s="392"/>
      <c r="V339" s="124"/>
      <c r="W339" s="140"/>
      <c r="X339" s="149"/>
      <c r="Y339" s="365" t="str">
        <f t="shared" si="132"/>
        <v>Somerset</v>
      </c>
      <c r="Z339" s="463">
        <v>5456</v>
      </c>
      <c r="AA339" s="365">
        <v>23770</v>
      </c>
      <c r="AB339" s="365">
        <v>31886</v>
      </c>
      <c r="AC339" s="365">
        <v>36439</v>
      </c>
      <c r="AD339" s="605">
        <v>12533</v>
      </c>
      <c r="AE339" s="83" t="e">
        <f t="shared" si="133"/>
        <v>#N/A</v>
      </c>
      <c r="AF339" s="83" t="e">
        <f t="shared" si="134"/>
        <v>#N/A</v>
      </c>
      <c r="AG339" s="83" t="e">
        <f t="shared" si="134"/>
        <v>#N/A</v>
      </c>
      <c r="AH339" s="83" t="e">
        <f t="shared" si="135"/>
        <v>#N/A</v>
      </c>
      <c r="AI339" s="83" t="e">
        <f t="shared" si="136"/>
        <v>#N/A</v>
      </c>
      <c r="AJ339" s="179"/>
      <c r="AK339" s="156"/>
    </row>
    <row r="340" spans="1:37" s="89" customFormat="1" ht="15" customHeight="1" x14ac:dyDescent="0.2">
      <c r="A340" s="462">
        <f>VLOOKUP(B340,Sheet1!$AQ$4:$AR$25,2,FALSE)</f>
        <v>0</v>
      </c>
      <c r="B340" s="95" t="str">
        <f t="shared" si="127"/>
        <v>Southampton</v>
      </c>
      <c r="C340" s="87"/>
      <c r="D340" s="226">
        <f t="shared" si="137"/>
        <v>79.41550190597205</v>
      </c>
      <c r="E340" s="226">
        <f t="shared" si="138"/>
        <v>42.688606022974234</v>
      </c>
      <c r="F340" s="226">
        <f t="shared" si="139"/>
        <v>75.449416087127673</v>
      </c>
      <c r="G340" s="226">
        <f t="shared" si="140"/>
        <v>148.33298676093438</v>
      </c>
      <c r="H340" s="401">
        <f t="shared" si="141"/>
        <v>156.38575152041705</v>
      </c>
      <c r="I340" s="385"/>
      <c r="J340" s="168"/>
      <c r="K340" s="168"/>
      <c r="L340" s="168"/>
      <c r="M340" s="168"/>
      <c r="N340" s="168"/>
      <c r="O340" s="385"/>
      <c r="P340" s="385"/>
      <c r="Q340" s="385"/>
      <c r="R340" s="385"/>
      <c r="S340" s="385"/>
      <c r="T340" s="168"/>
      <c r="U340" s="392"/>
      <c r="V340" s="124"/>
      <c r="W340" s="140"/>
      <c r="X340" s="149"/>
      <c r="Y340" s="365" t="str">
        <f t="shared" si="132"/>
        <v>Southampton</v>
      </c>
      <c r="Z340" s="463">
        <v>3148</v>
      </c>
      <c r="AA340" s="365">
        <v>12884</v>
      </c>
      <c r="AB340" s="365">
        <v>15242</v>
      </c>
      <c r="AC340" s="365">
        <v>14427</v>
      </c>
      <c r="AD340" s="605">
        <v>4604</v>
      </c>
      <c r="AE340" s="83" t="e">
        <f t="shared" si="133"/>
        <v>#N/A</v>
      </c>
      <c r="AF340" s="83" t="e">
        <f t="shared" si="134"/>
        <v>#N/A</v>
      </c>
      <c r="AG340" s="83" t="e">
        <f t="shared" si="134"/>
        <v>#N/A</v>
      </c>
      <c r="AH340" s="83" t="e">
        <f t="shared" si="135"/>
        <v>#N/A</v>
      </c>
      <c r="AI340" s="83" t="e">
        <f t="shared" si="136"/>
        <v>#N/A</v>
      </c>
      <c r="AJ340" s="179"/>
      <c r="AK340" s="156"/>
    </row>
    <row r="341" spans="1:37" s="89" customFormat="1" ht="15" customHeight="1" x14ac:dyDescent="0.2">
      <c r="A341" s="462">
        <f>VLOOKUP(B341,Sheet1!$AQ$4:$AR$25,2,FALSE)</f>
        <v>0</v>
      </c>
      <c r="B341" s="95" t="str">
        <f t="shared" si="127"/>
        <v>Surrey</v>
      </c>
      <c r="C341" s="87"/>
      <c r="D341" s="226">
        <f t="shared" si="137"/>
        <v>28.181887424784829</v>
      </c>
      <c r="E341" s="226">
        <f t="shared" si="138"/>
        <v>16.064673265274394</v>
      </c>
      <c r="F341" s="226">
        <f t="shared" si="139"/>
        <v>23.165128759507354</v>
      </c>
      <c r="G341" s="226">
        <f t="shared" si="140"/>
        <v>44.038182294270271</v>
      </c>
      <c r="H341" s="401">
        <f t="shared" si="141"/>
        <v>106.29806994630678</v>
      </c>
      <c r="I341" s="385"/>
      <c r="J341" s="168"/>
      <c r="K341" s="168"/>
      <c r="L341" s="168"/>
      <c r="M341" s="168"/>
      <c r="N341" s="168"/>
      <c r="O341" s="385"/>
      <c r="P341" s="385"/>
      <c r="Q341" s="385"/>
      <c r="R341" s="385"/>
      <c r="S341" s="385"/>
      <c r="T341" s="168"/>
      <c r="U341" s="392"/>
      <c r="V341" s="124"/>
      <c r="W341" s="140"/>
      <c r="X341" s="149"/>
      <c r="Y341" s="365" t="str">
        <f t="shared" si="132"/>
        <v>Surrey</v>
      </c>
      <c r="Z341" s="463">
        <v>13129</v>
      </c>
      <c r="AA341" s="365">
        <v>57891</v>
      </c>
      <c r="AB341" s="365">
        <v>77703</v>
      </c>
      <c r="AC341" s="365">
        <v>84018</v>
      </c>
      <c r="AD341" s="605">
        <v>27564</v>
      </c>
      <c r="AE341" s="83" t="e">
        <f t="shared" si="133"/>
        <v>#N/A</v>
      </c>
      <c r="AF341" s="83" t="e">
        <f t="shared" si="134"/>
        <v>#N/A</v>
      </c>
      <c r="AG341" s="83" t="e">
        <f t="shared" si="134"/>
        <v>#N/A</v>
      </c>
      <c r="AH341" s="83" t="e">
        <f t="shared" si="135"/>
        <v>#N/A</v>
      </c>
      <c r="AI341" s="83" t="e">
        <f t="shared" si="136"/>
        <v>#N/A</v>
      </c>
      <c r="AJ341" s="179"/>
      <c r="AK341" s="156"/>
    </row>
    <row r="342" spans="1:37" s="89" customFormat="1" ht="15" customHeight="1" x14ac:dyDescent="0.2">
      <c r="A342" s="462">
        <f>VLOOKUP(B342,Sheet1!$AQ$4:$AR$25,2,FALSE)</f>
        <v>0</v>
      </c>
      <c r="B342" s="95" t="str">
        <f t="shared" si="127"/>
        <v>Swindon</v>
      </c>
      <c r="C342" s="87"/>
      <c r="D342" s="226">
        <f t="shared" si="137"/>
        <v>52.46589716684155</v>
      </c>
      <c r="E342" s="226">
        <f t="shared" si="138"/>
        <v>45.336243808244483</v>
      </c>
      <c r="F342" s="226">
        <f t="shared" si="139"/>
        <v>51.319648093841643</v>
      </c>
      <c r="G342" s="226">
        <f t="shared" si="140"/>
        <v>72.468542064694645</v>
      </c>
      <c r="H342" s="401">
        <f t="shared" si="141"/>
        <v>185.07342587004629</v>
      </c>
      <c r="I342" s="385"/>
      <c r="J342" s="168"/>
      <c r="K342" s="168"/>
      <c r="L342" s="168"/>
      <c r="M342" s="168"/>
      <c r="N342" s="168"/>
      <c r="O342" s="385"/>
      <c r="P342" s="385"/>
      <c r="Q342" s="385"/>
      <c r="R342" s="385"/>
      <c r="S342" s="385"/>
      <c r="T342" s="168"/>
      <c r="U342" s="392"/>
      <c r="V342" s="124"/>
      <c r="W342" s="140"/>
      <c r="X342" s="149"/>
      <c r="Y342" s="365" t="str">
        <f t="shared" si="132"/>
        <v>Swindon</v>
      </c>
      <c r="Z342" s="463">
        <v>2859</v>
      </c>
      <c r="AA342" s="365">
        <v>11911</v>
      </c>
      <c r="AB342" s="365">
        <v>15004</v>
      </c>
      <c r="AC342" s="365">
        <v>15179</v>
      </c>
      <c r="AD342" s="605">
        <v>4971</v>
      </c>
      <c r="AE342" s="83" t="e">
        <f t="shared" si="133"/>
        <v>#N/A</v>
      </c>
      <c r="AF342" s="83" t="e">
        <f t="shared" si="134"/>
        <v>#N/A</v>
      </c>
      <c r="AG342" s="83" t="e">
        <f t="shared" si="134"/>
        <v>#N/A</v>
      </c>
      <c r="AH342" s="83" t="e">
        <f t="shared" si="135"/>
        <v>#N/A</v>
      </c>
      <c r="AI342" s="83" t="e">
        <f t="shared" si="136"/>
        <v>#N/A</v>
      </c>
      <c r="AJ342" s="179"/>
      <c r="AK342" s="156"/>
    </row>
    <row r="343" spans="1:37" s="89" customFormat="1" ht="15" customHeight="1" x14ac:dyDescent="0.2">
      <c r="A343" s="462">
        <f>VLOOKUP(B343,Sheet1!$AQ$4:$AR$25,2,FALSE)</f>
        <v>0</v>
      </c>
      <c r="B343" s="95" t="str">
        <f t="shared" si="127"/>
        <v>Torbay</v>
      </c>
      <c r="C343" s="87"/>
      <c r="D343" s="226">
        <f t="shared" si="137"/>
        <v>98.261526832955411</v>
      </c>
      <c r="E343" s="226">
        <f t="shared" si="138"/>
        <v>92.228864218616565</v>
      </c>
      <c r="F343" s="226">
        <f t="shared" si="139"/>
        <v>87.431693989071036</v>
      </c>
      <c r="G343" s="226">
        <f t="shared" si="140"/>
        <v>204.10657540943535</v>
      </c>
      <c r="H343" s="401">
        <f t="shared" si="141"/>
        <v>233.83266350018269</v>
      </c>
      <c r="I343" s="385"/>
      <c r="J343" s="168"/>
      <c r="K343" s="168"/>
      <c r="L343" s="168"/>
      <c r="M343" s="168"/>
      <c r="N343" s="168"/>
      <c r="O343" s="385"/>
      <c r="P343" s="385"/>
      <c r="Q343" s="385"/>
      <c r="R343" s="385"/>
      <c r="S343" s="385"/>
      <c r="T343" s="168"/>
      <c r="U343" s="392"/>
      <c r="V343" s="124"/>
      <c r="W343" s="140"/>
      <c r="X343" s="149"/>
      <c r="Y343" s="365" t="str">
        <f t="shared" si="132"/>
        <v>Torbay</v>
      </c>
      <c r="Z343" s="463">
        <v>1323</v>
      </c>
      <c r="AA343" s="365">
        <v>5855</v>
      </c>
      <c r="AB343" s="365">
        <v>7320</v>
      </c>
      <c r="AC343" s="365">
        <v>8182</v>
      </c>
      <c r="AD343" s="605">
        <v>2737</v>
      </c>
      <c r="AE343" s="83" t="e">
        <f t="shared" si="133"/>
        <v>#N/A</v>
      </c>
      <c r="AF343" s="83" t="e">
        <f t="shared" si="134"/>
        <v>#N/A</v>
      </c>
      <c r="AG343" s="83" t="e">
        <f t="shared" si="134"/>
        <v>#N/A</v>
      </c>
      <c r="AH343" s="83" t="e">
        <f t="shared" si="135"/>
        <v>#N/A</v>
      </c>
      <c r="AI343" s="83" t="e">
        <f t="shared" si="136"/>
        <v>#N/A</v>
      </c>
      <c r="AJ343" s="179"/>
      <c r="AK343" s="156"/>
    </row>
    <row r="344" spans="1:37" s="89" customFormat="1" ht="15" customHeight="1" x14ac:dyDescent="0.2">
      <c r="A344" s="462">
        <f>VLOOKUP(B344,Sheet1!$AQ$4:$AR$25,2,FALSE)</f>
        <v>0</v>
      </c>
      <c r="B344" s="95" t="str">
        <f t="shared" si="127"/>
        <v>West Berkshire</v>
      </c>
      <c r="C344" s="87"/>
      <c r="D344" s="226">
        <f t="shared" si="137"/>
        <v>59.701492537313435</v>
      </c>
      <c r="E344" s="226">
        <f t="shared" si="138"/>
        <v>13.386880856760374</v>
      </c>
      <c r="F344" s="226">
        <f t="shared" si="139"/>
        <v>21.990630079357491</v>
      </c>
      <c r="G344" s="226">
        <f t="shared" si="140"/>
        <v>52.693208430913344</v>
      </c>
      <c r="H344" s="401">
        <f t="shared" si="141"/>
        <v>156.02836879432624</v>
      </c>
      <c r="I344" s="385"/>
      <c r="J344" s="168"/>
      <c r="K344" s="168"/>
      <c r="L344" s="168"/>
      <c r="M344" s="168"/>
      <c r="N344" s="168"/>
      <c r="O344" s="385"/>
      <c r="P344" s="385"/>
      <c r="Q344" s="385"/>
      <c r="R344" s="385"/>
      <c r="S344" s="385"/>
      <c r="T344" s="168"/>
      <c r="U344" s="392"/>
      <c r="V344" s="124"/>
      <c r="W344" s="140"/>
      <c r="X344" s="149"/>
      <c r="Y344" s="365" t="str">
        <f t="shared" si="132"/>
        <v>West Berkshire</v>
      </c>
      <c r="Z344" s="463">
        <v>1675</v>
      </c>
      <c r="AA344" s="365">
        <v>7470</v>
      </c>
      <c r="AB344" s="365">
        <v>10459</v>
      </c>
      <c r="AC344" s="365">
        <v>11956</v>
      </c>
      <c r="AD344" s="605">
        <v>4230</v>
      </c>
      <c r="AE344" s="83" t="e">
        <f t="shared" si="133"/>
        <v>#N/A</v>
      </c>
      <c r="AF344" s="83" t="e">
        <f t="shared" si="134"/>
        <v>#N/A</v>
      </c>
      <c r="AG344" s="83" t="e">
        <f t="shared" si="134"/>
        <v>#N/A</v>
      </c>
      <c r="AH344" s="83" t="e">
        <f t="shared" si="135"/>
        <v>#N/A</v>
      </c>
      <c r="AI344" s="83" t="e">
        <f t="shared" si="136"/>
        <v>#N/A</v>
      </c>
      <c r="AJ344" s="179"/>
      <c r="AK344" s="156"/>
    </row>
    <row r="345" spans="1:37" s="89" customFormat="1" ht="15" customHeight="1" x14ac:dyDescent="0.2">
      <c r="A345" s="462">
        <f>VLOOKUP(B345,Sheet1!$AQ$4:$AR$25,2,FALSE)</f>
        <v>0</v>
      </c>
      <c r="B345" s="95" t="str">
        <f t="shared" si="127"/>
        <v>West Sussex</v>
      </c>
      <c r="C345" s="87"/>
      <c r="D345" s="226">
        <f t="shared" si="137"/>
        <v>58.066719799612883</v>
      </c>
      <c r="E345" s="226">
        <f t="shared" si="138"/>
        <v>20.82736716044883</v>
      </c>
      <c r="F345" s="226">
        <f t="shared" si="139"/>
        <v>19.661892553540106</v>
      </c>
      <c r="G345" s="226">
        <f t="shared" si="140"/>
        <v>49.194991055456171</v>
      </c>
      <c r="H345" s="401">
        <f t="shared" si="141"/>
        <v>107.04533042053522</v>
      </c>
      <c r="I345" s="385"/>
      <c r="J345" s="168"/>
      <c r="K345" s="168"/>
      <c r="L345" s="168"/>
      <c r="M345" s="168"/>
      <c r="N345" s="168"/>
      <c r="O345" s="385"/>
      <c r="P345" s="385"/>
      <c r="Q345" s="385"/>
      <c r="R345" s="385"/>
      <c r="S345" s="385"/>
      <c r="T345" s="168"/>
      <c r="U345" s="392"/>
      <c r="V345" s="124"/>
      <c r="W345" s="140"/>
      <c r="X345" s="149"/>
      <c r="Y345" s="365" t="str">
        <f t="shared" si="132"/>
        <v>West Sussex</v>
      </c>
      <c r="Z345" s="463">
        <v>8783</v>
      </c>
      <c r="AA345" s="365">
        <v>38411</v>
      </c>
      <c r="AB345" s="365">
        <v>51877</v>
      </c>
      <c r="AC345" s="365">
        <v>55900</v>
      </c>
      <c r="AD345" s="605">
        <v>18310</v>
      </c>
      <c r="AE345" s="83" t="e">
        <f t="shared" si="133"/>
        <v>#N/A</v>
      </c>
      <c r="AF345" s="83" t="e">
        <f t="shared" si="134"/>
        <v>#N/A</v>
      </c>
      <c r="AG345" s="83" t="e">
        <f t="shared" si="134"/>
        <v>#N/A</v>
      </c>
      <c r="AH345" s="83" t="e">
        <f t="shared" si="135"/>
        <v>#N/A</v>
      </c>
      <c r="AI345" s="83" t="e">
        <f t="shared" si="136"/>
        <v>#N/A</v>
      </c>
      <c r="AJ345" s="179"/>
      <c r="AK345" s="156"/>
    </row>
    <row r="346" spans="1:37" s="89" customFormat="1" ht="15" customHeight="1" x14ac:dyDescent="0.2">
      <c r="A346" s="462">
        <f>VLOOKUP(B346,Sheet1!$AQ$4:$AR$25,2,FALSE)</f>
        <v>0</v>
      </c>
      <c r="B346" s="95" t="str">
        <f t="shared" si="127"/>
        <v>Windsor &amp; Maidenhead</v>
      </c>
      <c r="C346" s="87"/>
      <c r="D346" s="226" t="e">
        <f t="shared" si="137"/>
        <v>#VALUE!</v>
      </c>
      <c r="E346" s="226" t="e">
        <f t="shared" si="138"/>
        <v>#VALUE!</v>
      </c>
      <c r="F346" s="226">
        <f t="shared" si="139"/>
        <v>15.148454857604523</v>
      </c>
      <c r="G346" s="226">
        <f t="shared" si="140"/>
        <v>44.304336712959021</v>
      </c>
      <c r="H346" s="401">
        <f t="shared" si="141"/>
        <v>105.7934508816121</v>
      </c>
      <c r="I346" s="385"/>
      <c r="J346" s="168"/>
      <c r="K346" s="168"/>
      <c r="L346" s="168"/>
      <c r="M346" s="168"/>
      <c r="N346" s="168"/>
      <c r="O346" s="385"/>
      <c r="P346" s="385"/>
      <c r="Q346" s="385"/>
      <c r="R346" s="385"/>
      <c r="S346" s="385"/>
      <c r="T346" s="168"/>
      <c r="U346" s="392"/>
      <c r="V346" s="124"/>
      <c r="W346" s="140"/>
      <c r="X346" s="149"/>
      <c r="Y346" s="365" t="str">
        <f t="shared" si="132"/>
        <v>Windsor &amp; Maidenhead</v>
      </c>
      <c r="Z346" s="463">
        <v>1694</v>
      </c>
      <c r="AA346" s="365">
        <v>7049</v>
      </c>
      <c r="AB346" s="365">
        <v>9902</v>
      </c>
      <c r="AC346" s="365">
        <v>11737</v>
      </c>
      <c r="AD346" s="605">
        <v>3970</v>
      </c>
      <c r="AE346" s="83" t="e">
        <f t="shared" si="133"/>
        <v>#N/A</v>
      </c>
      <c r="AF346" s="83" t="e">
        <f t="shared" si="134"/>
        <v>#N/A</v>
      </c>
      <c r="AG346" s="83" t="e">
        <f t="shared" si="134"/>
        <v>#N/A</v>
      </c>
      <c r="AH346" s="83" t="e">
        <f t="shared" si="135"/>
        <v>#N/A</v>
      </c>
      <c r="AI346" s="83" t="e">
        <f t="shared" si="136"/>
        <v>#N/A</v>
      </c>
      <c r="AJ346" s="179"/>
      <c r="AK346" s="156"/>
    </row>
    <row r="347" spans="1:37" s="89" customFormat="1" ht="15" customHeight="1" x14ac:dyDescent="0.2">
      <c r="A347" s="462">
        <f>VLOOKUP(B347,Sheet1!$AQ$4:$AR$25,2,FALSE)</f>
        <v>0</v>
      </c>
      <c r="B347" s="95" t="str">
        <f t="shared" si="127"/>
        <v>Wokingham</v>
      </c>
      <c r="C347" s="87"/>
      <c r="D347" s="226">
        <f t="shared" si="137"/>
        <v>39.392234102419806</v>
      </c>
      <c r="E347" s="226">
        <f t="shared" si="138"/>
        <v>14.680694886224614</v>
      </c>
      <c r="F347" s="226">
        <f t="shared" si="139"/>
        <v>15.043877977434182</v>
      </c>
      <c r="G347" s="226">
        <f t="shared" si="140"/>
        <v>28.118409747715376</v>
      </c>
      <c r="H347" s="401">
        <f t="shared" si="141"/>
        <v>92.8948029123776</v>
      </c>
      <c r="I347" s="385"/>
      <c r="J347" s="168"/>
      <c r="K347" s="168"/>
      <c r="L347" s="168"/>
      <c r="M347" s="168"/>
      <c r="N347" s="168"/>
      <c r="O347" s="385"/>
      <c r="P347" s="385"/>
      <c r="Q347" s="385"/>
      <c r="R347" s="385"/>
      <c r="S347" s="385"/>
      <c r="T347" s="168"/>
      <c r="U347" s="392"/>
      <c r="V347" s="124"/>
      <c r="W347" s="140"/>
      <c r="X347" s="149"/>
      <c r="Y347" s="365" t="str">
        <f t="shared" si="132"/>
        <v>Wokingham</v>
      </c>
      <c r="Z347" s="463">
        <v>1777</v>
      </c>
      <c r="AA347" s="365">
        <v>8174</v>
      </c>
      <c r="AB347" s="365">
        <v>11965</v>
      </c>
      <c r="AC347" s="365">
        <v>12803</v>
      </c>
      <c r="AD347" s="605">
        <v>3983</v>
      </c>
      <c r="AE347" s="83" t="e">
        <f t="shared" si="133"/>
        <v>#N/A</v>
      </c>
      <c r="AF347" s="83" t="e">
        <f t="shared" si="134"/>
        <v>#N/A</v>
      </c>
      <c r="AG347" s="83" t="e">
        <f t="shared" si="134"/>
        <v>#N/A</v>
      </c>
      <c r="AH347" s="83" t="e">
        <f t="shared" si="135"/>
        <v>#N/A</v>
      </c>
      <c r="AI347" s="83" t="e">
        <f t="shared" si="136"/>
        <v>#N/A</v>
      </c>
      <c r="AJ347" s="179"/>
      <c r="AK347" s="156"/>
    </row>
    <row r="348" spans="1:37" s="89" customFormat="1" ht="15" customHeight="1" x14ac:dyDescent="0.2">
      <c r="A348" s="123"/>
      <c r="B348" s="131" t="str">
        <f t="shared" si="127"/>
        <v>South East</v>
      </c>
      <c r="C348" s="87"/>
      <c r="D348" s="402">
        <f t="shared" si="137"/>
        <v>48.869518385909622</v>
      </c>
      <c r="E348" s="402">
        <f t="shared" si="138"/>
        <v>25.406738791008788</v>
      </c>
      <c r="F348" s="402">
        <f t="shared" si="139"/>
        <v>31.535301344062265</v>
      </c>
      <c r="G348" s="402">
        <f t="shared" si="140"/>
        <v>66.328751440976177</v>
      </c>
      <c r="H348" s="403">
        <f t="shared" si="141"/>
        <v>131.82637690712056</v>
      </c>
      <c r="I348" s="385"/>
      <c r="J348" s="168"/>
      <c r="K348" s="168"/>
      <c r="L348" s="168"/>
      <c r="M348" s="168"/>
      <c r="N348" s="168"/>
      <c r="O348" s="385"/>
      <c r="P348" s="385"/>
      <c r="Q348" s="385"/>
      <c r="R348" s="385"/>
      <c r="S348" s="385"/>
      <c r="T348" s="168"/>
      <c r="U348" s="392"/>
      <c r="V348" s="124"/>
      <c r="W348" s="140"/>
      <c r="X348" s="149"/>
      <c r="Y348" s="365" t="str">
        <f t="shared" si="132"/>
        <v>South East</v>
      </c>
      <c r="Z348" s="365">
        <v>100267</v>
      </c>
      <c r="AA348" s="365">
        <v>432956</v>
      </c>
      <c r="AB348" s="365">
        <v>577131</v>
      </c>
      <c r="AC348" s="365">
        <v>627179</v>
      </c>
      <c r="AD348" s="365">
        <v>206332</v>
      </c>
      <c r="AE348" s="83" t="e">
        <f t="shared" si="133"/>
        <v>#N/A</v>
      </c>
      <c r="AF348" s="83" t="e">
        <f t="shared" si="134"/>
        <v>#N/A</v>
      </c>
      <c r="AG348" s="83" t="e">
        <f t="shared" si="134"/>
        <v>#N/A</v>
      </c>
      <c r="AH348" s="83" t="e">
        <f t="shared" si="135"/>
        <v>#N/A</v>
      </c>
      <c r="AI348" s="83" t="e">
        <f t="shared" si="136"/>
        <v>#N/A</v>
      </c>
      <c r="AJ348" s="179"/>
      <c r="AK348" s="156"/>
    </row>
    <row r="349" spans="1:37" s="89" customFormat="1" ht="15" customHeight="1" x14ac:dyDescent="0.2">
      <c r="A349" s="123"/>
      <c r="B349" s="318" t="s">
        <v>126</v>
      </c>
      <c r="C349" s="87"/>
      <c r="D349" s="404">
        <f t="shared" si="137"/>
        <v>62.589235569661518</v>
      </c>
      <c r="E349" s="404">
        <f t="shared" si="138"/>
        <v>38.404397944248089</v>
      </c>
      <c r="F349" s="404">
        <f t="shared" si="139"/>
        <v>41.230604889000467</v>
      </c>
      <c r="G349" s="404">
        <f t="shared" si="140"/>
        <v>81.956649778306996</v>
      </c>
      <c r="H349" s="405">
        <f t="shared" si="141"/>
        <v>149.5541853202559</v>
      </c>
      <c r="I349" s="385"/>
      <c r="J349" s="168"/>
      <c r="K349" s="168"/>
      <c r="L349" s="168"/>
      <c r="M349" s="168"/>
      <c r="N349" s="168"/>
      <c r="O349" s="385"/>
      <c r="P349" s="385"/>
      <c r="Q349" s="385"/>
      <c r="R349" s="385"/>
      <c r="S349" s="385"/>
      <c r="T349" s="168"/>
      <c r="U349" s="392"/>
      <c r="V349" s="124"/>
      <c r="W349" s="140"/>
      <c r="X349" s="149"/>
      <c r="Y349" s="365" t="str">
        <f>B349</f>
        <v>England</v>
      </c>
      <c r="Z349" s="606">
        <v>653467</v>
      </c>
      <c r="AA349" s="606">
        <v>2731458</v>
      </c>
      <c r="AB349" s="606">
        <v>3497402</v>
      </c>
      <c r="AC349" s="606">
        <v>3755644</v>
      </c>
      <c r="AD349" s="606">
        <v>1228986</v>
      </c>
      <c r="AE349" s="83" t="e">
        <f t="shared" si="133"/>
        <v>#N/A</v>
      </c>
      <c r="AF349" s="83" t="e">
        <f t="shared" si="134"/>
        <v>#N/A</v>
      </c>
      <c r="AG349" s="83" t="e">
        <f t="shared" si="134"/>
        <v>#N/A</v>
      </c>
      <c r="AH349" s="83" t="e">
        <f t="shared" si="135"/>
        <v>#N/A</v>
      </c>
      <c r="AI349" s="83" t="e">
        <f t="shared" si="136"/>
        <v>#N/A</v>
      </c>
      <c r="AJ349" s="179"/>
      <c r="AK349" s="156"/>
    </row>
    <row r="350" spans="1:37" s="89" customFormat="1" ht="6.75" customHeight="1" x14ac:dyDescent="0.2">
      <c r="A350" s="286"/>
      <c r="B350" s="98"/>
      <c r="C350" s="98"/>
      <c r="D350" s="98"/>
      <c r="E350" s="98"/>
      <c r="F350" s="98"/>
      <c r="G350" s="98"/>
      <c r="H350" s="98"/>
      <c r="I350" s="385"/>
      <c r="J350" s="168"/>
      <c r="K350" s="168"/>
      <c r="L350" s="168"/>
      <c r="M350" s="168"/>
      <c r="N350" s="168"/>
      <c r="O350" s="385"/>
      <c r="P350" s="385"/>
      <c r="Q350" s="385"/>
      <c r="R350" s="385"/>
      <c r="S350" s="385"/>
      <c r="T350" s="168"/>
      <c r="U350" s="392"/>
      <c r="V350" s="124"/>
      <c r="W350" s="140"/>
      <c r="X350" s="149"/>
      <c r="Y350" s="83"/>
      <c r="Z350" s="83"/>
      <c r="AA350" s="191"/>
      <c r="AB350" s="191"/>
      <c r="AC350" s="192"/>
      <c r="AD350" s="83"/>
      <c r="AE350" s="83"/>
      <c r="AF350" s="83"/>
      <c r="AG350" s="83"/>
      <c r="AH350" s="83"/>
      <c r="AI350" s="83"/>
      <c r="AJ350" s="179"/>
      <c r="AK350" s="156"/>
    </row>
    <row r="351" spans="1:37" s="83" customFormat="1" ht="18.75" customHeight="1" x14ac:dyDescent="0.2">
      <c r="A351" s="213"/>
      <c r="B351" s="380"/>
      <c r="C351" s="380"/>
      <c r="D351" s="385"/>
      <c r="E351" s="385"/>
      <c r="F351" s="385"/>
      <c r="G351" s="385"/>
      <c r="H351" s="385"/>
      <c r="I351" s="385"/>
      <c r="J351" s="168"/>
      <c r="K351" s="168"/>
      <c r="L351" s="168"/>
      <c r="M351" s="168"/>
      <c r="N351" s="168"/>
      <c r="O351" s="385"/>
      <c r="P351" s="385"/>
      <c r="Q351" s="385"/>
      <c r="R351" s="385"/>
      <c r="S351" s="385"/>
      <c r="T351" s="168"/>
      <c r="U351" s="392"/>
      <c r="V351" s="119"/>
      <c r="W351" s="138"/>
      <c r="X351" s="147"/>
      <c r="AD351" s="192"/>
      <c r="AE351" s="194"/>
      <c r="AF351" s="179"/>
      <c r="AG351" s="179"/>
      <c r="AH351" s="179"/>
      <c r="AJ351" s="179"/>
      <c r="AK351" s="157"/>
    </row>
    <row r="352" spans="1:37" s="83" customFormat="1" ht="26.25" customHeight="1" x14ac:dyDescent="0.2">
      <c r="A352" s="213"/>
      <c r="B352" s="380"/>
      <c r="C352" s="380"/>
      <c r="D352" s="380"/>
      <c r="E352" s="380"/>
      <c r="F352" s="380"/>
      <c r="G352" s="380"/>
      <c r="H352" s="380"/>
      <c r="I352" s="380"/>
      <c r="J352" s="168"/>
      <c r="K352" s="168"/>
      <c r="L352" s="168"/>
      <c r="M352" s="168"/>
      <c r="N352" s="168"/>
      <c r="O352" s="380"/>
      <c r="P352" s="385"/>
      <c r="Q352" s="380"/>
      <c r="R352" s="380"/>
      <c r="S352" s="380"/>
      <c r="T352" s="168"/>
      <c r="U352" s="168"/>
      <c r="V352" s="119"/>
      <c r="W352" s="138"/>
      <c r="X352" s="147"/>
      <c r="Z352" s="185"/>
      <c r="AE352" s="194"/>
      <c r="AF352" s="179"/>
      <c r="AG352" s="179"/>
      <c r="AH352" s="179"/>
      <c r="AJ352" s="179"/>
      <c r="AK352" s="157"/>
    </row>
    <row r="353" spans="1:59" s="83" customFormat="1" ht="16.5" customHeight="1" x14ac:dyDescent="0.2">
      <c r="A353" s="213"/>
      <c r="B353" s="380"/>
      <c r="C353" s="380"/>
      <c r="D353" s="380"/>
      <c r="E353" s="380"/>
      <c r="F353" s="380"/>
      <c r="G353" s="380"/>
      <c r="H353" s="380"/>
      <c r="I353" s="380"/>
      <c r="J353" s="380"/>
      <c r="K353" s="380"/>
      <c r="L353" s="380"/>
      <c r="M353" s="380"/>
      <c r="N353" s="380"/>
      <c r="O353" s="380"/>
      <c r="P353" s="385"/>
      <c r="Q353" s="380"/>
      <c r="R353" s="380"/>
      <c r="S353" s="380"/>
      <c r="T353" s="168"/>
      <c r="U353" s="168"/>
      <c r="V353" s="119"/>
      <c r="W353" s="138"/>
      <c r="X353" s="147"/>
      <c r="Z353" s="185"/>
      <c r="AE353" s="194"/>
      <c r="AF353" s="179"/>
      <c r="AG353" s="179"/>
      <c r="AH353" s="179"/>
      <c r="AJ353" s="179"/>
      <c r="AK353" s="157"/>
    </row>
    <row r="354" spans="1:59" s="83" customFormat="1" ht="7.5" customHeight="1" x14ac:dyDescent="0.2">
      <c r="A354" s="120"/>
      <c r="B354" s="18"/>
      <c r="C354" s="18"/>
      <c r="D354" s="17"/>
      <c r="E354" s="17"/>
      <c r="F354" s="17"/>
      <c r="G354" s="17"/>
      <c r="H354" s="17"/>
      <c r="I354" s="17"/>
      <c r="J354" s="13"/>
      <c r="K354" s="19"/>
      <c r="L354" s="19"/>
      <c r="M354" s="19"/>
      <c r="N354" s="19"/>
      <c r="O354" s="19"/>
      <c r="P354" s="19"/>
      <c r="Q354" s="19"/>
      <c r="R354" s="19"/>
      <c r="S354" s="19"/>
      <c r="T354" s="19"/>
      <c r="U354" s="20"/>
      <c r="V354" s="119"/>
      <c r="W354" s="138"/>
      <c r="X354" s="147"/>
      <c r="Z354" s="185"/>
      <c r="AJ354" s="179"/>
      <c r="AK354" s="153"/>
      <c r="AL354" s="76"/>
      <c r="AM354" s="76"/>
      <c r="AN354" s="76"/>
      <c r="AO354" s="76"/>
      <c r="AP354" s="76"/>
      <c r="AQ354" s="76"/>
      <c r="AR354" s="76"/>
    </row>
    <row r="355" spans="1:59" s="83" customFormat="1" ht="15" customHeight="1" x14ac:dyDescent="0.2">
      <c r="A355" s="1399"/>
      <c r="B355" s="1421"/>
      <c r="C355" s="1421"/>
      <c r="D355" s="1421"/>
      <c r="E355" s="1421"/>
      <c r="F355" s="1421"/>
      <c r="G355" s="1421"/>
      <c r="H355" s="1421"/>
      <c r="I355" s="1421"/>
      <c r="J355" s="1421"/>
      <c r="K355" s="1421"/>
      <c r="L355" s="1421"/>
      <c r="M355" s="1421"/>
      <c r="N355" s="1421"/>
      <c r="O355" s="1421"/>
      <c r="P355" s="1421"/>
      <c r="Q355" s="1421"/>
      <c r="R355" s="1421"/>
      <c r="S355" s="1421"/>
      <c r="T355" s="1421"/>
      <c r="U355" s="1421"/>
      <c r="V355" s="1422"/>
      <c r="W355" s="138"/>
      <c r="X355" s="147"/>
      <c r="AK355" s="157"/>
      <c r="AT355" s="76"/>
    </row>
    <row r="356" spans="1:59" s="83" customFormat="1" ht="11.25" customHeight="1" x14ac:dyDescent="0.2">
      <c r="A356" s="1428" t="str">
        <f>Home!$A$40</f>
        <v>LA's provide quarterly data on the condition that it is used by the benchmarking group for internal reporting only. Please DO NOT share other LA's data with any external partners or the public</v>
      </c>
      <c r="B356" s="1429"/>
      <c r="C356" s="1429"/>
      <c r="D356" s="1429"/>
      <c r="E356" s="1429"/>
      <c r="F356" s="1429"/>
      <c r="G356" s="1429"/>
      <c r="H356" s="1429"/>
      <c r="I356" s="1430"/>
      <c r="J356" s="1429"/>
      <c r="K356" s="1429"/>
      <c r="L356" s="1429"/>
      <c r="M356" s="1429"/>
      <c r="N356" s="1429"/>
      <c r="O356" s="1429"/>
      <c r="P356" s="1431"/>
      <c r="Q356" s="1429"/>
      <c r="R356" s="1429"/>
      <c r="S356" s="1429"/>
      <c r="T356" s="1430"/>
      <c r="U356" s="1429"/>
      <c r="V356" s="1432"/>
      <c r="W356" s="138"/>
      <c r="X356" s="147"/>
      <c r="AJ356" s="179"/>
      <c r="AK356" s="156"/>
      <c r="AL356" s="89"/>
      <c r="AT356" s="76"/>
    </row>
    <row r="357" spans="1:59" ht="11.25" customHeight="1" x14ac:dyDescent="0.2">
      <c r="A357" s="141"/>
      <c r="B357" s="1109"/>
      <c r="C357" s="9"/>
      <c r="D357" s="9"/>
      <c r="E357" s="9"/>
      <c r="F357" s="9"/>
      <c r="G357" s="9"/>
      <c r="H357" s="9"/>
      <c r="I357" s="9"/>
      <c r="J357" s="13"/>
      <c r="K357" s="9"/>
      <c r="L357" s="9"/>
      <c r="M357" s="9"/>
      <c r="N357" s="9"/>
      <c r="O357" s="9"/>
      <c r="P357" s="9"/>
      <c r="Q357" s="9"/>
      <c r="R357" s="9"/>
      <c r="S357" s="9"/>
      <c r="T357" s="9"/>
      <c r="U357" s="11"/>
      <c r="V357" s="11"/>
      <c r="W357" s="1311"/>
      <c r="X357" s="12"/>
      <c r="Y357" s="12"/>
      <c r="Z357" s="12"/>
      <c r="AA357" s="12"/>
      <c r="AB357" s="12"/>
      <c r="AC357" s="241"/>
      <c r="AF357" s="84"/>
      <c r="AI357" s="179"/>
      <c r="AJ357" s="179"/>
      <c r="AK357" s="153"/>
      <c r="AS357" s="83"/>
      <c r="AT357" s="83"/>
      <c r="AU357" s="83"/>
      <c r="AV357" s="83"/>
      <c r="AW357" s="83"/>
      <c r="AX357" s="83"/>
      <c r="AY357" s="83"/>
      <c r="AZ357" s="83"/>
      <c r="BA357" s="83"/>
      <c r="BB357" s="83"/>
      <c r="BC357" s="83"/>
      <c r="BD357" s="83"/>
      <c r="BE357" s="83"/>
      <c r="BF357" s="83"/>
      <c r="BG357" s="83"/>
    </row>
    <row r="358" spans="1:59" ht="11.25" customHeight="1" x14ac:dyDescent="0.2">
      <c r="A358" s="141"/>
      <c r="B358" s="1109"/>
      <c r="C358" s="9"/>
      <c r="D358" s="9"/>
      <c r="E358" s="9"/>
      <c r="F358" s="9"/>
      <c r="G358" s="9"/>
      <c r="H358" s="9"/>
      <c r="I358" s="9"/>
      <c r="J358" s="13"/>
      <c r="K358" s="9"/>
      <c r="L358" s="9"/>
      <c r="M358" s="9"/>
      <c r="N358" s="9"/>
      <c r="O358" s="9"/>
      <c r="P358" s="9"/>
      <c r="Q358" s="9"/>
      <c r="R358" s="9"/>
      <c r="S358" s="9"/>
      <c r="T358" s="9"/>
      <c r="U358" s="11"/>
      <c r="V358" s="11"/>
      <c r="W358" s="11"/>
      <c r="X358" s="12"/>
      <c r="Y358" s="12"/>
      <c r="Z358" s="12"/>
      <c r="AA358" s="12"/>
      <c r="AB358" s="12"/>
      <c r="AC358" s="241"/>
      <c r="AF358" s="84"/>
      <c r="AI358" s="179"/>
      <c r="AJ358" s="179"/>
      <c r="AK358" s="153"/>
      <c r="AM358" s="83"/>
      <c r="AN358" s="83"/>
      <c r="AO358" s="83"/>
      <c r="AP358" s="83"/>
      <c r="AQ358" s="83"/>
      <c r="AR358" s="83"/>
    </row>
    <row r="359" spans="1:59" ht="11.25" customHeight="1" x14ac:dyDescent="0.2">
      <c r="A359" s="141"/>
      <c r="B359" s="1367" t="s">
        <v>82</v>
      </c>
      <c r="C359" s="15"/>
      <c r="D359" s="1306"/>
      <c r="E359" s="1306"/>
      <c r="F359" s="9"/>
      <c r="G359" s="9"/>
      <c r="H359" s="9"/>
      <c r="I359" s="9"/>
      <c r="J359" s="13"/>
      <c r="K359" s="9"/>
      <c r="L359" s="9"/>
      <c r="M359" s="9"/>
      <c r="N359" s="9"/>
      <c r="O359" s="9"/>
      <c r="P359" s="9"/>
      <c r="Q359" s="9"/>
      <c r="R359" s="9"/>
      <c r="S359" s="9"/>
      <c r="T359" s="9"/>
      <c r="U359" s="11"/>
      <c r="V359" s="11"/>
      <c r="W359" s="11"/>
      <c r="X359" s="12"/>
      <c r="Y359" s="12"/>
      <c r="Z359" s="12"/>
      <c r="AA359" s="12"/>
      <c r="AB359" s="12"/>
      <c r="AC359" s="241"/>
      <c r="AF359" s="84"/>
      <c r="AI359" s="179"/>
      <c r="AJ359" s="179"/>
      <c r="AK359" s="153"/>
      <c r="AM359" s="83"/>
      <c r="AN359" s="83"/>
      <c r="AO359" s="83"/>
      <c r="AP359" s="83"/>
      <c r="AQ359" s="83"/>
      <c r="AR359" s="83"/>
    </row>
    <row r="360" spans="1:59" ht="11.25" customHeight="1" x14ac:dyDescent="0.2">
      <c r="A360" s="141"/>
      <c r="B360" s="1368"/>
      <c r="C360" s="9"/>
      <c r="D360" s="1306"/>
      <c r="E360" s="1306"/>
      <c r="F360" s="9"/>
      <c r="G360" s="9"/>
      <c r="H360" s="9"/>
      <c r="I360" s="9"/>
      <c r="J360" s="13"/>
      <c r="K360" s="9"/>
      <c r="L360" s="9"/>
      <c r="M360" s="9"/>
      <c r="N360" s="9"/>
      <c r="O360" s="9"/>
      <c r="P360" s="9"/>
      <c r="Q360" s="9"/>
      <c r="R360" s="9"/>
      <c r="S360" s="9"/>
      <c r="T360" s="9"/>
      <c r="U360" s="11"/>
      <c r="V360" s="11"/>
      <c r="W360" s="11"/>
      <c r="X360" s="12"/>
      <c r="Y360" s="12"/>
      <c r="Z360" s="12"/>
      <c r="AA360" s="12"/>
      <c r="AB360" s="12"/>
      <c r="AC360" s="241"/>
      <c r="AF360" s="84"/>
      <c r="AI360" s="179"/>
      <c r="AJ360" s="179"/>
      <c r="AK360" s="153"/>
    </row>
    <row r="361" spans="1:59" ht="11.25" customHeight="1" x14ac:dyDescent="0.2">
      <c r="A361" s="141"/>
      <c r="B361" s="1366" t="s">
        <v>806</v>
      </c>
      <c r="C361" s="1366"/>
      <c r="D361" s="1366"/>
      <c r="E361" s="1366"/>
      <c r="F361" s="9"/>
      <c r="G361" s="9"/>
      <c r="H361" s="9"/>
      <c r="I361" s="9"/>
      <c r="J361" s="13"/>
      <c r="K361" s="9"/>
      <c r="L361" s="9"/>
      <c r="M361" s="9"/>
      <c r="N361" s="9"/>
      <c r="O361" s="9"/>
      <c r="P361" s="9"/>
      <c r="Q361" s="9"/>
      <c r="R361" s="9"/>
      <c r="S361" s="9"/>
      <c r="T361" s="9"/>
      <c r="U361" s="11"/>
      <c r="V361" s="11"/>
      <c r="W361" s="11"/>
      <c r="X361" s="12"/>
      <c r="Y361" s="12"/>
      <c r="Z361" s="12"/>
      <c r="AA361" s="12"/>
      <c r="AB361" s="12"/>
      <c r="AC361" s="241"/>
      <c r="AF361" s="84"/>
      <c r="AI361" s="179"/>
      <c r="AJ361" s="179"/>
      <c r="AK361" s="153"/>
    </row>
    <row r="362" spans="1:59" ht="11.25" customHeight="1" x14ac:dyDescent="0.2">
      <c r="A362" s="141"/>
      <c r="B362" s="1366"/>
      <c r="C362" s="1366"/>
      <c r="D362" s="1366"/>
      <c r="E362" s="1366"/>
      <c r="F362" s="9"/>
      <c r="G362" s="9"/>
      <c r="H362" s="9"/>
      <c r="I362" s="9"/>
      <c r="J362" s="13"/>
      <c r="K362" s="9"/>
      <c r="L362" s="9"/>
      <c r="M362" s="9"/>
      <c r="N362" s="9"/>
      <c r="O362" s="9"/>
      <c r="P362" s="9"/>
      <c r="Q362" s="9"/>
      <c r="R362" s="9"/>
      <c r="S362" s="9"/>
      <c r="T362" s="9"/>
      <c r="U362" s="11"/>
      <c r="V362" s="11"/>
      <c r="W362" s="11"/>
      <c r="X362" s="12"/>
      <c r="Y362" s="12"/>
      <c r="Z362" s="12"/>
      <c r="AA362" s="12"/>
      <c r="AB362" s="12"/>
      <c r="AC362" s="241"/>
      <c r="AF362" s="84"/>
      <c r="AI362" s="183"/>
      <c r="AJ362" s="183"/>
      <c r="AK362" s="154"/>
    </row>
    <row r="363" spans="1:59" s="78" customFormat="1" ht="11.25" customHeight="1" x14ac:dyDescent="0.2">
      <c r="A363" s="141"/>
      <c r="B363" s="1366" t="s">
        <v>81</v>
      </c>
      <c r="C363" s="1366"/>
      <c r="D363" s="1366"/>
      <c r="E363" s="1366"/>
      <c r="F363" s="9"/>
      <c r="G363" s="9"/>
      <c r="H363" s="9"/>
      <c r="I363" s="9"/>
      <c r="J363" s="13"/>
      <c r="K363" s="9"/>
      <c r="L363" s="9"/>
      <c r="M363" s="9"/>
      <c r="N363" s="9"/>
      <c r="O363" s="9"/>
      <c r="P363" s="9"/>
      <c r="Q363" s="9"/>
      <c r="R363" s="9"/>
      <c r="S363" s="9"/>
      <c r="T363" s="9"/>
      <c r="U363" s="11"/>
      <c r="V363" s="11"/>
      <c r="W363" s="11"/>
      <c r="X363" s="12"/>
      <c r="Y363" s="12"/>
      <c r="Z363" s="12"/>
      <c r="AA363" s="12"/>
      <c r="AB363" s="12"/>
      <c r="AC363" s="241"/>
      <c r="AD363" s="83"/>
      <c r="AE363" s="83"/>
      <c r="AF363" s="84"/>
      <c r="AG363" s="83"/>
      <c r="AH363" s="83"/>
      <c r="AI363" s="179"/>
      <c r="AJ363" s="179"/>
      <c r="AK363" s="153"/>
    </row>
    <row r="364" spans="1:59" ht="11.25" customHeight="1" x14ac:dyDescent="0.2">
      <c r="A364" s="141"/>
      <c r="B364" s="1366"/>
      <c r="C364" s="1366"/>
      <c r="D364" s="1366"/>
      <c r="E364" s="1366"/>
      <c r="F364" s="9"/>
      <c r="G364" s="9"/>
      <c r="H364" s="9"/>
      <c r="I364" s="9"/>
      <c r="J364" s="13"/>
      <c r="K364" s="9"/>
      <c r="L364" s="9"/>
      <c r="M364" s="9"/>
      <c r="N364" s="9"/>
      <c r="O364" s="9"/>
      <c r="P364" s="9"/>
      <c r="Q364" s="9"/>
      <c r="R364" s="9"/>
      <c r="S364" s="9"/>
      <c r="T364" s="9"/>
      <c r="U364" s="11"/>
      <c r="V364" s="11"/>
      <c r="W364" s="11"/>
      <c r="X364" s="12"/>
      <c r="Y364" s="12"/>
      <c r="Z364" s="12"/>
      <c r="AA364" s="12"/>
      <c r="AB364" s="12"/>
      <c r="AC364" s="241"/>
      <c r="AF364" s="84"/>
      <c r="AI364" s="179"/>
      <c r="AJ364" s="179"/>
      <c r="AK364" s="153"/>
    </row>
    <row r="365" spans="1:59" ht="11.25" customHeight="1" x14ac:dyDescent="0.2">
      <c r="A365" s="141"/>
      <c r="B365" s="1366" t="s">
        <v>78</v>
      </c>
      <c r="C365" s="1366"/>
      <c r="D365" s="1366"/>
      <c r="E365" s="1366"/>
      <c r="F365" s="9"/>
      <c r="G365" s="9"/>
      <c r="H365" s="9"/>
      <c r="I365" s="9"/>
      <c r="J365" s="13"/>
      <c r="K365" s="9"/>
      <c r="L365" s="9"/>
      <c r="M365" s="9"/>
      <c r="N365" s="9"/>
      <c r="O365" s="9"/>
      <c r="P365" s="9"/>
      <c r="Q365" s="9"/>
      <c r="R365" s="9"/>
      <c r="S365" s="9"/>
      <c r="T365" s="9"/>
      <c r="U365" s="11"/>
      <c r="V365" s="11"/>
      <c r="W365" s="11"/>
      <c r="X365" s="12"/>
      <c r="Y365" s="12"/>
      <c r="Z365" s="12"/>
      <c r="AA365" s="12"/>
      <c r="AB365" s="12"/>
      <c r="AC365" s="241"/>
      <c r="AF365" s="84"/>
      <c r="AI365" s="179"/>
      <c r="AJ365" s="179"/>
      <c r="AK365" s="153"/>
      <c r="AL365" s="78"/>
      <c r="AM365" s="78"/>
    </row>
    <row r="366" spans="1:59" ht="11.25" customHeight="1" x14ac:dyDescent="0.2">
      <c r="A366" s="141"/>
      <c r="B366" s="1366"/>
      <c r="C366" s="1366"/>
      <c r="D366" s="1366"/>
      <c r="E366" s="1366"/>
      <c r="F366" s="9"/>
      <c r="G366" s="9"/>
      <c r="H366" s="9"/>
      <c r="I366" s="9"/>
      <c r="J366" s="13"/>
      <c r="K366" s="9"/>
      <c r="L366" s="9"/>
      <c r="M366" s="9"/>
      <c r="N366" s="9"/>
      <c r="O366" s="9"/>
      <c r="P366" s="9"/>
      <c r="Q366" s="9"/>
      <c r="R366" s="9"/>
      <c r="S366" s="9"/>
      <c r="T366" s="9"/>
      <c r="U366" s="11"/>
      <c r="V366" s="11"/>
      <c r="W366" s="11"/>
      <c r="X366" s="12"/>
      <c r="Y366" s="12"/>
      <c r="Z366" s="12"/>
      <c r="AA366" s="12"/>
      <c r="AB366" s="12"/>
      <c r="AC366" s="241"/>
      <c r="AF366" s="84"/>
      <c r="AI366" s="179"/>
      <c r="AJ366" s="179"/>
      <c r="AK366" s="153"/>
    </row>
    <row r="367" spans="1:59" ht="11.25" customHeight="1" x14ac:dyDescent="0.2">
      <c r="A367" s="141"/>
      <c r="B367" s="1366" t="s">
        <v>17</v>
      </c>
      <c r="C367" s="1366"/>
      <c r="D367" s="1366"/>
      <c r="E367" s="1366"/>
      <c r="F367" s="9"/>
      <c r="G367" s="9"/>
      <c r="H367" s="9"/>
      <c r="I367" s="9"/>
      <c r="J367" s="13"/>
      <c r="K367" s="9"/>
      <c r="L367" s="9"/>
      <c r="M367" s="9"/>
      <c r="N367" s="9"/>
      <c r="O367" s="9"/>
      <c r="P367" s="9"/>
      <c r="Q367" s="9"/>
      <c r="R367" s="9"/>
      <c r="S367" s="9"/>
      <c r="T367" s="9"/>
      <c r="U367" s="11"/>
      <c r="V367" s="11"/>
      <c r="W367" s="11"/>
      <c r="X367" s="12"/>
      <c r="Y367" s="12"/>
      <c r="Z367" s="12"/>
      <c r="AA367" s="12"/>
      <c r="AB367" s="12"/>
      <c r="AC367" s="241"/>
      <c r="AF367" s="84"/>
      <c r="AI367" s="179"/>
      <c r="AJ367" s="179"/>
      <c r="AK367" s="153"/>
      <c r="AL367" s="78"/>
      <c r="AM367" s="78"/>
    </row>
    <row r="368" spans="1:59" ht="11.25" customHeight="1" x14ac:dyDescent="0.2">
      <c r="A368" s="141"/>
      <c r="B368" s="1366"/>
      <c r="C368" s="1366"/>
      <c r="D368" s="1366"/>
      <c r="E368" s="1366"/>
      <c r="F368" s="9"/>
      <c r="G368" s="9"/>
      <c r="H368" s="9"/>
      <c r="I368" s="9"/>
      <c r="J368" s="13"/>
      <c r="K368" s="9"/>
      <c r="L368" s="9"/>
      <c r="M368" s="9"/>
      <c r="N368" s="9"/>
      <c r="O368" s="9"/>
      <c r="P368" s="9"/>
      <c r="Q368" s="9"/>
      <c r="R368" s="9"/>
      <c r="S368" s="9"/>
      <c r="T368" s="9"/>
      <c r="U368" s="11"/>
      <c r="V368" s="11"/>
      <c r="W368" s="11"/>
      <c r="X368" s="12"/>
      <c r="Y368" s="12"/>
      <c r="Z368" s="12"/>
      <c r="AA368" s="12"/>
      <c r="AB368" s="12"/>
      <c r="AC368" s="241"/>
      <c r="AF368" s="84"/>
      <c r="AI368" s="179"/>
      <c r="AJ368" s="179"/>
      <c r="AK368" s="153"/>
    </row>
    <row r="369" spans="1:39" ht="11.25" customHeight="1" x14ac:dyDescent="0.2">
      <c r="A369" s="141"/>
      <c r="B369" s="1366" t="s">
        <v>80</v>
      </c>
      <c r="C369" s="1366"/>
      <c r="D369" s="1366"/>
      <c r="E369" s="1366"/>
      <c r="F369" s="9"/>
      <c r="G369" s="9"/>
      <c r="H369" s="9"/>
      <c r="I369" s="9"/>
      <c r="J369" s="13"/>
      <c r="K369" s="9"/>
      <c r="L369" s="9"/>
      <c r="M369" s="9"/>
      <c r="N369" s="9"/>
      <c r="O369" s="9"/>
      <c r="P369" s="9"/>
      <c r="Q369" s="9"/>
      <c r="R369" s="9"/>
      <c r="S369" s="9"/>
      <c r="T369" s="9"/>
      <c r="U369" s="11"/>
      <c r="V369" s="11"/>
      <c r="W369" s="11"/>
      <c r="X369" s="12"/>
      <c r="Y369" s="12"/>
      <c r="Z369" s="12"/>
      <c r="AA369" s="12"/>
      <c r="AB369" s="12"/>
      <c r="AC369" s="241"/>
      <c r="AF369" s="84"/>
      <c r="AI369" s="179"/>
      <c r="AJ369" s="179"/>
      <c r="AK369" s="153"/>
      <c r="AL369" s="78"/>
      <c r="AM369" s="78"/>
    </row>
    <row r="370" spans="1:39" ht="11.25" customHeight="1" x14ac:dyDescent="0.2">
      <c r="A370" s="141"/>
      <c r="B370" s="1366"/>
      <c r="C370" s="1366"/>
      <c r="D370" s="1366"/>
      <c r="E370" s="1366"/>
      <c r="F370" s="9"/>
      <c r="G370" s="9"/>
      <c r="H370" s="9"/>
      <c r="I370" s="9"/>
      <c r="J370" s="13"/>
      <c r="K370" s="9"/>
      <c r="L370" s="9"/>
      <c r="M370" s="9"/>
      <c r="N370" s="9"/>
      <c r="O370" s="9"/>
      <c r="P370" s="9"/>
      <c r="Q370" s="9"/>
      <c r="R370" s="9"/>
      <c r="S370" s="9"/>
      <c r="T370" s="9"/>
      <c r="U370" s="11"/>
      <c r="V370" s="11"/>
      <c r="W370" s="11"/>
      <c r="X370" s="12"/>
      <c r="Y370" s="12"/>
      <c r="Z370" s="12"/>
      <c r="AA370" s="12"/>
      <c r="AB370" s="12"/>
      <c r="AC370" s="241"/>
      <c r="AF370" s="84"/>
      <c r="AI370" s="179"/>
      <c r="AJ370" s="179"/>
      <c r="AK370" s="153"/>
    </row>
    <row r="371" spans="1:39" ht="11.25" customHeight="1" x14ac:dyDescent="0.2">
      <c r="A371" s="141"/>
      <c r="B371" s="1366" t="s">
        <v>69</v>
      </c>
      <c r="C371" s="1366"/>
      <c r="D371" s="1366"/>
      <c r="E371" s="1366"/>
      <c r="F371" s="9"/>
      <c r="G371" s="9"/>
      <c r="H371" s="9"/>
      <c r="I371" s="9"/>
      <c r="J371" s="13"/>
      <c r="K371" s="9"/>
      <c r="L371" s="9"/>
      <c r="M371" s="9"/>
      <c r="N371" s="9"/>
      <c r="O371" s="9"/>
      <c r="P371" s="9"/>
      <c r="Q371" s="9"/>
      <c r="R371" s="9"/>
      <c r="S371" s="9"/>
      <c r="T371" s="9"/>
      <c r="U371" s="11"/>
      <c r="V371" s="11"/>
      <c r="W371" s="11"/>
      <c r="X371" s="12"/>
      <c r="Y371" s="12"/>
      <c r="Z371" s="12"/>
      <c r="AA371" s="12"/>
      <c r="AB371" s="12"/>
      <c r="AC371" s="241"/>
      <c r="AF371" s="84"/>
      <c r="AI371" s="179"/>
      <c r="AJ371" s="179"/>
      <c r="AK371" s="153"/>
      <c r="AL371" s="78"/>
      <c r="AM371" s="78"/>
    </row>
    <row r="372" spans="1:39" ht="11.25" customHeight="1" x14ac:dyDescent="0.2">
      <c r="A372" s="141"/>
      <c r="B372" s="1366"/>
      <c r="C372" s="1366"/>
      <c r="D372" s="1366"/>
      <c r="E372" s="1366"/>
      <c r="F372" s="9"/>
      <c r="G372" s="9"/>
      <c r="H372" s="9"/>
      <c r="I372" s="9"/>
      <c r="J372" s="13"/>
      <c r="K372" s="9"/>
      <c r="L372" s="9"/>
      <c r="M372" s="9"/>
      <c r="N372" s="9"/>
      <c r="O372" s="9"/>
      <c r="P372" s="9"/>
      <c r="Q372" s="9"/>
      <c r="R372" s="9"/>
      <c r="S372" s="9"/>
      <c r="T372" s="9"/>
      <c r="U372" s="11"/>
      <c r="V372" s="11"/>
      <c r="W372" s="11"/>
      <c r="X372" s="12"/>
      <c r="Y372" s="12"/>
      <c r="Z372" s="12"/>
      <c r="AA372" s="12"/>
      <c r="AB372" s="12"/>
      <c r="AC372" s="241"/>
      <c r="AF372" s="84"/>
      <c r="AI372" s="179"/>
      <c r="AJ372" s="179"/>
      <c r="AK372" s="153"/>
    </row>
    <row r="373" spans="1:39" ht="11.25" customHeight="1" x14ac:dyDescent="0.2">
      <c r="A373" s="141"/>
      <c r="B373" s="1366" t="s">
        <v>24</v>
      </c>
      <c r="C373" s="1366"/>
      <c r="D373" s="1366"/>
      <c r="E373" s="1366"/>
      <c r="F373" s="9"/>
      <c r="G373" s="9"/>
      <c r="H373" s="9"/>
      <c r="I373" s="9"/>
      <c r="J373" s="13"/>
      <c r="K373" s="9"/>
      <c r="L373" s="9"/>
      <c r="M373" s="9"/>
      <c r="N373" s="9"/>
      <c r="O373" s="9"/>
      <c r="P373" s="9"/>
      <c r="Q373" s="9"/>
      <c r="R373" s="9"/>
      <c r="S373" s="9"/>
      <c r="T373" s="9"/>
      <c r="U373" s="11"/>
      <c r="V373" s="11"/>
      <c r="W373" s="11"/>
      <c r="X373" s="12"/>
      <c r="Y373" s="12"/>
      <c r="Z373" s="12"/>
      <c r="AA373" s="12"/>
      <c r="AB373" s="12"/>
      <c r="AC373" s="241"/>
      <c r="AF373" s="84"/>
      <c r="AI373" s="179"/>
      <c r="AJ373" s="179"/>
      <c r="AK373" s="153"/>
      <c r="AL373" s="78"/>
      <c r="AM373" s="78"/>
    </row>
    <row r="374" spans="1:39" ht="11.25" customHeight="1" x14ac:dyDescent="0.2">
      <c r="A374" s="141"/>
      <c r="B374" s="1366"/>
      <c r="C374" s="1366"/>
      <c r="D374" s="1366"/>
      <c r="E374" s="1366"/>
      <c r="F374" s="9"/>
      <c r="G374" s="9"/>
      <c r="H374" s="9"/>
      <c r="I374" s="9"/>
      <c r="J374" s="13"/>
      <c r="K374" s="9"/>
      <c r="L374" s="9"/>
      <c r="M374" s="9"/>
      <c r="N374" s="9"/>
      <c r="O374" s="9"/>
      <c r="P374" s="9"/>
      <c r="Q374" s="9"/>
      <c r="R374" s="9"/>
      <c r="S374" s="9"/>
      <c r="T374" s="9"/>
      <c r="U374" s="11"/>
      <c r="V374" s="11"/>
      <c r="W374" s="11"/>
      <c r="X374" s="12"/>
      <c r="Y374" s="12"/>
      <c r="Z374" s="12"/>
      <c r="AA374" s="12"/>
      <c r="AB374" s="12"/>
      <c r="AC374" s="241"/>
      <c r="AF374" s="84"/>
      <c r="AI374" s="179"/>
      <c r="AJ374" s="179"/>
      <c r="AK374" s="153"/>
    </row>
    <row r="375" spans="1:39" ht="11.25" customHeight="1" x14ac:dyDescent="0.2">
      <c r="A375" s="141"/>
      <c r="B375" s="1366" t="s">
        <v>22</v>
      </c>
      <c r="C375" s="1366"/>
      <c r="D375" s="1366"/>
      <c r="E375" s="1366"/>
      <c r="F375" s="9"/>
      <c r="G375" s="9"/>
      <c r="H375" s="9"/>
      <c r="I375" s="9"/>
      <c r="J375" s="13"/>
      <c r="K375" s="9"/>
      <c r="L375" s="9"/>
      <c r="M375" s="9"/>
      <c r="N375" s="9"/>
      <c r="O375" s="9"/>
      <c r="P375" s="9"/>
      <c r="Q375" s="9"/>
      <c r="R375" s="9"/>
      <c r="S375" s="9"/>
      <c r="T375" s="9"/>
      <c r="U375" s="11"/>
      <c r="V375" s="11"/>
      <c r="W375" s="11"/>
      <c r="X375" s="12"/>
      <c r="Y375" s="12"/>
      <c r="Z375" s="12"/>
      <c r="AA375" s="12"/>
      <c r="AB375" s="12"/>
      <c r="AC375" s="241"/>
      <c r="AF375" s="84"/>
      <c r="AI375" s="179"/>
      <c r="AJ375" s="179"/>
      <c r="AK375" s="153"/>
      <c r="AL375" s="78"/>
      <c r="AM375" s="78"/>
    </row>
    <row r="376" spans="1:39" ht="11.25" customHeight="1" x14ac:dyDescent="0.2">
      <c r="A376" s="141"/>
      <c r="B376" s="1366"/>
      <c r="C376" s="1366"/>
      <c r="D376" s="1366"/>
      <c r="E376" s="1366"/>
      <c r="F376" s="9"/>
      <c r="G376" s="9"/>
      <c r="H376" s="9"/>
      <c r="I376" s="9"/>
      <c r="J376" s="13"/>
      <c r="K376" s="9"/>
      <c r="L376" s="9"/>
      <c r="M376" s="9"/>
      <c r="N376" s="9"/>
      <c r="O376" s="9"/>
      <c r="P376" s="9"/>
      <c r="Q376" s="9"/>
      <c r="R376" s="9"/>
      <c r="S376" s="9"/>
      <c r="T376" s="9"/>
      <c r="U376" s="11"/>
      <c r="V376" s="11"/>
      <c r="W376" s="11"/>
      <c r="X376" s="12"/>
      <c r="Y376" s="12"/>
      <c r="Z376" s="12"/>
      <c r="AA376" s="12"/>
      <c r="AB376" s="12"/>
      <c r="AC376" s="241"/>
      <c r="AF376" s="84"/>
      <c r="AI376" s="179"/>
      <c r="AJ376" s="179"/>
      <c r="AK376" s="153"/>
    </row>
    <row r="377" spans="1:39" ht="11.25" customHeight="1" x14ac:dyDescent="0.2">
      <c r="A377" s="141"/>
      <c r="B377" s="1366" t="s">
        <v>25</v>
      </c>
      <c r="C377" s="1366"/>
      <c r="D377" s="1366"/>
      <c r="E377" s="1366"/>
      <c r="F377" s="9"/>
      <c r="G377" s="9"/>
      <c r="H377" s="9"/>
      <c r="I377" s="9"/>
      <c r="J377" s="13"/>
      <c r="K377" s="9"/>
      <c r="L377" s="9"/>
      <c r="M377" s="9"/>
      <c r="N377" s="9"/>
      <c r="O377" s="9"/>
      <c r="P377" s="9"/>
      <c r="Q377" s="9"/>
      <c r="R377" s="9"/>
      <c r="S377" s="9"/>
      <c r="T377" s="9"/>
      <c r="U377" s="11"/>
      <c r="V377" s="11"/>
      <c r="W377" s="11"/>
      <c r="X377" s="12"/>
      <c r="Y377" s="12"/>
      <c r="Z377" s="12"/>
      <c r="AA377" s="12"/>
      <c r="AB377" s="12"/>
      <c r="AC377" s="241"/>
      <c r="AF377" s="84"/>
      <c r="AI377" s="179"/>
      <c r="AJ377" s="179"/>
      <c r="AK377" s="153"/>
      <c r="AL377" s="78"/>
      <c r="AM377" s="78"/>
    </row>
    <row r="378" spans="1:39" ht="11.25" customHeight="1" x14ac:dyDescent="0.2">
      <c r="A378" s="141"/>
      <c r="B378" s="1366"/>
      <c r="C378" s="1366"/>
      <c r="D378" s="1366"/>
      <c r="E378" s="1366"/>
      <c r="F378" s="9"/>
      <c r="G378" s="9"/>
      <c r="H378" s="9"/>
      <c r="I378" s="9"/>
      <c r="J378" s="13"/>
      <c r="K378" s="9"/>
      <c r="L378" s="9"/>
      <c r="M378" s="9"/>
      <c r="N378" s="9"/>
      <c r="O378" s="9"/>
      <c r="P378" s="9"/>
      <c r="Q378" s="9"/>
      <c r="R378" s="9"/>
      <c r="S378" s="9"/>
      <c r="T378" s="9"/>
      <c r="U378" s="11"/>
      <c r="V378" s="11"/>
      <c r="W378" s="11"/>
      <c r="X378" s="12"/>
      <c r="Y378" s="12"/>
      <c r="Z378" s="12"/>
      <c r="AA378" s="12"/>
      <c r="AB378" s="12"/>
      <c r="AC378" s="241"/>
      <c r="AF378" s="84"/>
      <c r="AI378" s="179"/>
      <c r="AJ378" s="179"/>
      <c r="AK378" s="153"/>
    </row>
    <row r="379" spans="1:39" ht="11.25" customHeight="1" x14ac:dyDescent="0.2">
      <c r="A379" s="141"/>
      <c r="B379" s="1366" t="s">
        <v>18</v>
      </c>
      <c r="C379" s="1366"/>
      <c r="D379" s="1366"/>
      <c r="E379" s="1366"/>
      <c r="F379" s="9"/>
      <c r="G379" s="9"/>
      <c r="H379" s="9"/>
      <c r="I379" s="9"/>
      <c r="J379" s="13"/>
      <c r="K379" s="9"/>
      <c r="L379" s="9"/>
      <c r="M379" s="9"/>
      <c r="N379" s="9"/>
      <c r="O379" s="9"/>
      <c r="P379" s="9"/>
      <c r="Q379" s="9"/>
      <c r="R379" s="9"/>
      <c r="S379" s="9"/>
      <c r="T379" s="9"/>
      <c r="U379" s="11"/>
      <c r="V379" s="11"/>
      <c r="W379" s="11"/>
      <c r="X379" s="12"/>
      <c r="Y379" s="12"/>
      <c r="Z379" s="12"/>
      <c r="AA379" s="12"/>
      <c r="AB379" s="12"/>
      <c r="AC379" s="241"/>
      <c r="AF379" s="84"/>
      <c r="AI379" s="179"/>
      <c r="AJ379" s="179"/>
      <c r="AK379" s="153"/>
    </row>
    <row r="380" spans="1:39" ht="11.25" customHeight="1" x14ac:dyDescent="0.2">
      <c r="A380" s="141"/>
      <c r="B380" s="1366"/>
      <c r="C380" s="1366"/>
      <c r="D380" s="1366"/>
      <c r="E380" s="1366"/>
      <c r="F380" s="9"/>
      <c r="G380" s="9"/>
      <c r="H380" s="9"/>
      <c r="I380" s="9"/>
      <c r="J380" s="13"/>
      <c r="K380" s="9"/>
      <c r="L380" s="9"/>
      <c r="M380" s="9"/>
      <c r="N380" s="9"/>
      <c r="O380" s="9"/>
      <c r="P380" s="9"/>
      <c r="Q380" s="9"/>
      <c r="R380" s="9"/>
      <c r="S380" s="9"/>
      <c r="T380" s="9"/>
      <c r="U380" s="11"/>
      <c r="V380" s="11"/>
      <c r="W380" s="11"/>
      <c r="X380" s="12"/>
      <c r="Y380" s="12"/>
      <c r="Z380" s="12"/>
      <c r="AA380" s="12"/>
      <c r="AB380" s="12"/>
      <c r="AC380" s="241"/>
      <c r="AF380" s="84"/>
      <c r="AI380" s="179"/>
      <c r="AJ380" s="179"/>
      <c r="AK380" s="153"/>
    </row>
    <row r="381" spans="1:39" ht="11.25" customHeight="1" x14ac:dyDescent="0.2">
      <c r="A381" s="141"/>
      <c r="B381" s="1366" t="s">
        <v>19</v>
      </c>
      <c r="C381" s="1366"/>
      <c r="D381" s="1366"/>
      <c r="E381" s="1366"/>
      <c r="F381" s="1366"/>
      <c r="G381" s="9"/>
      <c r="H381" s="9"/>
      <c r="I381" s="9"/>
      <c r="J381" s="13"/>
      <c r="K381" s="9"/>
      <c r="L381" s="9"/>
      <c r="M381" s="9"/>
      <c r="N381" s="9"/>
      <c r="O381" s="9"/>
      <c r="P381" s="9"/>
      <c r="Q381" s="9"/>
      <c r="R381" s="9"/>
      <c r="S381" s="9"/>
      <c r="T381" s="9"/>
      <c r="U381" s="11"/>
      <c r="V381" s="11"/>
      <c r="W381" s="11"/>
      <c r="X381" s="12"/>
      <c r="Y381" s="12"/>
      <c r="Z381" s="12"/>
      <c r="AA381" s="12"/>
      <c r="AB381" s="12"/>
      <c r="AC381" s="241"/>
      <c r="AF381" s="84"/>
      <c r="AI381" s="179"/>
      <c r="AJ381" s="179"/>
      <c r="AK381" s="153"/>
    </row>
    <row r="382" spans="1:39" ht="11.25" customHeight="1" x14ac:dyDescent="0.2">
      <c r="A382" s="141"/>
      <c r="B382" s="1366"/>
      <c r="C382" s="1366"/>
      <c r="D382" s="1366"/>
      <c r="E382" s="1366"/>
      <c r="F382" s="1366"/>
      <c r="G382" s="9"/>
      <c r="H382" s="9"/>
      <c r="I382" s="9"/>
      <c r="J382" s="13"/>
      <c r="K382" s="9"/>
      <c r="L382" s="9"/>
      <c r="M382" s="9"/>
      <c r="N382" s="9"/>
      <c r="O382" s="9"/>
      <c r="P382" s="9"/>
      <c r="Q382" s="9"/>
      <c r="R382" s="9"/>
      <c r="S382" s="9"/>
      <c r="T382" s="9"/>
      <c r="U382" s="11"/>
      <c r="V382" s="11"/>
      <c r="W382" s="11"/>
      <c r="X382" s="12"/>
      <c r="Y382" s="12"/>
      <c r="Z382" s="12"/>
      <c r="AA382" s="12"/>
      <c r="AB382" s="12"/>
      <c r="AC382" s="241"/>
      <c r="AF382" s="84"/>
      <c r="AI382" s="179"/>
      <c r="AJ382" s="179"/>
      <c r="AK382" s="153"/>
    </row>
    <row r="383" spans="1:39" ht="11.25" customHeight="1" x14ac:dyDescent="0.2">
      <c r="A383" s="141"/>
      <c r="B383" s="1366" t="s">
        <v>20</v>
      </c>
      <c r="C383" s="1366"/>
      <c r="D383" s="1366"/>
      <c r="E383" s="1366"/>
      <c r="F383" s="9"/>
      <c r="G383" s="9"/>
      <c r="H383" s="9"/>
      <c r="I383" s="9"/>
      <c r="J383" s="13"/>
      <c r="K383" s="9"/>
      <c r="L383" s="9"/>
      <c r="M383" s="9"/>
      <c r="N383" s="9"/>
      <c r="O383" s="9"/>
      <c r="P383" s="9"/>
      <c r="Q383" s="9"/>
      <c r="R383" s="9"/>
      <c r="S383" s="9"/>
      <c r="T383" s="9"/>
      <c r="U383" s="11"/>
      <c r="V383" s="11"/>
      <c r="W383" s="11"/>
      <c r="X383" s="12"/>
      <c r="Y383" s="12"/>
      <c r="Z383" s="12"/>
      <c r="AA383" s="12"/>
      <c r="AB383" s="12"/>
      <c r="AC383" s="241"/>
      <c r="AF383" s="84"/>
      <c r="AI383" s="179"/>
      <c r="AJ383" s="179"/>
      <c r="AK383" s="153"/>
    </row>
    <row r="384" spans="1:39" ht="11.25" customHeight="1" x14ac:dyDescent="0.2">
      <c r="A384" s="141"/>
      <c r="B384" s="1366"/>
      <c r="C384" s="1366"/>
      <c r="D384" s="1366"/>
      <c r="E384" s="1366"/>
      <c r="F384" s="9"/>
      <c r="G384" s="9"/>
      <c r="H384" s="9"/>
      <c r="I384" s="9"/>
      <c r="J384" s="13"/>
      <c r="K384" s="9"/>
      <c r="L384" s="9"/>
      <c r="M384" s="9"/>
      <c r="N384" s="9"/>
      <c r="O384" s="9"/>
      <c r="P384" s="9"/>
      <c r="Q384" s="9"/>
      <c r="R384" s="9"/>
      <c r="S384" s="9"/>
      <c r="T384" s="9"/>
      <c r="U384" s="11"/>
      <c r="V384" s="11"/>
      <c r="W384" s="11"/>
      <c r="X384" s="12"/>
      <c r="Y384" s="12"/>
      <c r="Z384" s="12"/>
      <c r="AA384" s="12"/>
      <c r="AB384" s="12"/>
      <c r="AC384" s="241"/>
      <c r="AF384" s="84"/>
      <c r="AI384" s="179"/>
      <c r="AJ384" s="179"/>
      <c r="AK384" s="153"/>
    </row>
    <row r="385" spans="1:71" ht="11.25" customHeight="1" x14ac:dyDescent="0.2">
      <c r="A385" s="141"/>
      <c r="B385" s="1366" t="s">
        <v>26</v>
      </c>
      <c r="C385" s="1366"/>
      <c r="D385" s="1366"/>
      <c r="E385" s="1366"/>
      <c r="F385" s="9"/>
      <c r="G385" s="9"/>
      <c r="H385" s="9"/>
      <c r="I385" s="9"/>
      <c r="J385" s="13"/>
      <c r="K385" s="9"/>
      <c r="L385" s="9"/>
      <c r="M385" s="9"/>
      <c r="N385" s="9"/>
      <c r="O385" s="9"/>
      <c r="P385" s="9"/>
      <c r="Q385" s="9"/>
      <c r="R385" s="9"/>
      <c r="S385" s="9"/>
      <c r="T385" s="9"/>
      <c r="U385" s="11"/>
      <c r="V385" s="11"/>
      <c r="W385" s="11"/>
      <c r="X385" s="12"/>
      <c r="Y385" s="12"/>
      <c r="Z385" s="12"/>
      <c r="AA385" s="12"/>
      <c r="AB385" s="12"/>
      <c r="AC385" s="241"/>
      <c r="AF385" s="84"/>
      <c r="AI385" s="179"/>
      <c r="AJ385" s="179"/>
      <c r="AK385" s="153"/>
    </row>
    <row r="386" spans="1:71" ht="11.25" customHeight="1" x14ac:dyDescent="0.2">
      <c r="A386" s="141"/>
      <c r="B386" s="1366"/>
      <c r="C386" s="1366"/>
      <c r="D386" s="1366"/>
      <c r="E386" s="1366"/>
      <c r="F386" s="9"/>
      <c r="G386" s="9"/>
      <c r="H386" s="9"/>
      <c r="I386" s="9"/>
      <c r="J386" s="13"/>
      <c r="K386" s="9"/>
      <c r="L386" s="9"/>
      <c r="M386" s="9"/>
      <c r="N386" s="9"/>
      <c r="O386" s="9"/>
      <c r="P386" s="9"/>
      <c r="Q386" s="9"/>
      <c r="R386" s="9"/>
      <c r="S386" s="9"/>
      <c r="T386" s="9"/>
      <c r="U386" s="11"/>
      <c r="V386" s="11"/>
      <c r="W386" s="11"/>
      <c r="X386" s="12"/>
      <c r="Y386" s="12"/>
      <c r="Z386" s="12"/>
      <c r="AA386" s="12"/>
      <c r="AB386" s="12"/>
      <c r="AC386" s="241"/>
      <c r="AF386" s="84"/>
      <c r="AI386" s="179"/>
      <c r="AJ386" s="179"/>
      <c r="AK386" s="153"/>
    </row>
    <row r="387" spans="1:71" ht="11.25" customHeight="1" x14ac:dyDescent="0.2">
      <c r="A387" s="141"/>
      <c r="B387" s="1366" t="s">
        <v>21</v>
      </c>
      <c r="C387" s="1366"/>
      <c r="D387" s="1366"/>
      <c r="E387" s="1366"/>
      <c r="F387" s="9"/>
      <c r="G387" s="9"/>
      <c r="H387" s="9"/>
      <c r="I387" s="9"/>
      <c r="J387" s="13"/>
      <c r="K387" s="9"/>
      <c r="L387" s="9"/>
      <c r="M387" s="9"/>
      <c r="N387" s="9"/>
      <c r="O387" s="9"/>
      <c r="P387" s="9"/>
      <c r="Q387" s="9"/>
      <c r="R387" s="9"/>
      <c r="S387" s="9"/>
      <c r="T387" s="9"/>
      <c r="U387" s="11"/>
      <c r="V387" s="11"/>
      <c r="W387" s="11"/>
      <c r="X387" s="12"/>
      <c r="Y387" s="12"/>
      <c r="Z387" s="12"/>
      <c r="AA387" s="12"/>
      <c r="AB387" s="12"/>
      <c r="AC387" s="241"/>
      <c r="AF387" s="84"/>
      <c r="AI387" s="179"/>
      <c r="AJ387" s="179"/>
      <c r="AK387" s="153"/>
    </row>
    <row r="388" spans="1:71" ht="11.25" customHeight="1" x14ac:dyDescent="0.2">
      <c r="A388" s="141"/>
      <c r="B388" s="1366"/>
      <c r="C388" s="1366"/>
      <c r="D388" s="1366"/>
      <c r="E388" s="1366"/>
      <c r="F388" s="9"/>
      <c r="G388" s="9"/>
      <c r="H388" s="9"/>
      <c r="I388" s="9"/>
      <c r="J388" s="13"/>
      <c r="K388" s="9"/>
      <c r="L388" s="9"/>
      <c r="M388" s="9"/>
      <c r="N388" s="9"/>
      <c r="O388" s="9"/>
      <c r="P388" s="9"/>
      <c r="Q388" s="9"/>
      <c r="R388" s="9"/>
      <c r="S388" s="9"/>
      <c r="T388" s="9"/>
      <c r="U388" s="11"/>
      <c r="V388" s="11"/>
      <c r="W388" s="11"/>
      <c r="X388" s="12"/>
      <c r="Y388" s="12"/>
      <c r="Z388" s="12"/>
      <c r="AA388" s="12"/>
      <c r="AB388" s="12"/>
      <c r="AC388" s="241"/>
      <c r="AF388" s="84"/>
      <c r="AI388" s="179"/>
      <c r="AJ388" s="179"/>
      <c r="AK388" s="153"/>
    </row>
    <row r="389" spans="1:71" ht="11.25" customHeight="1" x14ac:dyDescent="0.2">
      <c r="A389" s="141"/>
      <c r="B389" s="1366" t="s">
        <v>930</v>
      </c>
      <c r="C389" s="1366"/>
      <c r="D389" s="1366"/>
      <c r="E389" s="1366"/>
      <c r="F389" s="1366"/>
      <c r="G389" s="9"/>
      <c r="H389" s="9"/>
      <c r="I389" s="9"/>
      <c r="J389" s="13"/>
      <c r="K389" s="9"/>
      <c r="L389" s="9"/>
      <c r="M389" s="9"/>
      <c r="N389" s="9"/>
      <c r="O389" s="9"/>
      <c r="P389" s="9"/>
      <c r="Q389" s="9"/>
      <c r="R389" s="9"/>
      <c r="S389" s="9"/>
      <c r="T389" s="9"/>
      <c r="U389" s="11"/>
      <c r="V389" s="11"/>
      <c r="W389" s="11"/>
      <c r="X389" s="12"/>
      <c r="Y389" s="12"/>
      <c r="Z389" s="12"/>
      <c r="AA389" s="12"/>
      <c r="AB389" s="12"/>
      <c r="AC389" s="241"/>
      <c r="AF389" s="84"/>
      <c r="AI389" s="179"/>
      <c r="AJ389" s="179"/>
      <c r="AK389" s="153"/>
    </row>
    <row r="390" spans="1:71" ht="11.25" customHeight="1" x14ac:dyDescent="0.2">
      <c r="A390" s="141"/>
      <c r="B390" s="1366"/>
      <c r="C390" s="1366"/>
      <c r="D390" s="1366"/>
      <c r="E390" s="1366"/>
      <c r="F390" s="1366"/>
      <c r="G390" s="9"/>
      <c r="H390" s="9"/>
      <c r="I390" s="9"/>
      <c r="J390" s="13"/>
      <c r="K390" s="9"/>
      <c r="L390" s="9"/>
      <c r="M390" s="9"/>
      <c r="N390" s="9"/>
      <c r="O390" s="9"/>
      <c r="P390" s="9"/>
      <c r="Q390" s="9"/>
      <c r="R390" s="9"/>
      <c r="S390" s="9"/>
      <c r="T390" s="9"/>
      <c r="U390" s="11"/>
      <c r="V390" s="11"/>
      <c r="W390" s="11"/>
      <c r="X390" s="12"/>
      <c r="Y390" s="12"/>
      <c r="Z390" s="12"/>
      <c r="AA390" s="12"/>
      <c r="AB390" s="12"/>
      <c r="AC390" s="241"/>
      <c r="AF390" s="84"/>
      <c r="AI390" s="179"/>
      <c r="AJ390" s="179"/>
      <c r="AK390" s="153"/>
    </row>
    <row r="391" spans="1:71" ht="11.25" customHeight="1" x14ac:dyDescent="0.2">
      <c r="A391" s="141"/>
      <c r="B391" s="1366" t="s">
        <v>680</v>
      </c>
      <c r="C391" s="1366"/>
      <c r="D391" s="1366"/>
      <c r="E391" s="1366"/>
      <c r="F391" s="9"/>
      <c r="G391" s="9"/>
      <c r="H391" s="9"/>
      <c r="I391" s="9"/>
      <c r="J391" s="13"/>
      <c r="K391" s="9"/>
      <c r="L391" s="9"/>
      <c r="M391" s="9"/>
      <c r="N391" s="9"/>
      <c r="O391" s="9"/>
      <c r="P391" s="9"/>
      <c r="Q391" s="9"/>
      <c r="R391" s="9"/>
      <c r="S391" s="9"/>
      <c r="T391" s="9"/>
      <c r="U391" s="11"/>
      <c r="V391" s="11"/>
      <c r="W391" s="11"/>
      <c r="X391" s="12"/>
      <c r="Y391" s="12"/>
      <c r="Z391" s="12"/>
      <c r="AA391" s="12"/>
      <c r="AB391" s="12"/>
      <c r="AC391" s="241"/>
      <c r="AF391" s="84"/>
      <c r="AI391" s="179"/>
      <c r="AJ391" s="179"/>
      <c r="AK391" s="153"/>
    </row>
    <row r="392" spans="1:71" ht="11.25" customHeight="1" x14ac:dyDescent="0.2">
      <c r="A392" s="141"/>
      <c r="B392" s="1366"/>
      <c r="C392" s="1366"/>
      <c r="D392" s="1366"/>
      <c r="E392" s="1366"/>
      <c r="F392" s="9"/>
      <c r="G392" s="9"/>
      <c r="H392" s="9"/>
      <c r="I392" s="9"/>
      <c r="J392" s="13"/>
      <c r="K392" s="9"/>
      <c r="L392" s="9"/>
      <c r="M392" s="9"/>
      <c r="N392" s="9"/>
      <c r="O392" s="9"/>
      <c r="P392" s="9"/>
      <c r="Q392" s="9"/>
      <c r="R392" s="9"/>
      <c r="S392" s="9"/>
      <c r="T392" s="9"/>
      <c r="U392" s="11"/>
      <c r="V392" s="11"/>
      <c r="W392" s="11"/>
      <c r="X392" s="12"/>
      <c r="Y392" s="12"/>
      <c r="Z392" s="12"/>
      <c r="AA392" s="12"/>
      <c r="AB392" s="12"/>
      <c r="AC392" s="241"/>
      <c r="AF392" s="84"/>
      <c r="AI392" s="179"/>
      <c r="AJ392" s="179"/>
      <c r="AK392" s="153"/>
    </row>
    <row r="393" spans="1:71" ht="11.25" customHeight="1" x14ac:dyDescent="0.2">
      <c r="A393" s="141"/>
      <c r="B393" s="1366" t="s">
        <v>32</v>
      </c>
      <c r="C393" s="1366"/>
      <c r="D393" s="1366"/>
      <c r="E393" s="1366"/>
      <c r="F393" s="9"/>
      <c r="G393" s="9"/>
      <c r="H393" s="9"/>
      <c r="I393" s="9"/>
      <c r="J393" s="13"/>
      <c r="K393" s="9"/>
      <c r="L393" s="9"/>
      <c r="M393" s="9"/>
      <c r="N393" s="9"/>
      <c r="O393" s="9"/>
      <c r="P393" s="9"/>
      <c r="Q393" s="9"/>
      <c r="R393" s="9"/>
      <c r="S393" s="9"/>
      <c r="T393" s="9"/>
      <c r="U393" s="11"/>
      <c r="V393" s="11"/>
      <c r="W393" s="11"/>
      <c r="X393" s="12"/>
      <c r="Y393" s="12"/>
      <c r="Z393" s="12"/>
      <c r="AA393" s="12"/>
      <c r="AB393" s="12"/>
      <c r="AC393" s="241"/>
      <c r="AF393" s="84"/>
      <c r="AI393" s="179"/>
      <c r="AJ393" s="179"/>
      <c r="AK393" s="153"/>
    </row>
    <row r="394" spans="1:71" ht="11.25" customHeight="1" x14ac:dyDescent="0.2">
      <c r="A394" s="141"/>
      <c r="B394" s="1366"/>
      <c r="C394" s="1366"/>
      <c r="D394" s="1366"/>
      <c r="E394" s="1366"/>
      <c r="F394" s="9"/>
      <c r="G394" s="9"/>
      <c r="H394" s="9"/>
      <c r="I394" s="9"/>
      <c r="J394" s="13"/>
      <c r="K394" s="9"/>
      <c r="L394" s="9"/>
      <c r="M394" s="9"/>
      <c r="N394" s="9"/>
      <c r="O394" s="9"/>
      <c r="P394" s="9"/>
      <c r="Q394" s="9"/>
      <c r="R394" s="9"/>
      <c r="S394" s="9"/>
      <c r="T394" s="9"/>
      <c r="U394" s="11"/>
      <c r="V394" s="11"/>
      <c r="W394" s="11"/>
      <c r="X394" s="12"/>
      <c r="Y394" s="12"/>
      <c r="Z394" s="12"/>
      <c r="AA394" s="12"/>
      <c r="AB394" s="12"/>
      <c r="AC394" s="241"/>
      <c r="AF394" s="84"/>
      <c r="AI394" s="179"/>
      <c r="AJ394" s="179"/>
      <c r="AK394" s="153"/>
    </row>
    <row r="395" spans="1:71" ht="11.25" customHeight="1" x14ac:dyDescent="0.2">
      <c r="A395" s="248"/>
      <c r="B395" s="1110"/>
      <c r="C395" s="246"/>
      <c r="D395" s="246"/>
      <c r="E395" s="246"/>
      <c r="F395" s="246"/>
      <c r="G395" s="246"/>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1307"/>
      <c r="AF395" s="84"/>
      <c r="AI395" s="179"/>
      <c r="AJ395" s="179"/>
      <c r="AK395" s="242"/>
    </row>
    <row r="396" spans="1:71" ht="11.25" customHeight="1" x14ac:dyDescent="0.2">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c r="AB396" s="77"/>
      <c r="AC396" s="77"/>
      <c r="AF396" s="84"/>
      <c r="AI396" s="179"/>
      <c r="AJ396" s="179"/>
    </row>
    <row r="397" spans="1:71" ht="18.75" customHeight="1" x14ac:dyDescent="0.2">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F397" s="84"/>
      <c r="AI397" s="179"/>
      <c r="AJ397" s="179"/>
    </row>
    <row r="398" spans="1:71" s="82" customFormat="1" ht="11.25" customHeight="1" x14ac:dyDescent="0.2">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D398" s="83"/>
      <c r="AE398" s="83"/>
      <c r="AF398" s="84"/>
      <c r="AG398" s="83"/>
      <c r="AH398" s="83"/>
      <c r="AI398" s="179"/>
      <c r="AJ398" s="179"/>
      <c r="AL398" s="76"/>
      <c r="AM398" s="76"/>
      <c r="AN398" s="76"/>
      <c r="AO398" s="76"/>
      <c r="AP398" s="76"/>
      <c r="AQ398" s="76"/>
      <c r="AR398" s="76"/>
      <c r="AS398" s="76"/>
      <c r="AT398" s="76"/>
      <c r="AU398" s="76"/>
      <c r="AV398" s="76"/>
      <c r="AW398" s="76"/>
      <c r="AX398" s="76"/>
      <c r="AY398" s="76"/>
      <c r="AZ398" s="76"/>
      <c r="BA398" s="76"/>
      <c r="BB398" s="76"/>
      <c r="BC398" s="76"/>
      <c r="BD398" s="76"/>
      <c r="BE398" s="76"/>
      <c r="BF398" s="76"/>
      <c r="BG398" s="76"/>
      <c r="BH398" s="76"/>
      <c r="BI398" s="76"/>
      <c r="BJ398" s="76"/>
      <c r="BK398" s="76"/>
      <c r="BL398" s="76"/>
      <c r="BM398" s="76"/>
      <c r="BN398" s="76"/>
      <c r="BO398" s="76"/>
      <c r="BP398" s="76"/>
      <c r="BQ398" s="76"/>
      <c r="BR398" s="76"/>
      <c r="BS398" s="76"/>
    </row>
    <row r="399" spans="1:71" ht="11.25" customHeight="1" x14ac:dyDescent="0.2">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F399" s="84"/>
      <c r="AI399" s="179"/>
      <c r="AJ399" s="179"/>
    </row>
    <row r="400" spans="1:71" ht="11.25" customHeight="1" x14ac:dyDescent="0.2">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F400" s="84"/>
      <c r="AI400" s="179"/>
      <c r="AJ400" s="179"/>
    </row>
    <row r="401" spans="1:36" ht="11.25" customHeight="1" x14ac:dyDescent="0.2">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F401" s="84"/>
      <c r="AI401" s="179"/>
      <c r="AJ401" s="179"/>
    </row>
    <row r="402" spans="1:36" ht="11.25" customHeight="1" x14ac:dyDescent="0.2">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F402" s="84"/>
      <c r="AI402" s="179"/>
      <c r="AJ402" s="179"/>
    </row>
    <row r="403" spans="1:36" ht="11.25" customHeight="1" x14ac:dyDescent="0.2">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F403" s="84"/>
      <c r="AI403" s="179"/>
      <c r="AJ403" s="179"/>
    </row>
    <row r="404" spans="1:36" ht="11.25" customHeight="1" x14ac:dyDescent="0.2">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F404" s="84"/>
      <c r="AI404" s="179"/>
      <c r="AJ404" s="179"/>
    </row>
    <row r="405" spans="1:36" ht="11.25" customHeight="1" x14ac:dyDescent="0.2">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F405" s="84"/>
      <c r="AI405" s="179"/>
      <c r="AJ405" s="179"/>
    </row>
    <row r="406" spans="1:36" ht="11.25" customHeight="1" x14ac:dyDescent="0.2">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F406" s="84"/>
      <c r="AI406" s="179"/>
      <c r="AJ406" s="179"/>
    </row>
    <row r="407" spans="1:36" ht="11.25" customHeight="1" x14ac:dyDescent="0.2">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F407" s="84"/>
      <c r="AI407" s="179"/>
      <c r="AJ407" s="179"/>
    </row>
    <row r="408" spans="1:36" ht="11.25" customHeight="1" x14ac:dyDescent="0.2">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F408" s="84"/>
      <c r="AI408" s="179"/>
      <c r="AJ408" s="179"/>
    </row>
    <row r="409" spans="1:36" ht="11.25" customHeight="1" x14ac:dyDescent="0.2">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F409" s="84"/>
      <c r="AI409" s="179"/>
      <c r="AJ409" s="179"/>
    </row>
    <row r="410" spans="1:36" ht="11.25" customHeight="1" x14ac:dyDescent="0.2">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F410" s="84"/>
      <c r="AI410" s="179"/>
      <c r="AJ410" s="179"/>
    </row>
    <row r="411" spans="1:36" ht="11.25" customHeight="1" x14ac:dyDescent="0.2">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F411" s="84"/>
      <c r="AI411" s="179"/>
      <c r="AJ411" s="179"/>
    </row>
    <row r="412" spans="1:36" ht="11.25" customHeight="1" x14ac:dyDescent="0.2">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F412" s="84"/>
      <c r="AI412" s="179"/>
      <c r="AJ412" s="179"/>
    </row>
    <row r="413" spans="1:36" ht="11.25" customHeight="1" x14ac:dyDescent="0.2">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D413" s="197"/>
      <c r="AE413" s="197"/>
      <c r="AF413" s="1132"/>
      <c r="AG413" s="197"/>
      <c r="AH413" s="197"/>
      <c r="AI413" s="198"/>
      <c r="AJ413" s="198"/>
    </row>
    <row r="524" spans="38:38" ht="11.25" customHeight="1" x14ac:dyDescent="0.2">
      <c r="AL524" s="76" t="b">
        <v>1</v>
      </c>
    </row>
  </sheetData>
  <sheetProtection sheet="1" objects="1" scenarios="1"/>
  <mergeCells count="96">
    <mergeCell ref="D289:H289"/>
    <mergeCell ref="B288:O288"/>
    <mergeCell ref="J291:K291"/>
    <mergeCell ref="J300:K300"/>
    <mergeCell ref="J301:K301"/>
    <mergeCell ref="J293:K293"/>
    <mergeCell ref="J294:K294"/>
    <mergeCell ref="J295:K295"/>
    <mergeCell ref="J296:K296"/>
    <mergeCell ref="J290:K290"/>
    <mergeCell ref="I289:N289"/>
    <mergeCell ref="AA8:AA9"/>
    <mergeCell ref="B180:I181"/>
    <mergeCell ref="A70:V70"/>
    <mergeCell ref="A71:V71"/>
    <mergeCell ref="A105:V105"/>
    <mergeCell ref="A106:V106"/>
    <mergeCell ref="B108:I109"/>
    <mergeCell ref="A141:V141"/>
    <mergeCell ref="A142:V142"/>
    <mergeCell ref="B144:I145"/>
    <mergeCell ref="A177:V177"/>
    <mergeCell ref="A178:V178"/>
    <mergeCell ref="R64:U64"/>
    <mergeCell ref="M64:P64"/>
    <mergeCell ref="M65:P65"/>
    <mergeCell ref="R65:U65"/>
    <mergeCell ref="Z8:Z9"/>
    <mergeCell ref="D7:H7"/>
    <mergeCell ref="I7:I9"/>
    <mergeCell ref="Q7:Q9"/>
    <mergeCell ref="B7:B9"/>
    <mergeCell ref="K7:P7"/>
    <mergeCell ref="S7:U8"/>
    <mergeCell ref="O8:P8"/>
    <mergeCell ref="O9:P9"/>
    <mergeCell ref="B110:B111"/>
    <mergeCell ref="J312:K312"/>
    <mergeCell ref="B182:B183"/>
    <mergeCell ref="B146:B147"/>
    <mergeCell ref="B5:N6"/>
    <mergeCell ref="B35:U35"/>
    <mergeCell ref="A37:V37"/>
    <mergeCell ref="A38:V38"/>
    <mergeCell ref="J309:K309"/>
    <mergeCell ref="J310:K310"/>
    <mergeCell ref="J311:K311"/>
    <mergeCell ref="J303:K303"/>
    <mergeCell ref="J304:K304"/>
    <mergeCell ref="J305:K305"/>
    <mergeCell ref="J306:K306"/>
    <mergeCell ref="A213:V213"/>
    <mergeCell ref="A214:V214"/>
    <mergeCell ref="B369:E370"/>
    <mergeCell ref="J313:K313"/>
    <mergeCell ref="B216:I217"/>
    <mergeCell ref="A249:V249"/>
    <mergeCell ref="A250:V250"/>
    <mergeCell ref="B289:B290"/>
    <mergeCell ref="B254:B255"/>
    <mergeCell ref="B218:B219"/>
    <mergeCell ref="J299:K299"/>
    <mergeCell ref="B252:I253"/>
    <mergeCell ref="A285:V285"/>
    <mergeCell ref="A286:V286"/>
    <mergeCell ref="J297:K297"/>
    <mergeCell ref="J292:K292"/>
    <mergeCell ref="J298:K298"/>
    <mergeCell ref="J302:K302"/>
    <mergeCell ref="B359:B360"/>
    <mergeCell ref="B361:E362"/>
    <mergeCell ref="B363:E364"/>
    <mergeCell ref="B365:E366"/>
    <mergeCell ref="A355:V355"/>
    <mergeCell ref="A356:V356"/>
    <mergeCell ref="B323:O323"/>
    <mergeCell ref="D324:U324"/>
    <mergeCell ref="B324:B325"/>
    <mergeCell ref="A320:V320"/>
    <mergeCell ref="A321:V321"/>
    <mergeCell ref="J314:K314"/>
    <mergeCell ref="J307:K307"/>
    <mergeCell ref="J308:K308"/>
    <mergeCell ref="B367:E368"/>
    <mergeCell ref="B391:E392"/>
    <mergeCell ref="B393:E394"/>
    <mergeCell ref="B389:F390"/>
    <mergeCell ref="B381:F382"/>
    <mergeCell ref="B371:E372"/>
    <mergeCell ref="B373:E374"/>
    <mergeCell ref="B375:E376"/>
    <mergeCell ref="B377:E378"/>
    <mergeCell ref="B379:E380"/>
    <mergeCell ref="B383:E384"/>
    <mergeCell ref="B385:E386"/>
    <mergeCell ref="B387:E388"/>
  </mergeCells>
  <conditionalFormatting sqref="B10:B31 K10:O31 B51:C66 B148:B169 L291:N312 B291:B312 D291:J312 D10:I31 D148:H169">
    <cfRule type="containsErrors" dxfId="268" priority="120">
      <formula>ISERROR(B10)</formula>
    </cfRule>
  </conditionalFormatting>
  <conditionalFormatting sqref="B112:B133 B184:B205 D112:H133 D184:H205 B256:B277 D256:H277 B220:B241">
    <cfRule type="expression" dxfId="267" priority="112">
      <formula>$B112=$Z$4</formula>
    </cfRule>
    <cfRule type="containsErrors" dxfId="266" priority="113">
      <formula>ISERROR(B112)</formula>
    </cfRule>
  </conditionalFormatting>
  <conditionalFormatting sqref="B10:B31 K10:O31 D10:I31 P10:Q32 S10:U31 B51:C66 B148:B169 D148:H169 B291:B312 D291:N312 D326:H347 B326:B347 D220:H241">
    <cfRule type="expression" dxfId="265" priority="119">
      <formula>$B10=$Z$4</formula>
    </cfRule>
  </conditionalFormatting>
  <conditionalFormatting sqref="B326:B347 D326:H347">
    <cfRule type="containsErrors" dxfId="264" priority="95">
      <formula>ISERROR(B326)</formula>
    </cfRule>
  </conditionalFormatting>
  <conditionalFormatting sqref="S10:T31 D220:H241">
    <cfRule type="containsErrors" dxfId="263" priority="81">
      <formula>ISERROR(D10)</formula>
    </cfRule>
  </conditionalFormatting>
  <conditionalFormatting sqref="A10:A31">
    <cfRule type="cellIs" dxfId="262" priority="79" operator="equal">
      <formula>0</formula>
    </cfRule>
  </conditionalFormatting>
  <conditionalFormatting sqref="A112:A133">
    <cfRule type="cellIs" dxfId="261" priority="78" operator="equal">
      <formula>0</formula>
    </cfRule>
  </conditionalFormatting>
  <conditionalFormatting sqref="A148:A169">
    <cfRule type="cellIs" dxfId="260" priority="77" operator="equal">
      <formula>0</formula>
    </cfRule>
  </conditionalFormatting>
  <conditionalFormatting sqref="A184:A205">
    <cfRule type="cellIs" dxfId="259" priority="76" operator="equal">
      <formula>0</formula>
    </cfRule>
  </conditionalFormatting>
  <conditionalFormatting sqref="A220:A241">
    <cfRule type="cellIs" dxfId="258" priority="75" operator="equal">
      <formula>0</formula>
    </cfRule>
  </conditionalFormatting>
  <conditionalFormatting sqref="A256:A277">
    <cfRule type="cellIs" dxfId="257" priority="74" operator="equal">
      <formula>0</formula>
    </cfRule>
  </conditionalFormatting>
  <conditionalFormatting sqref="A291:A312">
    <cfRule type="cellIs" dxfId="256" priority="73" operator="equal">
      <formula>0</formula>
    </cfRule>
  </conditionalFormatting>
  <conditionalFormatting sqref="A326:A347">
    <cfRule type="cellIs" dxfId="255" priority="72" operator="equal">
      <formula>0</formula>
    </cfRule>
  </conditionalFormatting>
  <conditionalFormatting sqref="A1:A37 A39:A70 A72:A105 A107:A141 A143:A177 A179:A213 A215:A249 A251:A285 A287:A320 A322:A355 A414:A1048576">
    <cfRule type="containsErrors" dxfId="254" priority="71">
      <formula>ISERROR(A1)</formula>
    </cfRule>
  </conditionalFormatting>
  <conditionalFormatting sqref="AG10:AH28">
    <cfRule type="containsErrors" dxfId="253" priority="70">
      <formula>ISERROR(AG10)</formula>
    </cfRule>
  </conditionalFormatting>
  <conditionalFormatting sqref="AG10:AH21 AH11:AH28">
    <cfRule type="expression" dxfId="252" priority="69">
      <formula>$B10=$X$4</formula>
    </cfRule>
  </conditionalFormatting>
  <conditionalFormatting sqref="D171:H171">
    <cfRule type="containsErrors" dxfId="251" priority="68">
      <formula>ISERROR(D171)</formula>
    </cfRule>
  </conditionalFormatting>
  <conditionalFormatting sqref="D207:H207">
    <cfRule type="containsErrors" dxfId="250" priority="67">
      <formula>ISERROR(D207)</formula>
    </cfRule>
  </conditionalFormatting>
  <conditionalFormatting sqref="D135:H135">
    <cfRule type="containsErrors" dxfId="249" priority="66">
      <formula>ISERROR(D135)</formula>
    </cfRule>
  </conditionalFormatting>
  <conditionalFormatting sqref="A38">
    <cfRule type="cellIs" dxfId="248" priority="61" operator="equal">
      <formula>0</formula>
    </cfRule>
    <cfRule type="containsErrors" dxfId="247" priority="62">
      <formula>ISERROR(A38)</formula>
    </cfRule>
  </conditionalFormatting>
  <conditionalFormatting sqref="A71">
    <cfRule type="cellIs" dxfId="246" priority="59" operator="equal">
      <formula>0</formula>
    </cfRule>
    <cfRule type="containsErrors" dxfId="245" priority="60">
      <formula>ISERROR(A71)</formula>
    </cfRule>
  </conditionalFormatting>
  <conditionalFormatting sqref="A106">
    <cfRule type="cellIs" dxfId="244" priority="57" operator="equal">
      <formula>0</formula>
    </cfRule>
    <cfRule type="containsErrors" dxfId="243" priority="58">
      <formula>ISERROR(A106)</formula>
    </cfRule>
  </conditionalFormatting>
  <conditionalFormatting sqref="A142">
    <cfRule type="cellIs" dxfId="242" priority="55" operator="equal">
      <formula>0</formula>
    </cfRule>
    <cfRule type="containsErrors" dxfId="241" priority="56">
      <formula>ISERROR(A142)</formula>
    </cfRule>
  </conditionalFormatting>
  <conditionalFormatting sqref="A178">
    <cfRule type="cellIs" dxfId="240" priority="53" operator="equal">
      <formula>0</formula>
    </cfRule>
    <cfRule type="containsErrors" dxfId="239" priority="54">
      <formula>ISERROR(A178)</formula>
    </cfRule>
  </conditionalFormatting>
  <conditionalFormatting sqref="A214">
    <cfRule type="cellIs" dxfId="238" priority="51" operator="equal">
      <formula>0</formula>
    </cfRule>
    <cfRule type="containsErrors" dxfId="237" priority="52">
      <formula>ISERROR(A214)</formula>
    </cfRule>
  </conditionalFormatting>
  <conditionalFormatting sqref="A250">
    <cfRule type="cellIs" dxfId="236" priority="49" operator="equal">
      <formula>0</formula>
    </cfRule>
    <cfRule type="containsErrors" dxfId="235" priority="50">
      <formula>ISERROR(A250)</formula>
    </cfRule>
  </conditionalFormatting>
  <conditionalFormatting sqref="A286">
    <cfRule type="cellIs" dxfId="234" priority="47" operator="equal">
      <formula>0</formula>
    </cfRule>
    <cfRule type="containsErrors" dxfId="233" priority="48">
      <formula>ISERROR(A286)</formula>
    </cfRule>
  </conditionalFormatting>
  <conditionalFormatting sqref="A321">
    <cfRule type="cellIs" dxfId="232" priority="45" operator="equal">
      <formula>0</formula>
    </cfRule>
    <cfRule type="containsErrors" dxfId="231" priority="46">
      <formula>ISERROR(A321)</formula>
    </cfRule>
  </conditionalFormatting>
  <conditionalFormatting sqref="A356">
    <cfRule type="cellIs" dxfId="230" priority="43" operator="equal">
      <formula>0</formula>
    </cfRule>
    <cfRule type="containsErrors" dxfId="229" priority="44">
      <formula>ISERROR(A356)</formula>
    </cfRule>
  </conditionalFormatting>
  <conditionalFormatting sqref="Z3:AD3">
    <cfRule type="containsErrors" dxfId="228" priority="42">
      <formula>ISERROR(Z3)</formula>
    </cfRule>
  </conditionalFormatting>
  <conditionalFormatting sqref="Z2:AD2">
    <cfRule type="containsErrors" dxfId="227" priority="41">
      <formula>ISERROR(Z2)</formula>
    </cfRule>
  </conditionalFormatting>
  <conditionalFormatting sqref="Y3">
    <cfRule type="containsErrors" dxfId="226" priority="40">
      <formula>ISERROR(Y3)</formula>
    </cfRule>
  </conditionalFormatting>
  <conditionalFormatting sqref="P32">
    <cfRule type="containsErrors" dxfId="225" priority="36">
      <formula>ISERROR(P32)</formula>
    </cfRule>
  </conditionalFormatting>
  <conditionalFormatting sqref="P10:P32">
    <cfRule type="containsErrors" dxfId="224" priority="34">
      <formula>ISERROR(P10)</formula>
    </cfRule>
    <cfRule type="dataBar" priority="35">
      <dataBar showValue="0">
        <cfvo type="min"/>
        <cfvo type="max"/>
        <color theme="9"/>
      </dataBar>
      <extLst>
        <ext xmlns:x14="http://schemas.microsoft.com/office/spreadsheetml/2009/9/main" uri="{B025F937-C7B1-47D3-B67F-A62EFF666E3E}">
          <x14:id>{FA58FA61-3D29-4CED-AD83-3B9FDDEAD1BF}</x14:id>
        </ext>
      </extLst>
    </cfRule>
  </conditionalFormatting>
  <conditionalFormatting sqref="D8:H8">
    <cfRule type="containsErrors" dxfId="223" priority="31">
      <formula>ISERROR(D8)</formula>
    </cfRule>
  </conditionalFormatting>
  <conditionalFormatting sqref="D9:H9">
    <cfRule type="containsErrors" dxfId="222" priority="33">
      <formula>ISERROR(D9)</formula>
    </cfRule>
  </conditionalFormatting>
  <conditionalFormatting sqref="K8:O8">
    <cfRule type="containsErrors" dxfId="221" priority="30">
      <formula>ISERROR(K8)</formula>
    </cfRule>
  </conditionalFormatting>
  <conditionalFormatting sqref="K9:O9">
    <cfRule type="containsErrors" dxfId="220" priority="121">
      <formula>ISERROR(K9)</formula>
    </cfRule>
  </conditionalFormatting>
  <conditionalFormatting sqref="Q10:Q31">
    <cfRule type="containsErrors" dxfId="219" priority="29">
      <formula>ISERROR(Q10)</formula>
    </cfRule>
  </conditionalFormatting>
  <conditionalFormatting sqref="D254:H254">
    <cfRule type="containsErrors" dxfId="218" priority="27">
      <formula>ISERROR(D254)</formula>
    </cfRule>
  </conditionalFormatting>
  <conditionalFormatting sqref="D255:H255">
    <cfRule type="containsErrors" dxfId="217" priority="28">
      <formula>ISERROR(D255)</formula>
    </cfRule>
  </conditionalFormatting>
  <conditionalFormatting sqref="D218:H218">
    <cfRule type="containsErrors" dxfId="216" priority="25">
      <formula>ISERROR(D218)</formula>
    </cfRule>
  </conditionalFormatting>
  <conditionalFormatting sqref="D219:H219">
    <cfRule type="containsErrors" dxfId="215" priority="26">
      <formula>ISERROR(D219)</formula>
    </cfRule>
  </conditionalFormatting>
  <conditionalFormatting sqref="D182:H182">
    <cfRule type="containsErrors" dxfId="214" priority="23">
      <formula>ISERROR(D182)</formula>
    </cfRule>
  </conditionalFormatting>
  <conditionalFormatting sqref="D183:H183">
    <cfRule type="containsErrors" dxfId="213" priority="24">
      <formula>ISERROR(D183)</formula>
    </cfRule>
  </conditionalFormatting>
  <conditionalFormatting sqref="D146:H146">
    <cfRule type="containsErrors" dxfId="212" priority="21">
      <formula>ISERROR(D146)</formula>
    </cfRule>
  </conditionalFormatting>
  <conditionalFormatting sqref="D147:H147">
    <cfRule type="containsErrors" dxfId="211" priority="22">
      <formula>ISERROR(D147)</formula>
    </cfRule>
  </conditionalFormatting>
  <conditionalFormatting sqref="D110:H110">
    <cfRule type="containsErrors" dxfId="210" priority="19">
      <formula>ISERROR(D110)</formula>
    </cfRule>
  </conditionalFormatting>
  <conditionalFormatting sqref="D111:H111">
    <cfRule type="containsErrors" dxfId="209" priority="20">
      <formula>ISERROR(D111)</formula>
    </cfRule>
  </conditionalFormatting>
  <conditionalFormatting sqref="U10:U31">
    <cfRule type="containsErrors" dxfId="208" priority="18">
      <formula>ISERROR(U10)</formula>
    </cfRule>
  </conditionalFormatting>
  <conditionalFormatting sqref="U32">
    <cfRule type="containsErrors" dxfId="207" priority="16">
      <formula>ISERROR(U32)</formula>
    </cfRule>
  </conditionalFormatting>
  <conditionalFormatting sqref="D33:U33">
    <cfRule type="containsErrors" dxfId="206" priority="15">
      <formula>ISERROR(D33)</formula>
    </cfRule>
  </conditionalFormatting>
  <conditionalFormatting sqref="AB9:AF9">
    <cfRule type="cellIs" dxfId="205" priority="14" stopIfTrue="1" operator="equal">
      <formula>0</formula>
    </cfRule>
  </conditionalFormatting>
  <conditionalFormatting sqref="Y2">
    <cfRule type="containsErrors" dxfId="204" priority="13">
      <formula>ISERROR(Y2)</formula>
    </cfRule>
  </conditionalFormatting>
  <conditionalFormatting sqref="Z111:AD111">
    <cfRule type="containsErrors" dxfId="203" priority="12">
      <formula>ISERROR(Z111)</formula>
    </cfRule>
  </conditionalFormatting>
  <conditionalFormatting sqref="Z110:AD110">
    <cfRule type="containsErrors" dxfId="202" priority="11">
      <formula>ISERROR(Z110)</formula>
    </cfRule>
  </conditionalFormatting>
  <conditionalFormatting sqref="AF111:AJ111">
    <cfRule type="containsErrors" dxfId="201" priority="10">
      <formula>ISERROR(AF111)</formula>
    </cfRule>
  </conditionalFormatting>
  <conditionalFormatting sqref="AF110:AJ110">
    <cfRule type="containsErrors" dxfId="200" priority="9">
      <formula>ISERROR(AF110)</formula>
    </cfRule>
  </conditionalFormatting>
  <conditionalFormatting sqref="Z147:AD147">
    <cfRule type="containsErrors" dxfId="199" priority="8">
      <formula>ISERROR(Z147)</formula>
    </cfRule>
  </conditionalFormatting>
  <conditionalFormatting sqref="Z146:AD146">
    <cfRule type="containsErrors" dxfId="198" priority="7">
      <formula>ISERROR(Z146)</formula>
    </cfRule>
  </conditionalFormatting>
  <conditionalFormatting sqref="Z183:AD183">
    <cfRule type="containsErrors" dxfId="197" priority="6">
      <formula>ISERROR(Z183)</formula>
    </cfRule>
  </conditionalFormatting>
  <conditionalFormatting sqref="Z182:AD182">
    <cfRule type="containsErrors" dxfId="196" priority="5">
      <formula>ISERROR(Z182)</formula>
    </cfRule>
  </conditionalFormatting>
  <conditionalFormatting sqref="AE183:AI183">
    <cfRule type="containsErrors" dxfId="195" priority="4">
      <formula>ISERROR(AE183)</formula>
    </cfRule>
  </conditionalFormatting>
  <conditionalFormatting sqref="AE182:AI182">
    <cfRule type="containsErrors" dxfId="194" priority="3">
      <formula>ISERROR(AE182)</formula>
    </cfRule>
  </conditionalFormatting>
  <conditionalFormatting sqref="AE254:AI254">
    <cfRule type="containsErrors" dxfId="193" priority="1">
      <formula>ISERROR(AE254)</formula>
    </cfRule>
  </conditionalFormatting>
  <conditionalFormatting sqref="AE255:AI255">
    <cfRule type="containsErrors" dxfId="192" priority="2">
      <formula>ISERROR(AE255)</formula>
    </cfRule>
  </conditionalFormatting>
  <hyperlinks>
    <hyperlink ref="B363:B364" location="Coverage!A1" display="Participating LA's" xr:uid="{7A1C6FF5-2832-47C6-9CFC-387B6FFEC703}"/>
    <hyperlink ref="B365:B366" location="IDACI!A1" display="IDACI" xr:uid="{170FE707-9A23-439F-B7C5-B130F02173F8}"/>
    <hyperlink ref="B393:B394" location="Adoption!A1" display="Adoption" xr:uid="{295A820D-B920-47C4-8015-6A2CC4DD71FB}"/>
    <hyperlink ref="B387:B388" location="'Looked After Children'!A1" display="Looked After Children" xr:uid="{F4A2513E-882F-4D86-A284-FA4444C46C55}"/>
    <hyperlink ref="B385:B386" location="'Court Applications'!A1" display="Court Applications" xr:uid="{05600CE6-6AC9-4FAD-A2CE-164E2DA026A5}"/>
    <hyperlink ref="B383:B384" location="'Child Protection Plans'!A1" display="Child Protection Plans" xr:uid="{C54183C6-22F5-4313-A8BC-654711240037}"/>
    <hyperlink ref="B381:B382" location="'Initial CP Conferences'!A1" display="Initial Child Protection Conferences" xr:uid="{EF4BE562-B628-4E76-B8B9-B5C876B67815}"/>
    <hyperlink ref="B379:B380" location="'Section 47 Enquiries'!A1" display="Section 47 Enquiries" xr:uid="{66C2EA80-C429-4221-A032-0D89CE9C641D}"/>
    <hyperlink ref="B377:B378" location="'Children in Need'!A1" display="Children in Need" xr:uid="{5BFCAAB4-3779-4A7E-85C0-6C16DFD3F9F6}"/>
    <hyperlink ref="B375:B376" location="Assessments!A1" display="Assessments" xr:uid="{21C97766-3775-4B6D-955B-6D915657E6EA}"/>
    <hyperlink ref="B373:B374" location="'Re-referrals'!A1" display="Re-referrals" xr:uid="{AF537867-31D5-4967-ABC6-BB3C04E6593A}"/>
    <hyperlink ref="B371:B372" location="Referral_Source!A1" display="Referral Source" xr:uid="{C05B9125-7862-4788-9A64-53782422F6B5}"/>
    <hyperlink ref="B369:B370" location="Referrals!A1" display="Referrals" xr:uid="{783CDAF2-7B67-46A4-88FA-1DE94254D8AC}"/>
    <hyperlink ref="B367:B368" location="Population!A1" display="Population" xr:uid="{21FEACCD-B4DE-4656-A209-6719BAD23477}"/>
    <hyperlink ref="B365:C366" location="IDACI!A1" display="IDACI" xr:uid="{FFFDD971-CD6C-44A4-A4ED-72978B829945}"/>
    <hyperlink ref="B361:B362" location="Coverage!A1" display="Participating LA's" xr:uid="{FE003F05-92D7-4544-945F-E331239E2054}"/>
    <hyperlink ref="B361:C362" location="Indicators!A1" display="Indicators" xr:uid="{53045B03-D279-4DD1-B91A-A5C87D776B4C}"/>
    <hyperlink ref="B391:B392" location="'Looked After Children'!A1" display="Looked After Children" xr:uid="{01604448-4247-4189-A4B8-DD7ED30A9706}"/>
    <hyperlink ref="B389:B390" location="'Court Applications'!A1" display="Court Applications" xr:uid="{AA725F96-C932-453B-971A-970EB25E7F3F}"/>
    <hyperlink ref="B389:C390" location="New_Ceased_LAC!A1" display="New/ Ceased Looked After Children" xr:uid="{75C2A880-0D4A-4025-B4A6-C9B068671DE3}"/>
    <hyperlink ref="B391:C392" location="Care_Leavers!A1" display="Care Leavers" xr:uid="{967D1C52-AB92-4405-BDF7-9FBE68E6CAD3}"/>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8" manualBreakCount="8">
    <brk id="38" max="21" man="1"/>
    <brk id="71" max="21" man="1"/>
    <brk id="106" max="21" man="1"/>
    <brk id="142" max="21" man="1"/>
    <brk id="178" max="21" man="1"/>
    <brk id="250" max="21" man="1"/>
    <brk id="286" max="21" man="1"/>
    <brk id="321" max="20" man="1"/>
  </rowBreaks>
  <ignoredErrors>
    <ignoredError sqref="A326:A347 A291:A312 A256:A277 A220:A241 A184:A205 A148:A169 A112:A133 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Check Box 1">
              <controlPr defaultSize="0" autoFill="0" autoLine="0" autoPict="0" macro="[0]!CheckBox1_Click" altText="">
                <anchor>
                  <from>
                    <xdr:col>23</xdr:col>
                    <xdr:colOff>76200</xdr:colOff>
                    <xdr:row>39</xdr:row>
                    <xdr:rowOff>28575</xdr:rowOff>
                  </from>
                  <to>
                    <xdr:col>36</xdr:col>
                    <xdr:colOff>47625</xdr:colOff>
                    <xdr:row>41</xdr:row>
                    <xdr:rowOff>9525</xdr:rowOff>
                  </to>
                </anchor>
              </controlPr>
            </control>
          </mc:Choice>
        </mc:AlternateContent>
        <mc:AlternateContent xmlns:mc="http://schemas.openxmlformats.org/markup-compatibility/2006">
          <mc:Choice Requires="x14">
            <control shapeId="105474" r:id="rId5" name="Check Box 2">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105475" r:id="rId6" name="Check Box 3">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mc:AlternateContent xmlns:mc="http://schemas.openxmlformats.org/markup-compatibility/2006">
          <mc:Choice Requires="x14">
            <control shapeId="105476" r:id="rId7" name="Check Box 4">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105477" r:id="rId8" name="Check Box 5">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105478" r:id="rId9" name="Check Box 6">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105479" r:id="rId10" name="Check Box 7">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105480" r:id="rId11" name="Check Box 8">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105481" r:id="rId12" name="Check Box 9">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105482" r:id="rId13" name="Check Box 10">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105483" r:id="rId14" name="Check Box 11">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105484" r:id="rId15" name="Check Box 12">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105485" r:id="rId16" name="Check Box 13">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105486" r:id="rId17" name="Check Box 14">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105487" r:id="rId18" name="Check Box 15">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105488" r:id="rId19" name="Check Box 16">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105489" r:id="rId20" name="Check Box 17">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105490" r:id="rId21" name="Check Box 18">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105491" r:id="rId22" name="Check Box 19">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105492" r:id="rId23" name="Check Box 20">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105493" r:id="rId24" name="Check Box 21">
              <controlPr defaultSize="0" autoFill="0" autoLine="0" autoPict="0" macro="[0]!CheckBox1_Click" altText="">
                <anchor>
                  <from>
                    <xdr:col>23</xdr:col>
                    <xdr:colOff>76200</xdr:colOff>
                    <xdr:row>61</xdr:row>
                    <xdr:rowOff>152400</xdr:rowOff>
                  </from>
                  <to>
                    <xdr:col>36</xdr:col>
                    <xdr:colOff>47625</xdr:colOff>
                    <xdr:row>63</xdr:row>
                    <xdr:rowOff>9525</xdr:rowOff>
                  </to>
                </anchor>
              </controlPr>
            </control>
          </mc:Choice>
        </mc:AlternateContent>
        <mc:AlternateContent xmlns:mc="http://schemas.openxmlformats.org/markup-compatibility/2006">
          <mc:Choice Requires="x14">
            <control shapeId="105494" r:id="rId25" name="Check Box 22">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105495" r:id="rId26" name="Check Box 23">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105496" r:id="rId27" name="Check Box 24">
              <controlPr defaultSize="0" autoFill="0" autoLine="0" autoPict="0" macro="[0]!CheckBox1_Click" altText="">
                <anchor>
                  <from>
                    <xdr:col>23</xdr:col>
                    <xdr:colOff>76200</xdr:colOff>
                    <xdr:row>62</xdr:row>
                    <xdr:rowOff>152400</xdr:rowOff>
                  </from>
                  <to>
                    <xdr:col>36</xdr:col>
                    <xdr:colOff>47625</xdr:colOff>
                    <xdr:row>64</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FA58FA61-3D29-4CED-AD83-3B9FDDEAD1BF}">
            <x14:dataBar minLength="0" maxLength="100" gradient="0" negativeBarColorSameAsPositive="1">
              <x14:cfvo type="autoMin"/>
              <x14:cfvo type="autoMax"/>
              <x14:axisColor rgb="FF000000"/>
            </x14:dataBar>
          </x14:cfRule>
          <xm:sqref>P10:P32</xm:sqref>
        </x14:conditionalFormatting>
      </x14:conditionalFormatting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0">
    <tabColor rgb="FFFFC000"/>
  </sheetPr>
  <dimension ref="A1:BR525"/>
  <sheetViews>
    <sheetView showRowColHeaders="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8" width="6.85546875" style="76" customWidth="1"/>
    <col min="9" max="9" width="7.42578125" style="76" customWidth="1"/>
    <col min="10" max="10" width="1.42578125" style="90" customWidth="1"/>
    <col min="11" max="15" width="6.85546875" style="76" customWidth="1"/>
    <col min="16" max="16" width="7.140625" style="76" customWidth="1"/>
    <col min="17" max="17" width="7.42578125" style="76" customWidth="1"/>
    <col min="18" max="18" width="1.42578125" style="76" customWidth="1"/>
    <col min="19" max="19" width="5.7109375" style="76" customWidth="1"/>
    <col min="20" max="20" width="8.28515625" style="76" customWidth="1"/>
    <col min="21" max="21" width="7.7109375" style="76" customWidth="1"/>
    <col min="22" max="22" width="2.140625" style="76" customWidth="1"/>
    <col min="23" max="23" width="6.42578125" style="82" customWidth="1"/>
    <col min="24" max="24" width="4.85546875" style="82" customWidth="1"/>
    <col min="25" max="25" width="17.85546875" style="1276" hidden="1" customWidth="1"/>
    <col min="26" max="26" width="19.42578125" style="1276" hidden="1" customWidth="1"/>
    <col min="27" max="27" width="19.85546875" style="1276" hidden="1" customWidth="1"/>
    <col min="28" max="29" width="16.5703125" style="1276" hidden="1" customWidth="1"/>
    <col min="30" max="30" width="8.5703125" style="1276" hidden="1" customWidth="1"/>
    <col min="31" max="31" width="17" style="1276" hidden="1" customWidth="1"/>
    <col min="32" max="32" width="8.5703125" style="1276" hidden="1" customWidth="1"/>
    <col min="33" max="33" width="14.42578125" style="1276" hidden="1" customWidth="1"/>
    <col min="34" max="35" width="6.5703125" style="1276" hidden="1" customWidth="1"/>
    <col min="36" max="36" width="6.5703125" style="76" hidden="1" customWidth="1"/>
    <col min="37" max="37" width="31.5703125" style="179" customWidth="1"/>
    <col min="38" max="38" width="17" style="76" hidden="1" customWidth="1"/>
    <col min="39" max="43" width="13.5703125" style="76" hidden="1" customWidth="1"/>
    <col min="44" max="60" width="9.140625" style="76" hidden="1" customWidth="1"/>
    <col min="61" max="69" width="9.140625" style="76" customWidth="1"/>
    <col min="70" max="16384" width="9.140625" style="76"/>
  </cols>
  <sheetData>
    <row r="1" spans="1:50" ht="18.75" customHeight="1" thickBot="1" x14ac:dyDescent="0.25">
      <c r="A1" s="114"/>
      <c r="B1" s="115"/>
      <c r="C1" s="115"/>
      <c r="D1" s="115"/>
      <c r="E1" s="115"/>
      <c r="F1" s="115"/>
      <c r="G1" s="115"/>
      <c r="H1" s="115"/>
      <c r="I1" s="115"/>
      <c r="J1" s="116"/>
      <c r="K1" s="115"/>
      <c r="L1" s="115"/>
      <c r="M1" s="115"/>
      <c r="N1" s="115"/>
      <c r="O1" s="115"/>
      <c r="P1" s="115"/>
      <c r="Q1" s="115"/>
      <c r="R1" s="115"/>
      <c r="S1" s="115"/>
      <c r="T1" s="115"/>
      <c r="U1" s="115"/>
      <c r="V1" s="117"/>
      <c r="W1" s="268"/>
      <c r="X1" s="151"/>
      <c r="Y1" s="1285"/>
      <c r="Z1" s="891" t="str">
        <f>IF(Sheet1!$C$3="Annual"," the year ending 31st March"," the quarter")</f>
        <v xml:space="preserve"> the year ending 31st March</v>
      </c>
      <c r="AA1" s="1285"/>
      <c r="AB1" s="1285"/>
      <c r="AC1" s="1285"/>
      <c r="AD1" s="1285"/>
      <c r="AE1" s="1285"/>
      <c r="AF1" s="1285"/>
      <c r="AG1" s="1285"/>
      <c r="AH1" s="1285"/>
      <c r="AI1" s="1285"/>
      <c r="AJ1" s="176"/>
      <c r="AK1" s="411"/>
    </row>
    <row r="2" spans="1:50" ht="18.75" customHeight="1" x14ac:dyDescent="0.2">
      <c r="A2" s="120"/>
      <c r="B2" s="130" t="s">
        <v>763</v>
      </c>
      <c r="C2" s="9"/>
      <c r="D2" s="9"/>
      <c r="E2" s="9"/>
      <c r="F2" s="9"/>
      <c r="G2" s="9"/>
      <c r="H2" s="9"/>
      <c r="I2" s="9"/>
      <c r="J2" s="13"/>
      <c r="K2" s="9"/>
      <c r="L2" s="9"/>
      <c r="M2" s="9"/>
      <c r="N2" s="9"/>
      <c r="O2" s="9"/>
      <c r="P2" s="9"/>
      <c r="Q2" s="9"/>
      <c r="R2" s="9"/>
      <c r="S2" s="9"/>
      <c r="T2" s="9"/>
      <c r="U2" s="9"/>
      <c r="V2" s="119"/>
      <c r="W2" s="157"/>
      <c r="X2" s="147"/>
      <c r="Y2" s="800">
        <f>IF(Sheet1!$C$3="Annual",1,4)</f>
        <v>1</v>
      </c>
      <c r="Z2" s="760" t="str">
        <f>IF(Sheet1!$C$3="Annual","",Sheet1!$D$26)</f>
        <v/>
      </c>
      <c r="AA2" s="761" t="str">
        <f>IF(Sheet1!$C$3="Annual","",Sheet1!$E$26)</f>
        <v/>
      </c>
      <c r="AB2" s="761" t="str">
        <f>IF(Sheet1!$C$3="Annual","",Sheet1!$F$26)</f>
        <v/>
      </c>
      <c r="AC2" s="761" t="str">
        <f>IF(Sheet1!$C$3="Annual","",Sheet1!$G$26)</f>
        <v/>
      </c>
      <c r="AD2" s="762" t="str">
        <f>IF(Sheet1!$C$3="Annual","",Sheet1!$H$26)</f>
        <v/>
      </c>
      <c r="AJ2" s="179"/>
      <c r="AK2" s="153"/>
    </row>
    <row r="3" spans="1:50" ht="18.75" customHeight="1" thickBot="1" x14ac:dyDescent="0.25">
      <c r="A3" s="126"/>
      <c r="B3" s="127"/>
      <c r="C3" s="127"/>
      <c r="D3" s="127"/>
      <c r="E3" s="127"/>
      <c r="F3" s="127"/>
      <c r="G3" s="127"/>
      <c r="H3" s="127"/>
      <c r="I3" s="260"/>
      <c r="J3" s="128"/>
      <c r="K3" s="127"/>
      <c r="L3" s="127"/>
      <c r="M3" s="127"/>
      <c r="N3" s="127"/>
      <c r="O3" s="127"/>
      <c r="P3" s="528"/>
      <c r="Q3" s="127"/>
      <c r="R3" s="127"/>
      <c r="S3" s="127"/>
      <c r="T3" s="260"/>
      <c r="U3" s="127"/>
      <c r="V3" s="129"/>
      <c r="W3" s="157"/>
      <c r="X3" s="147"/>
      <c r="Y3" s="763"/>
      <c r="Z3" s="763" t="str">
        <f>Sheet1!$D$25</f>
        <v>2014-15</v>
      </c>
      <c r="AA3" s="764" t="str">
        <f>Sheet1!$E$25</f>
        <v>2015-16</v>
      </c>
      <c r="AB3" s="764" t="str">
        <f>Sheet1!$F$25</f>
        <v>2016-17</v>
      </c>
      <c r="AC3" s="764" t="str">
        <f>Sheet1!$G$25</f>
        <v>2017-18</v>
      </c>
      <c r="AD3" s="765" t="str">
        <f>Sheet1!$H$25</f>
        <v>2018-19</v>
      </c>
      <c r="AJ3" s="179"/>
      <c r="AK3" s="153"/>
      <c r="AR3" s="76">
        <v>0</v>
      </c>
    </row>
    <row r="4" spans="1:50" ht="11.25" customHeight="1" x14ac:dyDescent="0.2">
      <c r="A4" s="114"/>
      <c r="B4" s="115"/>
      <c r="C4" s="115"/>
      <c r="D4" s="115"/>
      <c r="E4" s="115"/>
      <c r="F4" s="115"/>
      <c r="G4" s="115"/>
      <c r="H4" s="115"/>
      <c r="I4" s="115"/>
      <c r="J4" s="116"/>
      <c r="K4" s="115"/>
      <c r="L4" s="115"/>
      <c r="M4" s="115"/>
      <c r="N4" s="115"/>
      <c r="O4" s="115"/>
      <c r="P4" s="115"/>
      <c r="Q4" s="115"/>
      <c r="R4" s="115"/>
      <c r="S4" s="115"/>
      <c r="T4" s="115"/>
      <c r="U4" s="115"/>
      <c r="V4" s="117"/>
      <c r="W4" s="138"/>
      <c r="X4" s="147"/>
      <c r="Y4" s="183"/>
      <c r="Z4" s="1286" t="str">
        <f>Home!$D$10</f>
        <v>(none)</v>
      </c>
      <c r="AA4" s="1287" t="str">
        <f>"Selected LA- "&amp;Z4</f>
        <v>Selected LA- (none)</v>
      </c>
      <c r="AJ4" s="179"/>
      <c r="AK4" s="153"/>
    </row>
    <row r="5" spans="1:50" s="78" customFormat="1" ht="15" customHeight="1" x14ac:dyDescent="0.2">
      <c r="A5" s="121"/>
      <c r="B5" s="1547" t="str">
        <f>"Number of Children who Started to be Looked After in"&amp;$Z1</f>
        <v>Number of Children who Started to be Looked After in the year ending 31st March</v>
      </c>
      <c r="C5" s="1547"/>
      <c r="D5" s="1547"/>
      <c r="E5" s="1547"/>
      <c r="F5" s="1547"/>
      <c r="G5" s="1547"/>
      <c r="H5" s="1547"/>
      <c r="I5" s="1547"/>
      <c r="J5" s="1547"/>
      <c r="K5" s="1547"/>
      <c r="L5" s="1547"/>
      <c r="M5" s="1547"/>
      <c r="N5" s="1547"/>
      <c r="O5" s="1547"/>
      <c r="P5" s="1547"/>
      <c r="Q5" s="1547"/>
      <c r="R5" s="1547"/>
      <c r="S5" s="1547"/>
      <c r="T5" s="1547"/>
      <c r="U5" s="1547"/>
      <c r="V5" s="122"/>
      <c r="W5" s="139"/>
      <c r="X5" s="148"/>
      <c r="Y5" s="183"/>
      <c r="Z5" s="183"/>
      <c r="AA5" s="183"/>
      <c r="AB5" s="183"/>
      <c r="AC5" s="183"/>
      <c r="AD5" s="183"/>
      <c r="AE5" s="183"/>
      <c r="AF5" s="183"/>
      <c r="AG5" s="183"/>
      <c r="AH5" s="183"/>
      <c r="AI5" s="183"/>
      <c r="AJ5" s="183"/>
      <c r="AK5" s="154"/>
      <c r="AL5" s="183" t="str">
        <f>CONCATENATE($I$7,"in Number of "&amp;$B2)</f>
        <v>Average Annual Change in Number of Children Starting to be Looked After</v>
      </c>
      <c r="AR5" s="887" t="s">
        <v>692</v>
      </c>
    </row>
    <row r="6" spans="1:50" ht="13.5" customHeight="1" x14ac:dyDescent="0.2">
      <c r="A6" s="120"/>
      <c r="B6" s="1547"/>
      <c r="C6" s="1547"/>
      <c r="D6" s="1547"/>
      <c r="E6" s="1547"/>
      <c r="F6" s="1547"/>
      <c r="G6" s="1547"/>
      <c r="H6" s="1547"/>
      <c r="I6" s="1547"/>
      <c r="J6" s="1547"/>
      <c r="K6" s="1547"/>
      <c r="L6" s="1547"/>
      <c r="M6" s="1547"/>
      <c r="N6" s="1547"/>
      <c r="O6" s="1547"/>
      <c r="P6" s="1547"/>
      <c r="Q6" s="1547"/>
      <c r="R6" s="1547"/>
      <c r="S6" s="1547"/>
      <c r="T6" s="1547"/>
      <c r="U6" s="1547"/>
      <c r="V6" s="119"/>
      <c r="W6" s="138"/>
      <c r="X6" s="147"/>
      <c r="Z6" s="1284"/>
      <c r="AJ6" s="179"/>
      <c r="AK6" s="153"/>
    </row>
    <row r="7" spans="1:50" s="89" customFormat="1" ht="12.75" customHeight="1" x14ac:dyDescent="0.2">
      <c r="A7" s="123"/>
      <c r="B7" s="1449" t="s">
        <v>190</v>
      </c>
      <c r="C7" s="87"/>
      <c r="D7" s="1545" t="s">
        <v>88</v>
      </c>
      <c r="E7" s="1557"/>
      <c r="F7" s="1557"/>
      <c r="G7" s="1557"/>
      <c r="H7" s="1558"/>
      <c r="I7" s="1439" t="str">
        <f>"Average "&amp;Sheet1!C3&amp;" Change "</f>
        <v xml:space="preserve">Average Annual Change </v>
      </c>
      <c r="J7" s="98"/>
      <c r="K7" s="1562" t="s">
        <v>89</v>
      </c>
      <c r="L7" s="1563"/>
      <c r="M7" s="1563"/>
      <c r="N7" s="1563"/>
      <c r="O7" s="1563"/>
      <c r="P7" s="1563"/>
      <c r="Q7" s="1446" t="str">
        <f>IF(ISNA(O9),"SE Rank "&amp;O8,"SE Rank "&amp;O9)</f>
        <v>SE Rank 2018-19</v>
      </c>
      <c r="R7" s="69"/>
      <c r="S7" s="1451" t="str">
        <f>"Distance from Expected "&amp;Sheet1!$B$8</f>
        <v>Distance from Expected 2019</v>
      </c>
      <c r="T7" s="1452"/>
      <c r="U7" s="1453"/>
      <c r="V7" s="124"/>
      <c r="W7" s="140"/>
      <c r="X7" s="149"/>
      <c r="Y7" s="199"/>
      <c r="Z7" s="1606" t="s">
        <v>781</v>
      </c>
      <c r="AA7" s="1606"/>
      <c r="AB7" s="1607" t="s">
        <v>79</v>
      </c>
      <c r="AC7" s="1606"/>
      <c r="AD7" s="1606"/>
      <c r="AE7" s="1606"/>
      <c r="AF7" s="1608"/>
      <c r="AG7" s="1288" t="s">
        <v>92</v>
      </c>
      <c r="AH7" s="1284"/>
      <c r="AI7" s="1284"/>
      <c r="AJ7" s="199"/>
      <c r="AK7" s="156"/>
      <c r="AL7" s="550"/>
      <c r="AM7" s="550"/>
      <c r="AN7" s="550"/>
      <c r="AO7" s="550"/>
      <c r="AP7" s="550"/>
      <c r="AQ7" s="76"/>
    </row>
    <row r="8" spans="1:50" s="89" customFormat="1" ht="12.75" customHeight="1" x14ac:dyDescent="0.2">
      <c r="A8" s="286"/>
      <c r="B8" s="1449"/>
      <c r="C8" s="87"/>
      <c r="D8" s="755" t="str">
        <f>Sheet1!$D$25</f>
        <v>2014-15</v>
      </c>
      <c r="E8" s="756" t="str">
        <f>Sheet1!$E$25</f>
        <v>2015-16</v>
      </c>
      <c r="F8" s="756" t="str">
        <f>Sheet1!$F$25</f>
        <v>2016-17</v>
      </c>
      <c r="G8" s="756" t="str">
        <f>Sheet1!$G$25</f>
        <v>2017-18</v>
      </c>
      <c r="H8" s="757" t="str">
        <f>Sheet1!$H$25</f>
        <v>2018-19</v>
      </c>
      <c r="I8" s="1440"/>
      <c r="J8" s="98"/>
      <c r="K8" s="768" t="str">
        <f>Sheet1!$D$25</f>
        <v>2014-15</v>
      </c>
      <c r="L8" s="769" t="str">
        <f>Sheet1!$E$25</f>
        <v>2015-16</v>
      </c>
      <c r="M8" s="769" t="str">
        <f>Sheet1!$F$25</f>
        <v>2016-17</v>
      </c>
      <c r="N8" s="769" t="str">
        <f>Sheet1!$G$25</f>
        <v>2017-18</v>
      </c>
      <c r="O8" s="1457" t="str">
        <f>Sheet1!$H$25</f>
        <v>2018-19</v>
      </c>
      <c r="P8" s="1458"/>
      <c r="Q8" s="1447"/>
      <c r="R8" s="69"/>
      <c r="S8" s="1454"/>
      <c r="T8" s="1455"/>
      <c r="U8" s="1456"/>
      <c r="V8" s="124"/>
      <c r="W8" s="140"/>
      <c r="X8" s="149"/>
      <c r="Y8" s="199"/>
      <c r="Z8" s="1545" t="s">
        <v>76</v>
      </c>
      <c r="AA8" s="1545" t="s">
        <v>77</v>
      </c>
      <c r="AB8" s="817" t="str">
        <f>IF(Sheet1!$C$3="Annual","",Sheet1!$D$26)</f>
        <v/>
      </c>
      <c r="AC8" s="1229" t="str">
        <f>IF(Sheet1!$C$3="Annual","",Sheet1!$E$26)</f>
        <v/>
      </c>
      <c r="AD8" s="1229" t="str">
        <f>IF(Sheet1!$C$3="Annual","",Sheet1!$F$26)</f>
        <v/>
      </c>
      <c r="AE8" s="1229" t="str">
        <f>IF(Sheet1!$C$3="Annual","",Sheet1!$G$26)</f>
        <v/>
      </c>
      <c r="AF8" s="1229" t="str">
        <f>IF(Sheet1!$C$3="Annual","",Sheet1!$H$26)</f>
        <v/>
      </c>
      <c r="AG8" s="1288"/>
      <c r="AH8" s="1284"/>
      <c r="AI8" s="1284"/>
      <c r="AJ8" s="199"/>
      <c r="AK8" s="156"/>
      <c r="AL8" s="874"/>
      <c r="AM8" s="874"/>
      <c r="AN8" s="874"/>
      <c r="AO8" s="874"/>
      <c r="AP8" s="874"/>
    </row>
    <row r="9" spans="1:50" s="89" customFormat="1" ht="12.75" customHeight="1" x14ac:dyDescent="0.2">
      <c r="A9" s="123"/>
      <c r="B9" s="1450"/>
      <c r="C9" s="87"/>
      <c r="D9" s="758" t="e">
        <f>Sheet1!$D$26</f>
        <v>#N/A</v>
      </c>
      <c r="E9" s="758" t="e">
        <f>Sheet1!$E$26</f>
        <v>#N/A</v>
      </c>
      <c r="F9" s="758" t="e">
        <f>Sheet1!$F$26</f>
        <v>#N/A</v>
      </c>
      <c r="G9" s="758" t="e">
        <f>Sheet1!$G$26</f>
        <v>#N/A</v>
      </c>
      <c r="H9" s="759" t="e">
        <f>Sheet1!$H$26</f>
        <v>#N/A</v>
      </c>
      <c r="I9" s="1441"/>
      <c r="J9" s="98"/>
      <c r="K9" s="758" t="e">
        <f>Sheet1!$D$26</f>
        <v>#N/A</v>
      </c>
      <c r="L9" s="758" t="e">
        <f>Sheet1!$E$26</f>
        <v>#N/A</v>
      </c>
      <c r="M9" s="758" t="e">
        <f>Sheet1!$F$26</f>
        <v>#N/A</v>
      </c>
      <c r="N9" s="758" t="e">
        <f>Sheet1!$G$26</f>
        <v>#N/A</v>
      </c>
      <c r="O9" s="1433" t="e">
        <f>Sheet1!$H$26</f>
        <v>#N/A</v>
      </c>
      <c r="P9" s="1434"/>
      <c r="Q9" s="1448"/>
      <c r="R9" s="69"/>
      <c r="S9" s="871" t="s">
        <v>78</v>
      </c>
      <c r="T9" s="794" t="s">
        <v>127</v>
      </c>
      <c r="U9" s="795" t="s">
        <v>128</v>
      </c>
      <c r="V9" s="124"/>
      <c r="W9" s="140"/>
      <c r="X9" s="149"/>
      <c r="Y9" s="199"/>
      <c r="Z9" s="1545"/>
      <c r="AA9" s="1545"/>
      <c r="AB9" s="817" t="str">
        <f>Sheet1!$D$25</f>
        <v>2014-15</v>
      </c>
      <c r="AC9" s="1229" t="str">
        <f>Sheet1!$E$25</f>
        <v>2015-16</v>
      </c>
      <c r="AD9" s="1229" t="str">
        <f>Sheet1!$F$25</f>
        <v>2016-17</v>
      </c>
      <c r="AE9" s="1229" t="str">
        <f>Sheet1!$G$25</f>
        <v>2017-18</v>
      </c>
      <c r="AF9" s="1229" t="str">
        <f>Sheet1!$H$25</f>
        <v>2018-19</v>
      </c>
      <c r="AG9" s="1284"/>
      <c r="AH9" s="1284">
        <f>COLUMNS($B$4:O$4)</f>
        <v>14</v>
      </c>
      <c r="AI9" s="1284"/>
      <c r="AJ9" s="199"/>
      <c r="AK9" s="156"/>
      <c r="AL9" s="878" t="s">
        <v>686</v>
      </c>
      <c r="AM9" s="878" t="s">
        <v>687</v>
      </c>
      <c r="AN9" s="878" t="s">
        <v>688</v>
      </c>
      <c r="AO9" s="878" t="s">
        <v>689</v>
      </c>
      <c r="AP9" s="878" t="s">
        <v>690</v>
      </c>
      <c r="AR9" s="889" t="s">
        <v>693</v>
      </c>
      <c r="AS9" s="889" t="s">
        <v>694</v>
      </c>
      <c r="AT9" s="889" t="s">
        <v>695</v>
      </c>
      <c r="AU9" s="889" t="s">
        <v>696</v>
      </c>
      <c r="AV9" s="890" t="s">
        <v>697</v>
      </c>
      <c r="AW9" s="890" t="s">
        <v>698</v>
      </c>
      <c r="AX9" s="890" t="s">
        <v>699</v>
      </c>
    </row>
    <row r="10" spans="1:50" s="89" customFormat="1" ht="13.5" customHeight="1" x14ac:dyDescent="0.2">
      <c r="A10" s="462">
        <f>VLOOKUP(B10,Sheet1!$AQ$4:$AR$25,2,FALSE)</f>
        <v>0</v>
      </c>
      <c r="B10" s="95" t="str">
        <f>Sheet1!$K$4</f>
        <v>Bracknell Forest</v>
      </c>
      <c r="C10" s="87"/>
      <c r="D10" s="96">
        <f>IF(Year1_Bracknell_Forest Year1_LAC_Start="","",Year1_Bracknell_Forest Year1_LAC_Start)</f>
        <v>46</v>
      </c>
      <c r="E10" s="96">
        <f>IF(Year2_Bracknell_Forest Year2_LAC_Start="","",Year2_Bracknell_Forest Year2_LAC_Start)</f>
        <v>60</v>
      </c>
      <c r="F10" s="96">
        <f>IF(Year3_Bracknell_Forest Year3_LAC_Start="","",Year3_Bracknell_Forest Year3_LAC_Start)</f>
        <v>67</v>
      </c>
      <c r="G10" s="96">
        <f>IF(Year4_Bracknell_Forest Year4_LAC_Start="","",Year4_Bracknell_Forest Year4_LAC_Start)</f>
        <v>84</v>
      </c>
      <c r="H10" s="97">
        <f>IF(Year5_Bracknell_Forest Year5_LAC_Start="","",Year5_Bracknell_Forest Year5_LAC_Start)</f>
        <v>84</v>
      </c>
      <c r="I10" s="337">
        <f>AP10</f>
        <v>0.16868645900930135</v>
      </c>
      <c r="J10" s="98"/>
      <c r="K10" s="99">
        <f>IF(ISNUMBER(D10),D10/Population!D10*10000,NA())</f>
        <v>16.546762589928058</v>
      </c>
      <c r="L10" s="99">
        <f>IF(ISNUMBER(E10),E10/Population!E10*10000,NA())</f>
        <v>21.276595744680851</v>
      </c>
      <c r="M10" s="99">
        <f>IF(ISNUMBER(F10),F10/Population!F10*10000,NA())</f>
        <v>23.75886524822695</v>
      </c>
      <c r="N10" s="99">
        <f>IF(ISNUMBER(G10),G10/Population!G10*10000,NA())</f>
        <v>29.893238434163699</v>
      </c>
      <c r="O10" s="100">
        <f>IF(ISNUMBER(H10),H10/Population!H10*10000,NA())</f>
        <v>29.681978798586574</v>
      </c>
      <c r="P10" s="101">
        <f>IF(ISNUMBER(O10),O10,"")</f>
        <v>29.681978798586574</v>
      </c>
      <c r="Q10" s="886">
        <f>IF(ISNA(VLOOKUP(B10,$AG$10:$AI$28,3,FALSE)),"--",IF(ISNUMBER(H10),VLOOKUP(B10,$AG$10:$AI$28,3,FALSE),NA()))</f>
        <v>14</v>
      </c>
      <c r="R10" s="69"/>
      <c r="S10" s="333">
        <f>IDACI!C9</f>
        <v>8.9</v>
      </c>
      <c r="T10" s="334">
        <f t="shared" ref="T10:T33" si="0">((S10*$Z$44)+$AA$44)/$Y$2</f>
        <v>21.310311354130256</v>
      </c>
      <c r="U10" s="335">
        <f>O10-T10</f>
        <v>8.3716674444563175</v>
      </c>
      <c r="V10" s="124"/>
      <c r="W10" s="140"/>
      <c r="X10" s="149"/>
      <c r="Y10" s="1289" t="str">
        <f t="shared" ref="Y10:Y33" si="1">B10</f>
        <v>Bracknell Forest</v>
      </c>
      <c r="Z10" s="815">
        <f>IF(ISNUMBER(H10),IDACI!D9,0)</f>
        <v>24849</v>
      </c>
      <c r="AA10" s="815">
        <f>IF(ISNUMBER(H10),IDACI!E9,0)</f>
        <v>2211.5610000000001</v>
      </c>
      <c r="AB10" s="572">
        <f>IF(ISNUMBER(D10),Population!D10,"")</f>
        <v>27800</v>
      </c>
      <c r="AC10" s="572">
        <f>IF(ISNUMBER(E10),Population!E10,"")</f>
        <v>28200</v>
      </c>
      <c r="AD10" s="572">
        <f>IF(ISNUMBER(F10),Population!F10,"")</f>
        <v>28200</v>
      </c>
      <c r="AE10" s="572">
        <f>IF(ISNUMBER(G10),Population!G10,"")</f>
        <v>28100</v>
      </c>
      <c r="AF10" s="572">
        <f>IF(ISNUMBER(H10),Population!H10,"")</f>
        <v>28300</v>
      </c>
      <c r="AG10" s="95" t="str">
        <f>B10</f>
        <v>Bracknell Forest</v>
      </c>
      <c r="AH10" s="225">
        <f>IFERROR(VLOOKUP(AG10,$B$10:$O$31,AH$9,FALSE),"")</f>
        <v>29.681978798586574</v>
      </c>
      <c r="AI10" s="1187">
        <f>RANK(AH10,$AH$10:$AH$28,1)</f>
        <v>14</v>
      </c>
      <c r="AJ10" s="199"/>
      <c r="AK10" s="156"/>
      <c r="AL10" s="792">
        <f>IF(ISERROR((E10-D10)/D10),"x",(E10-D10)/D10)</f>
        <v>0.30434782608695654</v>
      </c>
      <c r="AM10" s="792">
        <f>IF(ISERROR((F10-E10)/E10),"x",(F10-E10)/E10)</f>
        <v>0.11666666666666667</v>
      </c>
      <c r="AN10" s="792">
        <f>IF(ISERROR((G10-F10)/F10),"x",(G10-F10)/F10)</f>
        <v>0.2537313432835821</v>
      </c>
      <c r="AO10" s="792">
        <f>IF(ISERROR((H10-G10)/G10),"x",(H10-G10)/G10)</f>
        <v>0</v>
      </c>
      <c r="AP10" s="792">
        <f>AVERAGE(AL10:AO10)</f>
        <v>0.16868645900930135</v>
      </c>
      <c r="AR10" s="888">
        <f>IF(ISNUMBER(L10),L10,"")</f>
        <v>21.276595744680851</v>
      </c>
      <c r="AS10" s="888">
        <f t="shared" ref="AR10:AU25" si="2">IF(ISNUMBER(M10),M10,"")</f>
        <v>23.75886524822695</v>
      </c>
      <c r="AT10" s="888">
        <f t="shared" si="2"/>
        <v>29.893238434163699</v>
      </c>
      <c r="AU10" s="888">
        <f t="shared" si="2"/>
        <v>29.681978798586574</v>
      </c>
      <c r="AV10" s="888">
        <f t="shared" ref="AV10:AV22" si="3">SUM(AR10:AU10)</f>
        <v>104.61067822565808</v>
      </c>
      <c r="AW10" s="550">
        <f t="shared" ref="AW10:AW22" si="4">COUNTBLANK(AR10:AU10)</f>
        <v>0</v>
      </c>
      <c r="AX10" s="888">
        <f>AV10/(4-AW10)*4</f>
        <v>104.61067822565808</v>
      </c>
    </row>
    <row r="11" spans="1:50" s="89" customFormat="1" ht="13.5" customHeight="1" x14ac:dyDescent="0.2">
      <c r="A11" s="462">
        <f>VLOOKUP(B11,Sheet1!$AQ$4:$AR$25,2,FALSE)</f>
        <v>0</v>
      </c>
      <c r="B11" s="95" t="str">
        <f>Sheet1!$K$5</f>
        <v>Brighton &amp; Hove</v>
      </c>
      <c r="C11" s="87"/>
      <c r="D11" s="96">
        <f>IF(Year1_Brighton_Hove Year1_LAC_Start="","",Year1_Brighton_Hove Year1_LAC_Start)</f>
        <v>195</v>
      </c>
      <c r="E11" s="96">
        <f>IF(Year2_Brighton_Hove Year2_LAC_Start="","",Year2_Brighton_Hove Year2_LAC_Start)</f>
        <v>204</v>
      </c>
      <c r="F11" s="96">
        <f>IF(Year3_Brighton_Hove Year3_LAC_Start="","",Year3_Brighton_Hove Year3_LAC_Start)</f>
        <v>194</v>
      </c>
      <c r="G11" s="96">
        <f>IF(Year4_Brighton_Hove Year4_LAC_Start="","",Year4_Brighton_Hove Year4_LAC_Start)</f>
        <v>140</v>
      </c>
      <c r="H11" s="97">
        <f>IF(Year5_Brighton_Hove Year5_LAC_Start="","",Year5_Brighton_Hove Year5_LAC_Start)</f>
        <v>157</v>
      </c>
      <c r="I11" s="337">
        <f t="shared" ref="I11:I33" si="5">AP11</f>
        <v>-3.9946926431159296E-2</v>
      </c>
      <c r="J11" s="98"/>
      <c r="K11" s="99">
        <f>IF(ISNUMBER(D11),D11/Population!D11*10000,NA())</f>
        <v>38.235294117647058</v>
      </c>
      <c r="L11" s="99">
        <f>IF(ISNUMBER(E11),E11/Population!E11*10000,NA())</f>
        <v>39.84375</v>
      </c>
      <c r="M11" s="99">
        <f>IF(ISNUMBER(F11),F11/Population!F11*10000,NA())</f>
        <v>37.816764132553608</v>
      </c>
      <c r="N11" s="99">
        <f>IF(ISNUMBER(G11),G11/Population!G11*10000,NA())</f>
        <v>27.450980392156865</v>
      </c>
      <c r="O11" s="100">
        <f>IF(ISNUMBER(H11),H11/Population!H11*10000,NA())</f>
        <v>30.784313725490197</v>
      </c>
      <c r="P11" s="101">
        <f t="shared" ref="P11:P32" si="6">IF(ISNUMBER(O11),O11,"")</f>
        <v>30.784313725490197</v>
      </c>
      <c r="Q11" s="886">
        <f t="shared" ref="Q11:Q33" si="7">IF(ISNA(VLOOKUP(B11,$AG$10:$AI$28,3,FALSE)),"--",IF(ISNUMBER(H11),VLOOKUP(B11,$AG$10:$AI$28,3,FALSE),NA()))</f>
        <v>16</v>
      </c>
      <c r="R11" s="69"/>
      <c r="S11" s="333">
        <f>IDACI!C10</f>
        <v>15.299999999999999</v>
      </c>
      <c r="T11" s="334">
        <f t="shared" si="0"/>
        <v>27.616400295150765</v>
      </c>
      <c r="U11" s="335">
        <f t="shared" ref="U11:U33" si="8">O11-T11</f>
        <v>3.1679134303394321</v>
      </c>
      <c r="V11" s="124"/>
      <c r="W11" s="140"/>
      <c r="X11" s="149"/>
      <c r="Y11" s="1289" t="str">
        <f t="shared" si="1"/>
        <v>Brighton &amp; Hove</v>
      </c>
      <c r="Z11" s="815">
        <f>IF(ISNUMBER(H11),IDACI!D10,0)</f>
        <v>45576</v>
      </c>
      <c r="AA11" s="815">
        <f>IF(ISNUMBER(H11),IDACI!E10,0)</f>
        <v>6973.1279999999997</v>
      </c>
      <c r="AB11" s="572">
        <f>IF(ISNUMBER(D11),Population!D11,"")</f>
        <v>51000</v>
      </c>
      <c r="AC11" s="572">
        <f>IF(ISNUMBER(E11),Population!E11,"")</f>
        <v>51200</v>
      </c>
      <c r="AD11" s="572">
        <f>IF(ISNUMBER(F11),Population!F11,"")</f>
        <v>51300</v>
      </c>
      <c r="AE11" s="572">
        <f>IF(ISNUMBER(G11),Population!G11,"")</f>
        <v>51000</v>
      </c>
      <c r="AF11" s="572">
        <f>IF(ISNUMBER(H11),Population!H11,"")</f>
        <v>51000</v>
      </c>
      <c r="AG11" s="95" t="s">
        <v>31</v>
      </c>
      <c r="AH11" s="225">
        <f t="shared" ref="AH11:AH28" si="9">IFERROR(VLOOKUP(AG11,$B$10:$O$31,AH$9,FALSE),"")</f>
        <v>30.784313725490197</v>
      </c>
      <c r="AI11" s="1187">
        <f t="shared" ref="AI11:AI28" si="10">RANK(AH11,$AH$10:$AH$28,1)</f>
        <v>16</v>
      </c>
      <c r="AJ11" s="199"/>
      <c r="AK11" s="156"/>
      <c r="AL11" s="792">
        <f t="shared" ref="AL11:AO33" si="11">IF(ISERROR((E11-D11)/D11),"x",(E11-D11)/D11)</f>
        <v>4.6153846153846156E-2</v>
      </c>
      <c r="AM11" s="792">
        <f t="shared" si="11"/>
        <v>-4.9019607843137254E-2</v>
      </c>
      <c r="AN11" s="792">
        <f t="shared" si="11"/>
        <v>-0.27835051546391754</v>
      </c>
      <c r="AO11" s="792">
        <f t="shared" si="11"/>
        <v>0.12142857142857143</v>
      </c>
      <c r="AP11" s="792">
        <f t="shared" ref="AP11:AP32" si="12">AVERAGE(AL11:AO11)</f>
        <v>-3.9946926431159296E-2</v>
      </c>
      <c r="AR11" s="888">
        <f t="shared" si="2"/>
        <v>39.84375</v>
      </c>
      <c r="AS11" s="888">
        <f t="shared" si="2"/>
        <v>37.816764132553608</v>
      </c>
      <c r="AT11" s="888">
        <f t="shared" si="2"/>
        <v>27.450980392156865</v>
      </c>
      <c r="AU11" s="888">
        <f t="shared" si="2"/>
        <v>30.784313725490197</v>
      </c>
      <c r="AV11" s="888">
        <f t="shared" si="3"/>
        <v>135.89580825020067</v>
      </c>
      <c r="AW11" s="550">
        <f t="shared" si="4"/>
        <v>0</v>
      </c>
      <c r="AX11" s="888">
        <f t="shared" ref="AX11:AX33" si="13">AV11/(4-AW11)*4</f>
        <v>135.89580825020067</v>
      </c>
    </row>
    <row r="12" spans="1:50" s="89" customFormat="1" ht="13.5" customHeight="1" x14ac:dyDescent="0.2">
      <c r="A12" s="462">
        <f>VLOOKUP(B12,Sheet1!$AQ$4:$AR$25,2,FALSE)</f>
        <v>0</v>
      </c>
      <c r="B12" s="95" t="str">
        <f>Sheet1!$K$6</f>
        <v>Buckinghamshire</v>
      </c>
      <c r="C12" s="87"/>
      <c r="D12" s="96">
        <f>IF(Year1_Buckinghamshire Year1_LAC_Start="","",Year1_Buckinghamshire Year1_LAC_Start)</f>
        <v>158</v>
      </c>
      <c r="E12" s="96">
        <f>IF(Year2_Buckinghamshire Year2_LAC_Start="","",Year2_Buckinghamshire Year2_LAC_Start)</f>
        <v>249</v>
      </c>
      <c r="F12" s="96">
        <f>IF(Year3_Buckinghamshire Year3_LAC_Start="","",Year3_Buckinghamshire Year3_LAC_Start)</f>
        <v>207</v>
      </c>
      <c r="G12" s="96">
        <f>IF(Year4_Buckinghamshire Year4_LAC_Start="","",Year4_Buckinghamshire Year4_LAC_Start)</f>
        <v>193</v>
      </c>
      <c r="H12" s="97">
        <f>IF(Year5_Buckinghamshire Year5_LAC_Start="","",Year5_Buckinghamshire Year5_LAC_Start)</f>
        <v>209</v>
      </c>
      <c r="I12" s="337">
        <f t="shared" si="5"/>
        <v>0.10563584311400652</v>
      </c>
      <c r="J12" s="98"/>
      <c r="K12" s="99">
        <f>IF(ISNUMBER(D12),D12/Population!D12*10000,NA())</f>
        <v>13.28847771236333</v>
      </c>
      <c r="L12" s="99">
        <f>IF(ISNUMBER(E12),E12/Population!E12*10000,NA())</f>
        <v>20.64676616915423</v>
      </c>
      <c r="M12" s="99">
        <f>IF(ISNUMBER(F12),F12/Population!F12*10000,NA())</f>
        <v>16.939443535188214</v>
      </c>
      <c r="N12" s="99">
        <f>IF(ISNUMBER(G12),G12/Population!G12*10000,NA())</f>
        <v>15.678310316815598</v>
      </c>
      <c r="O12" s="100">
        <f>IF(ISNUMBER(H12),H12/Population!H12*10000,NA())</f>
        <v>16.814159292035399</v>
      </c>
      <c r="P12" s="101">
        <f t="shared" si="6"/>
        <v>16.814159292035399</v>
      </c>
      <c r="Q12" s="886">
        <f t="shared" si="7"/>
        <v>3</v>
      </c>
      <c r="R12" s="69"/>
      <c r="S12" s="333">
        <f>IDACI!C11</f>
        <v>8.5</v>
      </c>
      <c r="T12" s="334">
        <f t="shared" si="0"/>
        <v>20.916180795316475</v>
      </c>
      <c r="U12" s="335">
        <f t="shared" si="8"/>
        <v>-4.1020215032810761</v>
      </c>
      <c r="V12" s="124"/>
      <c r="W12" s="140"/>
      <c r="X12" s="149"/>
      <c r="Y12" s="1289" t="str">
        <f t="shared" si="1"/>
        <v>Buckinghamshire</v>
      </c>
      <c r="Z12" s="815">
        <f>IF(ISNUMBER(H12),IDACI!D11,0)</f>
        <v>107385</v>
      </c>
      <c r="AA12" s="815">
        <f>IF(ISNUMBER(H12),IDACI!E11,0)</f>
        <v>9127.7250000000004</v>
      </c>
      <c r="AB12" s="572">
        <f>IF(ISNUMBER(D12),Population!D12,"")</f>
        <v>118900</v>
      </c>
      <c r="AC12" s="572">
        <f>IF(ISNUMBER(E12),Population!E12,"")</f>
        <v>120600</v>
      </c>
      <c r="AD12" s="572">
        <f>IF(ISNUMBER(F12),Population!F12,"")</f>
        <v>122200</v>
      </c>
      <c r="AE12" s="572">
        <f>IF(ISNUMBER(G12),Population!G12,"")</f>
        <v>123100</v>
      </c>
      <c r="AF12" s="572">
        <f>IF(ISNUMBER(H12),Population!H12,"")</f>
        <v>124300</v>
      </c>
      <c r="AG12" s="95" t="s">
        <v>8</v>
      </c>
      <c r="AH12" s="225">
        <f t="shared" si="9"/>
        <v>16.814159292035399</v>
      </c>
      <c r="AI12" s="1187">
        <f t="shared" si="10"/>
        <v>3</v>
      </c>
      <c r="AJ12" s="199"/>
      <c r="AK12" s="156"/>
      <c r="AL12" s="792">
        <f t="shared" si="11"/>
        <v>0.57594936708860756</v>
      </c>
      <c r="AM12" s="792">
        <f t="shared" si="11"/>
        <v>-0.16867469879518071</v>
      </c>
      <c r="AN12" s="792">
        <f t="shared" si="11"/>
        <v>-6.7632850241545889E-2</v>
      </c>
      <c r="AO12" s="792">
        <f t="shared" si="11"/>
        <v>8.2901554404145081E-2</v>
      </c>
      <c r="AP12" s="792">
        <f t="shared" si="12"/>
        <v>0.10563584311400652</v>
      </c>
      <c r="AR12" s="888">
        <f t="shared" si="2"/>
        <v>20.64676616915423</v>
      </c>
      <c r="AS12" s="888">
        <f t="shared" si="2"/>
        <v>16.939443535188214</v>
      </c>
      <c r="AT12" s="888">
        <f t="shared" si="2"/>
        <v>15.678310316815598</v>
      </c>
      <c r="AU12" s="888">
        <f t="shared" si="2"/>
        <v>16.814159292035399</v>
      </c>
      <c r="AV12" s="888">
        <f t="shared" si="3"/>
        <v>70.078679313193447</v>
      </c>
      <c r="AW12" s="550">
        <f t="shared" si="4"/>
        <v>0</v>
      </c>
      <c r="AX12" s="888">
        <f t="shared" si="13"/>
        <v>70.078679313193447</v>
      </c>
    </row>
    <row r="13" spans="1:50" s="89" customFormat="1" ht="13.5" customHeight="1" x14ac:dyDescent="0.2">
      <c r="A13" s="462">
        <f>VLOOKUP(B13,Sheet1!$AQ$4:$AR$25,2,FALSE)</f>
        <v>0</v>
      </c>
      <c r="B13" s="95" t="str">
        <f>Sheet1!$K$7</f>
        <v>East Sussex</v>
      </c>
      <c r="C13" s="87"/>
      <c r="D13" s="96">
        <f>IF(Year1_East_Sussex Year1_LAC_Start="","",Year1_East_Sussex Year1_LAC_Start)</f>
        <v>156</v>
      </c>
      <c r="E13" s="102">
        <f>IF(Year2_East_Sussex Year2_LAC_Start="","",Year2_East_Sussex Year2_LAC_Start)</f>
        <v>184</v>
      </c>
      <c r="F13" s="96">
        <f>IF(Year3_East_Sussex Year3_LAC_Start="","",Year3_East_Sussex Year3_LAC_Start)</f>
        <v>198</v>
      </c>
      <c r="G13" s="96">
        <f>IF(Year4_East_Sussex Year4_LAC_Start="","",Year4_East_Sussex Year4_LAC_Start)</f>
        <v>203</v>
      </c>
      <c r="H13" s="97">
        <f>IF(Year5_East_Sussex Year5_LAC_Start="","",Year5_East_Sussex Year5_LAC_Start)</f>
        <v>192</v>
      </c>
      <c r="I13" s="337">
        <f t="shared" si="5"/>
        <v>5.6659867285804327E-2</v>
      </c>
      <c r="J13" s="98"/>
      <c r="K13" s="99">
        <f>IF(ISNUMBER(D13),D13/Population!D13*10000,NA())</f>
        <v>14.800759013282732</v>
      </c>
      <c r="L13" s="99">
        <f>IF(ISNUMBER(E13),E13/Population!E13*10000,NA())</f>
        <v>17.37488196411709</v>
      </c>
      <c r="M13" s="99">
        <f>IF(ISNUMBER(F13),F13/Population!F13*10000,NA())</f>
        <v>18.696883852691219</v>
      </c>
      <c r="N13" s="99">
        <f>IF(ISNUMBER(G13),G13/Population!G13*10000,NA())</f>
        <v>19.150943396226413</v>
      </c>
      <c r="O13" s="100">
        <f>IF(ISNUMBER(H13),H13/Population!H13*10000,NA())</f>
        <v>18.045112781954888</v>
      </c>
      <c r="P13" s="101">
        <f t="shared" si="6"/>
        <v>18.045112781954888</v>
      </c>
      <c r="Q13" s="886">
        <f t="shared" si="7"/>
        <v>4</v>
      </c>
      <c r="R13" s="69"/>
      <c r="S13" s="333">
        <f>IDACI!C12</f>
        <v>16.100000000000001</v>
      </c>
      <c r="T13" s="334">
        <f t="shared" si="0"/>
        <v>28.404661412778331</v>
      </c>
      <c r="U13" s="335">
        <f t="shared" si="8"/>
        <v>-10.359548630823443</v>
      </c>
      <c r="V13" s="124"/>
      <c r="W13" s="140"/>
      <c r="X13" s="149"/>
      <c r="Y13" s="1289" t="str">
        <f t="shared" si="1"/>
        <v>East Sussex</v>
      </c>
      <c r="Z13" s="815">
        <f>IF(ISNUMBER(H13),IDACI!D12,0)</f>
        <v>93130</v>
      </c>
      <c r="AA13" s="815">
        <f>IF(ISNUMBER(H13),IDACI!E12,0)</f>
        <v>14993.93</v>
      </c>
      <c r="AB13" s="572">
        <f>IF(ISNUMBER(D13),Population!D13,"")</f>
        <v>105400</v>
      </c>
      <c r="AC13" s="572">
        <f>IF(ISNUMBER(E13),Population!E13,"")</f>
        <v>105900</v>
      </c>
      <c r="AD13" s="572">
        <f>IF(ISNUMBER(F13),Population!F13,"")</f>
        <v>105900</v>
      </c>
      <c r="AE13" s="572">
        <f>IF(ISNUMBER(G13),Population!G13,"")</f>
        <v>106000</v>
      </c>
      <c r="AF13" s="572">
        <f>IF(ISNUMBER(H13),Population!H13,"")</f>
        <v>106400</v>
      </c>
      <c r="AG13" s="95" t="s">
        <v>4</v>
      </c>
      <c r="AH13" s="225">
        <f t="shared" si="9"/>
        <v>18.045112781954888</v>
      </c>
      <c r="AI13" s="1187">
        <f t="shared" si="10"/>
        <v>4</v>
      </c>
      <c r="AJ13" s="199"/>
      <c r="AK13" s="156"/>
      <c r="AL13" s="792">
        <f t="shared" si="11"/>
        <v>0.17948717948717949</v>
      </c>
      <c r="AM13" s="792">
        <f t="shared" si="11"/>
        <v>7.6086956521739135E-2</v>
      </c>
      <c r="AN13" s="792">
        <f t="shared" si="11"/>
        <v>2.5252525252525252E-2</v>
      </c>
      <c r="AO13" s="792">
        <f t="shared" si="11"/>
        <v>-5.4187192118226604E-2</v>
      </c>
      <c r="AP13" s="792">
        <f t="shared" si="12"/>
        <v>5.6659867285804327E-2</v>
      </c>
      <c r="AR13" s="888">
        <f t="shared" si="2"/>
        <v>17.37488196411709</v>
      </c>
      <c r="AS13" s="888">
        <f t="shared" si="2"/>
        <v>18.696883852691219</v>
      </c>
      <c r="AT13" s="888">
        <f t="shared" si="2"/>
        <v>19.150943396226413</v>
      </c>
      <c r="AU13" s="888">
        <f t="shared" si="2"/>
        <v>18.045112781954888</v>
      </c>
      <c r="AV13" s="888">
        <f t="shared" si="3"/>
        <v>73.267821994989603</v>
      </c>
      <c r="AW13" s="550">
        <f t="shared" si="4"/>
        <v>0</v>
      </c>
      <c r="AX13" s="888">
        <f t="shared" si="13"/>
        <v>73.267821994989603</v>
      </c>
    </row>
    <row r="14" spans="1:50" s="89" customFormat="1" ht="13.5" customHeight="1" x14ac:dyDescent="0.2">
      <c r="A14" s="462">
        <f>VLOOKUP(B14,Sheet1!$AQ$4:$AR$25,2,FALSE)</f>
        <v>0</v>
      </c>
      <c r="B14" s="95" t="str">
        <f>Sheet1!$K$8</f>
        <v>Hampshire</v>
      </c>
      <c r="C14" s="87"/>
      <c r="D14" s="96">
        <f>IF(Year1_Hampshire Year1_LAC_Start="","",Year1_Hampshire Year1_LAC_Start)</f>
        <v>600</v>
      </c>
      <c r="E14" s="96">
        <f>IF(Year2_Hampshire Year2_LAC_Start="","",Year2_Hampshire Year2_LAC_Start)</f>
        <v>507</v>
      </c>
      <c r="F14" s="103">
        <f>IF(Year3_Hampshire Year3_LAC_Start="","",Year3_Hampshire Year3_LAC_Start)</f>
        <v>647</v>
      </c>
      <c r="G14" s="103">
        <f>IF(Year4_Hampshire Year4_LAC_Start="","",Year4_Hampshire Year4_LAC_Start)</f>
        <v>629</v>
      </c>
      <c r="H14" s="97">
        <f>IF(Year5_Hampshire Year5_LAC_Start="","",Year5_Hampshire Year5_LAC_Start)</f>
        <v>652</v>
      </c>
      <c r="I14" s="337">
        <f t="shared" si="5"/>
        <v>3.2469847264172978E-2</v>
      </c>
      <c r="J14" s="98"/>
      <c r="K14" s="99">
        <f>IF(ISNUMBER(D14),D14/Population!D14*10000,NA())</f>
        <v>21.314387211367674</v>
      </c>
      <c r="L14" s="99">
        <f>IF(ISNUMBER(E14),E14/Population!E14*10000,NA())</f>
        <v>17.985101099680737</v>
      </c>
      <c r="M14" s="99">
        <f>IF(ISNUMBER(F14),F14/Population!F14*10000,NA())</f>
        <v>22.878359264497877</v>
      </c>
      <c r="N14" s="99">
        <f>IF(ISNUMBER(G14),G14/Population!G14*10000,NA())</f>
        <v>22.202612072008471</v>
      </c>
      <c r="O14" s="100">
        <f>IF(ISNUMBER(H14),H14/Population!H14*10000,NA())</f>
        <v>22.95774647887324</v>
      </c>
      <c r="P14" s="101">
        <f t="shared" si="6"/>
        <v>22.95774647887324</v>
      </c>
      <c r="Q14" s="886">
        <f t="shared" si="7"/>
        <v>9</v>
      </c>
      <c r="R14" s="69"/>
      <c r="S14" s="333">
        <f>IDACI!C13</f>
        <v>10.100000000000001</v>
      </c>
      <c r="T14" s="334">
        <f t="shared" si="0"/>
        <v>22.492703030571604</v>
      </c>
      <c r="U14" s="335">
        <f t="shared" si="8"/>
        <v>0.46504344830163546</v>
      </c>
      <c r="V14" s="124"/>
      <c r="W14" s="140"/>
      <c r="X14" s="149"/>
      <c r="Y14" s="1289" t="str">
        <f t="shared" si="1"/>
        <v>Hampshire</v>
      </c>
      <c r="Z14" s="815">
        <f>IF(ISNUMBER(H14),IDACI!D13,0)</f>
        <v>249483</v>
      </c>
      <c r="AA14" s="815">
        <f>IF(ISNUMBER(H14),IDACI!E13,0)</f>
        <v>25197.783000000007</v>
      </c>
      <c r="AB14" s="572">
        <f>IF(ISNUMBER(D14),Population!D14,"")</f>
        <v>281500</v>
      </c>
      <c r="AC14" s="572">
        <f>IF(ISNUMBER(E14),Population!E14,"")</f>
        <v>281900</v>
      </c>
      <c r="AD14" s="572">
        <f>IF(ISNUMBER(F14),Population!F14,"")</f>
        <v>282800</v>
      </c>
      <c r="AE14" s="572">
        <f>IF(ISNUMBER(G14),Population!G14,"")</f>
        <v>283300</v>
      </c>
      <c r="AF14" s="572">
        <f>IF(ISNUMBER(H14),Population!H14,"")</f>
        <v>284000</v>
      </c>
      <c r="AG14" s="95" t="s">
        <v>6</v>
      </c>
      <c r="AH14" s="225">
        <f t="shared" si="9"/>
        <v>22.95774647887324</v>
      </c>
      <c r="AI14" s="1187">
        <f t="shared" si="10"/>
        <v>9</v>
      </c>
      <c r="AJ14" s="199"/>
      <c r="AK14" s="156"/>
      <c r="AL14" s="792">
        <f t="shared" si="11"/>
        <v>-0.155</v>
      </c>
      <c r="AM14" s="792">
        <f t="shared" si="11"/>
        <v>0.27613412228796846</v>
      </c>
      <c r="AN14" s="792">
        <f t="shared" si="11"/>
        <v>-2.7820710973724884E-2</v>
      </c>
      <c r="AO14" s="792">
        <f t="shared" si="11"/>
        <v>3.6565977742448331E-2</v>
      </c>
      <c r="AP14" s="792">
        <f t="shared" si="12"/>
        <v>3.2469847264172978E-2</v>
      </c>
      <c r="AR14" s="888">
        <f t="shared" si="2"/>
        <v>17.985101099680737</v>
      </c>
      <c r="AS14" s="888">
        <f t="shared" si="2"/>
        <v>22.878359264497877</v>
      </c>
      <c r="AT14" s="888">
        <f t="shared" si="2"/>
        <v>22.202612072008471</v>
      </c>
      <c r="AU14" s="888">
        <f t="shared" si="2"/>
        <v>22.95774647887324</v>
      </c>
      <c r="AV14" s="888">
        <f t="shared" si="3"/>
        <v>86.023818915060332</v>
      </c>
      <c r="AW14" s="550">
        <f t="shared" si="4"/>
        <v>0</v>
      </c>
      <c r="AX14" s="888">
        <f t="shared" si="13"/>
        <v>86.023818915060332</v>
      </c>
    </row>
    <row r="15" spans="1:50" s="89" customFormat="1" ht="13.5" customHeight="1" x14ac:dyDescent="0.2">
      <c r="A15" s="462">
        <f>VLOOKUP(B15,Sheet1!$AQ$4:$AR$25,2,FALSE)</f>
        <v>0</v>
      </c>
      <c r="B15" s="95" t="str">
        <f>Sheet1!$K$9</f>
        <v>Isle of Wight</v>
      </c>
      <c r="C15" s="87"/>
      <c r="D15" s="96">
        <f>IF(Year1_Isle_of_Wight Year1_LAC_Start="","",Year1_Isle_of_Wight Year1_LAC_Start)</f>
        <v>86</v>
      </c>
      <c r="E15" s="96">
        <f>IF(Year2_Isle_of_Wight Year2_LAC_Start="","",Year2_Isle_of_Wight Year2_LAC_Start)</f>
        <v>73</v>
      </c>
      <c r="F15" s="96">
        <f>IF(Year3_Isle_of_Wight Year3_LAC_Start="","",Year3_Isle_of_Wight Year3_LAC_Start)</f>
        <v>99</v>
      </c>
      <c r="G15" s="96">
        <f>IF(Year4_Isle_of_Wight Year4_LAC_Start="","",Year4_Isle_of_Wight Year4_LAC_Start)</f>
        <v>76</v>
      </c>
      <c r="H15" s="97">
        <f>IF(Year5_Isle_of_Wight Year5_LAC_Start="","",Year5_Isle_of_Wight Year5_LAC_Start)</f>
        <v>74</v>
      </c>
      <c r="I15" s="337">
        <f t="shared" si="5"/>
        <v>-1.3409357233236781E-2</v>
      </c>
      <c r="J15" s="98"/>
      <c r="K15" s="99">
        <f>IF(ISNUMBER(D15),D15/Population!D15*10000,NA())</f>
        <v>33.725490196078432</v>
      </c>
      <c r="L15" s="99">
        <f>IF(ISNUMBER(E15),E15/Population!E15*10000,NA())</f>
        <v>28.853754940711465</v>
      </c>
      <c r="M15" s="99">
        <f>IF(ISNUMBER(F15),F15/Population!F15*10000,NA())</f>
        <v>39.285714285714292</v>
      </c>
      <c r="N15" s="99">
        <f>IF(ISNUMBER(G15),G15/Population!G15*10000,NA())</f>
        <v>30.278884462151392</v>
      </c>
      <c r="O15" s="100">
        <f>IF(ISNUMBER(H15),H15/Population!H15*10000,NA())</f>
        <v>29.718875502008032</v>
      </c>
      <c r="P15" s="101">
        <f t="shared" si="6"/>
        <v>29.718875502008032</v>
      </c>
      <c r="Q15" s="886">
        <f>IF(ISNA(VLOOKUP(B15,$AG$10:$AI$28,3,FALSE)),"--",IF(ISNUMBER(H15),VLOOKUP(B15,$AG$10:$AI$28,3,FALSE),NA()))</f>
        <v>15</v>
      </c>
      <c r="R15" s="69"/>
      <c r="S15" s="333">
        <f>IDACI!C14</f>
        <v>18</v>
      </c>
      <c r="T15" s="334">
        <f t="shared" si="0"/>
        <v>30.276781567143793</v>
      </c>
      <c r="U15" s="335">
        <f t="shared" si="8"/>
        <v>-0.5579060651357608</v>
      </c>
      <c r="V15" s="124"/>
      <c r="W15" s="140"/>
      <c r="X15" s="149"/>
      <c r="Y15" s="1289" t="str">
        <f t="shared" si="1"/>
        <v>Isle of Wight</v>
      </c>
      <c r="Z15" s="815">
        <f>IF(ISNUMBER(H15),IDACI!D14,0)</f>
        <v>22123</v>
      </c>
      <c r="AA15" s="815">
        <f>IF(ISNUMBER(H15),IDACI!E14,0)</f>
        <v>3982.14</v>
      </c>
      <c r="AB15" s="572">
        <f>IF(ISNUMBER(D15),Population!D15,"")</f>
        <v>25500</v>
      </c>
      <c r="AC15" s="572">
        <f>IF(ISNUMBER(E15),Population!E15,"")</f>
        <v>25300</v>
      </c>
      <c r="AD15" s="572">
        <f>IF(ISNUMBER(F15),Population!F15,"")</f>
        <v>25200</v>
      </c>
      <c r="AE15" s="572">
        <f>IF(ISNUMBER(G15),Population!G15,"")</f>
        <v>25100</v>
      </c>
      <c r="AF15" s="572">
        <f>IF(ISNUMBER(H15),Population!H15,"")</f>
        <v>24900</v>
      </c>
      <c r="AG15" s="95" t="s">
        <v>1</v>
      </c>
      <c r="AH15" s="225">
        <f t="shared" si="9"/>
        <v>29.718875502008032</v>
      </c>
      <c r="AI15" s="1187">
        <f t="shared" si="10"/>
        <v>15</v>
      </c>
      <c r="AJ15" s="199"/>
      <c r="AK15" s="156"/>
      <c r="AL15" s="792">
        <f t="shared" si="11"/>
        <v>-0.15116279069767441</v>
      </c>
      <c r="AM15" s="792">
        <f t="shared" si="11"/>
        <v>0.35616438356164382</v>
      </c>
      <c r="AN15" s="792">
        <f t="shared" si="11"/>
        <v>-0.23232323232323232</v>
      </c>
      <c r="AO15" s="792">
        <f t="shared" si="11"/>
        <v>-2.6315789473684209E-2</v>
      </c>
      <c r="AP15" s="792">
        <f t="shared" si="12"/>
        <v>-1.3409357233236781E-2</v>
      </c>
      <c r="AR15" s="888">
        <f t="shared" si="2"/>
        <v>28.853754940711465</v>
      </c>
      <c r="AS15" s="888">
        <f t="shared" si="2"/>
        <v>39.285714285714292</v>
      </c>
      <c r="AT15" s="888">
        <f t="shared" si="2"/>
        <v>30.278884462151392</v>
      </c>
      <c r="AU15" s="888">
        <f t="shared" si="2"/>
        <v>29.718875502008032</v>
      </c>
      <c r="AV15" s="888">
        <f t="shared" si="3"/>
        <v>128.13722919058517</v>
      </c>
      <c r="AW15" s="550">
        <f t="shared" si="4"/>
        <v>0</v>
      </c>
      <c r="AX15" s="888">
        <f t="shared" si="13"/>
        <v>128.13722919058517</v>
      </c>
    </row>
    <row r="16" spans="1:50" s="89" customFormat="1" ht="13.5" customHeight="1" x14ac:dyDescent="0.2">
      <c r="A16" s="462">
        <f>VLOOKUP(B16,Sheet1!$AQ$4:$AR$25,2,FALSE)</f>
        <v>0</v>
      </c>
      <c r="B16" s="95" t="str">
        <f>Sheet1!$K$10</f>
        <v>Kent</v>
      </c>
      <c r="C16" s="87"/>
      <c r="D16" s="96">
        <f>IF(Year1_Kent Year1_LAC_Start="","",Year1_Kent Year1_LAC_Start)</f>
        <v>909</v>
      </c>
      <c r="E16" s="96">
        <f>IF(Year2_Kent Year2_LAC_Start="","",Year2_Kent Year2_LAC_Start)</f>
        <v>1504</v>
      </c>
      <c r="F16" s="96">
        <f>IF(Year3_Kent Year3_LAC_Start="","",Year3_Kent Year3_LAC_Start)</f>
        <v>890</v>
      </c>
      <c r="G16" s="96">
        <f>IF(Year4_Kent Year4_LAC_Start="","",Year4_Kent Year4_LAC_Start)</f>
        <v>768</v>
      </c>
      <c r="H16" s="97">
        <f>IF(Year5_Kent Year5_LAC_Start="","",Year5_Kent Year5_LAC_Start)</f>
        <v>696</v>
      </c>
      <c r="I16" s="337">
        <f t="shared" si="5"/>
        <v>3.8730310022993611E-3</v>
      </c>
      <c r="J16" s="98"/>
      <c r="K16" s="99">
        <f>IF(ISNUMBER(D16),D16/Population!D16*10000,NA())</f>
        <v>27.68809016143771</v>
      </c>
      <c r="L16" s="99">
        <f>IF(ISNUMBER(E16),E16/Population!E16*10000,NA())</f>
        <v>45.520581113801448</v>
      </c>
      <c r="M16" s="99">
        <f>IF(ISNUMBER(F16),F16/Population!F16*10000,NA())</f>
        <v>26.726726726726728</v>
      </c>
      <c r="N16" s="99">
        <f>IF(ISNUMBER(G16),G16/Population!G16*10000,NA())</f>
        <v>22.850342160071406</v>
      </c>
      <c r="O16" s="100">
        <f>IF(ISNUMBER(H16),H16/Population!H16*10000,NA())</f>
        <v>20.464569244339902</v>
      </c>
      <c r="P16" s="101">
        <f t="shared" si="6"/>
        <v>20.464569244339902</v>
      </c>
      <c r="Q16" s="886">
        <f t="shared" si="7"/>
        <v>7</v>
      </c>
      <c r="R16" s="69"/>
      <c r="S16" s="333">
        <f>IDACI!C15</f>
        <v>15.8</v>
      </c>
      <c r="T16" s="334">
        <f t="shared" si="0"/>
        <v>28.109063493667993</v>
      </c>
      <c r="U16" s="335">
        <f t="shared" si="8"/>
        <v>-7.6444942493280905</v>
      </c>
      <c r="V16" s="124"/>
      <c r="W16" s="140"/>
      <c r="X16" s="149"/>
      <c r="Y16" s="1289" t="str">
        <f t="shared" si="1"/>
        <v>Kent</v>
      </c>
      <c r="Z16" s="815">
        <f>IF(ISNUMBER(H16),IDACI!D15,0)</f>
        <v>291866</v>
      </c>
      <c r="AA16" s="815">
        <f>IF(ISNUMBER(H16),IDACI!E15,0)</f>
        <v>46114.828000000001</v>
      </c>
      <c r="AB16" s="572">
        <f>IF(ISNUMBER(D16),Population!D16,"")</f>
        <v>328300</v>
      </c>
      <c r="AC16" s="572">
        <f>IF(ISNUMBER(E16),Population!E16,"")</f>
        <v>330400</v>
      </c>
      <c r="AD16" s="572">
        <f>IF(ISNUMBER(F16),Population!F16,"")</f>
        <v>333000</v>
      </c>
      <c r="AE16" s="572">
        <f>IF(ISNUMBER(G16),Population!G16,"")</f>
        <v>336100</v>
      </c>
      <c r="AF16" s="572">
        <f>IF(ISNUMBER(H16),Population!H16,"")</f>
        <v>340100</v>
      </c>
      <c r="AG16" s="95" t="s">
        <v>9</v>
      </c>
      <c r="AH16" s="225">
        <f t="shared" si="9"/>
        <v>20.464569244339902</v>
      </c>
      <c r="AI16" s="1187">
        <f t="shared" si="10"/>
        <v>7</v>
      </c>
      <c r="AJ16" s="199"/>
      <c r="AK16" s="156"/>
      <c r="AL16" s="792">
        <f t="shared" si="11"/>
        <v>0.65456545654565457</v>
      </c>
      <c r="AM16" s="792">
        <f t="shared" si="11"/>
        <v>-0.40824468085106386</v>
      </c>
      <c r="AN16" s="792">
        <f t="shared" si="11"/>
        <v>-0.13707865168539327</v>
      </c>
      <c r="AO16" s="792">
        <f t="shared" si="11"/>
        <v>-9.375E-2</v>
      </c>
      <c r="AP16" s="792">
        <f t="shared" si="12"/>
        <v>3.8730310022993611E-3</v>
      </c>
      <c r="AR16" s="888">
        <f t="shared" si="2"/>
        <v>45.520581113801448</v>
      </c>
      <c r="AS16" s="888">
        <f t="shared" si="2"/>
        <v>26.726726726726728</v>
      </c>
      <c r="AT16" s="888">
        <f t="shared" si="2"/>
        <v>22.850342160071406</v>
      </c>
      <c r="AU16" s="888">
        <f t="shared" si="2"/>
        <v>20.464569244339902</v>
      </c>
      <c r="AV16" s="888">
        <f t="shared" si="3"/>
        <v>115.56221924493948</v>
      </c>
      <c r="AW16" s="550">
        <f t="shared" si="4"/>
        <v>0</v>
      </c>
      <c r="AX16" s="888">
        <f t="shared" si="13"/>
        <v>115.56221924493948</v>
      </c>
    </row>
    <row r="17" spans="1:50" s="89" customFormat="1" ht="13.5" customHeight="1" x14ac:dyDescent="0.2">
      <c r="A17" s="462">
        <f>VLOOKUP(B17,Sheet1!$AQ$4:$AR$25,2,FALSE)</f>
        <v>0</v>
      </c>
      <c r="B17" s="95" t="str">
        <f>Sheet1!$K$11</f>
        <v>Medway</v>
      </c>
      <c r="C17" s="87"/>
      <c r="D17" s="96">
        <f>IF(Year1_Medway Year1_LAC_Start="","",Year1_Medway Year1_LAC_Start)</f>
        <v>238</v>
      </c>
      <c r="E17" s="290">
        <f>IF(Year2_Medway Year2_LAC_Start="","",Year2_Medway Year2_LAC_Start)</f>
        <v>208</v>
      </c>
      <c r="F17" s="290">
        <f>IF(Year3_Medway Year3_LAC_Start="","",Year3_Medway Year3_LAC_Start)</f>
        <v>145</v>
      </c>
      <c r="G17" s="290">
        <f>IF(Year4_Medway Year4_LAC_Start="","",Year4_Medway Year4_LAC_Start)</f>
        <v>175</v>
      </c>
      <c r="H17" s="291">
        <f>IF(Year5_Medway Year5_LAC_Start="","",Year5_Medway Year5_LAC_Start)</f>
        <v>167</v>
      </c>
      <c r="I17" s="337">
        <f t="shared" si="5"/>
        <v>-6.6938192385707598E-2</v>
      </c>
      <c r="J17" s="98"/>
      <c r="K17" s="99">
        <f>IF(ISNUMBER(D17),D17/Population!D17*10000,NA())</f>
        <v>38.080000000000005</v>
      </c>
      <c r="L17" s="99">
        <f>IF(ISNUMBER(E17),E17/Population!E17*10000,NA())</f>
        <v>32.911392405063289</v>
      </c>
      <c r="M17" s="99">
        <f>IF(ISNUMBER(F17),F17/Population!F17*10000,NA())</f>
        <v>22.762951334379906</v>
      </c>
      <c r="N17" s="99">
        <f>IF(ISNUMBER(G17),G17/Population!G17*10000,NA())</f>
        <v>27.386541471048513</v>
      </c>
      <c r="O17" s="100">
        <f>IF(ISNUMBER(H17),H17/Population!H17*10000,NA())</f>
        <v>25.93167701863354</v>
      </c>
      <c r="P17" s="101">
        <f t="shared" si="6"/>
        <v>25.93167701863354</v>
      </c>
      <c r="Q17" s="886">
        <f t="shared" si="7"/>
        <v>13</v>
      </c>
      <c r="R17" s="69"/>
      <c r="S17" s="333">
        <f>IDACI!C16</f>
        <v>18.899999999999999</v>
      </c>
      <c r="T17" s="334">
        <f t="shared" si="0"/>
        <v>31.163575324474799</v>
      </c>
      <c r="U17" s="335">
        <f t="shared" si="8"/>
        <v>-5.2318983058412591</v>
      </c>
      <c r="V17" s="124"/>
      <c r="W17" s="140"/>
      <c r="X17" s="149"/>
      <c r="Y17" s="1289" t="str">
        <f t="shared" si="1"/>
        <v>Medway</v>
      </c>
      <c r="Z17" s="815">
        <f>IF(ISNUMBER(H17),IDACI!D16,0)</f>
        <v>55993</v>
      </c>
      <c r="AA17" s="815">
        <f>IF(ISNUMBER(H17),IDACI!E16,0)</f>
        <v>10582.676999999998</v>
      </c>
      <c r="AB17" s="572">
        <f>IF(ISNUMBER(D17),Population!D17,"")</f>
        <v>62500</v>
      </c>
      <c r="AC17" s="572">
        <f>IF(ISNUMBER(E17),Population!E17,"")</f>
        <v>63200</v>
      </c>
      <c r="AD17" s="572">
        <f>IF(ISNUMBER(F17),Population!F17,"")</f>
        <v>63700</v>
      </c>
      <c r="AE17" s="572">
        <f>IF(ISNUMBER(G17),Population!G17,"")</f>
        <v>63900</v>
      </c>
      <c r="AF17" s="572">
        <f>IF(ISNUMBER(H17),Population!H17,"")</f>
        <v>64400</v>
      </c>
      <c r="AG17" s="95" t="s">
        <v>2</v>
      </c>
      <c r="AH17" s="225">
        <f t="shared" si="9"/>
        <v>25.93167701863354</v>
      </c>
      <c r="AI17" s="1187">
        <f t="shared" si="10"/>
        <v>13</v>
      </c>
      <c r="AJ17" s="199"/>
      <c r="AK17" s="156"/>
      <c r="AL17" s="792">
        <f t="shared" si="11"/>
        <v>-0.12605042016806722</v>
      </c>
      <c r="AM17" s="792">
        <f t="shared" si="11"/>
        <v>-0.30288461538461536</v>
      </c>
      <c r="AN17" s="792">
        <f t="shared" si="11"/>
        <v>0.20689655172413793</v>
      </c>
      <c r="AO17" s="792">
        <f t="shared" si="11"/>
        <v>-4.5714285714285714E-2</v>
      </c>
      <c r="AP17" s="792">
        <f t="shared" si="12"/>
        <v>-6.6938192385707598E-2</v>
      </c>
      <c r="AR17" s="888">
        <f t="shared" si="2"/>
        <v>32.911392405063289</v>
      </c>
      <c r="AS17" s="888">
        <f t="shared" si="2"/>
        <v>22.762951334379906</v>
      </c>
      <c r="AT17" s="888">
        <f t="shared" si="2"/>
        <v>27.386541471048513</v>
      </c>
      <c r="AU17" s="888">
        <f t="shared" si="2"/>
        <v>25.93167701863354</v>
      </c>
      <c r="AV17" s="888">
        <f t="shared" si="3"/>
        <v>108.99256222912524</v>
      </c>
      <c r="AW17" s="550">
        <f t="shared" si="4"/>
        <v>0</v>
      </c>
      <c r="AX17" s="888">
        <f t="shared" si="13"/>
        <v>108.99256222912524</v>
      </c>
    </row>
    <row r="18" spans="1:50" s="89" customFormat="1" ht="13.5" customHeight="1" x14ac:dyDescent="0.2">
      <c r="A18" s="462">
        <f>VLOOKUP(B18,Sheet1!$AQ$4:$AR$25,2,FALSE)</f>
        <v>0</v>
      </c>
      <c r="B18" s="95" t="str">
        <f>Sheet1!$K$12</f>
        <v>Milton Keynes</v>
      </c>
      <c r="C18" s="87"/>
      <c r="D18" s="96">
        <f>IF(Year1_Milton_Keynes Year1_LAC_Start="","",Year1_Milton_Keynes Year1_LAC_Start)</f>
        <v>168</v>
      </c>
      <c r="E18" s="96">
        <f>IF(Year2_Milton_Keynes Year2_LAC_Start="","",Year2_Milton_Keynes Year2_LAC_Start)</f>
        <v>183</v>
      </c>
      <c r="F18" s="96">
        <f>IF(Year3_Milton_Keynes Year3_LAC_Start="","",Year3_Milton_Keynes Year3_LAC_Start)</f>
        <v>197</v>
      </c>
      <c r="G18" s="96">
        <f>IF(Year4_Milton_Keynes Year4_LAC_Start="","",Year4_Milton_Keynes Year4_LAC_Start)</f>
        <v>140</v>
      </c>
      <c r="H18" s="97">
        <f>IF(Year5_Milton_Keynes Year5_LAC_Start="","",Year5_Milton_Keynes Year5_LAC_Start)</f>
        <v>162</v>
      </c>
      <c r="I18" s="337">
        <f t="shared" si="5"/>
        <v>8.3978005365414887E-3</v>
      </c>
      <c r="J18" s="98"/>
      <c r="K18" s="99">
        <f>IF(ISNUMBER(D18),D18/Population!D18*10000,NA())</f>
        <v>25.766871165644172</v>
      </c>
      <c r="L18" s="99">
        <f>IF(ISNUMBER(E18),E18/Population!E18*10000,NA())</f>
        <v>27.685325264750379</v>
      </c>
      <c r="M18" s="99">
        <f>IF(ISNUMBER(F18),F18/Population!F18*10000,NA())</f>
        <v>29.359165424739196</v>
      </c>
      <c r="N18" s="99">
        <f>IF(ISNUMBER(G18),G18/Population!G18*10000,NA())</f>
        <v>20.710059171597635</v>
      </c>
      <c r="O18" s="100">
        <f>IF(ISNUMBER(H18),H18/Population!H18*10000,NA())</f>
        <v>23.718887262079061</v>
      </c>
      <c r="P18" s="101">
        <f t="shared" si="6"/>
        <v>23.718887262079061</v>
      </c>
      <c r="Q18" s="886">
        <f t="shared" si="7"/>
        <v>10</v>
      </c>
      <c r="R18" s="69"/>
      <c r="S18" s="333">
        <f>IDACI!C17</f>
        <v>15</v>
      </c>
      <c r="T18" s="334">
        <f t="shared" si="0"/>
        <v>27.320802376040429</v>
      </c>
      <c r="U18" s="335">
        <f t="shared" si="8"/>
        <v>-3.6019151139613683</v>
      </c>
      <c r="V18" s="124"/>
      <c r="W18" s="140"/>
      <c r="X18" s="149"/>
      <c r="Y18" s="1289" t="str">
        <f t="shared" si="1"/>
        <v>Milton Keynes</v>
      </c>
      <c r="Z18" s="815">
        <f>IF(ISNUMBER(H18),IDACI!D17,0)</f>
        <v>59903</v>
      </c>
      <c r="AA18" s="815">
        <f>IF(ISNUMBER(H18),IDACI!E17,0)</f>
        <v>8985.4499999999989</v>
      </c>
      <c r="AB18" s="572">
        <f>IF(ISNUMBER(D18),Population!D18,"")</f>
        <v>65200</v>
      </c>
      <c r="AC18" s="572">
        <f>IF(ISNUMBER(E18),Population!E18,"")</f>
        <v>66100</v>
      </c>
      <c r="AD18" s="572">
        <f>IF(ISNUMBER(F18),Population!F18,"")</f>
        <v>67100</v>
      </c>
      <c r="AE18" s="572">
        <f>IF(ISNUMBER(G18),Population!G18,"")</f>
        <v>67600</v>
      </c>
      <c r="AF18" s="572">
        <f>IF(ISNUMBER(H18),Population!H18,"")</f>
        <v>68300</v>
      </c>
      <c r="AG18" s="95" t="s">
        <v>10</v>
      </c>
      <c r="AH18" s="225">
        <f t="shared" si="9"/>
        <v>23.718887262079061</v>
      </c>
      <c r="AI18" s="1187">
        <f t="shared" si="10"/>
        <v>10</v>
      </c>
      <c r="AJ18" s="199"/>
      <c r="AK18" s="156"/>
      <c r="AL18" s="792">
        <f t="shared" si="11"/>
        <v>8.9285714285714288E-2</v>
      </c>
      <c r="AM18" s="792">
        <f t="shared" si="11"/>
        <v>7.650273224043716E-2</v>
      </c>
      <c r="AN18" s="792">
        <f t="shared" si="11"/>
        <v>-0.28934010152284262</v>
      </c>
      <c r="AO18" s="792">
        <f t="shared" si="11"/>
        <v>0.15714285714285714</v>
      </c>
      <c r="AP18" s="792">
        <f t="shared" si="12"/>
        <v>8.3978005365414887E-3</v>
      </c>
      <c r="AR18" s="888">
        <f t="shared" si="2"/>
        <v>27.685325264750379</v>
      </c>
      <c r="AS18" s="888">
        <f t="shared" si="2"/>
        <v>29.359165424739196</v>
      </c>
      <c r="AT18" s="888">
        <f t="shared" si="2"/>
        <v>20.710059171597635</v>
      </c>
      <c r="AU18" s="888">
        <f t="shared" si="2"/>
        <v>23.718887262079061</v>
      </c>
      <c r="AV18" s="888">
        <f t="shared" si="3"/>
        <v>101.47343712316628</v>
      </c>
      <c r="AW18" s="550">
        <f t="shared" si="4"/>
        <v>0</v>
      </c>
      <c r="AX18" s="888">
        <f t="shared" si="13"/>
        <v>101.47343712316628</v>
      </c>
    </row>
    <row r="19" spans="1:50" s="89" customFormat="1" ht="13.5" customHeight="1" x14ac:dyDescent="0.2">
      <c r="A19" s="462">
        <f>VLOOKUP(B19,Sheet1!$AQ$4:$AR$25,2,FALSE)</f>
        <v>0</v>
      </c>
      <c r="B19" s="95" t="str">
        <f>Sheet1!$K$13</f>
        <v>Oxfordshire</v>
      </c>
      <c r="C19" s="87"/>
      <c r="D19" s="96">
        <f>IF(Year1_Oxfordshire Year1_LAC_Start="","",Year1_Oxfordshire Year1_LAC_Start)</f>
        <v>289</v>
      </c>
      <c r="E19" s="96">
        <f>IF(Year2_Oxfordshire Year2_LAC_Start="","",Year2_Oxfordshire Year2_LAC_Start)</f>
        <v>357</v>
      </c>
      <c r="F19" s="96">
        <f>IF(Year3_Oxfordshire Year3_LAC_Start="","",Year3_Oxfordshire Year3_LAC_Start)</f>
        <v>353</v>
      </c>
      <c r="G19" s="96">
        <f>IF(Year4_Oxfordshire Year4_LAC_Start="","",Year4_Oxfordshire Year4_LAC_Start)</f>
        <v>303</v>
      </c>
      <c r="H19" s="97">
        <f>IF(Year5_Oxfordshire Year5_LAC_Start="","",Year5_Oxfordshire Year5_LAC_Start)</f>
        <v>355</v>
      </c>
      <c r="I19" s="337">
        <f t="shared" si="5"/>
        <v>6.3515934520107092E-2</v>
      </c>
      <c r="J19" s="98"/>
      <c r="K19" s="99">
        <f>IF(ISNUMBER(D19),D19/Population!D19*10000,NA())</f>
        <v>20.467422096317282</v>
      </c>
      <c r="L19" s="99">
        <f>IF(ISNUMBER(E19),E19/Population!E19*10000,NA())</f>
        <v>25.176304654442877</v>
      </c>
      <c r="M19" s="99">
        <f>IF(ISNUMBER(F19),F19/Population!F19*10000,NA())</f>
        <v>24.70258922323303</v>
      </c>
      <c r="N19" s="99">
        <f>IF(ISNUMBER(G19),G19/Population!G19*10000,NA())</f>
        <v>21.129707112970713</v>
      </c>
      <c r="O19" s="100">
        <f>IF(ISNUMBER(H19),H19/Population!H19*10000,NA())</f>
        <v>24.516574585635361</v>
      </c>
      <c r="P19" s="101">
        <f t="shared" si="6"/>
        <v>24.516574585635361</v>
      </c>
      <c r="Q19" s="886">
        <f t="shared" si="7"/>
        <v>12</v>
      </c>
      <c r="R19" s="69"/>
      <c r="S19" s="333">
        <f>IDACI!C18</f>
        <v>10.100000000000001</v>
      </c>
      <c r="T19" s="334">
        <f t="shared" si="0"/>
        <v>22.492703030571604</v>
      </c>
      <c r="U19" s="335">
        <f t="shared" si="8"/>
        <v>2.0238715550637565</v>
      </c>
      <c r="V19" s="124"/>
      <c r="W19" s="140"/>
      <c r="X19" s="149"/>
      <c r="Y19" s="1289" t="str">
        <f t="shared" si="1"/>
        <v>Oxfordshire</v>
      </c>
      <c r="Z19" s="815">
        <f>IF(ISNUMBER(H19),IDACI!D18,0)</f>
        <v>126119</v>
      </c>
      <c r="AA19" s="815">
        <f>IF(ISNUMBER(H19),IDACI!E18,0)</f>
        <v>12738.019000000002</v>
      </c>
      <c r="AB19" s="572">
        <f>IF(ISNUMBER(D19),Population!D19,"")</f>
        <v>141200</v>
      </c>
      <c r="AC19" s="572">
        <f>IF(ISNUMBER(E19),Population!E19,"")</f>
        <v>141800</v>
      </c>
      <c r="AD19" s="572">
        <f>IF(ISNUMBER(F19),Population!F19,"")</f>
        <v>142900</v>
      </c>
      <c r="AE19" s="572">
        <f>IF(ISNUMBER(G19),Population!G19,"")</f>
        <v>143400</v>
      </c>
      <c r="AF19" s="572">
        <f>IF(ISNUMBER(H19),Population!H19,"")</f>
        <v>144800</v>
      </c>
      <c r="AG19" s="95" t="s">
        <v>11</v>
      </c>
      <c r="AH19" s="225">
        <f t="shared" si="9"/>
        <v>24.516574585635361</v>
      </c>
      <c r="AI19" s="1187">
        <f t="shared" si="10"/>
        <v>12</v>
      </c>
      <c r="AJ19" s="199"/>
      <c r="AK19" s="156"/>
      <c r="AL19" s="792">
        <f t="shared" si="11"/>
        <v>0.23529411764705882</v>
      </c>
      <c r="AM19" s="792">
        <f t="shared" si="11"/>
        <v>-1.1204481792717087E-2</v>
      </c>
      <c r="AN19" s="792">
        <f t="shared" si="11"/>
        <v>-0.14164305949008499</v>
      </c>
      <c r="AO19" s="792">
        <f t="shared" si="11"/>
        <v>0.17161716171617161</v>
      </c>
      <c r="AP19" s="792">
        <f t="shared" si="12"/>
        <v>6.3515934520107092E-2</v>
      </c>
      <c r="AR19" s="888">
        <f t="shared" si="2"/>
        <v>25.176304654442877</v>
      </c>
      <c r="AS19" s="888">
        <f t="shared" si="2"/>
        <v>24.70258922323303</v>
      </c>
      <c r="AT19" s="888">
        <f t="shared" si="2"/>
        <v>21.129707112970713</v>
      </c>
      <c r="AU19" s="888">
        <f t="shared" si="2"/>
        <v>24.516574585635361</v>
      </c>
      <c r="AV19" s="888">
        <f t="shared" si="3"/>
        <v>95.525175576281981</v>
      </c>
      <c r="AW19" s="550">
        <f t="shared" si="4"/>
        <v>0</v>
      </c>
      <c r="AX19" s="888">
        <f t="shared" si="13"/>
        <v>95.525175576281981</v>
      </c>
    </row>
    <row r="20" spans="1:50" s="89" customFormat="1" ht="13.5" customHeight="1" x14ac:dyDescent="0.2">
      <c r="A20" s="462">
        <f>VLOOKUP(B20,Sheet1!$AQ$4:$AR$25,2,FALSE)</f>
        <v>0</v>
      </c>
      <c r="B20" s="95" t="str">
        <f>Sheet1!$K$14</f>
        <v>Portsmouth</v>
      </c>
      <c r="C20" s="87"/>
      <c r="D20" s="96">
        <f>IF(Year1_Portsmouth Year1_LAC_Start="","",Year1_Portsmouth Year1_LAC_Start)</f>
        <v>155</v>
      </c>
      <c r="E20" s="96">
        <f>IF(Year2_Portsmouth Year2_LAC_Start="","",Year2_Portsmouth Year2_LAC_Start)</f>
        <v>128</v>
      </c>
      <c r="F20" s="96">
        <f>IF(Year3_Portsmouth Year3_LAC_Start="","",Year3_Portsmouth Year3_LAC_Start)</f>
        <v>159</v>
      </c>
      <c r="G20" s="96">
        <f>IF(Year4_Portsmouth Year4_LAC_Start="","",Year4_Portsmouth Year4_LAC_Start)</f>
        <v>237</v>
      </c>
      <c r="H20" s="97">
        <f>IF(Year5_Portsmouth Year5_LAC_Start="","",Year5_Portsmouth Year5_LAC_Start)</f>
        <v>229</v>
      </c>
      <c r="I20" s="337">
        <f t="shared" si="5"/>
        <v>0.13120117877178722</v>
      </c>
      <c r="J20" s="98"/>
      <c r="K20" s="99">
        <f>IF(ISNUMBER(D20),D20/Population!D20*10000,NA())</f>
        <v>35.714285714285715</v>
      </c>
      <c r="L20" s="99">
        <f>IF(ISNUMBER(E20),E20/Population!E20*10000,NA())</f>
        <v>29.223744292237445</v>
      </c>
      <c r="M20" s="99">
        <f>IF(ISNUMBER(F20),F20/Population!F20*10000,NA())</f>
        <v>36.136363636363633</v>
      </c>
      <c r="N20" s="99">
        <f>IF(ISNUMBER(G20),G20/Population!G20*10000,NA())</f>
        <v>53.619909502262445</v>
      </c>
      <c r="O20" s="100">
        <f>IF(ISNUMBER(H20),H20/Population!H20*10000,NA())</f>
        <v>52.045454545454547</v>
      </c>
      <c r="P20" s="101">
        <f t="shared" si="6"/>
        <v>52.045454545454547</v>
      </c>
      <c r="Q20" s="886">
        <f t="shared" si="7"/>
        <v>19</v>
      </c>
      <c r="R20" s="69"/>
      <c r="S20" s="333">
        <f>IDACI!C19</f>
        <v>20.200000000000003</v>
      </c>
      <c r="T20" s="334">
        <f t="shared" si="0"/>
        <v>32.444499640619597</v>
      </c>
      <c r="U20" s="335">
        <f t="shared" si="8"/>
        <v>19.60095490483495</v>
      </c>
      <c r="V20" s="124"/>
      <c r="W20" s="140"/>
      <c r="X20" s="149"/>
      <c r="Y20" s="1289" t="str">
        <f t="shared" si="1"/>
        <v>Portsmouth</v>
      </c>
      <c r="Z20" s="815">
        <f>IF(ISNUMBER(H20),IDACI!D19,0)</f>
        <v>39325</v>
      </c>
      <c r="AA20" s="815">
        <f>IF(ISNUMBER(H20),IDACI!E19,0)</f>
        <v>7943.6500000000015</v>
      </c>
      <c r="AB20" s="572">
        <f>IF(ISNUMBER(D20),Population!D20,"")</f>
        <v>43400</v>
      </c>
      <c r="AC20" s="572">
        <f>IF(ISNUMBER(E20),Population!E20,"")</f>
        <v>43800</v>
      </c>
      <c r="AD20" s="572">
        <f>IF(ISNUMBER(F20),Population!F20,"")</f>
        <v>44000</v>
      </c>
      <c r="AE20" s="572">
        <f>IF(ISNUMBER(G20),Population!G20,"")</f>
        <v>44200</v>
      </c>
      <c r="AF20" s="572">
        <f>IF(ISNUMBER(H20),Population!H20,"")</f>
        <v>44000</v>
      </c>
      <c r="AG20" s="95" t="s">
        <v>12</v>
      </c>
      <c r="AH20" s="225">
        <f t="shared" si="9"/>
        <v>52.045454545454547</v>
      </c>
      <c r="AI20" s="1187">
        <f t="shared" si="10"/>
        <v>19</v>
      </c>
      <c r="AJ20" s="199"/>
      <c r="AK20" s="156"/>
      <c r="AL20" s="792">
        <f t="shared" si="11"/>
        <v>-0.17419354838709677</v>
      </c>
      <c r="AM20" s="792">
        <f t="shared" si="11"/>
        <v>0.2421875</v>
      </c>
      <c r="AN20" s="792">
        <f t="shared" si="11"/>
        <v>0.49056603773584906</v>
      </c>
      <c r="AO20" s="792">
        <f t="shared" si="11"/>
        <v>-3.3755274261603373E-2</v>
      </c>
      <c r="AP20" s="792">
        <f t="shared" si="12"/>
        <v>0.13120117877178722</v>
      </c>
      <c r="AR20" s="888">
        <f t="shared" si="2"/>
        <v>29.223744292237445</v>
      </c>
      <c r="AS20" s="888">
        <f t="shared" si="2"/>
        <v>36.136363636363633</v>
      </c>
      <c r="AT20" s="888">
        <f t="shared" si="2"/>
        <v>53.619909502262445</v>
      </c>
      <c r="AU20" s="888">
        <f t="shared" si="2"/>
        <v>52.045454545454547</v>
      </c>
      <c r="AV20" s="888">
        <f t="shared" si="3"/>
        <v>171.02547197631807</v>
      </c>
      <c r="AW20" s="550">
        <f t="shared" si="4"/>
        <v>0</v>
      </c>
      <c r="AX20" s="888">
        <f t="shared" si="13"/>
        <v>171.02547197631807</v>
      </c>
    </row>
    <row r="21" spans="1:50" s="89" customFormat="1" ht="13.5" customHeight="1" x14ac:dyDescent="0.2">
      <c r="A21" s="462">
        <f>VLOOKUP(B21,Sheet1!$AQ$4:$AR$25,2,FALSE)</f>
        <v>0</v>
      </c>
      <c r="B21" s="95" t="str">
        <f>Sheet1!$K$15</f>
        <v>Reading</v>
      </c>
      <c r="C21" s="87"/>
      <c r="D21" s="96">
        <f>IF(Year1_Reading Year1_LAC_Start="","",Year1_Reading Year1_LAC_Start)</f>
        <v>84</v>
      </c>
      <c r="E21" s="96">
        <f>IF(Year2_Reading Year2_LAC_Start="","",Year2_Reading Year2_LAC_Start)</f>
        <v>130</v>
      </c>
      <c r="F21" s="96">
        <f>IF(Year3_Reading Year3_LAC_Start="","",Year3_Reading Year3_LAC_Start)</f>
        <v>142</v>
      </c>
      <c r="G21" s="96">
        <f>IF(Year4_Reading Year4_LAC_Start="","",Year4_Reading Year4_LAC_Start)</f>
        <v>107</v>
      </c>
      <c r="H21" s="97">
        <f>IF(Year5_Reading Year5_LAC_Start="","",Year5_Reading Year5_LAC_Start)</f>
        <v>89</v>
      </c>
      <c r="I21" s="337">
        <f t="shared" si="5"/>
        <v>5.6305891905470702E-2</v>
      </c>
      <c r="J21" s="98"/>
      <c r="K21" s="99">
        <f>IF(ISNUMBER(D21),D21/Population!D21*10000,NA())</f>
        <v>23.398328690807801</v>
      </c>
      <c r="L21" s="99">
        <f>IF(ISNUMBER(E21),E21/Population!E21*10000,NA())</f>
        <v>35.714285714285715</v>
      </c>
      <c r="M21" s="99">
        <f>IF(ISNUMBER(F21),F21/Population!F21*10000,NA())</f>
        <v>38.797814207650276</v>
      </c>
      <c r="N21" s="99">
        <f>IF(ISNUMBER(G21),G21/Population!G21*10000,NA())</f>
        <v>28.840970350404316</v>
      </c>
      <c r="O21" s="100">
        <f>IF(ISNUMBER(H21),H21/Population!H21*10000,NA())</f>
        <v>23.989218328840973</v>
      </c>
      <c r="P21" s="101">
        <f t="shared" si="6"/>
        <v>23.989218328840973</v>
      </c>
      <c r="Q21" s="886">
        <f t="shared" si="7"/>
        <v>11</v>
      </c>
      <c r="R21" s="69"/>
      <c r="S21" s="333">
        <f>IDACI!C20</f>
        <v>16</v>
      </c>
      <c r="T21" s="334">
        <f t="shared" si="0"/>
        <v>28.306128773074882</v>
      </c>
      <c r="U21" s="335">
        <f t="shared" si="8"/>
        <v>-4.3169104442339084</v>
      </c>
      <c r="V21" s="124"/>
      <c r="W21" s="140"/>
      <c r="X21" s="149"/>
      <c r="Y21" s="1289" t="str">
        <f t="shared" si="1"/>
        <v>Reading</v>
      </c>
      <c r="Z21" s="815">
        <f>IF(ISNUMBER(H21),IDACI!D20,0)</f>
        <v>33203</v>
      </c>
      <c r="AA21" s="815">
        <f>IF(ISNUMBER(H21),IDACI!E20,0)</f>
        <v>5312.4800000000005</v>
      </c>
      <c r="AB21" s="572">
        <f>IF(ISNUMBER(D21),Population!D21,"")</f>
        <v>35900</v>
      </c>
      <c r="AC21" s="572">
        <f>IF(ISNUMBER(E21),Population!E21,"")</f>
        <v>36400</v>
      </c>
      <c r="AD21" s="572">
        <f>IF(ISNUMBER(F21),Population!F21,"")</f>
        <v>36600</v>
      </c>
      <c r="AE21" s="572">
        <f>IF(ISNUMBER(G21),Population!G21,"")</f>
        <v>37100</v>
      </c>
      <c r="AF21" s="572">
        <f>IF(ISNUMBER(H21),Population!H21,"")</f>
        <v>37100</v>
      </c>
      <c r="AG21" s="95" t="s">
        <v>3</v>
      </c>
      <c r="AH21" s="225">
        <f t="shared" si="9"/>
        <v>23.989218328840973</v>
      </c>
      <c r="AI21" s="1187">
        <f t="shared" si="10"/>
        <v>11</v>
      </c>
      <c r="AJ21" s="199"/>
      <c r="AK21" s="156"/>
      <c r="AL21" s="792">
        <f t="shared" si="11"/>
        <v>0.54761904761904767</v>
      </c>
      <c r="AM21" s="792">
        <f t="shared" si="11"/>
        <v>9.2307692307692313E-2</v>
      </c>
      <c r="AN21" s="792">
        <f t="shared" si="11"/>
        <v>-0.24647887323943662</v>
      </c>
      <c r="AO21" s="792">
        <f t="shared" si="11"/>
        <v>-0.16822429906542055</v>
      </c>
      <c r="AP21" s="792">
        <f t="shared" si="12"/>
        <v>5.6305891905470702E-2</v>
      </c>
      <c r="AR21" s="888">
        <f t="shared" si="2"/>
        <v>35.714285714285715</v>
      </c>
      <c r="AS21" s="888">
        <f t="shared" si="2"/>
        <v>38.797814207650276</v>
      </c>
      <c r="AT21" s="888">
        <f t="shared" si="2"/>
        <v>28.840970350404316</v>
      </c>
      <c r="AU21" s="888">
        <f t="shared" si="2"/>
        <v>23.989218328840973</v>
      </c>
      <c r="AV21" s="888">
        <f t="shared" si="3"/>
        <v>127.34228860118129</v>
      </c>
      <c r="AW21" s="550">
        <f t="shared" si="4"/>
        <v>0</v>
      </c>
      <c r="AX21" s="888">
        <f t="shared" si="13"/>
        <v>127.34228860118129</v>
      </c>
    </row>
    <row r="22" spans="1:50" s="89" customFormat="1" ht="13.5" customHeight="1" x14ac:dyDescent="0.2">
      <c r="A22" s="462">
        <f>VLOOKUP(B22,Sheet1!$AQ$4:$AR$25,2,FALSE)</f>
        <v>0</v>
      </c>
      <c r="B22" s="95" t="str">
        <f>Sheet1!$K$16</f>
        <v>Slough</v>
      </c>
      <c r="C22" s="87"/>
      <c r="D22" s="96">
        <f>IF(Year1_Slough Year1_LAC_Start="","",Year1_Slough Year1_LAC_Start)</f>
        <v>119</v>
      </c>
      <c r="E22" s="96">
        <f>IF(Year2_Slough Year2_LAC_Start="","",Year2_Slough Year2_LAC_Start)</f>
        <v>129</v>
      </c>
      <c r="F22" s="96">
        <f>IF(Year3_Slough Year3_LAC_Start="","",Year3_Slough Year3_LAC_Start)</f>
        <v>118</v>
      </c>
      <c r="G22" s="96">
        <f>IF(Year4_Slough Year4_LAC_Start="","",Year4_Slough Year4_LAC_Start)</f>
        <v>125</v>
      </c>
      <c r="H22" s="97">
        <f>IF(Year5_Slough Year5_LAC_Start="","",Year5_Slough Year5_LAC_Start)</f>
        <v>134</v>
      </c>
      <c r="I22" s="337">
        <f t="shared" si="5"/>
        <v>3.2521082378556471E-2</v>
      </c>
      <c r="J22" s="98"/>
      <c r="K22" s="99">
        <f>IF(ISNUMBER(D22),D22/Population!D22*10000,NA())</f>
        <v>29.824561403508774</v>
      </c>
      <c r="L22" s="99">
        <f>IF(ISNUMBER(E22),E22/Population!E22*10000,NA())</f>
        <v>31.773399014778324</v>
      </c>
      <c r="M22" s="99">
        <f>IF(ISNUMBER(F22),F22/Population!F22*10000,NA())</f>
        <v>28.5024154589372</v>
      </c>
      <c r="N22" s="99">
        <f>IF(ISNUMBER(G22),G22/Population!G22*10000,NA())</f>
        <v>29.620853080568718</v>
      </c>
      <c r="O22" s="100">
        <f>IF(ISNUMBER(H22),H22/Population!H22*10000,NA())</f>
        <v>31.381733021077284</v>
      </c>
      <c r="P22" s="101">
        <f t="shared" si="6"/>
        <v>31.381733021077284</v>
      </c>
      <c r="Q22" s="886">
        <f t="shared" si="7"/>
        <v>17</v>
      </c>
      <c r="R22" s="69"/>
      <c r="S22" s="333">
        <f>IDACI!C21</f>
        <v>14.7</v>
      </c>
      <c r="T22" s="334">
        <f t="shared" si="0"/>
        <v>27.025204456930091</v>
      </c>
      <c r="U22" s="335">
        <f t="shared" si="8"/>
        <v>4.3565285641471938</v>
      </c>
      <c r="V22" s="124"/>
      <c r="W22" s="140"/>
      <c r="X22" s="149"/>
      <c r="Y22" s="1289" t="str">
        <f t="shared" si="1"/>
        <v>Slough</v>
      </c>
      <c r="Z22" s="815">
        <f>IF(ISNUMBER(H22),IDACI!D21,0)</f>
        <v>37031</v>
      </c>
      <c r="AA22" s="815">
        <f>IF(ISNUMBER(H22),IDACI!E21,0)</f>
        <v>5443.5569999999998</v>
      </c>
      <c r="AB22" s="572">
        <f>IF(ISNUMBER(D22),Population!D22,"")</f>
        <v>39900</v>
      </c>
      <c r="AC22" s="572">
        <f>IF(ISNUMBER(E22),Population!E22,"")</f>
        <v>40600</v>
      </c>
      <c r="AD22" s="572">
        <f>IF(ISNUMBER(F22),Population!F22,"")</f>
        <v>41400</v>
      </c>
      <c r="AE22" s="572">
        <f>IF(ISNUMBER(G22),Population!G22,"")</f>
        <v>42200</v>
      </c>
      <c r="AF22" s="572">
        <f>IF(ISNUMBER(H22),Population!H22,"")</f>
        <v>42700</v>
      </c>
      <c r="AG22" s="95" t="s">
        <v>13</v>
      </c>
      <c r="AH22" s="225">
        <f t="shared" si="9"/>
        <v>31.381733021077284</v>
      </c>
      <c r="AI22" s="1187">
        <f t="shared" si="10"/>
        <v>17</v>
      </c>
      <c r="AJ22" s="199"/>
      <c r="AK22" s="156"/>
      <c r="AL22" s="792">
        <f t="shared" si="11"/>
        <v>8.4033613445378158E-2</v>
      </c>
      <c r="AM22" s="792">
        <f t="shared" si="11"/>
        <v>-8.5271317829457363E-2</v>
      </c>
      <c r="AN22" s="792">
        <f t="shared" si="11"/>
        <v>5.9322033898305086E-2</v>
      </c>
      <c r="AO22" s="792">
        <f t="shared" si="11"/>
        <v>7.1999999999999995E-2</v>
      </c>
      <c r="AP22" s="792">
        <f t="shared" si="12"/>
        <v>3.2521082378556471E-2</v>
      </c>
      <c r="AR22" s="888">
        <f t="shared" si="2"/>
        <v>31.773399014778324</v>
      </c>
      <c r="AS22" s="888">
        <f t="shared" si="2"/>
        <v>28.5024154589372</v>
      </c>
      <c r="AT22" s="888">
        <f t="shared" si="2"/>
        <v>29.620853080568718</v>
      </c>
      <c r="AU22" s="888">
        <f t="shared" si="2"/>
        <v>31.381733021077284</v>
      </c>
      <c r="AV22" s="888">
        <f t="shared" si="3"/>
        <v>121.27840057536153</v>
      </c>
      <c r="AW22" s="550">
        <f t="shared" si="4"/>
        <v>0</v>
      </c>
      <c r="AX22" s="888">
        <f t="shared" si="13"/>
        <v>121.27840057536153</v>
      </c>
    </row>
    <row r="23" spans="1:50" s="89" customFormat="1" ht="13.5" customHeight="1" x14ac:dyDescent="0.2">
      <c r="A23" s="462">
        <f>VLOOKUP(B23,Sheet1!$AQ$4:$AR$25,2,FALSE)</f>
        <v>0</v>
      </c>
      <c r="B23" s="95" t="str">
        <f>Sheet1!$K$17</f>
        <v>Somerset</v>
      </c>
      <c r="C23" s="87"/>
      <c r="D23" s="96">
        <f>IF(Year1_Somerset Year1_LAC_Start="","",Year1_Somerset Year1_LAC_Start)</f>
        <v>287</v>
      </c>
      <c r="E23" s="96">
        <f>IF(Year2_Somerset Year2_LAC_Start="","",Year2_Somerset Year2_LAC_Start)</f>
        <v>235</v>
      </c>
      <c r="F23" s="96">
        <f>IF(Year3_Somerset Year3_LAC_Start="","",Year3_Somerset Year3_LAC_Start)</f>
        <v>230</v>
      </c>
      <c r="G23" s="96">
        <f>IF(Year4_Somerset Year4_LAC_Start="","",Year4_Somerset Year4_LAC_Start)</f>
        <v>258</v>
      </c>
      <c r="H23" s="97">
        <f>IF(Year5_Somerset Year5_LAC_Start="","",Year5_Somerset Year5_LAC_Start)</f>
        <v>194</v>
      </c>
      <c r="I23" s="337">
        <f t="shared" si="5"/>
        <v>-8.2196037450830317E-2</v>
      </c>
      <c r="J23" s="98"/>
      <c r="K23" s="99">
        <f>IF(ISNUMBER(D23),D23/Population!D23*10000,NA())</f>
        <v>26.354453627180902</v>
      </c>
      <c r="L23" s="99">
        <f>IF(ISNUMBER(E23),E23/Population!E23*10000,NA())</f>
        <v>21.520146520146522</v>
      </c>
      <c r="M23" s="99">
        <f>IF(ISNUMBER(F23),F23/Population!F23*10000,NA())</f>
        <v>20.966271649954422</v>
      </c>
      <c r="N23" s="99">
        <f>IF(ISNUMBER(G23),G23/Population!G23*10000,NA())</f>
        <v>23.43324250681199</v>
      </c>
      <c r="O23" s="100">
        <f>IF(ISNUMBER(H23),H23/Population!H23*10000,NA())</f>
        <v>17.524841915085815</v>
      </c>
      <c r="P23" s="101">
        <f t="shared" si="6"/>
        <v>17.524841915085815</v>
      </c>
      <c r="Q23" s="363" t="str">
        <f t="shared" si="7"/>
        <v>--</v>
      </c>
      <c r="R23" s="69"/>
      <c r="S23" s="333">
        <f>IDACI!C22</f>
        <v>13.600000000000001</v>
      </c>
      <c r="T23" s="334">
        <f t="shared" si="0"/>
        <v>25.941345420192192</v>
      </c>
      <c r="U23" s="335">
        <f t="shared" si="8"/>
        <v>-8.4165035051063768</v>
      </c>
      <c r="V23" s="124"/>
      <c r="W23" s="140"/>
      <c r="X23" s="149"/>
      <c r="Y23" s="1289" t="str">
        <f t="shared" si="1"/>
        <v>Somerset</v>
      </c>
      <c r="Z23" s="815">
        <f>IF(ISNUMBER(H23),IDACI!D22,0)</f>
        <v>95875</v>
      </c>
      <c r="AA23" s="815">
        <f>IF(ISNUMBER(H23),IDACI!E22,0)</f>
        <v>13039.000000000002</v>
      </c>
      <c r="AB23" s="572">
        <f>IF(ISNUMBER(D23),Population!D23,"")</f>
        <v>108900</v>
      </c>
      <c r="AC23" s="572">
        <f>IF(ISNUMBER(E23),Population!E23,"")</f>
        <v>109200</v>
      </c>
      <c r="AD23" s="572">
        <f>IF(ISNUMBER(F23),Population!F23,"")</f>
        <v>109700</v>
      </c>
      <c r="AE23" s="572">
        <f>IF(ISNUMBER(G23),Population!G23,"")</f>
        <v>110100</v>
      </c>
      <c r="AF23" s="572">
        <f>IF(ISNUMBER(H23),Population!H23,"")</f>
        <v>110700</v>
      </c>
      <c r="AG23" s="95" t="s">
        <v>14</v>
      </c>
      <c r="AH23" s="225">
        <f t="shared" si="9"/>
        <v>33.464566929133859</v>
      </c>
      <c r="AI23" s="1187">
        <f t="shared" si="10"/>
        <v>18</v>
      </c>
      <c r="AJ23" s="199"/>
      <c r="AK23" s="156"/>
      <c r="AL23" s="792">
        <f t="shared" si="11"/>
        <v>-0.18118466898954705</v>
      </c>
      <c r="AM23" s="792">
        <f t="shared" si="11"/>
        <v>-2.1276595744680851E-2</v>
      </c>
      <c r="AN23" s="792">
        <f t="shared" si="11"/>
        <v>0.12173913043478261</v>
      </c>
      <c r="AO23" s="792">
        <f t="shared" si="11"/>
        <v>-0.24806201550387597</v>
      </c>
      <c r="AP23" s="792">
        <f t="shared" si="12"/>
        <v>-8.2196037450830317E-2</v>
      </c>
      <c r="AR23" s="888">
        <f t="shared" si="2"/>
        <v>21.520146520146522</v>
      </c>
      <c r="AS23" s="888">
        <f t="shared" si="2"/>
        <v>20.966271649954422</v>
      </c>
      <c r="AT23" s="888">
        <f t="shared" si="2"/>
        <v>23.43324250681199</v>
      </c>
      <c r="AU23" s="888">
        <f>IF(ISNUMBER(O23),O23,"")</f>
        <v>17.524841915085815</v>
      </c>
      <c r="AV23" s="888">
        <f>SUM(AR23:AU23)</f>
        <v>83.444502591998756</v>
      </c>
      <c r="AW23" s="550">
        <f>COUNTBLANK(AR23:AU23)</f>
        <v>0</v>
      </c>
      <c r="AX23" s="888">
        <f>AV23/(4-AW23)*4</f>
        <v>83.444502591998756</v>
      </c>
    </row>
    <row r="24" spans="1:50" s="89" customFormat="1" ht="13.5" customHeight="1" x14ac:dyDescent="0.2">
      <c r="A24" s="462">
        <f>VLOOKUP(B24,Sheet1!$AQ$4:$AR$25,2,FALSE)</f>
        <v>0</v>
      </c>
      <c r="B24" s="95" t="str">
        <f>Sheet1!$K$18</f>
        <v>Southampton</v>
      </c>
      <c r="C24" s="87"/>
      <c r="D24" s="96">
        <f>IF(Year1_Southampton Year1_LAC_Start="","",Year1_Southampton Year1_LAC_Start)</f>
        <v>266</v>
      </c>
      <c r="E24" s="96">
        <f>IF(Year2_Southampton Year2_LAC_Start="","",Year2_Southampton Year2_LAC_Start)</f>
        <v>214</v>
      </c>
      <c r="F24" s="96">
        <f>IF(Year3_Southampton Year3_LAC_Start="","",Year3_Southampton Year3_LAC_Start)</f>
        <v>168</v>
      </c>
      <c r="G24" s="96">
        <f>IF(Year4_Southampton Year4_LAC_Start="","",Year4_Southampton Year4_LAC_Start)</f>
        <v>178</v>
      </c>
      <c r="H24" s="97">
        <f>IF(Year5_Southampton Year5_LAC_Start="","",Year5_Southampton Year5_LAC_Start)</f>
        <v>170</v>
      </c>
      <c r="I24" s="337">
        <f t="shared" si="5"/>
        <v>-9.896550088336456E-2</v>
      </c>
      <c r="J24" s="98"/>
      <c r="K24" s="99">
        <f>IF(ISNUMBER(D24),D24/Population!D24*10000,NA())</f>
        <v>54.732510288065839</v>
      </c>
      <c r="L24" s="99">
        <f>IF(ISNUMBER(E24),E24/Population!E24*10000,NA())</f>
        <v>43.495934959349597</v>
      </c>
      <c r="M24" s="99">
        <f>IF(ISNUMBER(F24),F24/Population!F24*10000,NA())</f>
        <v>33.667334669338679</v>
      </c>
      <c r="N24" s="99">
        <f>IF(ISNUMBER(G24),G24/Population!G24*10000,NA())</f>
        <v>35.387673956262425</v>
      </c>
      <c r="O24" s="100">
        <f>IF(ISNUMBER(H24),H24/Population!H24*10000,NA())</f>
        <v>33.464566929133859</v>
      </c>
      <c r="P24" s="101">
        <f t="shared" si="6"/>
        <v>33.464566929133859</v>
      </c>
      <c r="Q24" s="886">
        <f t="shared" si="7"/>
        <v>18</v>
      </c>
      <c r="R24" s="69"/>
      <c r="S24" s="333">
        <f>IDACI!C23</f>
        <v>20.5</v>
      </c>
      <c r="T24" s="334">
        <f t="shared" si="0"/>
        <v>32.740097559729932</v>
      </c>
      <c r="U24" s="335">
        <f t="shared" si="8"/>
        <v>0.72446936940392703</v>
      </c>
      <c r="V24" s="124"/>
      <c r="W24" s="140"/>
      <c r="X24" s="149"/>
      <c r="Y24" s="1289" t="str">
        <f t="shared" si="1"/>
        <v>Southampton</v>
      </c>
      <c r="Z24" s="815">
        <f>IF(ISNUMBER(H24),IDACI!D23,0)</f>
        <v>44295</v>
      </c>
      <c r="AA24" s="815">
        <f>IF(ISNUMBER(H24),IDACI!E23,0)</f>
        <v>9080.4750000000004</v>
      </c>
      <c r="AB24" s="572">
        <f>IF(ISNUMBER(D24),Population!D24,"")</f>
        <v>48600</v>
      </c>
      <c r="AC24" s="572">
        <f>IF(ISNUMBER(E24),Population!E24,"")</f>
        <v>49200</v>
      </c>
      <c r="AD24" s="572">
        <f>IF(ISNUMBER(F24),Population!F24,"")</f>
        <v>49900</v>
      </c>
      <c r="AE24" s="572">
        <f>IF(ISNUMBER(G24),Population!G24,"")</f>
        <v>50300</v>
      </c>
      <c r="AF24" s="572">
        <f>IF(ISNUMBER(H24),Population!H24,"")</f>
        <v>50800</v>
      </c>
      <c r="AG24" s="95" t="s">
        <v>7</v>
      </c>
      <c r="AH24" s="225">
        <f t="shared" si="9"/>
        <v>16.60939289805269</v>
      </c>
      <c r="AI24" s="1187">
        <f t="shared" si="10"/>
        <v>2</v>
      </c>
      <c r="AJ24" s="199"/>
      <c r="AK24" s="156"/>
      <c r="AL24" s="792">
        <f t="shared" si="11"/>
        <v>-0.19548872180451127</v>
      </c>
      <c r="AM24" s="792">
        <f t="shared" si="11"/>
        <v>-0.21495327102803738</v>
      </c>
      <c r="AN24" s="792">
        <f t="shared" si="11"/>
        <v>5.9523809523809521E-2</v>
      </c>
      <c r="AO24" s="792">
        <f t="shared" si="11"/>
        <v>-4.49438202247191E-2</v>
      </c>
      <c r="AP24" s="792">
        <f t="shared" si="12"/>
        <v>-9.896550088336456E-2</v>
      </c>
      <c r="AR24" s="888">
        <f t="shared" si="2"/>
        <v>43.495934959349597</v>
      </c>
      <c r="AS24" s="888">
        <f t="shared" si="2"/>
        <v>33.667334669338679</v>
      </c>
      <c r="AT24" s="888">
        <f t="shared" si="2"/>
        <v>35.387673956262425</v>
      </c>
      <c r="AU24" s="888">
        <f t="shared" si="2"/>
        <v>33.464566929133859</v>
      </c>
      <c r="AV24" s="888">
        <f t="shared" ref="AV24:AV33" si="14">SUM(AR24:AU24)</f>
        <v>146.01551051408458</v>
      </c>
      <c r="AW24" s="550">
        <f t="shared" ref="AW24:AW33" si="15">COUNTBLANK(AR24:AU24)</f>
        <v>0</v>
      </c>
      <c r="AX24" s="888">
        <f t="shared" si="13"/>
        <v>146.01551051408458</v>
      </c>
    </row>
    <row r="25" spans="1:50" s="89" customFormat="1" ht="13.5" customHeight="1" x14ac:dyDescent="0.2">
      <c r="A25" s="462">
        <f>VLOOKUP(B25,Sheet1!$AQ$4:$AR$25,2,FALSE)</f>
        <v>0</v>
      </c>
      <c r="B25" s="95" t="str">
        <f>Sheet1!$K$19</f>
        <v>Surrey</v>
      </c>
      <c r="C25" s="87"/>
      <c r="D25" s="96">
        <f>IF(Year1_Surrey Year1_LAC_Start="","",Year1_Surrey Year1_LAC_Start)</f>
        <v>348</v>
      </c>
      <c r="E25" s="96">
        <f>IF(Year2_Surrey Year2_LAC_Start="","",Year2_Surrey Year2_LAC_Start)</f>
        <v>489</v>
      </c>
      <c r="F25" s="96">
        <f>IF(Year3_Surrey Year3_LAC_Start="","",Year3_Surrey Year3_LAC_Start)</f>
        <v>410</v>
      </c>
      <c r="G25" s="96">
        <f>IF(Year4_Surrey Year4_LAC_Start="","",Year4_Surrey Year4_LAC_Start)</f>
        <v>456</v>
      </c>
      <c r="H25" s="97">
        <f>IF(Year5_Surrey Year5_LAC_Start="","",Year5_Surrey Year5_LAC_Start)</f>
        <v>435</v>
      </c>
      <c r="I25" s="337">
        <f t="shared" si="5"/>
        <v>7.7440177984084188E-2</v>
      </c>
      <c r="J25" s="98"/>
      <c r="K25" s="99">
        <f>IF(ISNUMBER(D25),D25/Population!D25*10000,NA())</f>
        <v>13.668499607227021</v>
      </c>
      <c r="L25" s="99">
        <f>IF(ISNUMBER(E25),E25/Population!E25*10000,NA())</f>
        <v>19.071762870514821</v>
      </c>
      <c r="M25" s="99">
        <f>IF(ISNUMBER(F25),F25/Population!F25*10000,NA())</f>
        <v>15.830115830115831</v>
      </c>
      <c r="N25" s="99">
        <f>IF(ISNUMBER(G25),G25/Population!G25*10000,NA())</f>
        <v>17.518248175182482</v>
      </c>
      <c r="O25" s="100">
        <f>IF(ISNUMBER(H25),H25/Population!H25*10000,NA())</f>
        <v>16.60939289805269</v>
      </c>
      <c r="P25" s="101">
        <f t="shared" si="6"/>
        <v>16.60939289805269</v>
      </c>
      <c r="Q25" s="886">
        <f t="shared" si="7"/>
        <v>2</v>
      </c>
      <c r="R25" s="69"/>
      <c r="S25" s="333">
        <f>IDACI!C24</f>
        <v>8.3000000000000007</v>
      </c>
      <c r="T25" s="334">
        <f t="shared" si="0"/>
        <v>20.719115515909586</v>
      </c>
      <c r="U25" s="335">
        <f t="shared" si="8"/>
        <v>-4.109722617856896</v>
      </c>
      <c r="V25" s="124"/>
      <c r="W25" s="140"/>
      <c r="X25" s="149"/>
      <c r="Y25" s="1289" t="str">
        <f t="shared" si="1"/>
        <v>Surrey</v>
      </c>
      <c r="Z25" s="815">
        <f>IF(ISNUMBER(H25),IDACI!D24,0)</f>
        <v>228466</v>
      </c>
      <c r="AA25" s="815">
        <f>IF(ISNUMBER(H25),IDACI!E24,0)</f>
        <v>18962.678</v>
      </c>
      <c r="AB25" s="572">
        <f>IF(ISNUMBER(D25),Population!D25,"")</f>
        <v>254600</v>
      </c>
      <c r="AC25" s="572">
        <f>IF(ISNUMBER(E25),Population!E25,"")</f>
        <v>256400</v>
      </c>
      <c r="AD25" s="572">
        <f>IF(ISNUMBER(F25),Population!F25,"")</f>
        <v>259000</v>
      </c>
      <c r="AE25" s="572">
        <f>IF(ISNUMBER(G25),Population!G25,"")</f>
        <v>260300</v>
      </c>
      <c r="AF25" s="572">
        <f>IF(ISNUMBER(H25),Population!H25,"")</f>
        <v>261900</v>
      </c>
      <c r="AG25" s="95" t="s">
        <v>15</v>
      </c>
      <c r="AH25" s="225">
        <f t="shared" si="9"/>
        <v>22.191011235955056</v>
      </c>
      <c r="AI25" s="1187">
        <f t="shared" si="10"/>
        <v>8</v>
      </c>
      <c r="AJ25" s="199"/>
      <c r="AK25" s="156"/>
      <c r="AL25" s="792">
        <f t="shared" si="11"/>
        <v>0.40517241379310343</v>
      </c>
      <c r="AM25" s="792">
        <f t="shared" si="11"/>
        <v>-0.16155419222903886</v>
      </c>
      <c r="AN25" s="792">
        <f t="shared" si="11"/>
        <v>0.11219512195121951</v>
      </c>
      <c r="AO25" s="792">
        <f t="shared" si="11"/>
        <v>-4.6052631578947366E-2</v>
      </c>
      <c r="AP25" s="792">
        <f t="shared" si="12"/>
        <v>7.7440177984084188E-2</v>
      </c>
      <c r="AR25" s="888">
        <f t="shared" si="2"/>
        <v>19.071762870514821</v>
      </c>
      <c r="AS25" s="888">
        <f t="shared" si="2"/>
        <v>15.830115830115831</v>
      </c>
      <c r="AT25" s="888">
        <f t="shared" si="2"/>
        <v>17.518248175182482</v>
      </c>
      <c r="AU25" s="888">
        <f t="shared" si="2"/>
        <v>16.60939289805269</v>
      </c>
      <c r="AV25" s="888">
        <f t="shared" si="14"/>
        <v>69.029519773865829</v>
      </c>
      <c r="AW25" s="550">
        <f t="shared" si="15"/>
        <v>0</v>
      </c>
      <c r="AX25" s="888">
        <f t="shared" si="13"/>
        <v>69.029519773865829</v>
      </c>
    </row>
    <row r="26" spans="1:50" s="89" customFormat="1" ht="13.5" customHeight="1" x14ac:dyDescent="0.2">
      <c r="A26" s="462">
        <f>VLOOKUP(B26,Sheet1!$AQ$4:$AR$25,2,FALSE)</f>
        <v>0</v>
      </c>
      <c r="B26" s="95" t="str">
        <f>Sheet1!$K$20</f>
        <v>Swindon</v>
      </c>
      <c r="C26" s="87"/>
      <c r="D26" s="96">
        <f>IF(Year1_Swindon Year1_LAC_Start="","",Year1_Swindon Year1_LAC_Start)</f>
        <v>130</v>
      </c>
      <c r="E26" s="96">
        <f>IF(Year2_Swindon Year2_LAC_Start="","",Year2_Swindon Year2_LAC_Start)</f>
        <v>181</v>
      </c>
      <c r="F26" s="96">
        <f>IF(Year3_Swindon Year3_LAC_Start="","",Year3_Swindon Year3_LAC_Start)</f>
        <v>182</v>
      </c>
      <c r="G26" s="96">
        <f>IF(Year4_Swindon Year4_LAC_Start="","",Year4_Swindon Year4_LAC_Start)</f>
        <v>178</v>
      </c>
      <c r="H26" s="97">
        <f>IF(Year5_Swindon Year5_LAC_Start="","",Year5_Swindon Year5_LAC_Start)</f>
        <v>137</v>
      </c>
      <c r="I26" s="337">
        <f t="shared" si="5"/>
        <v>3.6379363389109493E-2</v>
      </c>
      <c r="J26" s="98"/>
      <c r="K26" s="99">
        <f>IF(ISNUMBER(D26),D26/Population!D26*10000,NA())</f>
        <v>26.748971193415638</v>
      </c>
      <c r="L26" s="99">
        <f>IF(ISNUMBER(E26),E26/Population!E26*10000,NA())</f>
        <v>36.938775510204081</v>
      </c>
      <c r="M26" s="99">
        <f>IF(ISNUMBER(F26),F26/Population!F26*10000,NA())</f>
        <v>36.767676767676768</v>
      </c>
      <c r="N26" s="99">
        <f>IF(ISNUMBER(G26),G26/Population!G26*10000,NA())</f>
        <v>35.671342685370739</v>
      </c>
      <c r="O26" s="100">
        <f>IF(ISNUMBER(H26),H26/Population!H26*10000,NA())</f>
        <v>27.290836653386457</v>
      </c>
      <c r="P26" s="101">
        <f t="shared" si="6"/>
        <v>27.290836653386457</v>
      </c>
      <c r="Q26" s="363" t="str">
        <f t="shared" si="7"/>
        <v>--</v>
      </c>
      <c r="R26" s="69"/>
      <c r="S26" s="333">
        <f>IDACI!C25</f>
        <v>14.899999999999999</v>
      </c>
      <c r="T26" s="334">
        <f t="shared" si="0"/>
        <v>27.222269736336983</v>
      </c>
      <c r="U26" s="335">
        <f t="shared" si="8"/>
        <v>6.8566917049473375E-2</v>
      </c>
      <c r="V26" s="124"/>
      <c r="W26" s="140"/>
      <c r="X26" s="149"/>
      <c r="Y26" s="1289" t="str">
        <f t="shared" si="1"/>
        <v>Swindon</v>
      </c>
      <c r="Z26" s="815">
        <f>IF(ISNUMBER(H26),IDACI!D25,0)</f>
        <v>43899</v>
      </c>
      <c r="AA26" s="815">
        <f>IF(ISNUMBER(H26),IDACI!E25,0)</f>
        <v>6540.951</v>
      </c>
      <c r="AB26" s="572">
        <f>IF(ISNUMBER(D26),Population!D26,"")</f>
        <v>48600</v>
      </c>
      <c r="AC26" s="572">
        <f>IF(ISNUMBER(E26),Population!E26,"")</f>
        <v>49000</v>
      </c>
      <c r="AD26" s="572">
        <f>IF(ISNUMBER(F26),Population!F26,"")</f>
        <v>49500</v>
      </c>
      <c r="AE26" s="572">
        <f>IF(ISNUMBER(G26),Population!G26,"")</f>
        <v>49900</v>
      </c>
      <c r="AF26" s="572">
        <f>IF(ISNUMBER(H26),Population!H26,"")</f>
        <v>50200</v>
      </c>
      <c r="AG26" s="95" t="s">
        <v>5</v>
      </c>
      <c r="AH26" s="225">
        <f t="shared" si="9"/>
        <v>19.805380652547221</v>
      </c>
      <c r="AI26" s="1187">
        <f t="shared" si="10"/>
        <v>6</v>
      </c>
      <c r="AJ26" s="199"/>
      <c r="AK26" s="156"/>
      <c r="AL26" s="792">
        <f t="shared" si="11"/>
        <v>0.3923076923076923</v>
      </c>
      <c r="AM26" s="792">
        <f t="shared" si="11"/>
        <v>5.5248618784530384E-3</v>
      </c>
      <c r="AN26" s="792">
        <f t="shared" si="11"/>
        <v>-2.197802197802198E-2</v>
      </c>
      <c r="AO26" s="792">
        <f t="shared" si="11"/>
        <v>-0.2303370786516854</v>
      </c>
      <c r="AP26" s="792">
        <f t="shared" si="12"/>
        <v>3.6379363389109493E-2</v>
      </c>
      <c r="AR26" s="888">
        <f t="shared" ref="AR26:AU33" si="16">IF(ISNUMBER(L26),L26,"")</f>
        <v>36.938775510204081</v>
      </c>
      <c r="AS26" s="888">
        <f t="shared" si="16"/>
        <v>36.767676767676768</v>
      </c>
      <c r="AT26" s="888">
        <f t="shared" si="16"/>
        <v>35.671342685370739</v>
      </c>
      <c r="AU26" s="888">
        <f t="shared" si="16"/>
        <v>27.290836653386457</v>
      </c>
      <c r="AV26" s="888">
        <f t="shared" si="14"/>
        <v>136.66863161663807</v>
      </c>
      <c r="AW26" s="550">
        <f t="shared" si="15"/>
        <v>0</v>
      </c>
      <c r="AX26" s="888">
        <f t="shared" si="13"/>
        <v>136.66863161663807</v>
      </c>
    </row>
    <row r="27" spans="1:50" s="89" customFormat="1" ht="13.5" customHeight="1" x14ac:dyDescent="0.2">
      <c r="A27" s="462">
        <f>VLOOKUP(B27,Sheet1!$AQ$4:$AR$25,2,FALSE)</f>
        <v>0</v>
      </c>
      <c r="B27" s="95" t="str">
        <f>Sheet1!$K$21</f>
        <v>Torbay</v>
      </c>
      <c r="C27" s="87"/>
      <c r="D27" s="96">
        <f>IF(Year1_Torbay Year1_LAC_Start="","",Year1_Torbay Year1_LAC_Start)</f>
        <v>122</v>
      </c>
      <c r="E27" s="96">
        <f>IF(Year2_Torbay Year2_LAC_Start="","",Year2_Torbay Year2_LAC_Start)</f>
        <v>96</v>
      </c>
      <c r="F27" s="96">
        <f>IF(Year3_Torbay Year3_LAC_Start="","",Year3_Torbay Year3_LAC_Start)</f>
        <v>115</v>
      </c>
      <c r="G27" s="96">
        <f>IF(Year4_Torbay Year4_LAC_Start="","",Year4_Torbay Year4_LAC_Start)</f>
        <v>138</v>
      </c>
      <c r="H27" s="97">
        <f>IF(Year5_Torbay Year5_LAC_Start="","",Year5_Torbay Year5_LAC_Start)</f>
        <v>147</v>
      </c>
      <c r="I27" s="337">
        <f t="shared" si="5"/>
        <v>6.2504825968163466E-2</v>
      </c>
      <c r="J27" s="98"/>
      <c r="K27" s="99">
        <f>IF(ISNUMBER(D27),D27/Population!D27*10000,NA())</f>
        <v>48.605577689243027</v>
      </c>
      <c r="L27" s="99">
        <f>IF(ISNUMBER(E27),E27/Population!E27*10000,NA())</f>
        <v>38.095238095238095</v>
      </c>
      <c r="M27" s="99">
        <f>IF(ISNUMBER(F27),F27/Population!F27*10000,NA())</f>
        <v>45.275590551181104</v>
      </c>
      <c r="N27" s="99">
        <f>IF(ISNUMBER(G27),G27/Population!G27*10000,NA())</f>
        <v>54.330708661417319</v>
      </c>
      <c r="O27" s="100">
        <f>IF(ISNUMBER(H27),H27/Population!H27*10000,NA())</f>
        <v>57.874015748031496</v>
      </c>
      <c r="P27" s="101">
        <f t="shared" si="6"/>
        <v>57.874015748031496</v>
      </c>
      <c r="Q27" s="363" t="str">
        <f t="shared" si="7"/>
        <v>--</v>
      </c>
      <c r="R27" s="69"/>
      <c r="S27" s="333">
        <f>IDACI!C26</f>
        <v>21.9</v>
      </c>
      <c r="T27" s="334">
        <f t="shared" si="0"/>
        <v>34.119554515578159</v>
      </c>
      <c r="U27" s="335">
        <f t="shared" si="8"/>
        <v>23.754461232453338</v>
      </c>
      <c r="V27" s="124"/>
      <c r="W27" s="140"/>
      <c r="X27" s="149"/>
      <c r="Y27" s="1289" t="str">
        <f t="shared" si="1"/>
        <v>Torbay</v>
      </c>
      <c r="Z27" s="815">
        <f>IF(ISNUMBER(H27),IDACI!D26,0)</f>
        <v>22257</v>
      </c>
      <c r="AA27" s="815">
        <f>IF(ISNUMBER(H27),IDACI!E26,0)</f>
        <v>4874.2829999999994</v>
      </c>
      <c r="AB27" s="572">
        <f>IF(ISNUMBER(D27),Population!D27,"")</f>
        <v>25100</v>
      </c>
      <c r="AC27" s="572">
        <f>IF(ISNUMBER(E27),Population!E27,"")</f>
        <v>25200</v>
      </c>
      <c r="AD27" s="572">
        <f>IF(ISNUMBER(F27),Population!F27,"")</f>
        <v>25400</v>
      </c>
      <c r="AE27" s="572">
        <f>IF(ISNUMBER(G27),Population!G27,"")</f>
        <v>25400</v>
      </c>
      <c r="AF27" s="572">
        <f>IF(ISNUMBER(H27),Population!H27,"")</f>
        <v>25400</v>
      </c>
      <c r="AG27" s="95" t="s">
        <v>30</v>
      </c>
      <c r="AH27" s="225">
        <f t="shared" si="9"/>
        <v>18.786127167630056</v>
      </c>
      <c r="AI27" s="1187">
        <f t="shared" si="10"/>
        <v>5</v>
      </c>
      <c r="AJ27" s="199"/>
      <c r="AK27" s="156"/>
      <c r="AL27" s="792">
        <f t="shared" si="11"/>
        <v>-0.21311475409836064</v>
      </c>
      <c r="AM27" s="792">
        <f t="shared" si="11"/>
        <v>0.19791666666666666</v>
      </c>
      <c r="AN27" s="792">
        <f t="shared" si="11"/>
        <v>0.2</v>
      </c>
      <c r="AO27" s="792">
        <f t="shared" si="11"/>
        <v>6.5217391304347824E-2</v>
      </c>
      <c r="AP27" s="792">
        <f t="shared" si="12"/>
        <v>6.2504825968163466E-2</v>
      </c>
      <c r="AR27" s="888">
        <f t="shared" si="16"/>
        <v>38.095238095238095</v>
      </c>
      <c r="AS27" s="888">
        <f t="shared" si="16"/>
        <v>45.275590551181104</v>
      </c>
      <c r="AT27" s="888">
        <f t="shared" si="16"/>
        <v>54.330708661417319</v>
      </c>
      <c r="AU27" s="888">
        <f t="shared" si="16"/>
        <v>57.874015748031496</v>
      </c>
      <c r="AV27" s="888">
        <f t="shared" si="14"/>
        <v>195.57555305586803</v>
      </c>
      <c r="AW27" s="550">
        <f t="shared" si="15"/>
        <v>0</v>
      </c>
      <c r="AX27" s="888">
        <f t="shared" si="13"/>
        <v>195.57555305586803</v>
      </c>
    </row>
    <row r="28" spans="1:50" s="89" customFormat="1" ht="13.5" customHeight="1" x14ac:dyDescent="0.2">
      <c r="A28" s="462">
        <f>VLOOKUP(B28,Sheet1!$AQ$4:$AR$25,2,FALSE)</f>
        <v>0</v>
      </c>
      <c r="B28" s="95" t="str">
        <f>Sheet1!$K$22</f>
        <v>West Berkshire</v>
      </c>
      <c r="C28" s="87"/>
      <c r="D28" s="96">
        <f>IF(Year1_West_Berkshire Year1_LAC_Start="","",Year1_West_Berkshire Year1_LAC_Start)</f>
        <v>81</v>
      </c>
      <c r="E28" s="102">
        <f>IF(Year2_West_Berkshire Year2_LAC_Start="","",Year2_West_Berkshire Year2_LAC_Start)</f>
        <v>54</v>
      </c>
      <c r="F28" s="96">
        <f>IF(Year3_West_Berkshire Year3_LAC_Start="","",Year3_West_Berkshire Year3_LAC_Start)</f>
        <v>74</v>
      </c>
      <c r="G28" s="96">
        <f>IF(Year4_West_Berkshire Year4_LAC_Start="","",Year4_West_Berkshire Year4_LAC_Start)</f>
        <v>68</v>
      </c>
      <c r="H28" s="97">
        <f>IF(Year5_West_Berkshire Year5_LAC_Start="","",Year5_West_Berkshire Year5_LAC_Start)</f>
        <v>79</v>
      </c>
      <c r="I28" s="337">
        <f t="shared" si="5"/>
        <v>2.9430165459577225E-2</v>
      </c>
      <c r="J28" s="98"/>
      <c r="K28" s="99">
        <f>IF(ISNUMBER(D28),D28/Population!D28*10000,NA())</f>
        <v>22.752808988764045</v>
      </c>
      <c r="L28" s="99">
        <f>IF(ISNUMBER(E28),E28/Population!E28*10000,NA())</f>
        <v>15.126050420168067</v>
      </c>
      <c r="M28" s="99">
        <f>IF(ISNUMBER(F28),F28/Population!F28*10000,NA())</f>
        <v>20.612813370473539</v>
      </c>
      <c r="N28" s="99">
        <f>IF(ISNUMBER(G28),G28/Population!G28*10000,NA())</f>
        <v>18.994413407821231</v>
      </c>
      <c r="O28" s="100">
        <f>IF(ISNUMBER(H28),H28/Population!H28*10000,NA())</f>
        <v>22.191011235955056</v>
      </c>
      <c r="P28" s="101">
        <f t="shared" si="6"/>
        <v>22.191011235955056</v>
      </c>
      <c r="Q28" s="886">
        <f t="shared" si="7"/>
        <v>8</v>
      </c>
      <c r="R28" s="69"/>
      <c r="S28" s="333">
        <f>IDACI!C27</f>
        <v>8.6999999999999993</v>
      </c>
      <c r="T28" s="334">
        <f t="shared" si="0"/>
        <v>21.113246074723364</v>
      </c>
      <c r="U28" s="335">
        <f t="shared" si="8"/>
        <v>1.0777651612316923</v>
      </c>
      <c r="V28" s="124"/>
      <c r="W28" s="140"/>
      <c r="X28" s="149"/>
      <c r="Y28" s="1289" t="str">
        <f t="shared" si="1"/>
        <v>West Berkshire</v>
      </c>
      <c r="Z28" s="815">
        <f>IF(ISNUMBER(H28),IDACI!D27,0)</f>
        <v>31625</v>
      </c>
      <c r="AA28" s="815">
        <f>IF(ISNUMBER(H28),IDACI!E27,0)</f>
        <v>2751.375</v>
      </c>
      <c r="AB28" s="572">
        <f>IF(ISNUMBER(D28),Population!D28,"")</f>
        <v>35600</v>
      </c>
      <c r="AC28" s="572">
        <f>IF(ISNUMBER(E28),Population!E28,"")</f>
        <v>35700</v>
      </c>
      <c r="AD28" s="572">
        <f>IF(ISNUMBER(F28),Population!F28,"")</f>
        <v>35900</v>
      </c>
      <c r="AE28" s="572">
        <f>IF(ISNUMBER(G28),Population!G28,"")</f>
        <v>35800</v>
      </c>
      <c r="AF28" s="572">
        <f>IF(ISNUMBER(H28),Population!H28,"")</f>
        <v>35600</v>
      </c>
      <c r="AG28" s="95" t="s">
        <v>16</v>
      </c>
      <c r="AH28" s="225">
        <f t="shared" si="9"/>
        <v>15.69620253164557</v>
      </c>
      <c r="AI28" s="1187">
        <f t="shared" si="10"/>
        <v>1</v>
      </c>
      <c r="AJ28" s="199"/>
      <c r="AK28" s="156"/>
      <c r="AL28" s="792">
        <f t="shared" si="11"/>
        <v>-0.33333333333333331</v>
      </c>
      <c r="AM28" s="792">
        <f t="shared" si="11"/>
        <v>0.37037037037037035</v>
      </c>
      <c r="AN28" s="792">
        <f t="shared" si="11"/>
        <v>-8.1081081081081086E-2</v>
      </c>
      <c r="AO28" s="792">
        <f t="shared" si="11"/>
        <v>0.16176470588235295</v>
      </c>
      <c r="AP28" s="792">
        <f t="shared" si="12"/>
        <v>2.9430165459577225E-2</v>
      </c>
      <c r="AR28" s="888">
        <f t="shared" si="16"/>
        <v>15.126050420168067</v>
      </c>
      <c r="AS28" s="888">
        <f t="shared" si="16"/>
        <v>20.612813370473539</v>
      </c>
      <c r="AT28" s="888">
        <f t="shared" si="16"/>
        <v>18.994413407821231</v>
      </c>
      <c r="AU28" s="888">
        <f t="shared" si="16"/>
        <v>22.191011235955056</v>
      </c>
      <c r="AV28" s="888">
        <f t="shared" si="14"/>
        <v>76.924288434417889</v>
      </c>
      <c r="AW28" s="550">
        <f t="shared" si="15"/>
        <v>0</v>
      </c>
      <c r="AX28" s="888">
        <f t="shared" si="13"/>
        <v>76.924288434417889</v>
      </c>
    </row>
    <row r="29" spans="1:50" s="89" customFormat="1" ht="13.5" customHeight="1" x14ac:dyDescent="0.2">
      <c r="A29" s="462">
        <f>VLOOKUP(B29,Sheet1!$AQ$4:$AR$25,2,FALSE)</f>
        <v>0</v>
      </c>
      <c r="B29" s="95" t="str">
        <f>Sheet1!$K$23</f>
        <v>West Sussex</v>
      </c>
      <c r="C29" s="87"/>
      <c r="D29" s="96">
        <f>IF(Year1_West_Sussex Year1_LAC_Start="","",Year1_West_Sussex Year1_LAC_Start)</f>
        <v>366</v>
      </c>
      <c r="E29" s="102">
        <f>IF(Year2_West_Sussex Year2_LAC_Start="","",Year2_West_Sussex Year2_LAC_Start)</f>
        <v>380</v>
      </c>
      <c r="F29" s="96">
        <f>IF(Year3_West_Sussex Year3_LAC_Start="","",Year3_West_Sussex Year3_LAC_Start)</f>
        <v>377</v>
      </c>
      <c r="G29" s="96">
        <f>IF(Year4_West_Sussex Year4_LAC_Start="","",Year4_West_Sussex Year4_LAC_Start)</f>
        <v>378</v>
      </c>
      <c r="H29" s="97">
        <f>IF(Year5_West_Sussex Year5_LAC_Start="","",Year5_West_Sussex Year5_LAC_Start)</f>
        <v>346</v>
      </c>
      <c r="I29" s="337">
        <f t="shared" si="5"/>
        <v>-1.2911733871018032E-2</v>
      </c>
      <c r="J29" s="98"/>
      <c r="K29" s="99">
        <f>IF(ISNUMBER(D29),D29/Population!D29*10000,NA())</f>
        <v>21.682464454976305</v>
      </c>
      <c r="L29" s="99">
        <f>IF(ISNUMBER(E29),E29/Population!E29*10000,NA())</f>
        <v>22.300469483568076</v>
      </c>
      <c r="M29" s="99">
        <f>IF(ISNUMBER(F29),F29/Population!F29*10000,NA())</f>
        <v>21.944121071012809</v>
      </c>
      <c r="N29" s="99">
        <f>IF(ISNUMBER(G29),G29/Population!G29*10000,NA())</f>
        <v>21.811886901327181</v>
      </c>
      <c r="O29" s="100">
        <f>IF(ISNUMBER(H29),H29/Population!H29*10000,NA())</f>
        <v>19.805380652547221</v>
      </c>
      <c r="P29" s="101">
        <f t="shared" si="6"/>
        <v>19.805380652547221</v>
      </c>
      <c r="Q29" s="886">
        <f t="shared" si="7"/>
        <v>6</v>
      </c>
      <c r="R29" s="69"/>
      <c r="S29" s="333">
        <f>IDACI!C28</f>
        <v>11</v>
      </c>
      <c r="T29" s="334">
        <f t="shared" si="0"/>
        <v>23.37949678790261</v>
      </c>
      <c r="U29" s="335">
        <f t="shared" si="8"/>
        <v>-3.5741161353553892</v>
      </c>
      <c r="V29" s="124"/>
      <c r="W29" s="140"/>
      <c r="X29" s="149"/>
      <c r="Y29" s="1289" t="str">
        <f t="shared" si="1"/>
        <v>West Sussex</v>
      </c>
      <c r="Z29" s="815">
        <f>IF(ISNUMBER(H29),IDACI!D28,0)</f>
        <v>151487</v>
      </c>
      <c r="AA29" s="815">
        <f>IF(ISNUMBER(H29),IDACI!E28,0)</f>
        <v>16663.57</v>
      </c>
      <c r="AB29" s="572">
        <f>IF(ISNUMBER(D29),Population!D29,"")</f>
        <v>168800</v>
      </c>
      <c r="AC29" s="572">
        <f>IF(ISNUMBER(E29),Population!E29,"")</f>
        <v>170400</v>
      </c>
      <c r="AD29" s="572">
        <f>IF(ISNUMBER(F29),Population!F29,"")</f>
        <v>171800</v>
      </c>
      <c r="AE29" s="572">
        <f>IF(ISNUMBER(G29),Population!G29,"")</f>
        <v>173300</v>
      </c>
      <c r="AF29" s="572">
        <f>IF(ISNUMBER(H29),Population!H29,"")</f>
        <v>174700</v>
      </c>
      <c r="AG29" s="199"/>
      <c r="AH29" s="199"/>
      <c r="AI29" s="1284"/>
      <c r="AJ29" s="199"/>
      <c r="AK29" s="156"/>
      <c r="AL29" s="792">
        <f t="shared" si="11"/>
        <v>3.825136612021858E-2</v>
      </c>
      <c r="AM29" s="792">
        <f t="shared" si="11"/>
        <v>-7.8947368421052634E-3</v>
      </c>
      <c r="AN29" s="792">
        <f t="shared" si="11"/>
        <v>2.6525198938992041E-3</v>
      </c>
      <c r="AO29" s="792">
        <f t="shared" si="11"/>
        <v>-8.4656084656084651E-2</v>
      </c>
      <c r="AP29" s="792">
        <f t="shared" si="12"/>
        <v>-1.2911733871018032E-2</v>
      </c>
      <c r="AR29" s="888">
        <f t="shared" si="16"/>
        <v>22.300469483568076</v>
      </c>
      <c r="AS29" s="888">
        <f t="shared" si="16"/>
        <v>21.944121071012809</v>
      </c>
      <c r="AT29" s="888">
        <f t="shared" si="16"/>
        <v>21.811886901327181</v>
      </c>
      <c r="AU29" s="888">
        <f t="shared" si="16"/>
        <v>19.805380652547221</v>
      </c>
      <c r="AV29" s="888">
        <f t="shared" si="14"/>
        <v>85.861858108455294</v>
      </c>
      <c r="AW29" s="550">
        <f t="shared" si="15"/>
        <v>0</v>
      </c>
      <c r="AX29" s="888">
        <f t="shared" si="13"/>
        <v>85.861858108455294</v>
      </c>
    </row>
    <row r="30" spans="1:50" s="89" customFormat="1" ht="13.5" customHeight="1" x14ac:dyDescent="0.2">
      <c r="A30" s="462">
        <f>VLOOKUP(B30,Sheet1!$AQ$4:$AR$25,2,FALSE)</f>
        <v>0</v>
      </c>
      <c r="B30" s="95" t="str">
        <f>Sheet1!$K$24</f>
        <v>Windsor &amp; Maidenhead</v>
      </c>
      <c r="C30" s="87"/>
      <c r="D30" s="102">
        <f>IF(Year1_Windsor_Maidenhead Year1_LAC_Start="","",Year1_Windsor_Maidenhead Year1_LAC_Start)</f>
        <v>39</v>
      </c>
      <c r="E30" s="96">
        <f>IF(Year2_Windsor_Maidenhead Year2_LAC_Start="","",Year2_Windsor_Maidenhead Year2_LAC_Start)</f>
        <v>32</v>
      </c>
      <c r="F30" s="96">
        <f>IF(Year3_Windsor_Maidenhead Year3_LAC_Start="","",Year3_Windsor_Maidenhead Year3_LAC_Start)</f>
        <v>53</v>
      </c>
      <c r="G30" s="96">
        <f>IF(Year4_Windsor_Maidenhead Year4_LAC_Start="","",Year4_Windsor_Maidenhead Year4_LAC_Start)</f>
        <v>46</v>
      </c>
      <c r="H30" s="97">
        <f>IF(Year5_Windsor_Maidenhead Year5_LAC_Start="","",Year5_Windsor_Maidenhead Year5_LAC_Start)</f>
        <v>65</v>
      </c>
      <c r="I30" s="337">
        <f t="shared" si="5"/>
        <v>0.18943270676889423</v>
      </c>
      <c r="J30" s="98"/>
      <c r="K30" s="99">
        <f>IF(ISNUMBER(D30),D30/Population!D30*10000,NA())</f>
        <v>11.676646706586826</v>
      </c>
      <c r="L30" s="99">
        <f>IF(ISNUMBER(E30),E30/Population!E30*10000,NA())</f>
        <v>9.4955489614243334</v>
      </c>
      <c r="M30" s="99">
        <f>IF(ISNUMBER(F30),F30/Population!F30*10000,NA())</f>
        <v>15.497076023391813</v>
      </c>
      <c r="N30" s="99">
        <f>IF(ISNUMBER(G30),G30/Population!G30*10000,NA())</f>
        <v>13.372093023255815</v>
      </c>
      <c r="O30" s="100">
        <f>IF(ISNUMBER(H30),H30/Population!H30*10000,NA())</f>
        <v>18.786127167630056</v>
      </c>
      <c r="P30" s="101">
        <f t="shared" si="6"/>
        <v>18.786127167630056</v>
      </c>
      <c r="Q30" s="886">
        <f t="shared" si="7"/>
        <v>5</v>
      </c>
      <c r="R30" s="69"/>
      <c r="S30" s="333">
        <f>IDACI!C29</f>
        <v>6.7</v>
      </c>
      <c r="T30" s="334">
        <f t="shared" si="0"/>
        <v>19.142593280654456</v>
      </c>
      <c r="U30" s="335">
        <f t="shared" si="8"/>
        <v>-0.35646611302439979</v>
      </c>
      <c r="V30" s="124"/>
      <c r="W30" s="140"/>
      <c r="X30" s="149"/>
      <c r="Y30" s="1289" t="str">
        <f t="shared" si="1"/>
        <v>Windsor &amp; Maidenhead</v>
      </c>
      <c r="Z30" s="815">
        <f>IF(ISNUMBER(H30),IDACI!D29,0)</f>
        <v>29792</v>
      </c>
      <c r="AA30" s="815">
        <f>IF(ISNUMBER(H30),IDACI!E29,0)</f>
        <v>1996.0640000000001</v>
      </c>
      <c r="AB30" s="572">
        <f>IF(ISNUMBER(D30),Population!D30,"")</f>
        <v>33400</v>
      </c>
      <c r="AC30" s="572">
        <f>IF(ISNUMBER(E30),Population!E30,"")</f>
        <v>33700</v>
      </c>
      <c r="AD30" s="572">
        <f>IF(ISNUMBER(F30),Population!F30,"")</f>
        <v>34200</v>
      </c>
      <c r="AE30" s="572">
        <f>IF(ISNUMBER(G30),Population!G30,"")</f>
        <v>34400</v>
      </c>
      <c r="AF30" s="572">
        <f>IF(ISNUMBER(H30),Population!H30,"")</f>
        <v>34600</v>
      </c>
      <c r="AG30" s="199"/>
      <c r="AH30" s="199"/>
      <c r="AI30" s="1284"/>
      <c r="AJ30" s="199"/>
      <c r="AK30" s="156"/>
      <c r="AL30" s="792">
        <f t="shared" si="11"/>
        <v>-0.17948717948717949</v>
      </c>
      <c r="AM30" s="792">
        <f t="shared" si="11"/>
        <v>0.65625</v>
      </c>
      <c r="AN30" s="792">
        <f t="shared" si="11"/>
        <v>-0.13207547169811321</v>
      </c>
      <c r="AO30" s="792">
        <f t="shared" si="11"/>
        <v>0.41304347826086957</v>
      </c>
      <c r="AP30" s="792">
        <f t="shared" si="12"/>
        <v>0.18943270676889423</v>
      </c>
      <c r="AR30" s="888">
        <f t="shared" si="16"/>
        <v>9.4955489614243334</v>
      </c>
      <c r="AS30" s="888">
        <f t="shared" si="16"/>
        <v>15.497076023391813</v>
      </c>
      <c r="AT30" s="888">
        <f t="shared" si="16"/>
        <v>13.372093023255815</v>
      </c>
      <c r="AU30" s="888">
        <f t="shared" si="16"/>
        <v>18.786127167630056</v>
      </c>
      <c r="AV30" s="888">
        <f t="shared" si="14"/>
        <v>57.150845175702017</v>
      </c>
      <c r="AW30" s="550">
        <f t="shared" si="15"/>
        <v>0</v>
      </c>
      <c r="AX30" s="888">
        <f>AV30/(4-AW30)*4</f>
        <v>57.150845175702017</v>
      </c>
    </row>
    <row r="31" spans="1:50" s="89" customFormat="1" ht="13.5" customHeight="1" x14ac:dyDescent="0.2">
      <c r="A31" s="462">
        <f>VLOOKUP(B31,Sheet1!$AQ$4:$AR$25,2,FALSE)</f>
        <v>0</v>
      </c>
      <c r="B31" s="95" t="str">
        <f>Sheet1!$K$25</f>
        <v>Wokingham</v>
      </c>
      <c r="C31" s="87"/>
      <c r="D31" s="102">
        <f>IF(Year1_Wokingham Year1_LAC_Start="","",Year1_Wokingham Year1_LAC_Start)</f>
        <v>41</v>
      </c>
      <c r="E31" s="96">
        <f>IF(Year2_Wokingham Year2_LAC_Start="","",Year2_Wokingham Year2_LAC_Start)</f>
        <v>38</v>
      </c>
      <c r="F31" s="96">
        <f>IF(Year3_Wokingham Year3_LAC_Start="","",Year3_Wokingham Year3_LAC_Start)</f>
        <v>25</v>
      </c>
      <c r="G31" s="96">
        <f>IF(Year4_Wokingham Year4_LAC_Start="","",Year4_Wokingham Year4_LAC_Start)</f>
        <v>66</v>
      </c>
      <c r="H31" s="97">
        <f>IF(Year5_Wokingham Year5_LAC_Start="","",Year5_Wokingham Year5_LAC_Start)</f>
        <v>62</v>
      </c>
      <c r="I31" s="337">
        <f t="shared" si="5"/>
        <v>0.29102948613218188</v>
      </c>
      <c r="J31" s="98"/>
      <c r="K31" s="99">
        <f>IF(ISNUMBER(D31),D31/Population!D31*10000,NA())</f>
        <v>11.111111111111111</v>
      </c>
      <c r="L31" s="99">
        <f>IF(ISNUMBER(E31),E31/Population!E31*10000,NA())</f>
        <v>10.187667560321715</v>
      </c>
      <c r="M31" s="99">
        <f>IF(ISNUMBER(F31),F31/Population!F31*10000,NA())</f>
        <v>6.5789473684210522</v>
      </c>
      <c r="N31" s="99">
        <f>IF(ISNUMBER(G31),G31/Population!G31*10000,NA())</f>
        <v>17.054263565891471</v>
      </c>
      <c r="O31" s="100">
        <f>IF(ISNUMBER(H31),H31/Population!H31*10000,NA())</f>
        <v>15.69620253164557</v>
      </c>
      <c r="P31" s="101">
        <f t="shared" si="6"/>
        <v>15.69620253164557</v>
      </c>
      <c r="Q31" s="886">
        <f t="shared" si="7"/>
        <v>1</v>
      </c>
      <c r="R31" s="69"/>
      <c r="S31" s="333">
        <f>IDACI!C30</f>
        <v>5.6000000000000005</v>
      </c>
      <c r="T31" s="334">
        <f t="shared" si="0"/>
        <v>18.058734243916557</v>
      </c>
      <c r="U31" s="335">
        <f t="shared" si="8"/>
        <v>-2.3625317122709877</v>
      </c>
      <c r="V31" s="124"/>
      <c r="W31" s="140"/>
      <c r="X31" s="149"/>
      <c r="Y31" s="1289" t="str">
        <f t="shared" si="1"/>
        <v>Wokingham</v>
      </c>
      <c r="Z31" s="815">
        <f>IF(ISNUMBER(H31),IDACI!D30,0)</f>
        <v>33327</v>
      </c>
      <c r="AA31" s="815">
        <f>IF(ISNUMBER(H31),IDACI!E30,0)</f>
        <v>1866.3120000000004</v>
      </c>
      <c r="AB31" s="572">
        <f>IF(ISNUMBER(D31),Population!D31,"")</f>
        <v>36900</v>
      </c>
      <c r="AC31" s="572">
        <f>IF(ISNUMBER(E31),Population!E31,"")</f>
        <v>37300</v>
      </c>
      <c r="AD31" s="572">
        <f>IF(ISNUMBER(F31),Population!F31,"")</f>
        <v>38000</v>
      </c>
      <c r="AE31" s="572">
        <f>IF(ISNUMBER(G31),Population!G31,"")</f>
        <v>38700</v>
      </c>
      <c r="AF31" s="572">
        <f>IF(ISNUMBER(H31),Population!H31,"")</f>
        <v>39500</v>
      </c>
      <c r="AG31" s="199"/>
      <c r="AH31" s="199"/>
      <c r="AI31" s="1284"/>
      <c r="AJ31" s="199"/>
      <c r="AK31" s="156"/>
      <c r="AL31" s="792">
        <f t="shared" si="11"/>
        <v>-7.3170731707317069E-2</v>
      </c>
      <c r="AM31" s="792">
        <f t="shared" si="11"/>
        <v>-0.34210526315789475</v>
      </c>
      <c r="AN31" s="792">
        <f t="shared" si="11"/>
        <v>1.64</v>
      </c>
      <c r="AO31" s="792">
        <f t="shared" si="11"/>
        <v>-6.0606060606060608E-2</v>
      </c>
      <c r="AP31" s="792">
        <f t="shared" si="12"/>
        <v>0.29102948613218188</v>
      </c>
      <c r="AR31" s="888">
        <f t="shared" si="16"/>
        <v>10.187667560321715</v>
      </c>
      <c r="AS31" s="888">
        <f t="shared" si="16"/>
        <v>6.5789473684210522</v>
      </c>
      <c r="AT31" s="888">
        <f t="shared" si="16"/>
        <v>17.054263565891471</v>
      </c>
      <c r="AU31" s="888">
        <f t="shared" si="16"/>
        <v>15.69620253164557</v>
      </c>
      <c r="AV31" s="888">
        <f t="shared" si="14"/>
        <v>49.517081026279811</v>
      </c>
      <c r="AW31" s="550">
        <f t="shared" si="15"/>
        <v>0</v>
      </c>
      <c r="AX31" s="888">
        <f t="shared" si="13"/>
        <v>49.517081026279811</v>
      </c>
    </row>
    <row r="32" spans="1:50" s="89" customFormat="1" ht="13.5" customHeight="1" x14ac:dyDescent="0.2">
      <c r="A32" s="123"/>
      <c r="B32" s="131" t="str">
        <f>Sheet1!$K$26</f>
        <v>South East</v>
      </c>
      <c r="C32" s="87"/>
      <c r="D32" s="132">
        <f>IF(Year1_SouthEast Year1_LAC_Start="","",Year1_SouthEast Year1_LAC_Start)</f>
        <v>4340</v>
      </c>
      <c r="E32" s="132">
        <f>IF(Year2_SouthEast Year2_LAC_Start="","",Year2_SouthEast Year2_LAC_Start)</f>
        <v>5120</v>
      </c>
      <c r="F32" s="132">
        <f>IF(Year3_SouthEast Year3_LAC_Start="","",Year3_SouthEast Year3_LAC_Start)</f>
        <v>4520</v>
      </c>
      <c r="G32" s="132">
        <f>IF(Year4_SouthEast Year4_LAC_Start="","",Year4_SouthEast Year4_LAC_Start)</f>
        <v>4370</v>
      </c>
      <c r="H32" s="133">
        <f>IF(Year5_SouthEast Year5_LAC_Start="","",Year5_SouthEast Year5_LAC_Start)</f>
        <v>4360</v>
      </c>
      <c r="I32" s="350">
        <f t="shared" si="5"/>
        <v>-1.1678671984558051E-4</v>
      </c>
      <c r="J32" s="98"/>
      <c r="K32" s="134">
        <f>IF(ISNUMBER(D32),D32/AB32*10000,NA())</f>
        <v>22.789329972694816</v>
      </c>
      <c r="L32" s="134">
        <f>IF(ISNUMBER(E32),E32/AC32*10000,NA())</f>
        <v>26.693081695427765</v>
      </c>
      <c r="M32" s="134">
        <f>IF(ISNUMBER(F32),F32/AD32*10000,NA())</f>
        <v>23.382132326315244</v>
      </c>
      <c r="N32" s="134">
        <f>IF(ISNUMBER(G32),G32/AE32*10000,NA())</f>
        <v>22.480580276763206</v>
      </c>
      <c r="O32" s="135">
        <f>IF(ISNUMBER(H32),H32/AF32*10000,NA())</f>
        <v>22.274445693266578</v>
      </c>
      <c r="P32" s="101">
        <f t="shared" si="6"/>
        <v>22.274445693266578</v>
      </c>
      <c r="Q32" s="329" t="str">
        <f t="shared" si="7"/>
        <v>--</v>
      </c>
      <c r="R32" s="69"/>
      <c r="S32" s="331">
        <f>AA32/Z32*100</f>
        <v>12.371268250968637</v>
      </c>
      <c r="T32" s="331">
        <f t="shared" si="0"/>
        <v>24.730643592997275</v>
      </c>
      <c r="U32" s="336">
        <f t="shared" si="8"/>
        <v>-2.4561978997306966</v>
      </c>
      <c r="V32" s="124"/>
      <c r="W32" s="140"/>
      <c r="X32" s="149"/>
      <c r="Y32" s="1289" t="str">
        <f t="shared" si="1"/>
        <v>South East</v>
      </c>
      <c r="Z32" s="815">
        <f>SUM(Z24:Z25,Z10:Z22,Z28:Z31)</f>
        <v>1704978</v>
      </c>
      <c r="AA32" s="815">
        <f>SUM(AA24:AA25,AA10:AA22,AA28:AA31)</f>
        <v>210927.40200000003</v>
      </c>
      <c r="AB32" s="572">
        <f>SUM(AB10:AB22,AB24:AB25,AB28:AB31)</f>
        <v>1904400</v>
      </c>
      <c r="AC32" s="572">
        <f t="shared" ref="AC32:AF32" si="17">SUM(AC10:AC22,AC24:AC25,AC28:AC31)</f>
        <v>1918100</v>
      </c>
      <c r="AD32" s="572">
        <f t="shared" si="17"/>
        <v>1933100</v>
      </c>
      <c r="AE32" s="572">
        <f t="shared" si="17"/>
        <v>1943900</v>
      </c>
      <c r="AF32" s="572">
        <f t="shared" si="17"/>
        <v>1957400</v>
      </c>
      <c r="AG32" s="199"/>
      <c r="AH32" s="199"/>
      <c r="AI32" s="1284"/>
      <c r="AJ32" s="199"/>
      <c r="AK32" s="156"/>
      <c r="AL32" s="974">
        <f>IF(ISERROR((L32-K32)/K32),"x",(L32-K32)/K32)</f>
        <v>0.17129734517909279</v>
      </c>
      <c r="AM32" s="974">
        <f t="shared" ref="AM32:AO32" si="18">IF(ISERROR((M32-L32)/L32),"x",(M32-L32)/L32)</f>
        <v>-0.12403773407997513</v>
      </c>
      <c r="AN32" s="974">
        <f t="shared" si="18"/>
        <v>-3.8557306791793013E-2</v>
      </c>
      <c r="AO32" s="974">
        <f t="shared" si="18"/>
        <v>-9.169451186706961E-3</v>
      </c>
      <c r="AP32" s="792">
        <f t="shared" si="12"/>
        <v>-1.1678671984558051E-4</v>
      </c>
      <c r="AR32" s="888">
        <f t="shared" si="16"/>
        <v>26.693081695427765</v>
      </c>
      <c r="AS32" s="888">
        <f t="shared" si="16"/>
        <v>23.382132326315244</v>
      </c>
      <c r="AT32" s="888">
        <f t="shared" si="16"/>
        <v>22.480580276763206</v>
      </c>
      <c r="AU32" s="888">
        <f t="shared" si="16"/>
        <v>22.274445693266578</v>
      </c>
      <c r="AV32" s="888">
        <f t="shared" si="14"/>
        <v>94.8302399917728</v>
      </c>
      <c r="AW32" s="550">
        <f t="shared" si="15"/>
        <v>0</v>
      </c>
      <c r="AX32" s="888">
        <f t="shared" si="13"/>
        <v>94.8302399917728</v>
      </c>
    </row>
    <row r="33" spans="1:70" s="89" customFormat="1" ht="13.5" customHeight="1" x14ac:dyDescent="0.2">
      <c r="A33" s="286"/>
      <c r="B33" s="318" t="str">
        <f>Sheet1!$K$27</f>
        <v>England</v>
      </c>
      <c r="C33" s="87"/>
      <c r="D33" s="319">
        <f>IF(Year1_England Year1_LAC_Start="","",Year1_England Year1_LAC_Start)</f>
        <v>31360</v>
      </c>
      <c r="E33" s="319">
        <f>IF(Year2_England Year2_LAC_Start="","",Year2_England Year2_LAC_Start)</f>
        <v>32170</v>
      </c>
      <c r="F33" s="319">
        <f>IF(Year3_England Year3_LAC_Start="","",Year3_England Year3_LAC_Start)</f>
        <v>32940</v>
      </c>
      <c r="G33" s="319">
        <f>IF(Year4_England Year4_LAC_Start="","",Year4_England Year4_LAC_Start)</f>
        <v>32190</v>
      </c>
      <c r="H33" s="320">
        <f>IF(Year5_England Year5_LAC_Start="","",Year5_England Year5_LAC_Start)</f>
        <v>31680</v>
      </c>
      <c r="I33" s="351">
        <f t="shared" si="5"/>
        <v>2.788081293546886E-3</v>
      </c>
      <c r="J33" s="98"/>
      <c r="K33" s="321">
        <f>IF(ISNUMBER(D33),D33/Population!D33*10000,NA())</f>
        <v>27.053840247763485</v>
      </c>
      <c r="L33" s="321">
        <f>IF(ISNUMBER(E33),E33/Population!E33*10000,NA())</f>
        <v>27.54776115568724</v>
      </c>
      <c r="M33" s="321">
        <f>IF(ISNUMBER(F33),F33/Population!F33*10000,NA())</f>
        <v>27.950073396519393</v>
      </c>
      <c r="N33" s="321">
        <f>IF(ISNUMBER(G33),G33/Population!G33*10000,NA())</f>
        <v>27.125642538130954</v>
      </c>
      <c r="O33" s="405">
        <f>IF(ISNUMBER(H33),H33/Population!H33*10000,NA())</f>
        <v>26.500259314406172</v>
      </c>
      <c r="P33" s="727"/>
      <c r="Q33" s="330" t="str">
        <f t="shared" si="7"/>
        <v>--</v>
      </c>
      <c r="R33" s="69"/>
      <c r="S33" s="332">
        <f>IDACI!C32</f>
        <v>17.084413405029373</v>
      </c>
      <c r="T33" s="332">
        <f t="shared" si="0"/>
        <v>29.374629926348341</v>
      </c>
      <c r="U33" s="598">
        <f t="shared" si="8"/>
        <v>-2.8743706119421688</v>
      </c>
      <c r="V33" s="124"/>
      <c r="W33" s="140"/>
      <c r="X33" s="149"/>
      <c r="Y33" s="1289" t="str">
        <f t="shared" si="1"/>
        <v>England</v>
      </c>
      <c r="Z33" s="815">
        <f>IF(H33&gt;0,IDACI!D32,0)</f>
        <v>10405050</v>
      </c>
      <c r="AA33" s="815">
        <f>IF(H33&gt;0,IDACI!E32,0)</f>
        <v>1777641.7570000088</v>
      </c>
      <c r="AB33" s="572">
        <f>IF(ISNUMBER(D33),Population!D33,"")</f>
        <v>11591700</v>
      </c>
      <c r="AC33" s="572">
        <f>IF(ISNUMBER(E33),Population!E33,"")</f>
        <v>11677900</v>
      </c>
      <c r="AD33" s="572">
        <f>IF(ISNUMBER(F33),Population!F33,"")</f>
        <v>11785300</v>
      </c>
      <c r="AE33" s="572">
        <f>IF(ISNUMBER(G33),Population!G33,"")</f>
        <v>11867000</v>
      </c>
      <c r="AF33" s="572">
        <f>IF(ISNUMBER(H33),Population!H33,"")</f>
        <v>11954600</v>
      </c>
      <c r="AG33" s="199"/>
      <c r="AH33" s="199"/>
      <c r="AI33" s="1284"/>
      <c r="AJ33" s="199"/>
      <c r="AK33" s="156"/>
      <c r="AL33" s="792">
        <f t="shared" si="11"/>
        <v>2.5829081632653062E-2</v>
      </c>
      <c r="AM33" s="792">
        <f t="shared" si="11"/>
        <v>2.3935343487721479E-2</v>
      </c>
      <c r="AN33" s="792">
        <f t="shared" si="11"/>
        <v>-2.2768670309653915E-2</v>
      </c>
      <c r="AO33" s="792">
        <f t="shared" si="11"/>
        <v>-1.5843429636533086E-2</v>
      </c>
      <c r="AP33" s="792">
        <f>AVERAGE(AL33:AO33)</f>
        <v>2.788081293546886E-3</v>
      </c>
      <c r="AR33" s="888">
        <f t="shared" si="16"/>
        <v>27.54776115568724</v>
      </c>
      <c r="AS33" s="888">
        <f t="shared" si="16"/>
        <v>27.950073396519393</v>
      </c>
      <c r="AT33" s="888">
        <f t="shared" si="16"/>
        <v>27.125642538130954</v>
      </c>
      <c r="AU33" s="888">
        <f t="shared" si="16"/>
        <v>26.500259314406172</v>
      </c>
      <c r="AV33" s="888">
        <f t="shared" si="14"/>
        <v>109.12373640474377</v>
      </c>
      <c r="AW33" s="550">
        <f t="shared" si="15"/>
        <v>0</v>
      </c>
      <c r="AX33" s="888">
        <f t="shared" si="13"/>
        <v>109.12373640474377</v>
      </c>
    </row>
    <row r="34" spans="1:70" s="83" customFormat="1" ht="13.5" customHeight="1" x14ac:dyDescent="0.2">
      <c r="A34" s="120"/>
      <c r="B34" s="125" t="s">
        <v>90</v>
      </c>
      <c r="C34" s="63"/>
      <c r="D34" s="63"/>
      <c r="E34" s="63"/>
      <c r="F34" s="63"/>
      <c r="G34" s="63"/>
      <c r="H34" s="63"/>
      <c r="I34" s="63"/>
      <c r="J34" s="63"/>
      <c r="K34" s="63"/>
      <c r="L34" s="63"/>
      <c r="M34" s="63"/>
      <c r="N34" s="63"/>
      <c r="O34" s="63"/>
      <c r="P34" s="63"/>
      <c r="Q34" s="137" t="s">
        <v>109</v>
      </c>
      <c r="S34" s="63"/>
      <c r="T34" s="63"/>
      <c r="U34" s="63"/>
      <c r="V34" s="119"/>
      <c r="W34" s="138"/>
      <c r="X34" s="147"/>
      <c r="Y34" s="179"/>
      <c r="Z34" s="179"/>
      <c r="AA34" s="179"/>
      <c r="AB34" s="179"/>
      <c r="AC34" s="179"/>
      <c r="AD34" s="179"/>
      <c r="AE34" s="179"/>
      <c r="AF34" s="179"/>
      <c r="AG34" s="179"/>
      <c r="AH34" s="179"/>
      <c r="AI34" s="1276"/>
      <c r="AJ34" s="179"/>
      <c r="AK34" s="157"/>
      <c r="BC34" s="89"/>
      <c r="BD34" s="89"/>
      <c r="BE34" s="89"/>
      <c r="BF34" s="89"/>
      <c r="BG34" s="89"/>
      <c r="BH34" s="89"/>
      <c r="BI34" s="89"/>
      <c r="BJ34" s="89"/>
      <c r="BK34" s="89"/>
      <c r="BL34" s="89"/>
      <c r="BM34" s="89"/>
      <c r="BN34" s="89"/>
      <c r="BO34" s="89"/>
      <c r="BP34" s="89"/>
      <c r="BQ34" s="89"/>
      <c r="BR34" s="89"/>
    </row>
    <row r="35" spans="1:70" s="83" customFormat="1" ht="25.5" customHeight="1" x14ac:dyDescent="0.2">
      <c r="A35" s="120"/>
      <c r="B35" s="1580"/>
      <c r="C35" s="1581"/>
      <c r="D35" s="1581"/>
      <c r="E35" s="1581"/>
      <c r="F35" s="1581"/>
      <c r="G35" s="1581"/>
      <c r="H35" s="1581"/>
      <c r="I35" s="1581"/>
      <c r="J35" s="1581"/>
      <c r="K35" s="1581"/>
      <c r="L35" s="1581"/>
      <c r="M35" s="1581"/>
      <c r="N35" s="1581"/>
      <c r="O35" s="1581"/>
      <c r="P35" s="1581"/>
      <c r="Q35" s="1581"/>
      <c r="R35" s="1581"/>
      <c r="S35" s="1581"/>
      <c r="T35" s="1581"/>
      <c r="U35" s="1582"/>
      <c r="V35" s="119"/>
      <c r="W35" s="138"/>
      <c r="X35" s="147"/>
      <c r="Y35" s="179"/>
      <c r="Z35" s="179"/>
      <c r="AA35" s="179"/>
      <c r="AB35" s="179"/>
      <c r="AC35" s="179"/>
      <c r="AD35" s="179"/>
      <c r="AE35" s="179"/>
      <c r="AF35" s="179"/>
      <c r="AG35" s="179"/>
      <c r="AH35" s="179"/>
      <c r="AI35" s="1276"/>
      <c r="AJ35" s="179"/>
      <c r="AK35" s="153"/>
      <c r="AL35" s="76"/>
      <c r="AM35" s="76"/>
      <c r="AN35" s="76"/>
      <c r="AO35" s="76"/>
      <c r="AP35" s="76"/>
      <c r="AQ35" s="76"/>
      <c r="AR35" s="76"/>
      <c r="BC35" s="89"/>
      <c r="BD35" s="89"/>
      <c r="BE35" s="89"/>
      <c r="BF35" s="89"/>
      <c r="BG35" s="89"/>
      <c r="BH35" s="89"/>
      <c r="BI35" s="89"/>
      <c r="BJ35" s="89"/>
      <c r="BK35" s="89"/>
      <c r="BL35" s="89"/>
      <c r="BM35" s="89"/>
      <c r="BN35" s="89"/>
      <c r="BO35" s="89"/>
      <c r="BP35" s="89"/>
      <c r="BQ35" s="89"/>
      <c r="BR35" s="89"/>
    </row>
    <row r="36" spans="1:70" s="83" customFormat="1" ht="7.5" customHeight="1" x14ac:dyDescent="0.2">
      <c r="A36" s="120"/>
      <c r="B36" s="18"/>
      <c r="C36" s="18"/>
      <c r="D36" s="17"/>
      <c r="E36" s="17"/>
      <c r="F36" s="17"/>
      <c r="G36" s="17"/>
      <c r="H36" s="17"/>
      <c r="I36" s="17"/>
      <c r="J36" s="13"/>
      <c r="K36" s="19"/>
      <c r="L36" s="19"/>
      <c r="M36" s="19"/>
      <c r="N36" s="19"/>
      <c r="O36" s="19"/>
      <c r="P36" s="19"/>
      <c r="Q36" s="19"/>
      <c r="R36" s="19"/>
      <c r="S36" s="19"/>
      <c r="T36" s="19"/>
      <c r="U36" s="20"/>
      <c r="V36" s="119"/>
      <c r="W36" s="138"/>
      <c r="X36" s="147"/>
      <c r="Y36" s="1276"/>
      <c r="Z36" s="1284"/>
      <c r="AA36" s="1276"/>
      <c r="AB36" s="1276"/>
      <c r="AC36" s="1276"/>
      <c r="AD36" s="1276"/>
      <c r="AE36" s="1276"/>
      <c r="AF36" s="1276"/>
      <c r="AG36" s="1276"/>
      <c r="AH36" s="1276"/>
      <c r="AI36" s="1276"/>
      <c r="AJ36" s="179"/>
      <c r="AK36" s="153"/>
      <c r="AL36" s="76"/>
      <c r="AM36" s="76"/>
      <c r="AN36" s="76"/>
      <c r="AO36" s="76"/>
      <c r="AP36" s="76"/>
      <c r="AQ36" s="76"/>
      <c r="AR36" s="76"/>
      <c r="BC36" s="89"/>
      <c r="BD36" s="89"/>
      <c r="BE36" s="89"/>
      <c r="BF36" s="89"/>
      <c r="BG36" s="89"/>
      <c r="BH36" s="89"/>
      <c r="BI36" s="89"/>
      <c r="BJ36" s="89"/>
      <c r="BK36" s="89"/>
      <c r="BL36" s="89"/>
      <c r="BM36" s="89"/>
      <c r="BN36" s="89"/>
      <c r="BO36" s="89"/>
      <c r="BP36" s="89"/>
      <c r="BQ36" s="89"/>
      <c r="BR36" s="89"/>
    </row>
    <row r="37" spans="1:70"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1"/>
      <c r="V37" s="1422"/>
      <c r="W37" s="138"/>
      <c r="X37" s="147"/>
      <c r="Y37" s="1276"/>
      <c r="Z37" s="1284"/>
      <c r="AA37" s="1276"/>
      <c r="AB37" s="1276"/>
      <c r="AC37" s="1276"/>
      <c r="AD37" s="1276"/>
      <c r="AE37" s="1276"/>
      <c r="AF37" s="1276"/>
      <c r="AG37" s="1276"/>
      <c r="AH37" s="1276"/>
      <c r="AI37" s="1276"/>
      <c r="AJ37" s="1276"/>
      <c r="AK37" s="157"/>
      <c r="AM37" s="83">
        <f>COLUMNS($B$4:K$4)</f>
        <v>10</v>
      </c>
      <c r="AN37" s="83">
        <f>COLUMNS($B$4:L$4)</f>
        <v>11</v>
      </c>
      <c r="AO37" s="83">
        <f>COLUMNS($B$4:M$4)</f>
        <v>12</v>
      </c>
      <c r="AP37" s="83">
        <f>COLUMNS($B$4:N$4)</f>
        <v>13</v>
      </c>
      <c r="AQ37" s="83">
        <f>COLUMNS($B$4:O$4)</f>
        <v>14</v>
      </c>
      <c r="AR37" s="83">
        <f>COLUMNS($B$4:S$4)</f>
        <v>18</v>
      </c>
      <c r="AS37" s="83">
        <v>3</v>
      </c>
      <c r="AT37" s="25">
        <v>4</v>
      </c>
      <c r="AU37" s="25">
        <v>5</v>
      </c>
      <c r="AV37" s="25">
        <v>6</v>
      </c>
      <c r="AW37" s="24">
        <v>7</v>
      </c>
      <c r="AX37" s="83">
        <v>3</v>
      </c>
      <c r="AY37" s="25">
        <v>4</v>
      </c>
      <c r="AZ37" s="25">
        <v>5</v>
      </c>
      <c r="BA37" s="25">
        <v>6</v>
      </c>
      <c r="BB37" s="24">
        <v>7</v>
      </c>
      <c r="BC37" s="89"/>
      <c r="BD37" s="89"/>
      <c r="BE37" s="89"/>
      <c r="BF37" s="89"/>
      <c r="BG37" s="89"/>
      <c r="BH37" s="89"/>
      <c r="BI37" s="89"/>
      <c r="BJ37" s="89"/>
      <c r="BK37" s="89"/>
      <c r="BL37" s="89"/>
      <c r="BM37" s="89"/>
      <c r="BN37" s="89"/>
      <c r="BO37" s="89"/>
      <c r="BP37" s="89"/>
      <c r="BQ37" s="89"/>
      <c r="BR37" s="89"/>
    </row>
    <row r="38" spans="1:70"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0"/>
      <c r="J38" s="1429"/>
      <c r="K38" s="1429"/>
      <c r="L38" s="1429"/>
      <c r="M38" s="1429"/>
      <c r="N38" s="1429"/>
      <c r="O38" s="1429"/>
      <c r="P38" s="1431"/>
      <c r="Q38" s="1429"/>
      <c r="R38" s="1429"/>
      <c r="S38" s="1429"/>
      <c r="T38" s="1430"/>
      <c r="U38" s="1429"/>
      <c r="V38" s="1432"/>
      <c r="W38" s="138"/>
      <c r="X38" s="147"/>
      <c r="Y38" s="1276"/>
      <c r="Z38" s="1284"/>
      <c r="AA38" s="1276"/>
      <c r="AB38" s="1276"/>
      <c r="AC38" s="1276"/>
      <c r="AD38" s="1276"/>
      <c r="AE38" s="1276"/>
      <c r="AF38" s="1276"/>
      <c r="AG38" s="1276"/>
      <c r="AH38" s="1276"/>
      <c r="AI38" s="1276"/>
      <c r="AJ38" s="179"/>
      <c r="AK38" s="156"/>
      <c r="AL38" s="89"/>
      <c r="AM38" s="772" t="s">
        <v>89</v>
      </c>
      <c r="AN38" s="773"/>
      <c r="AO38" s="773"/>
      <c r="AP38" s="773"/>
      <c r="AQ38" s="773"/>
      <c r="AR38" s="772" t="s">
        <v>95</v>
      </c>
      <c r="AS38" s="56" t="s">
        <v>734</v>
      </c>
      <c r="AT38" s="25"/>
      <c r="AU38" s="25"/>
      <c r="AV38" s="25"/>
      <c r="AW38" s="24"/>
      <c r="AX38" s="56" t="s">
        <v>735</v>
      </c>
      <c r="AY38" s="25"/>
      <c r="AZ38" s="25"/>
      <c r="BA38" s="25"/>
      <c r="BB38" s="24"/>
      <c r="BC38" s="89"/>
      <c r="BD38" s="89"/>
      <c r="BE38" s="89"/>
      <c r="BF38" s="89"/>
      <c r="BG38" s="89"/>
      <c r="BH38" s="89"/>
      <c r="BI38" s="89"/>
      <c r="BJ38" s="89"/>
      <c r="BK38" s="89"/>
      <c r="BL38" s="89"/>
      <c r="BM38" s="89"/>
      <c r="BN38" s="89"/>
      <c r="BO38" s="89"/>
      <c r="BP38" s="89"/>
      <c r="BQ38" s="89"/>
      <c r="BR38" s="89"/>
    </row>
    <row r="39" spans="1:70" s="83" customFormat="1" ht="11.25" customHeight="1" x14ac:dyDescent="0.2">
      <c r="A39" s="114"/>
      <c r="B39" s="115"/>
      <c r="C39" s="115"/>
      <c r="D39" s="115"/>
      <c r="E39" s="115"/>
      <c r="F39" s="115"/>
      <c r="G39" s="115"/>
      <c r="H39" s="115"/>
      <c r="I39" s="115"/>
      <c r="J39" s="116"/>
      <c r="K39" s="115"/>
      <c r="L39" s="115"/>
      <c r="M39" s="115"/>
      <c r="N39" s="115"/>
      <c r="O39" s="115"/>
      <c r="P39" s="115"/>
      <c r="Q39" s="115"/>
      <c r="R39" s="115"/>
      <c r="S39" s="115"/>
      <c r="T39" s="115"/>
      <c r="U39" s="115"/>
      <c r="V39" s="117"/>
      <c r="W39" s="138"/>
      <c r="X39" s="146" t="s">
        <v>102</v>
      </c>
      <c r="Y39" s="1276"/>
      <c r="Z39" s="1284"/>
      <c r="AA39" s="1276"/>
      <c r="AB39" s="1276"/>
      <c r="AC39" s="1276"/>
      <c r="AD39" s="1276"/>
      <c r="AE39" s="1276"/>
      <c r="AF39" s="1276"/>
      <c r="AG39" s="1276"/>
      <c r="AH39" s="1276"/>
      <c r="AI39" s="1276"/>
      <c r="AJ39" s="179"/>
      <c r="AK39" s="156"/>
      <c r="AL39" s="89"/>
      <c r="AM39" s="772"/>
      <c r="AN39" s="772"/>
      <c r="AO39" s="772"/>
      <c r="AP39" s="772"/>
      <c r="AQ39" s="772"/>
      <c r="AR39" s="773"/>
      <c r="AS39" s="772"/>
      <c r="AT39" s="772"/>
      <c r="AU39" s="772"/>
      <c r="AV39" s="772"/>
      <c r="AW39" s="772"/>
      <c r="AX39" s="772"/>
      <c r="AY39" s="772"/>
      <c r="AZ39" s="772"/>
      <c r="BA39" s="772"/>
      <c r="BB39" s="1021"/>
      <c r="BC39" s="89"/>
      <c r="BD39" s="89"/>
      <c r="BE39" s="89"/>
      <c r="BF39" s="89"/>
      <c r="BG39" s="89"/>
      <c r="BH39" s="89"/>
      <c r="BI39" s="89"/>
      <c r="BJ39" s="89"/>
      <c r="BK39" s="89"/>
      <c r="BL39" s="89"/>
      <c r="BM39" s="89"/>
      <c r="BN39" s="89"/>
      <c r="BO39" s="89"/>
      <c r="BP39" s="89"/>
      <c r="BQ39" s="89"/>
      <c r="BR39" s="89"/>
    </row>
    <row r="40" spans="1:70" s="83" customFormat="1" ht="3.75" customHeight="1" x14ac:dyDescent="0.25">
      <c r="A40" s="118"/>
      <c r="B40" s="9"/>
      <c r="C40" s="9"/>
      <c r="D40" s="9"/>
      <c r="E40" s="9"/>
      <c r="F40" s="9"/>
      <c r="G40" s="9"/>
      <c r="H40" s="9"/>
      <c r="I40" s="9"/>
      <c r="J40" s="13"/>
      <c r="K40" s="9"/>
      <c r="L40" s="9"/>
      <c r="M40" s="9"/>
      <c r="N40" s="9"/>
      <c r="O40" s="9"/>
      <c r="P40" s="9"/>
      <c r="Q40" s="9"/>
      <c r="R40" s="9"/>
      <c r="S40" s="9"/>
      <c r="T40" s="9"/>
      <c r="U40" s="9"/>
      <c r="V40" s="119"/>
      <c r="W40" s="138"/>
      <c r="X40" s="288"/>
      <c r="Y40" s="1276"/>
      <c r="Z40" s="1276"/>
      <c r="AA40" s="1276"/>
      <c r="AB40" s="1276"/>
      <c r="AC40" s="1276"/>
      <c r="AD40" s="1290" t="s">
        <v>1002</v>
      </c>
      <c r="AE40" s="1276"/>
      <c r="AF40" s="1276"/>
      <c r="AG40" s="1276"/>
      <c r="AH40" s="1276"/>
      <c r="AI40" s="1276"/>
      <c r="AJ40" s="1276"/>
      <c r="AK40" s="156"/>
      <c r="AL40" s="89"/>
      <c r="AM40" s="772" t="e">
        <f>D9</f>
        <v>#N/A</v>
      </c>
      <c r="AN40" s="772" t="e">
        <f>E9</f>
        <v>#N/A</v>
      </c>
      <c r="AO40" s="772" t="e">
        <f>F9</f>
        <v>#N/A</v>
      </c>
      <c r="AP40" s="772" t="e">
        <f>G9</f>
        <v>#N/A</v>
      </c>
      <c r="AQ40" s="772" t="e">
        <f>H9</f>
        <v>#N/A</v>
      </c>
      <c r="AR40" s="773"/>
      <c r="AS40" s="772" t="e">
        <f>K9</f>
        <v>#N/A</v>
      </c>
      <c r="AT40" s="772" t="e">
        <f>L9</f>
        <v>#N/A</v>
      </c>
      <c r="AU40" s="772" t="e">
        <f>M9</f>
        <v>#N/A</v>
      </c>
      <c r="AV40" s="772" t="e">
        <f>N9</f>
        <v>#N/A</v>
      </c>
      <c r="AW40" s="772" t="e">
        <f>O9</f>
        <v>#N/A</v>
      </c>
      <c r="AX40" s="772" t="e">
        <f>AS40</f>
        <v>#N/A</v>
      </c>
      <c r="AY40" s="772" t="e">
        <f t="shared" ref="AY40:BB40" si="19">AT40</f>
        <v>#N/A</v>
      </c>
      <c r="AZ40" s="772" t="e">
        <f t="shared" si="19"/>
        <v>#N/A</v>
      </c>
      <c r="BA40" s="772" t="e">
        <f t="shared" si="19"/>
        <v>#N/A</v>
      </c>
      <c r="BB40" s="1021" t="e">
        <f t="shared" si="19"/>
        <v>#N/A</v>
      </c>
      <c r="BC40" s="89"/>
      <c r="BD40" s="89"/>
      <c r="BE40" s="89"/>
      <c r="BF40" s="89"/>
      <c r="BG40" s="89"/>
      <c r="BH40" s="89"/>
      <c r="BI40" s="89"/>
      <c r="BJ40" s="89"/>
      <c r="BK40" s="89"/>
      <c r="BL40" s="89"/>
      <c r="BM40" s="89"/>
      <c r="BN40" s="89"/>
      <c r="BO40" s="89"/>
      <c r="BP40" s="89"/>
      <c r="BQ40" s="89"/>
      <c r="BR40" s="89"/>
    </row>
    <row r="41" spans="1:70" s="83" customFormat="1" ht="14.25" customHeight="1" x14ac:dyDescent="0.2">
      <c r="A41" s="120"/>
      <c r="B41" s="9"/>
      <c r="C41" s="9"/>
      <c r="D41" s="9"/>
      <c r="E41" s="9"/>
      <c r="F41" s="9"/>
      <c r="G41" s="9"/>
      <c r="H41" s="9"/>
      <c r="I41" s="9"/>
      <c r="J41" s="13"/>
      <c r="K41" s="9"/>
      <c r="L41" s="9"/>
      <c r="M41" s="9"/>
      <c r="N41" s="9"/>
      <c r="O41" s="9"/>
      <c r="P41" s="9"/>
      <c r="Q41" s="9"/>
      <c r="R41" s="9"/>
      <c r="S41" s="9"/>
      <c r="T41" s="9"/>
      <c r="U41" s="9"/>
      <c r="V41" s="119"/>
      <c r="W41" s="138"/>
      <c r="X41" s="288"/>
      <c r="Y41" s="890" t="s">
        <v>72</v>
      </c>
      <c r="Z41" s="890" t="s">
        <v>70</v>
      </c>
      <c r="AA41" s="890" t="s">
        <v>71</v>
      </c>
      <c r="AB41" s="1291">
        <v>5</v>
      </c>
      <c r="AC41" s="888">
        <f>(AB41*Z42)+AA42</f>
        <v>15.65587979871189</v>
      </c>
      <c r="AD41" s="1187">
        <f>ROUND(ChartLabels!$AA17,3)</f>
        <v>0.42</v>
      </c>
      <c r="AE41" s="1276"/>
      <c r="AF41" s="1276"/>
      <c r="AG41" s="1276"/>
      <c r="AH41" s="1276"/>
      <c r="AI41" s="1276"/>
      <c r="AJ41" s="560" t="b">
        <v>1</v>
      </c>
      <c r="AK41" s="156" t="s">
        <v>0</v>
      </c>
      <c r="AL41" s="89" t="str">
        <f t="shared" ref="AL41:AL64" si="20">IF(AJ41=TRUE,B10,"")</f>
        <v>Bracknell Forest</v>
      </c>
      <c r="AM41" s="143">
        <f t="shared" ref="AM41:AQ50" si="21">VLOOKUP($AL41,$B$10:$O$33,AM$37,FALSE)</f>
        <v>16.546762589928058</v>
      </c>
      <c r="AN41" s="143">
        <f t="shared" si="21"/>
        <v>21.276595744680851</v>
      </c>
      <c r="AO41" s="143">
        <f t="shared" si="21"/>
        <v>23.75886524822695</v>
      </c>
      <c r="AP41" s="143">
        <f t="shared" si="21"/>
        <v>29.893238434163699</v>
      </c>
      <c r="AQ41" s="143">
        <f t="shared" si="21"/>
        <v>29.681978798586574</v>
      </c>
      <c r="AR41" s="144">
        <f>VLOOKUP(AL41,$B$10:$U$33,$AR$37,FALSE)</f>
        <v>8.9</v>
      </c>
      <c r="AS41" s="341" t="e">
        <f>VLOOKUP($AL41,#REF!,AS$37,FALSE)</f>
        <v>#REF!</v>
      </c>
      <c r="AT41" s="341" t="e">
        <f>VLOOKUP($AL41,#REF!,AT$37,FALSE)</f>
        <v>#REF!</v>
      </c>
      <c r="AU41" s="341" t="e">
        <f>VLOOKUP($AL41,#REF!,AU$37,FALSE)</f>
        <v>#REF!</v>
      </c>
      <c r="AV41" s="341" t="e">
        <f>VLOOKUP($AL41,#REF!,AV$37,FALSE)</f>
        <v>#REF!</v>
      </c>
      <c r="AW41" s="341" t="e">
        <f>VLOOKUP($AL41,#REF!,AW$37,FALSE)</f>
        <v>#REF!</v>
      </c>
      <c r="AX41" s="341" t="e">
        <f t="shared" ref="AX41:BB50" si="22">VLOOKUP($AL41,$B$77:$H$100,AX$37,FALSE)</f>
        <v>#N/A</v>
      </c>
      <c r="AY41" s="341" t="e">
        <f t="shared" si="22"/>
        <v>#N/A</v>
      </c>
      <c r="AZ41" s="341" t="e">
        <f t="shared" si="22"/>
        <v>#N/A</v>
      </c>
      <c r="BA41" s="341" t="e">
        <f t="shared" si="22"/>
        <v>#N/A</v>
      </c>
      <c r="BB41" s="341" t="e">
        <f t="shared" si="22"/>
        <v>#N/A</v>
      </c>
      <c r="BC41" s="89"/>
      <c r="BD41" s="89"/>
      <c r="BE41" s="89"/>
      <c r="BF41" s="89"/>
      <c r="BG41" s="89"/>
      <c r="BH41" s="89"/>
      <c r="BI41" s="89"/>
      <c r="BJ41" s="89"/>
      <c r="BK41" s="89"/>
      <c r="BL41" s="89"/>
      <c r="BM41" s="89"/>
      <c r="BN41" s="89"/>
      <c r="BO41" s="89"/>
      <c r="BP41" s="89"/>
      <c r="BQ41" s="89"/>
      <c r="BR41" s="89"/>
    </row>
    <row r="42" spans="1:70" s="83" customFormat="1" ht="14.25" customHeight="1" x14ac:dyDescent="0.2">
      <c r="A42" s="120"/>
      <c r="B42" s="9"/>
      <c r="C42" s="9"/>
      <c r="D42" s="9"/>
      <c r="E42" s="9"/>
      <c r="F42" s="9"/>
      <c r="G42" s="9"/>
      <c r="H42" s="9"/>
      <c r="I42" s="9"/>
      <c r="J42" s="13"/>
      <c r="K42" s="9"/>
      <c r="L42" s="9"/>
      <c r="M42" s="9"/>
      <c r="N42" s="9"/>
      <c r="O42" s="9"/>
      <c r="P42" s="9"/>
      <c r="Q42" s="9"/>
      <c r="R42" s="9"/>
      <c r="S42" s="9"/>
      <c r="T42" s="9"/>
      <c r="U42" s="9"/>
      <c r="V42" s="119"/>
      <c r="W42" s="138"/>
      <c r="X42" s="288"/>
      <c r="Y42" s="1229" t="str">
        <f>"Y= "&amp;Z42&amp;"x + "&amp;AA42</f>
        <v>Y= 1.16780486195859x + 9.81685548891894</v>
      </c>
      <c r="Z42" s="712">
        <f>ChartLabels!$Y17</f>
        <v>1.1678048619585899</v>
      </c>
      <c r="AA42" s="712">
        <f>ChartLabels!$Z17</f>
        <v>9.8168554889189412</v>
      </c>
      <c r="AB42" s="1187">
        <v>35</v>
      </c>
      <c r="AC42" s="888">
        <f>(AB42*Z42)+AA42</f>
        <v>50.690025657469583</v>
      </c>
      <c r="AD42" s="1187" t="str">
        <f>AD40&amp;" = "&amp;AD41</f>
        <v>r² = 0.42</v>
      </c>
      <c r="AE42" s="1276"/>
      <c r="AF42" s="1276"/>
      <c r="AG42" s="1276"/>
      <c r="AH42" s="1276"/>
      <c r="AI42" s="1276"/>
      <c r="AJ42" s="560" t="b">
        <v>1</v>
      </c>
      <c r="AK42" s="156" t="s">
        <v>31</v>
      </c>
      <c r="AL42" s="89" t="str">
        <f t="shared" si="20"/>
        <v>Brighton &amp; Hove</v>
      </c>
      <c r="AM42" s="143">
        <f t="shared" si="21"/>
        <v>38.235294117647058</v>
      </c>
      <c r="AN42" s="143">
        <f t="shared" si="21"/>
        <v>39.84375</v>
      </c>
      <c r="AO42" s="143">
        <f t="shared" si="21"/>
        <v>37.816764132553608</v>
      </c>
      <c r="AP42" s="143">
        <f t="shared" si="21"/>
        <v>27.450980392156865</v>
      </c>
      <c r="AQ42" s="143">
        <f t="shared" si="21"/>
        <v>30.784313725490197</v>
      </c>
      <c r="AR42" s="144">
        <f t="shared" ref="AR42:AR64" si="23">VLOOKUP(AL42,$B$10:$U$33,$AR$37,FALSE)</f>
        <v>15.299999999999999</v>
      </c>
      <c r="AS42" s="341" t="e">
        <f>VLOOKUP($AL42,#REF!,AS$37,FALSE)</f>
        <v>#REF!</v>
      </c>
      <c r="AT42" s="341" t="e">
        <f>VLOOKUP($AL42,#REF!,AT$37,FALSE)</f>
        <v>#REF!</v>
      </c>
      <c r="AU42" s="341" t="e">
        <f>VLOOKUP($AL42,#REF!,AU$37,FALSE)</f>
        <v>#REF!</v>
      </c>
      <c r="AV42" s="341" t="e">
        <f>VLOOKUP($AL42,#REF!,AV$37,FALSE)</f>
        <v>#REF!</v>
      </c>
      <c r="AW42" s="341" t="e">
        <f>VLOOKUP($AL42,#REF!,AW$37,FALSE)</f>
        <v>#REF!</v>
      </c>
      <c r="AX42" s="341" t="e">
        <f t="shared" si="22"/>
        <v>#N/A</v>
      </c>
      <c r="AY42" s="341" t="e">
        <f t="shared" si="22"/>
        <v>#N/A</v>
      </c>
      <c r="AZ42" s="341" t="e">
        <f t="shared" si="22"/>
        <v>#N/A</v>
      </c>
      <c r="BA42" s="341" t="e">
        <f t="shared" si="22"/>
        <v>#N/A</v>
      </c>
      <c r="BB42" s="341" t="e">
        <f t="shared" si="22"/>
        <v>#N/A</v>
      </c>
      <c r="BC42" s="89"/>
      <c r="BD42" s="341"/>
      <c r="BE42" s="341"/>
      <c r="BF42" s="341"/>
      <c r="BG42" s="341"/>
      <c r="BH42" s="341"/>
      <c r="BI42" s="341"/>
      <c r="BJ42" s="341"/>
      <c r="BK42" s="341"/>
      <c r="BL42" s="341"/>
      <c r="BM42" s="341"/>
      <c r="BN42" s="341"/>
      <c r="BO42" s="341"/>
      <c r="BP42" s="341"/>
      <c r="BQ42" s="341"/>
    </row>
    <row r="43" spans="1:70" ht="14.25" customHeight="1" x14ac:dyDescent="0.2">
      <c r="A43" s="120"/>
      <c r="B43" s="9"/>
      <c r="C43" s="9"/>
      <c r="D43" s="9"/>
      <c r="E43" s="9"/>
      <c r="F43" s="9"/>
      <c r="G43" s="9"/>
      <c r="H43" s="9"/>
      <c r="I43" s="9"/>
      <c r="J43" s="13"/>
      <c r="K43" s="9"/>
      <c r="L43" s="9"/>
      <c r="M43" s="9"/>
      <c r="N43" s="9"/>
      <c r="O43" s="9"/>
      <c r="P43" s="9"/>
      <c r="Q43" s="9"/>
      <c r="R43" s="9"/>
      <c r="S43" s="9"/>
      <c r="T43" s="9"/>
      <c r="U43" s="9"/>
      <c r="V43" s="119"/>
      <c r="W43" s="138"/>
      <c r="X43" s="288"/>
      <c r="Y43" s="890" t="str">
        <f>"National Trend "&amp;Sheet1!$B$8</f>
        <v>National Trend 2019</v>
      </c>
      <c r="Z43" s="1292" t="s">
        <v>70</v>
      </c>
      <c r="AA43" s="890" t="s">
        <v>71</v>
      </c>
      <c r="AB43" s="1291">
        <v>5</v>
      </c>
      <c r="AC43" s="1293">
        <f>((AB43*Z44)+AA44)/$Y$2</f>
        <v>17.467538405695883</v>
      </c>
      <c r="AD43" s="714" t="str">
        <f>AD40&amp;" = "&amp;AD44</f>
        <v>r² = 0.112</v>
      </c>
      <c r="AJ43" s="560" t="b">
        <v>1</v>
      </c>
      <c r="AK43" s="156" t="s">
        <v>8</v>
      </c>
      <c r="AL43" s="89" t="str">
        <f t="shared" si="20"/>
        <v>Buckinghamshire</v>
      </c>
      <c r="AM43" s="143">
        <f t="shared" si="21"/>
        <v>13.28847771236333</v>
      </c>
      <c r="AN43" s="143">
        <f t="shared" si="21"/>
        <v>20.64676616915423</v>
      </c>
      <c r="AO43" s="143">
        <f t="shared" si="21"/>
        <v>16.939443535188214</v>
      </c>
      <c r="AP43" s="143">
        <f t="shared" si="21"/>
        <v>15.678310316815598</v>
      </c>
      <c r="AQ43" s="143">
        <f t="shared" si="21"/>
        <v>16.814159292035399</v>
      </c>
      <c r="AR43" s="144">
        <f t="shared" si="23"/>
        <v>8.5</v>
      </c>
      <c r="AS43" s="341" t="e">
        <f>VLOOKUP($AL43,#REF!,AS$37,FALSE)</f>
        <v>#REF!</v>
      </c>
      <c r="AT43" s="341" t="e">
        <f>VLOOKUP($AL43,#REF!,AT$37,FALSE)</f>
        <v>#REF!</v>
      </c>
      <c r="AU43" s="341" t="e">
        <f>VLOOKUP($AL43,#REF!,AU$37,FALSE)</f>
        <v>#REF!</v>
      </c>
      <c r="AV43" s="341" t="e">
        <f>VLOOKUP($AL43,#REF!,AV$37,FALSE)</f>
        <v>#REF!</v>
      </c>
      <c r="AW43" s="341" t="e">
        <f>VLOOKUP($AL43,#REF!,AW$37,FALSE)</f>
        <v>#REF!</v>
      </c>
      <c r="AX43" s="341" t="e">
        <f t="shared" si="22"/>
        <v>#N/A</v>
      </c>
      <c r="AY43" s="341" t="e">
        <f t="shared" si="22"/>
        <v>#N/A</v>
      </c>
      <c r="AZ43" s="341" t="e">
        <f t="shared" si="22"/>
        <v>#N/A</v>
      </c>
      <c r="BA43" s="341" t="e">
        <f t="shared" si="22"/>
        <v>#N/A</v>
      </c>
      <c r="BB43" s="341" t="e">
        <f t="shared" si="22"/>
        <v>#N/A</v>
      </c>
      <c r="BC43" s="89"/>
      <c r="BD43" s="341"/>
      <c r="BE43" s="341"/>
      <c r="BF43" s="341"/>
      <c r="BG43" s="341"/>
      <c r="BH43" s="341"/>
      <c r="BI43" s="341"/>
      <c r="BJ43" s="341"/>
      <c r="BK43" s="341"/>
      <c r="BL43" s="341"/>
      <c r="BM43" s="341"/>
      <c r="BN43" s="341"/>
      <c r="BO43" s="341"/>
      <c r="BP43" s="341"/>
      <c r="BQ43" s="341"/>
    </row>
    <row r="44" spans="1:70" ht="14.25" customHeight="1" x14ac:dyDescent="0.2">
      <c r="A44" s="120"/>
      <c r="B44" s="9"/>
      <c r="C44" s="9"/>
      <c r="D44" s="9"/>
      <c r="E44" s="9"/>
      <c r="F44" s="9"/>
      <c r="G44" s="9"/>
      <c r="H44" s="9"/>
      <c r="I44" s="9"/>
      <c r="J44" s="13"/>
      <c r="K44" s="14"/>
      <c r="L44" s="14"/>
      <c r="M44" s="14"/>
      <c r="N44" s="14"/>
      <c r="O44" s="15"/>
      <c r="P44" s="15"/>
      <c r="Q44" s="15"/>
      <c r="R44" s="15"/>
      <c r="S44" s="15"/>
      <c r="T44" s="15"/>
      <c r="U44" s="15"/>
      <c r="V44" s="119"/>
      <c r="W44" s="138"/>
      <c r="X44" s="288"/>
      <c r="Y44" s="1289" t="str">
        <f>"Y= "&amp;Z44&amp;"x + "&amp;AA44</f>
        <v>Y= 0.985326397034454x + 12.5409064205236</v>
      </c>
      <c r="Z44" s="712">
        <f>Sheet1!$C$15</f>
        <v>0.98532639703445446</v>
      </c>
      <c r="AA44" s="713">
        <f>Sheet1!$C$16</f>
        <v>12.540906420523612</v>
      </c>
      <c r="AB44" s="1187">
        <v>35</v>
      </c>
      <c r="AC44" s="888">
        <f>((AB44*Z44)+AA44)/$Y$2</f>
        <v>47.027330316729518</v>
      </c>
      <c r="AD44" s="1290">
        <f>ROUND(Sheet1!$C$17,3)</f>
        <v>0.112</v>
      </c>
      <c r="AJ44" s="560" t="b">
        <v>1</v>
      </c>
      <c r="AK44" s="156" t="s">
        <v>4</v>
      </c>
      <c r="AL44" s="89" t="str">
        <f t="shared" si="20"/>
        <v>East Sussex</v>
      </c>
      <c r="AM44" s="143">
        <f t="shared" si="21"/>
        <v>14.800759013282732</v>
      </c>
      <c r="AN44" s="143">
        <f t="shared" si="21"/>
        <v>17.37488196411709</v>
      </c>
      <c r="AO44" s="143">
        <f t="shared" si="21"/>
        <v>18.696883852691219</v>
      </c>
      <c r="AP44" s="143">
        <f t="shared" si="21"/>
        <v>19.150943396226413</v>
      </c>
      <c r="AQ44" s="143">
        <f t="shared" si="21"/>
        <v>18.045112781954888</v>
      </c>
      <c r="AR44" s="144">
        <f t="shared" si="23"/>
        <v>16.100000000000001</v>
      </c>
      <c r="AS44" s="341" t="e">
        <f>VLOOKUP($AL44,#REF!,AS$37,FALSE)</f>
        <v>#REF!</v>
      </c>
      <c r="AT44" s="341" t="e">
        <f>VLOOKUP($AL44,#REF!,AT$37,FALSE)</f>
        <v>#REF!</v>
      </c>
      <c r="AU44" s="341" t="e">
        <f>VLOOKUP($AL44,#REF!,AU$37,FALSE)</f>
        <v>#REF!</v>
      </c>
      <c r="AV44" s="341" t="e">
        <f>VLOOKUP($AL44,#REF!,AV$37,FALSE)</f>
        <v>#REF!</v>
      </c>
      <c r="AW44" s="341" t="e">
        <f>VLOOKUP($AL44,#REF!,AW$37,FALSE)</f>
        <v>#REF!</v>
      </c>
      <c r="AX44" s="341" t="e">
        <f t="shared" si="22"/>
        <v>#N/A</v>
      </c>
      <c r="AY44" s="341" t="e">
        <f t="shared" si="22"/>
        <v>#N/A</v>
      </c>
      <c r="AZ44" s="341" t="e">
        <f t="shared" si="22"/>
        <v>#N/A</v>
      </c>
      <c r="BA44" s="341" t="e">
        <f t="shared" si="22"/>
        <v>#N/A</v>
      </c>
      <c r="BB44" s="341" t="e">
        <f t="shared" si="22"/>
        <v>#N/A</v>
      </c>
      <c r="BC44" s="89"/>
      <c r="BD44" s="341"/>
      <c r="BE44" s="341"/>
      <c r="BF44" s="341"/>
      <c r="BG44" s="341"/>
      <c r="BH44" s="341"/>
      <c r="BI44" s="341"/>
      <c r="BJ44" s="341"/>
      <c r="BK44" s="341"/>
      <c r="BL44" s="341"/>
      <c r="BM44" s="341"/>
      <c r="BN44" s="341"/>
      <c r="BO44" s="341"/>
      <c r="BP44" s="341"/>
      <c r="BQ44" s="341"/>
    </row>
    <row r="45" spans="1:70" s="78" customFormat="1" ht="14.25" customHeight="1" x14ac:dyDescent="0.2">
      <c r="A45" s="121"/>
      <c r="B45" s="220"/>
      <c r="C45" s="220"/>
      <c r="D45" s="221"/>
      <c r="E45" s="221"/>
      <c r="F45" s="221"/>
      <c r="G45" s="221"/>
      <c r="H45" s="221"/>
      <c r="I45" s="221"/>
      <c r="J45" s="16"/>
      <c r="K45" s="9"/>
      <c r="L45" s="9"/>
      <c r="M45" s="9"/>
      <c r="N45" s="9"/>
      <c r="O45" s="9"/>
      <c r="P45" s="9"/>
      <c r="Q45" s="9"/>
      <c r="R45" s="9"/>
      <c r="S45" s="9"/>
      <c r="T45" s="9"/>
      <c r="U45" s="9"/>
      <c r="V45" s="122"/>
      <c r="W45" s="139"/>
      <c r="X45" s="289"/>
      <c r="Y45" s="1276"/>
      <c r="Z45" s="1284"/>
      <c r="AA45" s="1276"/>
      <c r="AB45" s="1276"/>
      <c r="AC45" s="1276"/>
      <c r="AD45" s="1276"/>
      <c r="AE45" s="1276"/>
      <c r="AF45" s="1276"/>
      <c r="AG45" s="1276"/>
      <c r="AH45" s="1276"/>
      <c r="AI45" s="1276"/>
      <c r="AJ45" s="560" t="b">
        <v>1</v>
      </c>
      <c r="AK45" s="156" t="s">
        <v>6</v>
      </c>
      <c r="AL45" s="89" t="str">
        <f t="shared" si="20"/>
        <v>Hampshire</v>
      </c>
      <c r="AM45" s="143">
        <f t="shared" si="21"/>
        <v>21.314387211367674</v>
      </c>
      <c r="AN45" s="143">
        <f t="shared" si="21"/>
        <v>17.985101099680737</v>
      </c>
      <c r="AO45" s="143">
        <f t="shared" si="21"/>
        <v>22.878359264497877</v>
      </c>
      <c r="AP45" s="143">
        <f t="shared" si="21"/>
        <v>22.202612072008471</v>
      </c>
      <c r="AQ45" s="143">
        <f t="shared" si="21"/>
        <v>22.95774647887324</v>
      </c>
      <c r="AR45" s="144">
        <f t="shared" si="23"/>
        <v>10.100000000000001</v>
      </c>
      <c r="AS45" s="341" t="e">
        <f>VLOOKUP($AL45,#REF!,AS$37,FALSE)</f>
        <v>#REF!</v>
      </c>
      <c r="AT45" s="341" t="e">
        <f>VLOOKUP($AL45,#REF!,AT$37,FALSE)</f>
        <v>#REF!</v>
      </c>
      <c r="AU45" s="341" t="e">
        <f>VLOOKUP($AL45,#REF!,AU$37,FALSE)</f>
        <v>#REF!</v>
      </c>
      <c r="AV45" s="341" t="e">
        <f>VLOOKUP($AL45,#REF!,AV$37,FALSE)</f>
        <v>#REF!</v>
      </c>
      <c r="AW45" s="341" t="e">
        <f>VLOOKUP($AL45,#REF!,AW$37,FALSE)</f>
        <v>#REF!</v>
      </c>
      <c r="AX45" s="341" t="e">
        <f t="shared" si="22"/>
        <v>#N/A</v>
      </c>
      <c r="AY45" s="341" t="e">
        <f t="shared" si="22"/>
        <v>#N/A</v>
      </c>
      <c r="AZ45" s="341" t="e">
        <f t="shared" si="22"/>
        <v>#N/A</v>
      </c>
      <c r="BA45" s="341" t="e">
        <f t="shared" si="22"/>
        <v>#N/A</v>
      </c>
      <c r="BB45" s="341">
        <f t="shared" si="22"/>
        <v>1.8404907975460124E-2</v>
      </c>
      <c r="BC45" s="89"/>
      <c r="BD45" s="341"/>
      <c r="BE45" s="341"/>
      <c r="BF45" s="341"/>
      <c r="BG45" s="341"/>
      <c r="BH45" s="341"/>
      <c r="BI45" s="341"/>
      <c r="BJ45" s="341"/>
      <c r="BK45" s="341"/>
      <c r="BL45" s="341"/>
      <c r="BM45" s="341"/>
      <c r="BN45" s="341"/>
      <c r="BO45" s="341"/>
      <c r="BP45" s="341"/>
      <c r="BQ45" s="341"/>
    </row>
    <row r="46" spans="1:70" ht="14.25" customHeight="1" x14ac:dyDescent="0.2">
      <c r="A46" s="120"/>
      <c r="B46" s="221"/>
      <c r="C46" s="221"/>
      <c r="D46" s="221"/>
      <c r="E46" s="221"/>
      <c r="F46" s="221"/>
      <c r="G46" s="221"/>
      <c r="H46" s="221"/>
      <c r="I46" s="221"/>
      <c r="J46" s="13"/>
      <c r="K46" s="15"/>
      <c r="L46" s="15"/>
      <c r="M46" s="15"/>
      <c r="N46" s="15"/>
      <c r="O46" s="9"/>
      <c r="P46" s="9"/>
      <c r="Q46" s="9"/>
      <c r="R46" s="9"/>
      <c r="S46" s="9"/>
      <c r="T46" s="9"/>
      <c r="U46" s="9"/>
      <c r="V46" s="119"/>
      <c r="W46" s="138"/>
      <c r="X46" s="288"/>
      <c r="Z46" s="1284"/>
      <c r="AJ46" s="560" t="b">
        <v>1</v>
      </c>
      <c r="AK46" s="156" t="s">
        <v>1</v>
      </c>
      <c r="AL46" s="89" t="str">
        <f t="shared" si="20"/>
        <v>Isle of Wight</v>
      </c>
      <c r="AM46" s="143">
        <f t="shared" si="21"/>
        <v>33.725490196078432</v>
      </c>
      <c r="AN46" s="143">
        <f t="shared" si="21"/>
        <v>28.853754940711465</v>
      </c>
      <c r="AO46" s="143">
        <f t="shared" si="21"/>
        <v>39.285714285714292</v>
      </c>
      <c r="AP46" s="143">
        <f t="shared" si="21"/>
        <v>30.278884462151392</v>
      </c>
      <c r="AQ46" s="143">
        <f t="shared" si="21"/>
        <v>29.718875502008032</v>
      </c>
      <c r="AR46" s="144">
        <f t="shared" si="23"/>
        <v>18</v>
      </c>
      <c r="AS46" s="341" t="e">
        <f>VLOOKUP($AL46,#REF!,AS$37,FALSE)</f>
        <v>#REF!</v>
      </c>
      <c r="AT46" s="341" t="e">
        <f>VLOOKUP($AL46,#REF!,AT$37,FALSE)</f>
        <v>#REF!</v>
      </c>
      <c r="AU46" s="341" t="e">
        <f>VLOOKUP($AL46,#REF!,AU$37,FALSE)</f>
        <v>#REF!</v>
      </c>
      <c r="AV46" s="341" t="e">
        <f>VLOOKUP($AL46,#REF!,AV$37,FALSE)</f>
        <v>#REF!</v>
      </c>
      <c r="AW46" s="341" t="e">
        <f>VLOOKUP($AL46,#REF!,AW$37,FALSE)</f>
        <v>#REF!</v>
      </c>
      <c r="AX46" s="341" t="e">
        <f t="shared" si="22"/>
        <v>#N/A</v>
      </c>
      <c r="AY46" s="341" t="e">
        <f t="shared" si="22"/>
        <v>#N/A</v>
      </c>
      <c r="AZ46" s="341" t="e">
        <f t="shared" si="22"/>
        <v>#N/A</v>
      </c>
      <c r="BA46" s="341" t="e">
        <f t="shared" si="22"/>
        <v>#N/A</v>
      </c>
      <c r="BB46" s="341" t="e">
        <f t="shared" si="22"/>
        <v>#N/A</v>
      </c>
      <c r="BC46" s="89"/>
      <c r="BD46" s="341"/>
      <c r="BE46" s="341"/>
      <c r="BF46" s="341"/>
      <c r="BG46" s="341"/>
      <c r="BH46" s="341"/>
      <c r="BI46" s="341"/>
      <c r="BJ46" s="341"/>
      <c r="BK46" s="341"/>
      <c r="BL46" s="341"/>
      <c r="BM46" s="341"/>
      <c r="BN46" s="341"/>
      <c r="BO46" s="341"/>
      <c r="BP46" s="341"/>
      <c r="BQ46" s="341"/>
    </row>
    <row r="47" spans="1:70" ht="14.25" customHeight="1" x14ac:dyDescent="0.2">
      <c r="A47" s="120"/>
      <c r="B47" s="221"/>
      <c r="C47" s="221"/>
      <c r="D47" s="221"/>
      <c r="E47" s="221"/>
      <c r="F47" s="221"/>
      <c r="G47" s="221"/>
      <c r="H47" s="221"/>
      <c r="I47" s="221"/>
      <c r="J47" s="13"/>
      <c r="K47" s="15"/>
      <c r="L47" s="15"/>
      <c r="M47" s="15"/>
      <c r="N47" s="15"/>
      <c r="O47" s="9"/>
      <c r="P47" s="9"/>
      <c r="Q47" s="9"/>
      <c r="R47" s="9"/>
      <c r="S47" s="9"/>
      <c r="T47" s="9"/>
      <c r="U47" s="9"/>
      <c r="V47" s="119"/>
      <c r="W47" s="138"/>
      <c r="X47" s="288"/>
      <c r="Z47" s="1284"/>
      <c r="AD47" s="1283"/>
      <c r="AJ47" s="560" t="b">
        <v>1</v>
      </c>
      <c r="AK47" s="156" t="s">
        <v>9</v>
      </c>
      <c r="AL47" s="89" t="str">
        <f t="shared" si="20"/>
        <v>Kent</v>
      </c>
      <c r="AM47" s="143">
        <f t="shared" si="21"/>
        <v>27.68809016143771</v>
      </c>
      <c r="AN47" s="143">
        <f t="shared" si="21"/>
        <v>45.520581113801448</v>
      </c>
      <c r="AO47" s="143">
        <f t="shared" si="21"/>
        <v>26.726726726726728</v>
      </c>
      <c r="AP47" s="143">
        <f t="shared" si="21"/>
        <v>22.850342160071406</v>
      </c>
      <c r="AQ47" s="143">
        <f t="shared" si="21"/>
        <v>20.464569244339902</v>
      </c>
      <c r="AR47" s="144">
        <f t="shared" si="23"/>
        <v>15.8</v>
      </c>
      <c r="AS47" s="341" t="e">
        <f>VLOOKUP($AL47,#REF!,AS$37,FALSE)</f>
        <v>#REF!</v>
      </c>
      <c r="AT47" s="341" t="e">
        <f>VLOOKUP($AL47,#REF!,AT$37,FALSE)</f>
        <v>#REF!</v>
      </c>
      <c r="AU47" s="341" t="e">
        <f>VLOOKUP($AL47,#REF!,AU$37,FALSE)</f>
        <v>#REF!</v>
      </c>
      <c r="AV47" s="341" t="e">
        <f>VLOOKUP($AL47,#REF!,AV$37,FALSE)</f>
        <v>#REF!</v>
      </c>
      <c r="AW47" s="341" t="e">
        <f>VLOOKUP($AL47,#REF!,AW$37,FALSE)</f>
        <v>#REF!</v>
      </c>
      <c r="AX47" s="341" t="e">
        <f t="shared" si="22"/>
        <v>#N/A</v>
      </c>
      <c r="AY47" s="341" t="e">
        <f t="shared" si="22"/>
        <v>#N/A</v>
      </c>
      <c r="AZ47" s="341" t="e">
        <f t="shared" si="22"/>
        <v>#N/A</v>
      </c>
      <c r="BA47" s="341" t="e">
        <f t="shared" si="22"/>
        <v>#N/A</v>
      </c>
      <c r="BB47" s="341" t="e">
        <f t="shared" si="22"/>
        <v>#N/A</v>
      </c>
      <c r="BC47" s="89"/>
      <c r="BD47" s="341"/>
      <c r="BE47" s="341"/>
      <c r="BF47" s="341"/>
      <c r="BG47" s="341"/>
      <c r="BH47" s="341"/>
      <c r="BI47" s="341"/>
      <c r="BJ47" s="341"/>
      <c r="BK47" s="341"/>
      <c r="BL47" s="341"/>
      <c r="BM47" s="341"/>
      <c r="BN47" s="341"/>
      <c r="BO47" s="341"/>
      <c r="BP47" s="341"/>
      <c r="BQ47" s="341"/>
    </row>
    <row r="48" spans="1:70" ht="14.25" customHeight="1" x14ac:dyDescent="0.2">
      <c r="A48" s="120"/>
      <c r="B48" s="58"/>
      <c r="C48" s="58"/>
      <c r="D48" s="58"/>
      <c r="E48" s="58"/>
      <c r="F48" s="58"/>
      <c r="G48" s="58"/>
      <c r="H48" s="58"/>
      <c r="I48" s="58"/>
      <c r="J48" s="13"/>
      <c r="K48" s="15"/>
      <c r="L48" s="15"/>
      <c r="M48" s="15"/>
      <c r="N48" s="15"/>
      <c r="O48" s="9"/>
      <c r="P48" s="9"/>
      <c r="Q48" s="9"/>
      <c r="R48" s="9"/>
      <c r="S48" s="9"/>
      <c r="T48" s="9"/>
      <c r="U48" s="9"/>
      <c r="V48" s="119"/>
      <c r="W48" s="138"/>
      <c r="X48" s="288"/>
      <c r="Z48" s="1284"/>
      <c r="AD48" s="179"/>
      <c r="AJ48" s="560" t="b">
        <v>1</v>
      </c>
      <c r="AK48" s="156" t="s">
        <v>2</v>
      </c>
      <c r="AL48" s="89" t="str">
        <f t="shared" si="20"/>
        <v>Medway</v>
      </c>
      <c r="AM48" s="143">
        <f t="shared" si="21"/>
        <v>38.080000000000005</v>
      </c>
      <c r="AN48" s="143">
        <f t="shared" si="21"/>
        <v>32.911392405063289</v>
      </c>
      <c r="AO48" s="143">
        <f t="shared" si="21"/>
        <v>22.762951334379906</v>
      </c>
      <c r="AP48" s="143">
        <f t="shared" si="21"/>
        <v>27.386541471048513</v>
      </c>
      <c r="AQ48" s="143">
        <f t="shared" si="21"/>
        <v>25.93167701863354</v>
      </c>
      <c r="AR48" s="144">
        <f t="shared" si="23"/>
        <v>18.899999999999999</v>
      </c>
      <c r="AS48" s="341" t="e">
        <f>VLOOKUP($AL48,#REF!,AS$37,FALSE)</f>
        <v>#REF!</v>
      </c>
      <c r="AT48" s="341" t="e">
        <f>VLOOKUP($AL48,#REF!,AT$37,FALSE)</f>
        <v>#REF!</v>
      </c>
      <c r="AU48" s="341" t="e">
        <f>VLOOKUP($AL48,#REF!,AU$37,FALSE)</f>
        <v>#REF!</v>
      </c>
      <c r="AV48" s="341" t="e">
        <f>VLOOKUP($AL48,#REF!,AV$37,FALSE)</f>
        <v>#REF!</v>
      </c>
      <c r="AW48" s="341" t="e">
        <f>VLOOKUP($AL48,#REF!,AW$37,FALSE)</f>
        <v>#REF!</v>
      </c>
      <c r="AX48" s="341" t="e">
        <f t="shared" si="22"/>
        <v>#N/A</v>
      </c>
      <c r="AY48" s="341" t="e">
        <f t="shared" si="22"/>
        <v>#N/A</v>
      </c>
      <c r="AZ48" s="341" t="e">
        <f t="shared" si="22"/>
        <v>#N/A</v>
      </c>
      <c r="BA48" s="341" t="e">
        <f t="shared" si="22"/>
        <v>#N/A</v>
      </c>
      <c r="BB48" s="341" t="e">
        <f t="shared" si="22"/>
        <v>#N/A</v>
      </c>
      <c r="BC48" s="89"/>
      <c r="BD48" s="341"/>
      <c r="BE48" s="341"/>
      <c r="BF48" s="341"/>
      <c r="BG48" s="341"/>
      <c r="BH48" s="341"/>
      <c r="BI48" s="341"/>
      <c r="BJ48" s="341"/>
      <c r="BK48" s="341"/>
      <c r="BL48" s="341"/>
      <c r="BM48" s="341"/>
      <c r="BN48" s="341"/>
      <c r="BO48" s="341"/>
      <c r="BP48" s="341"/>
      <c r="BQ48" s="341"/>
    </row>
    <row r="49" spans="1:69" ht="14.25" customHeight="1" x14ac:dyDescent="0.2">
      <c r="A49" s="120"/>
      <c r="B49" s="58"/>
      <c r="C49" s="58"/>
      <c r="D49" s="68"/>
      <c r="E49" s="69"/>
      <c r="F49" s="68"/>
      <c r="G49" s="69"/>
      <c r="H49" s="69"/>
      <c r="I49" s="69"/>
      <c r="J49" s="13"/>
      <c r="K49" s="15"/>
      <c r="L49" s="15"/>
      <c r="M49" s="15"/>
      <c r="N49" s="15"/>
      <c r="O49" s="9"/>
      <c r="P49" s="9"/>
      <c r="Q49" s="9"/>
      <c r="R49" s="9"/>
      <c r="S49" s="9"/>
      <c r="T49" s="9"/>
      <c r="U49" s="9"/>
      <c r="V49" s="119"/>
      <c r="W49" s="138"/>
      <c r="X49" s="288"/>
      <c r="Z49" s="1284"/>
      <c r="AJ49" s="560" t="b">
        <v>1</v>
      </c>
      <c r="AK49" s="156" t="s">
        <v>10</v>
      </c>
      <c r="AL49" s="89" t="str">
        <f t="shared" si="20"/>
        <v>Milton Keynes</v>
      </c>
      <c r="AM49" s="143">
        <f t="shared" si="21"/>
        <v>25.766871165644172</v>
      </c>
      <c r="AN49" s="143">
        <f t="shared" si="21"/>
        <v>27.685325264750379</v>
      </c>
      <c r="AO49" s="143">
        <f t="shared" si="21"/>
        <v>29.359165424739196</v>
      </c>
      <c r="AP49" s="143">
        <f t="shared" si="21"/>
        <v>20.710059171597635</v>
      </c>
      <c r="AQ49" s="143">
        <f t="shared" si="21"/>
        <v>23.718887262079061</v>
      </c>
      <c r="AR49" s="144">
        <f t="shared" si="23"/>
        <v>15</v>
      </c>
      <c r="AS49" s="341" t="e">
        <f>VLOOKUP($AL49,#REF!,AS$37,FALSE)</f>
        <v>#REF!</v>
      </c>
      <c r="AT49" s="341" t="e">
        <f>VLOOKUP($AL49,#REF!,AT$37,FALSE)</f>
        <v>#REF!</v>
      </c>
      <c r="AU49" s="341" t="e">
        <f>VLOOKUP($AL49,#REF!,AU$37,FALSE)</f>
        <v>#REF!</v>
      </c>
      <c r="AV49" s="341" t="e">
        <f>VLOOKUP($AL49,#REF!,AV$37,FALSE)</f>
        <v>#REF!</v>
      </c>
      <c r="AW49" s="341" t="e">
        <f>VLOOKUP($AL49,#REF!,AW$37,FALSE)</f>
        <v>#REF!</v>
      </c>
      <c r="AX49" s="341" t="e">
        <f t="shared" si="22"/>
        <v>#N/A</v>
      </c>
      <c r="AY49" s="341" t="e">
        <f t="shared" si="22"/>
        <v>#N/A</v>
      </c>
      <c r="AZ49" s="341" t="e">
        <f t="shared" si="22"/>
        <v>#N/A</v>
      </c>
      <c r="BA49" s="341" t="e">
        <f t="shared" si="22"/>
        <v>#N/A</v>
      </c>
      <c r="BB49" s="341" t="e">
        <f t="shared" si="22"/>
        <v>#N/A</v>
      </c>
      <c r="BC49" s="89"/>
      <c r="BD49" s="341"/>
      <c r="BE49" s="341"/>
      <c r="BF49" s="341"/>
      <c r="BG49" s="341"/>
      <c r="BH49" s="341"/>
      <c r="BI49" s="341"/>
      <c r="BJ49" s="341"/>
      <c r="BK49" s="341"/>
      <c r="BL49" s="341"/>
      <c r="BM49" s="341"/>
      <c r="BN49" s="341"/>
      <c r="BO49" s="341"/>
      <c r="BP49" s="341"/>
      <c r="BQ49" s="341"/>
    </row>
    <row r="50" spans="1:69" ht="14.25" customHeight="1" x14ac:dyDescent="0.2">
      <c r="A50" s="120"/>
      <c r="B50" s="58"/>
      <c r="C50" s="58"/>
      <c r="D50" s="61"/>
      <c r="E50" s="61"/>
      <c r="F50" s="61"/>
      <c r="G50" s="61"/>
      <c r="H50" s="61"/>
      <c r="I50" s="61"/>
      <c r="J50" s="13"/>
      <c r="K50" s="15"/>
      <c r="L50" s="15"/>
      <c r="M50" s="15"/>
      <c r="N50" s="15"/>
      <c r="O50" s="9"/>
      <c r="P50" s="9"/>
      <c r="Q50" s="9"/>
      <c r="R50" s="9"/>
      <c r="S50" s="9"/>
      <c r="T50" s="9"/>
      <c r="U50" s="9"/>
      <c r="V50" s="119"/>
      <c r="W50" s="138"/>
      <c r="X50" s="288"/>
      <c r="Z50" s="1284"/>
      <c r="AJ50" s="560" t="b">
        <v>1</v>
      </c>
      <c r="AK50" s="156" t="s">
        <v>11</v>
      </c>
      <c r="AL50" s="89" t="str">
        <f t="shared" si="20"/>
        <v>Oxfordshire</v>
      </c>
      <c r="AM50" s="143">
        <f t="shared" si="21"/>
        <v>20.467422096317282</v>
      </c>
      <c r="AN50" s="143">
        <f t="shared" si="21"/>
        <v>25.176304654442877</v>
      </c>
      <c r="AO50" s="143">
        <f t="shared" si="21"/>
        <v>24.70258922323303</v>
      </c>
      <c r="AP50" s="143">
        <f t="shared" si="21"/>
        <v>21.129707112970713</v>
      </c>
      <c r="AQ50" s="143">
        <f t="shared" si="21"/>
        <v>24.516574585635361</v>
      </c>
      <c r="AR50" s="144">
        <f t="shared" si="23"/>
        <v>10.100000000000001</v>
      </c>
      <c r="AS50" s="341" t="e">
        <f>VLOOKUP($AL50,#REF!,AS$37,FALSE)</f>
        <v>#REF!</v>
      </c>
      <c r="AT50" s="341" t="e">
        <f>VLOOKUP($AL50,#REF!,AT$37,FALSE)</f>
        <v>#REF!</v>
      </c>
      <c r="AU50" s="341" t="e">
        <f>VLOOKUP($AL50,#REF!,AU$37,FALSE)</f>
        <v>#REF!</v>
      </c>
      <c r="AV50" s="341" t="e">
        <f>VLOOKUP($AL50,#REF!,AV$37,FALSE)</f>
        <v>#REF!</v>
      </c>
      <c r="AW50" s="341" t="e">
        <f>VLOOKUP($AL50,#REF!,AW$37,FALSE)</f>
        <v>#REF!</v>
      </c>
      <c r="AX50" s="341" t="e">
        <f t="shared" si="22"/>
        <v>#N/A</v>
      </c>
      <c r="AY50" s="341" t="e">
        <f t="shared" si="22"/>
        <v>#N/A</v>
      </c>
      <c r="AZ50" s="341" t="e">
        <f t="shared" si="22"/>
        <v>#N/A</v>
      </c>
      <c r="BA50" s="341" t="e">
        <f t="shared" si="22"/>
        <v>#N/A</v>
      </c>
      <c r="BB50" s="341" t="e">
        <f t="shared" si="22"/>
        <v>#N/A</v>
      </c>
      <c r="BC50" s="89"/>
      <c r="BD50" s="341"/>
      <c r="BE50" s="341"/>
      <c r="BF50" s="341"/>
      <c r="BG50" s="341"/>
      <c r="BH50" s="341"/>
      <c r="BI50" s="341"/>
      <c r="BJ50" s="341"/>
      <c r="BK50" s="341"/>
      <c r="BL50" s="341"/>
      <c r="BM50" s="341"/>
      <c r="BN50" s="341"/>
      <c r="BO50" s="341"/>
      <c r="BP50" s="341"/>
      <c r="BQ50" s="341"/>
    </row>
    <row r="51" spans="1:69" ht="14.25" customHeight="1" x14ac:dyDescent="0.2">
      <c r="A51" s="120"/>
      <c r="B51" s="412"/>
      <c r="C51" s="412"/>
      <c r="D51" s="58"/>
      <c r="E51" s="58"/>
      <c r="F51" s="58"/>
      <c r="G51" s="58"/>
      <c r="H51" s="58"/>
      <c r="I51" s="58"/>
      <c r="J51" s="13"/>
      <c r="K51" s="15"/>
      <c r="L51" s="15"/>
      <c r="M51" s="15"/>
      <c r="N51" s="15"/>
      <c r="O51" s="9"/>
      <c r="P51" s="9"/>
      <c r="Q51" s="9"/>
      <c r="R51" s="9"/>
      <c r="S51" s="9"/>
      <c r="T51" s="9"/>
      <c r="U51" s="9"/>
      <c r="V51" s="119"/>
      <c r="W51" s="138"/>
      <c r="X51" s="288"/>
      <c r="Z51" s="1284"/>
      <c r="AJ51" s="560" t="b">
        <v>1</v>
      </c>
      <c r="AK51" s="156" t="s">
        <v>12</v>
      </c>
      <c r="AL51" s="89" t="str">
        <f t="shared" si="20"/>
        <v>Portsmouth</v>
      </c>
      <c r="AM51" s="143">
        <f t="shared" ref="AM51:AQ64" si="24">VLOOKUP($AL51,$B$10:$O$33,AM$37,FALSE)</f>
        <v>35.714285714285715</v>
      </c>
      <c r="AN51" s="143">
        <f t="shared" si="24"/>
        <v>29.223744292237445</v>
      </c>
      <c r="AO51" s="143">
        <f t="shared" si="24"/>
        <v>36.136363636363633</v>
      </c>
      <c r="AP51" s="143">
        <f t="shared" si="24"/>
        <v>53.619909502262445</v>
      </c>
      <c r="AQ51" s="143">
        <f t="shared" si="24"/>
        <v>52.045454545454547</v>
      </c>
      <c r="AR51" s="144">
        <f t="shared" si="23"/>
        <v>20.200000000000003</v>
      </c>
      <c r="AS51" s="341" t="e">
        <f>VLOOKUP($AL51,#REF!,AS$37,FALSE)</f>
        <v>#REF!</v>
      </c>
      <c r="AT51" s="341" t="e">
        <f>VLOOKUP($AL51,#REF!,AT$37,FALSE)</f>
        <v>#REF!</v>
      </c>
      <c r="AU51" s="341" t="e">
        <f>VLOOKUP($AL51,#REF!,AU$37,FALSE)</f>
        <v>#REF!</v>
      </c>
      <c r="AV51" s="341" t="e">
        <f>VLOOKUP($AL51,#REF!,AV$37,FALSE)</f>
        <v>#REF!</v>
      </c>
      <c r="AW51" s="341" t="e">
        <f>VLOOKUP($AL51,#REF!,AW$37,FALSE)</f>
        <v>#REF!</v>
      </c>
      <c r="AX51" s="341" t="e">
        <f t="shared" ref="AX51:BB64" si="25">VLOOKUP($AL51,$B$77:$H$100,AX$37,FALSE)</f>
        <v>#N/A</v>
      </c>
      <c r="AY51" s="341" t="e">
        <f t="shared" si="25"/>
        <v>#N/A</v>
      </c>
      <c r="AZ51" s="341" t="e">
        <f t="shared" si="25"/>
        <v>#N/A</v>
      </c>
      <c r="BA51" s="341" t="e">
        <f t="shared" si="25"/>
        <v>#N/A</v>
      </c>
      <c r="BB51" s="341" t="e">
        <f t="shared" si="25"/>
        <v>#N/A</v>
      </c>
      <c r="BC51" s="89"/>
      <c r="BD51" s="341"/>
      <c r="BE51" s="341"/>
      <c r="BF51" s="341"/>
      <c r="BG51" s="341"/>
      <c r="BH51" s="341"/>
      <c r="BI51" s="341"/>
      <c r="BJ51" s="341"/>
      <c r="BK51" s="341"/>
      <c r="BL51" s="341"/>
      <c r="BM51" s="341"/>
      <c r="BN51" s="341"/>
      <c r="BO51" s="341"/>
      <c r="BP51" s="341"/>
      <c r="BQ51" s="341"/>
    </row>
    <row r="52" spans="1:69" ht="14.25" customHeight="1" x14ac:dyDescent="0.2">
      <c r="A52" s="120"/>
      <c r="B52" s="412"/>
      <c r="C52" s="412"/>
      <c r="D52" s="58"/>
      <c r="E52" s="58"/>
      <c r="F52" s="58"/>
      <c r="G52" s="58"/>
      <c r="H52" s="58"/>
      <c r="I52" s="58"/>
      <c r="J52" s="13"/>
      <c r="K52" s="15"/>
      <c r="L52" s="15"/>
      <c r="M52" s="15"/>
      <c r="N52" s="15"/>
      <c r="O52" s="9"/>
      <c r="P52" s="9"/>
      <c r="Q52" s="9"/>
      <c r="R52" s="9"/>
      <c r="S52" s="9"/>
      <c r="T52" s="9"/>
      <c r="U52" s="9"/>
      <c r="V52" s="119"/>
      <c r="W52" s="138"/>
      <c r="X52" s="288"/>
      <c r="Z52" s="1284"/>
      <c r="AJ52" s="560" t="b">
        <v>1</v>
      </c>
      <c r="AK52" s="156" t="s">
        <v>3</v>
      </c>
      <c r="AL52" s="89" t="str">
        <f t="shared" si="20"/>
        <v>Reading</v>
      </c>
      <c r="AM52" s="143">
        <f t="shared" si="24"/>
        <v>23.398328690807801</v>
      </c>
      <c r="AN52" s="143">
        <f t="shared" si="24"/>
        <v>35.714285714285715</v>
      </c>
      <c r="AO52" s="143">
        <f t="shared" si="24"/>
        <v>38.797814207650276</v>
      </c>
      <c r="AP52" s="143">
        <f t="shared" si="24"/>
        <v>28.840970350404316</v>
      </c>
      <c r="AQ52" s="143">
        <f t="shared" si="24"/>
        <v>23.989218328840973</v>
      </c>
      <c r="AR52" s="144">
        <f t="shared" si="23"/>
        <v>16</v>
      </c>
      <c r="AS52" s="341" t="e">
        <f>VLOOKUP($AL52,#REF!,AS$37,FALSE)</f>
        <v>#REF!</v>
      </c>
      <c r="AT52" s="341" t="e">
        <f>VLOOKUP($AL52,#REF!,AT$37,FALSE)</f>
        <v>#REF!</v>
      </c>
      <c r="AU52" s="341" t="e">
        <f>VLOOKUP($AL52,#REF!,AU$37,FALSE)</f>
        <v>#REF!</v>
      </c>
      <c r="AV52" s="341" t="e">
        <f>VLOOKUP($AL52,#REF!,AV$37,FALSE)</f>
        <v>#REF!</v>
      </c>
      <c r="AW52" s="341" t="e">
        <f>VLOOKUP($AL52,#REF!,AW$37,FALSE)</f>
        <v>#REF!</v>
      </c>
      <c r="AX52" s="341" t="e">
        <f t="shared" si="25"/>
        <v>#N/A</v>
      </c>
      <c r="AY52" s="341" t="e">
        <f t="shared" si="25"/>
        <v>#N/A</v>
      </c>
      <c r="AZ52" s="341" t="e">
        <f t="shared" si="25"/>
        <v>#N/A</v>
      </c>
      <c r="BA52" s="341" t="e">
        <f t="shared" si="25"/>
        <v>#N/A</v>
      </c>
      <c r="BB52" s="341" t="e">
        <f t="shared" si="25"/>
        <v>#N/A</v>
      </c>
      <c r="BC52" s="341"/>
      <c r="BD52" s="341"/>
      <c r="BE52" s="341"/>
      <c r="BF52" s="341"/>
      <c r="BG52" s="341"/>
      <c r="BH52" s="341"/>
      <c r="BI52" s="341"/>
      <c r="BJ52" s="341"/>
      <c r="BK52" s="341"/>
      <c r="BL52" s="341"/>
      <c r="BM52" s="341"/>
      <c r="BN52" s="341"/>
      <c r="BO52" s="341"/>
      <c r="BP52" s="341"/>
      <c r="BQ52" s="341"/>
    </row>
    <row r="53" spans="1:69" ht="14.25" customHeight="1" x14ac:dyDescent="0.2">
      <c r="A53" s="120"/>
      <c r="B53" s="412"/>
      <c r="C53" s="412"/>
      <c r="D53" s="58"/>
      <c r="E53" s="58"/>
      <c r="F53" s="58"/>
      <c r="G53" s="58"/>
      <c r="H53" s="58"/>
      <c r="I53" s="58"/>
      <c r="J53" s="13"/>
      <c r="K53" s="15"/>
      <c r="L53" s="15"/>
      <c r="M53" s="15"/>
      <c r="N53" s="15"/>
      <c r="O53" s="9"/>
      <c r="P53" s="9"/>
      <c r="Q53" s="9"/>
      <c r="R53" s="9"/>
      <c r="S53" s="9"/>
      <c r="T53" s="9"/>
      <c r="U53" s="9"/>
      <c r="V53" s="119"/>
      <c r="W53" s="138"/>
      <c r="X53" s="288"/>
      <c r="Z53" s="1284"/>
      <c r="AJ53" s="560" t="b">
        <v>1</v>
      </c>
      <c r="AK53" s="156" t="s">
        <v>13</v>
      </c>
      <c r="AL53" s="89" t="str">
        <f t="shared" si="20"/>
        <v>Slough</v>
      </c>
      <c r="AM53" s="143">
        <f t="shared" si="24"/>
        <v>29.824561403508774</v>
      </c>
      <c r="AN53" s="143">
        <f t="shared" si="24"/>
        <v>31.773399014778324</v>
      </c>
      <c r="AO53" s="143">
        <f t="shared" si="24"/>
        <v>28.5024154589372</v>
      </c>
      <c r="AP53" s="143">
        <f t="shared" si="24"/>
        <v>29.620853080568718</v>
      </c>
      <c r="AQ53" s="143">
        <f t="shared" si="24"/>
        <v>31.381733021077284</v>
      </c>
      <c r="AR53" s="144">
        <f t="shared" si="23"/>
        <v>14.7</v>
      </c>
      <c r="AS53" s="341" t="e">
        <f>VLOOKUP($AL53,#REF!,AS$37,FALSE)</f>
        <v>#REF!</v>
      </c>
      <c r="AT53" s="341" t="e">
        <f>VLOOKUP($AL53,#REF!,AT$37,FALSE)</f>
        <v>#REF!</v>
      </c>
      <c r="AU53" s="341" t="e">
        <f>VLOOKUP($AL53,#REF!,AU$37,FALSE)</f>
        <v>#REF!</v>
      </c>
      <c r="AV53" s="341" t="e">
        <f>VLOOKUP($AL53,#REF!,AV$37,FALSE)</f>
        <v>#REF!</v>
      </c>
      <c r="AW53" s="341" t="e">
        <f>VLOOKUP($AL53,#REF!,AW$37,FALSE)</f>
        <v>#REF!</v>
      </c>
      <c r="AX53" s="341" t="e">
        <f t="shared" si="25"/>
        <v>#N/A</v>
      </c>
      <c r="AY53" s="341" t="e">
        <f t="shared" si="25"/>
        <v>#N/A</v>
      </c>
      <c r="AZ53" s="341" t="e">
        <f t="shared" si="25"/>
        <v>#N/A</v>
      </c>
      <c r="BA53" s="341" t="e">
        <f t="shared" si="25"/>
        <v>#N/A</v>
      </c>
      <c r="BB53" s="341">
        <f t="shared" si="25"/>
        <v>5.9701492537313432E-2</v>
      </c>
      <c r="BC53" s="341"/>
      <c r="BD53" s="341"/>
      <c r="BE53" s="341"/>
      <c r="BF53" s="341"/>
      <c r="BG53" s="341"/>
      <c r="BH53" s="341"/>
      <c r="BI53" s="341"/>
      <c r="BJ53" s="341"/>
      <c r="BK53" s="341"/>
      <c r="BL53" s="341"/>
      <c r="BM53" s="341"/>
      <c r="BN53" s="341"/>
      <c r="BO53" s="341"/>
      <c r="BP53" s="341"/>
      <c r="BQ53" s="341"/>
    </row>
    <row r="54" spans="1:69" ht="14.25" customHeight="1" x14ac:dyDescent="0.2">
      <c r="A54" s="120"/>
      <c r="B54" s="412"/>
      <c r="C54" s="412"/>
      <c r="D54" s="58"/>
      <c r="E54" s="58"/>
      <c r="F54" s="58"/>
      <c r="G54" s="58"/>
      <c r="H54" s="58"/>
      <c r="I54" s="58"/>
      <c r="J54" s="13"/>
      <c r="K54" s="15"/>
      <c r="L54" s="15"/>
      <c r="M54" s="15"/>
      <c r="N54" s="15"/>
      <c r="O54" s="9"/>
      <c r="P54" s="9"/>
      <c r="Q54" s="9"/>
      <c r="R54" s="9"/>
      <c r="S54" s="9"/>
      <c r="T54" s="9"/>
      <c r="U54" s="9"/>
      <c r="V54" s="119"/>
      <c r="W54" s="138"/>
      <c r="X54" s="288"/>
      <c r="Z54" s="1284"/>
      <c r="AJ54" s="560" t="b">
        <v>1</v>
      </c>
      <c r="AK54" s="156" t="s">
        <v>93</v>
      </c>
      <c r="AL54" s="89" t="str">
        <f t="shared" si="20"/>
        <v>Somerset</v>
      </c>
      <c r="AM54" s="143">
        <f t="shared" si="24"/>
        <v>26.354453627180902</v>
      </c>
      <c r="AN54" s="143">
        <f t="shared" si="24"/>
        <v>21.520146520146522</v>
      </c>
      <c r="AO54" s="143">
        <f t="shared" si="24"/>
        <v>20.966271649954422</v>
      </c>
      <c r="AP54" s="143">
        <f t="shared" si="24"/>
        <v>23.43324250681199</v>
      </c>
      <c r="AQ54" s="143">
        <f t="shared" si="24"/>
        <v>17.524841915085815</v>
      </c>
      <c r="AR54" s="144">
        <f t="shared" si="23"/>
        <v>13.600000000000001</v>
      </c>
      <c r="AS54" s="341" t="e">
        <f>VLOOKUP($AL54,#REF!,AS$37,FALSE)</f>
        <v>#REF!</v>
      </c>
      <c r="AT54" s="341" t="e">
        <f>VLOOKUP($AL54,#REF!,AT$37,FALSE)</f>
        <v>#REF!</v>
      </c>
      <c r="AU54" s="341" t="e">
        <f>VLOOKUP($AL54,#REF!,AU$37,FALSE)</f>
        <v>#REF!</v>
      </c>
      <c r="AV54" s="341" t="e">
        <f>VLOOKUP($AL54,#REF!,AV$37,FALSE)</f>
        <v>#REF!</v>
      </c>
      <c r="AW54" s="341" t="e">
        <f>VLOOKUP($AL54,#REF!,AW$37,FALSE)</f>
        <v>#REF!</v>
      </c>
      <c r="AX54" s="341" t="e">
        <f t="shared" si="25"/>
        <v>#N/A</v>
      </c>
      <c r="AY54" s="341" t="e">
        <f t="shared" si="25"/>
        <v>#N/A</v>
      </c>
      <c r="AZ54" s="341" t="e">
        <f t="shared" si="25"/>
        <v>#N/A</v>
      </c>
      <c r="BA54" s="341" t="e">
        <f t="shared" si="25"/>
        <v>#N/A</v>
      </c>
      <c r="BB54" s="341" t="e">
        <f t="shared" si="25"/>
        <v>#N/A</v>
      </c>
      <c r="BC54" s="341"/>
      <c r="BD54" s="341"/>
      <c r="BE54" s="341"/>
      <c r="BF54" s="341"/>
      <c r="BG54" s="341"/>
      <c r="BH54" s="341"/>
      <c r="BI54" s="341"/>
      <c r="BJ54" s="341"/>
      <c r="BK54" s="341"/>
      <c r="BL54" s="341"/>
      <c r="BM54" s="341"/>
      <c r="BN54" s="341"/>
      <c r="BO54" s="341"/>
      <c r="BP54" s="341"/>
      <c r="BQ54" s="341"/>
    </row>
    <row r="55" spans="1:69" ht="14.25" customHeight="1" x14ac:dyDescent="0.2">
      <c r="A55" s="120"/>
      <c r="B55" s="412"/>
      <c r="C55" s="412"/>
      <c r="D55" s="58"/>
      <c r="E55" s="58"/>
      <c r="F55" s="58"/>
      <c r="G55" s="58"/>
      <c r="H55" s="58"/>
      <c r="I55" s="58"/>
      <c r="J55" s="13"/>
      <c r="K55" s="15"/>
      <c r="L55" s="15"/>
      <c r="M55" s="15"/>
      <c r="N55" s="15"/>
      <c r="O55" s="9"/>
      <c r="P55" s="9"/>
      <c r="Q55" s="9"/>
      <c r="R55" s="9"/>
      <c r="S55" s="9"/>
      <c r="T55" s="9"/>
      <c r="U55" s="9"/>
      <c r="V55" s="119"/>
      <c r="W55" s="138"/>
      <c r="X55" s="288"/>
      <c r="Z55" s="1284"/>
      <c r="AJ55" s="560" t="b">
        <v>1</v>
      </c>
      <c r="AK55" s="156" t="s">
        <v>14</v>
      </c>
      <c r="AL55" s="89" t="str">
        <f t="shared" si="20"/>
        <v>Southampton</v>
      </c>
      <c r="AM55" s="143">
        <f t="shared" si="24"/>
        <v>54.732510288065839</v>
      </c>
      <c r="AN55" s="143">
        <f t="shared" si="24"/>
        <v>43.495934959349597</v>
      </c>
      <c r="AO55" s="143">
        <f t="shared" si="24"/>
        <v>33.667334669338679</v>
      </c>
      <c r="AP55" s="143">
        <f t="shared" si="24"/>
        <v>35.387673956262425</v>
      </c>
      <c r="AQ55" s="143">
        <f t="shared" si="24"/>
        <v>33.464566929133859</v>
      </c>
      <c r="AR55" s="144">
        <f t="shared" si="23"/>
        <v>20.5</v>
      </c>
      <c r="AS55" s="341" t="e">
        <f>VLOOKUP($AL55,#REF!,AS$37,FALSE)</f>
        <v>#REF!</v>
      </c>
      <c r="AT55" s="341" t="e">
        <f>VLOOKUP($AL55,#REF!,AT$37,FALSE)</f>
        <v>#REF!</v>
      </c>
      <c r="AU55" s="341" t="e">
        <f>VLOOKUP($AL55,#REF!,AU$37,FALSE)</f>
        <v>#REF!</v>
      </c>
      <c r="AV55" s="341" t="e">
        <f>VLOOKUP($AL55,#REF!,AV$37,FALSE)</f>
        <v>#REF!</v>
      </c>
      <c r="AW55" s="341" t="e">
        <f>VLOOKUP($AL55,#REF!,AW$37,FALSE)</f>
        <v>#REF!</v>
      </c>
      <c r="AX55" s="341" t="e">
        <f t="shared" si="25"/>
        <v>#N/A</v>
      </c>
      <c r="AY55" s="341" t="e">
        <f t="shared" si="25"/>
        <v>#N/A</v>
      </c>
      <c r="AZ55" s="341" t="e">
        <f t="shared" si="25"/>
        <v>#N/A</v>
      </c>
      <c r="BA55" s="341" t="e">
        <f t="shared" si="25"/>
        <v>#N/A</v>
      </c>
      <c r="BB55" s="341">
        <f t="shared" si="25"/>
        <v>4.7058823529411764E-2</v>
      </c>
      <c r="BC55" s="341"/>
      <c r="BD55" s="341"/>
      <c r="BE55" s="341"/>
      <c r="BF55" s="341"/>
      <c r="BG55" s="341"/>
      <c r="BH55" s="341"/>
      <c r="BI55" s="341"/>
      <c r="BJ55" s="341"/>
      <c r="BK55" s="341"/>
      <c r="BL55" s="341"/>
      <c r="BM55" s="341"/>
      <c r="BN55" s="341"/>
      <c r="BO55" s="341"/>
      <c r="BP55" s="341"/>
      <c r="BQ55" s="341"/>
    </row>
    <row r="56" spans="1:69" ht="14.25" customHeight="1" x14ac:dyDescent="0.2">
      <c r="A56" s="120"/>
      <c r="B56" s="412"/>
      <c r="C56" s="412"/>
      <c r="D56" s="58"/>
      <c r="E56" s="58"/>
      <c r="F56" s="58"/>
      <c r="G56" s="58"/>
      <c r="H56" s="58"/>
      <c r="I56" s="58"/>
      <c r="J56" s="13"/>
      <c r="K56" s="15"/>
      <c r="L56" s="15"/>
      <c r="M56" s="15"/>
      <c r="N56" s="15"/>
      <c r="O56" s="9"/>
      <c r="P56" s="9"/>
      <c r="Q56" s="9"/>
      <c r="R56" s="9"/>
      <c r="S56" s="9"/>
      <c r="T56" s="9"/>
      <c r="U56" s="9"/>
      <c r="V56" s="119"/>
      <c r="W56" s="138"/>
      <c r="X56" s="288"/>
      <c r="Z56" s="1284"/>
      <c r="AJ56" s="560" t="b">
        <v>1</v>
      </c>
      <c r="AK56" s="156" t="s">
        <v>7</v>
      </c>
      <c r="AL56" s="89" t="str">
        <f t="shared" si="20"/>
        <v>Surrey</v>
      </c>
      <c r="AM56" s="143">
        <f t="shared" si="24"/>
        <v>13.668499607227021</v>
      </c>
      <c r="AN56" s="143">
        <f t="shared" si="24"/>
        <v>19.071762870514821</v>
      </c>
      <c r="AO56" s="143">
        <f t="shared" si="24"/>
        <v>15.830115830115831</v>
      </c>
      <c r="AP56" s="143">
        <f t="shared" si="24"/>
        <v>17.518248175182482</v>
      </c>
      <c r="AQ56" s="143">
        <f t="shared" si="24"/>
        <v>16.60939289805269</v>
      </c>
      <c r="AR56" s="144">
        <f t="shared" si="23"/>
        <v>8.3000000000000007</v>
      </c>
      <c r="AS56" s="341" t="e">
        <f>VLOOKUP($AL56,#REF!,AS$37,FALSE)</f>
        <v>#REF!</v>
      </c>
      <c r="AT56" s="341" t="e">
        <f>VLOOKUP($AL56,#REF!,AT$37,FALSE)</f>
        <v>#REF!</v>
      </c>
      <c r="AU56" s="341" t="e">
        <f>VLOOKUP($AL56,#REF!,AU$37,FALSE)</f>
        <v>#REF!</v>
      </c>
      <c r="AV56" s="341" t="e">
        <f>VLOOKUP($AL56,#REF!,AV$37,FALSE)</f>
        <v>#REF!</v>
      </c>
      <c r="AW56" s="341" t="e">
        <f>VLOOKUP($AL56,#REF!,AW$37,FALSE)</f>
        <v>#REF!</v>
      </c>
      <c r="AX56" s="341" t="e">
        <f t="shared" si="25"/>
        <v>#N/A</v>
      </c>
      <c r="AY56" s="341" t="e">
        <f t="shared" si="25"/>
        <v>#N/A</v>
      </c>
      <c r="AZ56" s="341" t="e">
        <f t="shared" si="25"/>
        <v>#N/A</v>
      </c>
      <c r="BA56" s="341" t="e">
        <f t="shared" si="25"/>
        <v>#N/A</v>
      </c>
      <c r="BB56" s="341" t="e">
        <f t="shared" si="25"/>
        <v>#N/A</v>
      </c>
      <c r="BC56" s="341"/>
      <c r="BD56" s="341"/>
      <c r="BE56" s="341"/>
      <c r="BF56" s="341"/>
      <c r="BG56" s="341"/>
      <c r="BH56" s="341"/>
      <c r="BI56" s="341"/>
      <c r="BJ56" s="341"/>
      <c r="BK56" s="341"/>
      <c r="BL56" s="341"/>
      <c r="BM56" s="341"/>
      <c r="BN56" s="341"/>
      <c r="BO56" s="341"/>
      <c r="BP56" s="341"/>
      <c r="BQ56" s="341"/>
    </row>
    <row r="57" spans="1:69" ht="14.25" customHeight="1" x14ac:dyDescent="0.2">
      <c r="A57" s="271"/>
      <c r="B57" s="412"/>
      <c r="C57" s="412"/>
      <c r="D57" s="58"/>
      <c r="E57" s="58"/>
      <c r="F57" s="58"/>
      <c r="G57" s="58"/>
      <c r="H57" s="58"/>
      <c r="I57" s="58"/>
      <c r="J57" s="13"/>
      <c r="K57" s="15"/>
      <c r="L57" s="15"/>
      <c r="M57" s="15"/>
      <c r="N57" s="15"/>
      <c r="O57" s="9"/>
      <c r="P57" s="9"/>
      <c r="Q57" s="9"/>
      <c r="R57" s="9"/>
      <c r="S57" s="9"/>
      <c r="T57" s="9"/>
      <c r="U57" s="9"/>
      <c r="V57" s="119"/>
      <c r="W57" s="138"/>
      <c r="X57" s="288"/>
      <c r="Z57" s="1284"/>
      <c r="AJ57" s="560" t="b">
        <v>1</v>
      </c>
      <c r="AK57" s="156" t="s">
        <v>114</v>
      </c>
      <c r="AL57" s="89" t="str">
        <f t="shared" si="20"/>
        <v>Swindon</v>
      </c>
      <c r="AM57" s="143">
        <f t="shared" si="24"/>
        <v>26.748971193415638</v>
      </c>
      <c r="AN57" s="143">
        <f t="shared" si="24"/>
        <v>36.938775510204081</v>
      </c>
      <c r="AO57" s="143">
        <f t="shared" si="24"/>
        <v>36.767676767676768</v>
      </c>
      <c r="AP57" s="143">
        <f t="shared" si="24"/>
        <v>35.671342685370739</v>
      </c>
      <c r="AQ57" s="143">
        <f t="shared" si="24"/>
        <v>27.290836653386457</v>
      </c>
      <c r="AR57" s="144">
        <f t="shared" si="23"/>
        <v>14.899999999999999</v>
      </c>
      <c r="AS57" s="341" t="e">
        <f>VLOOKUP($AL57,#REF!,AS$37,FALSE)</f>
        <v>#REF!</v>
      </c>
      <c r="AT57" s="341" t="e">
        <f>VLOOKUP($AL57,#REF!,AT$37,FALSE)</f>
        <v>#REF!</v>
      </c>
      <c r="AU57" s="341" t="e">
        <f>VLOOKUP($AL57,#REF!,AU$37,FALSE)</f>
        <v>#REF!</v>
      </c>
      <c r="AV57" s="341" t="e">
        <f>VLOOKUP($AL57,#REF!,AV$37,FALSE)</f>
        <v>#REF!</v>
      </c>
      <c r="AW57" s="341" t="e">
        <f>VLOOKUP($AL57,#REF!,AW$37,FALSE)</f>
        <v>#REF!</v>
      </c>
      <c r="AX57" s="341" t="e">
        <f t="shared" si="25"/>
        <v>#N/A</v>
      </c>
      <c r="AY57" s="341" t="e">
        <f t="shared" si="25"/>
        <v>#N/A</v>
      </c>
      <c r="AZ57" s="341" t="e">
        <f t="shared" si="25"/>
        <v>#N/A</v>
      </c>
      <c r="BA57" s="341" t="e">
        <f t="shared" si="25"/>
        <v>#N/A</v>
      </c>
      <c r="BB57" s="341" t="e">
        <f t="shared" si="25"/>
        <v>#N/A</v>
      </c>
      <c r="BC57" s="341"/>
      <c r="BD57" s="341"/>
      <c r="BE57" s="341"/>
      <c r="BF57" s="341"/>
      <c r="BG57" s="341"/>
      <c r="BH57" s="341"/>
      <c r="BI57" s="341"/>
      <c r="BJ57" s="341"/>
      <c r="BK57" s="341"/>
      <c r="BL57" s="341"/>
      <c r="BM57" s="341"/>
      <c r="BN57" s="341"/>
      <c r="BO57" s="341"/>
      <c r="BP57" s="341"/>
      <c r="BQ57" s="341"/>
    </row>
    <row r="58" spans="1:69" ht="14.25" customHeight="1" x14ac:dyDescent="0.2">
      <c r="A58" s="271"/>
      <c r="B58" s="412"/>
      <c r="C58" s="412"/>
      <c r="D58" s="58"/>
      <c r="E58" s="58"/>
      <c r="F58" s="58"/>
      <c r="G58" s="58"/>
      <c r="H58" s="58"/>
      <c r="I58" s="58"/>
      <c r="J58" s="13"/>
      <c r="K58" s="15"/>
      <c r="L58" s="15"/>
      <c r="M58" s="15"/>
      <c r="N58" s="15"/>
      <c r="O58" s="9"/>
      <c r="P58" s="9"/>
      <c r="Q58" s="9"/>
      <c r="R58" s="9"/>
      <c r="S58" s="9"/>
      <c r="T58" s="9"/>
      <c r="U58" s="9"/>
      <c r="V58" s="119"/>
      <c r="W58" s="138"/>
      <c r="X58" s="288"/>
      <c r="Z58" s="1284"/>
      <c r="AJ58" s="560" t="b">
        <v>1</v>
      </c>
      <c r="AK58" s="156" t="s">
        <v>115</v>
      </c>
      <c r="AL58" s="89" t="str">
        <f t="shared" si="20"/>
        <v>Torbay</v>
      </c>
      <c r="AM58" s="143">
        <f t="shared" si="24"/>
        <v>48.605577689243027</v>
      </c>
      <c r="AN58" s="143">
        <f t="shared" si="24"/>
        <v>38.095238095238095</v>
      </c>
      <c r="AO58" s="143">
        <f t="shared" si="24"/>
        <v>45.275590551181104</v>
      </c>
      <c r="AP58" s="143">
        <f t="shared" si="24"/>
        <v>54.330708661417319</v>
      </c>
      <c r="AQ58" s="143">
        <f t="shared" si="24"/>
        <v>57.874015748031496</v>
      </c>
      <c r="AR58" s="144">
        <f t="shared" si="23"/>
        <v>21.9</v>
      </c>
      <c r="AS58" s="341" t="e">
        <f>VLOOKUP($AL58,#REF!,AS$37,FALSE)</f>
        <v>#REF!</v>
      </c>
      <c r="AT58" s="341" t="e">
        <f>VLOOKUP($AL58,#REF!,AT$37,FALSE)</f>
        <v>#REF!</v>
      </c>
      <c r="AU58" s="341" t="e">
        <f>VLOOKUP($AL58,#REF!,AU$37,FALSE)</f>
        <v>#REF!</v>
      </c>
      <c r="AV58" s="341" t="e">
        <f>VLOOKUP($AL58,#REF!,AV$37,FALSE)</f>
        <v>#REF!</v>
      </c>
      <c r="AW58" s="341" t="e">
        <f>VLOOKUP($AL58,#REF!,AW$37,FALSE)</f>
        <v>#REF!</v>
      </c>
      <c r="AX58" s="341" t="e">
        <f t="shared" si="25"/>
        <v>#N/A</v>
      </c>
      <c r="AY58" s="341" t="e">
        <f t="shared" si="25"/>
        <v>#N/A</v>
      </c>
      <c r="AZ58" s="341" t="e">
        <f t="shared" si="25"/>
        <v>#N/A</v>
      </c>
      <c r="BA58" s="341" t="e">
        <f t="shared" si="25"/>
        <v>#N/A</v>
      </c>
      <c r="BB58" s="341">
        <f t="shared" si="25"/>
        <v>0</v>
      </c>
      <c r="BC58" s="341"/>
      <c r="BD58" s="341"/>
      <c r="BE58" s="341"/>
      <c r="BF58" s="341"/>
      <c r="BG58" s="341"/>
      <c r="BH58" s="341"/>
      <c r="BI58" s="341"/>
      <c r="BJ58" s="341"/>
      <c r="BK58" s="341"/>
      <c r="BL58" s="341"/>
      <c r="BM58" s="341"/>
      <c r="BN58" s="341"/>
      <c r="BO58" s="341"/>
      <c r="BP58" s="341"/>
      <c r="BQ58" s="341"/>
    </row>
    <row r="59" spans="1:69" ht="14.25" customHeight="1" x14ac:dyDescent="0.2">
      <c r="A59" s="120"/>
      <c r="B59" s="412"/>
      <c r="C59" s="412"/>
      <c r="D59" s="58"/>
      <c r="E59" s="58"/>
      <c r="F59" s="58"/>
      <c r="G59" s="58"/>
      <c r="H59" s="58"/>
      <c r="I59" s="58"/>
      <c r="J59" s="13"/>
      <c r="K59" s="15"/>
      <c r="L59" s="15"/>
      <c r="M59" s="15"/>
      <c r="N59" s="15"/>
      <c r="O59" s="9"/>
      <c r="P59" s="9"/>
      <c r="Q59" s="9"/>
      <c r="R59" s="9"/>
      <c r="S59" s="9"/>
      <c r="T59" s="9"/>
      <c r="U59" s="9"/>
      <c r="V59" s="119"/>
      <c r="W59" s="138"/>
      <c r="X59" s="288"/>
      <c r="Z59" s="1284"/>
      <c r="AJ59" s="560" t="b">
        <v>1</v>
      </c>
      <c r="AK59" s="156" t="s">
        <v>15</v>
      </c>
      <c r="AL59" s="89" t="str">
        <f t="shared" si="20"/>
        <v>West Berkshire</v>
      </c>
      <c r="AM59" s="143">
        <f t="shared" si="24"/>
        <v>22.752808988764045</v>
      </c>
      <c r="AN59" s="143">
        <f t="shared" si="24"/>
        <v>15.126050420168067</v>
      </c>
      <c r="AO59" s="143">
        <f t="shared" si="24"/>
        <v>20.612813370473539</v>
      </c>
      <c r="AP59" s="143">
        <f t="shared" si="24"/>
        <v>18.994413407821231</v>
      </c>
      <c r="AQ59" s="143">
        <f t="shared" si="24"/>
        <v>22.191011235955056</v>
      </c>
      <c r="AR59" s="144">
        <f t="shared" si="23"/>
        <v>8.6999999999999993</v>
      </c>
      <c r="AS59" s="341" t="e">
        <f>VLOOKUP($AL59,#REF!,AS$37,FALSE)</f>
        <v>#REF!</v>
      </c>
      <c r="AT59" s="341" t="e">
        <f>VLOOKUP($AL59,#REF!,AT$37,FALSE)</f>
        <v>#REF!</v>
      </c>
      <c r="AU59" s="341" t="e">
        <f>VLOOKUP($AL59,#REF!,AU$37,FALSE)</f>
        <v>#REF!</v>
      </c>
      <c r="AV59" s="341" t="e">
        <f>VLOOKUP($AL59,#REF!,AV$37,FALSE)</f>
        <v>#REF!</v>
      </c>
      <c r="AW59" s="341" t="e">
        <f>VLOOKUP($AL59,#REF!,AW$37,FALSE)</f>
        <v>#REF!</v>
      </c>
      <c r="AX59" s="341" t="e">
        <f t="shared" si="25"/>
        <v>#N/A</v>
      </c>
      <c r="AY59" s="341" t="e">
        <f t="shared" si="25"/>
        <v>#N/A</v>
      </c>
      <c r="AZ59" s="341" t="e">
        <f t="shared" si="25"/>
        <v>#N/A</v>
      </c>
      <c r="BA59" s="341" t="e">
        <f t="shared" si="25"/>
        <v>#N/A</v>
      </c>
      <c r="BB59" s="341">
        <f t="shared" si="25"/>
        <v>0</v>
      </c>
      <c r="BC59" s="341"/>
      <c r="BD59" s="341"/>
      <c r="BE59" s="341"/>
      <c r="BF59" s="341"/>
      <c r="BG59" s="341"/>
      <c r="BH59" s="341"/>
      <c r="BI59" s="341"/>
      <c r="BJ59" s="341"/>
      <c r="BK59" s="341"/>
      <c r="BL59" s="341"/>
      <c r="BM59" s="341"/>
      <c r="BN59" s="341"/>
      <c r="BO59" s="341"/>
      <c r="BP59" s="341"/>
      <c r="BQ59" s="341"/>
    </row>
    <row r="60" spans="1:69" ht="14.25" customHeight="1" x14ac:dyDescent="0.2">
      <c r="A60" s="120"/>
      <c r="B60" s="412"/>
      <c r="C60" s="412"/>
      <c r="D60" s="58"/>
      <c r="E60" s="58"/>
      <c r="F60" s="58"/>
      <c r="G60" s="58"/>
      <c r="H60" s="58"/>
      <c r="I60" s="58"/>
      <c r="J60" s="13"/>
      <c r="K60" s="15"/>
      <c r="L60" s="15"/>
      <c r="M60" s="15"/>
      <c r="N60" s="15"/>
      <c r="O60" s="9"/>
      <c r="P60" s="9"/>
      <c r="Q60" s="9"/>
      <c r="R60" s="9"/>
      <c r="S60" s="9"/>
      <c r="T60" s="9"/>
      <c r="U60" s="9"/>
      <c r="V60" s="119"/>
      <c r="W60" s="138"/>
      <c r="X60" s="288"/>
      <c r="Z60" s="1284"/>
      <c r="AJ60" s="560" t="b">
        <v>1</v>
      </c>
      <c r="AK60" s="156" t="s">
        <v>5</v>
      </c>
      <c r="AL60" s="89" t="str">
        <f t="shared" si="20"/>
        <v>West Sussex</v>
      </c>
      <c r="AM60" s="143">
        <f t="shared" si="24"/>
        <v>21.682464454976305</v>
      </c>
      <c r="AN60" s="143">
        <f t="shared" si="24"/>
        <v>22.300469483568076</v>
      </c>
      <c r="AO60" s="143">
        <f t="shared" si="24"/>
        <v>21.944121071012809</v>
      </c>
      <c r="AP60" s="143">
        <f t="shared" si="24"/>
        <v>21.811886901327181</v>
      </c>
      <c r="AQ60" s="143">
        <f t="shared" si="24"/>
        <v>19.805380652547221</v>
      </c>
      <c r="AR60" s="144">
        <f t="shared" si="23"/>
        <v>11</v>
      </c>
      <c r="AS60" s="341" t="e">
        <f>VLOOKUP($AL60,#REF!,AS$37,FALSE)</f>
        <v>#REF!</v>
      </c>
      <c r="AT60" s="341" t="e">
        <f>VLOOKUP($AL60,#REF!,AT$37,FALSE)</f>
        <v>#REF!</v>
      </c>
      <c r="AU60" s="341" t="e">
        <f>VLOOKUP($AL60,#REF!,AU$37,FALSE)</f>
        <v>#REF!</v>
      </c>
      <c r="AV60" s="341" t="e">
        <f>VLOOKUP($AL60,#REF!,AV$37,FALSE)</f>
        <v>#REF!</v>
      </c>
      <c r="AW60" s="341" t="e">
        <f>VLOOKUP($AL60,#REF!,AW$37,FALSE)</f>
        <v>#REF!</v>
      </c>
      <c r="AX60" s="341" t="e">
        <f t="shared" si="25"/>
        <v>#N/A</v>
      </c>
      <c r="AY60" s="341" t="e">
        <f t="shared" si="25"/>
        <v>#N/A</v>
      </c>
      <c r="AZ60" s="341" t="e">
        <f t="shared" si="25"/>
        <v>#N/A</v>
      </c>
      <c r="BA60" s="341" t="e">
        <f t="shared" si="25"/>
        <v>#N/A</v>
      </c>
      <c r="BB60" s="341" t="e">
        <f t="shared" si="25"/>
        <v>#N/A</v>
      </c>
      <c r="BC60" s="341"/>
      <c r="BD60" s="341"/>
      <c r="BE60" s="341"/>
      <c r="BF60" s="341"/>
      <c r="BG60" s="341"/>
      <c r="BH60" s="341"/>
      <c r="BI60" s="341"/>
      <c r="BJ60" s="341"/>
      <c r="BK60" s="341"/>
      <c r="BL60" s="341"/>
      <c r="BM60" s="341"/>
      <c r="BN60" s="341"/>
      <c r="BO60" s="341"/>
      <c r="BP60" s="341"/>
      <c r="BQ60" s="341"/>
    </row>
    <row r="61" spans="1:69" s="83" customFormat="1" ht="14.25" customHeight="1" x14ac:dyDescent="0.2">
      <c r="A61" s="120"/>
      <c r="B61" s="412"/>
      <c r="C61" s="412"/>
      <c r="D61" s="58"/>
      <c r="E61" s="58"/>
      <c r="F61" s="58"/>
      <c r="G61" s="58"/>
      <c r="H61" s="58"/>
      <c r="I61" s="58"/>
      <c r="J61" s="13"/>
      <c r="K61" s="15"/>
      <c r="L61" s="15"/>
      <c r="M61" s="15"/>
      <c r="N61" s="15"/>
      <c r="O61" s="9"/>
      <c r="P61" s="9"/>
      <c r="Q61" s="9"/>
      <c r="R61" s="9"/>
      <c r="S61" s="9"/>
      <c r="T61" s="9"/>
      <c r="U61" s="9"/>
      <c r="V61" s="119"/>
      <c r="W61" s="138"/>
      <c r="X61" s="288"/>
      <c r="Y61" s="1276"/>
      <c r="Z61" s="1284"/>
      <c r="AA61" s="1276"/>
      <c r="AB61" s="1276"/>
      <c r="AC61" s="1276"/>
      <c r="AD61" s="1276"/>
      <c r="AE61" s="1276"/>
      <c r="AF61" s="1276"/>
      <c r="AG61" s="1276"/>
      <c r="AH61" s="1276"/>
      <c r="AI61" s="1276"/>
      <c r="AJ61" s="560" t="b">
        <v>1</v>
      </c>
      <c r="AK61" s="156" t="s">
        <v>30</v>
      </c>
      <c r="AL61" s="89" t="str">
        <f t="shared" si="20"/>
        <v>Windsor &amp; Maidenhead</v>
      </c>
      <c r="AM61" s="143">
        <f t="shared" si="24"/>
        <v>11.676646706586826</v>
      </c>
      <c r="AN61" s="143">
        <f t="shared" si="24"/>
        <v>9.4955489614243334</v>
      </c>
      <c r="AO61" s="143">
        <f t="shared" si="24"/>
        <v>15.497076023391813</v>
      </c>
      <c r="AP61" s="143">
        <f t="shared" si="24"/>
        <v>13.372093023255815</v>
      </c>
      <c r="AQ61" s="143">
        <f t="shared" si="24"/>
        <v>18.786127167630056</v>
      </c>
      <c r="AR61" s="144">
        <f t="shared" si="23"/>
        <v>6.7</v>
      </c>
      <c r="AS61" s="341" t="e">
        <f>VLOOKUP($AL61,#REF!,AS$37,FALSE)</f>
        <v>#REF!</v>
      </c>
      <c r="AT61" s="341" t="e">
        <f>VLOOKUP($AL61,#REF!,AT$37,FALSE)</f>
        <v>#REF!</v>
      </c>
      <c r="AU61" s="341" t="e">
        <f>VLOOKUP($AL61,#REF!,AU$37,FALSE)</f>
        <v>#REF!</v>
      </c>
      <c r="AV61" s="341" t="e">
        <f>VLOOKUP($AL61,#REF!,AV$37,FALSE)</f>
        <v>#REF!</v>
      </c>
      <c r="AW61" s="341" t="e">
        <f>VLOOKUP($AL61,#REF!,AW$37,FALSE)</f>
        <v>#REF!</v>
      </c>
      <c r="AX61" s="341" t="e">
        <f t="shared" si="25"/>
        <v>#N/A</v>
      </c>
      <c r="AY61" s="341" t="e">
        <f t="shared" si="25"/>
        <v>#N/A</v>
      </c>
      <c r="AZ61" s="341" t="e">
        <f t="shared" si="25"/>
        <v>#N/A</v>
      </c>
      <c r="BA61" s="341" t="e">
        <f t="shared" si="25"/>
        <v>#N/A</v>
      </c>
      <c r="BB61" s="341">
        <f t="shared" si="25"/>
        <v>0</v>
      </c>
      <c r="BC61" s="341"/>
      <c r="BD61" s="341"/>
      <c r="BE61" s="341"/>
      <c r="BF61" s="341"/>
      <c r="BG61" s="341"/>
      <c r="BH61" s="341"/>
      <c r="BI61" s="341"/>
      <c r="BJ61" s="341"/>
      <c r="BK61" s="341"/>
      <c r="BL61" s="341"/>
      <c r="BM61" s="341"/>
      <c r="BN61" s="341"/>
      <c r="BO61" s="341"/>
      <c r="BP61" s="341"/>
      <c r="BQ61" s="341"/>
    </row>
    <row r="62" spans="1:69" s="83" customFormat="1" ht="14.25" customHeight="1" x14ac:dyDescent="0.2">
      <c r="A62" s="120"/>
      <c r="B62" s="412"/>
      <c r="C62" s="412"/>
      <c r="D62" s="58"/>
      <c r="E62" s="58"/>
      <c r="F62" s="58"/>
      <c r="G62" s="58"/>
      <c r="H62" s="58"/>
      <c r="I62" s="58"/>
      <c r="J62" s="13"/>
      <c r="K62" s="15"/>
      <c r="L62" s="15"/>
      <c r="M62" s="15"/>
      <c r="N62" s="15"/>
      <c r="O62" s="9"/>
      <c r="P62" s="9"/>
      <c r="Q62" s="9"/>
      <c r="R62" s="9"/>
      <c r="S62" s="9"/>
      <c r="T62" s="9"/>
      <c r="U62" s="9"/>
      <c r="V62" s="119"/>
      <c r="W62" s="138"/>
      <c r="X62" s="288"/>
      <c r="Y62" s="1276"/>
      <c r="Z62" s="1284"/>
      <c r="AA62" s="1276"/>
      <c r="AB62" s="1276"/>
      <c r="AC62" s="1276"/>
      <c r="AD62" s="1276"/>
      <c r="AE62" s="1276"/>
      <c r="AF62" s="1276"/>
      <c r="AG62" s="1276"/>
      <c r="AH62" s="1276"/>
      <c r="AI62" s="1276"/>
      <c r="AJ62" s="560" t="b">
        <v>1</v>
      </c>
      <c r="AK62" s="156" t="s">
        <v>16</v>
      </c>
      <c r="AL62" s="89" t="str">
        <f t="shared" si="20"/>
        <v>Wokingham</v>
      </c>
      <c r="AM62" s="143">
        <f t="shared" si="24"/>
        <v>11.111111111111111</v>
      </c>
      <c r="AN62" s="143">
        <f t="shared" si="24"/>
        <v>10.187667560321715</v>
      </c>
      <c r="AO62" s="143">
        <f t="shared" si="24"/>
        <v>6.5789473684210522</v>
      </c>
      <c r="AP62" s="143">
        <f t="shared" si="24"/>
        <v>17.054263565891471</v>
      </c>
      <c r="AQ62" s="143">
        <f t="shared" si="24"/>
        <v>15.69620253164557</v>
      </c>
      <c r="AR62" s="144">
        <f t="shared" si="23"/>
        <v>5.6000000000000005</v>
      </c>
      <c r="AS62" s="341" t="e">
        <f>VLOOKUP($AL62,#REF!,AS$37,FALSE)</f>
        <v>#REF!</v>
      </c>
      <c r="AT62" s="341" t="e">
        <f>VLOOKUP($AL62,#REF!,AT$37,FALSE)</f>
        <v>#REF!</v>
      </c>
      <c r="AU62" s="341" t="e">
        <f>VLOOKUP($AL62,#REF!,AU$37,FALSE)</f>
        <v>#REF!</v>
      </c>
      <c r="AV62" s="341" t="e">
        <f>VLOOKUP($AL62,#REF!,AV$37,FALSE)</f>
        <v>#REF!</v>
      </c>
      <c r="AW62" s="341" t="e">
        <f>VLOOKUP($AL62,#REF!,AW$37,FALSE)</f>
        <v>#REF!</v>
      </c>
      <c r="AX62" s="341" t="e">
        <f t="shared" si="25"/>
        <v>#N/A</v>
      </c>
      <c r="AY62" s="341" t="e">
        <f t="shared" si="25"/>
        <v>#N/A</v>
      </c>
      <c r="AZ62" s="341" t="e">
        <f t="shared" si="25"/>
        <v>#N/A</v>
      </c>
      <c r="BA62" s="341" t="e">
        <f t="shared" si="25"/>
        <v>#N/A</v>
      </c>
      <c r="BB62" s="341" t="e">
        <f t="shared" si="25"/>
        <v>#N/A</v>
      </c>
      <c r="BC62" s="341"/>
      <c r="BD62" s="341"/>
      <c r="BE62" s="341"/>
      <c r="BF62" s="341"/>
      <c r="BG62" s="341"/>
      <c r="BH62" s="341"/>
      <c r="BI62" s="341"/>
      <c r="BJ62" s="341"/>
      <c r="BK62" s="341"/>
      <c r="BL62" s="341"/>
      <c r="BM62" s="341"/>
      <c r="BN62" s="341"/>
      <c r="BO62" s="341"/>
      <c r="BP62" s="341"/>
      <c r="BQ62" s="341"/>
    </row>
    <row r="63" spans="1:69" s="83" customFormat="1" ht="14.25" customHeight="1" x14ac:dyDescent="0.2">
      <c r="A63" s="120"/>
      <c r="B63" s="412"/>
      <c r="C63" s="412"/>
      <c r="D63" s="58"/>
      <c r="E63" s="58"/>
      <c r="F63" s="58"/>
      <c r="G63" s="58"/>
      <c r="H63" s="58"/>
      <c r="I63" s="58"/>
      <c r="J63" s="13"/>
      <c r="K63" s="15"/>
      <c r="L63" s="15"/>
      <c r="M63" s="15"/>
      <c r="N63" s="15"/>
      <c r="O63" s="9"/>
      <c r="P63" s="9"/>
      <c r="Q63" s="9"/>
      <c r="R63" s="9"/>
      <c r="S63" s="9"/>
      <c r="T63" s="9"/>
      <c r="U63" s="9"/>
      <c r="V63" s="119"/>
      <c r="W63" s="138"/>
      <c r="X63" s="288"/>
      <c r="Y63" s="1276"/>
      <c r="Z63" s="1284"/>
      <c r="AA63" s="1276"/>
      <c r="AB63" s="1276"/>
      <c r="AC63" s="1276"/>
      <c r="AD63" s="1276"/>
      <c r="AE63" s="1276"/>
      <c r="AF63" s="1276"/>
      <c r="AG63" s="1276"/>
      <c r="AH63" s="1276"/>
      <c r="AI63" s="1276"/>
      <c r="AJ63" s="560" t="b">
        <v>1</v>
      </c>
      <c r="AK63" s="156" t="s">
        <v>74</v>
      </c>
      <c r="AL63" s="89" t="str">
        <f t="shared" si="20"/>
        <v>South East</v>
      </c>
      <c r="AM63" s="143">
        <f t="shared" si="24"/>
        <v>22.789329972694816</v>
      </c>
      <c r="AN63" s="143">
        <f t="shared" si="24"/>
        <v>26.693081695427765</v>
      </c>
      <c r="AO63" s="143">
        <f t="shared" si="24"/>
        <v>23.382132326315244</v>
      </c>
      <c r="AP63" s="143">
        <f t="shared" si="24"/>
        <v>22.480580276763206</v>
      </c>
      <c r="AQ63" s="143">
        <f t="shared" si="24"/>
        <v>22.274445693266578</v>
      </c>
      <c r="AR63" s="144">
        <f t="shared" si="23"/>
        <v>12.371268250968637</v>
      </c>
      <c r="AS63" s="341" t="e">
        <f>VLOOKUP($AL63,#REF!,AS$37,FALSE)</f>
        <v>#REF!</v>
      </c>
      <c r="AT63" s="341" t="e">
        <f>VLOOKUP($AL63,#REF!,AT$37,FALSE)</f>
        <v>#REF!</v>
      </c>
      <c r="AU63" s="341" t="e">
        <f>VLOOKUP($AL63,#REF!,AU$37,FALSE)</f>
        <v>#REF!</v>
      </c>
      <c r="AV63" s="341" t="e">
        <f>VLOOKUP($AL63,#REF!,AV$37,FALSE)</f>
        <v>#REF!</v>
      </c>
      <c r="AW63" s="341" t="e">
        <f>VLOOKUP($AL63,#REF!,AW$37,FALSE)</f>
        <v>#REF!</v>
      </c>
      <c r="AX63" s="341" t="e">
        <f t="shared" si="25"/>
        <v>#N/A</v>
      </c>
      <c r="AY63" s="341" t="e">
        <f t="shared" si="25"/>
        <v>#N/A</v>
      </c>
      <c r="AZ63" s="341" t="e">
        <f t="shared" si="25"/>
        <v>#N/A</v>
      </c>
      <c r="BA63" s="341" t="e">
        <f t="shared" si="25"/>
        <v>#N/A</v>
      </c>
      <c r="BB63" s="341">
        <f t="shared" si="25"/>
        <v>1.6055045871559634E-2</v>
      </c>
      <c r="BC63" s="341"/>
      <c r="BD63" s="341"/>
      <c r="BE63" s="341"/>
      <c r="BF63" s="341"/>
      <c r="BG63" s="341"/>
      <c r="BH63" s="341"/>
      <c r="BI63" s="341"/>
      <c r="BJ63" s="341"/>
      <c r="BK63" s="341"/>
      <c r="BL63" s="341"/>
      <c r="BM63" s="341"/>
      <c r="BN63" s="341"/>
      <c r="BO63" s="341"/>
      <c r="BP63" s="341"/>
      <c r="BQ63" s="341"/>
    </row>
    <row r="64" spans="1:69" s="83" customFormat="1" ht="14.25" customHeight="1" x14ac:dyDescent="0.2">
      <c r="A64" s="120"/>
      <c r="B64" s="412"/>
      <c r="C64" s="412"/>
      <c r="D64" s="58"/>
      <c r="E64" s="58"/>
      <c r="F64" s="58"/>
      <c r="G64" s="58"/>
      <c r="H64" s="58"/>
      <c r="I64" s="58"/>
      <c r="J64" s="13"/>
      <c r="K64" s="9"/>
      <c r="L64" s="112"/>
      <c r="M64" s="1589" t="s">
        <v>72</v>
      </c>
      <c r="N64" s="1590"/>
      <c r="O64" s="1590"/>
      <c r="P64" s="1591"/>
      <c r="Q64" s="880"/>
      <c r="R64" s="1462" t="s">
        <v>101</v>
      </c>
      <c r="S64" s="1463"/>
      <c r="T64" s="1463"/>
      <c r="U64" s="1470"/>
      <c r="V64" s="119"/>
      <c r="W64" s="138"/>
      <c r="X64" s="288"/>
      <c r="Y64" s="1276"/>
      <c r="Z64" s="1284"/>
      <c r="AA64" s="1276"/>
      <c r="AB64" s="1276"/>
      <c r="AC64" s="1276"/>
      <c r="AD64" s="1276"/>
      <c r="AE64" s="1276"/>
      <c r="AF64" s="1276"/>
      <c r="AG64" s="1276"/>
      <c r="AH64" s="1276"/>
      <c r="AI64" s="1276"/>
      <c r="AJ64" s="560" t="b">
        <v>1</v>
      </c>
      <c r="AK64" s="156" t="s">
        <v>126</v>
      </c>
      <c r="AL64" s="89" t="str">
        <f t="shared" si="20"/>
        <v>England</v>
      </c>
      <c r="AM64" s="143">
        <f t="shared" si="24"/>
        <v>27.053840247763485</v>
      </c>
      <c r="AN64" s="143">
        <f t="shared" si="24"/>
        <v>27.54776115568724</v>
      </c>
      <c r="AO64" s="143">
        <f t="shared" si="24"/>
        <v>27.950073396519393</v>
      </c>
      <c r="AP64" s="143">
        <f t="shared" si="24"/>
        <v>27.125642538130954</v>
      </c>
      <c r="AQ64" s="143">
        <f t="shared" si="24"/>
        <v>26.500259314406172</v>
      </c>
      <c r="AR64" s="144">
        <f t="shared" si="23"/>
        <v>17.084413405029373</v>
      </c>
      <c r="AS64" s="341" t="e">
        <f>VLOOKUP($AL64,#REF!,AS$37,FALSE)</f>
        <v>#REF!</v>
      </c>
      <c r="AT64" s="341" t="e">
        <f>VLOOKUP($AL64,#REF!,AT$37,FALSE)</f>
        <v>#REF!</v>
      </c>
      <c r="AU64" s="341" t="e">
        <f>VLOOKUP($AL64,#REF!,AU$37,FALSE)</f>
        <v>#REF!</v>
      </c>
      <c r="AV64" s="341" t="e">
        <f>VLOOKUP($AL64,#REF!,AV$37,FALSE)</f>
        <v>#REF!</v>
      </c>
      <c r="AW64" s="341" t="e">
        <f>VLOOKUP($AL64,#REF!,AW$37,FALSE)</f>
        <v>#REF!</v>
      </c>
      <c r="AX64" s="341" t="e">
        <f t="shared" si="25"/>
        <v>#N/A</v>
      </c>
      <c r="AY64" s="341" t="e">
        <f t="shared" si="25"/>
        <v>#N/A</v>
      </c>
      <c r="AZ64" s="341" t="e">
        <f t="shared" si="25"/>
        <v>#N/A</v>
      </c>
      <c r="BA64" s="341" t="e">
        <f t="shared" si="25"/>
        <v>#N/A</v>
      </c>
      <c r="BB64" s="341">
        <f t="shared" si="25"/>
        <v>2.462121212121212E-2</v>
      </c>
      <c r="BC64" s="341"/>
      <c r="BD64" s="341"/>
      <c r="BE64" s="341"/>
      <c r="BF64" s="341"/>
      <c r="BG64" s="341"/>
      <c r="BH64" s="341"/>
      <c r="BI64" s="341"/>
      <c r="BJ64" s="341"/>
      <c r="BK64" s="341"/>
      <c r="BL64" s="341"/>
      <c r="BM64" s="341"/>
      <c r="BN64" s="341"/>
      <c r="BO64" s="341"/>
      <c r="BP64" s="341"/>
      <c r="BQ64" s="341"/>
    </row>
    <row r="65" spans="1:69" s="83" customFormat="1" ht="14.25" customHeight="1" x14ac:dyDescent="0.2">
      <c r="A65" s="120"/>
      <c r="B65" s="412"/>
      <c r="C65" s="412"/>
      <c r="D65" s="58"/>
      <c r="E65" s="58"/>
      <c r="F65" s="58"/>
      <c r="G65" s="58"/>
      <c r="H65" s="58"/>
      <c r="I65" s="58"/>
      <c r="J65" s="13"/>
      <c r="K65" s="9"/>
      <c r="L65" s="113"/>
      <c r="M65" s="1462" t="str">
        <f>AA4</f>
        <v>Selected LA- (none)</v>
      </c>
      <c r="N65" s="1463"/>
      <c r="O65" s="1463"/>
      <c r="P65" s="1463"/>
      <c r="Q65" s="112"/>
      <c r="R65" s="1592" t="s">
        <v>184</v>
      </c>
      <c r="S65" s="1592"/>
      <c r="T65" s="1592"/>
      <c r="U65" s="1593"/>
      <c r="V65" s="119"/>
      <c r="W65" s="138"/>
      <c r="X65" s="147"/>
      <c r="Y65" s="1276"/>
      <c r="Z65" s="1284"/>
      <c r="AA65" s="1276"/>
      <c r="AB65" s="1276"/>
      <c r="AC65" s="1276"/>
      <c r="AD65" s="1276"/>
      <c r="AE65" s="1276"/>
      <c r="AF65" s="1276"/>
      <c r="AG65" s="1276"/>
      <c r="AH65" s="1276"/>
      <c r="AI65" s="1276"/>
      <c r="AJ65" s="1276"/>
      <c r="AK65" s="157"/>
      <c r="AL65" s="76" t="str">
        <f>AA4</f>
        <v>Selected LA- (none)</v>
      </c>
      <c r="AM65" s="145" t="e">
        <f>VLOOKUP($Z4,$B$10:$O$32,AM$37,FALSE)</f>
        <v>#N/A</v>
      </c>
      <c r="AN65" s="145" t="e">
        <f>VLOOKUP($Z4,$B$10:$O$32,AN$37,FALSE)</f>
        <v>#N/A</v>
      </c>
      <c r="AO65" s="145" t="e">
        <f>VLOOKUP($Z4,$B$10:$O$32,AO$37,FALSE)</f>
        <v>#N/A</v>
      </c>
      <c r="AP65" s="145" t="e">
        <f>VLOOKUP($Z4,$B$10:$O$32,AP$37,FALSE)</f>
        <v>#N/A</v>
      </c>
      <c r="AQ65" s="145" t="e">
        <f>VLOOKUP($Z4,$B$10:$O$32,AQ$37,FALSE)</f>
        <v>#N/A</v>
      </c>
      <c r="AR65" s="144" t="e">
        <f>VLOOKUP(Z4,$B$10:$U$32,$AR$37,FALSE)</f>
        <v>#N/A</v>
      </c>
      <c r="AS65" s="167" t="e">
        <f>VLOOKUP($Z$4,#REF!,AS$37,FALSE)</f>
        <v>#REF!</v>
      </c>
      <c r="AT65" s="167" t="e">
        <f>VLOOKUP($Z$4,#REF!,AT$37,FALSE)</f>
        <v>#REF!</v>
      </c>
      <c r="AU65" s="167" t="e">
        <f>VLOOKUP($Z$4,#REF!,AU$37,FALSE)</f>
        <v>#REF!</v>
      </c>
      <c r="AV65" s="167" t="e">
        <f>VLOOKUP($Z$4,#REF!,AV$37,FALSE)</f>
        <v>#REF!</v>
      </c>
      <c r="AW65" s="167" t="e">
        <f>VLOOKUP($Z$4,#REF!,AW$37,FALSE)</f>
        <v>#REF!</v>
      </c>
      <c r="AX65" s="167" t="e">
        <f>VLOOKUP($Z$4,$B$77:$H$100,AX$37,FALSE)</f>
        <v>#N/A</v>
      </c>
      <c r="AY65" s="167" t="e">
        <f>VLOOKUP($Z$4,$B$77:$H$100,AY$37,FALSE)</f>
        <v>#N/A</v>
      </c>
      <c r="AZ65" s="167" t="e">
        <f>VLOOKUP($Z$4,$B$77:$H$100,AZ$37,FALSE)</f>
        <v>#N/A</v>
      </c>
      <c r="BA65" s="167" t="e">
        <f>VLOOKUP($Z$4,$B$77:$H$100,BA$37,FALSE)</f>
        <v>#N/A</v>
      </c>
      <c r="BB65" s="167" t="e">
        <f>VLOOKUP($Z$4,$B$77:$H$100,BB$37,FALSE)</f>
        <v>#N/A</v>
      </c>
      <c r="BC65" s="167"/>
      <c r="BD65" s="167"/>
      <c r="BE65" s="167"/>
      <c r="BF65" s="167"/>
      <c r="BG65" s="167"/>
      <c r="BH65" s="341"/>
      <c r="BI65" s="341"/>
      <c r="BJ65" s="341"/>
      <c r="BK65" s="341"/>
      <c r="BL65" s="341"/>
      <c r="BM65" s="341"/>
      <c r="BN65" s="341"/>
      <c r="BO65" s="341"/>
      <c r="BP65" s="341"/>
      <c r="BQ65" s="341"/>
    </row>
    <row r="66" spans="1:69" s="83" customFormat="1" ht="42" customHeight="1" x14ac:dyDescent="0.2">
      <c r="A66" s="120"/>
      <c r="B66" s="412"/>
      <c r="C66" s="412"/>
      <c r="D66" s="58"/>
      <c r="E66" s="58"/>
      <c r="F66" s="58"/>
      <c r="G66" s="58"/>
      <c r="H66" s="58"/>
      <c r="I66" s="58"/>
      <c r="J66" s="13"/>
      <c r="K66" s="9"/>
      <c r="L66" s="9"/>
      <c r="M66" s="9"/>
      <c r="N66" s="9"/>
      <c r="O66" s="9"/>
      <c r="P66" s="9"/>
      <c r="Q66" s="9"/>
      <c r="R66" s="9"/>
      <c r="S66" s="9"/>
      <c r="T66" s="9"/>
      <c r="U66" s="9"/>
      <c r="V66" s="119"/>
      <c r="W66" s="138"/>
      <c r="X66" s="147"/>
      <c r="Y66" s="1276"/>
      <c r="Z66" s="1276"/>
      <c r="AA66" s="1276"/>
      <c r="AB66" s="1276"/>
      <c r="AC66" s="1276"/>
      <c r="AD66" s="1276"/>
      <c r="AE66" s="1276"/>
      <c r="AF66" s="1276"/>
      <c r="AG66" s="1276"/>
      <c r="AH66" s="1276"/>
      <c r="AI66" s="1276"/>
      <c r="AJ66" s="1276"/>
      <c r="AK66" s="157"/>
    </row>
    <row r="67" spans="1:69" s="89" customFormat="1" ht="42" customHeight="1" x14ac:dyDescent="0.2">
      <c r="A67" s="123"/>
      <c r="B67" s="111"/>
      <c r="C67" s="111"/>
      <c r="D67" s="111"/>
      <c r="E67" s="111"/>
      <c r="F67" s="111"/>
      <c r="G67" s="111"/>
      <c r="H67" s="111"/>
      <c r="I67" s="111"/>
      <c r="J67" s="98"/>
      <c r="K67" s="87"/>
      <c r="L67" s="87"/>
      <c r="M67" s="87"/>
      <c r="N67" s="87"/>
      <c r="O67" s="87"/>
      <c r="P67" s="87"/>
      <c r="Q67" s="87"/>
      <c r="R67" s="87"/>
      <c r="S67" s="87"/>
      <c r="T67" s="87"/>
      <c r="U67" s="87"/>
      <c r="V67" s="124"/>
      <c r="W67" s="140"/>
      <c r="X67" s="149"/>
      <c r="AE67" s="1284"/>
      <c r="AF67" s="1284"/>
      <c r="AG67" s="1284"/>
      <c r="AH67" s="1284"/>
      <c r="AI67" s="1284"/>
      <c r="AJ67" s="199"/>
      <c r="AK67" s="156"/>
    </row>
    <row r="68" spans="1:69" s="89" customFormat="1" ht="42" customHeight="1" x14ac:dyDescent="0.2">
      <c r="A68" s="123"/>
      <c r="B68" s="111"/>
      <c r="C68" s="111"/>
      <c r="D68" s="111"/>
      <c r="E68" s="111"/>
      <c r="F68" s="111"/>
      <c r="G68" s="111"/>
      <c r="H68" s="111"/>
      <c r="I68" s="111"/>
      <c r="J68" s="98"/>
      <c r="K68" s="87"/>
      <c r="L68" s="87"/>
      <c r="M68" s="87"/>
      <c r="N68" s="87"/>
      <c r="O68" s="87"/>
      <c r="P68" s="87"/>
      <c r="Q68" s="87"/>
      <c r="R68" s="87"/>
      <c r="S68" s="87"/>
      <c r="T68" s="87"/>
      <c r="U68" s="87"/>
      <c r="V68" s="124"/>
      <c r="W68" s="140"/>
      <c r="X68" s="149"/>
      <c r="AE68" s="1284"/>
      <c r="AF68" s="1284"/>
      <c r="AG68" s="1284"/>
      <c r="AH68" s="1284"/>
      <c r="AI68" s="1284"/>
      <c r="AJ68" s="199"/>
      <c r="AK68" s="156"/>
    </row>
    <row r="69" spans="1:69" ht="7.5" customHeight="1" x14ac:dyDescent="0.2">
      <c r="A69" s="120"/>
      <c r="B69" s="18"/>
      <c r="C69" s="18"/>
      <c r="D69" s="17"/>
      <c r="E69" s="17"/>
      <c r="F69" s="17"/>
      <c r="G69" s="17"/>
      <c r="H69" s="17"/>
      <c r="I69" s="17"/>
      <c r="J69" s="13"/>
      <c r="K69" s="19"/>
      <c r="L69" s="19"/>
      <c r="M69" s="19"/>
      <c r="N69" s="19"/>
      <c r="O69" s="19"/>
      <c r="P69" s="19"/>
      <c r="Q69" s="19"/>
      <c r="R69" s="19"/>
      <c r="S69" s="19"/>
      <c r="T69" s="19"/>
      <c r="U69" s="20"/>
      <c r="V69" s="119"/>
      <c r="W69" s="138"/>
      <c r="X69" s="147"/>
      <c r="Y69" s="89"/>
      <c r="Z69" s="89"/>
      <c r="AA69" s="89"/>
      <c r="AB69" s="89"/>
      <c r="AC69" s="89"/>
      <c r="AJ69" s="179"/>
      <c r="AK69" s="153"/>
    </row>
    <row r="70" spans="1:69"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1"/>
      <c r="V70" s="1422"/>
      <c r="W70" s="138"/>
      <c r="X70" s="147"/>
      <c r="Y70" s="89"/>
      <c r="Z70" s="89"/>
      <c r="AA70" s="89"/>
      <c r="AB70" s="89"/>
      <c r="AC70" s="89"/>
      <c r="AJ70" s="179"/>
      <c r="AK70" s="153"/>
    </row>
    <row r="71" spans="1:69"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0"/>
      <c r="J71" s="1429"/>
      <c r="K71" s="1429"/>
      <c r="L71" s="1429"/>
      <c r="M71" s="1429"/>
      <c r="N71" s="1429"/>
      <c r="O71" s="1429"/>
      <c r="P71" s="1431"/>
      <c r="Q71" s="1429"/>
      <c r="R71" s="1429"/>
      <c r="S71" s="1429"/>
      <c r="T71" s="1430"/>
      <c r="U71" s="1429"/>
      <c r="V71" s="1432"/>
      <c r="W71" s="138"/>
      <c r="X71" s="147"/>
      <c r="Y71" s="89"/>
      <c r="Z71" s="89"/>
      <c r="AA71" s="89"/>
      <c r="AB71" s="89"/>
      <c r="AC71" s="89"/>
      <c r="AJ71" s="179"/>
      <c r="AK71" s="153"/>
    </row>
    <row r="72" spans="1:69" ht="11.25" customHeight="1" x14ac:dyDescent="0.2">
      <c r="A72" s="114"/>
      <c r="B72" s="115"/>
      <c r="C72" s="115"/>
      <c r="D72" s="115"/>
      <c r="E72" s="115"/>
      <c r="F72" s="115"/>
      <c r="G72" s="115"/>
      <c r="H72" s="115"/>
      <c r="I72" s="115"/>
      <c r="J72" s="116"/>
      <c r="K72" s="115"/>
      <c r="L72" s="115"/>
      <c r="M72" s="115"/>
      <c r="N72" s="115"/>
      <c r="O72" s="115"/>
      <c r="P72" s="115"/>
      <c r="Q72" s="115"/>
      <c r="R72" s="115"/>
      <c r="S72" s="115"/>
      <c r="T72" s="115"/>
      <c r="U72" s="115"/>
      <c r="V72" s="117"/>
      <c r="W72" s="138"/>
      <c r="X72" s="147"/>
      <c r="Y72" s="1275"/>
      <c r="AA72" s="183"/>
      <c r="AJ72" s="179"/>
      <c r="AK72" s="157"/>
    </row>
    <row r="73" spans="1:69" s="78" customFormat="1" ht="15" customHeight="1" x14ac:dyDescent="0.2">
      <c r="A73" s="121"/>
      <c r="B73" s="1442" t="s">
        <v>733</v>
      </c>
      <c r="C73" s="1442"/>
      <c r="D73" s="1442"/>
      <c r="E73" s="1442"/>
      <c r="F73" s="1442"/>
      <c r="G73" s="1442"/>
      <c r="H73" s="1442"/>
      <c r="I73" s="1442"/>
      <c r="J73" s="69"/>
      <c r="K73" s="69"/>
      <c r="L73" s="69"/>
      <c r="M73" s="69"/>
      <c r="N73" s="771"/>
      <c r="O73" s="69"/>
      <c r="P73" s="69"/>
      <c r="Q73" s="69"/>
      <c r="R73" s="69"/>
      <c r="S73" s="69"/>
      <c r="T73" s="69"/>
      <c r="U73" s="69"/>
      <c r="V73" s="122"/>
      <c r="W73" s="139"/>
      <c r="X73" s="148"/>
      <c r="Y73" s="577" t="s">
        <v>736</v>
      </c>
      <c r="Z73" s="577"/>
      <c r="AA73" s="577"/>
      <c r="AB73" s="577"/>
      <c r="AC73" s="577"/>
      <c r="AD73" s="577"/>
      <c r="AE73" s="578"/>
      <c r="AF73" s="1278"/>
      <c r="AG73" s="1279"/>
      <c r="AH73" s="1279"/>
      <c r="AI73" s="1279"/>
      <c r="AJ73" s="1279"/>
      <c r="AK73" s="156"/>
    </row>
    <row r="74" spans="1:69" ht="15" customHeight="1" x14ac:dyDescent="0.2">
      <c r="A74" s="120"/>
      <c r="B74" s="1442"/>
      <c r="C74" s="1442"/>
      <c r="D74" s="1442"/>
      <c r="E74" s="1442"/>
      <c r="F74" s="1442"/>
      <c r="G74" s="1442"/>
      <c r="H74" s="1442"/>
      <c r="I74" s="1442"/>
      <c r="J74" s="69"/>
      <c r="K74" s="69"/>
      <c r="L74" s="69"/>
      <c r="M74" s="69"/>
      <c r="N74" s="771"/>
      <c r="O74" s="69"/>
      <c r="P74" s="69"/>
      <c r="Q74" s="69"/>
      <c r="R74" s="10"/>
      <c r="S74" s="69"/>
      <c r="T74" s="69"/>
      <c r="U74" s="69"/>
      <c r="V74" s="119"/>
      <c r="W74" s="138"/>
      <c r="X74" s="147"/>
      <c r="Y74" s="1279"/>
      <c r="Z74" s="1278"/>
      <c r="AA74" s="1279"/>
      <c r="AB74" s="1279"/>
      <c r="AC74" s="1279"/>
      <c r="AD74" s="1279"/>
      <c r="AE74" s="578"/>
      <c r="AF74" s="1278"/>
      <c r="AG74" s="1279"/>
      <c r="AH74" s="1279"/>
      <c r="AI74" s="1279"/>
      <c r="AJ74" s="1279"/>
      <c r="AK74" s="157"/>
    </row>
    <row r="75" spans="1:69" ht="13.5" customHeight="1" x14ac:dyDescent="0.2">
      <c r="A75" s="271"/>
      <c r="B75" s="1419" t="s">
        <v>190</v>
      </c>
      <c r="C75" s="873"/>
      <c r="D75" s="755" t="str">
        <f>Sheet1!$D$25</f>
        <v>2014-15</v>
      </c>
      <c r="E75" s="756" t="str">
        <f>Sheet1!$E$25</f>
        <v>2015-16</v>
      </c>
      <c r="F75" s="756" t="str">
        <f>Sheet1!$F$25</f>
        <v>2016-17</v>
      </c>
      <c r="G75" s="756" t="str">
        <f>Sheet1!$G$25</f>
        <v>2017-18</v>
      </c>
      <c r="H75" s="757" t="str">
        <f>Sheet1!$H$25</f>
        <v>2018-19</v>
      </c>
      <c r="I75" s="873"/>
      <c r="J75" s="69"/>
      <c r="K75" s="69"/>
      <c r="L75" s="69"/>
      <c r="M75" s="69"/>
      <c r="N75" s="870"/>
      <c r="O75" s="69"/>
      <c r="P75" s="69"/>
      <c r="Q75" s="69"/>
      <c r="R75" s="10"/>
      <c r="S75" s="69"/>
      <c r="T75" s="69"/>
      <c r="U75" s="69"/>
      <c r="V75" s="119"/>
      <c r="W75" s="138"/>
      <c r="X75" s="147"/>
      <c r="Y75" s="1279"/>
      <c r="Z75" s="1229" t="str">
        <f>IF(Sheet1!$C$3="Annual","",Sheet1!$D$26)</f>
        <v/>
      </c>
      <c r="AA75" s="1229" t="str">
        <f>IF(Sheet1!$C$3="Annual","",Sheet1!$E$26)</f>
        <v/>
      </c>
      <c r="AB75" s="1229" t="str">
        <f>IF(Sheet1!$C$3="Annual","",Sheet1!$F$26)</f>
        <v/>
      </c>
      <c r="AC75" s="1229" t="str">
        <f>IF(Sheet1!$C$3="Annual","",Sheet1!$G$26)</f>
        <v/>
      </c>
      <c r="AD75" s="1229" t="str">
        <f>IF(Sheet1!$C$3="Annual","",Sheet1!$H$26)</f>
        <v/>
      </c>
      <c r="AE75" s="578"/>
      <c r="AF75" s="1278"/>
      <c r="AG75" s="1279"/>
      <c r="AH75" s="1279"/>
      <c r="AI75" s="1279"/>
      <c r="AJ75" s="1279"/>
      <c r="AK75" s="157"/>
    </row>
    <row r="76" spans="1:69" s="89" customFormat="1" ht="13.5" customHeight="1" x14ac:dyDescent="0.2">
      <c r="A76" s="123"/>
      <c r="B76" s="1420"/>
      <c r="C76" s="87"/>
      <c r="D76" s="758" t="e">
        <f>Sheet1!$D$26</f>
        <v>#N/A</v>
      </c>
      <c r="E76" s="758" t="e">
        <f>Sheet1!$E$26</f>
        <v>#N/A</v>
      </c>
      <c r="F76" s="758" t="e">
        <f>Sheet1!$F$26</f>
        <v>#N/A</v>
      </c>
      <c r="G76" s="758" t="e">
        <f>Sheet1!$G$26</f>
        <v>#N/A</v>
      </c>
      <c r="H76" s="759" t="e">
        <f>Sheet1!$H$26</f>
        <v>#N/A</v>
      </c>
      <c r="I76" s="98"/>
      <c r="J76" s="98"/>
      <c r="K76" s="61"/>
      <c r="L76" s="61"/>
      <c r="M76" s="61"/>
      <c r="N76" s="61"/>
      <c r="O76" s="61"/>
      <c r="P76" s="61"/>
      <c r="Q76" s="774"/>
      <c r="R76" s="774"/>
      <c r="S76" s="155"/>
      <c r="T76" s="155"/>
      <c r="U76" s="775"/>
      <c r="V76" s="124"/>
      <c r="W76" s="140"/>
      <c r="X76" s="149"/>
      <c r="Y76" s="717"/>
      <c r="Z76" s="1229" t="str">
        <f>Sheet1!$D$25</f>
        <v>2014-15</v>
      </c>
      <c r="AA76" s="1229" t="str">
        <f>Sheet1!$E$25</f>
        <v>2015-16</v>
      </c>
      <c r="AB76" s="1229" t="str">
        <f>Sheet1!$F$25</f>
        <v>2016-17</v>
      </c>
      <c r="AC76" s="1229" t="str">
        <f>Sheet1!$G$25</f>
        <v>2017-18</v>
      </c>
      <c r="AD76" s="1229" t="str">
        <f>Sheet1!$H$25</f>
        <v>2018-19</v>
      </c>
      <c r="AE76" s="578"/>
      <c r="AF76" s="1278"/>
      <c r="AG76" s="1279"/>
      <c r="AH76" s="1279"/>
      <c r="AI76" s="1279"/>
      <c r="AJ76" s="1279"/>
      <c r="AK76" s="156"/>
    </row>
    <row r="77" spans="1:69" s="89" customFormat="1" ht="12.75" customHeight="1" x14ac:dyDescent="0.2">
      <c r="A77" s="462">
        <f>VLOOKUP(B77,Sheet1!$AQ$4:$AR$25,2,FALSE)</f>
        <v>0</v>
      </c>
      <c r="B77" s="95" t="str">
        <f t="shared" ref="B77:B100" si="26">B10</f>
        <v>Bracknell Forest</v>
      </c>
      <c r="C77" s="87"/>
      <c r="D77" s="158" t="e">
        <f t="shared" ref="D77:D100" si="27">IF(AND(ISNUMBER(Z77),ISNUMBER(D10)),Z77/D10,NA())</f>
        <v>#N/A</v>
      </c>
      <c r="E77" s="158" t="e">
        <f t="shared" ref="E77:E100" si="28">IF(AND(ISNUMBER(AA77),ISNUMBER(E10)),AA77/E10,NA())</f>
        <v>#N/A</v>
      </c>
      <c r="F77" s="158" t="e">
        <f t="shared" ref="F77:F100" si="29">IF(AND(ISNUMBER(AB77),ISNUMBER(F10)),AB77/F10,NA())</f>
        <v>#N/A</v>
      </c>
      <c r="G77" s="158" t="e">
        <f t="shared" ref="G77:G100" si="30">IF(AND(ISNUMBER(AC77),ISNUMBER(G10)),AC77/G10,NA())</f>
        <v>#N/A</v>
      </c>
      <c r="H77" s="160" t="e">
        <f t="shared" ref="H77:H100" si="31">IF(AND(ISNUMBER(AD77),ISNUMBER(H10)),AD77/H10,NA())</f>
        <v>#N/A</v>
      </c>
      <c r="I77" s="98"/>
      <c r="J77" s="98"/>
      <c r="K77" s="162"/>
      <c r="L77" s="162"/>
      <c r="M77" s="162"/>
      <c r="N77" s="162"/>
      <c r="O77" s="162"/>
      <c r="P77" s="162"/>
      <c r="Q77" s="162"/>
      <c r="R77" s="163"/>
      <c r="S77" s="155"/>
      <c r="T77" s="155"/>
      <c r="U77" s="162"/>
      <c r="V77" s="124"/>
      <c r="W77" s="140"/>
      <c r="X77" s="149"/>
      <c r="Y77" s="717" t="str">
        <f>B77</f>
        <v>Bracknell Forest</v>
      </c>
      <c r="Z77" s="718" t="str">
        <f>IF(Year1_Bracknell_Forest Year1_LAC_Remanded="","",Year1_Bracknell_Forest Year1_LAC_Remanded)</f>
        <v/>
      </c>
      <c r="AA77" s="722" t="str">
        <f>IF(Year2_Bracknell_Forest Year2_LAC_Remanded="","",Year2_Bracknell_Forest Year2_LAC_Remanded)</f>
        <v/>
      </c>
      <c r="AB77" s="722" t="str">
        <f>IF(Year3_Bracknell_Forest Year3_LAC_Remanded="","",Year3_Bracknell_Forest Year3_LAC_Remanded)</f>
        <v/>
      </c>
      <c r="AC77" s="722" t="str">
        <f>IF(Year4_Bracknell_Forest Year4_LAC_Remanded="","",Year4_Bracknell_Forest Year4_LAC_Remanded)</f>
        <v/>
      </c>
      <c r="AD77" s="717" t="str">
        <f>IF(Year5_Bracknell_Forest Year5_LAC_Remanded="","",Year5_Bracknell_Forest Year5_LAC_Remanded)</f>
        <v>x</v>
      </c>
      <c r="AE77" s="578"/>
      <c r="AF77" s="1278"/>
      <c r="AG77" s="1279"/>
      <c r="AH77" s="1279"/>
      <c r="AI77" s="1279"/>
      <c r="AJ77" s="1279"/>
      <c r="AK77" s="157"/>
    </row>
    <row r="78" spans="1:69" s="89" customFormat="1" ht="12.75" customHeight="1" x14ac:dyDescent="0.2">
      <c r="A78" s="462">
        <f>VLOOKUP(B78,Sheet1!$AQ$4:$AR$25,2,FALSE)</f>
        <v>0</v>
      </c>
      <c r="B78" s="95" t="str">
        <f t="shared" si="26"/>
        <v>Brighton &amp; Hove</v>
      </c>
      <c r="C78" s="87"/>
      <c r="D78" s="158" t="e">
        <f t="shared" si="27"/>
        <v>#N/A</v>
      </c>
      <c r="E78" s="158" t="e">
        <f t="shared" si="28"/>
        <v>#N/A</v>
      </c>
      <c r="F78" s="158" t="e">
        <f t="shared" si="29"/>
        <v>#N/A</v>
      </c>
      <c r="G78" s="158" t="e">
        <f t="shared" si="30"/>
        <v>#N/A</v>
      </c>
      <c r="H78" s="160" t="e">
        <f t="shared" si="31"/>
        <v>#N/A</v>
      </c>
      <c r="I78" s="98"/>
      <c r="J78" s="98"/>
      <c r="K78" s="162"/>
      <c r="L78" s="162"/>
      <c r="M78" s="162"/>
      <c r="N78" s="162"/>
      <c r="O78" s="162"/>
      <c r="P78" s="162"/>
      <c r="Q78" s="162"/>
      <c r="R78" s="163"/>
      <c r="S78" s="155"/>
      <c r="T78" s="155"/>
      <c r="U78" s="162"/>
      <c r="V78" s="124"/>
      <c r="W78" s="140"/>
      <c r="X78" s="149"/>
      <c r="Y78" s="717" t="str">
        <f t="shared" ref="Y78:Y98" si="32">B78</f>
        <v>Brighton &amp; Hove</v>
      </c>
      <c r="Z78" s="718" t="str">
        <f>IF(Year1_Brighton_Hove Year1_LAC_Remanded="","",Year1_Brighton_Hove Year1_LAC_Remanded)</f>
        <v/>
      </c>
      <c r="AA78" s="722" t="str">
        <f>IF(Year2_Brighton_Hove Year2_LAC_Remanded="","",Year2_Brighton_Hove Year2_LAC_Remanded)</f>
        <v/>
      </c>
      <c r="AB78" s="722" t="str">
        <f>IF(Year3_Brighton_Hove Year3_LAC_Remanded="","",Year3_Brighton_Hove Year3_LAC_Remanded)</f>
        <v/>
      </c>
      <c r="AC78" s="722" t="str">
        <f>IF(Year4_Brighton_Hove Year4_LAC_Remanded="","",Year4_Brighton_Hove Year4_LAC_Remanded)</f>
        <v/>
      </c>
      <c r="AD78" s="717" t="str">
        <f>IF(Year5_Brighton_Hove Year5_LAC_Remanded="","",Year5_Brighton_Hove Year5_LAC_Remanded)</f>
        <v>x</v>
      </c>
      <c r="AE78" s="578"/>
      <c r="AF78" s="1294"/>
      <c r="AG78" s="1279"/>
      <c r="AH78" s="1279"/>
      <c r="AI78" s="1279"/>
      <c r="AJ78" s="1279"/>
      <c r="AK78" s="156"/>
    </row>
    <row r="79" spans="1:69" s="89" customFormat="1" ht="12.75" customHeight="1" x14ac:dyDescent="0.2">
      <c r="A79" s="462">
        <f>VLOOKUP(B79,Sheet1!$AQ$4:$AR$25,2,FALSE)</f>
        <v>0</v>
      </c>
      <c r="B79" s="95" t="str">
        <f t="shared" si="26"/>
        <v>Buckinghamshire</v>
      </c>
      <c r="C79" s="87"/>
      <c r="D79" s="158" t="e">
        <f t="shared" si="27"/>
        <v>#N/A</v>
      </c>
      <c r="E79" s="158" t="e">
        <f t="shared" si="28"/>
        <v>#N/A</v>
      </c>
      <c r="F79" s="158" t="e">
        <f t="shared" si="29"/>
        <v>#N/A</v>
      </c>
      <c r="G79" s="158" t="e">
        <f t="shared" si="30"/>
        <v>#N/A</v>
      </c>
      <c r="H79" s="160" t="e">
        <f t="shared" si="31"/>
        <v>#N/A</v>
      </c>
      <c r="I79" s="98"/>
      <c r="J79" s="98"/>
      <c r="K79" s="162"/>
      <c r="L79" s="162"/>
      <c r="M79" s="162"/>
      <c r="N79" s="162"/>
      <c r="O79" s="162"/>
      <c r="P79" s="162"/>
      <c r="Q79" s="162"/>
      <c r="R79" s="163"/>
      <c r="S79" s="155"/>
      <c r="T79" s="155"/>
      <c r="U79" s="162"/>
      <c r="V79" s="124"/>
      <c r="W79" s="140"/>
      <c r="X79" s="149"/>
      <c r="Y79" s="717" t="str">
        <f t="shared" si="32"/>
        <v>Buckinghamshire</v>
      </c>
      <c r="Z79" s="718" t="str">
        <f>IF(Year1_Buckinghamshire Year1_LAC_Remanded="","",Year1_Buckinghamshire Year1_LAC_Remanded)</f>
        <v/>
      </c>
      <c r="AA79" s="722" t="str">
        <f>IF(Year2_Buckinghamshire Year2_LAC_Remanded="","",Year2_Buckinghamshire Year2_LAC_Remanded)</f>
        <v/>
      </c>
      <c r="AB79" s="722" t="str">
        <f>IF(Year3_Buckinghamshire Year3_LAC_Remanded="","",Year3_Buckinghamshire Year3_LAC_Remanded)</f>
        <v/>
      </c>
      <c r="AC79" s="722" t="str">
        <f>IF(Year4_Buckinghamshire Year4_LAC_Remanded="","",Year4_Buckinghamshire Year4_LAC_Remanded)</f>
        <v/>
      </c>
      <c r="AD79" s="717" t="str">
        <f>IF(Year5_Buckinghamshire Year5_LAC_Remanded="","",Year5_Buckinghamshire Year5_LAC_Remanded)</f>
        <v>x</v>
      </c>
      <c r="AE79" s="578"/>
      <c r="AF79" s="1294"/>
      <c r="AG79" s="1279"/>
      <c r="AH79" s="1279"/>
      <c r="AI79" s="1279"/>
      <c r="AJ79" s="1279"/>
      <c r="AK79" s="157"/>
    </row>
    <row r="80" spans="1:69" s="89" customFormat="1" ht="12.75" customHeight="1" x14ac:dyDescent="0.2">
      <c r="A80" s="462">
        <f>VLOOKUP(B80,Sheet1!$AQ$4:$AR$25,2,FALSE)</f>
        <v>0</v>
      </c>
      <c r="B80" s="95" t="str">
        <f t="shared" si="26"/>
        <v>East Sussex</v>
      </c>
      <c r="C80" s="87"/>
      <c r="D80" s="158" t="e">
        <f t="shared" si="27"/>
        <v>#N/A</v>
      </c>
      <c r="E80" s="158" t="e">
        <f t="shared" si="28"/>
        <v>#N/A</v>
      </c>
      <c r="F80" s="158" t="e">
        <f t="shared" si="29"/>
        <v>#N/A</v>
      </c>
      <c r="G80" s="158" t="e">
        <f t="shared" si="30"/>
        <v>#N/A</v>
      </c>
      <c r="H80" s="160" t="e">
        <f t="shared" si="31"/>
        <v>#N/A</v>
      </c>
      <c r="I80" s="98"/>
      <c r="J80" s="98"/>
      <c r="K80" s="162"/>
      <c r="L80" s="162"/>
      <c r="M80" s="162"/>
      <c r="N80" s="162"/>
      <c r="O80" s="162"/>
      <c r="P80" s="162"/>
      <c r="Q80" s="162"/>
      <c r="R80" s="163"/>
      <c r="S80" s="155"/>
      <c r="T80" s="155"/>
      <c r="U80" s="162"/>
      <c r="V80" s="124"/>
      <c r="W80" s="140"/>
      <c r="X80" s="149"/>
      <c r="Y80" s="717" t="str">
        <f t="shared" si="32"/>
        <v>East Sussex</v>
      </c>
      <c r="Z80" s="718" t="str">
        <f>IF(Year1_East_Sussex Year1_LAC_Remanded="","",Year1_East_Sussex Year1_LAC_Remanded)</f>
        <v/>
      </c>
      <c r="AA80" s="722" t="str">
        <f>IF(Year2_East_Sussex Year2_LAC_Remanded="","",Year2_East_Sussex Year2_LAC_Remanded)</f>
        <v/>
      </c>
      <c r="AB80" s="722" t="str">
        <f>IF(Year3_East_Sussex Year3_LAC_Remanded="","",Year3_East_Sussex Year3_LAC_Remanded)</f>
        <v/>
      </c>
      <c r="AC80" s="722" t="str">
        <f>IF(Year4_East_Sussex Year4_LAC_Remanded="","",Year4_East_Sussex Year4_LAC_Remanded)</f>
        <v/>
      </c>
      <c r="AD80" s="717" t="str">
        <f>IF(Year5_East_Sussex Year5_LAC_Remanded="","",Year5_East_Sussex Year5_LAC_Remanded)</f>
        <v>x</v>
      </c>
      <c r="AE80" s="578"/>
      <c r="AF80" s="1294"/>
      <c r="AG80" s="1279"/>
      <c r="AH80" s="1279"/>
      <c r="AI80" s="1279"/>
      <c r="AJ80" s="1279"/>
      <c r="AK80" s="156"/>
    </row>
    <row r="81" spans="1:45" s="89" customFormat="1" ht="12.75" customHeight="1" x14ac:dyDescent="0.2">
      <c r="A81" s="462">
        <f>VLOOKUP(B81,Sheet1!$AQ$4:$AR$25,2,FALSE)</f>
        <v>0</v>
      </c>
      <c r="B81" s="95" t="str">
        <f t="shared" si="26"/>
        <v>Hampshire</v>
      </c>
      <c r="C81" s="87"/>
      <c r="D81" s="158" t="e">
        <f t="shared" si="27"/>
        <v>#N/A</v>
      </c>
      <c r="E81" s="158" t="e">
        <f t="shared" si="28"/>
        <v>#N/A</v>
      </c>
      <c r="F81" s="158" t="e">
        <f t="shared" si="29"/>
        <v>#N/A</v>
      </c>
      <c r="G81" s="158" t="e">
        <f t="shared" si="30"/>
        <v>#N/A</v>
      </c>
      <c r="H81" s="160">
        <f t="shared" si="31"/>
        <v>1.8404907975460124E-2</v>
      </c>
      <c r="I81" s="98"/>
      <c r="J81" s="98"/>
      <c r="K81" s="162"/>
      <c r="L81" s="162"/>
      <c r="M81" s="162"/>
      <c r="N81" s="162"/>
      <c r="O81" s="162"/>
      <c r="P81" s="162"/>
      <c r="Q81" s="162"/>
      <c r="R81" s="163"/>
      <c r="S81" s="155"/>
      <c r="T81" s="155"/>
      <c r="U81" s="162"/>
      <c r="V81" s="124"/>
      <c r="W81" s="140"/>
      <c r="X81" s="149"/>
      <c r="Y81" s="717" t="str">
        <f t="shared" si="32"/>
        <v>Hampshire</v>
      </c>
      <c r="Z81" s="718" t="str">
        <f>IF(Year1_Hampshire Year1_LAC_Remanded="","",Year1_Hampshire Year1_LAC_Remanded)</f>
        <v/>
      </c>
      <c r="AA81" s="722" t="str">
        <f>IF(Year2_Hampshire Year2_LAC_Remanded="","",Year2_Hampshire Year2_LAC_Remanded)</f>
        <v/>
      </c>
      <c r="AB81" s="722" t="str">
        <f>IF(Year3_Hampshire Year3_LAC_Remanded="","",Year3_Hampshire Year3_LAC_Remanded)</f>
        <v/>
      </c>
      <c r="AC81" s="722" t="str">
        <f>IF(Year4_Hampshire Year4_LAC_Remanded="","",Year4_Hampshire Year4_LAC_Remanded)</f>
        <v/>
      </c>
      <c r="AD81" s="717">
        <f>IF(Year5_Hampshire Year5_LAC_Remanded="","",Year5_Hampshire Year5_LAC_Remanded)</f>
        <v>12</v>
      </c>
      <c r="AE81" s="578"/>
      <c r="AF81" s="1294"/>
      <c r="AG81" s="1279"/>
      <c r="AH81" s="1279"/>
      <c r="AI81" s="1279"/>
      <c r="AJ81" s="1279"/>
      <c r="AK81" s="157"/>
    </row>
    <row r="82" spans="1:45" s="89" customFormat="1" ht="12.75" customHeight="1" x14ac:dyDescent="0.2">
      <c r="A82" s="462">
        <f>VLOOKUP(B82,Sheet1!$AQ$4:$AR$25,2,FALSE)</f>
        <v>0</v>
      </c>
      <c r="B82" s="95" t="str">
        <f t="shared" si="26"/>
        <v>Isle of Wight</v>
      </c>
      <c r="C82" s="87"/>
      <c r="D82" s="158" t="e">
        <f t="shared" si="27"/>
        <v>#N/A</v>
      </c>
      <c r="E82" s="158" t="e">
        <f t="shared" si="28"/>
        <v>#N/A</v>
      </c>
      <c r="F82" s="158" t="e">
        <f t="shared" si="29"/>
        <v>#N/A</v>
      </c>
      <c r="G82" s="158" t="e">
        <f t="shared" si="30"/>
        <v>#N/A</v>
      </c>
      <c r="H82" s="160" t="e">
        <f t="shared" si="31"/>
        <v>#N/A</v>
      </c>
      <c r="I82" s="98"/>
      <c r="J82" s="98"/>
      <c r="K82" s="162"/>
      <c r="L82" s="162"/>
      <c r="M82" s="162"/>
      <c r="N82" s="162"/>
      <c r="O82" s="162"/>
      <c r="P82" s="162"/>
      <c r="Q82" s="162"/>
      <c r="R82" s="163"/>
      <c r="S82" s="155"/>
      <c r="T82" s="155"/>
      <c r="U82" s="162"/>
      <c r="V82" s="124"/>
      <c r="W82" s="140"/>
      <c r="X82" s="149"/>
      <c r="Y82" s="717" t="str">
        <f t="shared" si="32"/>
        <v>Isle of Wight</v>
      </c>
      <c r="Z82" s="718" t="str">
        <f>IF(Year1_Isle_of_Wight Year1_LAC_Remanded="","",Year1_Isle_of_Wight Year1_LAC_Remanded)</f>
        <v/>
      </c>
      <c r="AA82" s="722" t="str">
        <f>IF(Year2_Isle_of_Wight Year2_LAC_Remanded="","",Year2_Isle_of_Wight Year2_LAC_Remanded)</f>
        <v/>
      </c>
      <c r="AB82" s="722" t="str">
        <f>IF(Year3_Isle_of_Wight Year3_LAC_Remanded="","",Year3_Isle_of_Wight Year3_LAC_Remanded)</f>
        <v/>
      </c>
      <c r="AC82" s="722" t="str">
        <f>IF(Year4_Isle_of_Wight Year4_LAC_Remanded="","",Year4_Isle_of_Wight Year4_LAC_Remanded)</f>
        <v/>
      </c>
      <c r="AD82" s="717" t="str">
        <f>IF(Year5_Isle_of_Wight Year5_LAC_Remanded="","",Year5_Isle_of_Wight Year5_LAC_Remanded)</f>
        <v>x</v>
      </c>
      <c r="AE82" s="578"/>
      <c r="AF82" s="1294"/>
      <c r="AG82" s="1279"/>
      <c r="AH82" s="1279"/>
      <c r="AI82" s="1279"/>
      <c r="AJ82" s="1279"/>
      <c r="AK82" s="156"/>
      <c r="AS82" s="89" t="s">
        <v>103</v>
      </c>
    </row>
    <row r="83" spans="1:45" s="89" customFormat="1" ht="12.75" customHeight="1" x14ac:dyDescent="0.2">
      <c r="A83" s="462">
        <f>VLOOKUP(B83,Sheet1!$AQ$4:$AR$25,2,FALSE)</f>
        <v>0</v>
      </c>
      <c r="B83" s="95" t="str">
        <f t="shared" si="26"/>
        <v>Kent</v>
      </c>
      <c r="C83" s="87"/>
      <c r="D83" s="158" t="e">
        <f t="shared" si="27"/>
        <v>#N/A</v>
      </c>
      <c r="E83" s="158" t="e">
        <f t="shared" si="28"/>
        <v>#N/A</v>
      </c>
      <c r="F83" s="158" t="e">
        <f t="shared" si="29"/>
        <v>#N/A</v>
      </c>
      <c r="G83" s="158" t="e">
        <f t="shared" si="30"/>
        <v>#N/A</v>
      </c>
      <c r="H83" s="160" t="e">
        <f t="shared" si="31"/>
        <v>#N/A</v>
      </c>
      <c r="I83" s="98"/>
      <c r="J83" s="98"/>
      <c r="K83" s="162"/>
      <c r="L83" s="162"/>
      <c r="M83" s="162"/>
      <c r="N83" s="162"/>
      <c r="O83" s="162"/>
      <c r="P83" s="162"/>
      <c r="Q83" s="162"/>
      <c r="R83" s="163"/>
      <c r="S83" s="155"/>
      <c r="T83" s="155"/>
      <c r="U83" s="162"/>
      <c r="V83" s="124"/>
      <c r="W83" s="140"/>
      <c r="X83" s="149"/>
      <c r="Y83" s="717" t="str">
        <f t="shared" si="32"/>
        <v>Kent</v>
      </c>
      <c r="Z83" s="718" t="str">
        <f>IF(Year1_Kent Year1_LAC_Remanded="","",Year1_Kent Year1_LAC_Remanded)</f>
        <v/>
      </c>
      <c r="AA83" s="722" t="str">
        <f>IF(Year2_Kent Year2_LAC_Remanded="","",Year2_Kent Year2_LAC_Remanded)</f>
        <v/>
      </c>
      <c r="AB83" s="722" t="str">
        <f>IF(Year3_Kent Year3_LAC_Remanded="","",Year3_Kent Year3_LAC_Remanded)</f>
        <v/>
      </c>
      <c r="AC83" s="722" t="str">
        <f>IF(Year4_Kent Year4_LAC_Remanded="","",Year4_Kent Year4_LAC_Remanded)</f>
        <v/>
      </c>
      <c r="AD83" s="717" t="str">
        <f>IF(Year5_Kent Year5_LAC_Remanded="","",Year5_Kent Year5_LAC_Remanded)</f>
        <v>x</v>
      </c>
      <c r="AE83" s="578"/>
      <c r="AF83" s="1278"/>
      <c r="AG83" s="1279"/>
      <c r="AH83" s="1279"/>
      <c r="AI83" s="1279"/>
      <c r="AJ83" s="1279"/>
      <c r="AK83" s="157"/>
    </row>
    <row r="84" spans="1:45" s="89" customFormat="1" ht="12.75" customHeight="1" x14ac:dyDescent="0.2">
      <c r="A84" s="462">
        <f>VLOOKUP(B84,Sheet1!$AQ$4:$AR$25,2,FALSE)</f>
        <v>0</v>
      </c>
      <c r="B84" s="95" t="str">
        <f t="shared" si="26"/>
        <v>Medway</v>
      </c>
      <c r="C84" s="87"/>
      <c r="D84" s="158" t="e">
        <f t="shared" si="27"/>
        <v>#N/A</v>
      </c>
      <c r="E84" s="158" t="e">
        <f t="shared" si="28"/>
        <v>#N/A</v>
      </c>
      <c r="F84" s="158" t="e">
        <f t="shared" si="29"/>
        <v>#N/A</v>
      </c>
      <c r="G84" s="158" t="e">
        <f t="shared" si="30"/>
        <v>#N/A</v>
      </c>
      <c r="H84" s="160" t="e">
        <f t="shared" si="31"/>
        <v>#N/A</v>
      </c>
      <c r="I84" s="98"/>
      <c r="J84" s="98"/>
      <c r="K84" s="162"/>
      <c r="L84" s="162"/>
      <c r="M84" s="162"/>
      <c r="N84" s="162"/>
      <c r="O84" s="162"/>
      <c r="P84" s="162"/>
      <c r="Q84" s="162"/>
      <c r="R84" s="163"/>
      <c r="S84" s="155"/>
      <c r="T84" s="155"/>
      <c r="U84" s="162"/>
      <c r="V84" s="124"/>
      <c r="W84" s="140"/>
      <c r="X84" s="149"/>
      <c r="Y84" s="717" t="str">
        <f t="shared" si="32"/>
        <v>Medway</v>
      </c>
      <c r="Z84" s="718" t="str">
        <f>IF(Year1_Medway Year1_LAC_Remanded="","",Year1_Medway Year1_LAC_Remanded)</f>
        <v/>
      </c>
      <c r="AA84" s="722" t="str">
        <f>IF(Year2_Medway Year2_LAC_Remanded="","",Year2_Medway Year2_LAC_Remanded)</f>
        <v/>
      </c>
      <c r="AB84" s="722" t="str">
        <f>IF(Year3_Medway Year3_LAC_Remanded="","",Year3_Medway Year3_LAC_Remanded)</f>
        <v/>
      </c>
      <c r="AC84" s="722" t="str">
        <f>IF(Year4_Medway Year4_LAC_Remanded="","",Year4_Medway Year4_LAC_Remanded)</f>
        <v/>
      </c>
      <c r="AD84" s="717" t="str">
        <f>IF(Year5_Medway Year5_LAC_Remanded="","",Year5_Medway Year5_LAC_Remanded)</f>
        <v>x</v>
      </c>
      <c r="AE84" s="578"/>
      <c r="AF84" s="1278"/>
      <c r="AG84" s="1279"/>
      <c r="AH84" s="1279"/>
      <c r="AI84" s="1279"/>
      <c r="AJ84" s="1279"/>
      <c r="AK84" s="156"/>
    </row>
    <row r="85" spans="1:45" s="89" customFormat="1" ht="12.75" customHeight="1" x14ac:dyDescent="0.2">
      <c r="A85" s="462">
        <f>VLOOKUP(B85,Sheet1!$AQ$4:$AR$25,2,FALSE)</f>
        <v>0</v>
      </c>
      <c r="B85" s="95" t="str">
        <f t="shared" si="26"/>
        <v>Milton Keynes</v>
      </c>
      <c r="C85" s="87"/>
      <c r="D85" s="158" t="e">
        <f t="shared" si="27"/>
        <v>#N/A</v>
      </c>
      <c r="E85" s="158" t="e">
        <f t="shared" si="28"/>
        <v>#N/A</v>
      </c>
      <c r="F85" s="158" t="e">
        <f t="shared" si="29"/>
        <v>#N/A</v>
      </c>
      <c r="G85" s="158" t="e">
        <f t="shared" si="30"/>
        <v>#N/A</v>
      </c>
      <c r="H85" s="160" t="e">
        <f t="shared" si="31"/>
        <v>#N/A</v>
      </c>
      <c r="I85" s="98"/>
      <c r="J85" s="98"/>
      <c r="K85" s="162"/>
      <c r="L85" s="162"/>
      <c r="M85" s="162"/>
      <c r="N85" s="162"/>
      <c r="O85" s="162"/>
      <c r="P85" s="162"/>
      <c r="Q85" s="162"/>
      <c r="R85" s="163"/>
      <c r="S85" s="155"/>
      <c r="T85" s="155"/>
      <c r="U85" s="162"/>
      <c r="V85" s="124"/>
      <c r="W85" s="140"/>
      <c r="X85" s="149"/>
      <c r="Y85" s="717" t="str">
        <f t="shared" si="32"/>
        <v>Milton Keynes</v>
      </c>
      <c r="Z85" s="718" t="str">
        <f>IF(Year1_Milton_Keynes Year1_LAC_Remanded="","",Year1_Milton_Keynes Year1_LAC_Remanded)</f>
        <v/>
      </c>
      <c r="AA85" s="722" t="str">
        <f>IF(Year2_Milton_Keynes Year2_LAC_Remanded="","",Year2_Milton_Keynes Year2_LAC_Remanded)</f>
        <v/>
      </c>
      <c r="AB85" s="722" t="str">
        <f>IF(Year3_Milton_Keynes Year3_LAC_Remanded="","",Year3_Milton_Keynes Year3_LAC_Remanded)</f>
        <v/>
      </c>
      <c r="AC85" s="722" t="str">
        <f>IF(Year4_Milton_Keynes Year4_LAC_Remanded="","",Year4_Milton_Keynes Year4_LAC_Remanded)</f>
        <v/>
      </c>
      <c r="AD85" s="717" t="str">
        <f>IF(Year5_Milton_Keynes Year5_LAC_Remanded="","",Year5_Milton_Keynes Year5_LAC_Remanded)</f>
        <v>x</v>
      </c>
      <c r="AE85" s="578"/>
      <c r="AF85" s="1278"/>
      <c r="AG85" s="1279"/>
      <c r="AH85" s="1279"/>
      <c r="AI85" s="1279"/>
      <c r="AJ85" s="1279"/>
      <c r="AK85" s="157"/>
    </row>
    <row r="86" spans="1:45" s="89" customFormat="1" ht="12.75" customHeight="1" x14ac:dyDescent="0.2">
      <c r="A86" s="462">
        <f>VLOOKUP(B86,Sheet1!$AQ$4:$AR$25,2,FALSE)</f>
        <v>0</v>
      </c>
      <c r="B86" s="95" t="str">
        <f t="shared" si="26"/>
        <v>Oxfordshire</v>
      </c>
      <c r="C86" s="87"/>
      <c r="D86" s="158" t="e">
        <f t="shared" si="27"/>
        <v>#N/A</v>
      </c>
      <c r="E86" s="158" t="e">
        <f t="shared" si="28"/>
        <v>#N/A</v>
      </c>
      <c r="F86" s="158" t="e">
        <f t="shared" si="29"/>
        <v>#N/A</v>
      </c>
      <c r="G86" s="158" t="e">
        <f t="shared" si="30"/>
        <v>#N/A</v>
      </c>
      <c r="H86" s="160" t="e">
        <f t="shared" si="31"/>
        <v>#N/A</v>
      </c>
      <c r="I86" s="98"/>
      <c r="J86" s="98"/>
      <c r="K86" s="162"/>
      <c r="L86" s="162"/>
      <c r="M86" s="162"/>
      <c r="N86" s="162"/>
      <c r="O86" s="162"/>
      <c r="P86" s="162"/>
      <c r="Q86" s="162"/>
      <c r="R86" s="163"/>
      <c r="S86" s="155"/>
      <c r="T86" s="155"/>
      <c r="U86" s="162"/>
      <c r="V86" s="124"/>
      <c r="W86" s="140"/>
      <c r="X86" s="149"/>
      <c r="Y86" s="717" t="str">
        <f t="shared" si="32"/>
        <v>Oxfordshire</v>
      </c>
      <c r="Z86" s="718" t="str">
        <f>IF(Year1_Oxfordshire Year1_LAC_Remanded="","",Year1_Oxfordshire Year1_LAC_Remanded)</f>
        <v/>
      </c>
      <c r="AA86" s="722" t="str">
        <f>IF(Year2_Oxfordshire Year2_LAC_Remanded="","",Year2_Oxfordshire Year2_LAC_Remanded)</f>
        <v/>
      </c>
      <c r="AB86" s="722" t="str">
        <f>IF(Year3_Oxfordshire Year3_LAC_Remanded="","",Year3_Oxfordshire Year3_LAC_Remanded)</f>
        <v/>
      </c>
      <c r="AC86" s="722" t="str">
        <f>IF(Year4_Oxfordshire Year4_LAC_Remanded="","",Year4_Oxfordshire Year4_LAC_Remanded)</f>
        <v/>
      </c>
      <c r="AD86" s="717" t="str">
        <f>IF(Year5_Oxfordshire Year5_LAC_Remanded="","",Year5_Oxfordshire Year5_LAC_Remanded)</f>
        <v>x</v>
      </c>
      <c r="AE86" s="578"/>
      <c r="AF86" s="1278"/>
      <c r="AG86" s="1279"/>
      <c r="AH86" s="1279"/>
      <c r="AI86" s="1279"/>
      <c r="AJ86" s="1279"/>
      <c r="AK86" s="156"/>
    </row>
    <row r="87" spans="1:45" s="89" customFormat="1" ht="12.75" customHeight="1" x14ac:dyDescent="0.2">
      <c r="A87" s="462">
        <f>VLOOKUP(B87,Sheet1!$AQ$4:$AR$25,2,FALSE)</f>
        <v>0</v>
      </c>
      <c r="B87" s="95" t="str">
        <f t="shared" si="26"/>
        <v>Portsmouth</v>
      </c>
      <c r="C87" s="87"/>
      <c r="D87" s="158" t="e">
        <f t="shared" si="27"/>
        <v>#N/A</v>
      </c>
      <c r="E87" s="158" t="e">
        <f t="shared" si="28"/>
        <v>#N/A</v>
      </c>
      <c r="F87" s="158" t="e">
        <f t="shared" si="29"/>
        <v>#N/A</v>
      </c>
      <c r="G87" s="158" t="e">
        <f t="shared" si="30"/>
        <v>#N/A</v>
      </c>
      <c r="H87" s="160" t="e">
        <f t="shared" si="31"/>
        <v>#N/A</v>
      </c>
      <c r="I87" s="98"/>
      <c r="J87" s="98"/>
      <c r="K87" s="162"/>
      <c r="L87" s="162"/>
      <c r="M87" s="162"/>
      <c r="N87" s="162"/>
      <c r="O87" s="162"/>
      <c r="P87" s="162"/>
      <c r="Q87" s="162"/>
      <c r="R87" s="163"/>
      <c r="S87" s="155"/>
      <c r="T87" s="155"/>
      <c r="U87" s="162"/>
      <c r="V87" s="124"/>
      <c r="W87" s="140"/>
      <c r="X87" s="149"/>
      <c r="Y87" s="717" t="str">
        <f t="shared" si="32"/>
        <v>Portsmouth</v>
      </c>
      <c r="Z87" s="718" t="str">
        <f>IF(Year1_Portsmouth Year1_LAC_Remanded="","",Year1_Portsmouth Year1_LAC_Remanded)</f>
        <v/>
      </c>
      <c r="AA87" s="722" t="str">
        <f>IF(Year2_Portsmouth Year2_LAC_Remanded="","",Year2_Portsmouth Year2_LAC_Remanded)</f>
        <v/>
      </c>
      <c r="AB87" s="722" t="str">
        <f>IF(Year3_Portsmouth Year3_LAC_Remanded="","",Year3_Portsmouth Year3_LAC_Remanded)</f>
        <v/>
      </c>
      <c r="AC87" s="722" t="str">
        <f>IF(Year4_Portsmouth Year4_LAC_Remanded="","",Year4_Portsmouth Year4_LAC_Remanded)</f>
        <v/>
      </c>
      <c r="AD87" s="717" t="str">
        <f>IF(Year5_Portsmouth Year5_LAC_Remanded="","",Year5_Portsmouth Year5_LAC_Remanded)</f>
        <v>x</v>
      </c>
      <c r="AE87" s="578"/>
      <c r="AF87" s="1278"/>
      <c r="AG87" s="1279"/>
      <c r="AH87" s="1279"/>
      <c r="AI87" s="1279"/>
      <c r="AJ87" s="1279"/>
      <c r="AK87" s="157"/>
    </row>
    <row r="88" spans="1:45" s="89" customFormat="1" ht="12.75" customHeight="1" x14ac:dyDescent="0.2">
      <c r="A88" s="462">
        <f>VLOOKUP(B88,Sheet1!$AQ$4:$AR$25,2,FALSE)</f>
        <v>0</v>
      </c>
      <c r="B88" s="95" t="str">
        <f t="shared" si="26"/>
        <v>Reading</v>
      </c>
      <c r="C88" s="87"/>
      <c r="D88" s="158" t="e">
        <f t="shared" si="27"/>
        <v>#N/A</v>
      </c>
      <c r="E88" s="158" t="e">
        <f t="shared" si="28"/>
        <v>#N/A</v>
      </c>
      <c r="F88" s="158" t="e">
        <f t="shared" si="29"/>
        <v>#N/A</v>
      </c>
      <c r="G88" s="158" t="e">
        <f t="shared" si="30"/>
        <v>#N/A</v>
      </c>
      <c r="H88" s="160" t="e">
        <f t="shared" si="31"/>
        <v>#N/A</v>
      </c>
      <c r="I88" s="98"/>
      <c r="J88" s="98"/>
      <c r="K88" s="162"/>
      <c r="L88" s="162"/>
      <c r="M88" s="162"/>
      <c r="N88" s="162"/>
      <c r="O88" s="162"/>
      <c r="P88" s="162"/>
      <c r="Q88" s="162"/>
      <c r="R88" s="163"/>
      <c r="S88" s="155"/>
      <c r="T88" s="155"/>
      <c r="U88" s="162"/>
      <c r="V88" s="124"/>
      <c r="W88" s="140"/>
      <c r="X88" s="149"/>
      <c r="Y88" s="717" t="str">
        <f t="shared" si="32"/>
        <v>Reading</v>
      </c>
      <c r="Z88" s="718" t="str">
        <f>IF(Year1_Reading Year1_LAC_Remanded="","",Year1_Reading Year1_LAC_Remanded)</f>
        <v/>
      </c>
      <c r="AA88" s="722" t="str">
        <f>IF(Year2_Reading Year2_LAC_Remanded="","",Year2_Reading Year2_LAC_Remanded)</f>
        <v/>
      </c>
      <c r="AB88" s="722" t="str">
        <f>IF(Year3_Reading Year3_LAC_Remanded="","",Year3_Reading Year3_LAC_Remanded)</f>
        <v/>
      </c>
      <c r="AC88" s="722" t="str">
        <f>IF(Year4_Reading Year4_LAC_Remanded="","",Year4_Reading Year4_LAC_Remanded)</f>
        <v/>
      </c>
      <c r="AD88" s="717" t="str">
        <f>IF(Year5_Reading Year5_LAC_Remanded="","",Year5_Reading Year5_LAC_Remanded)</f>
        <v>x</v>
      </c>
      <c r="AE88" s="578"/>
      <c r="AF88" s="1278"/>
      <c r="AG88" s="1279"/>
      <c r="AH88" s="1279"/>
      <c r="AI88" s="1279"/>
      <c r="AJ88" s="1279"/>
      <c r="AK88" s="156"/>
    </row>
    <row r="89" spans="1:45" s="89" customFormat="1" ht="12.75" customHeight="1" x14ac:dyDescent="0.2">
      <c r="A89" s="462">
        <f>VLOOKUP(B89,Sheet1!$AQ$4:$AR$25,2,FALSE)</f>
        <v>0</v>
      </c>
      <c r="B89" s="95" t="str">
        <f t="shared" si="26"/>
        <v>Slough</v>
      </c>
      <c r="C89" s="87"/>
      <c r="D89" s="158" t="e">
        <f t="shared" si="27"/>
        <v>#N/A</v>
      </c>
      <c r="E89" s="158" t="e">
        <f t="shared" si="28"/>
        <v>#N/A</v>
      </c>
      <c r="F89" s="158" t="e">
        <f t="shared" si="29"/>
        <v>#N/A</v>
      </c>
      <c r="G89" s="158" t="e">
        <f t="shared" si="30"/>
        <v>#N/A</v>
      </c>
      <c r="H89" s="160">
        <f t="shared" si="31"/>
        <v>5.9701492537313432E-2</v>
      </c>
      <c r="I89" s="98"/>
      <c r="J89" s="98"/>
      <c r="K89" s="162"/>
      <c r="L89" s="162"/>
      <c r="M89" s="162"/>
      <c r="N89" s="162"/>
      <c r="O89" s="162"/>
      <c r="P89" s="162"/>
      <c r="Q89" s="162"/>
      <c r="R89" s="163"/>
      <c r="S89" s="155"/>
      <c r="T89" s="155"/>
      <c r="U89" s="162"/>
      <c r="V89" s="124"/>
      <c r="W89" s="140"/>
      <c r="X89" s="149"/>
      <c r="Y89" s="717" t="str">
        <f t="shared" si="32"/>
        <v>Slough</v>
      </c>
      <c r="Z89" s="718" t="str">
        <f>IF(Year1_Slough Year1_LAC_Remanded="","",Year1_Slough Year1_LAC_Remanded)</f>
        <v/>
      </c>
      <c r="AA89" s="722" t="str">
        <f>IF(Year2_Slough Year2_LAC_Remanded="","",Year2_Slough Year2_LAC_Remanded)</f>
        <v/>
      </c>
      <c r="AB89" s="722" t="str">
        <f>IF(Year3_Slough Year3_LAC_Remanded="","",Year3_Slough Year3_LAC_Remanded)</f>
        <v/>
      </c>
      <c r="AC89" s="722" t="str">
        <f>IF(Year4_Slough Year4_LAC_Remanded="","",Year4_Slough Year4_LAC_Remanded)</f>
        <v/>
      </c>
      <c r="AD89" s="717">
        <f>IF(Year5_Slough Year5_LAC_Remanded="","",Year5_Slough Year5_LAC_Remanded)</f>
        <v>8</v>
      </c>
      <c r="AE89" s="578"/>
      <c r="AF89" s="1278"/>
      <c r="AG89" s="1279"/>
      <c r="AH89" s="1279"/>
      <c r="AI89" s="1279"/>
      <c r="AJ89" s="1279"/>
      <c r="AK89" s="157"/>
    </row>
    <row r="90" spans="1:45" s="89" customFormat="1" ht="12.75" customHeight="1" x14ac:dyDescent="0.2">
      <c r="A90" s="462">
        <f>VLOOKUP(B90,Sheet1!$AQ$4:$AR$25,2,FALSE)</f>
        <v>0</v>
      </c>
      <c r="B90" s="95" t="str">
        <f t="shared" si="26"/>
        <v>Somerset</v>
      </c>
      <c r="C90" s="87"/>
      <c r="D90" s="158" t="e">
        <f t="shared" si="27"/>
        <v>#N/A</v>
      </c>
      <c r="E90" s="158" t="e">
        <f t="shared" si="28"/>
        <v>#N/A</v>
      </c>
      <c r="F90" s="158" t="e">
        <f t="shared" si="29"/>
        <v>#N/A</v>
      </c>
      <c r="G90" s="158" t="e">
        <f t="shared" si="30"/>
        <v>#N/A</v>
      </c>
      <c r="H90" s="160" t="e">
        <f t="shared" si="31"/>
        <v>#N/A</v>
      </c>
      <c r="I90" s="98"/>
      <c r="J90" s="98"/>
      <c r="K90" s="162"/>
      <c r="L90" s="162"/>
      <c r="M90" s="162"/>
      <c r="N90" s="162"/>
      <c r="O90" s="162"/>
      <c r="P90" s="162"/>
      <c r="Q90" s="162"/>
      <c r="R90" s="163"/>
      <c r="S90" s="155"/>
      <c r="T90" s="155"/>
      <c r="U90" s="162"/>
      <c r="V90" s="124"/>
      <c r="W90" s="140"/>
      <c r="X90" s="149"/>
      <c r="Y90" s="717" t="str">
        <f t="shared" si="32"/>
        <v>Somerset</v>
      </c>
      <c r="Z90" s="718" t="str">
        <f>IF(Year1_Somerset Year1_LAC_Remanded="","",Year1_Somerset Year1_LAC_Remanded)</f>
        <v/>
      </c>
      <c r="AA90" s="722" t="str">
        <f>IF(Year2_Somerset Year2_LAC_Remanded="","",Year2_Somerset Year2_LAC_Remanded)</f>
        <v/>
      </c>
      <c r="AB90" s="722" t="str">
        <f>IF(Year3_Somerset Year3_LAC_Remanded="","",Year3_Somerset Year3_LAC_Remanded)</f>
        <v/>
      </c>
      <c r="AC90" s="722" t="str">
        <f>IF(Year4_Somerset Year4_LAC_Remanded="","",Year4_Somerset Year4_LAC_Remanded)</f>
        <v/>
      </c>
      <c r="AD90" s="717" t="str">
        <f>IF(Year5_Somerset Year5_LAC_Remanded="","",Year5_Somerset Year5_LAC_Remanded)</f>
        <v>x</v>
      </c>
      <c r="AE90" s="578"/>
      <c r="AF90" s="1278"/>
      <c r="AG90" s="1279"/>
      <c r="AH90" s="1279"/>
      <c r="AI90" s="1279"/>
      <c r="AJ90" s="1279"/>
      <c r="AK90" s="156"/>
    </row>
    <row r="91" spans="1:45" s="89" customFormat="1" ht="12.75" customHeight="1" x14ac:dyDescent="0.2">
      <c r="A91" s="462">
        <f>VLOOKUP(B91,Sheet1!$AQ$4:$AR$25,2,FALSE)</f>
        <v>0</v>
      </c>
      <c r="B91" s="95" t="str">
        <f t="shared" si="26"/>
        <v>Southampton</v>
      </c>
      <c r="C91" s="87"/>
      <c r="D91" s="158" t="e">
        <f t="shared" si="27"/>
        <v>#N/A</v>
      </c>
      <c r="E91" s="158" t="e">
        <f t="shared" si="28"/>
        <v>#N/A</v>
      </c>
      <c r="F91" s="158" t="e">
        <f t="shared" si="29"/>
        <v>#N/A</v>
      </c>
      <c r="G91" s="158" t="e">
        <f t="shared" si="30"/>
        <v>#N/A</v>
      </c>
      <c r="H91" s="160">
        <f t="shared" si="31"/>
        <v>4.7058823529411764E-2</v>
      </c>
      <c r="I91" s="98"/>
      <c r="J91" s="98"/>
      <c r="K91" s="162"/>
      <c r="L91" s="162"/>
      <c r="M91" s="162"/>
      <c r="N91" s="162"/>
      <c r="O91" s="162"/>
      <c r="P91" s="162"/>
      <c r="Q91" s="162"/>
      <c r="R91" s="163"/>
      <c r="S91" s="155"/>
      <c r="T91" s="155"/>
      <c r="U91" s="162"/>
      <c r="V91" s="124"/>
      <c r="W91" s="140"/>
      <c r="X91" s="149"/>
      <c r="Y91" s="717" t="str">
        <f t="shared" si="32"/>
        <v>Southampton</v>
      </c>
      <c r="Z91" s="718" t="str">
        <f>IF(Year1_Southampton Year1_LAC_Remanded="","",Year1_Southampton Year1_LAC_Remanded)</f>
        <v/>
      </c>
      <c r="AA91" s="722" t="str">
        <f>IF(Year2_Southampton Year2_LAC_Remanded="","",Year2_Southampton Year2_LAC_Remanded)</f>
        <v/>
      </c>
      <c r="AB91" s="722" t="str">
        <f>IF(Year3_Southampton Year3_LAC_Remanded="","",Year3_Southampton Year3_LAC_Remanded)</f>
        <v/>
      </c>
      <c r="AC91" s="722" t="str">
        <f>IF(Year4_Southampton Year4_LAC_Remanded="","",Year4_Southampton Year4_LAC_Remanded)</f>
        <v/>
      </c>
      <c r="AD91" s="717">
        <f>IF(Year5_Southampton Year5_LAC_Remanded="","",Year5_Southampton Year5_LAC_Remanded)</f>
        <v>8</v>
      </c>
      <c r="AE91" s="578"/>
      <c r="AF91" s="1278"/>
      <c r="AG91" s="1279"/>
      <c r="AH91" s="1279"/>
      <c r="AI91" s="1279"/>
      <c r="AJ91" s="1279"/>
      <c r="AK91" s="157"/>
    </row>
    <row r="92" spans="1:45" s="89" customFormat="1" ht="12.75" customHeight="1" x14ac:dyDescent="0.2">
      <c r="A92" s="462">
        <f>VLOOKUP(B92,Sheet1!$AQ$4:$AR$25,2,FALSE)</f>
        <v>0</v>
      </c>
      <c r="B92" s="95" t="str">
        <f t="shared" si="26"/>
        <v>Surrey</v>
      </c>
      <c r="C92" s="87"/>
      <c r="D92" s="158" t="e">
        <f t="shared" si="27"/>
        <v>#N/A</v>
      </c>
      <c r="E92" s="158" t="e">
        <f t="shared" si="28"/>
        <v>#N/A</v>
      </c>
      <c r="F92" s="158" t="e">
        <f t="shared" si="29"/>
        <v>#N/A</v>
      </c>
      <c r="G92" s="158" t="e">
        <f t="shared" si="30"/>
        <v>#N/A</v>
      </c>
      <c r="H92" s="160" t="e">
        <f t="shared" si="31"/>
        <v>#N/A</v>
      </c>
      <c r="I92" s="98"/>
      <c r="J92" s="98"/>
      <c r="K92" s="162"/>
      <c r="L92" s="162"/>
      <c r="M92" s="162"/>
      <c r="N92" s="162"/>
      <c r="O92" s="162"/>
      <c r="P92" s="162"/>
      <c r="Q92" s="162"/>
      <c r="R92" s="163"/>
      <c r="S92" s="155"/>
      <c r="T92" s="155"/>
      <c r="U92" s="162"/>
      <c r="V92" s="124"/>
      <c r="W92" s="140"/>
      <c r="X92" s="149"/>
      <c r="Y92" s="717" t="str">
        <f t="shared" si="32"/>
        <v>Surrey</v>
      </c>
      <c r="Z92" s="718" t="str">
        <f>IF(Year1_Surrey Year1_LAC_Remanded="","",Year1_Surrey Year1_LAC_Remanded)</f>
        <v/>
      </c>
      <c r="AA92" s="722" t="str">
        <f>IF(Year2_Surrey Year2_LAC_Remanded="","",Year2_Surrey Year2_LAC_Remanded)</f>
        <v/>
      </c>
      <c r="AB92" s="722" t="str">
        <f>IF(Year3_Surrey Year3_LAC_Remanded="","",Year3_Surrey Year3_LAC_Remanded)</f>
        <v/>
      </c>
      <c r="AC92" s="722" t="str">
        <f>IF(Year4_Surrey Year4_LAC_Remanded="","",Year4_Surrey Year4_LAC_Remanded)</f>
        <v/>
      </c>
      <c r="AD92" s="717" t="str">
        <f>IF(Year5_Surrey Year5_LAC_Remanded="","",Year5_Surrey Year5_LAC_Remanded)</f>
        <v>x</v>
      </c>
      <c r="AE92" s="578"/>
      <c r="AF92" s="1278"/>
      <c r="AG92" s="1279"/>
      <c r="AH92" s="1279"/>
      <c r="AI92" s="1279"/>
      <c r="AJ92" s="1279"/>
      <c r="AK92" s="156"/>
    </row>
    <row r="93" spans="1:45" s="89" customFormat="1" ht="12.75" customHeight="1" x14ac:dyDescent="0.2">
      <c r="A93" s="462">
        <f>VLOOKUP(B93,Sheet1!$AQ$4:$AR$25,2,FALSE)</f>
        <v>0</v>
      </c>
      <c r="B93" s="95" t="str">
        <f t="shared" si="26"/>
        <v>Swindon</v>
      </c>
      <c r="C93" s="87"/>
      <c r="D93" s="158" t="e">
        <f t="shared" si="27"/>
        <v>#N/A</v>
      </c>
      <c r="E93" s="158" t="e">
        <f t="shared" si="28"/>
        <v>#N/A</v>
      </c>
      <c r="F93" s="158" t="e">
        <f t="shared" si="29"/>
        <v>#N/A</v>
      </c>
      <c r="G93" s="158" t="e">
        <f t="shared" si="30"/>
        <v>#N/A</v>
      </c>
      <c r="H93" s="160" t="e">
        <f t="shared" si="31"/>
        <v>#N/A</v>
      </c>
      <c r="I93" s="98"/>
      <c r="J93" s="98"/>
      <c r="K93" s="162"/>
      <c r="L93" s="162"/>
      <c r="M93" s="162"/>
      <c r="N93" s="162"/>
      <c r="O93" s="162"/>
      <c r="P93" s="162"/>
      <c r="Q93" s="162"/>
      <c r="R93" s="163"/>
      <c r="S93" s="155"/>
      <c r="T93" s="155"/>
      <c r="U93" s="162"/>
      <c r="V93" s="124"/>
      <c r="W93" s="140"/>
      <c r="X93" s="149"/>
      <c r="Y93" s="717" t="str">
        <f t="shared" si="32"/>
        <v>Swindon</v>
      </c>
      <c r="Z93" s="718" t="str">
        <f>IF(Year1_Swindon Year1_LAC_Remanded="","",Year1_Swindon Year1_LAC_Remanded)</f>
        <v/>
      </c>
      <c r="AA93" s="722" t="str">
        <f>IF(Year2_Swindon Year2_LAC_Remanded="","",Year2_Swindon Year2_LAC_Remanded)</f>
        <v/>
      </c>
      <c r="AB93" s="722" t="str">
        <f>IF(Year3_Swindon Year3_LAC_Remanded="","",Year3_Swindon Year3_LAC_Remanded)</f>
        <v/>
      </c>
      <c r="AC93" s="1229" t="str">
        <f>IF(Year4_Swindon Year4_LAC_Remanded="","",Year4_Swindon Year4_LAC_Remanded)</f>
        <v/>
      </c>
      <c r="AD93" s="1228" t="str">
        <f>IF(Year5_Swindon Year5_LAC_Remanded="","",Year5_Swindon Year5_LAC_Remanded)</f>
        <v>x</v>
      </c>
      <c r="AE93" s="578"/>
      <c r="AF93" s="1278"/>
      <c r="AG93" s="1279"/>
      <c r="AH93" s="1279"/>
      <c r="AI93" s="1279"/>
      <c r="AJ93" s="1279"/>
      <c r="AK93" s="157"/>
    </row>
    <row r="94" spans="1:45" s="89" customFormat="1" ht="12.75" customHeight="1" x14ac:dyDescent="0.2">
      <c r="A94" s="462">
        <f>VLOOKUP(B94,Sheet1!$AQ$4:$AR$25,2,FALSE)</f>
        <v>0</v>
      </c>
      <c r="B94" s="95" t="str">
        <f t="shared" si="26"/>
        <v>Torbay</v>
      </c>
      <c r="C94" s="87"/>
      <c r="D94" s="158" t="e">
        <f t="shared" si="27"/>
        <v>#N/A</v>
      </c>
      <c r="E94" s="158" t="e">
        <f t="shared" si="28"/>
        <v>#N/A</v>
      </c>
      <c r="F94" s="158" t="e">
        <f t="shared" si="29"/>
        <v>#N/A</v>
      </c>
      <c r="G94" s="158" t="e">
        <f t="shared" si="30"/>
        <v>#N/A</v>
      </c>
      <c r="H94" s="160">
        <f t="shared" si="31"/>
        <v>0</v>
      </c>
      <c r="I94" s="98"/>
      <c r="J94" s="98"/>
      <c r="K94" s="162"/>
      <c r="L94" s="162"/>
      <c r="M94" s="162"/>
      <c r="N94" s="162"/>
      <c r="O94" s="162"/>
      <c r="P94" s="162"/>
      <c r="Q94" s="162"/>
      <c r="R94" s="163"/>
      <c r="S94" s="155"/>
      <c r="T94" s="155"/>
      <c r="U94" s="162"/>
      <c r="V94" s="124"/>
      <c r="W94" s="140"/>
      <c r="X94" s="149"/>
      <c r="Y94" s="717" t="str">
        <f t="shared" si="32"/>
        <v>Torbay</v>
      </c>
      <c r="Z94" s="718" t="str">
        <f>IF(Year1_Torbay Year1_LAC_Remanded="","",Year1_Torbay Year1_LAC_Remanded)</f>
        <v/>
      </c>
      <c r="AA94" s="722" t="str">
        <f>IF(Year2_Torbay Year2_LAC_Remanded="","",Year2_Torbay Year2_LAC_Remanded)</f>
        <v/>
      </c>
      <c r="AB94" s="722" t="str">
        <f>IF(Year3_Torbay Year3_LAC_Remanded="","",Year3_Torbay Year3_LAC_Remanded)</f>
        <v/>
      </c>
      <c r="AC94" s="1229" t="str">
        <f>IF(Year4_Torbay Year4_LAC_Remanded="","",Year4_Torbay Year4_LAC_Remanded)</f>
        <v/>
      </c>
      <c r="AD94" s="1228">
        <f>IF(Year5_Torbay Year5_LAC_Remanded="","",Year5_Torbay Year5_LAC_Remanded)</f>
        <v>0</v>
      </c>
      <c r="AE94" s="578"/>
      <c r="AF94" s="1278"/>
      <c r="AG94" s="1279"/>
      <c r="AH94" s="1279"/>
      <c r="AI94" s="1279"/>
      <c r="AJ94" s="1279"/>
      <c r="AK94" s="156"/>
    </row>
    <row r="95" spans="1:45" s="89" customFormat="1" ht="12.75" customHeight="1" x14ac:dyDescent="0.2">
      <c r="A95" s="462">
        <f>VLOOKUP(B95,Sheet1!$AQ$4:$AR$25,2,FALSE)</f>
        <v>0</v>
      </c>
      <c r="B95" s="95" t="str">
        <f t="shared" si="26"/>
        <v>West Berkshire</v>
      </c>
      <c r="C95" s="87"/>
      <c r="D95" s="158" t="e">
        <f t="shared" si="27"/>
        <v>#N/A</v>
      </c>
      <c r="E95" s="158" t="e">
        <f t="shared" si="28"/>
        <v>#N/A</v>
      </c>
      <c r="F95" s="158" t="e">
        <f t="shared" si="29"/>
        <v>#N/A</v>
      </c>
      <c r="G95" s="158" t="e">
        <f t="shared" si="30"/>
        <v>#N/A</v>
      </c>
      <c r="H95" s="160">
        <f t="shared" si="31"/>
        <v>0</v>
      </c>
      <c r="I95" s="98"/>
      <c r="J95" s="98"/>
      <c r="K95" s="162"/>
      <c r="L95" s="162"/>
      <c r="M95" s="162"/>
      <c r="N95" s="162"/>
      <c r="O95" s="162"/>
      <c r="P95" s="162"/>
      <c r="Q95" s="162"/>
      <c r="R95" s="163"/>
      <c r="S95" s="155"/>
      <c r="T95" s="155"/>
      <c r="U95" s="162"/>
      <c r="V95" s="124"/>
      <c r="W95" s="140"/>
      <c r="X95" s="149"/>
      <c r="Y95" s="717" t="str">
        <f t="shared" si="32"/>
        <v>West Berkshire</v>
      </c>
      <c r="Z95" s="718" t="str">
        <f>IF(Year1_West_Berkshire Year1_LAC_Remanded="","",Year1_West_Berkshire Year1_LAC_Remanded)</f>
        <v/>
      </c>
      <c r="AA95" s="722" t="str">
        <f>IF(Year2_West_Berkshire Year2_LAC_Remanded="","",Year2_West_Berkshire Year2_LAC_Remanded)</f>
        <v/>
      </c>
      <c r="AB95" s="722" t="str">
        <f>IF(Year3_West_Berkshire Year3_LAC_Remanded="","",Year3_West_Berkshire Year3_LAC_Remanded)</f>
        <v/>
      </c>
      <c r="AC95" s="722" t="str">
        <f>IF(Year4_West_Berkshire Year4_LAC_Remanded="","",Year4_West_Berkshire Year4_LAC_Remanded)</f>
        <v/>
      </c>
      <c r="AD95" s="717">
        <f>IF(Year5_West_Berkshire Year5_LAC_Remanded="","",Year5_West_Berkshire Year5_LAC_Remanded)</f>
        <v>0</v>
      </c>
      <c r="AE95" s="578"/>
      <c r="AF95" s="1278"/>
      <c r="AG95" s="1279"/>
      <c r="AH95" s="1279"/>
      <c r="AI95" s="1279"/>
      <c r="AJ95" s="1279"/>
      <c r="AK95" s="157"/>
    </row>
    <row r="96" spans="1:45" s="89" customFormat="1" ht="12.75" customHeight="1" x14ac:dyDescent="0.2">
      <c r="A96" s="462">
        <f>VLOOKUP(B96,Sheet1!$AQ$4:$AR$25,2,FALSE)</f>
        <v>0</v>
      </c>
      <c r="B96" s="95" t="str">
        <f t="shared" si="26"/>
        <v>West Sussex</v>
      </c>
      <c r="C96" s="87"/>
      <c r="D96" s="158" t="e">
        <f t="shared" si="27"/>
        <v>#N/A</v>
      </c>
      <c r="E96" s="158" t="e">
        <f t="shared" si="28"/>
        <v>#N/A</v>
      </c>
      <c r="F96" s="158" t="e">
        <f t="shared" si="29"/>
        <v>#N/A</v>
      </c>
      <c r="G96" s="158" t="e">
        <f t="shared" si="30"/>
        <v>#N/A</v>
      </c>
      <c r="H96" s="160" t="e">
        <f t="shared" si="31"/>
        <v>#N/A</v>
      </c>
      <c r="I96" s="98"/>
      <c r="J96" s="98"/>
      <c r="K96" s="162"/>
      <c r="L96" s="162"/>
      <c r="M96" s="162"/>
      <c r="N96" s="162"/>
      <c r="O96" s="162"/>
      <c r="P96" s="162"/>
      <c r="Q96" s="162"/>
      <c r="R96" s="163"/>
      <c r="S96" s="155"/>
      <c r="T96" s="155"/>
      <c r="U96" s="162"/>
      <c r="V96" s="124"/>
      <c r="W96" s="140"/>
      <c r="X96" s="149"/>
      <c r="Y96" s="717" t="str">
        <f t="shared" si="32"/>
        <v>West Sussex</v>
      </c>
      <c r="Z96" s="718" t="str">
        <f>IF(Year1_West_Sussex Year1_LAC_Remanded="","",Year1_West_Sussex Year1_LAC_Remanded)</f>
        <v/>
      </c>
      <c r="AA96" s="722" t="str">
        <f>IF(Year2_West_Sussex Year2_LAC_Remanded="","",Year2_West_Sussex Year2_LAC_Remanded)</f>
        <v/>
      </c>
      <c r="AB96" s="722" t="str">
        <f>IF(Year3_West_Sussex Year3_LAC_Remanded="","",Year3_West_Sussex Year3_LAC_Remanded)</f>
        <v/>
      </c>
      <c r="AC96" s="722" t="str">
        <f>IF(Year4_West_Sussex Year4_LAC_Remanded="","",Year4_West_Sussex Year4_LAC_Remanded)</f>
        <v/>
      </c>
      <c r="AD96" s="717" t="str">
        <f>IF(Year5_West_Sussex Year5_LAC_Remanded="","",Year5_West_Sussex Year5_LAC_Remanded)</f>
        <v>x</v>
      </c>
      <c r="AE96" s="578"/>
      <c r="AF96" s="1278"/>
      <c r="AG96" s="1279"/>
      <c r="AH96" s="1279"/>
      <c r="AI96" s="1279"/>
      <c r="AJ96" s="1279"/>
      <c r="AK96" s="156"/>
    </row>
    <row r="97" spans="1:50" s="89" customFormat="1" ht="12.75" customHeight="1" x14ac:dyDescent="0.2">
      <c r="A97" s="462">
        <f>VLOOKUP(B97,Sheet1!$AQ$4:$AR$25,2,FALSE)</f>
        <v>0</v>
      </c>
      <c r="B97" s="95" t="str">
        <f t="shared" si="26"/>
        <v>Windsor &amp; Maidenhead</v>
      </c>
      <c r="C97" s="87"/>
      <c r="D97" s="158" t="e">
        <f t="shared" si="27"/>
        <v>#N/A</v>
      </c>
      <c r="E97" s="158" t="e">
        <f t="shared" si="28"/>
        <v>#N/A</v>
      </c>
      <c r="F97" s="158" t="e">
        <f t="shared" si="29"/>
        <v>#N/A</v>
      </c>
      <c r="G97" s="158" t="e">
        <f t="shared" si="30"/>
        <v>#N/A</v>
      </c>
      <c r="H97" s="160">
        <f t="shared" si="31"/>
        <v>0</v>
      </c>
      <c r="I97" s="98"/>
      <c r="J97" s="98"/>
      <c r="K97" s="162"/>
      <c r="L97" s="162"/>
      <c r="M97" s="162"/>
      <c r="N97" s="162"/>
      <c r="O97" s="162"/>
      <c r="P97" s="162"/>
      <c r="Q97" s="162"/>
      <c r="R97" s="163"/>
      <c r="S97" s="155"/>
      <c r="T97" s="155"/>
      <c r="U97" s="162"/>
      <c r="V97" s="124"/>
      <c r="W97" s="140"/>
      <c r="X97" s="149"/>
      <c r="Y97" s="717" t="str">
        <f t="shared" si="32"/>
        <v>Windsor &amp; Maidenhead</v>
      </c>
      <c r="Z97" s="718" t="str">
        <f>IF(Year1_Windsor_Maidenhead Year1_LAC_Remanded="","",Year1_Windsor_Maidenhead Year1_LAC_Remanded)</f>
        <v/>
      </c>
      <c r="AA97" s="722" t="str">
        <f>IF(Year2_Windsor_Maidenhead Year2_LAC_Remanded="","",Year2_Windsor_Maidenhead Year2_LAC_Remanded)</f>
        <v/>
      </c>
      <c r="AB97" s="722" t="str">
        <f>IF(Year3_Windsor_Maidenhead Year3_LAC_Remanded="","",Year3_Windsor_Maidenhead Year3_LAC_Remanded)</f>
        <v/>
      </c>
      <c r="AC97" s="722" t="str">
        <f>IF(Year4_Windsor_Maidenhead Year4_LAC_Remanded="","",Year4_Windsor_Maidenhead Year4_LAC_Remanded)</f>
        <v/>
      </c>
      <c r="AD97" s="717">
        <f>IF(Year5_Windsor_Maidenhead Year5_LAC_Remanded="","",Year5_Windsor_Maidenhead Year5_LAC_Remanded)</f>
        <v>0</v>
      </c>
      <c r="AE97" s="578"/>
      <c r="AF97" s="1278"/>
      <c r="AG97" s="1279"/>
      <c r="AH97" s="1279"/>
      <c r="AI97" s="1279"/>
      <c r="AJ97" s="1279"/>
      <c r="AK97" s="157"/>
    </row>
    <row r="98" spans="1:50" s="89" customFormat="1" ht="12.75" customHeight="1" x14ac:dyDescent="0.2">
      <c r="A98" s="462">
        <f>VLOOKUP(B98,Sheet1!$AQ$4:$AR$25,2,FALSE)</f>
        <v>0</v>
      </c>
      <c r="B98" s="95" t="str">
        <f t="shared" si="26"/>
        <v>Wokingham</v>
      </c>
      <c r="C98" s="87"/>
      <c r="D98" s="158" t="e">
        <f t="shared" si="27"/>
        <v>#N/A</v>
      </c>
      <c r="E98" s="158" t="e">
        <f t="shared" si="28"/>
        <v>#N/A</v>
      </c>
      <c r="F98" s="158" t="e">
        <f t="shared" si="29"/>
        <v>#N/A</v>
      </c>
      <c r="G98" s="158" t="e">
        <f t="shared" si="30"/>
        <v>#N/A</v>
      </c>
      <c r="H98" s="160" t="e">
        <f t="shared" si="31"/>
        <v>#N/A</v>
      </c>
      <c r="I98" s="98"/>
      <c r="J98" s="98"/>
      <c r="K98" s="162"/>
      <c r="L98" s="162"/>
      <c r="M98" s="162"/>
      <c r="N98" s="162"/>
      <c r="O98" s="162"/>
      <c r="P98" s="162"/>
      <c r="Q98" s="162"/>
      <c r="R98" s="163"/>
      <c r="S98" s="155"/>
      <c r="T98" s="155"/>
      <c r="U98" s="162"/>
      <c r="V98" s="124"/>
      <c r="W98" s="140"/>
      <c r="X98" s="149"/>
      <c r="Y98" s="717" t="str">
        <f t="shared" si="32"/>
        <v>Wokingham</v>
      </c>
      <c r="Z98" s="718" t="str">
        <f>IF(Year1_Wokingham Year1_LAC_Remanded="","",Year1_Wokingham Year1_LAC_Remanded)</f>
        <v/>
      </c>
      <c r="AA98" s="722" t="str">
        <f>IF(Year2_Wokingham Year2_LAC_Remanded="","",Year2_Wokingham Year2_LAC_Remanded)</f>
        <v/>
      </c>
      <c r="AB98" s="722" t="str">
        <f>IF(Year3_Wokingham Year3_LAC_Remanded="","",Year3_Wokingham Year3_LAC_Remanded)</f>
        <v/>
      </c>
      <c r="AC98" s="722" t="str">
        <f>IF(Year4_Wokingham Year4_LAC_Remanded="","",Year4_Wokingham Year4_LAC_Remanded)</f>
        <v/>
      </c>
      <c r="AD98" s="717" t="str">
        <f>IF(Year5_Wokingham Year5_LAC_Remanded="","",Year5_Wokingham Year5_LAC_Remanded)</f>
        <v>x</v>
      </c>
      <c r="AE98" s="578"/>
      <c r="AF98" s="1278"/>
      <c r="AG98" s="1279"/>
      <c r="AH98" s="1279"/>
      <c r="AI98" s="1279"/>
      <c r="AJ98" s="1279"/>
      <c r="AK98" s="156"/>
    </row>
    <row r="99" spans="1:50" s="89" customFormat="1" ht="12.75" customHeight="1" x14ac:dyDescent="0.2">
      <c r="A99" s="123"/>
      <c r="B99" s="131" t="str">
        <f t="shared" si="26"/>
        <v>South East</v>
      </c>
      <c r="C99" s="87"/>
      <c r="D99" s="159" t="e">
        <f t="shared" si="27"/>
        <v>#N/A</v>
      </c>
      <c r="E99" s="159" t="e">
        <f t="shared" si="28"/>
        <v>#N/A</v>
      </c>
      <c r="F99" s="159" t="e">
        <f t="shared" si="29"/>
        <v>#N/A</v>
      </c>
      <c r="G99" s="159" t="e">
        <f t="shared" si="30"/>
        <v>#N/A</v>
      </c>
      <c r="H99" s="161">
        <f t="shared" si="31"/>
        <v>1.6055045871559634E-2</v>
      </c>
      <c r="I99" s="98"/>
      <c r="J99" s="98"/>
      <c r="K99" s="164"/>
      <c r="L99" s="164"/>
      <c r="M99" s="164"/>
      <c r="N99" s="164"/>
      <c r="O99" s="164"/>
      <c r="P99" s="164"/>
      <c r="Q99" s="164"/>
      <c r="R99" s="165"/>
      <c r="S99" s="155"/>
      <c r="T99" s="155"/>
      <c r="U99" s="166"/>
      <c r="V99" s="124"/>
      <c r="W99" s="140"/>
      <c r="X99" s="149"/>
      <c r="Y99" s="717" t="str">
        <f>B99</f>
        <v>South East</v>
      </c>
      <c r="Z99" s="1230" t="str">
        <f>IF(Year1_SouthEast Year1_LAC_Remanded="","",Year1_SouthEast Year1_LAC_Remanded)</f>
        <v/>
      </c>
      <c r="AA99" s="724" t="str">
        <f>IF(Year2_SouthEast Year2_LAC_Remanded="","",Year2_SouthEast Year2_LAC_Remanded)</f>
        <v/>
      </c>
      <c r="AB99" s="724" t="str">
        <f>IF(Year3_SouthEast Year3_LAC_Remanded="","",Year3_SouthEast Year3_LAC_Remanded)</f>
        <v/>
      </c>
      <c r="AC99" s="722" t="str">
        <f>IF(Year4_SouthEast Year4_LAC_Remanded="","",Year4_SouthEast Year4_LAC_Remanded)</f>
        <v/>
      </c>
      <c r="AD99" s="717">
        <f>IF(Year5_SouthEast Year5_LAC_Remanded="","",Year5_SouthEast Year5_LAC_Remanded)</f>
        <v>70</v>
      </c>
      <c r="AE99" s="578"/>
      <c r="AF99" s="1278"/>
      <c r="AG99" s="1279"/>
      <c r="AH99" s="1279"/>
      <c r="AI99" s="1279"/>
      <c r="AJ99" s="1279"/>
      <c r="AK99" s="157"/>
    </row>
    <row r="100" spans="1:50" s="89" customFormat="1" ht="12.75" customHeight="1" x14ac:dyDescent="0.2">
      <c r="A100" s="123"/>
      <c r="B100" s="318" t="str">
        <f t="shared" si="26"/>
        <v>England</v>
      </c>
      <c r="C100" s="87"/>
      <c r="D100" s="344" t="e">
        <f t="shared" si="27"/>
        <v>#N/A</v>
      </c>
      <c r="E100" s="344" t="e">
        <f t="shared" si="28"/>
        <v>#N/A</v>
      </c>
      <c r="F100" s="344" t="e">
        <f t="shared" si="29"/>
        <v>#N/A</v>
      </c>
      <c r="G100" s="344" t="e">
        <f t="shared" si="30"/>
        <v>#N/A</v>
      </c>
      <c r="H100" s="345">
        <f t="shared" si="31"/>
        <v>2.462121212121212E-2</v>
      </c>
      <c r="I100" s="98"/>
      <c r="J100" s="98"/>
      <c r="K100" s="164"/>
      <c r="L100" s="164"/>
      <c r="M100" s="164"/>
      <c r="N100" s="164"/>
      <c r="O100" s="164"/>
      <c r="P100" s="164"/>
      <c r="Q100" s="164"/>
      <c r="R100" s="165"/>
      <c r="S100" s="155"/>
      <c r="T100" s="155"/>
      <c r="U100" s="166"/>
      <c r="V100" s="124"/>
      <c r="W100" s="140"/>
      <c r="X100" s="149"/>
      <c r="Y100" s="717" t="str">
        <f t="shared" ref="Y100" si="33">B100</f>
        <v>England</v>
      </c>
      <c r="Z100" s="1230" t="str">
        <f>IF(Year1_England Year1_LAC_Remanded="","",Year1_England Year1_LAC_Remanded)</f>
        <v/>
      </c>
      <c r="AA100" s="724" t="str">
        <f>IF(Year2_England Year2_LAC_Remanded="","",Year2_England Year2_LAC_Remanded)</f>
        <v/>
      </c>
      <c r="AB100" s="724" t="str">
        <f>IF(Year3_England Year3_LAC_Remanded="","",Year3_England Year3_LAC_Remanded)</f>
        <v/>
      </c>
      <c r="AC100" s="722" t="str">
        <f>IF(Year4_England Year4_LAC_Remanded="","",Year4_England Year4_LAC_Remanded)</f>
        <v/>
      </c>
      <c r="AD100" s="717">
        <f>IF(Year5_England Year5_LAC_Remanded="","",Year5_England Year5_LAC_Remanded)</f>
        <v>780</v>
      </c>
      <c r="AE100" s="578"/>
      <c r="AF100" s="1278"/>
      <c r="AG100" s="1279"/>
      <c r="AH100" s="1279"/>
      <c r="AI100" s="1279"/>
      <c r="AJ100" s="1279"/>
      <c r="AK100" s="156"/>
    </row>
    <row r="101" spans="1:50" s="89" customFormat="1" ht="7.5" customHeight="1" x14ac:dyDescent="0.2">
      <c r="A101" s="286"/>
      <c r="B101" s="98"/>
      <c r="C101" s="98"/>
      <c r="D101" s="98"/>
      <c r="E101" s="98"/>
      <c r="F101" s="98"/>
      <c r="G101" s="98"/>
      <c r="H101" s="98"/>
      <c r="I101" s="98"/>
      <c r="J101" s="98"/>
      <c r="K101" s="164"/>
      <c r="L101" s="164"/>
      <c r="M101" s="164"/>
      <c r="N101" s="164"/>
      <c r="O101" s="164"/>
      <c r="P101" s="164"/>
      <c r="Q101" s="164"/>
      <c r="R101" s="165"/>
      <c r="S101" s="155"/>
      <c r="T101" s="155"/>
      <c r="U101" s="166"/>
      <c r="V101" s="124"/>
      <c r="W101" s="140"/>
      <c r="X101" s="149"/>
      <c r="Y101" s="1276"/>
      <c r="Z101" s="1276"/>
      <c r="AA101" s="1276"/>
      <c r="AB101" s="1276"/>
      <c r="AC101" s="1283"/>
      <c r="AD101" s="1283"/>
      <c r="AE101" s="472"/>
      <c r="AF101" s="199"/>
      <c r="AG101" s="199"/>
      <c r="AH101" s="199"/>
      <c r="AI101" s="1284"/>
      <c r="AJ101" s="199"/>
      <c r="AK101" s="156"/>
    </row>
    <row r="102" spans="1:50" s="83" customFormat="1" ht="38.25" customHeight="1" x14ac:dyDescent="0.2">
      <c r="A102" s="213"/>
      <c r="B102" s="385"/>
      <c r="C102" s="385"/>
      <c r="D102" s="385"/>
      <c r="E102" s="385"/>
      <c r="F102" s="385"/>
      <c r="G102" s="385"/>
      <c r="H102" s="385"/>
      <c r="I102" s="385"/>
      <c r="J102" s="168"/>
      <c r="K102" s="168"/>
      <c r="L102" s="168"/>
      <c r="M102" s="168"/>
      <c r="N102" s="168"/>
      <c r="O102" s="168"/>
      <c r="P102" s="168"/>
      <c r="Q102" s="168"/>
      <c r="R102" s="137"/>
      <c r="S102" s="168"/>
      <c r="T102" s="168"/>
      <c r="U102" s="168"/>
      <c r="V102" s="119"/>
      <c r="W102" s="138"/>
      <c r="X102" s="147"/>
      <c r="Y102" s="1276"/>
      <c r="Z102" s="1276"/>
      <c r="AA102" s="1276"/>
      <c r="AB102" s="1276"/>
      <c r="AC102" s="1276"/>
      <c r="AD102" s="1283"/>
      <c r="AE102" s="472"/>
      <c r="AF102" s="179"/>
      <c r="AG102" s="179"/>
      <c r="AH102" s="179"/>
      <c r="AI102" s="1276"/>
      <c r="AJ102" s="179"/>
      <c r="AK102" s="157"/>
    </row>
    <row r="103" spans="1:50" s="83" customFormat="1" ht="39" customHeight="1" x14ac:dyDescent="0.2">
      <c r="A103" s="213"/>
      <c r="B103" s="385"/>
      <c r="C103" s="385"/>
      <c r="D103" s="385"/>
      <c r="E103" s="385"/>
      <c r="F103" s="385"/>
      <c r="G103" s="385"/>
      <c r="H103" s="385"/>
      <c r="I103" s="385"/>
      <c r="J103" s="168"/>
      <c r="K103" s="168"/>
      <c r="L103" s="168"/>
      <c r="M103" s="168"/>
      <c r="N103" s="168"/>
      <c r="O103" s="168"/>
      <c r="P103" s="168"/>
      <c r="Q103" s="168"/>
      <c r="R103" s="137"/>
      <c r="S103" s="168"/>
      <c r="T103" s="168"/>
      <c r="U103" s="168"/>
      <c r="V103" s="119"/>
      <c r="W103" s="138"/>
      <c r="X103" s="1194"/>
      <c r="Y103" s="1276"/>
      <c r="Z103" s="1284"/>
      <c r="AA103" s="1276"/>
      <c r="AB103" s="1276"/>
      <c r="AC103" s="1276"/>
      <c r="AD103" s="1276"/>
      <c r="AE103" s="472"/>
      <c r="AF103" s="179"/>
      <c r="AG103" s="179"/>
      <c r="AH103" s="179"/>
      <c r="AI103" s="1276"/>
      <c r="AJ103" s="179"/>
      <c r="AK103" s="1195"/>
    </row>
    <row r="104" spans="1:50" s="83" customFormat="1" ht="38.25" customHeight="1" x14ac:dyDescent="0.2">
      <c r="A104" s="213"/>
      <c r="B104" s="385"/>
      <c r="C104" s="385"/>
      <c r="D104" s="385"/>
      <c r="E104" s="385"/>
      <c r="F104" s="385"/>
      <c r="G104" s="385"/>
      <c r="H104" s="385"/>
      <c r="I104" s="385"/>
      <c r="J104" s="168"/>
      <c r="K104" s="168"/>
      <c r="L104" s="168"/>
      <c r="M104" s="168"/>
      <c r="N104" s="168"/>
      <c r="O104" s="168"/>
      <c r="P104" s="168"/>
      <c r="Q104" s="168"/>
      <c r="R104" s="137"/>
      <c r="S104" s="168"/>
      <c r="T104" s="168"/>
      <c r="U104" s="168"/>
      <c r="V104" s="119"/>
      <c r="W104" s="138"/>
      <c r="X104" s="1194"/>
      <c r="Y104" s="1276"/>
      <c r="Z104" s="1284"/>
      <c r="AA104" s="1276"/>
      <c r="AB104" s="1276"/>
      <c r="AC104" s="1276"/>
      <c r="AD104" s="1276"/>
      <c r="AE104" s="472"/>
      <c r="AF104" s="179"/>
      <c r="AG104" s="179"/>
      <c r="AH104" s="179"/>
      <c r="AI104" s="1276"/>
      <c r="AJ104" s="179"/>
      <c r="AK104" s="1195"/>
    </row>
    <row r="105" spans="1:50" s="83" customFormat="1" ht="7.5" customHeight="1" x14ac:dyDescent="0.2">
      <c r="A105" s="120"/>
      <c r="B105" s="18"/>
      <c r="C105" s="18"/>
      <c r="D105" s="17"/>
      <c r="E105" s="17"/>
      <c r="F105" s="17"/>
      <c r="G105" s="17"/>
      <c r="H105" s="17"/>
      <c r="I105" s="17"/>
      <c r="J105" s="13"/>
      <c r="K105" s="19"/>
      <c r="L105" s="19"/>
      <c r="M105" s="19"/>
      <c r="N105" s="19"/>
      <c r="O105" s="19"/>
      <c r="P105" s="19"/>
      <c r="Q105" s="19"/>
      <c r="R105" s="19"/>
      <c r="S105" s="19"/>
      <c r="T105" s="19"/>
      <c r="U105" s="20"/>
      <c r="V105" s="119"/>
      <c r="W105" s="138"/>
      <c r="X105" s="1194"/>
      <c r="Y105" s="1276"/>
      <c r="Z105" s="1284"/>
      <c r="AA105" s="1276"/>
      <c r="AB105" s="1276"/>
      <c r="AC105" s="1276"/>
      <c r="AD105" s="1276"/>
      <c r="AE105" s="1276"/>
      <c r="AF105" s="1276"/>
      <c r="AG105" s="1276"/>
      <c r="AH105" s="1276"/>
      <c r="AI105" s="1276"/>
      <c r="AJ105" s="179"/>
      <c r="AK105" s="1196"/>
      <c r="AL105" s="76"/>
      <c r="AM105" s="76"/>
      <c r="AN105" s="76"/>
      <c r="AO105" s="76"/>
      <c r="AP105" s="76"/>
      <c r="AQ105" s="76"/>
      <c r="AR105" s="76"/>
    </row>
    <row r="106" spans="1:50" s="83" customFormat="1" ht="15" customHeight="1" x14ac:dyDescent="0.2">
      <c r="A106" s="1399"/>
      <c r="B106" s="1421"/>
      <c r="C106" s="1421"/>
      <c r="D106" s="1421"/>
      <c r="E106" s="1421"/>
      <c r="F106" s="1421"/>
      <c r="G106" s="1421"/>
      <c r="H106" s="1421"/>
      <c r="I106" s="1421"/>
      <c r="J106" s="1421"/>
      <c r="K106" s="1421"/>
      <c r="L106" s="1421"/>
      <c r="M106" s="1421"/>
      <c r="N106" s="1421"/>
      <c r="O106" s="1421"/>
      <c r="P106" s="1421"/>
      <c r="Q106" s="1421"/>
      <c r="R106" s="1421"/>
      <c r="S106" s="1421"/>
      <c r="T106" s="1421"/>
      <c r="U106" s="1421"/>
      <c r="V106" s="1422"/>
      <c r="W106" s="138"/>
      <c r="X106" s="1194"/>
      <c r="Y106" s="1276"/>
      <c r="Z106" s="1284"/>
      <c r="AA106" s="1276"/>
      <c r="AB106" s="1276"/>
      <c r="AC106" s="1276"/>
      <c r="AD106" s="1276"/>
      <c r="AE106" s="1276"/>
      <c r="AF106" s="1276"/>
      <c r="AG106" s="1276"/>
      <c r="AH106" s="1276"/>
      <c r="AI106" s="1276"/>
      <c r="AJ106" s="1276"/>
      <c r="AK106" s="1195"/>
      <c r="AT106" s="76"/>
    </row>
    <row r="107" spans="1:50" s="83" customFormat="1" ht="11.25" customHeight="1" x14ac:dyDescent="0.2">
      <c r="A107" s="1428" t="str">
        <f>Home!$A$40</f>
        <v>LA's provide quarterly data on the condition that it is used by the benchmarking group for internal reporting only. Please DO NOT share other LA's data with any external partners or the public</v>
      </c>
      <c r="B107" s="1429"/>
      <c r="C107" s="1429"/>
      <c r="D107" s="1429"/>
      <c r="E107" s="1429"/>
      <c r="F107" s="1429"/>
      <c r="G107" s="1429"/>
      <c r="H107" s="1429"/>
      <c r="I107" s="1430"/>
      <c r="J107" s="1429"/>
      <c r="K107" s="1429"/>
      <c r="L107" s="1429"/>
      <c r="M107" s="1429"/>
      <c r="N107" s="1429"/>
      <c r="O107" s="1429"/>
      <c r="P107" s="1431"/>
      <c r="Q107" s="1429"/>
      <c r="R107" s="1429"/>
      <c r="S107" s="1429"/>
      <c r="T107" s="1430"/>
      <c r="U107" s="1429"/>
      <c r="V107" s="1432"/>
      <c r="W107" s="138"/>
      <c r="X107" s="1194"/>
      <c r="Y107" s="1276"/>
      <c r="Z107" s="1284"/>
      <c r="AA107" s="1276"/>
      <c r="AB107" s="1276"/>
      <c r="AC107" s="1276"/>
      <c r="AD107" s="1276"/>
      <c r="AE107" s="1276"/>
      <c r="AF107" s="1276"/>
      <c r="AG107" s="1276"/>
      <c r="AH107" s="1276"/>
      <c r="AI107" s="1276"/>
      <c r="AJ107" s="179"/>
      <c r="AK107" s="1197"/>
      <c r="AL107" s="76"/>
      <c r="AM107" s="76"/>
      <c r="AN107" s="76"/>
      <c r="AO107" s="76"/>
      <c r="AP107" s="76"/>
      <c r="AQ107" s="76"/>
      <c r="AR107" s="76">
        <v>0</v>
      </c>
      <c r="AS107" s="76"/>
      <c r="AT107" s="76"/>
      <c r="AU107" s="76"/>
      <c r="AV107" s="76"/>
      <c r="AW107" s="76"/>
      <c r="AX107" s="76"/>
    </row>
    <row r="108" spans="1:50" ht="18.75" customHeight="1" x14ac:dyDescent="0.2">
      <c r="A108" s="114"/>
      <c r="B108" s="115"/>
      <c r="C108" s="115"/>
      <c r="D108" s="115"/>
      <c r="E108" s="115"/>
      <c r="F108" s="115"/>
      <c r="G108" s="115"/>
      <c r="H108" s="115"/>
      <c r="I108" s="115"/>
      <c r="J108" s="116"/>
      <c r="K108" s="115"/>
      <c r="L108" s="115"/>
      <c r="M108" s="115"/>
      <c r="N108" s="115"/>
      <c r="O108" s="115"/>
      <c r="P108" s="115"/>
      <c r="Q108" s="115"/>
      <c r="R108" s="115"/>
      <c r="S108" s="115"/>
      <c r="T108" s="115"/>
      <c r="U108" s="115"/>
      <c r="V108" s="117"/>
      <c r="W108" s="138"/>
      <c r="X108" s="1194"/>
      <c r="Z108" s="1284"/>
      <c r="AJ108" s="179"/>
      <c r="AK108" s="1196"/>
    </row>
    <row r="109" spans="1:50" ht="18.75" customHeight="1" x14ac:dyDescent="0.2">
      <c r="A109" s="120"/>
      <c r="B109" s="130" t="s">
        <v>762</v>
      </c>
      <c r="C109" s="9"/>
      <c r="D109" s="9"/>
      <c r="E109" s="9"/>
      <c r="F109" s="9"/>
      <c r="G109" s="9"/>
      <c r="H109" s="9"/>
      <c r="I109" s="9"/>
      <c r="J109" s="13"/>
      <c r="K109" s="9"/>
      <c r="L109" s="9"/>
      <c r="M109" s="9"/>
      <c r="N109" s="9"/>
      <c r="O109" s="9"/>
      <c r="P109" s="9"/>
      <c r="Q109" s="9"/>
      <c r="R109" s="9"/>
      <c r="S109" s="9"/>
      <c r="T109" s="9"/>
      <c r="U109" s="9"/>
      <c r="V109" s="119"/>
      <c r="W109" s="157"/>
      <c r="X109" s="1194"/>
      <c r="Z109" s="1284"/>
      <c r="AJ109" s="179"/>
      <c r="AK109" s="1196"/>
    </row>
    <row r="110" spans="1:50" ht="18.75" customHeight="1" x14ac:dyDescent="0.2">
      <c r="A110" s="126"/>
      <c r="B110" s="127"/>
      <c r="C110" s="127"/>
      <c r="D110" s="127"/>
      <c r="E110" s="127"/>
      <c r="F110" s="127"/>
      <c r="G110" s="127"/>
      <c r="H110" s="127"/>
      <c r="I110" s="260"/>
      <c r="J110" s="128"/>
      <c r="K110" s="127"/>
      <c r="L110" s="127"/>
      <c r="M110" s="127"/>
      <c r="N110" s="127"/>
      <c r="O110" s="127"/>
      <c r="P110" s="528"/>
      <c r="Q110" s="127"/>
      <c r="R110" s="127"/>
      <c r="S110" s="127"/>
      <c r="T110" s="260"/>
      <c r="U110" s="127"/>
      <c r="V110" s="129"/>
      <c r="W110" s="157"/>
      <c r="X110" s="1194"/>
      <c r="Z110" s="1284"/>
      <c r="AJ110" s="179"/>
      <c r="AK110" s="1196"/>
      <c r="AR110" s="76">
        <v>0</v>
      </c>
    </row>
    <row r="111" spans="1:50" ht="11.25" customHeight="1" x14ac:dyDescent="0.2">
      <c r="A111" s="114"/>
      <c r="B111" s="115"/>
      <c r="C111" s="115"/>
      <c r="D111" s="115"/>
      <c r="E111" s="115"/>
      <c r="F111" s="115"/>
      <c r="G111" s="115"/>
      <c r="H111" s="115"/>
      <c r="I111" s="115"/>
      <c r="J111" s="116"/>
      <c r="K111" s="115"/>
      <c r="L111" s="115"/>
      <c r="M111" s="115"/>
      <c r="N111" s="115"/>
      <c r="O111" s="115"/>
      <c r="P111" s="115"/>
      <c r="Q111" s="115"/>
      <c r="R111" s="115"/>
      <c r="S111" s="115"/>
      <c r="T111" s="115"/>
      <c r="U111" s="115"/>
      <c r="V111" s="117"/>
      <c r="W111" s="138"/>
      <c r="X111" s="1194"/>
      <c r="AJ111" s="179"/>
      <c r="AK111" s="1196"/>
    </row>
    <row r="112" spans="1:50" s="78" customFormat="1" ht="15" customHeight="1" x14ac:dyDescent="0.2">
      <c r="A112" s="121"/>
      <c r="B112" s="1547" t="str">
        <f>"Number of Children who Ceased to be Looked After in"&amp;$Z1</f>
        <v>Number of Children who Ceased to be Looked After in the year ending 31st March</v>
      </c>
      <c r="C112" s="1547"/>
      <c r="D112" s="1547"/>
      <c r="E112" s="1547"/>
      <c r="F112" s="1547"/>
      <c r="G112" s="1547"/>
      <c r="H112" s="1547"/>
      <c r="I112" s="1547"/>
      <c r="J112" s="1547"/>
      <c r="K112" s="1547"/>
      <c r="L112" s="1547"/>
      <c r="M112" s="1547"/>
      <c r="N112" s="1547"/>
      <c r="O112" s="1547"/>
      <c r="P112" s="1547"/>
      <c r="Q112" s="1547"/>
      <c r="R112" s="1547"/>
      <c r="S112" s="1547"/>
      <c r="T112" s="1547"/>
      <c r="U112" s="1547"/>
      <c r="V112" s="122"/>
      <c r="W112" s="139"/>
      <c r="X112" s="1198"/>
      <c r="Y112" s="1276"/>
      <c r="Z112" s="1276"/>
      <c r="AA112" s="1276"/>
      <c r="AB112" s="1276"/>
      <c r="AC112" s="183"/>
      <c r="AD112" s="183"/>
      <c r="AE112" s="183"/>
      <c r="AF112" s="183"/>
      <c r="AG112" s="183"/>
      <c r="AH112" s="183"/>
      <c r="AI112" s="183"/>
      <c r="AJ112" s="183"/>
      <c r="AK112" s="1199"/>
      <c r="AL112" s="183" t="str">
        <f>CONCATENATE($I$7,"in Number of "&amp;$B112)</f>
        <v>Average Annual Change in Number of Number of Children who Ceased to be Looked After in the year ending 31st March</v>
      </c>
      <c r="AR112" s="887" t="s">
        <v>692</v>
      </c>
    </row>
    <row r="113" spans="1:50" ht="13.5" customHeight="1" x14ac:dyDescent="0.2">
      <c r="A113" s="120"/>
      <c r="B113" s="1547"/>
      <c r="C113" s="1547"/>
      <c r="D113" s="1547"/>
      <c r="E113" s="1547"/>
      <c r="F113" s="1547"/>
      <c r="G113" s="1547"/>
      <c r="H113" s="1547"/>
      <c r="I113" s="1547"/>
      <c r="J113" s="1547"/>
      <c r="K113" s="1547"/>
      <c r="L113" s="1547"/>
      <c r="M113" s="1547"/>
      <c r="N113" s="1547"/>
      <c r="O113" s="1547"/>
      <c r="P113" s="1547"/>
      <c r="Q113" s="1547"/>
      <c r="R113" s="1547"/>
      <c r="S113" s="1547"/>
      <c r="T113" s="1547"/>
      <c r="U113" s="1547"/>
      <c r="V113" s="119"/>
      <c r="W113" s="138"/>
      <c r="X113" s="1194"/>
      <c r="Z113" s="1284"/>
      <c r="AJ113" s="179"/>
      <c r="AK113" s="1196"/>
    </row>
    <row r="114" spans="1:50" s="89" customFormat="1" ht="12.75" customHeight="1" x14ac:dyDescent="0.2">
      <c r="A114" s="123"/>
      <c r="B114" s="1449" t="s">
        <v>190</v>
      </c>
      <c r="C114" s="87"/>
      <c r="D114" s="1545" t="s">
        <v>88</v>
      </c>
      <c r="E114" s="1557"/>
      <c r="F114" s="1557"/>
      <c r="G114" s="1557"/>
      <c r="H114" s="1558"/>
      <c r="I114" s="1439" t="str">
        <f>"Average "&amp;Sheet1!C3&amp;" Change "</f>
        <v xml:space="preserve">Average Annual Change </v>
      </c>
      <c r="J114" s="98"/>
      <c r="K114" s="1562" t="s">
        <v>89</v>
      </c>
      <c r="L114" s="1563"/>
      <c r="M114" s="1563"/>
      <c r="N114" s="1563"/>
      <c r="O114" s="1563"/>
      <c r="P114" s="1563"/>
      <c r="Q114" s="1446" t="str">
        <f>IF(ISNA(O116),"SE Rank "&amp;O115,"SE Rank "&amp;O116)</f>
        <v>SE Rank 2018-19</v>
      </c>
      <c r="R114" s="69"/>
      <c r="S114" s="1451" t="str">
        <f>"Distance from Expected "&amp;Sheet1!$B$8</f>
        <v>Distance from Expected 2019</v>
      </c>
      <c r="T114" s="1452"/>
      <c r="U114" s="1453"/>
      <c r="V114" s="124"/>
      <c r="W114" s="140"/>
      <c r="X114" s="1200"/>
      <c r="Y114" s="199"/>
      <c r="Z114" s="199"/>
      <c r="AB114" s="1288" t="s">
        <v>79</v>
      </c>
      <c r="AC114" s="1284"/>
      <c r="AD114" s="1284"/>
      <c r="AE114" s="472"/>
      <c r="AF114" s="472"/>
      <c r="AG114" s="1288" t="s">
        <v>92</v>
      </c>
      <c r="AH114" s="1284"/>
      <c r="AI114" s="1284"/>
      <c r="AJ114" s="199"/>
      <c r="AK114" s="1197"/>
      <c r="AL114" s="550"/>
      <c r="AM114" s="550"/>
      <c r="AN114" s="550"/>
      <c r="AO114" s="550"/>
      <c r="AP114" s="550"/>
      <c r="AQ114" s="76"/>
    </row>
    <row r="115" spans="1:50" s="89" customFormat="1" ht="12.75" customHeight="1" x14ac:dyDescent="0.2">
      <c r="A115" s="286"/>
      <c r="B115" s="1449"/>
      <c r="C115" s="87"/>
      <c r="D115" s="755" t="str">
        <f>Sheet1!$D$25</f>
        <v>2014-15</v>
      </c>
      <c r="E115" s="756" t="str">
        <f>Sheet1!$E$25</f>
        <v>2015-16</v>
      </c>
      <c r="F115" s="756" t="str">
        <f>Sheet1!$F$25</f>
        <v>2016-17</v>
      </c>
      <c r="G115" s="756" t="str">
        <f>Sheet1!$G$25</f>
        <v>2017-18</v>
      </c>
      <c r="H115" s="757" t="str">
        <f>Sheet1!$H$25</f>
        <v>2018-19</v>
      </c>
      <c r="I115" s="1440"/>
      <c r="J115" s="98"/>
      <c r="K115" s="768" t="str">
        <f>Sheet1!$D$25</f>
        <v>2014-15</v>
      </c>
      <c r="L115" s="769" t="str">
        <f>Sheet1!$E$25</f>
        <v>2015-16</v>
      </c>
      <c r="M115" s="769" t="str">
        <f>Sheet1!$F$25</f>
        <v>2016-17</v>
      </c>
      <c r="N115" s="769" t="str">
        <f>Sheet1!$G$25</f>
        <v>2017-18</v>
      </c>
      <c r="O115" s="1457" t="str">
        <f>Sheet1!$H$25</f>
        <v>2018-19</v>
      </c>
      <c r="P115" s="1458"/>
      <c r="Q115" s="1447"/>
      <c r="R115" s="69"/>
      <c r="S115" s="1454"/>
      <c r="T115" s="1455"/>
      <c r="U115" s="1456"/>
      <c r="V115" s="124"/>
      <c r="W115" s="140"/>
      <c r="X115" s="1200"/>
      <c r="Y115" s="199"/>
      <c r="Z115" s="1543" t="s">
        <v>76</v>
      </c>
      <c r="AA115" s="1543" t="s">
        <v>77</v>
      </c>
      <c r="AB115" s="1229" t="str">
        <f>IF(Sheet1!$C$3="Annual","",Sheet1!$D$26)</f>
        <v/>
      </c>
      <c r="AC115" s="1229" t="str">
        <f>IF(Sheet1!$C$3="Annual","",Sheet1!$E$26)</f>
        <v/>
      </c>
      <c r="AD115" s="1229" t="str">
        <f>IF(Sheet1!$C$3="Annual","",Sheet1!$F$26)</f>
        <v/>
      </c>
      <c r="AE115" s="1229" t="str">
        <f>IF(Sheet1!$C$3="Annual","",Sheet1!$G$26)</f>
        <v/>
      </c>
      <c r="AF115" s="1229" t="str">
        <f>IF(Sheet1!$C$3="Annual","",Sheet1!$H$26)</f>
        <v/>
      </c>
      <c r="AG115" s="1288"/>
      <c r="AH115" s="1284"/>
      <c r="AI115" s="1284"/>
      <c r="AJ115" s="199"/>
      <c r="AK115" s="1197"/>
      <c r="AL115" s="874"/>
      <c r="AM115" s="874"/>
      <c r="AN115" s="874"/>
      <c r="AO115" s="874"/>
      <c r="AP115" s="874"/>
    </row>
    <row r="116" spans="1:50" s="89" customFormat="1" ht="12.75" customHeight="1" x14ac:dyDescent="0.2">
      <c r="A116" s="123"/>
      <c r="B116" s="1450"/>
      <c r="C116" s="87"/>
      <c r="D116" s="758" t="e">
        <f>Sheet1!$D$26</f>
        <v>#N/A</v>
      </c>
      <c r="E116" s="758" t="e">
        <f>Sheet1!$E$26</f>
        <v>#N/A</v>
      </c>
      <c r="F116" s="758" t="e">
        <f>Sheet1!$F$26</f>
        <v>#N/A</v>
      </c>
      <c r="G116" s="758" t="e">
        <f>Sheet1!$G$26</f>
        <v>#N/A</v>
      </c>
      <c r="H116" s="759" t="e">
        <f>Sheet1!$H$26</f>
        <v>#N/A</v>
      </c>
      <c r="I116" s="1441"/>
      <c r="J116" s="98"/>
      <c r="K116" s="758" t="e">
        <f>Sheet1!$D$26</f>
        <v>#N/A</v>
      </c>
      <c r="L116" s="758" t="e">
        <f>Sheet1!$E$26</f>
        <v>#N/A</v>
      </c>
      <c r="M116" s="758" t="e">
        <f>Sheet1!$F$26</f>
        <v>#N/A</v>
      </c>
      <c r="N116" s="758" t="e">
        <f>Sheet1!$G$26</f>
        <v>#N/A</v>
      </c>
      <c r="O116" s="1433" t="e">
        <f>Sheet1!$H$26</f>
        <v>#N/A</v>
      </c>
      <c r="P116" s="1434"/>
      <c r="Q116" s="1448"/>
      <c r="R116" s="69"/>
      <c r="S116" s="871" t="s">
        <v>78</v>
      </c>
      <c r="T116" s="794" t="s">
        <v>127</v>
      </c>
      <c r="U116" s="795" t="s">
        <v>128</v>
      </c>
      <c r="V116" s="124"/>
      <c r="W116" s="140"/>
      <c r="X116" s="1200"/>
      <c r="Y116" s="199"/>
      <c r="Z116" s="1605"/>
      <c r="AA116" s="1605"/>
      <c r="AB116" s="1229" t="str">
        <f>Sheet1!$D$25</f>
        <v>2014-15</v>
      </c>
      <c r="AC116" s="1229" t="str">
        <f>Sheet1!$E$25</f>
        <v>2015-16</v>
      </c>
      <c r="AD116" s="1229" t="str">
        <f>Sheet1!$F$25</f>
        <v>2016-17</v>
      </c>
      <c r="AE116" s="1229" t="str">
        <f>Sheet1!$G$25</f>
        <v>2017-18</v>
      </c>
      <c r="AF116" s="1229" t="str">
        <f>Sheet1!$H$25</f>
        <v>2018-19</v>
      </c>
      <c r="AG116" s="1284"/>
      <c r="AH116" s="1284">
        <f>COLUMNS($B$4:O$4)</f>
        <v>14</v>
      </c>
      <c r="AI116" s="1284"/>
      <c r="AJ116" s="199"/>
      <c r="AK116" s="1197"/>
      <c r="AL116" s="878" t="s">
        <v>686</v>
      </c>
      <c r="AM116" s="878" t="s">
        <v>687</v>
      </c>
      <c r="AN116" s="878" t="s">
        <v>688</v>
      </c>
      <c r="AO116" s="878" t="s">
        <v>689</v>
      </c>
      <c r="AP116" s="878" t="s">
        <v>690</v>
      </c>
      <c r="AR116" s="889" t="s">
        <v>693</v>
      </c>
      <c r="AS116" s="889" t="s">
        <v>694</v>
      </c>
      <c r="AT116" s="889" t="s">
        <v>695</v>
      </c>
      <c r="AU116" s="889" t="s">
        <v>696</v>
      </c>
      <c r="AV116" s="890" t="s">
        <v>697</v>
      </c>
      <c r="AW116" s="890" t="s">
        <v>698</v>
      </c>
      <c r="AX116" s="890" t="s">
        <v>699</v>
      </c>
    </row>
    <row r="117" spans="1:50" s="89" customFormat="1" ht="13.5" customHeight="1" x14ac:dyDescent="0.2">
      <c r="A117" s="462">
        <f>VLOOKUP(B117,Sheet1!$AQ$4:$AR$25,2,FALSE)</f>
        <v>0</v>
      </c>
      <c r="B117" s="95" t="str">
        <f>Sheet1!$K$4</f>
        <v>Bracknell Forest</v>
      </c>
      <c r="C117" s="87"/>
      <c r="D117" s="96">
        <f>IF(Year1_Bracknell_Forest Year1_Adoption_ceased_LAC="","",Year1_Bracknell_Forest Year1_Adoption_ceased_LAC)</f>
        <v>58</v>
      </c>
      <c r="E117" s="96">
        <f>IF(Year2_Bracknell_Forest Year2_Adoption_ceased_LAC="","",Year2_Bracknell_Forest Year2_Adoption_ceased_LAC)</f>
        <v>68</v>
      </c>
      <c r="F117" s="96">
        <f>IF(Year3_Bracknell_Forest Year3_Adoption_ceased_LAC="","",Year3_Bracknell_Forest Year3_Adoption_ceased_LAC)</f>
        <v>49</v>
      </c>
      <c r="G117" s="96">
        <f>IF(Year4_Bracknell_Forest Year4_Adoption_ceased_LAC="","",Year4_Bracknell_Forest Year4_Adoption_ceased_LAC)</f>
        <v>67</v>
      </c>
      <c r="H117" s="97">
        <f>IF(Year5_Bracknell_Forest Year5_Adoption_ceased_LAC="","",Year5_Bracknell_Forest Year5_Adoption_ceased_LAC)</f>
        <v>65</v>
      </c>
      <c r="I117" s="337">
        <f>AP117</f>
        <v>5.7624555226104858E-2</v>
      </c>
      <c r="J117" s="98"/>
      <c r="K117" s="99">
        <f>IF(ISNUMBER(D117),D117/Population!D10*10000,NA())</f>
        <v>20.863309352517987</v>
      </c>
      <c r="L117" s="99">
        <f>IF(ISNUMBER(E117),E117/Population!E10*10000,NA())</f>
        <v>24.113475177304963</v>
      </c>
      <c r="M117" s="99">
        <f>IF(ISNUMBER(F117),F117/Population!F10*10000,NA())</f>
        <v>17.375886524822697</v>
      </c>
      <c r="N117" s="99">
        <f>IF(ISNUMBER(G117),G117/Population!G10*10000,NA())</f>
        <v>23.843416370106763</v>
      </c>
      <c r="O117" s="100">
        <f>IF(ISNUMBER(H117),H117/Population!H10*10000,NA())</f>
        <v>22.968197879858657</v>
      </c>
      <c r="P117" s="101">
        <f>IF(ISNUMBER(O117),O117,"")</f>
        <v>22.968197879858657</v>
      </c>
      <c r="Q117" s="886">
        <f>IF(ISNA(VLOOKUP(B117,$AG$10:$AI$28,3,FALSE)),"--",IF(ISNUMBER(H117),VLOOKUP(B117,$AG$10:$AI$28,3,FALSE),NA()))</f>
        <v>14</v>
      </c>
      <c r="R117" s="69"/>
      <c r="S117" s="333">
        <f>IDACI!C9</f>
        <v>8.9</v>
      </c>
      <c r="T117" s="334">
        <f>((S117*$Z$176)+$AA$176)/$Y$2</f>
        <v>18.933059629351426</v>
      </c>
      <c r="U117" s="335">
        <f>O117-T117</f>
        <v>4.0351382505072309</v>
      </c>
      <c r="V117" s="124"/>
      <c r="W117" s="140"/>
      <c r="X117" s="1200"/>
      <c r="Y117" s="1289" t="str">
        <f t="shared" ref="Y117:Y140" si="34">B117</f>
        <v>Bracknell Forest</v>
      </c>
      <c r="Z117" s="815">
        <f>IF(ISNUMBER(H117),IDACI!D9,0)</f>
        <v>24849</v>
      </c>
      <c r="AA117" s="815">
        <f>IF(ISNUMBER(H117),IDACI!E9,0)</f>
        <v>2211.5610000000001</v>
      </c>
      <c r="AB117" s="572">
        <f>IF(ISNUMBER(D117),Population!D10,"")</f>
        <v>27800</v>
      </c>
      <c r="AC117" s="572">
        <f>IF(ISNUMBER(E117),Population!E10,"")</f>
        <v>28200</v>
      </c>
      <c r="AD117" s="572">
        <f>IF(ISNUMBER(F117),Population!F10,"")</f>
        <v>28200</v>
      </c>
      <c r="AE117" s="572">
        <f>IF(ISNUMBER(G117),Population!G10,"")</f>
        <v>28100</v>
      </c>
      <c r="AF117" s="572">
        <f>IF(ISNUMBER(H117),Population!H10,"")</f>
        <v>28300</v>
      </c>
      <c r="AG117" s="95" t="str">
        <f>B117</f>
        <v>Bracknell Forest</v>
      </c>
      <c r="AH117" s="225">
        <f>IFERROR(VLOOKUP(AG117,$B$117:$O$140,$AH$116,FALSE),"")</f>
        <v>22.968197879858657</v>
      </c>
      <c r="AI117" s="1187">
        <f>RANK(AH117,$AH$117:$AH$135,1)</f>
        <v>11</v>
      </c>
      <c r="AJ117" s="199"/>
      <c r="AK117" s="1197"/>
      <c r="AL117" s="792">
        <f>IF(ISERROR((E117-D117)/D117),"x",(E117-D117)/D117)</f>
        <v>0.17241379310344829</v>
      </c>
      <c r="AM117" s="792">
        <f>IF(ISERROR((F117-E117)/E117),"x",(F117-E117)/E117)</f>
        <v>-0.27941176470588236</v>
      </c>
      <c r="AN117" s="792">
        <f>IF(ISERROR((G117-F117)/F117),"x",(G117-F117)/F117)</f>
        <v>0.36734693877551022</v>
      </c>
      <c r="AO117" s="792">
        <f>IF(ISERROR((H117-G117)/G117),"x",(H117-G117)/G117)</f>
        <v>-2.9850746268656716E-2</v>
      </c>
      <c r="AP117" s="792">
        <f>AVERAGE(AL117:AO117)</f>
        <v>5.7624555226104858E-2</v>
      </c>
      <c r="AR117" s="888">
        <f>IF(ISNUMBER(L117),L117,"")</f>
        <v>24.113475177304963</v>
      </c>
      <c r="AS117" s="888">
        <f t="shared" ref="AS117:AS140" si="35">IF(ISNUMBER(M117),M117,"")</f>
        <v>17.375886524822697</v>
      </c>
      <c r="AT117" s="888">
        <f t="shared" ref="AT117:AT140" si="36">IF(ISNUMBER(N117),N117,"")</f>
        <v>23.843416370106763</v>
      </c>
      <c r="AU117" s="888">
        <f t="shared" ref="AU117:AU129" si="37">IF(ISNUMBER(O117),O117,"")</f>
        <v>22.968197879858657</v>
      </c>
      <c r="AV117" s="888">
        <f t="shared" ref="AV117:AV129" si="38">SUM(AR117:AU117)</f>
        <v>88.300975952093069</v>
      </c>
      <c r="AW117" s="550">
        <f t="shared" ref="AW117:AW129" si="39">COUNTBLANK(AR117:AU117)</f>
        <v>0</v>
      </c>
      <c r="AX117" s="888">
        <f>AV117/(4-AW117)*4</f>
        <v>88.300975952093069</v>
      </c>
    </row>
    <row r="118" spans="1:50" s="89" customFormat="1" ht="13.5" customHeight="1" x14ac:dyDescent="0.2">
      <c r="A118" s="462">
        <f>VLOOKUP(B118,Sheet1!$AQ$4:$AR$25,2,FALSE)</f>
        <v>0</v>
      </c>
      <c r="B118" s="95" t="str">
        <f>Sheet1!$K$5</f>
        <v>Brighton &amp; Hove</v>
      </c>
      <c r="C118" s="87"/>
      <c r="D118" s="96">
        <f>IF(Year1_Brighton_Hove Year1_Adoption_ceased_LAC="","",Year1_Brighton_Hove Year1_Adoption_ceased_LAC)</f>
        <v>192</v>
      </c>
      <c r="E118" s="96">
        <f>IF(Year2_Brighton_Hove Year2_Adoption_ceased_LAC="","",Year2_Brighton_Hove Year2_Adoption_ceased_LAC)</f>
        <v>245</v>
      </c>
      <c r="F118" s="96">
        <f>IF(Year3_Brighton_Hove Year3_Adoption_ceased_LAC="","",Year3_Brighton_Hove Year3_Adoption_ceased_LAC)</f>
        <v>179</v>
      </c>
      <c r="G118" s="96">
        <f>IF(Year4_Brighton_Hove Year4_Adoption_ceased_LAC="","",Year4_Brighton_Hove Year4_Adoption_ceased_LAC)</f>
        <v>176</v>
      </c>
      <c r="H118" s="97">
        <f>IF(Year5_Brighton_Hove Year5_Adoption_ceased_LAC="","",Year5_Brighton_Hove Year5_Adoption_ceased_LAC)</f>
        <v>187</v>
      </c>
      <c r="I118" s="337">
        <f t="shared" ref="I118:I140" si="40">AP118</f>
        <v>1.3098533757078253E-2</v>
      </c>
      <c r="J118" s="98"/>
      <c r="K118" s="99">
        <f>IF(ISNUMBER(D118),D118/Population!D11*10000,NA())</f>
        <v>37.647058823529413</v>
      </c>
      <c r="L118" s="99">
        <f>IF(ISNUMBER(E118),E118/Population!E11*10000,NA())</f>
        <v>47.8515625</v>
      </c>
      <c r="M118" s="99">
        <f>IF(ISNUMBER(F118),F118/Population!F11*10000,NA())</f>
        <v>34.892787524366469</v>
      </c>
      <c r="N118" s="99">
        <f>IF(ISNUMBER(G118),G118/Population!G11*10000,NA())</f>
        <v>34.509803921568626</v>
      </c>
      <c r="O118" s="100">
        <f>IF(ISNUMBER(H118),H118/Population!H11*10000,NA())</f>
        <v>36.666666666666664</v>
      </c>
      <c r="P118" s="101">
        <f t="shared" ref="P118:P139" si="41">IF(ISNUMBER(O118),O118,"")</f>
        <v>36.666666666666664</v>
      </c>
      <c r="Q118" s="886">
        <f t="shared" ref="Q118:Q121" si="42">IF(ISNA(VLOOKUP(B118,$AG$10:$AI$28,3,FALSE)),"--",IF(ISNUMBER(H118),VLOOKUP(B118,$AG$10:$AI$28,3,FALSE),NA()))</f>
        <v>16</v>
      </c>
      <c r="R118" s="69"/>
      <c r="S118" s="333">
        <f>IDACI!C10</f>
        <v>15.299999999999999</v>
      </c>
      <c r="T118" s="334">
        <f t="shared" ref="T118:T140" si="43">((S118*$Z$44)+$AA$44)/$Y$2</f>
        <v>27.616400295150765</v>
      </c>
      <c r="U118" s="335">
        <f t="shared" ref="U118:U140" si="44">O118-T118</f>
        <v>9.0502663715158995</v>
      </c>
      <c r="V118" s="124"/>
      <c r="W118" s="140"/>
      <c r="X118" s="1200"/>
      <c r="Y118" s="1289" t="str">
        <f t="shared" si="34"/>
        <v>Brighton &amp; Hove</v>
      </c>
      <c r="Z118" s="815">
        <f>IF(ISNUMBER(H118),IDACI!D10,0)</f>
        <v>45576</v>
      </c>
      <c r="AA118" s="815">
        <f>IF(ISNUMBER(H118),IDACI!E10,0)</f>
        <v>6973.1279999999997</v>
      </c>
      <c r="AB118" s="572">
        <f>IF(ISNUMBER(D118),Population!D11,"")</f>
        <v>51000</v>
      </c>
      <c r="AC118" s="572">
        <f>IF(ISNUMBER(E118),Population!E11,"")</f>
        <v>51200</v>
      </c>
      <c r="AD118" s="572">
        <f>IF(ISNUMBER(F118),Population!F11,"")</f>
        <v>51300</v>
      </c>
      <c r="AE118" s="572">
        <f>IF(ISNUMBER(G118),Population!G11,"")</f>
        <v>51000</v>
      </c>
      <c r="AF118" s="572">
        <f>IF(ISNUMBER(H118),Population!H11,"")</f>
        <v>51000</v>
      </c>
      <c r="AG118" s="95" t="s">
        <v>31</v>
      </c>
      <c r="AH118" s="225">
        <f t="shared" ref="AH118:AH135" si="45">IFERROR(VLOOKUP(AG118,$B$117:$O$140,$AH$116,FALSE),"")</f>
        <v>36.666666666666664</v>
      </c>
      <c r="AI118" s="1187">
        <f t="shared" ref="AI118:AI135" si="46">RANK(AH118,$AH$117:$AH$135,1)</f>
        <v>18</v>
      </c>
      <c r="AJ118" s="199"/>
      <c r="AK118" s="1197"/>
      <c r="AL118" s="792">
        <f t="shared" ref="AL118:AL140" si="47">IF(ISERROR((E118-D118)/D118),"x",(E118-D118)/D118)</f>
        <v>0.27604166666666669</v>
      </c>
      <c r="AM118" s="792">
        <f t="shared" ref="AM118:AM140" si="48">IF(ISERROR((F118-E118)/E118),"x",(F118-E118)/E118)</f>
        <v>-0.26938775510204083</v>
      </c>
      <c r="AN118" s="792">
        <f t="shared" ref="AN118:AN140" si="49">IF(ISERROR((G118-F118)/F118),"x",(G118-F118)/F118)</f>
        <v>-1.6759776536312849E-2</v>
      </c>
      <c r="AO118" s="792">
        <f t="shared" ref="AO118:AO140" si="50">IF(ISERROR((H118-G118)/G118),"x",(H118-G118)/G118)</f>
        <v>6.25E-2</v>
      </c>
      <c r="AP118" s="792">
        <f t="shared" ref="AP118:AP139" si="51">AVERAGE(AL118:AO118)</f>
        <v>1.3098533757078253E-2</v>
      </c>
      <c r="AR118" s="888">
        <f t="shared" ref="AR118:AR140" si="52">IF(ISNUMBER(L118),L118,"")</f>
        <v>47.8515625</v>
      </c>
      <c r="AS118" s="888">
        <f t="shared" si="35"/>
        <v>34.892787524366469</v>
      </c>
      <c r="AT118" s="888">
        <f t="shared" si="36"/>
        <v>34.509803921568626</v>
      </c>
      <c r="AU118" s="888">
        <f t="shared" si="37"/>
        <v>36.666666666666664</v>
      </c>
      <c r="AV118" s="888">
        <f t="shared" si="38"/>
        <v>153.92082061260174</v>
      </c>
      <c r="AW118" s="550">
        <f t="shared" si="39"/>
        <v>0</v>
      </c>
      <c r="AX118" s="888">
        <f t="shared" ref="AX118:AX129" si="53">AV118/(4-AW118)*4</f>
        <v>153.92082061260174</v>
      </c>
    </row>
    <row r="119" spans="1:50" s="89" customFormat="1" ht="13.5" customHeight="1" x14ac:dyDescent="0.2">
      <c r="A119" s="462">
        <f>VLOOKUP(B119,Sheet1!$AQ$4:$AR$25,2,FALSE)</f>
        <v>0</v>
      </c>
      <c r="B119" s="95" t="str">
        <f>Sheet1!$K$6</f>
        <v>Buckinghamshire</v>
      </c>
      <c r="C119" s="87"/>
      <c r="D119" s="96">
        <f>IF(Year1_Buckinghamshire Year1_Adoption_ceased_LAC="","",Year1_Buckinghamshire Year1_Adoption_ceased_LAC)</f>
        <v>162</v>
      </c>
      <c r="E119" s="96">
        <f>IF(Year2_Buckinghamshire Year2_Adoption_ceased_LAC="","",Year2_Buckinghamshire Year2_Adoption_ceased_LAC)</f>
        <v>227</v>
      </c>
      <c r="F119" s="96">
        <f>IF(Year3_Buckinghamshire Year3_Adoption_ceased_LAC="","",Year3_Buckinghamshire Year3_Adoption_ceased_LAC)</f>
        <v>215</v>
      </c>
      <c r="G119" s="96">
        <f>IF(Year4_Buckinghamshire Year4_Adoption_ceased_LAC="","",Year4_Buckinghamshire Year4_Adoption_ceased_LAC)</f>
        <v>180</v>
      </c>
      <c r="H119" s="97">
        <f>IF(Year5_Buckinghamshire Year5_Adoption_ceased_LAC="","",Year5_Buckinghamshire Year5_Adoption_ceased_LAC)</f>
        <v>170</v>
      </c>
      <c r="I119" s="337">
        <f t="shared" si="40"/>
        <v>3.2506219636978091E-2</v>
      </c>
      <c r="J119" s="98"/>
      <c r="K119" s="99">
        <f>IF(ISNUMBER(D119),D119/Population!D12*10000,NA())</f>
        <v>13.62489486963835</v>
      </c>
      <c r="L119" s="99">
        <f>IF(ISNUMBER(E119),E119/Population!E12*10000,NA())</f>
        <v>18.822553897180764</v>
      </c>
      <c r="M119" s="99">
        <f>IF(ISNUMBER(F119),F119/Population!F12*10000,NA())</f>
        <v>17.594108019639933</v>
      </c>
      <c r="N119" s="99">
        <f>IF(ISNUMBER(G119),G119/Population!G12*10000,NA())</f>
        <v>14.62225832656377</v>
      </c>
      <c r="O119" s="100">
        <f>IF(ISNUMBER(H119),H119/Population!H12*10000,NA())</f>
        <v>13.676588897827836</v>
      </c>
      <c r="P119" s="101">
        <f t="shared" si="41"/>
        <v>13.676588897827836</v>
      </c>
      <c r="Q119" s="886">
        <f t="shared" si="42"/>
        <v>3</v>
      </c>
      <c r="R119" s="69"/>
      <c r="S119" s="333">
        <f>IDACI!C11</f>
        <v>8.5</v>
      </c>
      <c r="T119" s="334">
        <f t="shared" si="43"/>
        <v>20.916180795316475</v>
      </c>
      <c r="U119" s="335">
        <f t="shared" si="44"/>
        <v>-7.2395918974886388</v>
      </c>
      <c r="V119" s="124"/>
      <c r="W119" s="140"/>
      <c r="X119" s="1200"/>
      <c r="Y119" s="1289" t="str">
        <f t="shared" si="34"/>
        <v>Buckinghamshire</v>
      </c>
      <c r="Z119" s="815">
        <f>IF(ISNUMBER(H119),IDACI!D11,0)</f>
        <v>107385</v>
      </c>
      <c r="AA119" s="815">
        <f>IF(ISNUMBER(H119),IDACI!E11,0)</f>
        <v>9127.7250000000004</v>
      </c>
      <c r="AB119" s="572">
        <f>IF(ISNUMBER(D119),Population!D12,"")</f>
        <v>118900</v>
      </c>
      <c r="AC119" s="572">
        <f>IF(ISNUMBER(E119),Population!E12,"")</f>
        <v>120600</v>
      </c>
      <c r="AD119" s="572">
        <f>IF(ISNUMBER(F119),Population!F12,"")</f>
        <v>122200</v>
      </c>
      <c r="AE119" s="572">
        <f>IF(ISNUMBER(G119),Population!G12,"")</f>
        <v>123100</v>
      </c>
      <c r="AF119" s="572">
        <f>IF(ISNUMBER(H119),Population!H12,"")</f>
        <v>124300</v>
      </c>
      <c r="AG119" s="95" t="s">
        <v>8</v>
      </c>
      <c r="AH119" s="225">
        <f t="shared" si="45"/>
        <v>13.676588897827836</v>
      </c>
      <c r="AI119" s="1187">
        <f t="shared" si="46"/>
        <v>1</v>
      </c>
      <c r="AJ119" s="199"/>
      <c r="AK119" s="1197"/>
      <c r="AL119" s="792">
        <f t="shared" si="47"/>
        <v>0.40123456790123457</v>
      </c>
      <c r="AM119" s="792">
        <f t="shared" si="48"/>
        <v>-5.2863436123348019E-2</v>
      </c>
      <c r="AN119" s="792">
        <f t="shared" si="49"/>
        <v>-0.16279069767441862</v>
      </c>
      <c r="AO119" s="792">
        <f t="shared" si="50"/>
        <v>-5.5555555555555552E-2</v>
      </c>
      <c r="AP119" s="792">
        <f t="shared" si="51"/>
        <v>3.2506219636978091E-2</v>
      </c>
      <c r="AR119" s="888">
        <f t="shared" si="52"/>
        <v>18.822553897180764</v>
      </c>
      <c r="AS119" s="888">
        <f t="shared" si="35"/>
        <v>17.594108019639933</v>
      </c>
      <c r="AT119" s="888">
        <f t="shared" si="36"/>
        <v>14.62225832656377</v>
      </c>
      <c r="AU119" s="888">
        <f t="shared" si="37"/>
        <v>13.676588897827836</v>
      </c>
      <c r="AV119" s="888">
        <f t="shared" si="38"/>
        <v>64.715509141212308</v>
      </c>
      <c r="AW119" s="550">
        <f t="shared" si="39"/>
        <v>0</v>
      </c>
      <c r="AX119" s="888">
        <f t="shared" si="53"/>
        <v>64.715509141212308</v>
      </c>
    </row>
    <row r="120" spans="1:50" s="89" customFormat="1" ht="13.5" customHeight="1" x14ac:dyDescent="0.2">
      <c r="A120" s="462">
        <f>VLOOKUP(B120,Sheet1!$AQ$4:$AR$25,2,FALSE)</f>
        <v>0</v>
      </c>
      <c r="B120" s="95" t="str">
        <f>Sheet1!$K$7</f>
        <v>East Sussex</v>
      </c>
      <c r="C120" s="87"/>
      <c r="D120" s="96">
        <f>IF(Year1_East_Sussex Year1_Adoption_ceased_LAC="","",Year1_East_Sussex Year1_Adoption_ceased_LAC)</f>
        <v>189</v>
      </c>
      <c r="E120" s="102">
        <f>IF(Year2_East_Sussex Year2_Adoption_ceased_LAC="","",Year2_East_Sussex Year2_Adoption_ceased_LAC)</f>
        <v>192</v>
      </c>
      <c r="F120" s="96">
        <f>IF(Year3_East_Sussex Year3_Adoption_ceased_LAC="","",Year3_East_Sussex Year3_Adoption_ceased_LAC)</f>
        <v>185</v>
      </c>
      <c r="G120" s="96">
        <f>IF(Year4_East_Sussex Year4_Adoption_ceased_LAC="","",Year4_East_Sussex Year4_Adoption_ceased_LAC)</f>
        <v>162</v>
      </c>
      <c r="H120" s="97">
        <f>IF(Year5_East_Sussex Year5_Adoption_ceased_LAC="","",Year5_East_Sussex Year5_Adoption_ceased_LAC)</f>
        <v>192</v>
      </c>
      <c r="I120" s="337">
        <f t="shared" si="40"/>
        <v>1.0068885850135843E-2</v>
      </c>
      <c r="J120" s="98"/>
      <c r="K120" s="99">
        <f>IF(ISNUMBER(D120),D120/Population!D13*10000,NA())</f>
        <v>17.931688804554078</v>
      </c>
      <c r="L120" s="99">
        <f>IF(ISNUMBER(E120),E120/Population!E13*10000,NA())</f>
        <v>18.130311614730878</v>
      </c>
      <c r="M120" s="99">
        <f>IF(ISNUMBER(F120),F120/Population!F13*10000,NA())</f>
        <v>17.469310670443814</v>
      </c>
      <c r="N120" s="99">
        <f>IF(ISNUMBER(G120),G120/Population!G13*10000,NA())</f>
        <v>15.283018867924527</v>
      </c>
      <c r="O120" s="100">
        <f>IF(ISNUMBER(H120),H120/Population!H13*10000,NA())</f>
        <v>18.045112781954888</v>
      </c>
      <c r="P120" s="101">
        <f t="shared" si="41"/>
        <v>18.045112781954888</v>
      </c>
      <c r="Q120" s="886">
        <f t="shared" si="42"/>
        <v>4</v>
      </c>
      <c r="R120" s="69"/>
      <c r="S120" s="333">
        <f>IDACI!C12</f>
        <v>16.100000000000001</v>
      </c>
      <c r="T120" s="334">
        <f t="shared" si="43"/>
        <v>28.404661412778331</v>
      </c>
      <c r="U120" s="335">
        <f t="shared" si="44"/>
        <v>-10.359548630823443</v>
      </c>
      <c r="V120" s="124"/>
      <c r="W120" s="140"/>
      <c r="X120" s="1200"/>
      <c r="Y120" s="1289" t="str">
        <f t="shared" si="34"/>
        <v>East Sussex</v>
      </c>
      <c r="Z120" s="815">
        <f>IF(ISNUMBER(H120),IDACI!D12,0)</f>
        <v>93130</v>
      </c>
      <c r="AA120" s="815">
        <f>IF(ISNUMBER(H120),IDACI!E12,0)</f>
        <v>14993.93</v>
      </c>
      <c r="AB120" s="572">
        <f>IF(ISNUMBER(D120),Population!D13,"")</f>
        <v>105400</v>
      </c>
      <c r="AC120" s="572">
        <f>IF(ISNUMBER(E120),Population!E13,"")</f>
        <v>105900</v>
      </c>
      <c r="AD120" s="572">
        <f>IF(ISNUMBER(F120),Population!F13,"")</f>
        <v>105900</v>
      </c>
      <c r="AE120" s="572">
        <f>IF(ISNUMBER(G120),Population!G13,"")</f>
        <v>106000</v>
      </c>
      <c r="AF120" s="572">
        <f>IF(ISNUMBER(H120),Population!H13,"")</f>
        <v>106400</v>
      </c>
      <c r="AG120" s="95" t="s">
        <v>4</v>
      </c>
      <c r="AH120" s="225">
        <f t="shared" si="45"/>
        <v>18.045112781954888</v>
      </c>
      <c r="AI120" s="1187">
        <f t="shared" si="46"/>
        <v>6</v>
      </c>
      <c r="AJ120" s="199"/>
      <c r="AK120" s="1197"/>
      <c r="AL120" s="792">
        <f t="shared" si="47"/>
        <v>1.5873015873015872E-2</v>
      </c>
      <c r="AM120" s="792">
        <f t="shared" si="48"/>
        <v>-3.6458333333333336E-2</v>
      </c>
      <c r="AN120" s="792">
        <f t="shared" si="49"/>
        <v>-0.12432432432432433</v>
      </c>
      <c r="AO120" s="792">
        <f t="shared" si="50"/>
        <v>0.18518518518518517</v>
      </c>
      <c r="AP120" s="792">
        <f t="shared" si="51"/>
        <v>1.0068885850135843E-2</v>
      </c>
      <c r="AR120" s="888">
        <f t="shared" si="52"/>
        <v>18.130311614730878</v>
      </c>
      <c r="AS120" s="888">
        <f t="shared" si="35"/>
        <v>17.469310670443814</v>
      </c>
      <c r="AT120" s="888">
        <f t="shared" si="36"/>
        <v>15.283018867924527</v>
      </c>
      <c r="AU120" s="888">
        <f t="shared" si="37"/>
        <v>18.045112781954888</v>
      </c>
      <c r="AV120" s="888">
        <f t="shared" si="38"/>
        <v>68.927753935054099</v>
      </c>
      <c r="AW120" s="550">
        <f t="shared" si="39"/>
        <v>0</v>
      </c>
      <c r="AX120" s="888">
        <f t="shared" si="53"/>
        <v>68.927753935054099</v>
      </c>
    </row>
    <row r="121" spans="1:50" s="89" customFormat="1" ht="13.5" customHeight="1" x14ac:dyDescent="0.2">
      <c r="A121" s="462">
        <f>VLOOKUP(B121,Sheet1!$AQ$4:$AR$25,2,FALSE)</f>
        <v>0</v>
      </c>
      <c r="B121" s="95" t="str">
        <f>Sheet1!$K$8</f>
        <v>Hampshire</v>
      </c>
      <c r="C121" s="87"/>
      <c r="D121" s="96">
        <f>IF(Year1_Hampshire Year1_Adoption_ceased_LAC="","",Year1_Hampshire Year1_Adoption_ceased_LAC)</f>
        <v>546</v>
      </c>
      <c r="E121" s="96">
        <f>IF(Year2_Hampshire Year2_Adoption_ceased_LAC="","",Year2_Hampshire Year2_Adoption_ceased_LAC)</f>
        <v>545</v>
      </c>
      <c r="F121" s="103">
        <f>IF(Year3_Hampshire Year3_Adoption_ceased_LAC="","",Year3_Hampshire Year3_Adoption_ceased_LAC)</f>
        <v>532</v>
      </c>
      <c r="G121" s="103">
        <f>IF(Year4_Hampshire Year4_Adoption_ceased_LAC="","",Year4_Hampshire Year4_Adoption_ceased_LAC)</f>
        <v>486</v>
      </c>
      <c r="H121" s="97">
        <f>IF(Year5_Hampshire Year5_Adoption_ceased_LAC="","",Year5_Hampshire Year5_Adoption_ceased_LAC)</f>
        <v>593</v>
      </c>
      <c r="I121" s="337">
        <f t="shared" si="40"/>
        <v>2.7003432699821993E-2</v>
      </c>
      <c r="J121" s="98"/>
      <c r="K121" s="99">
        <f>IF(ISNUMBER(D121),D121/Population!D14*10000,NA())</f>
        <v>19.396092362344582</v>
      </c>
      <c r="L121" s="99">
        <f>IF(ISNUMBER(E121),E121/Population!E14*10000,NA())</f>
        <v>19.333096842852076</v>
      </c>
      <c r="M121" s="99">
        <f>IF(ISNUMBER(F121),F121/Population!F14*10000,NA())</f>
        <v>18.811881188118811</v>
      </c>
      <c r="N121" s="99">
        <f>IF(ISNUMBER(G121),G121/Population!G14*10000,NA())</f>
        <v>17.154959406989057</v>
      </c>
      <c r="O121" s="100">
        <f>IF(ISNUMBER(H121),H121/Population!H14*10000,NA())</f>
        <v>20.880281690140844</v>
      </c>
      <c r="P121" s="101">
        <f t="shared" si="41"/>
        <v>20.880281690140844</v>
      </c>
      <c r="Q121" s="886">
        <f t="shared" si="42"/>
        <v>9</v>
      </c>
      <c r="R121" s="69"/>
      <c r="S121" s="333">
        <f>IDACI!C13</f>
        <v>10.100000000000001</v>
      </c>
      <c r="T121" s="334">
        <f t="shared" si="43"/>
        <v>22.492703030571604</v>
      </c>
      <c r="U121" s="335">
        <f t="shared" si="44"/>
        <v>-1.6124213404307604</v>
      </c>
      <c r="V121" s="124"/>
      <c r="W121" s="140"/>
      <c r="X121" s="1200"/>
      <c r="Y121" s="1289" t="str">
        <f t="shared" si="34"/>
        <v>Hampshire</v>
      </c>
      <c r="Z121" s="815">
        <f>IF(ISNUMBER(H121),IDACI!D13,0)</f>
        <v>249483</v>
      </c>
      <c r="AA121" s="815">
        <f>IF(ISNUMBER(H121),IDACI!E13,0)</f>
        <v>25197.783000000007</v>
      </c>
      <c r="AB121" s="572">
        <f>IF(ISNUMBER(D121),Population!D14,"")</f>
        <v>281500</v>
      </c>
      <c r="AC121" s="572">
        <f>IF(ISNUMBER(E121),Population!E14,"")</f>
        <v>281900</v>
      </c>
      <c r="AD121" s="572">
        <f>IF(ISNUMBER(F121),Population!F14,"")</f>
        <v>282800</v>
      </c>
      <c r="AE121" s="572">
        <f>IF(ISNUMBER(G121),Population!G14,"")</f>
        <v>283300</v>
      </c>
      <c r="AF121" s="572">
        <f>IF(ISNUMBER(H121),Population!H14,"")</f>
        <v>284000</v>
      </c>
      <c r="AG121" s="95" t="s">
        <v>6</v>
      </c>
      <c r="AH121" s="225">
        <f t="shared" si="45"/>
        <v>20.880281690140844</v>
      </c>
      <c r="AI121" s="1187">
        <f t="shared" si="46"/>
        <v>9</v>
      </c>
      <c r="AJ121" s="199"/>
      <c r="AK121" s="1197"/>
      <c r="AL121" s="792">
        <f t="shared" si="47"/>
        <v>-1.8315018315018315E-3</v>
      </c>
      <c r="AM121" s="792">
        <f t="shared" si="48"/>
        <v>-2.3853211009174313E-2</v>
      </c>
      <c r="AN121" s="792">
        <f t="shared" si="49"/>
        <v>-8.646616541353383E-2</v>
      </c>
      <c r="AO121" s="792">
        <f t="shared" si="50"/>
        <v>0.22016460905349794</v>
      </c>
      <c r="AP121" s="792">
        <f t="shared" si="51"/>
        <v>2.7003432699821993E-2</v>
      </c>
      <c r="AR121" s="888">
        <f t="shared" si="52"/>
        <v>19.333096842852076</v>
      </c>
      <c r="AS121" s="888">
        <f t="shared" si="35"/>
        <v>18.811881188118811</v>
      </c>
      <c r="AT121" s="888">
        <f t="shared" si="36"/>
        <v>17.154959406989057</v>
      </c>
      <c r="AU121" s="888">
        <f t="shared" si="37"/>
        <v>20.880281690140844</v>
      </c>
      <c r="AV121" s="888">
        <f t="shared" si="38"/>
        <v>76.180219128100788</v>
      </c>
      <c r="AW121" s="550">
        <f t="shared" si="39"/>
        <v>0</v>
      </c>
      <c r="AX121" s="888">
        <f t="shared" si="53"/>
        <v>76.180219128100788</v>
      </c>
    </row>
    <row r="122" spans="1:50" s="89" customFormat="1" ht="13.5" customHeight="1" x14ac:dyDescent="0.2">
      <c r="A122" s="462">
        <f>VLOOKUP(B122,Sheet1!$AQ$4:$AR$25,2,FALSE)</f>
        <v>0</v>
      </c>
      <c r="B122" s="95" t="str">
        <f>Sheet1!$K$9</f>
        <v>Isle of Wight</v>
      </c>
      <c r="C122" s="87"/>
      <c r="D122" s="96">
        <f>IF(Year1_Isle_of_Wight Year1_Adoption_ceased_LAC="","",Year1_Isle_of_Wight Year1_Adoption_ceased_LAC)</f>
        <v>79</v>
      </c>
      <c r="E122" s="96">
        <f>IF(Year2_Isle_of_Wight Year2_Adoption_ceased_LAC="","",Year2_Isle_of_Wight Year2_Adoption_ceased_LAC)</f>
        <v>73</v>
      </c>
      <c r="F122" s="96">
        <f>IF(Year3_Isle_of_Wight Year3_Adoption_ceased_LAC="","",Year3_Isle_of_Wight Year3_Adoption_ceased_LAC)</f>
        <v>76</v>
      </c>
      <c r="G122" s="96">
        <f>IF(Year4_Isle_of_Wight Year4_Adoption_ceased_LAC="","",Year4_Isle_of_Wight Year4_Adoption_ceased_LAC)</f>
        <v>82</v>
      </c>
      <c r="H122" s="97">
        <f>IF(Year5_Isle_of_Wight Year5_Adoption_ceased_LAC="","",Year5_Isle_of_Wight Year5_Adoption_ceased_LAC)</f>
        <v>61</v>
      </c>
      <c r="I122" s="337">
        <f t="shared" si="40"/>
        <v>-5.3000917308051454E-2</v>
      </c>
      <c r="J122" s="98"/>
      <c r="K122" s="99">
        <f>IF(ISNUMBER(D122),D122/Population!D15*10000,NA())</f>
        <v>30.980392156862742</v>
      </c>
      <c r="L122" s="99">
        <f>IF(ISNUMBER(E122),E122/Population!E15*10000,NA())</f>
        <v>28.853754940711465</v>
      </c>
      <c r="M122" s="99">
        <f>IF(ISNUMBER(F122),F122/Population!F15*10000,NA())</f>
        <v>30.158730158730162</v>
      </c>
      <c r="N122" s="99">
        <f>IF(ISNUMBER(G122),G122/Population!G15*10000,NA())</f>
        <v>32.669322709163346</v>
      </c>
      <c r="O122" s="100">
        <f>IF(ISNUMBER(H122),H122/Population!H15*10000,NA())</f>
        <v>24.497991967871485</v>
      </c>
      <c r="P122" s="101">
        <f t="shared" si="41"/>
        <v>24.497991967871485</v>
      </c>
      <c r="Q122" s="886">
        <f>IF(ISNA(VLOOKUP(B122,$AG$10:$AI$28,3,FALSE)),"--",IF(ISNUMBER(H122),VLOOKUP(B122,$AG$10:$AI$28,3,FALSE),NA()))</f>
        <v>15</v>
      </c>
      <c r="R122" s="69"/>
      <c r="S122" s="333">
        <f>IDACI!C14</f>
        <v>18</v>
      </c>
      <c r="T122" s="334">
        <f t="shared" si="43"/>
        <v>30.276781567143793</v>
      </c>
      <c r="U122" s="335">
        <f t="shared" si="44"/>
        <v>-5.778789599272308</v>
      </c>
      <c r="V122" s="124"/>
      <c r="W122" s="140"/>
      <c r="X122" s="1200"/>
      <c r="Y122" s="1289" t="str">
        <f t="shared" si="34"/>
        <v>Isle of Wight</v>
      </c>
      <c r="Z122" s="815">
        <f>IF(ISNUMBER(H122),IDACI!D14,0)</f>
        <v>22123</v>
      </c>
      <c r="AA122" s="815">
        <f>IF(ISNUMBER(H122),IDACI!E14,0)</f>
        <v>3982.14</v>
      </c>
      <c r="AB122" s="572">
        <f>IF(ISNUMBER(D122),Population!D15,"")</f>
        <v>25500</v>
      </c>
      <c r="AC122" s="572">
        <f>IF(ISNUMBER(E122),Population!E15,"")</f>
        <v>25300</v>
      </c>
      <c r="AD122" s="572">
        <f>IF(ISNUMBER(F122),Population!F15,"")</f>
        <v>25200</v>
      </c>
      <c r="AE122" s="572">
        <f>IF(ISNUMBER(G122),Population!G15,"")</f>
        <v>25100</v>
      </c>
      <c r="AF122" s="572">
        <f>IF(ISNUMBER(H122),Population!H15,"")</f>
        <v>24900</v>
      </c>
      <c r="AG122" s="95" t="s">
        <v>1</v>
      </c>
      <c r="AH122" s="225">
        <f t="shared" si="45"/>
        <v>24.497991967871485</v>
      </c>
      <c r="AI122" s="1187">
        <f t="shared" si="46"/>
        <v>12</v>
      </c>
      <c r="AJ122" s="199"/>
      <c r="AK122" s="1197"/>
      <c r="AL122" s="792">
        <f t="shared" si="47"/>
        <v>-7.5949367088607597E-2</v>
      </c>
      <c r="AM122" s="792">
        <f t="shared" si="48"/>
        <v>4.1095890410958902E-2</v>
      </c>
      <c r="AN122" s="792">
        <f t="shared" si="49"/>
        <v>7.8947368421052627E-2</v>
      </c>
      <c r="AO122" s="792">
        <f t="shared" si="50"/>
        <v>-0.25609756097560976</v>
      </c>
      <c r="AP122" s="792">
        <f t="shared" si="51"/>
        <v>-5.3000917308051454E-2</v>
      </c>
      <c r="AR122" s="888">
        <f t="shared" si="52"/>
        <v>28.853754940711465</v>
      </c>
      <c r="AS122" s="888">
        <f t="shared" si="35"/>
        <v>30.158730158730162</v>
      </c>
      <c r="AT122" s="888">
        <f t="shared" si="36"/>
        <v>32.669322709163346</v>
      </c>
      <c r="AU122" s="888">
        <f t="shared" si="37"/>
        <v>24.497991967871485</v>
      </c>
      <c r="AV122" s="888">
        <f t="shared" si="38"/>
        <v>116.17979977647646</v>
      </c>
      <c r="AW122" s="550">
        <f t="shared" si="39"/>
        <v>0</v>
      </c>
      <c r="AX122" s="888">
        <f t="shared" si="53"/>
        <v>116.17979977647646</v>
      </c>
    </row>
    <row r="123" spans="1:50" s="89" customFormat="1" ht="13.5" customHeight="1" x14ac:dyDescent="0.2">
      <c r="A123" s="462">
        <f>VLOOKUP(B123,Sheet1!$AQ$4:$AR$25,2,FALSE)</f>
        <v>0</v>
      </c>
      <c r="B123" s="95" t="str">
        <f>Sheet1!$K$10</f>
        <v>Kent</v>
      </c>
      <c r="C123" s="87"/>
      <c r="D123" s="96">
        <f>IF(Year1_Kent Year1_Adoption_ceased_LAC="","",Year1_Kent Year1_Adoption_ceased_LAC)</f>
        <v>877</v>
      </c>
      <c r="E123" s="96">
        <f>IF(Year2_Kent Year2_Adoption_ceased_LAC="","",Year2_Kent Year2_Adoption_ceased_LAC)</f>
        <v>1079</v>
      </c>
      <c r="F123" s="96">
        <f>IF(Year3_Kent Year3_Adoption_ceased_LAC="","",Year3_Kent Year3_Adoption_ceased_LAC)</f>
        <v>1316</v>
      </c>
      <c r="G123" s="96">
        <f>IF(Year4_Kent Year4_Adoption_ceased_LAC="","",Year4_Kent Year4_Adoption_ceased_LAC)</f>
        <v>1049</v>
      </c>
      <c r="H123" s="97">
        <f>IF(Year5_Kent Year5_Adoption_ceased_LAC="","",Year5_Kent Year5_Adoption_ceased_LAC)</f>
        <v>763</v>
      </c>
      <c r="I123" s="337">
        <f t="shared" si="40"/>
        <v>-6.3874133233294064E-3</v>
      </c>
      <c r="J123" s="98"/>
      <c r="K123" s="99">
        <f>IF(ISNUMBER(D123),D123/Population!D16*10000,NA())</f>
        <v>26.713371915930551</v>
      </c>
      <c r="L123" s="99">
        <f>IF(ISNUMBER(E123),E123/Population!E16*10000,NA())</f>
        <v>32.657384987893465</v>
      </c>
      <c r="M123" s="99">
        <f>IF(ISNUMBER(F123),F123/Population!F16*10000,NA())</f>
        <v>39.51951951951952</v>
      </c>
      <c r="N123" s="99">
        <f>IF(ISNUMBER(G123),G123/Population!G16*10000,NA())</f>
        <v>31.210949122285033</v>
      </c>
      <c r="O123" s="100">
        <f>IF(ISNUMBER(H123),H123/Population!H16*10000,NA())</f>
        <v>22.43457806527492</v>
      </c>
      <c r="P123" s="101">
        <f t="shared" si="41"/>
        <v>22.43457806527492</v>
      </c>
      <c r="Q123" s="886">
        <f t="shared" ref="Q123:Q140" si="54">IF(ISNA(VLOOKUP(B123,$AG$10:$AI$28,3,FALSE)),"--",IF(ISNUMBER(H123),VLOOKUP(B123,$AG$10:$AI$28,3,FALSE),NA()))</f>
        <v>7</v>
      </c>
      <c r="R123" s="69"/>
      <c r="S123" s="333">
        <f>IDACI!C15</f>
        <v>15.8</v>
      </c>
      <c r="T123" s="334">
        <f t="shared" si="43"/>
        <v>28.109063493667993</v>
      </c>
      <c r="U123" s="335">
        <f t="shared" si="44"/>
        <v>-5.6744854283930728</v>
      </c>
      <c r="V123" s="124"/>
      <c r="W123" s="140"/>
      <c r="X123" s="1200"/>
      <c r="Y123" s="1289" t="str">
        <f t="shared" si="34"/>
        <v>Kent</v>
      </c>
      <c r="Z123" s="815">
        <f>IF(ISNUMBER(H123),IDACI!D15,0)</f>
        <v>291866</v>
      </c>
      <c r="AA123" s="815">
        <f>IF(ISNUMBER(H123),IDACI!E15,0)</f>
        <v>46114.828000000001</v>
      </c>
      <c r="AB123" s="572">
        <f>IF(ISNUMBER(D123),Population!D16,"")</f>
        <v>328300</v>
      </c>
      <c r="AC123" s="572">
        <f>IF(ISNUMBER(E123),Population!E16,"")</f>
        <v>330400</v>
      </c>
      <c r="AD123" s="572">
        <f>IF(ISNUMBER(F123),Population!F16,"")</f>
        <v>333000</v>
      </c>
      <c r="AE123" s="572">
        <f>IF(ISNUMBER(G123),Population!G16,"")</f>
        <v>336100</v>
      </c>
      <c r="AF123" s="572">
        <f>IF(ISNUMBER(H123),Population!H16,"")</f>
        <v>340100</v>
      </c>
      <c r="AG123" s="95" t="s">
        <v>9</v>
      </c>
      <c r="AH123" s="225">
        <f t="shared" si="45"/>
        <v>22.43457806527492</v>
      </c>
      <c r="AI123" s="1187">
        <f t="shared" si="46"/>
        <v>10</v>
      </c>
      <c r="AJ123" s="199"/>
      <c r="AK123" s="1197"/>
      <c r="AL123" s="792">
        <f t="shared" si="47"/>
        <v>0.23033067274800456</v>
      </c>
      <c r="AM123" s="792">
        <f t="shared" si="48"/>
        <v>0.21964782205746061</v>
      </c>
      <c r="AN123" s="792">
        <f t="shared" si="49"/>
        <v>-0.20288753799392098</v>
      </c>
      <c r="AO123" s="792">
        <f t="shared" si="50"/>
        <v>-0.27264061010486179</v>
      </c>
      <c r="AP123" s="792">
        <f t="shared" si="51"/>
        <v>-6.3874133233294064E-3</v>
      </c>
      <c r="AR123" s="888">
        <f t="shared" si="52"/>
        <v>32.657384987893465</v>
      </c>
      <c r="AS123" s="888">
        <f t="shared" si="35"/>
        <v>39.51951951951952</v>
      </c>
      <c r="AT123" s="888">
        <f t="shared" si="36"/>
        <v>31.210949122285033</v>
      </c>
      <c r="AU123" s="888">
        <f t="shared" si="37"/>
        <v>22.43457806527492</v>
      </c>
      <c r="AV123" s="888">
        <f t="shared" si="38"/>
        <v>125.82243169497293</v>
      </c>
      <c r="AW123" s="550">
        <f t="shared" si="39"/>
        <v>0</v>
      </c>
      <c r="AX123" s="888">
        <f t="shared" si="53"/>
        <v>125.82243169497293</v>
      </c>
    </row>
    <row r="124" spans="1:50" s="89" customFormat="1" ht="13.5" customHeight="1" x14ac:dyDescent="0.2">
      <c r="A124" s="462">
        <f>VLOOKUP(B124,Sheet1!$AQ$4:$AR$25,2,FALSE)</f>
        <v>0</v>
      </c>
      <c r="B124" s="95" t="str">
        <f>Sheet1!$K$11</f>
        <v>Medway</v>
      </c>
      <c r="C124" s="87"/>
      <c r="D124" s="96">
        <f>IF(Year1_Medway Year1_Adoption_ceased_LAC="","",Year1_Medway Year1_Adoption_ceased_LAC)</f>
        <v>195</v>
      </c>
      <c r="E124" s="290">
        <f>IF(Year2_Medway Year2_Adoption_ceased_LAC="","",Year2_Medway Year2_Adoption_ceased_LAC)</f>
        <v>210</v>
      </c>
      <c r="F124" s="290">
        <f>IF(Year3_Medway Year3_Adoption_ceased_LAC="","",Year3_Medway Year3_Adoption_ceased_LAC)</f>
        <v>187</v>
      </c>
      <c r="G124" s="290">
        <f>IF(Year4_Medway Year4_Adoption_ceased_LAC="","",Year4_Medway Year4_Adoption_ceased_LAC)</f>
        <v>159</v>
      </c>
      <c r="H124" s="291">
        <f>IF(Year5_Medway Year5_Adoption_ceased_LAC="","",Year5_Medway Year5_Adoption_ceased_LAC)</f>
        <v>158</v>
      </c>
      <c r="I124" s="337">
        <f t="shared" si="40"/>
        <v>-4.7155665274422207E-2</v>
      </c>
      <c r="J124" s="98"/>
      <c r="K124" s="99">
        <f>IF(ISNUMBER(D124),D124/Population!D17*10000,NA())</f>
        <v>31.2</v>
      </c>
      <c r="L124" s="99">
        <f>IF(ISNUMBER(E124),E124/Population!E17*10000,NA())</f>
        <v>33.22784810126582</v>
      </c>
      <c r="M124" s="99">
        <f>IF(ISNUMBER(F124),F124/Population!F17*10000,NA())</f>
        <v>29.356357927786497</v>
      </c>
      <c r="N124" s="99">
        <f>IF(ISNUMBER(G124),G124/Population!G17*10000,NA())</f>
        <v>24.88262910798122</v>
      </c>
      <c r="O124" s="100">
        <f>IF(ISNUMBER(H124),H124/Population!H17*10000,NA())</f>
        <v>24.534161490683232</v>
      </c>
      <c r="P124" s="101">
        <f t="shared" si="41"/>
        <v>24.534161490683232</v>
      </c>
      <c r="Q124" s="886">
        <f t="shared" si="54"/>
        <v>13</v>
      </c>
      <c r="R124" s="69"/>
      <c r="S124" s="333">
        <f>IDACI!C16</f>
        <v>18.899999999999999</v>
      </c>
      <c r="T124" s="334">
        <f t="shared" si="43"/>
        <v>31.163575324474799</v>
      </c>
      <c r="U124" s="335">
        <f t="shared" si="44"/>
        <v>-6.6294138337915669</v>
      </c>
      <c r="V124" s="124"/>
      <c r="W124" s="140"/>
      <c r="X124" s="1200"/>
      <c r="Y124" s="1289" t="str">
        <f t="shared" si="34"/>
        <v>Medway</v>
      </c>
      <c r="Z124" s="815">
        <f>IF(ISNUMBER(H124),IDACI!D16,0)</f>
        <v>55993</v>
      </c>
      <c r="AA124" s="815">
        <f>IF(ISNUMBER(H124),IDACI!E16,0)</f>
        <v>10582.676999999998</v>
      </c>
      <c r="AB124" s="572">
        <f>IF(ISNUMBER(D124),Population!D17,"")</f>
        <v>62500</v>
      </c>
      <c r="AC124" s="572">
        <f>IF(ISNUMBER(E124),Population!E17,"")</f>
        <v>63200</v>
      </c>
      <c r="AD124" s="572">
        <f>IF(ISNUMBER(F124),Population!F17,"")</f>
        <v>63700</v>
      </c>
      <c r="AE124" s="572">
        <f>IF(ISNUMBER(G124),Population!G17,"")</f>
        <v>63900</v>
      </c>
      <c r="AF124" s="572">
        <f>IF(ISNUMBER(H124),Population!H17,"")</f>
        <v>64400</v>
      </c>
      <c r="AG124" s="95" t="s">
        <v>2</v>
      </c>
      <c r="AH124" s="225">
        <f t="shared" si="45"/>
        <v>24.534161490683232</v>
      </c>
      <c r="AI124" s="1187">
        <f t="shared" si="46"/>
        <v>13</v>
      </c>
      <c r="AJ124" s="199"/>
      <c r="AK124" s="1197"/>
      <c r="AL124" s="792">
        <f t="shared" si="47"/>
        <v>7.6923076923076927E-2</v>
      </c>
      <c r="AM124" s="792">
        <f t="shared" si="48"/>
        <v>-0.10952380952380952</v>
      </c>
      <c r="AN124" s="792">
        <f t="shared" si="49"/>
        <v>-0.1497326203208556</v>
      </c>
      <c r="AO124" s="792">
        <f t="shared" si="50"/>
        <v>-6.2893081761006293E-3</v>
      </c>
      <c r="AP124" s="792">
        <f t="shared" si="51"/>
        <v>-4.7155665274422207E-2</v>
      </c>
      <c r="AR124" s="888">
        <f t="shared" si="52"/>
        <v>33.22784810126582</v>
      </c>
      <c r="AS124" s="888">
        <f t="shared" si="35"/>
        <v>29.356357927786497</v>
      </c>
      <c r="AT124" s="888">
        <f t="shared" si="36"/>
        <v>24.88262910798122</v>
      </c>
      <c r="AU124" s="888">
        <f t="shared" si="37"/>
        <v>24.534161490683232</v>
      </c>
      <c r="AV124" s="888">
        <f t="shared" si="38"/>
        <v>112.00099662771677</v>
      </c>
      <c r="AW124" s="550">
        <f t="shared" si="39"/>
        <v>0</v>
      </c>
      <c r="AX124" s="888">
        <f t="shared" si="53"/>
        <v>112.00099662771677</v>
      </c>
    </row>
    <row r="125" spans="1:50" s="89" customFormat="1" ht="13.5" customHeight="1" x14ac:dyDescent="0.2">
      <c r="A125" s="462">
        <f>VLOOKUP(B125,Sheet1!$AQ$4:$AR$25,2,FALSE)</f>
        <v>0</v>
      </c>
      <c r="B125" s="95" t="str">
        <f>Sheet1!$K$12</f>
        <v>Milton Keynes</v>
      </c>
      <c r="C125" s="87"/>
      <c r="D125" s="96">
        <f>IF(Year1_Milton_Keynes Year1_Adoption_ceased_LAC="","",Year1_Milton_Keynes Year1_Adoption_ceased_LAC)</f>
        <v>137</v>
      </c>
      <c r="E125" s="96">
        <f>IF(Year2_Milton_Keynes Year2_Adoption_ceased_LAC="","",Year2_Milton_Keynes Year2_Adoption_ceased_LAC)</f>
        <v>186</v>
      </c>
      <c r="F125" s="96">
        <f>IF(Year3_Milton_Keynes Year3_Adoption_ceased_LAC="","",Year3_Milton_Keynes Year3_Adoption_ceased_LAC)</f>
        <v>152</v>
      </c>
      <c r="G125" s="96">
        <f>IF(Year4_Milton_Keynes Year4_Adoption_ceased_LAC="","",Year4_Milton_Keynes Year4_Adoption_ceased_LAC)</f>
        <v>145</v>
      </c>
      <c r="H125" s="97">
        <f>IF(Year5_Milton_Keynes Year5_Adoption_ceased_LAC="","",Year5_Milton_Keynes Year5_Adoption_ceased_LAC)</f>
        <v>173</v>
      </c>
      <c r="I125" s="337">
        <f t="shared" si="40"/>
        <v>8.0479837837206469E-2</v>
      </c>
      <c r="J125" s="98"/>
      <c r="K125" s="99">
        <f>IF(ISNUMBER(D125),D125/Population!D18*10000,NA())</f>
        <v>21.012269938650306</v>
      </c>
      <c r="L125" s="99">
        <f>IF(ISNUMBER(E125),E125/Population!E18*10000,NA())</f>
        <v>28.139183055975792</v>
      </c>
      <c r="M125" s="99">
        <f>IF(ISNUMBER(F125),F125/Population!F18*10000,NA())</f>
        <v>22.652757078986586</v>
      </c>
      <c r="N125" s="99">
        <f>IF(ISNUMBER(G125),G125/Population!G18*10000,NA())</f>
        <v>21.449704142011832</v>
      </c>
      <c r="O125" s="100">
        <f>IF(ISNUMBER(H125),H125/Population!H18*10000,NA())</f>
        <v>25.329428989751101</v>
      </c>
      <c r="P125" s="101">
        <f t="shared" si="41"/>
        <v>25.329428989751101</v>
      </c>
      <c r="Q125" s="886">
        <f t="shared" si="54"/>
        <v>10</v>
      </c>
      <c r="R125" s="69"/>
      <c r="S125" s="333">
        <f>IDACI!C17</f>
        <v>15</v>
      </c>
      <c r="T125" s="334">
        <f t="shared" si="43"/>
        <v>27.320802376040429</v>
      </c>
      <c r="U125" s="335">
        <f t="shared" si="44"/>
        <v>-1.9913733862893288</v>
      </c>
      <c r="V125" s="124"/>
      <c r="W125" s="140"/>
      <c r="X125" s="1200"/>
      <c r="Y125" s="1289" t="str">
        <f t="shared" si="34"/>
        <v>Milton Keynes</v>
      </c>
      <c r="Z125" s="815">
        <f>IF(ISNUMBER(H125),IDACI!D17,0)</f>
        <v>59903</v>
      </c>
      <c r="AA125" s="815">
        <f>IF(ISNUMBER(H125),IDACI!E17,0)</f>
        <v>8985.4499999999989</v>
      </c>
      <c r="AB125" s="572">
        <f>IF(ISNUMBER(D125),Population!D18,"")</f>
        <v>65200</v>
      </c>
      <c r="AC125" s="572">
        <f>IF(ISNUMBER(E125),Population!E18,"")</f>
        <v>66100</v>
      </c>
      <c r="AD125" s="572">
        <f>IF(ISNUMBER(F125),Population!F18,"")</f>
        <v>67100</v>
      </c>
      <c r="AE125" s="572">
        <f>IF(ISNUMBER(G125),Population!G18,"")</f>
        <v>67600</v>
      </c>
      <c r="AF125" s="572">
        <f>IF(ISNUMBER(H125),Population!H18,"")</f>
        <v>68300</v>
      </c>
      <c r="AG125" s="95" t="s">
        <v>10</v>
      </c>
      <c r="AH125" s="225">
        <f t="shared" si="45"/>
        <v>25.329428989751101</v>
      </c>
      <c r="AI125" s="1187">
        <f t="shared" si="46"/>
        <v>14</v>
      </c>
      <c r="AJ125" s="199"/>
      <c r="AK125" s="1197"/>
      <c r="AL125" s="792">
        <f t="shared" si="47"/>
        <v>0.35766423357664234</v>
      </c>
      <c r="AM125" s="792">
        <f t="shared" si="48"/>
        <v>-0.18279569892473119</v>
      </c>
      <c r="AN125" s="792">
        <f t="shared" si="49"/>
        <v>-4.6052631578947366E-2</v>
      </c>
      <c r="AO125" s="792">
        <f t="shared" si="50"/>
        <v>0.19310344827586207</v>
      </c>
      <c r="AP125" s="792">
        <f t="shared" si="51"/>
        <v>8.0479837837206469E-2</v>
      </c>
      <c r="AR125" s="888">
        <f t="shared" si="52"/>
        <v>28.139183055975792</v>
      </c>
      <c r="AS125" s="888">
        <f t="shared" si="35"/>
        <v>22.652757078986586</v>
      </c>
      <c r="AT125" s="888">
        <f t="shared" si="36"/>
        <v>21.449704142011832</v>
      </c>
      <c r="AU125" s="888">
        <f t="shared" si="37"/>
        <v>25.329428989751101</v>
      </c>
      <c r="AV125" s="888">
        <f t="shared" si="38"/>
        <v>97.571073266725307</v>
      </c>
      <c r="AW125" s="550">
        <f t="shared" si="39"/>
        <v>0</v>
      </c>
      <c r="AX125" s="888">
        <f t="shared" si="53"/>
        <v>97.571073266725307</v>
      </c>
    </row>
    <row r="126" spans="1:50" s="89" customFormat="1" ht="13.5" customHeight="1" x14ac:dyDescent="0.2">
      <c r="A126" s="462">
        <f>VLOOKUP(B126,Sheet1!$AQ$4:$AR$25,2,FALSE)</f>
        <v>0</v>
      </c>
      <c r="B126" s="95" t="str">
        <f>Sheet1!$K$13</f>
        <v>Oxfordshire</v>
      </c>
      <c r="C126" s="87"/>
      <c r="D126" s="96">
        <f>IF(Year1_Oxfordshire Year1_Adoption_ceased_LAC="","",Year1_Oxfordshire Year1_Adoption_ceased_LAC)</f>
        <v>249</v>
      </c>
      <c r="E126" s="96">
        <f>IF(Year2_Oxfordshire Year2_Adoption_ceased_LAC="","",Year2_Oxfordshire Year2_Adoption_ceased_LAC)</f>
        <v>280</v>
      </c>
      <c r="F126" s="96">
        <f>IF(Year3_Oxfordshire Year3_Adoption_ceased_LAC="","",Year3_Oxfordshire Year3_Adoption_ceased_LAC)</f>
        <v>286</v>
      </c>
      <c r="G126" s="96">
        <f>IF(Year4_Oxfordshire Year4_Adoption_ceased_LAC="","",Year4_Oxfordshire Year4_Adoption_ceased_LAC)</f>
        <v>298</v>
      </c>
      <c r="H126" s="97">
        <f>IF(Year5_Oxfordshire Year5_Adoption_ceased_LAC="","",Year5_Oxfordshire Year5_Adoption_ceased_LAC)</f>
        <v>273</v>
      </c>
      <c r="I126" s="337">
        <f t="shared" si="40"/>
        <v>2.5997996976205109E-2</v>
      </c>
      <c r="J126" s="98"/>
      <c r="K126" s="99">
        <f>IF(ISNUMBER(D126),D126/Population!D19*10000,NA())</f>
        <v>17.634560906515581</v>
      </c>
      <c r="L126" s="99">
        <f>IF(ISNUMBER(E126),E126/Population!E19*10000,NA())</f>
        <v>19.746121297602258</v>
      </c>
      <c r="M126" s="99">
        <f>IF(ISNUMBER(F126),F126/Population!F19*10000,NA())</f>
        <v>20.013995801259622</v>
      </c>
      <c r="N126" s="99">
        <f>IF(ISNUMBER(G126),G126/Population!G19*10000,NA())</f>
        <v>20.781032078103205</v>
      </c>
      <c r="O126" s="100">
        <f>IF(ISNUMBER(H126),H126/Population!H19*10000,NA())</f>
        <v>18.853591160220994</v>
      </c>
      <c r="P126" s="101">
        <f t="shared" si="41"/>
        <v>18.853591160220994</v>
      </c>
      <c r="Q126" s="886">
        <f t="shared" si="54"/>
        <v>12</v>
      </c>
      <c r="R126" s="69"/>
      <c r="S126" s="333">
        <f>IDACI!C18</f>
        <v>10.100000000000001</v>
      </c>
      <c r="T126" s="334">
        <f t="shared" si="43"/>
        <v>22.492703030571604</v>
      </c>
      <c r="U126" s="335">
        <f t="shared" si="44"/>
        <v>-3.6391118703506109</v>
      </c>
      <c r="V126" s="124"/>
      <c r="W126" s="140"/>
      <c r="X126" s="1200"/>
      <c r="Y126" s="1289" t="str">
        <f t="shared" si="34"/>
        <v>Oxfordshire</v>
      </c>
      <c r="Z126" s="815">
        <f>IF(ISNUMBER(H126),IDACI!D18,0)</f>
        <v>126119</v>
      </c>
      <c r="AA126" s="815">
        <f>IF(ISNUMBER(H126),IDACI!E18,0)</f>
        <v>12738.019000000002</v>
      </c>
      <c r="AB126" s="572">
        <f>IF(ISNUMBER(D126),Population!D19,"")</f>
        <v>141200</v>
      </c>
      <c r="AC126" s="572">
        <f>IF(ISNUMBER(E126),Population!E19,"")</f>
        <v>141800</v>
      </c>
      <c r="AD126" s="572">
        <f>IF(ISNUMBER(F126),Population!F19,"")</f>
        <v>142900</v>
      </c>
      <c r="AE126" s="572">
        <f>IF(ISNUMBER(G126),Population!G19,"")</f>
        <v>143400</v>
      </c>
      <c r="AF126" s="572">
        <f>IF(ISNUMBER(H126),Population!H19,"")</f>
        <v>144800</v>
      </c>
      <c r="AG126" s="95" t="s">
        <v>11</v>
      </c>
      <c r="AH126" s="225">
        <f t="shared" si="45"/>
        <v>18.853591160220994</v>
      </c>
      <c r="AI126" s="1187">
        <f t="shared" si="46"/>
        <v>7</v>
      </c>
      <c r="AJ126" s="199"/>
      <c r="AK126" s="1197"/>
      <c r="AL126" s="792">
        <f t="shared" si="47"/>
        <v>0.12449799196787148</v>
      </c>
      <c r="AM126" s="792">
        <f t="shared" si="48"/>
        <v>2.1428571428571429E-2</v>
      </c>
      <c r="AN126" s="792">
        <f t="shared" si="49"/>
        <v>4.195804195804196E-2</v>
      </c>
      <c r="AO126" s="792">
        <f t="shared" si="50"/>
        <v>-8.3892617449664433E-2</v>
      </c>
      <c r="AP126" s="792">
        <f t="shared" si="51"/>
        <v>2.5997996976205109E-2</v>
      </c>
      <c r="AR126" s="888">
        <f t="shared" si="52"/>
        <v>19.746121297602258</v>
      </c>
      <c r="AS126" s="888">
        <f t="shared" si="35"/>
        <v>20.013995801259622</v>
      </c>
      <c r="AT126" s="888">
        <f t="shared" si="36"/>
        <v>20.781032078103205</v>
      </c>
      <c r="AU126" s="888">
        <f t="shared" si="37"/>
        <v>18.853591160220994</v>
      </c>
      <c r="AV126" s="888">
        <f t="shared" si="38"/>
        <v>79.394740337186079</v>
      </c>
      <c r="AW126" s="550">
        <f t="shared" si="39"/>
        <v>0</v>
      </c>
      <c r="AX126" s="888">
        <f t="shared" si="53"/>
        <v>79.394740337186079</v>
      </c>
    </row>
    <row r="127" spans="1:50" s="89" customFormat="1" ht="13.5" customHeight="1" x14ac:dyDescent="0.2">
      <c r="A127" s="462">
        <f>VLOOKUP(B127,Sheet1!$AQ$4:$AR$25,2,FALSE)</f>
        <v>0</v>
      </c>
      <c r="B127" s="95" t="str">
        <f>Sheet1!$K$14</f>
        <v>Portsmouth</v>
      </c>
      <c r="C127" s="87"/>
      <c r="D127" s="96">
        <f>IF(Year1_Portsmouth Year1_Adoption_ceased_LAC="","",Year1_Portsmouth Year1_Adoption_ceased_LAC)</f>
        <v>164</v>
      </c>
      <c r="E127" s="96">
        <f>IF(Year2_Portsmouth Year2_Adoption_ceased_LAC="","",Year2_Portsmouth Year2_Adoption_ceased_LAC)</f>
        <v>126</v>
      </c>
      <c r="F127" s="96">
        <f>IF(Year3_Portsmouth Year3_Adoption_ceased_LAC="","",Year3_Portsmouth Year3_Adoption_ceased_LAC)</f>
        <v>123</v>
      </c>
      <c r="G127" s="96">
        <f>IF(Year4_Portsmouth Year4_Adoption_ceased_LAC="","",Year4_Portsmouth Year4_Adoption_ceased_LAC)</f>
        <v>186</v>
      </c>
      <c r="H127" s="97">
        <f>IF(Year5_Portsmouth Year5_Adoption_ceased_LAC="","",Year5_Portsmouth Year5_Adoption_ceased_LAC)</f>
        <v>161</v>
      </c>
      <c r="I127" s="337">
        <f t="shared" si="40"/>
        <v>3.0567419729496836E-2</v>
      </c>
      <c r="J127" s="98"/>
      <c r="K127" s="99">
        <f>IF(ISNUMBER(D127),D127/Population!D20*10000,NA())</f>
        <v>37.788018433179722</v>
      </c>
      <c r="L127" s="99">
        <f>IF(ISNUMBER(E127),E127/Population!E20*10000,NA())</f>
        <v>28.767123287671232</v>
      </c>
      <c r="M127" s="99">
        <f>IF(ISNUMBER(F127),F127/Population!F20*10000,NA())</f>
        <v>27.954545454545453</v>
      </c>
      <c r="N127" s="99">
        <f>IF(ISNUMBER(G127),G127/Population!G20*10000,NA())</f>
        <v>42.081447963800905</v>
      </c>
      <c r="O127" s="100">
        <f>IF(ISNUMBER(H127),H127/Population!H20*10000,NA())</f>
        <v>36.590909090909093</v>
      </c>
      <c r="P127" s="101">
        <f t="shared" si="41"/>
        <v>36.590909090909093</v>
      </c>
      <c r="Q127" s="886">
        <f t="shared" si="54"/>
        <v>19</v>
      </c>
      <c r="R127" s="69"/>
      <c r="S127" s="333">
        <f>IDACI!C19</f>
        <v>20.200000000000003</v>
      </c>
      <c r="T127" s="334">
        <f t="shared" si="43"/>
        <v>32.444499640619597</v>
      </c>
      <c r="U127" s="335">
        <f t="shared" si="44"/>
        <v>4.1464094502894966</v>
      </c>
      <c r="V127" s="124"/>
      <c r="W127" s="140"/>
      <c r="X127" s="1200"/>
      <c r="Y127" s="1289" t="str">
        <f t="shared" si="34"/>
        <v>Portsmouth</v>
      </c>
      <c r="Z127" s="815">
        <f>IF(ISNUMBER(H127),IDACI!D19,0)</f>
        <v>39325</v>
      </c>
      <c r="AA127" s="815">
        <f>IF(ISNUMBER(H127),IDACI!E19,0)</f>
        <v>7943.6500000000015</v>
      </c>
      <c r="AB127" s="572">
        <f>IF(ISNUMBER(D127),Population!D20,"")</f>
        <v>43400</v>
      </c>
      <c r="AC127" s="572">
        <f>IF(ISNUMBER(E127),Population!E20,"")</f>
        <v>43800</v>
      </c>
      <c r="AD127" s="572">
        <f>IF(ISNUMBER(F127),Population!F20,"")</f>
        <v>44000</v>
      </c>
      <c r="AE127" s="572">
        <f>IF(ISNUMBER(G127),Population!G20,"")</f>
        <v>44200</v>
      </c>
      <c r="AF127" s="572">
        <f>IF(ISNUMBER(H127),Population!H20,"")</f>
        <v>44000</v>
      </c>
      <c r="AG127" s="95" t="s">
        <v>12</v>
      </c>
      <c r="AH127" s="225">
        <f t="shared" si="45"/>
        <v>36.590909090909093</v>
      </c>
      <c r="AI127" s="1187">
        <f t="shared" si="46"/>
        <v>17</v>
      </c>
      <c r="AJ127" s="199"/>
      <c r="AK127" s="1197"/>
      <c r="AL127" s="792">
        <f t="shared" si="47"/>
        <v>-0.23170731707317074</v>
      </c>
      <c r="AM127" s="792">
        <f t="shared" si="48"/>
        <v>-2.3809523809523808E-2</v>
      </c>
      <c r="AN127" s="792">
        <f t="shared" si="49"/>
        <v>0.51219512195121952</v>
      </c>
      <c r="AO127" s="792">
        <f t="shared" si="50"/>
        <v>-0.13440860215053763</v>
      </c>
      <c r="AP127" s="792">
        <f t="shared" si="51"/>
        <v>3.0567419729496836E-2</v>
      </c>
      <c r="AR127" s="888">
        <f t="shared" si="52"/>
        <v>28.767123287671232</v>
      </c>
      <c r="AS127" s="888">
        <f t="shared" si="35"/>
        <v>27.954545454545453</v>
      </c>
      <c r="AT127" s="888">
        <f t="shared" si="36"/>
        <v>42.081447963800905</v>
      </c>
      <c r="AU127" s="888">
        <f t="shared" si="37"/>
        <v>36.590909090909093</v>
      </c>
      <c r="AV127" s="888">
        <f t="shared" si="38"/>
        <v>135.39402579692668</v>
      </c>
      <c r="AW127" s="550">
        <f t="shared" si="39"/>
        <v>0</v>
      </c>
      <c r="AX127" s="888">
        <f t="shared" si="53"/>
        <v>135.39402579692668</v>
      </c>
    </row>
    <row r="128" spans="1:50" s="89" customFormat="1" ht="13.5" customHeight="1" x14ac:dyDescent="0.2">
      <c r="A128" s="462">
        <f>VLOOKUP(B128,Sheet1!$AQ$4:$AR$25,2,FALSE)</f>
        <v>0</v>
      </c>
      <c r="B128" s="95" t="str">
        <f>Sheet1!$K$15</f>
        <v>Reading</v>
      </c>
      <c r="C128" s="87"/>
      <c r="D128" s="96">
        <f>IF(Year1_Reading Year1_Adoption_ceased_LAC="","",Year1_Reading Year1_Adoption_ceased_LAC)</f>
        <v>84</v>
      </c>
      <c r="E128" s="96">
        <f>IF(Year2_Reading Year2_Adoption_ceased_LAC="","",Year2_Reading Year2_Adoption_ceased_LAC)</f>
        <v>123</v>
      </c>
      <c r="F128" s="96">
        <f>IF(Year3_Reading Year3_Adoption_ceased_LAC="","",Year3_Reading Year3_Adoption_ceased_LAC)</f>
        <v>100</v>
      </c>
      <c r="G128" s="96">
        <f>IF(Year4_Reading Year4_Adoption_ceased_LAC="","",Year4_Reading Year4_Adoption_ceased_LAC)</f>
        <v>92</v>
      </c>
      <c r="H128" s="97">
        <f>IF(Year5_Reading Year5_Adoption_ceased_LAC="","",Year5_Reading Year5_Adoption_ceased_LAC)</f>
        <v>95</v>
      </c>
      <c r="I128" s="337">
        <f t="shared" si="40"/>
        <v>5.747563500479725E-2</v>
      </c>
      <c r="J128" s="98"/>
      <c r="K128" s="99">
        <f>IF(ISNUMBER(D128),D128/Population!D21*10000,NA())</f>
        <v>23.398328690807801</v>
      </c>
      <c r="L128" s="99">
        <f>IF(ISNUMBER(E128),E128/Population!E21*10000,NA())</f>
        <v>33.791208791208788</v>
      </c>
      <c r="M128" s="99">
        <f>IF(ISNUMBER(F128),F128/Population!F21*10000,NA())</f>
        <v>27.3224043715847</v>
      </c>
      <c r="N128" s="99">
        <f>IF(ISNUMBER(G128),G128/Population!G21*10000,NA())</f>
        <v>24.797843665768195</v>
      </c>
      <c r="O128" s="100">
        <f>IF(ISNUMBER(H128),H128/Population!H21*10000,NA())</f>
        <v>25.60646900269542</v>
      </c>
      <c r="P128" s="101">
        <f t="shared" si="41"/>
        <v>25.60646900269542</v>
      </c>
      <c r="Q128" s="886">
        <f t="shared" si="54"/>
        <v>11</v>
      </c>
      <c r="R128" s="69"/>
      <c r="S128" s="333">
        <f>IDACI!C20</f>
        <v>16</v>
      </c>
      <c r="T128" s="334">
        <f t="shared" si="43"/>
        <v>28.306128773074882</v>
      </c>
      <c r="U128" s="335">
        <f t="shared" si="44"/>
        <v>-2.699659770379462</v>
      </c>
      <c r="V128" s="124"/>
      <c r="W128" s="140"/>
      <c r="X128" s="1200"/>
      <c r="Y128" s="1289" t="str">
        <f t="shared" si="34"/>
        <v>Reading</v>
      </c>
      <c r="Z128" s="815">
        <f>IF(ISNUMBER(H128),IDACI!D20,0)</f>
        <v>33203</v>
      </c>
      <c r="AA128" s="815">
        <f>IF(ISNUMBER(H128),IDACI!E20,0)</f>
        <v>5312.4800000000005</v>
      </c>
      <c r="AB128" s="572">
        <f>IF(ISNUMBER(D128),Population!D21,"")</f>
        <v>35900</v>
      </c>
      <c r="AC128" s="572">
        <f>IF(ISNUMBER(E128),Population!E21,"")</f>
        <v>36400</v>
      </c>
      <c r="AD128" s="572">
        <f>IF(ISNUMBER(F128),Population!F21,"")</f>
        <v>36600</v>
      </c>
      <c r="AE128" s="572">
        <f>IF(ISNUMBER(G128),Population!G21,"")</f>
        <v>37100</v>
      </c>
      <c r="AF128" s="572">
        <f>IF(ISNUMBER(H128),Population!H21,"")</f>
        <v>37100</v>
      </c>
      <c r="AG128" s="95" t="s">
        <v>3</v>
      </c>
      <c r="AH128" s="225">
        <f t="shared" si="45"/>
        <v>25.60646900269542</v>
      </c>
      <c r="AI128" s="1187">
        <f t="shared" si="46"/>
        <v>15</v>
      </c>
      <c r="AJ128" s="199"/>
      <c r="AK128" s="1197"/>
      <c r="AL128" s="792">
        <f t="shared" si="47"/>
        <v>0.4642857142857143</v>
      </c>
      <c r="AM128" s="792">
        <f t="shared" si="48"/>
        <v>-0.18699186991869918</v>
      </c>
      <c r="AN128" s="792">
        <f t="shared" si="49"/>
        <v>-0.08</v>
      </c>
      <c r="AO128" s="792">
        <f t="shared" si="50"/>
        <v>3.2608695652173912E-2</v>
      </c>
      <c r="AP128" s="792">
        <f t="shared" si="51"/>
        <v>5.747563500479725E-2</v>
      </c>
      <c r="AR128" s="888">
        <f t="shared" si="52"/>
        <v>33.791208791208788</v>
      </c>
      <c r="AS128" s="888">
        <f t="shared" si="35"/>
        <v>27.3224043715847</v>
      </c>
      <c r="AT128" s="888">
        <f t="shared" si="36"/>
        <v>24.797843665768195</v>
      </c>
      <c r="AU128" s="888">
        <f t="shared" si="37"/>
        <v>25.60646900269542</v>
      </c>
      <c r="AV128" s="888">
        <f t="shared" si="38"/>
        <v>111.5179258312571</v>
      </c>
      <c r="AW128" s="550">
        <f t="shared" si="39"/>
        <v>0</v>
      </c>
      <c r="AX128" s="888">
        <f t="shared" si="53"/>
        <v>111.5179258312571</v>
      </c>
    </row>
    <row r="129" spans="1:59" s="89" customFormat="1" ht="13.5" customHeight="1" x14ac:dyDescent="0.2">
      <c r="A129" s="462">
        <f>VLOOKUP(B129,Sheet1!$AQ$4:$AR$25,2,FALSE)</f>
        <v>0</v>
      </c>
      <c r="B129" s="95" t="str">
        <f>Sheet1!$K$16</f>
        <v>Slough</v>
      </c>
      <c r="C129" s="87"/>
      <c r="D129" s="96">
        <f>IF(Year1_Slough Year1_Adoption_ceased_LAC="","",Year1_Slough Year1_Adoption_ceased_LAC)</f>
        <v>113</v>
      </c>
      <c r="E129" s="96">
        <f>IF(Year2_Slough Year2_Adoption_ceased_LAC="","",Year2_Slough Year2_Adoption_ceased_LAC)</f>
        <v>154</v>
      </c>
      <c r="F129" s="96">
        <f>IF(Year3_Slough Year3_Adoption_ceased_LAC="","",Year3_Slough Year3_Adoption_ceased_LAC)</f>
        <v>112</v>
      </c>
      <c r="G129" s="96">
        <f>IF(Year4_Slough Year4_Adoption_ceased_LAC="","",Year4_Slough Year4_Adoption_ceased_LAC)</f>
        <v>112</v>
      </c>
      <c r="H129" s="97">
        <f>IF(Year5_Slough Year5_Adoption_ceased_LAC="","",Year5_Slough Year5_Adoption_ceased_LAC)</f>
        <v>127</v>
      </c>
      <c r="I129" s="337">
        <f t="shared" si="40"/>
        <v>5.6008289277094593E-2</v>
      </c>
      <c r="J129" s="98"/>
      <c r="K129" s="99">
        <f>IF(ISNUMBER(D129),D129/Population!D22*10000,NA())</f>
        <v>28.320802005012531</v>
      </c>
      <c r="L129" s="99">
        <f>IF(ISNUMBER(E129),E129/Population!E22*10000,NA())</f>
        <v>37.931034482758619</v>
      </c>
      <c r="M129" s="99">
        <f>IF(ISNUMBER(F129),F129/Population!F22*10000,NA())</f>
        <v>27.05314009661836</v>
      </c>
      <c r="N129" s="99">
        <f>IF(ISNUMBER(G129),G129/Population!G22*10000,NA())</f>
        <v>26.54028436018957</v>
      </c>
      <c r="O129" s="100">
        <f>IF(ISNUMBER(H129),H129/Population!H22*10000,NA())</f>
        <v>29.742388758782205</v>
      </c>
      <c r="P129" s="101">
        <f t="shared" si="41"/>
        <v>29.742388758782205</v>
      </c>
      <c r="Q129" s="886">
        <f t="shared" si="54"/>
        <v>17</v>
      </c>
      <c r="R129" s="69"/>
      <c r="S129" s="333">
        <f>IDACI!C21</f>
        <v>14.7</v>
      </c>
      <c r="T129" s="334">
        <f t="shared" si="43"/>
        <v>27.025204456930091</v>
      </c>
      <c r="U129" s="335">
        <f t="shared" si="44"/>
        <v>2.7171843018521145</v>
      </c>
      <c r="V129" s="124"/>
      <c r="W129" s="140"/>
      <c r="X129" s="1200"/>
      <c r="Y129" s="1289" t="str">
        <f t="shared" si="34"/>
        <v>Slough</v>
      </c>
      <c r="Z129" s="815">
        <f>IF(ISNUMBER(H129),IDACI!D21,0)</f>
        <v>37031</v>
      </c>
      <c r="AA129" s="815">
        <f>IF(ISNUMBER(H129),IDACI!E21,0)</f>
        <v>5443.5569999999998</v>
      </c>
      <c r="AB129" s="572">
        <f>IF(ISNUMBER(D129),Population!D22,"")</f>
        <v>39900</v>
      </c>
      <c r="AC129" s="572">
        <f>IF(ISNUMBER(E129),Population!E22,"")</f>
        <v>40600</v>
      </c>
      <c r="AD129" s="572">
        <f>IF(ISNUMBER(F129),Population!F22,"")</f>
        <v>41400</v>
      </c>
      <c r="AE129" s="572">
        <f>IF(ISNUMBER(G129),Population!G22,"")</f>
        <v>42200</v>
      </c>
      <c r="AF129" s="572">
        <f>IF(ISNUMBER(H129),Population!H22,"")</f>
        <v>42700</v>
      </c>
      <c r="AG129" s="95" t="s">
        <v>13</v>
      </c>
      <c r="AH129" s="225">
        <f t="shared" si="45"/>
        <v>29.742388758782205</v>
      </c>
      <c r="AI129" s="1187">
        <f t="shared" si="46"/>
        <v>16</v>
      </c>
      <c r="AJ129" s="199"/>
      <c r="AK129" s="1197"/>
      <c r="AL129" s="792">
        <f t="shared" si="47"/>
        <v>0.36283185840707965</v>
      </c>
      <c r="AM129" s="792">
        <f t="shared" si="48"/>
        <v>-0.27272727272727271</v>
      </c>
      <c r="AN129" s="792">
        <f t="shared" si="49"/>
        <v>0</v>
      </c>
      <c r="AO129" s="792">
        <f t="shared" si="50"/>
        <v>0.13392857142857142</v>
      </c>
      <c r="AP129" s="792">
        <f t="shared" si="51"/>
        <v>5.6008289277094593E-2</v>
      </c>
      <c r="AR129" s="888">
        <f t="shared" si="52"/>
        <v>37.931034482758619</v>
      </c>
      <c r="AS129" s="888">
        <f t="shared" si="35"/>
        <v>27.05314009661836</v>
      </c>
      <c r="AT129" s="888">
        <f t="shared" si="36"/>
        <v>26.54028436018957</v>
      </c>
      <c r="AU129" s="888">
        <f t="shared" si="37"/>
        <v>29.742388758782205</v>
      </c>
      <c r="AV129" s="888">
        <f t="shared" si="38"/>
        <v>121.26684769834876</v>
      </c>
      <c r="AW129" s="550">
        <f t="shared" si="39"/>
        <v>0</v>
      </c>
      <c r="AX129" s="888">
        <f t="shared" si="53"/>
        <v>121.26684769834876</v>
      </c>
    </row>
    <row r="130" spans="1:59" s="89" customFormat="1" ht="13.5" customHeight="1" x14ac:dyDescent="0.2">
      <c r="A130" s="462">
        <f>VLOOKUP(B130,Sheet1!$AQ$4:$AR$25,2,FALSE)</f>
        <v>0</v>
      </c>
      <c r="B130" s="95" t="str">
        <f>Sheet1!$K$17</f>
        <v>Somerset</v>
      </c>
      <c r="C130" s="87"/>
      <c r="D130" s="96">
        <f>IF(Year1_Somerset Year1_Adoption_ceased_LAC="","",Year1_Somerset Year1_Adoption_ceased_LAC)</f>
        <v>299</v>
      </c>
      <c r="E130" s="96">
        <f>IF(Year2_Somerset Year2_Adoption_ceased_LAC="","",Year2_Somerset Year2_Adoption_ceased_LAC)</f>
        <v>229</v>
      </c>
      <c r="F130" s="96">
        <f>IF(Year3_Somerset Year3_Adoption_ceased_LAC="","",Year3_Somerset Year3_Adoption_ceased_LAC)</f>
        <v>261</v>
      </c>
      <c r="G130" s="96">
        <f>IF(Year4_Somerset Year4_Adoption_ceased_LAC="","",Year4_Somerset Year4_Adoption_ceased_LAC)</f>
        <v>223</v>
      </c>
      <c r="H130" s="97">
        <f>IF(Year5_Somerset Year5_Adoption_ceased_LAC="","",Year5_Somerset Year5_Adoption_ceased_LAC)</f>
        <v>184</v>
      </c>
      <c r="I130" s="337">
        <f t="shared" si="40"/>
        <v>-0.1037143708041722</v>
      </c>
      <c r="J130" s="98"/>
      <c r="K130" s="99">
        <f>IF(ISNUMBER(D130),D130/Population!D23*10000,NA())</f>
        <v>27.456382001836548</v>
      </c>
      <c r="L130" s="99">
        <f>IF(ISNUMBER(E130),E130/Population!E23*10000,NA())</f>
        <v>20.970695970695971</v>
      </c>
      <c r="M130" s="99">
        <f>IF(ISNUMBER(F130),F130/Population!F23*10000,NA())</f>
        <v>23.792160437556973</v>
      </c>
      <c r="N130" s="99">
        <f>IF(ISNUMBER(G130),G130/Population!G23*10000,NA())</f>
        <v>20.254314259763852</v>
      </c>
      <c r="O130" s="100">
        <f>IF(ISNUMBER(H130),H130/Population!H23*10000,NA())</f>
        <v>16.621499548328817</v>
      </c>
      <c r="P130" s="101">
        <f t="shared" si="41"/>
        <v>16.621499548328817</v>
      </c>
      <c r="Q130" s="363" t="str">
        <f t="shared" si="54"/>
        <v>--</v>
      </c>
      <c r="R130" s="69"/>
      <c r="S130" s="333">
        <f>IDACI!C22</f>
        <v>13.600000000000001</v>
      </c>
      <c r="T130" s="334">
        <f t="shared" si="43"/>
        <v>25.941345420192192</v>
      </c>
      <c r="U130" s="335">
        <f t="shared" si="44"/>
        <v>-9.3198458718633752</v>
      </c>
      <c r="V130" s="124"/>
      <c r="W130" s="140"/>
      <c r="X130" s="1200"/>
      <c r="Y130" s="1289" t="str">
        <f t="shared" si="34"/>
        <v>Somerset</v>
      </c>
      <c r="Z130" s="815">
        <f>IF(ISNUMBER(H130),IDACI!D22,0)</f>
        <v>95875</v>
      </c>
      <c r="AA130" s="815">
        <f>IF(ISNUMBER(H130),IDACI!E22,0)</f>
        <v>13039.000000000002</v>
      </c>
      <c r="AB130" s="572">
        <f>IF(ISNUMBER(D130),Population!D23,"")</f>
        <v>108900</v>
      </c>
      <c r="AC130" s="572">
        <f>IF(ISNUMBER(E130),Population!E23,"")</f>
        <v>109200</v>
      </c>
      <c r="AD130" s="572">
        <f>IF(ISNUMBER(F130),Population!F23,"")</f>
        <v>109700</v>
      </c>
      <c r="AE130" s="572">
        <f>IF(ISNUMBER(G130),Population!G23,"")</f>
        <v>110100</v>
      </c>
      <c r="AF130" s="572">
        <f>IF(ISNUMBER(H130),Population!H23,"")</f>
        <v>110700</v>
      </c>
      <c r="AG130" s="95" t="s">
        <v>14</v>
      </c>
      <c r="AH130" s="225">
        <f t="shared" si="45"/>
        <v>42.125984251968504</v>
      </c>
      <c r="AI130" s="1187">
        <f t="shared" si="46"/>
        <v>19</v>
      </c>
      <c r="AJ130" s="199"/>
      <c r="AK130" s="1197"/>
      <c r="AL130" s="792">
        <f t="shared" si="47"/>
        <v>-0.23411371237458195</v>
      </c>
      <c r="AM130" s="792">
        <f t="shared" si="48"/>
        <v>0.13973799126637554</v>
      </c>
      <c r="AN130" s="792">
        <f t="shared" si="49"/>
        <v>-0.14559386973180077</v>
      </c>
      <c r="AO130" s="792">
        <f t="shared" si="50"/>
        <v>-0.17488789237668162</v>
      </c>
      <c r="AP130" s="792">
        <f t="shared" si="51"/>
        <v>-0.1037143708041722</v>
      </c>
      <c r="AR130" s="888">
        <f t="shared" si="52"/>
        <v>20.970695970695971</v>
      </c>
      <c r="AS130" s="888">
        <f t="shared" si="35"/>
        <v>23.792160437556973</v>
      </c>
      <c r="AT130" s="888">
        <f t="shared" si="36"/>
        <v>20.254314259763852</v>
      </c>
      <c r="AU130" s="888">
        <f>IF(ISNUMBER(O130),O130,"")</f>
        <v>16.621499548328817</v>
      </c>
      <c r="AV130" s="888">
        <f>SUM(AR130:AU130)</f>
        <v>81.638670216345616</v>
      </c>
      <c r="AW130" s="550">
        <f>COUNTBLANK(AR130:AU130)</f>
        <v>0</v>
      </c>
      <c r="AX130" s="888">
        <f>AV130/(4-AW130)*4</f>
        <v>81.638670216345616</v>
      </c>
    </row>
    <row r="131" spans="1:59" s="89" customFormat="1" ht="13.5" customHeight="1" x14ac:dyDescent="0.2">
      <c r="A131" s="462">
        <f>VLOOKUP(B131,Sheet1!$AQ$4:$AR$25,2,FALSE)</f>
        <v>0</v>
      </c>
      <c r="B131" s="95" t="str">
        <f>Sheet1!$K$18</f>
        <v>Southampton</v>
      </c>
      <c r="C131" s="87"/>
      <c r="D131" s="96">
        <f>IF(Year1_Southampton Year1_Adoption_ceased_LAC="","",Year1_Southampton Year1_Adoption_ceased_LAC)</f>
        <v>192</v>
      </c>
      <c r="E131" s="96">
        <f>IF(Year2_Southampton Year2_Adoption_ceased_LAC="","",Year2_Southampton Year2_Adoption_ceased_LAC)</f>
        <v>205</v>
      </c>
      <c r="F131" s="96">
        <f>IF(Year3_Southampton Year3_Adoption_ceased_LAC="","",Year3_Southampton Year3_Adoption_ceased_LAC)</f>
        <v>221</v>
      </c>
      <c r="G131" s="96">
        <f>IF(Year4_Southampton Year4_Adoption_ceased_LAC="","",Year4_Southampton Year4_Adoption_ceased_LAC)</f>
        <v>197</v>
      </c>
      <c r="H131" s="97">
        <f>IF(Year5_Southampton Year5_Adoption_ceased_LAC="","",Year5_Southampton Year5_Adoption_ceased_LAC)</f>
        <v>214</v>
      </c>
      <c r="I131" s="337">
        <f t="shared" si="40"/>
        <v>3.086356124922993E-2</v>
      </c>
      <c r="J131" s="98"/>
      <c r="K131" s="99">
        <f>IF(ISNUMBER(D131),D131/Population!D24*10000,NA())</f>
        <v>39.506172839506171</v>
      </c>
      <c r="L131" s="99">
        <f>IF(ISNUMBER(E131),E131/Population!E24*10000,NA())</f>
        <v>41.666666666666664</v>
      </c>
      <c r="M131" s="99">
        <f>IF(ISNUMBER(F131),F131/Population!F24*10000,NA())</f>
        <v>44.288577154308619</v>
      </c>
      <c r="N131" s="99">
        <f>IF(ISNUMBER(G131),G131/Population!G24*10000,NA())</f>
        <v>39.165009940357848</v>
      </c>
      <c r="O131" s="100">
        <f>IF(ISNUMBER(H131),H131/Population!H24*10000,NA())</f>
        <v>42.125984251968504</v>
      </c>
      <c r="P131" s="101">
        <f t="shared" si="41"/>
        <v>42.125984251968504</v>
      </c>
      <c r="Q131" s="886">
        <f t="shared" si="54"/>
        <v>18</v>
      </c>
      <c r="R131" s="69"/>
      <c r="S131" s="333">
        <f>IDACI!C23</f>
        <v>20.5</v>
      </c>
      <c r="T131" s="334">
        <f t="shared" si="43"/>
        <v>32.740097559729932</v>
      </c>
      <c r="U131" s="335">
        <f t="shared" si="44"/>
        <v>9.3858866922385715</v>
      </c>
      <c r="V131" s="124"/>
      <c r="W131" s="140"/>
      <c r="X131" s="1200"/>
      <c r="Y131" s="1289" t="str">
        <f t="shared" si="34"/>
        <v>Southampton</v>
      </c>
      <c r="Z131" s="815">
        <f>IF(ISNUMBER(H131),IDACI!D23,0)</f>
        <v>44295</v>
      </c>
      <c r="AA131" s="815">
        <f>IF(ISNUMBER(H131),IDACI!E23,0)</f>
        <v>9080.4750000000004</v>
      </c>
      <c r="AB131" s="572">
        <f>IF(ISNUMBER(D131),Population!D24,"")</f>
        <v>48600</v>
      </c>
      <c r="AC131" s="572">
        <f>IF(ISNUMBER(E131),Population!E24,"")</f>
        <v>49200</v>
      </c>
      <c r="AD131" s="572">
        <f>IF(ISNUMBER(F131),Population!F24,"")</f>
        <v>49900</v>
      </c>
      <c r="AE131" s="572">
        <f>IF(ISNUMBER(G131),Population!G24,"")</f>
        <v>50300</v>
      </c>
      <c r="AF131" s="572">
        <f>IF(ISNUMBER(H131),Population!H24,"")</f>
        <v>50800</v>
      </c>
      <c r="AG131" s="95" t="s">
        <v>7</v>
      </c>
      <c r="AH131" s="225">
        <f t="shared" si="45"/>
        <v>15.043909889270715</v>
      </c>
      <c r="AI131" s="1187">
        <f t="shared" si="46"/>
        <v>5</v>
      </c>
      <c r="AJ131" s="199"/>
      <c r="AK131" s="1197"/>
      <c r="AL131" s="792">
        <f t="shared" si="47"/>
        <v>6.7708333333333329E-2</v>
      </c>
      <c r="AM131" s="792">
        <f t="shared" si="48"/>
        <v>7.8048780487804878E-2</v>
      </c>
      <c r="AN131" s="792">
        <f t="shared" si="49"/>
        <v>-0.10859728506787331</v>
      </c>
      <c r="AO131" s="792">
        <f t="shared" si="50"/>
        <v>8.6294416243654817E-2</v>
      </c>
      <c r="AP131" s="792">
        <f t="shared" si="51"/>
        <v>3.086356124922993E-2</v>
      </c>
      <c r="AR131" s="888">
        <f t="shared" si="52"/>
        <v>41.666666666666664</v>
      </c>
      <c r="AS131" s="888">
        <f t="shared" si="35"/>
        <v>44.288577154308619</v>
      </c>
      <c r="AT131" s="888">
        <f t="shared" si="36"/>
        <v>39.165009940357848</v>
      </c>
      <c r="AU131" s="888">
        <f t="shared" ref="AU131:AU140" si="55">IF(ISNUMBER(O131),O131,"")</f>
        <v>42.125984251968504</v>
      </c>
      <c r="AV131" s="888">
        <f t="shared" ref="AV131:AV140" si="56">SUM(AR131:AU131)</f>
        <v>167.24623801330165</v>
      </c>
      <c r="AW131" s="550">
        <f t="shared" ref="AW131:AW140" si="57">COUNTBLANK(AR131:AU131)</f>
        <v>0</v>
      </c>
      <c r="AX131" s="888">
        <f t="shared" ref="AX131:AX136" si="58">AV131/(4-AW131)*4</f>
        <v>167.24623801330165</v>
      </c>
    </row>
    <row r="132" spans="1:59" s="89" customFormat="1" ht="13.5" customHeight="1" x14ac:dyDescent="0.2">
      <c r="A132" s="462">
        <f>VLOOKUP(B132,Sheet1!$AQ$4:$AR$25,2,FALSE)</f>
        <v>0</v>
      </c>
      <c r="B132" s="95" t="str">
        <f>Sheet1!$K$19</f>
        <v>Surrey</v>
      </c>
      <c r="C132" s="87"/>
      <c r="D132" s="96">
        <f>IF(Year1_Surrey Year1_Adoption_ceased_LAC="","",Year1_Surrey Year1_Adoption_ceased_LAC)</f>
        <v>374</v>
      </c>
      <c r="E132" s="96">
        <f>IF(Year2_Surrey Year2_Adoption_ceased_LAC="","",Year2_Surrey Year2_Adoption_ceased_LAC)</f>
        <v>405</v>
      </c>
      <c r="F132" s="96">
        <f>IF(Year3_Surrey Year3_Adoption_ceased_LAC="","",Year3_Surrey Year3_Adoption_ceased_LAC)</f>
        <v>419</v>
      </c>
      <c r="G132" s="96">
        <f>IF(Year4_Surrey Year4_Adoption_ceased_LAC="","",Year4_Surrey Year4_Adoption_ceased_LAC)</f>
        <v>409</v>
      </c>
      <c r="H132" s="97">
        <f>IF(Year5_Surrey Year5_Adoption_ceased_LAC="","",Year5_Surrey Year5_Adoption_ceased_LAC)</f>
        <v>394</v>
      </c>
      <c r="I132" s="337">
        <f t="shared" si="40"/>
        <v>1.422860917368076E-2</v>
      </c>
      <c r="J132" s="98"/>
      <c r="K132" s="99">
        <f>IF(ISNUMBER(D132),D132/Population!D25*10000,NA())</f>
        <v>14.689709347996859</v>
      </c>
      <c r="L132" s="99">
        <f>IF(ISNUMBER(E132),E132/Population!E25*10000,NA())</f>
        <v>15.795631825273011</v>
      </c>
      <c r="M132" s="99">
        <f>IF(ISNUMBER(F132),F132/Population!F25*10000,NA())</f>
        <v>16.177606177606179</v>
      </c>
      <c r="N132" s="99">
        <f>IF(ISNUMBER(G132),G132/Population!G25*10000,NA())</f>
        <v>15.712639262389551</v>
      </c>
      <c r="O132" s="100">
        <f>IF(ISNUMBER(H132),H132/Population!H25*10000,NA())</f>
        <v>15.043909889270715</v>
      </c>
      <c r="P132" s="101">
        <f t="shared" si="41"/>
        <v>15.043909889270715</v>
      </c>
      <c r="Q132" s="886">
        <f t="shared" si="54"/>
        <v>2</v>
      </c>
      <c r="R132" s="69"/>
      <c r="S132" s="333">
        <f>IDACI!C24</f>
        <v>8.3000000000000007</v>
      </c>
      <c r="T132" s="334">
        <f t="shared" si="43"/>
        <v>20.719115515909586</v>
      </c>
      <c r="U132" s="335">
        <f t="shared" si="44"/>
        <v>-5.6752056266388706</v>
      </c>
      <c r="V132" s="124"/>
      <c r="W132" s="140"/>
      <c r="X132" s="1200"/>
      <c r="Y132" s="1289" t="str">
        <f t="shared" si="34"/>
        <v>Surrey</v>
      </c>
      <c r="Z132" s="815">
        <f>IF(ISNUMBER(H132),IDACI!D24,0)</f>
        <v>228466</v>
      </c>
      <c r="AA132" s="815">
        <f>IF(ISNUMBER(H132),IDACI!E24,0)</f>
        <v>18962.678</v>
      </c>
      <c r="AB132" s="572">
        <f>IF(ISNUMBER(D132),Population!D25,"")</f>
        <v>254600</v>
      </c>
      <c r="AC132" s="572">
        <f>IF(ISNUMBER(E132),Population!E25,"")</f>
        <v>256400</v>
      </c>
      <c r="AD132" s="572">
        <f>IF(ISNUMBER(F132),Population!F25,"")</f>
        <v>259000</v>
      </c>
      <c r="AE132" s="572">
        <f>IF(ISNUMBER(G132),Population!G25,"")</f>
        <v>260300</v>
      </c>
      <c r="AF132" s="572">
        <f>IF(ISNUMBER(H132),Population!H25,"")</f>
        <v>261900</v>
      </c>
      <c r="AG132" s="95" t="s">
        <v>15</v>
      </c>
      <c r="AH132" s="225">
        <f t="shared" si="45"/>
        <v>14.887640449438202</v>
      </c>
      <c r="AI132" s="1187">
        <f t="shared" si="46"/>
        <v>3</v>
      </c>
      <c r="AJ132" s="199"/>
      <c r="AK132" s="1197"/>
      <c r="AL132" s="792">
        <f t="shared" si="47"/>
        <v>8.2887700534759357E-2</v>
      </c>
      <c r="AM132" s="792">
        <f t="shared" si="48"/>
        <v>3.4567901234567898E-2</v>
      </c>
      <c r="AN132" s="792">
        <f t="shared" si="49"/>
        <v>-2.386634844868735E-2</v>
      </c>
      <c r="AO132" s="792">
        <f t="shared" si="50"/>
        <v>-3.6674816625916873E-2</v>
      </c>
      <c r="AP132" s="792">
        <f t="shared" si="51"/>
        <v>1.422860917368076E-2</v>
      </c>
      <c r="AR132" s="888">
        <f t="shared" si="52"/>
        <v>15.795631825273011</v>
      </c>
      <c r="AS132" s="888">
        <f t="shared" si="35"/>
        <v>16.177606177606179</v>
      </c>
      <c r="AT132" s="888">
        <f t="shared" si="36"/>
        <v>15.712639262389551</v>
      </c>
      <c r="AU132" s="888">
        <f t="shared" si="55"/>
        <v>15.043909889270715</v>
      </c>
      <c r="AV132" s="888">
        <f t="shared" si="56"/>
        <v>62.729787154539459</v>
      </c>
      <c r="AW132" s="550">
        <f t="shared" si="57"/>
        <v>0</v>
      </c>
      <c r="AX132" s="888">
        <f t="shared" si="58"/>
        <v>62.729787154539459</v>
      </c>
    </row>
    <row r="133" spans="1:59" s="89" customFormat="1" ht="13.5" customHeight="1" x14ac:dyDescent="0.2">
      <c r="A133" s="462">
        <f>VLOOKUP(B133,Sheet1!$AQ$4:$AR$25,2,FALSE)</f>
        <v>0</v>
      </c>
      <c r="B133" s="95" t="str">
        <f>Sheet1!$K$20</f>
        <v>Swindon</v>
      </c>
      <c r="C133" s="87"/>
      <c r="D133" s="96">
        <f>IF(Year1_Swindon Year1_Adoption_ceased_LAC="","",Year1_Swindon Year1_Adoption_ceased_LAC)</f>
        <v>135</v>
      </c>
      <c r="E133" s="96">
        <f>IF(Year2_Swindon Year2_Adoption_ceased_LAC="","",Year2_Swindon Year2_Adoption_ceased_LAC)</f>
        <v>139</v>
      </c>
      <c r="F133" s="96">
        <f>IF(Year3_Swindon Year3_Adoption_ceased_LAC="","",Year3_Swindon Year3_Adoption_ceased_LAC)</f>
        <v>150</v>
      </c>
      <c r="G133" s="96">
        <f>IF(Year4_Swindon Year4_Adoption_ceased_LAC="","",Year4_Swindon Year4_Adoption_ceased_LAC)</f>
        <v>155</v>
      </c>
      <c r="H133" s="97">
        <f>IF(Year5_Swindon Year5_Adoption_ceased_LAC="","",Year5_Swindon Year5_Adoption_ceased_LAC)</f>
        <v>149</v>
      </c>
      <c r="I133" s="337">
        <f t="shared" si="40"/>
        <v>2.5847494047772531E-2</v>
      </c>
      <c r="J133" s="98"/>
      <c r="K133" s="99">
        <f>IF(ISNUMBER(D133),D133/Population!D26*10000,NA())</f>
        <v>27.777777777777779</v>
      </c>
      <c r="L133" s="99">
        <f>IF(ISNUMBER(E133),E133/Population!E26*10000,NA())</f>
        <v>28.367346938775508</v>
      </c>
      <c r="M133" s="99">
        <f>IF(ISNUMBER(F133),F133/Population!F26*10000,NA())</f>
        <v>30.303030303030305</v>
      </c>
      <c r="N133" s="99">
        <f>IF(ISNUMBER(G133),G133/Population!G26*10000,NA())</f>
        <v>31.062124248496993</v>
      </c>
      <c r="O133" s="100">
        <f>IF(ISNUMBER(H133),H133/Population!H26*10000,NA())</f>
        <v>29.681274900398407</v>
      </c>
      <c r="P133" s="101">
        <f t="shared" si="41"/>
        <v>29.681274900398407</v>
      </c>
      <c r="Q133" s="363" t="str">
        <f t="shared" si="54"/>
        <v>--</v>
      </c>
      <c r="R133" s="69"/>
      <c r="S133" s="333">
        <f>IDACI!C25</f>
        <v>14.899999999999999</v>
      </c>
      <c r="T133" s="334">
        <f t="shared" si="43"/>
        <v>27.222269736336983</v>
      </c>
      <c r="U133" s="335">
        <f t="shared" si="44"/>
        <v>2.4590051640614234</v>
      </c>
      <c r="V133" s="124"/>
      <c r="W133" s="140"/>
      <c r="X133" s="1200"/>
      <c r="Y133" s="1289" t="str">
        <f t="shared" si="34"/>
        <v>Swindon</v>
      </c>
      <c r="Z133" s="815">
        <f>IF(ISNUMBER(H133),IDACI!D25,0)</f>
        <v>43899</v>
      </c>
      <c r="AA133" s="815">
        <f>IF(ISNUMBER(H133),IDACI!E25,0)</f>
        <v>6540.951</v>
      </c>
      <c r="AB133" s="572">
        <f>IF(ISNUMBER(D133),Population!D26,"")</f>
        <v>48600</v>
      </c>
      <c r="AC133" s="572">
        <f>IF(ISNUMBER(E133),Population!E26,"")</f>
        <v>49000</v>
      </c>
      <c r="AD133" s="572">
        <f>IF(ISNUMBER(F133),Population!F26,"")</f>
        <v>49500</v>
      </c>
      <c r="AE133" s="572">
        <f>IF(ISNUMBER(G133),Population!G26,"")</f>
        <v>49900</v>
      </c>
      <c r="AF133" s="572">
        <f>IF(ISNUMBER(H133),Population!H26,"")</f>
        <v>50200</v>
      </c>
      <c r="AG133" s="95" t="s">
        <v>5</v>
      </c>
      <c r="AH133" s="225">
        <f t="shared" si="45"/>
        <v>20.263308528906698</v>
      </c>
      <c r="AI133" s="1187">
        <f t="shared" si="46"/>
        <v>8</v>
      </c>
      <c r="AJ133" s="199"/>
      <c r="AK133" s="1197"/>
      <c r="AL133" s="792">
        <f t="shared" si="47"/>
        <v>2.9629629629629631E-2</v>
      </c>
      <c r="AM133" s="792">
        <f t="shared" si="48"/>
        <v>7.9136690647482008E-2</v>
      </c>
      <c r="AN133" s="792">
        <f t="shared" si="49"/>
        <v>3.3333333333333333E-2</v>
      </c>
      <c r="AO133" s="792">
        <f t="shared" si="50"/>
        <v>-3.870967741935484E-2</v>
      </c>
      <c r="AP133" s="792">
        <f t="shared" si="51"/>
        <v>2.5847494047772531E-2</v>
      </c>
      <c r="AR133" s="888">
        <f t="shared" si="52"/>
        <v>28.367346938775508</v>
      </c>
      <c r="AS133" s="888">
        <f t="shared" si="35"/>
        <v>30.303030303030305</v>
      </c>
      <c r="AT133" s="888">
        <f t="shared" si="36"/>
        <v>31.062124248496993</v>
      </c>
      <c r="AU133" s="888">
        <f t="shared" si="55"/>
        <v>29.681274900398407</v>
      </c>
      <c r="AV133" s="888">
        <f t="shared" si="56"/>
        <v>119.41377639070122</v>
      </c>
      <c r="AW133" s="550">
        <f t="shared" si="57"/>
        <v>0</v>
      </c>
      <c r="AX133" s="888">
        <f t="shared" si="58"/>
        <v>119.41377639070122</v>
      </c>
    </row>
    <row r="134" spans="1:59" s="89" customFormat="1" ht="13.5" customHeight="1" x14ac:dyDescent="0.2">
      <c r="A134" s="462">
        <f>VLOOKUP(B134,Sheet1!$AQ$4:$AR$25,2,FALSE)</f>
        <v>0</v>
      </c>
      <c r="B134" s="95" t="str">
        <f>Sheet1!$K$21</f>
        <v>Torbay</v>
      </c>
      <c r="C134" s="87"/>
      <c r="D134" s="96">
        <f>IF(Year1_Torbay Year1_Adoption_ceased_LAC="","",Year1_Torbay Year1_Adoption_ceased_LAC)</f>
        <v>124</v>
      </c>
      <c r="E134" s="96">
        <f>IF(Year2_Torbay Year2_Adoption_ceased_LAC="","",Year2_Torbay Year2_Adoption_ceased_LAC)</f>
        <v>125</v>
      </c>
      <c r="F134" s="96">
        <f>IF(Year3_Torbay Year3_Adoption_ceased_LAC="","",Year3_Torbay Year3_Adoption_ceased_LAC)</f>
        <v>108</v>
      </c>
      <c r="G134" s="96">
        <f>IF(Year4_Torbay Year4_Adoption_ceased_LAC="","",Year4_Torbay Year4_Adoption_ceased_LAC)</f>
        <v>102</v>
      </c>
      <c r="H134" s="97">
        <f>IF(Year5_Torbay Year5_Adoption_ceased_LAC="","",Year5_Torbay Year5_Adoption_ceased_LAC)</f>
        <v>118</v>
      </c>
      <c r="I134" s="337">
        <f t="shared" si="40"/>
        <v>-6.6570735821210245E-3</v>
      </c>
      <c r="J134" s="98"/>
      <c r="K134" s="99">
        <f>IF(ISNUMBER(D134),D134/Population!D27*10000,NA())</f>
        <v>49.402390438247018</v>
      </c>
      <c r="L134" s="99">
        <f>IF(ISNUMBER(E134),E134/Population!E27*10000,NA())</f>
        <v>49.603174603174601</v>
      </c>
      <c r="M134" s="99">
        <f>IF(ISNUMBER(F134),F134/Population!F27*10000,NA())</f>
        <v>42.519685039370074</v>
      </c>
      <c r="N134" s="99">
        <f>IF(ISNUMBER(G134),G134/Population!G27*10000,NA())</f>
        <v>40.15748031496063</v>
      </c>
      <c r="O134" s="100">
        <f>IF(ISNUMBER(H134),H134/Population!H27*10000,NA())</f>
        <v>46.456692913385822</v>
      </c>
      <c r="P134" s="101">
        <f t="shared" si="41"/>
        <v>46.456692913385822</v>
      </c>
      <c r="Q134" s="363" t="str">
        <f t="shared" si="54"/>
        <v>--</v>
      </c>
      <c r="R134" s="69"/>
      <c r="S134" s="333">
        <f>IDACI!C26</f>
        <v>21.9</v>
      </c>
      <c r="T134" s="334">
        <f t="shared" si="43"/>
        <v>34.119554515578159</v>
      </c>
      <c r="U134" s="335">
        <f t="shared" si="44"/>
        <v>12.337138397807664</v>
      </c>
      <c r="V134" s="124"/>
      <c r="W134" s="140"/>
      <c r="X134" s="1200"/>
      <c r="Y134" s="1289" t="str">
        <f t="shared" si="34"/>
        <v>Torbay</v>
      </c>
      <c r="Z134" s="815">
        <f>IF(ISNUMBER(H134),IDACI!D26,0)</f>
        <v>22257</v>
      </c>
      <c r="AA134" s="815">
        <f>IF(ISNUMBER(H134),IDACI!E26,0)</f>
        <v>4874.2829999999994</v>
      </c>
      <c r="AB134" s="572">
        <f>IF(ISNUMBER(D134),Population!D27,"")</f>
        <v>25100</v>
      </c>
      <c r="AC134" s="572">
        <f>IF(ISNUMBER(E134),Population!E27,"")</f>
        <v>25200</v>
      </c>
      <c r="AD134" s="572">
        <f>IF(ISNUMBER(F134),Population!F27,"")</f>
        <v>25400</v>
      </c>
      <c r="AE134" s="572">
        <f>IF(ISNUMBER(G134),Population!G27,"")</f>
        <v>25400</v>
      </c>
      <c r="AF134" s="572">
        <f>IF(ISNUMBER(H134),Population!H27,"")</f>
        <v>25400</v>
      </c>
      <c r="AG134" s="95" t="s">
        <v>30</v>
      </c>
      <c r="AH134" s="225">
        <f t="shared" si="45"/>
        <v>15.028901734104045</v>
      </c>
      <c r="AI134" s="1187">
        <f t="shared" si="46"/>
        <v>4</v>
      </c>
      <c r="AJ134" s="199"/>
      <c r="AK134" s="1197"/>
      <c r="AL134" s="792">
        <f t="shared" si="47"/>
        <v>8.0645161290322578E-3</v>
      </c>
      <c r="AM134" s="792">
        <f t="shared" si="48"/>
        <v>-0.13600000000000001</v>
      </c>
      <c r="AN134" s="792">
        <f t="shared" si="49"/>
        <v>-5.5555555555555552E-2</v>
      </c>
      <c r="AO134" s="792">
        <f t="shared" si="50"/>
        <v>0.15686274509803921</v>
      </c>
      <c r="AP134" s="792">
        <f t="shared" si="51"/>
        <v>-6.6570735821210245E-3</v>
      </c>
      <c r="AR134" s="888">
        <f t="shared" si="52"/>
        <v>49.603174603174601</v>
      </c>
      <c r="AS134" s="888">
        <f t="shared" si="35"/>
        <v>42.519685039370074</v>
      </c>
      <c r="AT134" s="888">
        <f t="shared" si="36"/>
        <v>40.15748031496063</v>
      </c>
      <c r="AU134" s="888">
        <f t="shared" si="55"/>
        <v>46.456692913385822</v>
      </c>
      <c r="AV134" s="888">
        <f t="shared" si="56"/>
        <v>178.73703287089114</v>
      </c>
      <c r="AW134" s="550">
        <f t="shared" si="57"/>
        <v>0</v>
      </c>
      <c r="AX134" s="888">
        <f t="shared" si="58"/>
        <v>178.73703287089114</v>
      </c>
    </row>
    <row r="135" spans="1:59" s="89" customFormat="1" ht="13.5" customHeight="1" x14ac:dyDescent="0.2">
      <c r="A135" s="462">
        <f>VLOOKUP(B135,Sheet1!$AQ$4:$AR$25,2,FALSE)</f>
        <v>0</v>
      </c>
      <c r="B135" s="95" t="str">
        <f>Sheet1!$K$22</f>
        <v>West Berkshire</v>
      </c>
      <c r="C135" s="87"/>
      <c r="D135" s="96">
        <f>IF(Year1_West_Berkshire Year1_Adoption_ceased_LAC="","",Year1_West_Berkshire Year1_Adoption_ceased_LAC)</f>
        <v>65</v>
      </c>
      <c r="E135" s="102">
        <f>IF(Year2_West_Berkshire Year2_Adoption_ceased_LAC="","",Year2_West_Berkshire Year2_Adoption_ceased_LAC)</f>
        <v>69</v>
      </c>
      <c r="F135" s="96">
        <f>IF(Year3_West_Berkshire Year3_Adoption_ceased_LAC="","",Year3_West_Berkshire Year3_Adoption_ceased_LAC)</f>
        <v>74</v>
      </c>
      <c r="G135" s="96">
        <f>IF(Year4_West_Berkshire Year4_Adoption_ceased_LAC="","",Year4_West_Berkshire Year4_Adoption_ceased_LAC)</f>
        <v>86</v>
      </c>
      <c r="H135" s="97">
        <f>IF(Year5_West_Berkshire Year5_Adoption_ceased_LAC="","",Year5_West_Berkshire Year5_Adoption_ceased_LAC)</f>
        <v>53</v>
      </c>
      <c r="I135" s="337">
        <f t="shared" si="40"/>
        <v>-2.1889134603998106E-2</v>
      </c>
      <c r="J135" s="98"/>
      <c r="K135" s="99">
        <f>IF(ISNUMBER(D135),D135/Population!D28*10000,NA())</f>
        <v>18.258426966292134</v>
      </c>
      <c r="L135" s="99">
        <f>IF(ISNUMBER(E135),E135/Population!E28*10000,NA())</f>
        <v>19.327731092436974</v>
      </c>
      <c r="M135" s="99">
        <f>IF(ISNUMBER(F135),F135/Population!F28*10000,NA())</f>
        <v>20.612813370473539</v>
      </c>
      <c r="N135" s="99">
        <f>IF(ISNUMBER(G135),G135/Population!G28*10000,NA())</f>
        <v>24.022346368715084</v>
      </c>
      <c r="O135" s="100">
        <f>IF(ISNUMBER(H135),H135/Population!H28*10000,NA())</f>
        <v>14.887640449438202</v>
      </c>
      <c r="P135" s="101">
        <f t="shared" si="41"/>
        <v>14.887640449438202</v>
      </c>
      <c r="Q135" s="886">
        <f t="shared" si="54"/>
        <v>8</v>
      </c>
      <c r="R135" s="69"/>
      <c r="S135" s="333">
        <f>IDACI!C27</f>
        <v>8.6999999999999993</v>
      </c>
      <c r="T135" s="334">
        <f t="shared" si="43"/>
        <v>21.113246074723364</v>
      </c>
      <c r="U135" s="335">
        <f t="shared" si="44"/>
        <v>-6.2256056252851621</v>
      </c>
      <c r="V135" s="124"/>
      <c r="W135" s="140"/>
      <c r="X135" s="1200"/>
      <c r="Y135" s="1289" t="str">
        <f t="shared" si="34"/>
        <v>West Berkshire</v>
      </c>
      <c r="Z135" s="815">
        <f>IF(ISNUMBER(H135),IDACI!D27,0)</f>
        <v>31625</v>
      </c>
      <c r="AA135" s="815">
        <f>IF(ISNUMBER(H135),IDACI!E27,0)</f>
        <v>2751.375</v>
      </c>
      <c r="AB135" s="572">
        <f>IF(ISNUMBER(D135),Population!D28,"")</f>
        <v>35600</v>
      </c>
      <c r="AC135" s="572">
        <f>IF(ISNUMBER(E135),Population!E28,"")</f>
        <v>35700</v>
      </c>
      <c r="AD135" s="572">
        <f>IF(ISNUMBER(F135),Population!F28,"")</f>
        <v>35900</v>
      </c>
      <c r="AE135" s="572">
        <f>IF(ISNUMBER(G135),Population!G28,"")</f>
        <v>35800</v>
      </c>
      <c r="AF135" s="572">
        <f>IF(ISNUMBER(H135),Population!H28,"")</f>
        <v>35600</v>
      </c>
      <c r="AG135" s="95" t="s">
        <v>16</v>
      </c>
      <c r="AH135" s="225">
        <f t="shared" si="45"/>
        <v>14.683544303797468</v>
      </c>
      <c r="AI135" s="1187">
        <f t="shared" si="46"/>
        <v>2</v>
      </c>
      <c r="AJ135" s="199"/>
      <c r="AK135" s="1197"/>
      <c r="AL135" s="792">
        <f t="shared" si="47"/>
        <v>6.1538461538461542E-2</v>
      </c>
      <c r="AM135" s="792">
        <f t="shared" si="48"/>
        <v>7.2463768115942032E-2</v>
      </c>
      <c r="AN135" s="792">
        <f t="shared" si="49"/>
        <v>0.16216216216216217</v>
      </c>
      <c r="AO135" s="792">
        <f t="shared" si="50"/>
        <v>-0.38372093023255816</v>
      </c>
      <c r="AP135" s="792">
        <f t="shared" si="51"/>
        <v>-2.1889134603998106E-2</v>
      </c>
      <c r="AR135" s="888">
        <f t="shared" si="52"/>
        <v>19.327731092436974</v>
      </c>
      <c r="AS135" s="888">
        <f t="shared" si="35"/>
        <v>20.612813370473539</v>
      </c>
      <c r="AT135" s="888">
        <f t="shared" si="36"/>
        <v>24.022346368715084</v>
      </c>
      <c r="AU135" s="888">
        <f t="shared" si="55"/>
        <v>14.887640449438202</v>
      </c>
      <c r="AV135" s="888">
        <f t="shared" si="56"/>
        <v>78.850531281063795</v>
      </c>
      <c r="AW135" s="550">
        <f t="shared" si="57"/>
        <v>0</v>
      </c>
      <c r="AX135" s="888">
        <f t="shared" si="58"/>
        <v>78.850531281063795</v>
      </c>
    </row>
    <row r="136" spans="1:59" s="89" customFormat="1" ht="13.5" customHeight="1" x14ac:dyDescent="0.2">
      <c r="A136" s="462">
        <f>VLOOKUP(B136,Sheet1!$AQ$4:$AR$25,2,FALSE)</f>
        <v>0</v>
      </c>
      <c r="B136" s="95" t="str">
        <f>Sheet1!$K$23</f>
        <v>West Sussex</v>
      </c>
      <c r="C136" s="87"/>
      <c r="D136" s="96">
        <f>IF(Year1_West_Sussex Year1_Adoption_ceased_LAC="","",Year1_West_Sussex Year1_Adoption_ceased_LAC)</f>
        <v>328</v>
      </c>
      <c r="E136" s="102">
        <f>IF(Year2_West_Sussex Year2_Adoption_ceased_LAC="","",Year2_West_Sussex Year2_Adoption_ceased_LAC)</f>
        <v>386</v>
      </c>
      <c r="F136" s="96">
        <f>IF(Year3_West_Sussex Year3_Adoption_ceased_LAC="","",Year3_West_Sussex Year3_Adoption_ceased_LAC)</f>
        <v>357</v>
      </c>
      <c r="G136" s="96">
        <f>IF(Year4_West_Sussex Year4_Adoption_ceased_LAC="","",Year4_West_Sussex Year4_Adoption_ceased_LAC)</f>
        <v>338</v>
      </c>
      <c r="H136" s="97">
        <f>IF(Year5_West_Sussex Year5_Adoption_ceased_LAC="","",Year5_West_Sussex Year5_Adoption_ceased_LAC)</f>
        <v>354</v>
      </c>
      <c r="I136" s="337">
        <f t="shared" si="40"/>
        <v>2.3953931051257288E-2</v>
      </c>
      <c r="J136" s="98"/>
      <c r="K136" s="99">
        <f>IF(ISNUMBER(D136),D136/Population!D29*10000,NA())</f>
        <v>19.431279620853083</v>
      </c>
      <c r="L136" s="99">
        <f>IF(ISNUMBER(E136),E136/Population!E29*10000,NA())</f>
        <v>22.652582159624412</v>
      </c>
      <c r="M136" s="99">
        <f>IF(ISNUMBER(F136),F136/Population!F29*10000,NA())</f>
        <v>20.779976717112923</v>
      </c>
      <c r="N136" s="99">
        <f>IF(ISNUMBER(G136),G136/Population!G29*10000,NA())</f>
        <v>19.503750721292555</v>
      </c>
      <c r="O136" s="100">
        <f>IF(ISNUMBER(H136),H136/Population!H29*10000,NA())</f>
        <v>20.263308528906698</v>
      </c>
      <c r="P136" s="101">
        <f t="shared" si="41"/>
        <v>20.263308528906698</v>
      </c>
      <c r="Q136" s="886">
        <f t="shared" si="54"/>
        <v>6</v>
      </c>
      <c r="R136" s="69"/>
      <c r="S136" s="333">
        <f>IDACI!C28</f>
        <v>11</v>
      </c>
      <c r="T136" s="334">
        <f t="shared" si="43"/>
        <v>23.37949678790261</v>
      </c>
      <c r="U136" s="335">
        <f t="shared" si="44"/>
        <v>-3.116188258995912</v>
      </c>
      <c r="V136" s="124"/>
      <c r="W136" s="140"/>
      <c r="X136" s="1200"/>
      <c r="Y136" s="1289" t="str">
        <f t="shared" si="34"/>
        <v>West Sussex</v>
      </c>
      <c r="Z136" s="815">
        <f>IF(ISNUMBER(H136),IDACI!D28,0)</f>
        <v>151487</v>
      </c>
      <c r="AA136" s="815">
        <f>IF(ISNUMBER(H136),IDACI!E28,0)</f>
        <v>16663.57</v>
      </c>
      <c r="AB136" s="572">
        <f>IF(ISNUMBER(D136),Population!D29,"")</f>
        <v>168800</v>
      </c>
      <c r="AC136" s="572">
        <f>IF(ISNUMBER(E136),Population!E29,"")</f>
        <v>170400</v>
      </c>
      <c r="AD136" s="572">
        <f>IF(ISNUMBER(F136),Population!F29,"")</f>
        <v>171800</v>
      </c>
      <c r="AE136" s="572">
        <f>IF(ISNUMBER(G136),Population!G29,"")</f>
        <v>173300</v>
      </c>
      <c r="AF136" s="572">
        <f>IF(ISNUMBER(H136),Population!H29,"")</f>
        <v>174700</v>
      </c>
      <c r="AG136" s="199"/>
      <c r="AH136" s="199"/>
      <c r="AI136" s="1284"/>
      <c r="AJ136" s="199"/>
      <c r="AK136" s="1197"/>
      <c r="AL136" s="792">
        <f t="shared" si="47"/>
        <v>0.17682926829268292</v>
      </c>
      <c r="AM136" s="792">
        <f t="shared" si="48"/>
        <v>-7.512953367875648E-2</v>
      </c>
      <c r="AN136" s="792">
        <f t="shared" si="49"/>
        <v>-5.3221288515406161E-2</v>
      </c>
      <c r="AO136" s="792">
        <f t="shared" si="50"/>
        <v>4.7337278106508875E-2</v>
      </c>
      <c r="AP136" s="792">
        <f t="shared" si="51"/>
        <v>2.3953931051257288E-2</v>
      </c>
      <c r="AR136" s="888">
        <f t="shared" si="52"/>
        <v>22.652582159624412</v>
      </c>
      <c r="AS136" s="888">
        <f t="shared" si="35"/>
        <v>20.779976717112923</v>
      </c>
      <c r="AT136" s="888">
        <f t="shared" si="36"/>
        <v>19.503750721292555</v>
      </c>
      <c r="AU136" s="888">
        <f t="shared" si="55"/>
        <v>20.263308528906698</v>
      </c>
      <c r="AV136" s="888">
        <f t="shared" si="56"/>
        <v>83.199618126936585</v>
      </c>
      <c r="AW136" s="550">
        <f t="shared" si="57"/>
        <v>0</v>
      </c>
      <c r="AX136" s="888">
        <f t="shared" si="58"/>
        <v>83.199618126936585</v>
      </c>
    </row>
    <row r="137" spans="1:59" s="89" customFormat="1" ht="13.5" customHeight="1" x14ac:dyDescent="0.2">
      <c r="A137" s="462">
        <f>VLOOKUP(B137,Sheet1!$AQ$4:$AR$25,2,FALSE)</f>
        <v>0</v>
      </c>
      <c r="B137" s="95" t="str">
        <f>Sheet1!$K$24</f>
        <v>Windsor &amp; Maidenhead</v>
      </c>
      <c r="C137" s="87"/>
      <c r="D137" s="102">
        <f>IF(Year1_Windsor_Maidenhead Year1_Adoption_ceased_LAC="","",Year1_Windsor_Maidenhead Year1_Adoption_ceased_LAC)</f>
        <v>47</v>
      </c>
      <c r="E137" s="96">
        <f>IF(Year2_Windsor_Maidenhead Year2_Adoption_ceased_LAC="","",Year2_Windsor_Maidenhead Year2_Adoption_ceased_LAC)</f>
        <v>43</v>
      </c>
      <c r="F137" s="96">
        <f>IF(Year3_Windsor_Maidenhead Year3_Adoption_ceased_LAC="","",Year3_Windsor_Maidenhead Year3_Adoption_ceased_LAC)</f>
        <v>35</v>
      </c>
      <c r="G137" s="96">
        <f>IF(Year4_Windsor_Maidenhead Year4_Adoption_ceased_LAC="","",Year4_Windsor_Maidenhead Year4_Adoption_ceased_LAC)</f>
        <v>49</v>
      </c>
      <c r="H137" s="97">
        <f>IF(Year5_Windsor_Maidenhead Year5_Adoption_ceased_LAC="","",Year5_Windsor_Maidenhead Year5_Adoption_ceased_LAC)</f>
        <v>52</v>
      </c>
      <c r="I137" s="337">
        <f t="shared" si="40"/>
        <v>4.7517898797322003E-2</v>
      </c>
      <c r="J137" s="98"/>
      <c r="K137" s="99">
        <f>IF(ISNUMBER(D137),D137/Population!D30*10000,NA())</f>
        <v>14.071856287425149</v>
      </c>
      <c r="L137" s="99">
        <f>IF(ISNUMBER(E137),E137/Population!E30*10000,NA())</f>
        <v>12.759643916913946</v>
      </c>
      <c r="M137" s="99">
        <f>IF(ISNUMBER(F137),F137/Population!F30*10000,NA())</f>
        <v>10.233918128654972</v>
      </c>
      <c r="N137" s="99">
        <f>IF(ISNUMBER(G137),G137/Population!G30*10000,NA())</f>
        <v>14.244186046511627</v>
      </c>
      <c r="O137" s="100">
        <f>IF(ISNUMBER(H137),H137/Population!H30*10000,NA())</f>
        <v>15.028901734104045</v>
      </c>
      <c r="P137" s="101">
        <f t="shared" si="41"/>
        <v>15.028901734104045</v>
      </c>
      <c r="Q137" s="886">
        <f t="shared" si="54"/>
        <v>5</v>
      </c>
      <c r="R137" s="69"/>
      <c r="S137" s="333">
        <f>IDACI!C29</f>
        <v>6.7</v>
      </c>
      <c r="T137" s="334">
        <f t="shared" si="43"/>
        <v>19.142593280654456</v>
      </c>
      <c r="U137" s="335">
        <f t="shared" si="44"/>
        <v>-4.1136915465504114</v>
      </c>
      <c r="V137" s="124"/>
      <c r="W137" s="140"/>
      <c r="X137" s="1200"/>
      <c r="Y137" s="1289" t="str">
        <f t="shared" si="34"/>
        <v>Windsor &amp; Maidenhead</v>
      </c>
      <c r="Z137" s="815">
        <f>IF(ISNUMBER(H137),IDACI!D29,0)</f>
        <v>29792</v>
      </c>
      <c r="AA137" s="815">
        <f>IF(ISNUMBER(H137),IDACI!E29,0)</f>
        <v>1996.0640000000001</v>
      </c>
      <c r="AB137" s="572">
        <f>IF(ISNUMBER(D137),Population!D30,"")</f>
        <v>33400</v>
      </c>
      <c r="AC137" s="572">
        <f>IF(ISNUMBER(E137),Population!E30,"")</f>
        <v>33700</v>
      </c>
      <c r="AD137" s="572">
        <f>IF(ISNUMBER(F137),Population!F30,"")</f>
        <v>34200</v>
      </c>
      <c r="AE137" s="572">
        <f>IF(ISNUMBER(G137),Population!G30,"")</f>
        <v>34400</v>
      </c>
      <c r="AF137" s="572">
        <f>IF(ISNUMBER(H137),Population!H30,"")</f>
        <v>34600</v>
      </c>
      <c r="AG137" s="199"/>
      <c r="AH137" s="199"/>
      <c r="AI137" s="1284"/>
      <c r="AJ137" s="199"/>
      <c r="AK137" s="1197"/>
      <c r="AL137" s="792">
        <f t="shared" si="47"/>
        <v>-8.5106382978723402E-2</v>
      </c>
      <c r="AM137" s="792">
        <f t="shared" si="48"/>
        <v>-0.18604651162790697</v>
      </c>
      <c r="AN137" s="792">
        <f t="shared" si="49"/>
        <v>0.4</v>
      </c>
      <c r="AO137" s="792">
        <f t="shared" si="50"/>
        <v>6.1224489795918366E-2</v>
      </c>
      <c r="AP137" s="792">
        <f t="shared" si="51"/>
        <v>4.7517898797322003E-2</v>
      </c>
      <c r="AR137" s="888">
        <f t="shared" si="52"/>
        <v>12.759643916913946</v>
      </c>
      <c r="AS137" s="888">
        <f t="shared" si="35"/>
        <v>10.233918128654972</v>
      </c>
      <c r="AT137" s="888">
        <f t="shared" si="36"/>
        <v>14.244186046511627</v>
      </c>
      <c r="AU137" s="888">
        <f t="shared" si="55"/>
        <v>15.028901734104045</v>
      </c>
      <c r="AV137" s="888">
        <f t="shared" si="56"/>
        <v>52.26664982618459</v>
      </c>
      <c r="AW137" s="550">
        <f t="shared" si="57"/>
        <v>0</v>
      </c>
      <c r="AX137" s="888">
        <f>AV137/(4-AW137)*4</f>
        <v>52.26664982618459</v>
      </c>
    </row>
    <row r="138" spans="1:59" s="89" customFormat="1" ht="13.5" customHeight="1" x14ac:dyDescent="0.2">
      <c r="A138" s="462">
        <f>VLOOKUP(B138,Sheet1!$AQ$4:$AR$25,2,FALSE)</f>
        <v>0</v>
      </c>
      <c r="B138" s="95" t="str">
        <f>Sheet1!$K$25</f>
        <v>Wokingham</v>
      </c>
      <c r="C138" s="87"/>
      <c r="D138" s="102">
        <f>IF(Year1_Wokingham Year1_Adoption_ceased_LAC="","",Year1_Wokingham Year1_Adoption_ceased_LAC)</f>
        <v>39</v>
      </c>
      <c r="E138" s="96">
        <f>IF(Year2_Wokingham Year2_Adoption_ceased_LAC="","",Year2_Wokingham Year2_Adoption_ceased_LAC)</f>
        <v>34</v>
      </c>
      <c r="F138" s="96">
        <f>IF(Year3_Wokingham Year3_Adoption_ceased_LAC="","",Year3_Wokingham Year3_Adoption_ceased_LAC)</f>
        <v>31</v>
      </c>
      <c r="G138" s="96">
        <f>IF(Year4_Wokingham Year4_Adoption_ceased_LAC="","",Year4_Wokingham Year4_Adoption_ceased_LAC)</f>
        <v>36</v>
      </c>
      <c r="H138" s="97">
        <f>IF(Year5_Wokingham Year5_Adoption_ceased_LAC="","",Year5_Wokingham Year5_Adoption_ceased_LAC)</f>
        <v>58</v>
      </c>
      <c r="I138" s="337">
        <f t="shared" si="40"/>
        <v>0.13899025284224525</v>
      </c>
      <c r="J138" s="98"/>
      <c r="K138" s="99">
        <f>IF(ISNUMBER(D138),D138/Population!D31*10000,NA())</f>
        <v>10.56910569105691</v>
      </c>
      <c r="L138" s="99">
        <f>IF(ISNUMBER(E138),E138/Population!E31*10000,NA())</f>
        <v>9.1152815013404833</v>
      </c>
      <c r="M138" s="99">
        <f>IF(ISNUMBER(F138),F138/Population!F31*10000,NA())</f>
        <v>8.1578947368421044</v>
      </c>
      <c r="N138" s="99">
        <f>IF(ISNUMBER(G138),G138/Population!G31*10000,NA())</f>
        <v>9.3023255813953494</v>
      </c>
      <c r="O138" s="100">
        <f>IF(ISNUMBER(H138),H138/Population!H31*10000,NA())</f>
        <v>14.683544303797468</v>
      </c>
      <c r="P138" s="101">
        <f t="shared" si="41"/>
        <v>14.683544303797468</v>
      </c>
      <c r="Q138" s="886">
        <f t="shared" si="54"/>
        <v>1</v>
      </c>
      <c r="R138" s="69"/>
      <c r="S138" s="333">
        <f>IDACI!C30</f>
        <v>5.6000000000000005</v>
      </c>
      <c r="T138" s="334">
        <f t="shared" si="43"/>
        <v>18.058734243916557</v>
      </c>
      <c r="U138" s="335">
        <f t="shared" si="44"/>
        <v>-3.375189940119089</v>
      </c>
      <c r="V138" s="124"/>
      <c r="W138" s="140"/>
      <c r="X138" s="1200"/>
      <c r="Y138" s="1289" t="str">
        <f t="shared" si="34"/>
        <v>Wokingham</v>
      </c>
      <c r="Z138" s="815">
        <f>IF(ISNUMBER(H138),IDACI!D30,0)</f>
        <v>33327</v>
      </c>
      <c r="AA138" s="815">
        <f>IF(ISNUMBER(H138),IDACI!E30,0)</f>
        <v>1866.3120000000004</v>
      </c>
      <c r="AB138" s="572">
        <f>IF(ISNUMBER(D138),Population!D31,"")</f>
        <v>36900</v>
      </c>
      <c r="AC138" s="572">
        <f>IF(ISNUMBER(E138),Population!E31,"")</f>
        <v>37300</v>
      </c>
      <c r="AD138" s="572">
        <f>IF(ISNUMBER(F138),Population!F31,"")</f>
        <v>38000</v>
      </c>
      <c r="AE138" s="572">
        <f>IF(ISNUMBER(G138),Population!G31,"")</f>
        <v>38700</v>
      </c>
      <c r="AF138" s="572">
        <f>IF(ISNUMBER(H138),Population!H31,"")</f>
        <v>39500</v>
      </c>
      <c r="AG138" s="199"/>
      <c r="AH138" s="199"/>
      <c r="AI138" s="1284"/>
      <c r="AJ138" s="199"/>
      <c r="AK138" s="1197"/>
      <c r="AL138" s="792">
        <f t="shared" si="47"/>
        <v>-0.12820512820512819</v>
      </c>
      <c r="AM138" s="792">
        <f t="shared" si="48"/>
        <v>-8.8235294117647065E-2</v>
      </c>
      <c r="AN138" s="792">
        <f t="shared" si="49"/>
        <v>0.16129032258064516</v>
      </c>
      <c r="AO138" s="792">
        <f t="shared" si="50"/>
        <v>0.61111111111111116</v>
      </c>
      <c r="AP138" s="792">
        <f t="shared" si="51"/>
        <v>0.13899025284224525</v>
      </c>
      <c r="AR138" s="888">
        <f t="shared" si="52"/>
        <v>9.1152815013404833</v>
      </c>
      <c r="AS138" s="888">
        <f t="shared" si="35"/>
        <v>8.1578947368421044</v>
      </c>
      <c r="AT138" s="888">
        <f t="shared" si="36"/>
        <v>9.3023255813953494</v>
      </c>
      <c r="AU138" s="888">
        <f t="shared" si="55"/>
        <v>14.683544303797468</v>
      </c>
      <c r="AV138" s="888">
        <f t="shared" si="56"/>
        <v>41.259046123375406</v>
      </c>
      <c r="AW138" s="550">
        <f t="shared" si="57"/>
        <v>0</v>
      </c>
      <c r="AX138" s="888">
        <f t="shared" ref="AX138:AX140" si="59">AV138/(4-AW138)*4</f>
        <v>41.259046123375406</v>
      </c>
    </row>
    <row r="139" spans="1:59" s="89" customFormat="1" ht="13.5" customHeight="1" x14ac:dyDescent="0.2">
      <c r="A139" s="123"/>
      <c r="B139" s="131" t="str">
        <f>Sheet1!$K$26</f>
        <v>South East</v>
      </c>
      <c r="C139" s="87"/>
      <c r="D139" s="132">
        <f>IF(Year1_SouthEast Year1_Adoption_ceased_LAC="","",Year1_SouthEast Year1_Adoption_ceased_LAC)</f>
        <v>4090</v>
      </c>
      <c r="E139" s="132">
        <f>IF(Year2_SouthEast Year2_Adoption_ceased_LAC="","",Year2_SouthEast Year2_Adoption_ceased_LAC)</f>
        <v>4650</v>
      </c>
      <c r="F139" s="132">
        <f>IF(Year3_SouthEast Year3_Adoption_ceased_LAC="","",Year3_SouthEast Year3_Adoption_ceased_LAC)</f>
        <v>4650</v>
      </c>
      <c r="G139" s="132">
        <f>IF(Year4_SouthEast Year4_Adoption_ceased_LAC="","",Year4_SouthEast Year4_Adoption_ceased_LAC)</f>
        <v>4310</v>
      </c>
      <c r="H139" s="133">
        <f>IF(Year5_SouthEast Year5_Adoption_ceased_LAC="","",Year5_SouthEast Year5_Adoption_ceased_LAC)</f>
        <v>4140</v>
      </c>
      <c r="I139" s="350">
        <f t="shared" si="40"/>
        <v>6.0894700952735768E-3</v>
      </c>
      <c r="J139" s="98"/>
      <c r="K139" s="134">
        <f>IF(ISNUMBER(D139),D139/Population!D32*10000,NA())</f>
        <v>21.478836256695722</v>
      </c>
      <c r="L139" s="134">
        <f>IF(ISNUMBER(E139),E139/Population!E32*10000,NA())</f>
        <v>24.242740211667797</v>
      </c>
      <c r="M139" s="134">
        <f>IF(ISNUMBER(F139),F139/Population!F32*10000,NA())</f>
        <v>24.05338299193048</v>
      </c>
      <c r="N139" s="134">
        <f>IF(ISNUMBER(G139),G139/Population!G32*10000,NA())</f>
        <v>22.171922423993006</v>
      </c>
      <c r="O139" s="135">
        <f>IF(ISNUMBER(H139),H139/Population!H32*10000,NA())</f>
        <v>21.149425287356323</v>
      </c>
      <c r="P139" s="101">
        <f t="shared" si="41"/>
        <v>21.149425287356323</v>
      </c>
      <c r="Q139" s="329" t="str">
        <f t="shared" si="54"/>
        <v>--</v>
      </c>
      <c r="R139" s="69"/>
      <c r="S139" s="331">
        <f>AA139/Z139*100</f>
        <v>12.371268250968637</v>
      </c>
      <c r="T139" s="331">
        <f t="shared" si="43"/>
        <v>24.730643592997275</v>
      </c>
      <c r="U139" s="336">
        <f t="shared" si="44"/>
        <v>-3.5812183056409523</v>
      </c>
      <c r="V139" s="124"/>
      <c r="W139" s="140"/>
      <c r="X139" s="1200"/>
      <c r="Y139" s="1289" t="str">
        <f t="shared" si="34"/>
        <v>South East</v>
      </c>
      <c r="Z139" s="815">
        <f>SUM(Z131:Z132,Z117:Z129,Z135:Z138)</f>
        <v>1704978</v>
      </c>
      <c r="AA139" s="815">
        <f>SUM(AA131:AA132,AA117:AA129,AA135:AA138)</f>
        <v>210927.40200000003</v>
      </c>
      <c r="AB139" s="572">
        <f>SUM(AB117:AB129,AB131:AB132,AB135:AB138)</f>
        <v>1904400</v>
      </c>
      <c r="AC139" s="572">
        <f t="shared" ref="AC139:AF139" si="60">SUM(AC117:AC129,AC131:AC132,AC135:AC138)</f>
        <v>1918100</v>
      </c>
      <c r="AD139" s="572">
        <f t="shared" si="60"/>
        <v>1933100</v>
      </c>
      <c r="AE139" s="572">
        <f t="shared" si="60"/>
        <v>1943900</v>
      </c>
      <c r="AF139" s="572">
        <f t="shared" si="60"/>
        <v>1957400</v>
      </c>
      <c r="AG139" s="199"/>
      <c r="AH139" s="199"/>
      <c r="AI139" s="1284"/>
      <c r="AJ139" s="199"/>
      <c r="AK139" s="1197"/>
      <c r="AL139" s="792">
        <f t="shared" si="47"/>
        <v>0.13691931540342298</v>
      </c>
      <c r="AM139" s="792">
        <f t="shared" si="48"/>
        <v>0</v>
      </c>
      <c r="AN139" s="792">
        <f t="shared" si="49"/>
        <v>-7.3118279569892475E-2</v>
      </c>
      <c r="AO139" s="792">
        <f t="shared" si="50"/>
        <v>-3.9443155452436193E-2</v>
      </c>
      <c r="AP139" s="792">
        <f t="shared" si="51"/>
        <v>6.0894700952735768E-3</v>
      </c>
      <c r="AR139" s="888">
        <f t="shared" si="52"/>
        <v>24.242740211667797</v>
      </c>
      <c r="AS139" s="888">
        <f t="shared" si="35"/>
        <v>24.05338299193048</v>
      </c>
      <c r="AT139" s="888">
        <f t="shared" si="36"/>
        <v>22.171922423993006</v>
      </c>
      <c r="AU139" s="888">
        <f t="shared" si="55"/>
        <v>21.149425287356323</v>
      </c>
      <c r="AV139" s="888">
        <f t="shared" si="56"/>
        <v>91.617470914947603</v>
      </c>
      <c r="AW139" s="550">
        <f t="shared" si="57"/>
        <v>0</v>
      </c>
      <c r="AX139" s="888">
        <f t="shared" si="59"/>
        <v>91.617470914947603</v>
      </c>
    </row>
    <row r="140" spans="1:59" s="89" customFormat="1" ht="13.5" customHeight="1" x14ac:dyDescent="0.2">
      <c r="A140" s="286"/>
      <c r="B140" s="318" t="str">
        <f>Sheet1!$K$27</f>
        <v>England</v>
      </c>
      <c r="C140" s="87"/>
      <c r="D140" s="319">
        <f>IF(Year1_England Year1_Adoption_ceased_LAC="","",Year1_England Year1_Adoption_ceased_LAC)</f>
        <v>31350</v>
      </c>
      <c r="E140" s="319">
        <f>IF(Year2_England Year2_Adoption_ceased_LAC="","",Year2_England Year2_Adoption_ceased_LAC)</f>
        <v>31860</v>
      </c>
      <c r="F140" s="319">
        <f>IF(Year3_England Year3_Adoption_ceased_LAC="","",Year3_England Year3_Adoption_ceased_LAC)</f>
        <v>31400</v>
      </c>
      <c r="G140" s="319">
        <f>IF(Year4_England Year4_Adoption_ceased_LAC="","",Year4_England Year4_Adoption_ceased_LAC)</f>
        <v>30050</v>
      </c>
      <c r="H140" s="320">
        <f>IF(Year5_England Year5_Adoption_ceased_LAC="","",Year5_England Year5_Adoption_ceased_LAC)</f>
        <v>29460</v>
      </c>
      <c r="I140" s="351">
        <f t="shared" si="40"/>
        <v>-1.5199449599419209E-2</v>
      </c>
      <c r="J140" s="98"/>
      <c r="K140" s="321">
        <f>IF(ISNUMBER(D140),D140/Population!D33*10000,NA())</f>
        <v>27.045213385439581</v>
      </c>
      <c r="L140" s="321">
        <f>IF(ISNUMBER(E140),E140/Population!E33*10000,NA())</f>
        <v>27.282302468765788</v>
      </c>
      <c r="M140" s="321">
        <f>IF(ISNUMBER(F140),F140/Population!F33*10000,NA())</f>
        <v>26.643360796924984</v>
      </c>
      <c r="N140" s="321">
        <f>IF(ISNUMBER(G140),G140/Population!G33*10000,NA())</f>
        <v>25.322322406673972</v>
      </c>
      <c r="O140" s="345">
        <f>IF(ISNUMBER(H140),H140/Population!H33*10000,NA())</f>
        <v>24.643233566995132</v>
      </c>
      <c r="P140" s="727"/>
      <c r="Q140" s="330" t="str">
        <f t="shared" si="54"/>
        <v>--</v>
      </c>
      <c r="R140" s="69"/>
      <c r="S140" s="332">
        <f>IDACI!C32</f>
        <v>17.084413405029373</v>
      </c>
      <c r="T140" s="332">
        <f t="shared" si="43"/>
        <v>29.374629926348341</v>
      </c>
      <c r="U140" s="598">
        <f t="shared" si="44"/>
        <v>-4.7313963593532087</v>
      </c>
      <c r="V140" s="124"/>
      <c r="W140" s="140"/>
      <c r="X140" s="1200"/>
      <c r="Y140" s="1289" t="str">
        <f t="shared" si="34"/>
        <v>England</v>
      </c>
      <c r="Z140" s="815">
        <f>IF(H140&gt;0,IDACI!D169,0)</f>
        <v>0</v>
      </c>
      <c r="AA140" s="815">
        <f>IF(H140&gt;0,IDACI!E169,0)</f>
        <v>0</v>
      </c>
      <c r="AB140" s="572">
        <f>IF(ISNUMBER(D140),Population!D33,"")</f>
        <v>11591700</v>
      </c>
      <c r="AC140" s="572">
        <f>IF(ISNUMBER(E140),Population!E33,"")</f>
        <v>11677900</v>
      </c>
      <c r="AD140" s="572">
        <f>IF(ISNUMBER(F140),Population!F33,"")</f>
        <v>11785300</v>
      </c>
      <c r="AE140" s="572">
        <f>IF(ISNUMBER(G140),Population!G33,"")</f>
        <v>11867000</v>
      </c>
      <c r="AF140" s="572">
        <f>IF(ISNUMBER(H140),Population!H33,"")</f>
        <v>11954600</v>
      </c>
      <c r="AG140" s="199"/>
      <c r="AH140" s="199"/>
      <c r="AI140" s="1284"/>
      <c r="AJ140" s="199"/>
      <c r="AK140" s="1197"/>
      <c r="AL140" s="792">
        <f t="shared" si="47"/>
        <v>1.6267942583732056E-2</v>
      </c>
      <c r="AM140" s="792">
        <f t="shared" si="48"/>
        <v>-1.4438166980539862E-2</v>
      </c>
      <c r="AN140" s="792">
        <f t="shared" si="49"/>
        <v>-4.2993630573248405E-2</v>
      </c>
      <c r="AO140" s="792">
        <f t="shared" si="50"/>
        <v>-1.9633943427620631E-2</v>
      </c>
      <c r="AP140" s="792">
        <f>AVERAGE(AL140:AO140)</f>
        <v>-1.5199449599419209E-2</v>
      </c>
      <c r="AR140" s="888">
        <f t="shared" si="52"/>
        <v>27.282302468765788</v>
      </c>
      <c r="AS140" s="888">
        <f t="shared" si="35"/>
        <v>26.643360796924984</v>
      </c>
      <c r="AT140" s="888">
        <f t="shared" si="36"/>
        <v>25.322322406673972</v>
      </c>
      <c r="AU140" s="888">
        <f t="shared" si="55"/>
        <v>24.643233566995132</v>
      </c>
      <c r="AV140" s="888">
        <f t="shared" si="56"/>
        <v>103.89121923935988</v>
      </c>
      <c r="AW140" s="550">
        <f t="shared" si="57"/>
        <v>0</v>
      </c>
      <c r="AX140" s="888">
        <f t="shared" si="59"/>
        <v>103.89121923935988</v>
      </c>
    </row>
    <row r="141" spans="1:59" s="83" customFormat="1" ht="13.5" customHeight="1" x14ac:dyDescent="0.2">
      <c r="A141" s="120"/>
      <c r="B141" s="125" t="s">
        <v>90</v>
      </c>
      <c r="C141" s="63"/>
      <c r="D141" s="63"/>
      <c r="E141" s="63"/>
      <c r="F141" s="63"/>
      <c r="G141" s="63"/>
      <c r="H141" s="63"/>
      <c r="I141" s="63"/>
      <c r="J141" s="63"/>
      <c r="K141" s="63"/>
      <c r="L141" s="63"/>
      <c r="M141" s="63"/>
      <c r="N141" s="63"/>
      <c r="O141" s="63"/>
      <c r="P141" s="63"/>
      <c r="Q141" s="137" t="s">
        <v>109</v>
      </c>
      <c r="S141" s="63"/>
      <c r="T141" s="63"/>
      <c r="U141" s="63"/>
      <c r="V141" s="119"/>
      <c r="W141" s="138"/>
      <c r="X141" s="1194"/>
      <c r="Y141" s="179"/>
      <c r="Z141" s="179"/>
      <c r="AA141" s="179"/>
      <c r="AB141" s="179"/>
      <c r="AC141" s="179"/>
      <c r="AD141" s="179"/>
      <c r="AE141" s="179"/>
      <c r="AF141" s="179"/>
      <c r="AG141" s="179"/>
      <c r="AH141" s="179"/>
      <c r="AI141" s="1276"/>
      <c r="AJ141" s="179"/>
      <c r="AK141" s="1195"/>
    </row>
    <row r="142" spans="1:59" s="83" customFormat="1" ht="25.5" customHeight="1" x14ac:dyDescent="0.2">
      <c r="A142" s="120"/>
      <c r="B142" s="1580"/>
      <c r="C142" s="1581"/>
      <c r="D142" s="1581"/>
      <c r="E142" s="1581"/>
      <c r="F142" s="1581"/>
      <c r="G142" s="1581"/>
      <c r="H142" s="1581"/>
      <c r="I142" s="1581"/>
      <c r="J142" s="1581"/>
      <c r="K142" s="1581"/>
      <c r="L142" s="1581"/>
      <c r="M142" s="1581"/>
      <c r="N142" s="1581"/>
      <c r="O142" s="1581"/>
      <c r="P142" s="1581"/>
      <c r="Q142" s="1581"/>
      <c r="R142" s="1581"/>
      <c r="S142" s="1581"/>
      <c r="T142" s="1581"/>
      <c r="U142" s="1582"/>
      <c r="V142" s="119"/>
      <c r="W142" s="138"/>
      <c r="X142" s="1194"/>
      <c r="Y142" s="179"/>
      <c r="Z142" s="179"/>
      <c r="AA142" s="179"/>
      <c r="AB142" s="179"/>
      <c r="AC142" s="179"/>
      <c r="AD142" s="179"/>
      <c r="AE142" s="179"/>
      <c r="AF142" s="179"/>
      <c r="AG142" s="179"/>
      <c r="AH142" s="179"/>
      <c r="AI142" s="1276"/>
      <c r="AJ142" s="179"/>
      <c r="AK142" s="1196"/>
      <c r="AL142" s="76"/>
      <c r="AM142" s="76"/>
      <c r="AN142" s="76"/>
      <c r="AO142" s="76"/>
      <c r="AP142" s="76"/>
      <c r="AQ142" s="76"/>
      <c r="AR142" s="76"/>
    </row>
    <row r="143" spans="1:59" s="83" customFormat="1" ht="7.5" customHeight="1" x14ac:dyDescent="0.2">
      <c r="A143" s="120"/>
      <c r="B143" s="18"/>
      <c r="C143" s="18"/>
      <c r="D143" s="17"/>
      <c r="E143" s="17"/>
      <c r="F143" s="17"/>
      <c r="G143" s="17"/>
      <c r="H143" s="17"/>
      <c r="I143" s="17"/>
      <c r="J143" s="13"/>
      <c r="K143" s="19"/>
      <c r="L143" s="19"/>
      <c r="M143" s="19"/>
      <c r="N143" s="19"/>
      <c r="O143" s="19"/>
      <c r="P143" s="19"/>
      <c r="Q143" s="19"/>
      <c r="R143" s="19"/>
      <c r="S143" s="19"/>
      <c r="T143" s="19"/>
      <c r="U143" s="20"/>
      <c r="V143" s="119"/>
      <c r="W143" s="138"/>
      <c r="X143" s="1194"/>
      <c r="Y143" s="1276"/>
      <c r="Z143" s="1284"/>
      <c r="AA143" s="1276"/>
      <c r="AB143" s="1276"/>
      <c r="AC143" s="1276"/>
      <c r="AD143" s="1276"/>
      <c r="AE143" s="1276"/>
      <c r="AF143" s="1276"/>
      <c r="AG143" s="1276"/>
      <c r="AH143" s="1276"/>
      <c r="AI143" s="1276"/>
      <c r="AJ143" s="179"/>
      <c r="AK143" s="1196"/>
      <c r="AL143" s="76"/>
      <c r="AM143" s="76"/>
      <c r="AN143" s="76"/>
      <c r="AO143" s="76"/>
      <c r="AP143" s="76"/>
      <c r="AQ143" s="76"/>
      <c r="AR143" s="76"/>
    </row>
    <row r="144" spans="1:59" s="83" customFormat="1" ht="15" customHeight="1" x14ac:dyDescent="0.2">
      <c r="A144" s="1399"/>
      <c r="B144" s="1421"/>
      <c r="C144" s="1421"/>
      <c r="D144" s="1421"/>
      <c r="E144" s="1421"/>
      <c r="F144" s="1421"/>
      <c r="G144" s="1421"/>
      <c r="H144" s="1421"/>
      <c r="I144" s="1421"/>
      <c r="J144" s="1421"/>
      <c r="K144" s="1421"/>
      <c r="L144" s="1421"/>
      <c r="M144" s="1421"/>
      <c r="N144" s="1421"/>
      <c r="O144" s="1421"/>
      <c r="P144" s="1421"/>
      <c r="Q144" s="1421"/>
      <c r="R144" s="1421"/>
      <c r="S144" s="1421"/>
      <c r="T144" s="1421"/>
      <c r="U144" s="1421"/>
      <c r="V144" s="1422"/>
      <c r="W144" s="138"/>
      <c r="X144" s="1194"/>
      <c r="Y144" s="1276"/>
      <c r="Z144" s="1284"/>
      <c r="AA144" s="1276"/>
      <c r="AB144" s="1276"/>
      <c r="AC144" s="1276"/>
      <c r="AD144" s="1276"/>
      <c r="AE144" s="1276"/>
      <c r="AF144" s="1276"/>
      <c r="AG144" s="1276"/>
      <c r="AH144" s="1276"/>
      <c r="AI144" s="1276"/>
      <c r="AJ144" s="1276"/>
      <c r="AK144" s="1195"/>
      <c r="AM144" s="83">
        <f>COLUMNS($B$4:K$4)</f>
        <v>10</v>
      </c>
      <c r="AN144" s="83">
        <f>COLUMNS($B$4:L$4)</f>
        <v>11</v>
      </c>
      <c r="AO144" s="83">
        <f>COLUMNS($B$4:M$4)</f>
        <v>12</v>
      </c>
      <c r="AP144" s="83">
        <f>COLUMNS($B$4:N$4)</f>
        <v>13</v>
      </c>
      <c r="AQ144" s="83">
        <f>COLUMNS($B$4:O$4)</f>
        <v>14</v>
      </c>
      <c r="AR144" s="83">
        <f>COLUMNS($B$4:S$4)</f>
        <v>18</v>
      </c>
      <c r="AS144" s="83">
        <v>3</v>
      </c>
      <c r="AT144" s="25">
        <v>4</v>
      </c>
      <c r="AU144" s="25">
        <v>5</v>
      </c>
      <c r="AV144" s="25">
        <v>6</v>
      </c>
      <c r="AW144" s="24">
        <v>7</v>
      </c>
      <c r="AX144" s="83">
        <v>3</v>
      </c>
      <c r="AY144" s="25">
        <v>4</v>
      </c>
      <c r="AZ144" s="25">
        <v>5</v>
      </c>
      <c r="BA144" s="25">
        <v>6</v>
      </c>
      <c r="BB144" s="24">
        <v>7</v>
      </c>
      <c r="BC144" s="83">
        <v>3</v>
      </c>
      <c r="BD144" s="25">
        <v>4</v>
      </c>
      <c r="BE144" s="25">
        <v>5</v>
      </c>
      <c r="BF144" s="25">
        <v>6</v>
      </c>
      <c r="BG144" s="24">
        <v>7</v>
      </c>
    </row>
    <row r="145" spans="1:69" s="83" customFormat="1" ht="11.25" customHeight="1" x14ac:dyDescent="0.2">
      <c r="A145" s="1428" t="str">
        <f>Home!$A$40</f>
        <v>LA's provide quarterly data on the condition that it is used by the benchmarking group for internal reporting only. Please DO NOT share other LA's data with any external partners or the public</v>
      </c>
      <c r="B145" s="1429"/>
      <c r="C145" s="1429"/>
      <c r="D145" s="1429"/>
      <c r="E145" s="1429"/>
      <c r="F145" s="1429"/>
      <c r="G145" s="1429"/>
      <c r="H145" s="1429"/>
      <c r="I145" s="1430"/>
      <c r="J145" s="1429"/>
      <c r="K145" s="1429"/>
      <c r="L145" s="1429"/>
      <c r="M145" s="1429"/>
      <c r="N145" s="1429"/>
      <c r="O145" s="1429"/>
      <c r="P145" s="1431"/>
      <c r="Q145" s="1429"/>
      <c r="R145" s="1429"/>
      <c r="S145" s="1429"/>
      <c r="T145" s="1430"/>
      <c r="U145" s="1429"/>
      <c r="V145" s="1432"/>
      <c r="W145" s="138"/>
      <c r="X145" s="1194"/>
      <c r="Y145" s="1276"/>
      <c r="Z145" s="1280" t="s">
        <v>784</v>
      </c>
      <c r="AA145" s="1276"/>
      <c r="AB145" s="1276"/>
      <c r="AC145" s="1276"/>
      <c r="AD145" s="1276"/>
      <c r="AE145" s="1276"/>
      <c r="AF145" s="1276"/>
      <c r="AG145" s="1276"/>
      <c r="AH145" s="1276"/>
      <c r="AI145" s="1276"/>
      <c r="AJ145" s="179"/>
      <c r="AK145" s="1197"/>
      <c r="AL145" s="89"/>
      <c r="AM145" s="772" t="s">
        <v>89</v>
      </c>
      <c r="AN145" s="773"/>
      <c r="AO145" s="773"/>
      <c r="AP145" s="773"/>
      <c r="AQ145" s="773"/>
      <c r="AR145" s="772" t="s">
        <v>95</v>
      </c>
      <c r="AS145" s="56" t="s">
        <v>1124</v>
      </c>
      <c r="AT145" s="25"/>
      <c r="AU145" s="25"/>
      <c r="AV145" s="25"/>
      <c r="AW145" s="24"/>
      <c r="AX145" s="56" t="str">
        <f>B216</f>
        <v>Children ceasing to be Looked After in period who were 
granted a Child Arrangement Order (%)</v>
      </c>
      <c r="AY145" s="25"/>
      <c r="AZ145" s="25"/>
      <c r="BA145" s="25"/>
      <c r="BB145" s="24"/>
      <c r="BC145" s="56" t="str">
        <f>B252</f>
        <v>Children ceasing to be Looked After in period who were 
granted a Special Guardianship Order (%)</v>
      </c>
      <c r="BD145" s="25"/>
      <c r="BE145" s="25"/>
      <c r="BF145" s="25"/>
      <c r="BG145" s="24"/>
    </row>
    <row r="146" spans="1:69" s="83" customFormat="1" ht="11.25" customHeight="1" x14ac:dyDescent="0.2">
      <c r="A146" s="114"/>
      <c r="B146" s="115"/>
      <c r="C146" s="115"/>
      <c r="D146" s="115"/>
      <c r="E146" s="115"/>
      <c r="F146" s="115"/>
      <c r="G146" s="115"/>
      <c r="H146" s="115"/>
      <c r="I146" s="115"/>
      <c r="J146" s="116"/>
      <c r="K146" s="115"/>
      <c r="L146" s="115"/>
      <c r="M146" s="115"/>
      <c r="N146" s="115"/>
      <c r="O146" s="115"/>
      <c r="P146" s="115"/>
      <c r="Q146" s="115"/>
      <c r="R146" s="115"/>
      <c r="S146" s="115"/>
      <c r="T146" s="115"/>
      <c r="U146" s="115"/>
      <c r="V146" s="117"/>
      <c r="W146" s="138"/>
      <c r="X146" s="1201"/>
      <c r="Y146" s="1283"/>
      <c r="Z146" s="1229" t="str">
        <f>IF(Sheet1!$C$3="Annual","",Sheet1!$D$26)</f>
        <v/>
      </c>
      <c r="AA146" s="1229" t="str">
        <f>IF(Sheet1!$C$3="Annual","",Sheet1!$E$26)</f>
        <v/>
      </c>
      <c r="AB146" s="1229" t="str">
        <f>IF(Sheet1!$C$3="Annual","",Sheet1!$F$26)</f>
        <v/>
      </c>
      <c r="AC146" s="1229" t="str">
        <f>IF(Sheet1!$C$3="Annual","",Sheet1!$G$26)</f>
        <v/>
      </c>
      <c r="AD146" s="1229" t="str">
        <f>IF(Sheet1!$C$3="Annual","",Sheet1!$H$26)</f>
        <v/>
      </c>
      <c r="AE146" s="1276"/>
      <c r="AF146" s="1276"/>
      <c r="AG146" s="1276"/>
      <c r="AH146" s="1276"/>
      <c r="AI146" s="1276"/>
      <c r="AJ146" s="179"/>
      <c r="AK146" s="1197"/>
      <c r="AL146" s="89"/>
      <c r="AM146" s="730" t="str">
        <f>IF(Sheet1!$C$3="Annual","",Sheet1!$D$26)</f>
        <v/>
      </c>
      <c r="AN146" s="730" t="str">
        <f>IF(Sheet1!$C$3="Annual","",Sheet1!$E$26)</f>
        <v/>
      </c>
      <c r="AO146" s="730" t="str">
        <f>IF(Sheet1!$C$3="Annual","",Sheet1!$F$26)</f>
        <v/>
      </c>
      <c r="AP146" s="730" t="str">
        <f>IF(Sheet1!$C$3="Annual","",Sheet1!$G$26)</f>
        <v/>
      </c>
      <c r="AQ146" s="730" t="str">
        <f>IF(Sheet1!$C$3="Annual","",Sheet1!$H$26)</f>
        <v/>
      </c>
      <c r="AR146" s="773"/>
      <c r="AS146" s="730" t="str">
        <f>IF(Sheet1!$C$3="Annual","",Sheet1!$D$26)</f>
        <v/>
      </c>
      <c r="AT146" s="730" t="str">
        <f>IF(Sheet1!$C$3="Annual","",Sheet1!$E$26)</f>
        <v/>
      </c>
      <c r="AU146" s="730" t="str">
        <f>IF(Sheet1!$C$3="Annual","",Sheet1!$F$26)</f>
        <v/>
      </c>
      <c r="AV146" s="730" t="str">
        <f>IF(Sheet1!$C$3="Annual","",Sheet1!$G$26)</f>
        <v/>
      </c>
      <c r="AW146" s="730" t="str">
        <f>IF(Sheet1!$C$3="Annual","",Sheet1!$H$26)</f>
        <v/>
      </c>
      <c r="AX146" s="1227" t="str">
        <f>IF(Sheet1!$C$3="Annual","",Sheet1!$D$26)</f>
        <v/>
      </c>
      <c r="AY146" s="1227" t="str">
        <f>IF(Sheet1!$C$3="Annual","",Sheet1!$E$26)</f>
        <v/>
      </c>
      <c r="AZ146" s="1227" t="str">
        <f>IF(Sheet1!$C$3="Annual","",Sheet1!$F$26)</f>
        <v/>
      </c>
      <c r="BA146" s="1227" t="str">
        <f>IF(Sheet1!$C$3="Annual","",Sheet1!$G$26)</f>
        <v/>
      </c>
      <c r="BB146" s="1227" t="str">
        <f>IF(Sheet1!$C$3="Annual","",Sheet1!$H$26)</f>
        <v/>
      </c>
      <c r="BC146" s="1227" t="str">
        <f>IF(Sheet1!$C$3="Annual","",Sheet1!$D$26)</f>
        <v/>
      </c>
      <c r="BD146" s="1227" t="str">
        <f>IF(Sheet1!$C$3="Annual","",Sheet1!$E$26)</f>
        <v/>
      </c>
      <c r="BE146" s="1227" t="str">
        <f>IF(Sheet1!$C$3="Annual","",Sheet1!$F$26)</f>
        <v/>
      </c>
      <c r="BF146" s="1227" t="str">
        <f>IF(Sheet1!$C$3="Annual","",Sheet1!$G$26)</f>
        <v/>
      </c>
      <c r="BG146" s="1227" t="str">
        <f>IF(Sheet1!$C$3="Annual","",Sheet1!$H$26)</f>
        <v/>
      </c>
    </row>
    <row r="147" spans="1:69" s="83" customFormat="1" ht="22.5" customHeight="1" x14ac:dyDescent="0.25">
      <c r="A147" s="118"/>
      <c r="B147" s="9"/>
      <c r="C147" s="9"/>
      <c r="D147" s="9"/>
      <c r="E147" s="9"/>
      <c r="F147" s="9"/>
      <c r="G147" s="9"/>
      <c r="H147" s="9"/>
      <c r="I147" s="9"/>
      <c r="J147" s="13"/>
      <c r="K147" s="9"/>
      <c r="L147" s="9"/>
      <c r="M147" s="9"/>
      <c r="N147" s="9"/>
      <c r="O147" s="9"/>
      <c r="P147" s="9"/>
      <c r="Q147" s="9"/>
      <c r="R147" s="9"/>
      <c r="S147" s="9"/>
      <c r="T147" s="9"/>
      <c r="U147" s="9"/>
      <c r="V147" s="119"/>
      <c r="W147" s="138"/>
      <c r="X147" s="1202"/>
      <c r="Y147" s="1276"/>
      <c r="Z147" s="1229" t="str">
        <f>Sheet1!$D$25</f>
        <v>2014-15</v>
      </c>
      <c r="AA147" s="1229" t="str">
        <f>Sheet1!$E$25</f>
        <v>2015-16</v>
      </c>
      <c r="AB147" s="1229" t="str">
        <f>Sheet1!$F$25</f>
        <v>2016-17</v>
      </c>
      <c r="AC147" s="1229" t="str">
        <f>Sheet1!$G$25</f>
        <v>2017-18</v>
      </c>
      <c r="AD147" s="1229" t="str">
        <f>Sheet1!$H$25</f>
        <v>2018-19</v>
      </c>
      <c r="AE147" s="1276"/>
      <c r="AF147" s="1276"/>
      <c r="AG147" s="1276"/>
      <c r="AH147" s="1276"/>
      <c r="AI147" s="1276"/>
      <c r="AJ147" s="1276"/>
      <c r="AK147" s="1197"/>
      <c r="AL147" s="89"/>
      <c r="AM147" s="730" t="str">
        <f>Sheet1!$D$25</f>
        <v>2014-15</v>
      </c>
      <c r="AN147" s="730" t="str">
        <f>Sheet1!$E$25</f>
        <v>2015-16</v>
      </c>
      <c r="AO147" s="730" t="str">
        <f>Sheet1!$F$25</f>
        <v>2016-17</v>
      </c>
      <c r="AP147" s="730" t="str">
        <f>Sheet1!$G$25</f>
        <v>2017-18</v>
      </c>
      <c r="AQ147" s="730" t="str">
        <f>Sheet1!$H$25</f>
        <v>2018-19</v>
      </c>
      <c r="AR147" s="773"/>
      <c r="AS147" s="730" t="str">
        <f>Sheet1!$D$25</f>
        <v>2014-15</v>
      </c>
      <c r="AT147" s="730" t="str">
        <f>Sheet1!$E$25</f>
        <v>2015-16</v>
      </c>
      <c r="AU147" s="730" t="str">
        <f>Sheet1!$F$25</f>
        <v>2016-17</v>
      </c>
      <c r="AV147" s="730" t="str">
        <f>Sheet1!$G$25</f>
        <v>2017-18</v>
      </c>
      <c r="AW147" s="730" t="str">
        <f>Sheet1!$H$25</f>
        <v>2018-19</v>
      </c>
      <c r="AX147" s="1227" t="str">
        <f>Sheet1!$D$25</f>
        <v>2014-15</v>
      </c>
      <c r="AY147" s="1227" t="str">
        <f>Sheet1!$E$25</f>
        <v>2015-16</v>
      </c>
      <c r="AZ147" s="1227" t="str">
        <f>Sheet1!$F$25</f>
        <v>2016-17</v>
      </c>
      <c r="BA147" s="1227" t="str">
        <f>Sheet1!$G$25</f>
        <v>2017-18</v>
      </c>
      <c r="BB147" s="1227" t="str">
        <f>Sheet1!$H$25</f>
        <v>2018-19</v>
      </c>
      <c r="BC147" s="1227" t="str">
        <f>Sheet1!$D$25</f>
        <v>2014-15</v>
      </c>
      <c r="BD147" s="1227" t="str">
        <f>Sheet1!$E$25</f>
        <v>2015-16</v>
      </c>
      <c r="BE147" s="1227" t="str">
        <f>Sheet1!$F$25</f>
        <v>2016-17</v>
      </c>
      <c r="BF147" s="1227" t="str">
        <f>Sheet1!$G$25</f>
        <v>2017-18</v>
      </c>
      <c r="BG147" s="1227" t="str">
        <f>Sheet1!$H$25</f>
        <v>2018-19</v>
      </c>
    </row>
    <row r="148" spans="1:69" s="83" customFormat="1" ht="13.5" customHeight="1" x14ac:dyDescent="0.2">
      <c r="A148" s="120"/>
      <c r="B148" s="9"/>
      <c r="C148" s="9"/>
      <c r="D148" s="9"/>
      <c r="E148" s="9"/>
      <c r="F148" s="9"/>
      <c r="G148" s="9"/>
      <c r="H148" s="9"/>
      <c r="I148" s="9"/>
      <c r="J148" s="13"/>
      <c r="K148" s="9"/>
      <c r="L148" s="9"/>
      <c r="M148" s="9"/>
      <c r="N148" s="9"/>
      <c r="O148" s="9"/>
      <c r="P148" s="9"/>
      <c r="Q148" s="9"/>
      <c r="R148" s="9"/>
      <c r="S148" s="9"/>
      <c r="T148" s="9"/>
      <c r="U148" s="9"/>
      <c r="V148" s="119"/>
      <c r="W148" s="138"/>
      <c r="X148" s="1202"/>
      <c r="Y148" s="1289" t="s">
        <v>0</v>
      </c>
      <c r="Z148" s="1290">
        <f t="shared" ref="Z148:Z169" si="61">IF(ISNUMBER(D10),D117,0)</f>
        <v>58</v>
      </c>
      <c r="AA148" s="1290">
        <f t="shared" ref="AA148:AA169" si="62">IF(ISNUMBER(E10),E117,0)</f>
        <v>68</v>
      </c>
      <c r="AB148" s="1290">
        <f t="shared" ref="AB148:AB169" si="63">IF(ISNUMBER(F10),F117,0)</f>
        <v>49</v>
      </c>
      <c r="AC148" s="1290">
        <f t="shared" ref="AC148:AC169" si="64">IF(ISNUMBER(G10),G117,0)</f>
        <v>67</v>
      </c>
      <c r="AD148" s="1290">
        <f t="shared" ref="AD148:AD169" si="65">IF(ISNUMBER(H10),H117,0)</f>
        <v>65</v>
      </c>
      <c r="AE148" s="1276"/>
      <c r="AF148" s="1276"/>
      <c r="AG148" s="1276"/>
      <c r="AH148" s="1276"/>
      <c r="AI148" s="1276"/>
      <c r="AJ148" s="560" t="b">
        <f t="shared" ref="AJ148:AJ171" si="66">AJ41</f>
        <v>1</v>
      </c>
      <c r="AK148" s="1197" t="s">
        <v>0</v>
      </c>
      <c r="AL148" s="89" t="str">
        <f t="shared" ref="AL148:AL171" si="67">IF(AJ148=TRUE,B117,"")</f>
        <v>Bracknell Forest</v>
      </c>
      <c r="AM148" s="143">
        <f>VLOOKUP($AL148,$B$117:$O$140,AM$144,FALSE)</f>
        <v>20.863309352517987</v>
      </c>
      <c r="AN148" s="143">
        <f t="shared" ref="AN148:AQ163" si="68">VLOOKUP($AL148,$B$117:$O$140,AN$144,FALSE)</f>
        <v>24.113475177304963</v>
      </c>
      <c r="AO148" s="143">
        <f t="shared" si="68"/>
        <v>17.375886524822697</v>
      </c>
      <c r="AP148" s="143">
        <f t="shared" si="68"/>
        <v>23.843416370106763</v>
      </c>
      <c r="AQ148" s="143">
        <f t="shared" si="68"/>
        <v>22.968197879858657</v>
      </c>
      <c r="AR148" s="144">
        <f t="shared" ref="AR148:AR171" si="69">VLOOKUP(AL148,$B$10:$U$33,$AR$144,FALSE)</f>
        <v>8.9</v>
      </c>
      <c r="AS148" s="341" t="e">
        <f t="shared" ref="AS148:AW157" si="70">VLOOKUP($AL148,$B$184:$H$207,AS$37,FALSE)</f>
        <v>#N/A</v>
      </c>
      <c r="AT148" s="341">
        <f t="shared" si="70"/>
        <v>0.17647058823529413</v>
      </c>
      <c r="AU148" s="341">
        <f t="shared" si="70"/>
        <v>0.38775510204081631</v>
      </c>
      <c r="AV148" s="341">
        <f t="shared" si="70"/>
        <v>0.26865671641791045</v>
      </c>
      <c r="AW148" s="341" t="e">
        <f t="shared" si="70"/>
        <v>#N/A</v>
      </c>
      <c r="AX148" s="341" t="e">
        <f>VLOOKUP($AL148,$B$220:$H$243,AX$144,FALSE)</f>
        <v>#N/A</v>
      </c>
      <c r="AY148" s="341" t="e">
        <f t="shared" ref="AY148:BB163" si="71">VLOOKUP($AL148,$B$220:$H$243,AY$144,FALSE)</f>
        <v>#N/A</v>
      </c>
      <c r="AZ148" s="341" t="e">
        <f t="shared" si="71"/>
        <v>#N/A</v>
      </c>
      <c r="BA148" s="341" t="e">
        <f t="shared" si="71"/>
        <v>#N/A</v>
      </c>
      <c r="BB148" s="341" t="e">
        <f t="shared" si="71"/>
        <v>#N/A</v>
      </c>
      <c r="BC148" s="341">
        <f>VLOOKUP($AL148,$B$256:$H$279,BC$144,FALSE)</f>
        <v>0.17241379310344829</v>
      </c>
      <c r="BD148" s="341">
        <f t="shared" ref="BD148:BG163" si="72">VLOOKUP($AL148,$B$256:$H$279,BD$144,FALSE)</f>
        <v>0.14705882352941177</v>
      </c>
      <c r="BE148" s="341">
        <f t="shared" si="72"/>
        <v>0.20408163265306123</v>
      </c>
      <c r="BF148" s="341" t="e">
        <f t="shared" si="72"/>
        <v>#N/A</v>
      </c>
      <c r="BG148" s="341">
        <f t="shared" si="72"/>
        <v>0</v>
      </c>
    </row>
    <row r="149" spans="1:69" s="83" customFormat="1" ht="13.5" customHeight="1" x14ac:dyDescent="0.2">
      <c r="A149" s="120"/>
      <c r="B149" s="9"/>
      <c r="C149" s="9"/>
      <c r="D149" s="9"/>
      <c r="E149" s="9"/>
      <c r="F149" s="9"/>
      <c r="G149" s="9"/>
      <c r="H149" s="9"/>
      <c r="I149" s="9"/>
      <c r="J149" s="13"/>
      <c r="K149" s="9"/>
      <c r="L149" s="9"/>
      <c r="M149" s="9"/>
      <c r="N149" s="9"/>
      <c r="O149" s="9"/>
      <c r="P149" s="9"/>
      <c r="Q149" s="9"/>
      <c r="R149" s="9"/>
      <c r="S149" s="9"/>
      <c r="T149" s="9"/>
      <c r="U149" s="9"/>
      <c r="V149" s="119"/>
      <c r="W149" s="138"/>
      <c r="X149" s="1202"/>
      <c r="Y149" s="1289" t="s">
        <v>31</v>
      </c>
      <c r="Z149" s="1290">
        <f t="shared" si="61"/>
        <v>192</v>
      </c>
      <c r="AA149" s="1290">
        <f t="shared" si="62"/>
        <v>245</v>
      </c>
      <c r="AB149" s="1290">
        <f t="shared" si="63"/>
        <v>179</v>
      </c>
      <c r="AC149" s="1290">
        <f t="shared" si="64"/>
        <v>176</v>
      </c>
      <c r="AD149" s="1290">
        <f t="shared" si="65"/>
        <v>187</v>
      </c>
      <c r="AE149" s="1276"/>
      <c r="AF149" s="1276"/>
      <c r="AG149" s="1276"/>
      <c r="AH149" s="1276"/>
      <c r="AI149" s="1276"/>
      <c r="AJ149" s="560" t="b">
        <f t="shared" si="66"/>
        <v>1</v>
      </c>
      <c r="AK149" s="1197" t="s">
        <v>31</v>
      </c>
      <c r="AL149" s="89" t="str">
        <f t="shared" si="67"/>
        <v>Brighton &amp; Hove</v>
      </c>
      <c r="AM149" s="143">
        <f t="shared" ref="AM149:AQ171" si="73">VLOOKUP($AL149,$B$117:$O$140,AM$144,FALSE)</f>
        <v>37.647058823529413</v>
      </c>
      <c r="AN149" s="143">
        <f t="shared" si="68"/>
        <v>47.8515625</v>
      </c>
      <c r="AO149" s="143">
        <f t="shared" si="68"/>
        <v>34.892787524366469</v>
      </c>
      <c r="AP149" s="143">
        <f t="shared" si="68"/>
        <v>34.509803921568626</v>
      </c>
      <c r="AQ149" s="143">
        <f t="shared" si="68"/>
        <v>36.666666666666664</v>
      </c>
      <c r="AR149" s="144">
        <f t="shared" si="69"/>
        <v>15.299999999999999</v>
      </c>
      <c r="AS149" s="341" t="e">
        <f t="shared" si="70"/>
        <v>#N/A</v>
      </c>
      <c r="AT149" s="341">
        <f t="shared" si="70"/>
        <v>0.24081632653061225</v>
      </c>
      <c r="AU149" s="341">
        <f t="shared" si="70"/>
        <v>0.34636871508379891</v>
      </c>
      <c r="AV149" s="341">
        <f t="shared" si="70"/>
        <v>0.38636363636363635</v>
      </c>
      <c r="AW149" s="341" t="e">
        <f t="shared" si="70"/>
        <v>#N/A</v>
      </c>
      <c r="AX149" s="341">
        <f t="shared" ref="AX149:BB171" si="74">VLOOKUP($AL149,$B$220:$H$243,AX$144,FALSE)</f>
        <v>2.6041666666666668E-2</v>
      </c>
      <c r="AY149" s="341" t="e">
        <f t="shared" si="71"/>
        <v>#N/A</v>
      </c>
      <c r="AZ149" s="341" t="e">
        <f t="shared" si="71"/>
        <v>#N/A</v>
      </c>
      <c r="BA149" s="341">
        <f t="shared" si="71"/>
        <v>3.9772727272727272E-2</v>
      </c>
      <c r="BB149" s="341" t="e">
        <f t="shared" si="71"/>
        <v>#N/A</v>
      </c>
      <c r="BC149" s="341">
        <f t="shared" ref="BC149:BG171" si="75">VLOOKUP($AL149,$B$256:$H$279,BC$144,FALSE)</f>
        <v>0.13020833333333334</v>
      </c>
      <c r="BD149" s="341">
        <f t="shared" si="72"/>
        <v>0.16326530612244897</v>
      </c>
      <c r="BE149" s="341">
        <f t="shared" si="72"/>
        <v>9.4972067039106142E-2</v>
      </c>
      <c r="BF149" s="341">
        <f t="shared" si="72"/>
        <v>0.14204545454545456</v>
      </c>
      <c r="BG149" s="341">
        <f t="shared" si="72"/>
        <v>0.13368983957219252</v>
      </c>
      <c r="BH149" s="341"/>
      <c r="BI149" s="341"/>
      <c r="BJ149" s="341"/>
      <c r="BK149" s="341"/>
      <c r="BL149" s="341"/>
      <c r="BM149" s="341"/>
      <c r="BN149" s="341"/>
      <c r="BO149" s="341"/>
      <c r="BP149" s="341"/>
      <c r="BQ149" s="341"/>
    </row>
    <row r="150" spans="1:69" ht="13.5" customHeight="1" x14ac:dyDescent="0.2">
      <c r="A150" s="120"/>
      <c r="B150" s="9"/>
      <c r="C150" s="9"/>
      <c r="D150" s="9"/>
      <c r="E150" s="9"/>
      <c r="F150" s="9"/>
      <c r="G150" s="9"/>
      <c r="H150" s="9"/>
      <c r="I150" s="9"/>
      <c r="J150" s="13"/>
      <c r="K150" s="9"/>
      <c r="L150" s="9"/>
      <c r="M150" s="9"/>
      <c r="N150" s="9"/>
      <c r="O150" s="9"/>
      <c r="P150" s="9"/>
      <c r="Q150" s="9"/>
      <c r="R150" s="9"/>
      <c r="S150" s="9"/>
      <c r="T150" s="9"/>
      <c r="U150" s="9"/>
      <c r="V150" s="119"/>
      <c r="W150" s="138"/>
      <c r="X150" s="1202"/>
      <c r="Y150" s="1289" t="s">
        <v>8</v>
      </c>
      <c r="Z150" s="1290">
        <f t="shared" si="61"/>
        <v>162</v>
      </c>
      <c r="AA150" s="1290">
        <f t="shared" si="62"/>
        <v>227</v>
      </c>
      <c r="AB150" s="1290">
        <f t="shared" si="63"/>
        <v>215</v>
      </c>
      <c r="AC150" s="1290">
        <f t="shared" si="64"/>
        <v>180</v>
      </c>
      <c r="AD150" s="1290">
        <f t="shared" si="65"/>
        <v>170</v>
      </c>
      <c r="AJ150" s="560" t="b">
        <f t="shared" si="66"/>
        <v>1</v>
      </c>
      <c r="AK150" s="1197" t="s">
        <v>8</v>
      </c>
      <c r="AL150" s="89" t="str">
        <f t="shared" si="67"/>
        <v>Buckinghamshire</v>
      </c>
      <c r="AM150" s="143">
        <f t="shared" si="73"/>
        <v>13.62489486963835</v>
      </c>
      <c r="AN150" s="143">
        <f t="shared" si="68"/>
        <v>18.822553897180764</v>
      </c>
      <c r="AO150" s="143">
        <f t="shared" si="68"/>
        <v>17.594108019639933</v>
      </c>
      <c r="AP150" s="143">
        <f t="shared" si="68"/>
        <v>14.62225832656377</v>
      </c>
      <c r="AQ150" s="143">
        <f t="shared" si="68"/>
        <v>13.676588897827836</v>
      </c>
      <c r="AR150" s="144">
        <f t="shared" si="69"/>
        <v>8.5</v>
      </c>
      <c r="AS150" s="341" t="e">
        <f t="shared" si="70"/>
        <v>#N/A</v>
      </c>
      <c r="AT150" s="341">
        <f t="shared" si="70"/>
        <v>0.24229074889867841</v>
      </c>
      <c r="AU150" s="341">
        <f t="shared" si="70"/>
        <v>0.2558139534883721</v>
      </c>
      <c r="AV150" s="341">
        <f t="shared" si="70"/>
        <v>0.26111111111111113</v>
      </c>
      <c r="AW150" s="341" t="e">
        <f t="shared" si="70"/>
        <v>#N/A</v>
      </c>
      <c r="AX150" s="341" t="e">
        <f t="shared" si="74"/>
        <v>#N/A</v>
      </c>
      <c r="AY150" s="341">
        <f t="shared" si="71"/>
        <v>2.2026431718061675E-2</v>
      </c>
      <c r="AZ150" s="341">
        <f t="shared" si="71"/>
        <v>3.7209302325581395E-2</v>
      </c>
      <c r="BA150" s="341" t="e">
        <f t="shared" si="71"/>
        <v>#N/A</v>
      </c>
      <c r="BB150" s="341" t="e">
        <f t="shared" si="71"/>
        <v>#N/A</v>
      </c>
      <c r="BC150" s="341">
        <f t="shared" si="75"/>
        <v>0.12345679012345678</v>
      </c>
      <c r="BD150" s="341">
        <f t="shared" si="72"/>
        <v>8.8105726872246701E-2</v>
      </c>
      <c r="BE150" s="341">
        <f t="shared" si="72"/>
        <v>8.3720930232558138E-2</v>
      </c>
      <c r="BF150" s="341">
        <f t="shared" si="72"/>
        <v>0.17222222222222222</v>
      </c>
      <c r="BG150" s="341">
        <f t="shared" si="72"/>
        <v>8.2352941176470587E-2</v>
      </c>
      <c r="BH150" s="341"/>
      <c r="BI150" s="341"/>
      <c r="BJ150" s="341"/>
      <c r="BK150" s="341"/>
      <c r="BL150" s="341"/>
      <c r="BM150" s="341"/>
      <c r="BN150" s="341"/>
      <c r="BO150" s="341"/>
      <c r="BP150" s="341"/>
      <c r="BQ150" s="341"/>
    </row>
    <row r="151" spans="1:69" ht="13.5" customHeight="1" x14ac:dyDescent="0.2">
      <c r="A151" s="120"/>
      <c r="B151" s="9"/>
      <c r="C151" s="9"/>
      <c r="D151" s="9"/>
      <c r="E151" s="9"/>
      <c r="F151" s="9"/>
      <c r="G151" s="9"/>
      <c r="H151" s="9"/>
      <c r="I151" s="9"/>
      <c r="J151" s="13"/>
      <c r="K151" s="14"/>
      <c r="L151" s="14"/>
      <c r="M151" s="14"/>
      <c r="N151" s="14"/>
      <c r="O151" s="15"/>
      <c r="P151" s="15"/>
      <c r="Q151" s="15"/>
      <c r="R151" s="15"/>
      <c r="S151" s="15"/>
      <c r="T151" s="15"/>
      <c r="U151" s="15"/>
      <c r="V151" s="119"/>
      <c r="W151" s="138"/>
      <c r="X151" s="1202"/>
      <c r="Y151" s="1289" t="s">
        <v>4</v>
      </c>
      <c r="Z151" s="1290">
        <f t="shared" si="61"/>
        <v>189</v>
      </c>
      <c r="AA151" s="1290">
        <f t="shared" si="62"/>
        <v>192</v>
      </c>
      <c r="AB151" s="1290">
        <f t="shared" si="63"/>
        <v>185</v>
      </c>
      <c r="AC151" s="1290">
        <f t="shared" si="64"/>
        <v>162</v>
      </c>
      <c r="AD151" s="1290">
        <f t="shared" si="65"/>
        <v>192</v>
      </c>
      <c r="AJ151" s="560" t="b">
        <f t="shared" si="66"/>
        <v>1</v>
      </c>
      <c r="AK151" s="1197" t="s">
        <v>4</v>
      </c>
      <c r="AL151" s="89" t="str">
        <f t="shared" si="67"/>
        <v>East Sussex</v>
      </c>
      <c r="AM151" s="143">
        <f t="shared" si="73"/>
        <v>17.931688804554078</v>
      </c>
      <c r="AN151" s="143">
        <f t="shared" si="68"/>
        <v>18.130311614730878</v>
      </c>
      <c r="AO151" s="143">
        <f t="shared" si="68"/>
        <v>17.469310670443814</v>
      </c>
      <c r="AP151" s="143">
        <f t="shared" si="68"/>
        <v>15.283018867924527</v>
      </c>
      <c r="AQ151" s="143">
        <f t="shared" si="68"/>
        <v>18.045112781954888</v>
      </c>
      <c r="AR151" s="144">
        <f t="shared" si="69"/>
        <v>16.100000000000001</v>
      </c>
      <c r="AS151" s="341" t="e">
        <f t="shared" si="70"/>
        <v>#N/A</v>
      </c>
      <c r="AT151" s="341">
        <f t="shared" si="70"/>
        <v>0.25520833333333331</v>
      </c>
      <c r="AU151" s="341">
        <f t="shared" si="70"/>
        <v>0.2864864864864865</v>
      </c>
      <c r="AV151" s="341">
        <f t="shared" si="70"/>
        <v>0.34567901234567899</v>
      </c>
      <c r="AW151" s="341" t="e">
        <f t="shared" si="70"/>
        <v>#N/A</v>
      </c>
      <c r="AX151" s="341">
        <f t="shared" si="74"/>
        <v>5.2910052910052907E-2</v>
      </c>
      <c r="AY151" s="341" t="e">
        <f t="shared" si="71"/>
        <v>#N/A</v>
      </c>
      <c r="AZ151" s="341" t="e">
        <f t="shared" si="71"/>
        <v>#N/A</v>
      </c>
      <c r="BA151" s="341" t="e">
        <f t="shared" si="71"/>
        <v>#N/A</v>
      </c>
      <c r="BB151" s="341" t="e">
        <f t="shared" si="71"/>
        <v>#N/A</v>
      </c>
      <c r="BC151" s="341">
        <f t="shared" si="75"/>
        <v>7.9365079365079361E-2</v>
      </c>
      <c r="BD151" s="341">
        <f t="shared" si="72"/>
        <v>0.10416666666666667</v>
      </c>
      <c r="BE151" s="341">
        <f t="shared" si="72"/>
        <v>0.16216216216216217</v>
      </c>
      <c r="BF151" s="341">
        <f t="shared" si="72"/>
        <v>0.1111111111111111</v>
      </c>
      <c r="BG151" s="341">
        <f t="shared" si="72"/>
        <v>0.125</v>
      </c>
      <c r="BH151" s="341"/>
      <c r="BI151" s="341"/>
      <c r="BJ151" s="341"/>
      <c r="BK151" s="341"/>
      <c r="BL151" s="341"/>
      <c r="BM151" s="341"/>
      <c r="BN151" s="341"/>
      <c r="BO151" s="341"/>
      <c r="BP151" s="341"/>
      <c r="BQ151" s="341"/>
    </row>
    <row r="152" spans="1:69" s="78" customFormat="1" ht="13.5" customHeight="1" x14ac:dyDescent="0.2">
      <c r="A152" s="121"/>
      <c r="B152" s="220"/>
      <c r="C152" s="220"/>
      <c r="D152" s="221"/>
      <c r="E152" s="221"/>
      <c r="F152" s="221"/>
      <c r="G152" s="221"/>
      <c r="H152" s="221"/>
      <c r="I152" s="221"/>
      <c r="J152" s="16"/>
      <c r="K152" s="9"/>
      <c r="L152" s="9"/>
      <c r="M152" s="9"/>
      <c r="N152" s="9"/>
      <c r="O152" s="9"/>
      <c r="P152" s="9"/>
      <c r="Q152" s="9"/>
      <c r="R152" s="9"/>
      <c r="S152" s="9"/>
      <c r="T152" s="9"/>
      <c r="U152" s="9"/>
      <c r="V152" s="122"/>
      <c r="W152" s="139"/>
      <c r="X152" s="1203"/>
      <c r="Y152" s="1289" t="s">
        <v>6</v>
      </c>
      <c r="Z152" s="1290">
        <f t="shared" si="61"/>
        <v>546</v>
      </c>
      <c r="AA152" s="1290">
        <f t="shared" si="62"/>
        <v>545</v>
      </c>
      <c r="AB152" s="1290">
        <f t="shared" si="63"/>
        <v>532</v>
      </c>
      <c r="AC152" s="1290">
        <f t="shared" si="64"/>
        <v>486</v>
      </c>
      <c r="AD152" s="1290">
        <f t="shared" si="65"/>
        <v>593</v>
      </c>
      <c r="AE152" s="1276"/>
      <c r="AF152" s="1276"/>
      <c r="AG152" s="1276"/>
      <c r="AH152" s="1276"/>
      <c r="AI152" s="1276"/>
      <c r="AJ152" s="560" t="b">
        <f t="shared" si="66"/>
        <v>1</v>
      </c>
      <c r="AK152" s="1197" t="s">
        <v>6</v>
      </c>
      <c r="AL152" s="89" t="str">
        <f t="shared" si="67"/>
        <v>Hampshire</v>
      </c>
      <c r="AM152" s="143">
        <f t="shared" si="73"/>
        <v>19.396092362344582</v>
      </c>
      <c r="AN152" s="143">
        <f t="shared" si="68"/>
        <v>19.333096842852076</v>
      </c>
      <c r="AO152" s="143">
        <f t="shared" si="68"/>
        <v>18.811881188118811</v>
      </c>
      <c r="AP152" s="143">
        <f t="shared" si="68"/>
        <v>17.154959406989057</v>
      </c>
      <c r="AQ152" s="143">
        <f t="shared" si="68"/>
        <v>20.880281690140844</v>
      </c>
      <c r="AR152" s="144">
        <f t="shared" si="69"/>
        <v>10.100000000000001</v>
      </c>
      <c r="AS152" s="341" t="e">
        <f t="shared" si="70"/>
        <v>#N/A</v>
      </c>
      <c r="AT152" s="341">
        <f t="shared" si="70"/>
        <v>0.26055045871559634</v>
      </c>
      <c r="AU152" s="341">
        <f t="shared" si="70"/>
        <v>0.27255639097744361</v>
      </c>
      <c r="AV152" s="341">
        <f t="shared" si="70"/>
        <v>0.30041152263374488</v>
      </c>
      <c r="AW152" s="341" t="e">
        <f t="shared" si="70"/>
        <v>#N/A</v>
      </c>
      <c r="AX152" s="341">
        <f t="shared" si="74"/>
        <v>1.8315018315018316E-2</v>
      </c>
      <c r="AY152" s="341">
        <f t="shared" si="71"/>
        <v>9.1743119266055051E-3</v>
      </c>
      <c r="AZ152" s="341">
        <f t="shared" si="71"/>
        <v>3.9473684210526314E-2</v>
      </c>
      <c r="BA152" s="341">
        <f t="shared" si="71"/>
        <v>4.1152263374485597E-2</v>
      </c>
      <c r="BB152" s="341">
        <f t="shared" si="71"/>
        <v>3.0354131534569982E-2</v>
      </c>
      <c r="BC152" s="341">
        <f t="shared" si="75"/>
        <v>7.3260073260073263E-2</v>
      </c>
      <c r="BD152" s="341">
        <f t="shared" si="72"/>
        <v>8.2568807339449546E-2</v>
      </c>
      <c r="BE152" s="341">
        <f t="shared" si="72"/>
        <v>9.5864661654135333E-2</v>
      </c>
      <c r="BF152" s="341">
        <f t="shared" si="72"/>
        <v>0.11522633744855967</v>
      </c>
      <c r="BG152" s="341">
        <f t="shared" si="72"/>
        <v>0.1551433389544688</v>
      </c>
      <c r="BH152" s="341"/>
      <c r="BI152" s="341"/>
      <c r="BJ152" s="341"/>
      <c r="BK152" s="341"/>
      <c r="BL152" s="341"/>
      <c r="BM152" s="341"/>
      <c r="BN152" s="341"/>
      <c r="BO152" s="341"/>
      <c r="BP152" s="341"/>
      <c r="BQ152" s="341"/>
    </row>
    <row r="153" spans="1:69" ht="13.5" customHeight="1" x14ac:dyDescent="0.2">
      <c r="A153" s="120"/>
      <c r="B153" s="221"/>
      <c r="C153" s="221"/>
      <c r="D153" s="221"/>
      <c r="E153" s="221"/>
      <c r="F153" s="221"/>
      <c r="G153" s="221"/>
      <c r="H153" s="221"/>
      <c r="I153" s="221"/>
      <c r="J153" s="13"/>
      <c r="K153" s="15"/>
      <c r="L153" s="15"/>
      <c r="M153" s="15"/>
      <c r="N153" s="15"/>
      <c r="O153" s="9"/>
      <c r="P153" s="9"/>
      <c r="Q153" s="9"/>
      <c r="R153" s="9"/>
      <c r="S153" s="9"/>
      <c r="T153" s="9"/>
      <c r="U153" s="9"/>
      <c r="V153" s="119"/>
      <c r="W153" s="138"/>
      <c r="X153" s="1202"/>
      <c r="Y153" s="1289" t="s">
        <v>1</v>
      </c>
      <c r="Z153" s="1290">
        <f t="shared" si="61"/>
        <v>79</v>
      </c>
      <c r="AA153" s="1290">
        <f t="shared" si="62"/>
        <v>73</v>
      </c>
      <c r="AB153" s="1290">
        <f t="shared" si="63"/>
        <v>76</v>
      </c>
      <c r="AC153" s="1290">
        <f t="shared" si="64"/>
        <v>82</v>
      </c>
      <c r="AD153" s="1290">
        <f t="shared" si="65"/>
        <v>61</v>
      </c>
      <c r="AJ153" s="560" t="b">
        <f t="shared" si="66"/>
        <v>1</v>
      </c>
      <c r="AK153" s="1197" t="s">
        <v>1</v>
      </c>
      <c r="AL153" s="89" t="str">
        <f t="shared" si="67"/>
        <v>Isle of Wight</v>
      </c>
      <c r="AM153" s="143">
        <f t="shared" si="73"/>
        <v>30.980392156862742</v>
      </c>
      <c r="AN153" s="143">
        <f t="shared" si="68"/>
        <v>28.853754940711465</v>
      </c>
      <c r="AO153" s="143">
        <f t="shared" si="68"/>
        <v>30.158730158730162</v>
      </c>
      <c r="AP153" s="143">
        <f t="shared" si="68"/>
        <v>32.669322709163346</v>
      </c>
      <c r="AQ153" s="143">
        <f t="shared" si="68"/>
        <v>24.497991967871485</v>
      </c>
      <c r="AR153" s="144">
        <f t="shared" si="69"/>
        <v>18</v>
      </c>
      <c r="AS153" s="341" t="e">
        <f t="shared" si="70"/>
        <v>#N/A</v>
      </c>
      <c r="AT153" s="341">
        <f t="shared" si="70"/>
        <v>0.36986301369863012</v>
      </c>
      <c r="AU153" s="341">
        <f t="shared" si="70"/>
        <v>0.26315789473684209</v>
      </c>
      <c r="AV153" s="341">
        <f t="shared" si="70"/>
        <v>0.34146341463414637</v>
      </c>
      <c r="AW153" s="341" t="e">
        <f t="shared" si="70"/>
        <v>#N/A</v>
      </c>
      <c r="AX153" s="341" t="e">
        <f t="shared" si="74"/>
        <v>#N/A</v>
      </c>
      <c r="AY153" s="341" t="e">
        <f t="shared" si="71"/>
        <v>#N/A</v>
      </c>
      <c r="AZ153" s="341" t="e">
        <f t="shared" si="71"/>
        <v>#N/A</v>
      </c>
      <c r="BA153" s="341" t="e">
        <f t="shared" si="71"/>
        <v>#N/A</v>
      </c>
      <c r="BB153" s="341" t="e">
        <f t="shared" si="71"/>
        <v>#N/A</v>
      </c>
      <c r="BC153" s="341">
        <f t="shared" si="75"/>
        <v>6.3291139240506333E-2</v>
      </c>
      <c r="BD153" s="341">
        <f t="shared" si="72"/>
        <v>0.13698630136986301</v>
      </c>
      <c r="BE153" s="341" t="e">
        <f t="shared" si="72"/>
        <v>#N/A</v>
      </c>
      <c r="BF153" s="341" t="e">
        <f t="shared" si="72"/>
        <v>#N/A</v>
      </c>
      <c r="BG153" s="341">
        <f t="shared" si="72"/>
        <v>0</v>
      </c>
      <c r="BH153" s="341"/>
      <c r="BI153" s="341"/>
      <c r="BJ153" s="341"/>
      <c r="BK153" s="341"/>
      <c r="BL153" s="341"/>
      <c r="BM153" s="341"/>
      <c r="BN153" s="341"/>
      <c r="BO153" s="341"/>
      <c r="BP153" s="341"/>
      <c r="BQ153" s="341"/>
    </row>
    <row r="154" spans="1:69" ht="13.5" customHeight="1" x14ac:dyDescent="0.2">
      <c r="A154" s="120"/>
      <c r="B154" s="221"/>
      <c r="C154" s="221"/>
      <c r="D154" s="221"/>
      <c r="E154" s="221"/>
      <c r="F154" s="221"/>
      <c r="G154" s="221"/>
      <c r="H154" s="221"/>
      <c r="I154" s="221"/>
      <c r="J154" s="13"/>
      <c r="K154" s="15"/>
      <c r="L154" s="15"/>
      <c r="M154" s="15"/>
      <c r="N154" s="15"/>
      <c r="O154" s="9"/>
      <c r="P154" s="9"/>
      <c r="Q154" s="9"/>
      <c r="R154" s="9"/>
      <c r="S154" s="9"/>
      <c r="T154" s="9"/>
      <c r="U154" s="9"/>
      <c r="V154" s="119"/>
      <c r="W154" s="138"/>
      <c r="X154" s="1202"/>
      <c r="Y154" s="1289" t="s">
        <v>9</v>
      </c>
      <c r="Z154" s="1290">
        <f t="shared" si="61"/>
        <v>877</v>
      </c>
      <c r="AA154" s="1290">
        <f t="shared" si="62"/>
        <v>1079</v>
      </c>
      <c r="AB154" s="1290">
        <f t="shared" si="63"/>
        <v>1316</v>
      </c>
      <c r="AC154" s="1290">
        <f t="shared" si="64"/>
        <v>1049</v>
      </c>
      <c r="AD154" s="1290">
        <f t="shared" si="65"/>
        <v>763</v>
      </c>
      <c r="AJ154" s="560" t="b">
        <f t="shared" si="66"/>
        <v>1</v>
      </c>
      <c r="AK154" s="1197" t="s">
        <v>9</v>
      </c>
      <c r="AL154" s="89" t="str">
        <f t="shared" si="67"/>
        <v>Kent</v>
      </c>
      <c r="AM154" s="143">
        <f t="shared" si="73"/>
        <v>26.713371915930551</v>
      </c>
      <c r="AN154" s="143">
        <f t="shared" si="68"/>
        <v>32.657384987893465</v>
      </c>
      <c r="AO154" s="143">
        <f t="shared" si="68"/>
        <v>39.51951951951952</v>
      </c>
      <c r="AP154" s="143">
        <f t="shared" si="68"/>
        <v>31.210949122285033</v>
      </c>
      <c r="AQ154" s="143">
        <f t="shared" si="68"/>
        <v>22.43457806527492</v>
      </c>
      <c r="AR154" s="144">
        <f t="shared" si="69"/>
        <v>15.8</v>
      </c>
      <c r="AS154" s="341" t="e">
        <f t="shared" si="70"/>
        <v>#N/A</v>
      </c>
      <c r="AT154" s="341">
        <f t="shared" si="70"/>
        <v>0.36700648748841519</v>
      </c>
      <c r="AU154" s="341">
        <f t="shared" si="70"/>
        <v>0.41109422492401215</v>
      </c>
      <c r="AV154" s="341">
        <f t="shared" si="70"/>
        <v>0.40991420400381318</v>
      </c>
      <c r="AW154" s="341" t="e">
        <f t="shared" si="70"/>
        <v>#N/A</v>
      </c>
      <c r="AX154" s="341">
        <f t="shared" si="74"/>
        <v>2.8506271379703536E-2</v>
      </c>
      <c r="AY154" s="341">
        <f t="shared" si="71"/>
        <v>9.2678405931417972E-3</v>
      </c>
      <c r="AZ154" s="341">
        <f t="shared" si="71"/>
        <v>8.3586626139817623E-3</v>
      </c>
      <c r="BA154" s="341">
        <f t="shared" si="71"/>
        <v>1.5252621544327931E-2</v>
      </c>
      <c r="BB154" s="341">
        <f t="shared" si="71"/>
        <v>1.310615989515072E-2</v>
      </c>
      <c r="BC154" s="341">
        <f t="shared" si="75"/>
        <v>6.2713797035347782E-2</v>
      </c>
      <c r="BD154" s="341">
        <f t="shared" si="72"/>
        <v>4.1705282669138088E-2</v>
      </c>
      <c r="BE154" s="341">
        <f t="shared" si="72"/>
        <v>4.1033434650455926E-2</v>
      </c>
      <c r="BF154" s="341">
        <f t="shared" si="72"/>
        <v>4.0991420400381312E-2</v>
      </c>
      <c r="BG154" s="341">
        <f t="shared" si="72"/>
        <v>5.8977719528178242E-2</v>
      </c>
      <c r="BH154" s="341"/>
      <c r="BI154" s="341"/>
      <c r="BJ154" s="341"/>
      <c r="BK154" s="341"/>
      <c r="BL154" s="341"/>
      <c r="BM154" s="341"/>
      <c r="BN154" s="341"/>
      <c r="BO154" s="341"/>
      <c r="BP154" s="341"/>
      <c r="BQ154" s="341"/>
    </row>
    <row r="155" spans="1:69" ht="13.5" customHeight="1" x14ac:dyDescent="0.2">
      <c r="A155" s="120"/>
      <c r="B155" s="58"/>
      <c r="C155" s="58"/>
      <c r="D155" s="58"/>
      <c r="E155" s="58"/>
      <c r="F155" s="58"/>
      <c r="G155" s="58"/>
      <c r="H155" s="58"/>
      <c r="I155" s="58"/>
      <c r="J155" s="13"/>
      <c r="K155" s="15"/>
      <c r="L155" s="15"/>
      <c r="M155" s="15"/>
      <c r="N155" s="15"/>
      <c r="O155" s="9"/>
      <c r="P155" s="9"/>
      <c r="Q155" s="9"/>
      <c r="R155" s="9"/>
      <c r="S155" s="9"/>
      <c r="T155" s="9"/>
      <c r="U155" s="9"/>
      <c r="V155" s="119"/>
      <c r="W155" s="138"/>
      <c r="X155" s="1202"/>
      <c r="Y155" s="1289" t="s">
        <v>2</v>
      </c>
      <c r="Z155" s="1290">
        <f t="shared" si="61"/>
        <v>195</v>
      </c>
      <c r="AA155" s="1290">
        <f t="shared" si="62"/>
        <v>210</v>
      </c>
      <c r="AB155" s="1290">
        <f t="shared" si="63"/>
        <v>187</v>
      </c>
      <c r="AC155" s="1290">
        <f t="shared" si="64"/>
        <v>159</v>
      </c>
      <c r="AD155" s="1290">
        <f t="shared" si="65"/>
        <v>158</v>
      </c>
      <c r="AJ155" s="560" t="b">
        <f t="shared" si="66"/>
        <v>1</v>
      </c>
      <c r="AK155" s="1197" t="s">
        <v>2</v>
      </c>
      <c r="AL155" s="89" t="str">
        <f t="shared" si="67"/>
        <v>Medway</v>
      </c>
      <c r="AM155" s="143">
        <f t="shared" si="73"/>
        <v>31.2</v>
      </c>
      <c r="AN155" s="143">
        <f t="shared" si="68"/>
        <v>33.22784810126582</v>
      </c>
      <c r="AO155" s="143">
        <f t="shared" si="68"/>
        <v>29.356357927786497</v>
      </c>
      <c r="AP155" s="143">
        <f t="shared" si="68"/>
        <v>24.88262910798122</v>
      </c>
      <c r="AQ155" s="143">
        <f t="shared" si="68"/>
        <v>24.534161490683232</v>
      </c>
      <c r="AR155" s="144">
        <f t="shared" si="69"/>
        <v>18.899999999999999</v>
      </c>
      <c r="AS155" s="341" t="e">
        <f t="shared" si="70"/>
        <v>#N/A</v>
      </c>
      <c r="AT155" s="341">
        <f t="shared" si="70"/>
        <v>0.17142857142857143</v>
      </c>
      <c r="AU155" s="341">
        <f t="shared" si="70"/>
        <v>0.20855614973262032</v>
      </c>
      <c r="AV155" s="341">
        <f t="shared" si="70"/>
        <v>0.25786163522012578</v>
      </c>
      <c r="AW155" s="341" t="e">
        <f t="shared" si="70"/>
        <v>#N/A</v>
      </c>
      <c r="AX155" s="341">
        <f t="shared" si="74"/>
        <v>0</v>
      </c>
      <c r="AY155" s="341">
        <f t="shared" si="71"/>
        <v>9.5238095238095233E-2</v>
      </c>
      <c r="AZ155" s="341">
        <f t="shared" si="71"/>
        <v>6.4171122994652413E-2</v>
      </c>
      <c r="BA155" s="341" t="e">
        <f t="shared" si="71"/>
        <v>#N/A</v>
      </c>
      <c r="BB155" s="341" t="e">
        <f t="shared" si="71"/>
        <v>#N/A</v>
      </c>
      <c r="BC155" s="341">
        <f t="shared" si="75"/>
        <v>5.128205128205128E-2</v>
      </c>
      <c r="BD155" s="341">
        <f t="shared" si="72"/>
        <v>0.11904761904761904</v>
      </c>
      <c r="BE155" s="341">
        <f t="shared" si="72"/>
        <v>0.1497326203208556</v>
      </c>
      <c r="BF155" s="341">
        <f t="shared" si="72"/>
        <v>0.11949685534591195</v>
      </c>
      <c r="BG155" s="341">
        <f t="shared" si="72"/>
        <v>0.15822784810126583</v>
      </c>
      <c r="BH155" s="341"/>
      <c r="BI155" s="341"/>
      <c r="BJ155" s="341"/>
      <c r="BK155" s="341"/>
      <c r="BL155" s="341"/>
      <c r="BM155" s="341"/>
      <c r="BN155" s="341"/>
      <c r="BO155" s="341"/>
      <c r="BP155" s="341"/>
      <c r="BQ155" s="341"/>
    </row>
    <row r="156" spans="1:69" ht="13.5" customHeight="1" x14ac:dyDescent="0.2">
      <c r="A156" s="120"/>
      <c r="B156" s="58"/>
      <c r="C156" s="58"/>
      <c r="D156" s="68"/>
      <c r="E156" s="69"/>
      <c r="F156" s="68"/>
      <c r="G156" s="69"/>
      <c r="H156" s="69"/>
      <c r="I156" s="69"/>
      <c r="J156" s="13"/>
      <c r="K156" s="15"/>
      <c r="L156" s="15"/>
      <c r="M156" s="15"/>
      <c r="N156" s="15"/>
      <c r="O156" s="9"/>
      <c r="P156" s="9"/>
      <c r="Q156" s="9"/>
      <c r="R156" s="9"/>
      <c r="S156" s="9"/>
      <c r="T156" s="9"/>
      <c r="U156" s="9"/>
      <c r="V156" s="119"/>
      <c r="W156" s="138"/>
      <c r="X156" s="1202"/>
      <c r="Y156" s="1289" t="s">
        <v>10</v>
      </c>
      <c r="Z156" s="1290">
        <f t="shared" si="61"/>
        <v>137</v>
      </c>
      <c r="AA156" s="1290">
        <f t="shared" si="62"/>
        <v>186</v>
      </c>
      <c r="AB156" s="1290">
        <f t="shared" si="63"/>
        <v>152</v>
      </c>
      <c r="AC156" s="1290">
        <f t="shared" si="64"/>
        <v>145</v>
      </c>
      <c r="AD156" s="1290">
        <f t="shared" si="65"/>
        <v>173</v>
      </c>
      <c r="AJ156" s="560" t="b">
        <f t="shared" si="66"/>
        <v>1</v>
      </c>
      <c r="AK156" s="1197" t="s">
        <v>10</v>
      </c>
      <c r="AL156" s="89" t="str">
        <f t="shared" si="67"/>
        <v>Milton Keynes</v>
      </c>
      <c r="AM156" s="143">
        <f t="shared" si="73"/>
        <v>21.012269938650306</v>
      </c>
      <c r="AN156" s="143">
        <f t="shared" si="68"/>
        <v>28.139183055975792</v>
      </c>
      <c r="AO156" s="143">
        <f t="shared" si="68"/>
        <v>22.652757078986586</v>
      </c>
      <c r="AP156" s="143">
        <f t="shared" si="68"/>
        <v>21.449704142011832</v>
      </c>
      <c r="AQ156" s="143">
        <f t="shared" si="68"/>
        <v>25.329428989751101</v>
      </c>
      <c r="AR156" s="144">
        <f t="shared" si="69"/>
        <v>15</v>
      </c>
      <c r="AS156" s="341" t="e">
        <f t="shared" si="70"/>
        <v>#N/A</v>
      </c>
      <c r="AT156" s="341">
        <f t="shared" si="70"/>
        <v>0.23655913978494625</v>
      </c>
      <c r="AU156" s="341">
        <f t="shared" si="70"/>
        <v>0.27631578947368424</v>
      </c>
      <c r="AV156" s="341">
        <f t="shared" si="70"/>
        <v>0.31724137931034485</v>
      </c>
      <c r="AW156" s="341" t="e">
        <f t="shared" si="70"/>
        <v>#N/A</v>
      </c>
      <c r="AX156" s="341" t="e">
        <f t="shared" si="74"/>
        <v>#N/A</v>
      </c>
      <c r="AY156" s="341">
        <f t="shared" si="71"/>
        <v>2.6881720430107527E-2</v>
      </c>
      <c r="AZ156" s="341" t="e">
        <f t="shared" si="71"/>
        <v>#N/A</v>
      </c>
      <c r="BA156" s="341" t="e">
        <f t="shared" si="71"/>
        <v>#N/A</v>
      </c>
      <c r="BB156" s="341" t="e">
        <f t="shared" si="71"/>
        <v>#N/A</v>
      </c>
      <c r="BC156" s="341">
        <f t="shared" si="75"/>
        <v>0.10948905109489052</v>
      </c>
      <c r="BD156" s="341">
        <f t="shared" si="72"/>
        <v>0.10752688172043011</v>
      </c>
      <c r="BE156" s="341">
        <f t="shared" si="72"/>
        <v>0.17763157894736842</v>
      </c>
      <c r="BF156" s="341">
        <f t="shared" si="72"/>
        <v>0.24827586206896551</v>
      </c>
      <c r="BG156" s="341">
        <f t="shared" si="72"/>
        <v>0.15028901734104047</v>
      </c>
      <c r="BH156" s="341"/>
      <c r="BI156" s="341"/>
      <c r="BJ156" s="341"/>
      <c r="BK156" s="341"/>
      <c r="BL156" s="341"/>
      <c r="BM156" s="341"/>
      <c r="BN156" s="341"/>
      <c r="BO156" s="341"/>
      <c r="BP156" s="341"/>
      <c r="BQ156" s="341"/>
    </row>
    <row r="157" spans="1:69" ht="13.5" customHeight="1" x14ac:dyDescent="0.2">
      <c r="A157" s="120"/>
      <c r="B157" s="58"/>
      <c r="C157" s="58"/>
      <c r="D157" s="61"/>
      <c r="E157" s="61"/>
      <c r="F157" s="61"/>
      <c r="G157" s="61"/>
      <c r="H157" s="61"/>
      <c r="I157" s="61"/>
      <c r="J157" s="13"/>
      <c r="K157" s="15"/>
      <c r="L157" s="15"/>
      <c r="M157" s="15"/>
      <c r="N157" s="15"/>
      <c r="O157" s="9"/>
      <c r="P157" s="9"/>
      <c r="Q157" s="9"/>
      <c r="R157" s="9"/>
      <c r="S157" s="9"/>
      <c r="T157" s="9"/>
      <c r="U157" s="9"/>
      <c r="V157" s="119"/>
      <c r="W157" s="138"/>
      <c r="X157" s="1202"/>
      <c r="Y157" s="1289" t="s">
        <v>11</v>
      </c>
      <c r="Z157" s="1290">
        <f t="shared" si="61"/>
        <v>249</v>
      </c>
      <c r="AA157" s="1290">
        <f t="shared" si="62"/>
        <v>280</v>
      </c>
      <c r="AB157" s="1290">
        <f t="shared" si="63"/>
        <v>286</v>
      </c>
      <c r="AC157" s="1290">
        <f t="shared" si="64"/>
        <v>298</v>
      </c>
      <c r="AD157" s="1290">
        <f t="shared" si="65"/>
        <v>273</v>
      </c>
      <c r="AJ157" s="560" t="b">
        <f t="shared" si="66"/>
        <v>1</v>
      </c>
      <c r="AK157" s="1197" t="s">
        <v>11</v>
      </c>
      <c r="AL157" s="89" t="str">
        <f t="shared" si="67"/>
        <v>Oxfordshire</v>
      </c>
      <c r="AM157" s="143">
        <f t="shared" si="73"/>
        <v>17.634560906515581</v>
      </c>
      <c r="AN157" s="143">
        <f t="shared" si="68"/>
        <v>19.746121297602258</v>
      </c>
      <c r="AO157" s="143">
        <f t="shared" si="68"/>
        <v>20.013995801259622</v>
      </c>
      <c r="AP157" s="143">
        <f t="shared" si="68"/>
        <v>20.781032078103205</v>
      </c>
      <c r="AQ157" s="143">
        <f t="shared" si="68"/>
        <v>18.853591160220994</v>
      </c>
      <c r="AR157" s="144">
        <f t="shared" si="69"/>
        <v>10.100000000000001</v>
      </c>
      <c r="AS157" s="341" t="e">
        <f t="shared" si="70"/>
        <v>#N/A</v>
      </c>
      <c r="AT157" s="341">
        <f t="shared" si="70"/>
        <v>0.26071428571428573</v>
      </c>
      <c r="AU157" s="341">
        <f t="shared" si="70"/>
        <v>0.27272727272727271</v>
      </c>
      <c r="AV157" s="341">
        <f t="shared" si="70"/>
        <v>0.30201342281879195</v>
      </c>
      <c r="AW157" s="341" t="e">
        <f t="shared" si="70"/>
        <v>#N/A</v>
      </c>
      <c r="AX157" s="341">
        <f t="shared" si="74"/>
        <v>4.0160642570281124E-2</v>
      </c>
      <c r="AY157" s="341">
        <f t="shared" si="71"/>
        <v>3.5714285714285712E-2</v>
      </c>
      <c r="AZ157" s="341">
        <f t="shared" si="71"/>
        <v>6.9930069930069935E-2</v>
      </c>
      <c r="BA157" s="341">
        <f t="shared" si="71"/>
        <v>2.6845637583892617E-2</v>
      </c>
      <c r="BB157" s="341">
        <f t="shared" si="71"/>
        <v>6.95970695970696E-2</v>
      </c>
      <c r="BC157" s="341">
        <f t="shared" si="75"/>
        <v>0.1606425702811245</v>
      </c>
      <c r="BD157" s="341">
        <f t="shared" si="72"/>
        <v>0.10714285714285714</v>
      </c>
      <c r="BE157" s="341">
        <f t="shared" si="72"/>
        <v>5.5944055944055944E-2</v>
      </c>
      <c r="BF157" s="341">
        <f t="shared" si="72"/>
        <v>0.1476510067114094</v>
      </c>
      <c r="BG157" s="341">
        <f t="shared" si="72"/>
        <v>9.5238095238095233E-2</v>
      </c>
      <c r="BH157" s="341"/>
      <c r="BI157" s="341"/>
      <c r="BJ157" s="341"/>
      <c r="BK157" s="341"/>
      <c r="BL157" s="341"/>
      <c r="BM157" s="341"/>
      <c r="BN157" s="341"/>
      <c r="BO157" s="341"/>
      <c r="BP157" s="341"/>
      <c r="BQ157" s="341"/>
    </row>
    <row r="158" spans="1:69" ht="13.5" customHeight="1" x14ac:dyDescent="0.2">
      <c r="A158" s="120"/>
      <c r="B158" s="412"/>
      <c r="C158" s="412"/>
      <c r="D158" s="58"/>
      <c r="E158" s="58"/>
      <c r="F158" s="58"/>
      <c r="G158" s="58"/>
      <c r="H158" s="58"/>
      <c r="I158" s="58"/>
      <c r="J158" s="13"/>
      <c r="K158" s="15"/>
      <c r="L158" s="15"/>
      <c r="M158" s="15"/>
      <c r="N158" s="15"/>
      <c r="O158" s="9"/>
      <c r="P158" s="9"/>
      <c r="Q158" s="9"/>
      <c r="R158" s="9"/>
      <c r="S158" s="9"/>
      <c r="T158" s="9"/>
      <c r="U158" s="9"/>
      <c r="V158" s="119"/>
      <c r="W158" s="138"/>
      <c r="X158" s="1202"/>
      <c r="Y158" s="1289" t="s">
        <v>12</v>
      </c>
      <c r="Z158" s="1290">
        <f t="shared" si="61"/>
        <v>164</v>
      </c>
      <c r="AA158" s="1290">
        <f t="shared" si="62"/>
        <v>126</v>
      </c>
      <c r="AB158" s="1290">
        <f t="shared" si="63"/>
        <v>123</v>
      </c>
      <c r="AC158" s="1290">
        <f t="shared" si="64"/>
        <v>186</v>
      </c>
      <c r="AD158" s="1290">
        <f t="shared" si="65"/>
        <v>161</v>
      </c>
      <c r="AJ158" s="560" t="b">
        <f t="shared" si="66"/>
        <v>1</v>
      </c>
      <c r="AK158" s="1197" t="s">
        <v>12</v>
      </c>
      <c r="AL158" s="89" t="str">
        <f t="shared" si="67"/>
        <v>Portsmouth</v>
      </c>
      <c r="AM158" s="143">
        <f t="shared" si="73"/>
        <v>37.788018433179722</v>
      </c>
      <c r="AN158" s="143">
        <f t="shared" si="68"/>
        <v>28.767123287671232</v>
      </c>
      <c r="AO158" s="143">
        <f t="shared" si="68"/>
        <v>27.954545454545453</v>
      </c>
      <c r="AP158" s="143">
        <f t="shared" si="68"/>
        <v>42.081447963800905</v>
      </c>
      <c r="AQ158" s="143">
        <f t="shared" si="68"/>
        <v>36.590909090909093</v>
      </c>
      <c r="AR158" s="144">
        <f t="shared" si="69"/>
        <v>20.200000000000003</v>
      </c>
      <c r="AS158" s="341" t="e">
        <f t="shared" ref="AS158:AW171" si="76">VLOOKUP($AL158,$B$184:$H$207,AS$37,FALSE)</f>
        <v>#N/A</v>
      </c>
      <c r="AT158" s="341">
        <f t="shared" si="76"/>
        <v>0.19047619047619047</v>
      </c>
      <c r="AU158" s="341">
        <f t="shared" si="76"/>
        <v>0.23577235772357724</v>
      </c>
      <c r="AV158" s="341">
        <f t="shared" si="76"/>
        <v>0.26881720430107525</v>
      </c>
      <c r="AW158" s="341" t="e">
        <f t="shared" si="76"/>
        <v>#N/A</v>
      </c>
      <c r="AX158" s="341">
        <f t="shared" si="74"/>
        <v>3.048780487804878E-2</v>
      </c>
      <c r="AY158" s="341">
        <f t="shared" si="71"/>
        <v>0.11904761904761904</v>
      </c>
      <c r="AZ158" s="341" t="e">
        <f t="shared" si="71"/>
        <v>#N/A</v>
      </c>
      <c r="BA158" s="341">
        <f t="shared" si="71"/>
        <v>4.3010752688172046E-2</v>
      </c>
      <c r="BB158" s="341">
        <f t="shared" si="71"/>
        <v>6.2111801242236024E-2</v>
      </c>
      <c r="BC158" s="341">
        <f t="shared" si="75"/>
        <v>9.1463414634146339E-2</v>
      </c>
      <c r="BD158" s="341">
        <f t="shared" si="72"/>
        <v>0.11904761904761904</v>
      </c>
      <c r="BE158" s="341">
        <f t="shared" si="72"/>
        <v>9.7560975609756101E-2</v>
      </c>
      <c r="BF158" s="341">
        <f t="shared" si="72"/>
        <v>0.11827956989247312</v>
      </c>
      <c r="BG158" s="341">
        <f t="shared" si="72"/>
        <v>4.3478260869565216E-2</v>
      </c>
      <c r="BH158" s="341"/>
      <c r="BI158" s="341"/>
      <c r="BJ158" s="341"/>
      <c r="BK158" s="341"/>
      <c r="BL158" s="341"/>
      <c r="BM158" s="341"/>
      <c r="BN158" s="341"/>
      <c r="BO158" s="341"/>
      <c r="BP158" s="341"/>
      <c r="BQ158" s="341"/>
    </row>
    <row r="159" spans="1:69" ht="13.5" customHeight="1" x14ac:dyDescent="0.2">
      <c r="A159" s="120"/>
      <c r="B159" s="412"/>
      <c r="C159" s="412"/>
      <c r="D159" s="58"/>
      <c r="E159" s="58"/>
      <c r="F159" s="58"/>
      <c r="G159" s="58"/>
      <c r="H159" s="58"/>
      <c r="I159" s="58"/>
      <c r="J159" s="13"/>
      <c r="K159" s="15"/>
      <c r="L159" s="15"/>
      <c r="M159" s="15"/>
      <c r="N159" s="15"/>
      <c r="O159" s="9"/>
      <c r="P159" s="9"/>
      <c r="Q159" s="9"/>
      <c r="R159" s="9"/>
      <c r="S159" s="9"/>
      <c r="T159" s="9"/>
      <c r="U159" s="9"/>
      <c r="V159" s="119"/>
      <c r="W159" s="138"/>
      <c r="X159" s="1202"/>
      <c r="Y159" s="1289" t="s">
        <v>3</v>
      </c>
      <c r="Z159" s="1290">
        <f t="shared" si="61"/>
        <v>84</v>
      </c>
      <c r="AA159" s="1290">
        <f t="shared" si="62"/>
        <v>123</v>
      </c>
      <c r="AB159" s="1290">
        <f t="shared" si="63"/>
        <v>100</v>
      </c>
      <c r="AC159" s="1290">
        <f t="shared" si="64"/>
        <v>92</v>
      </c>
      <c r="AD159" s="1290">
        <f t="shared" si="65"/>
        <v>95</v>
      </c>
      <c r="AJ159" s="560" t="b">
        <f t="shared" si="66"/>
        <v>1</v>
      </c>
      <c r="AK159" s="1197" t="s">
        <v>3</v>
      </c>
      <c r="AL159" s="89" t="str">
        <f t="shared" si="67"/>
        <v>Reading</v>
      </c>
      <c r="AM159" s="143">
        <f t="shared" si="73"/>
        <v>23.398328690807801</v>
      </c>
      <c r="AN159" s="143">
        <f t="shared" si="68"/>
        <v>33.791208791208788</v>
      </c>
      <c r="AO159" s="143">
        <f t="shared" si="68"/>
        <v>27.3224043715847</v>
      </c>
      <c r="AP159" s="143">
        <f t="shared" si="68"/>
        <v>24.797843665768195</v>
      </c>
      <c r="AQ159" s="143">
        <f t="shared" si="68"/>
        <v>25.60646900269542</v>
      </c>
      <c r="AR159" s="144">
        <f t="shared" si="69"/>
        <v>16</v>
      </c>
      <c r="AS159" s="341" t="e">
        <f t="shared" si="76"/>
        <v>#N/A</v>
      </c>
      <c r="AT159" s="341">
        <f t="shared" si="76"/>
        <v>0.23577235772357724</v>
      </c>
      <c r="AU159" s="341">
        <f t="shared" si="76"/>
        <v>0.24</v>
      </c>
      <c r="AV159" s="341">
        <f t="shared" si="76"/>
        <v>0.38043478260869568</v>
      </c>
      <c r="AW159" s="341" t="e">
        <f t="shared" si="76"/>
        <v>#N/A</v>
      </c>
      <c r="AX159" s="341">
        <f t="shared" si="74"/>
        <v>0</v>
      </c>
      <c r="AY159" s="341">
        <f t="shared" si="71"/>
        <v>8.1300813008130079E-2</v>
      </c>
      <c r="AZ159" s="341">
        <f t="shared" si="71"/>
        <v>0</v>
      </c>
      <c r="BA159" s="341" t="e">
        <f t="shared" si="71"/>
        <v>#N/A</v>
      </c>
      <c r="BB159" s="341">
        <f t="shared" si="71"/>
        <v>0</v>
      </c>
      <c r="BC159" s="341">
        <f t="shared" si="75"/>
        <v>0.17857142857142858</v>
      </c>
      <c r="BD159" s="341">
        <f t="shared" si="72"/>
        <v>0.16260162601626016</v>
      </c>
      <c r="BE159" s="341">
        <f t="shared" si="72"/>
        <v>0.08</v>
      </c>
      <c r="BF159" s="341">
        <f t="shared" si="72"/>
        <v>0.15217391304347827</v>
      </c>
      <c r="BG159" s="341">
        <f t="shared" si="72"/>
        <v>0.14736842105263157</v>
      </c>
      <c r="BH159" s="341"/>
      <c r="BI159" s="341"/>
      <c r="BJ159" s="341"/>
      <c r="BK159" s="341"/>
      <c r="BL159" s="341"/>
      <c r="BM159" s="341"/>
      <c r="BN159" s="341"/>
      <c r="BO159" s="341"/>
      <c r="BP159" s="341"/>
      <c r="BQ159" s="341"/>
    </row>
    <row r="160" spans="1:69" ht="13.5" customHeight="1" x14ac:dyDescent="0.2">
      <c r="A160" s="120"/>
      <c r="B160" s="412"/>
      <c r="C160" s="412"/>
      <c r="D160" s="58"/>
      <c r="E160" s="58"/>
      <c r="F160" s="58"/>
      <c r="G160" s="58"/>
      <c r="H160" s="58"/>
      <c r="I160" s="58"/>
      <c r="J160" s="13"/>
      <c r="K160" s="15"/>
      <c r="L160" s="15"/>
      <c r="M160" s="15"/>
      <c r="N160" s="15"/>
      <c r="O160" s="9"/>
      <c r="P160" s="9"/>
      <c r="Q160" s="9"/>
      <c r="R160" s="9"/>
      <c r="S160" s="9"/>
      <c r="T160" s="9"/>
      <c r="U160" s="9"/>
      <c r="V160" s="119"/>
      <c r="W160" s="138"/>
      <c r="X160" s="1202"/>
      <c r="Y160" s="1289" t="s">
        <v>13</v>
      </c>
      <c r="Z160" s="1290">
        <f t="shared" si="61"/>
        <v>113</v>
      </c>
      <c r="AA160" s="1290">
        <f t="shared" si="62"/>
        <v>154</v>
      </c>
      <c r="AB160" s="1290">
        <f t="shared" si="63"/>
        <v>112</v>
      </c>
      <c r="AC160" s="1290">
        <f t="shared" si="64"/>
        <v>112</v>
      </c>
      <c r="AD160" s="1290">
        <f t="shared" si="65"/>
        <v>127</v>
      </c>
      <c r="AJ160" s="560" t="b">
        <f t="shared" si="66"/>
        <v>1</v>
      </c>
      <c r="AK160" s="1197" t="s">
        <v>13</v>
      </c>
      <c r="AL160" s="89" t="str">
        <f t="shared" si="67"/>
        <v>Slough</v>
      </c>
      <c r="AM160" s="143">
        <f t="shared" si="73"/>
        <v>28.320802005012531</v>
      </c>
      <c r="AN160" s="143">
        <f t="shared" si="68"/>
        <v>37.931034482758619</v>
      </c>
      <c r="AO160" s="143">
        <f t="shared" si="68"/>
        <v>27.05314009661836</v>
      </c>
      <c r="AP160" s="143">
        <f t="shared" si="68"/>
        <v>26.54028436018957</v>
      </c>
      <c r="AQ160" s="143">
        <f t="shared" si="68"/>
        <v>29.742388758782205</v>
      </c>
      <c r="AR160" s="144">
        <f t="shared" si="69"/>
        <v>14.7</v>
      </c>
      <c r="AS160" s="341" t="e">
        <f t="shared" si="76"/>
        <v>#N/A</v>
      </c>
      <c r="AT160" s="341">
        <f t="shared" si="76"/>
        <v>0.13636363636363635</v>
      </c>
      <c r="AU160" s="341">
        <f t="shared" si="76"/>
        <v>0.21428571428571427</v>
      </c>
      <c r="AV160" s="341">
        <f t="shared" si="76"/>
        <v>0.25</v>
      </c>
      <c r="AW160" s="341" t="e">
        <f t="shared" si="76"/>
        <v>#N/A</v>
      </c>
      <c r="AX160" s="341" t="e">
        <f t="shared" si="74"/>
        <v>#N/A</v>
      </c>
      <c r="AY160" s="341">
        <f t="shared" si="71"/>
        <v>6.4935064935064929E-2</v>
      </c>
      <c r="AZ160" s="341">
        <f t="shared" si="71"/>
        <v>8.0357142857142863E-2</v>
      </c>
      <c r="BA160" s="341" t="e">
        <f t="shared" si="71"/>
        <v>#N/A</v>
      </c>
      <c r="BB160" s="341" t="e">
        <f t="shared" si="71"/>
        <v>#N/A</v>
      </c>
      <c r="BC160" s="341">
        <f t="shared" si="75"/>
        <v>4.4247787610619468E-2</v>
      </c>
      <c r="BD160" s="341">
        <f t="shared" si="72"/>
        <v>0.16233766233766234</v>
      </c>
      <c r="BE160" s="341">
        <f t="shared" si="72"/>
        <v>8.9285714285714288E-2</v>
      </c>
      <c r="BF160" s="341">
        <f t="shared" si="72"/>
        <v>0.125</v>
      </c>
      <c r="BG160" s="341">
        <f t="shared" si="72"/>
        <v>7.0866141732283464E-2</v>
      </c>
      <c r="BH160" s="341"/>
      <c r="BI160" s="341"/>
      <c r="BJ160" s="341"/>
      <c r="BK160" s="341"/>
      <c r="BL160" s="341"/>
      <c r="BM160" s="341"/>
      <c r="BN160" s="341"/>
      <c r="BO160" s="341"/>
      <c r="BP160" s="341"/>
      <c r="BQ160" s="341"/>
    </row>
    <row r="161" spans="1:69" ht="13.5" customHeight="1" x14ac:dyDescent="0.2">
      <c r="A161" s="120"/>
      <c r="B161" s="412"/>
      <c r="C161" s="412"/>
      <c r="D161" s="58"/>
      <c r="E161" s="58"/>
      <c r="F161" s="58"/>
      <c r="G161" s="58"/>
      <c r="H161" s="58"/>
      <c r="I161" s="58"/>
      <c r="J161" s="13"/>
      <c r="K161" s="15"/>
      <c r="L161" s="15"/>
      <c r="M161" s="15"/>
      <c r="N161" s="15"/>
      <c r="O161" s="9"/>
      <c r="P161" s="9"/>
      <c r="Q161" s="9"/>
      <c r="R161" s="9"/>
      <c r="S161" s="9"/>
      <c r="T161" s="9"/>
      <c r="U161" s="9"/>
      <c r="V161" s="119"/>
      <c r="W161" s="138"/>
      <c r="X161" s="1202"/>
      <c r="Y161" s="1289" t="s">
        <v>93</v>
      </c>
      <c r="Z161" s="1290">
        <f t="shared" si="61"/>
        <v>299</v>
      </c>
      <c r="AA161" s="1290">
        <f t="shared" si="62"/>
        <v>229</v>
      </c>
      <c r="AB161" s="1290">
        <f t="shared" si="63"/>
        <v>261</v>
      </c>
      <c r="AC161" s="1290">
        <f t="shared" si="64"/>
        <v>223</v>
      </c>
      <c r="AD161" s="1290">
        <f t="shared" si="65"/>
        <v>184</v>
      </c>
      <c r="AJ161" s="560" t="b">
        <f t="shared" si="66"/>
        <v>1</v>
      </c>
      <c r="AK161" s="1197" t="s">
        <v>93</v>
      </c>
      <c r="AL161" s="89" t="str">
        <f t="shared" si="67"/>
        <v>Somerset</v>
      </c>
      <c r="AM161" s="143">
        <f t="shared" si="73"/>
        <v>27.456382001836548</v>
      </c>
      <c r="AN161" s="143">
        <f t="shared" si="68"/>
        <v>20.970695970695971</v>
      </c>
      <c r="AO161" s="143">
        <f t="shared" si="68"/>
        <v>23.792160437556973</v>
      </c>
      <c r="AP161" s="143">
        <f t="shared" si="68"/>
        <v>20.254314259763852</v>
      </c>
      <c r="AQ161" s="143">
        <f t="shared" si="68"/>
        <v>16.621499548328817</v>
      </c>
      <c r="AR161" s="144">
        <f t="shared" si="69"/>
        <v>13.600000000000001</v>
      </c>
      <c r="AS161" s="341" t="e">
        <f t="shared" si="76"/>
        <v>#N/A</v>
      </c>
      <c r="AT161" s="341">
        <f t="shared" si="76"/>
        <v>0.1965065502183406</v>
      </c>
      <c r="AU161" s="341">
        <f t="shared" si="76"/>
        <v>0.22988505747126436</v>
      </c>
      <c r="AV161" s="341">
        <f t="shared" si="76"/>
        <v>0.26008968609865468</v>
      </c>
      <c r="AW161" s="341" t="e">
        <f t="shared" si="76"/>
        <v>#N/A</v>
      </c>
      <c r="AX161" s="341">
        <f t="shared" si="74"/>
        <v>1.6722408026755852E-2</v>
      </c>
      <c r="AY161" s="341" t="e">
        <f t="shared" si="71"/>
        <v>#N/A</v>
      </c>
      <c r="AZ161" s="341">
        <f t="shared" si="71"/>
        <v>4.5977011494252873E-2</v>
      </c>
      <c r="BA161" s="341">
        <f t="shared" si="71"/>
        <v>2.6905829596412557E-2</v>
      </c>
      <c r="BB161" s="341" t="e">
        <f t="shared" si="71"/>
        <v>#N/A</v>
      </c>
      <c r="BC161" s="341">
        <f t="shared" si="75"/>
        <v>5.016722408026756E-2</v>
      </c>
      <c r="BD161" s="341">
        <f t="shared" si="72"/>
        <v>6.5502183406113537E-2</v>
      </c>
      <c r="BE161" s="341">
        <f t="shared" si="72"/>
        <v>0.11494252873563218</v>
      </c>
      <c r="BF161" s="341">
        <f t="shared" si="72"/>
        <v>0.12556053811659193</v>
      </c>
      <c r="BG161" s="341">
        <f t="shared" si="72"/>
        <v>7.0652173913043473E-2</v>
      </c>
      <c r="BH161" s="341"/>
      <c r="BI161" s="341"/>
      <c r="BJ161" s="341"/>
      <c r="BK161" s="341"/>
      <c r="BL161" s="341"/>
      <c r="BM161" s="341"/>
      <c r="BN161" s="341"/>
      <c r="BO161" s="341"/>
      <c r="BP161" s="341"/>
      <c r="BQ161" s="341"/>
    </row>
    <row r="162" spans="1:69" ht="13.5" customHeight="1" x14ac:dyDescent="0.2">
      <c r="A162" s="120"/>
      <c r="B162" s="412"/>
      <c r="C162" s="412"/>
      <c r="D162" s="58"/>
      <c r="E162" s="58"/>
      <c r="F162" s="58"/>
      <c r="G162" s="58"/>
      <c r="H162" s="58"/>
      <c r="I162" s="58"/>
      <c r="J162" s="13"/>
      <c r="K162" s="15"/>
      <c r="L162" s="15"/>
      <c r="M162" s="15"/>
      <c r="N162" s="15"/>
      <c r="O162" s="9"/>
      <c r="P162" s="9"/>
      <c r="Q162" s="9"/>
      <c r="R162" s="9"/>
      <c r="S162" s="9"/>
      <c r="T162" s="9"/>
      <c r="U162" s="9"/>
      <c r="V162" s="119"/>
      <c r="W162" s="138"/>
      <c r="X162" s="1202"/>
      <c r="Y162" s="1289" t="s">
        <v>14</v>
      </c>
      <c r="Z162" s="1290">
        <f t="shared" si="61"/>
        <v>192</v>
      </c>
      <c r="AA162" s="1290">
        <f t="shared" si="62"/>
        <v>205</v>
      </c>
      <c r="AB162" s="1290">
        <f t="shared" si="63"/>
        <v>221</v>
      </c>
      <c r="AC162" s="1290">
        <f t="shared" si="64"/>
        <v>197</v>
      </c>
      <c r="AD162" s="1290">
        <f t="shared" si="65"/>
        <v>214</v>
      </c>
      <c r="AJ162" s="560" t="b">
        <f t="shared" si="66"/>
        <v>1</v>
      </c>
      <c r="AK162" s="1197" t="s">
        <v>14</v>
      </c>
      <c r="AL162" s="89" t="str">
        <f t="shared" si="67"/>
        <v>Southampton</v>
      </c>
      <c r="AM162" s="143">
        <f t="shared" si="73"/>
        <v>39.506172839506171</v>
      </c>
      <c r="AN162" s="143">
        <f t="shared" si="68"/>
        <v>41.666666666666664</v>
      </c>
      <c r="AO162" s="143">
        <f t="shared" si="68"/>
        <v>44.288577154308619</v>
      </c>
      <c r="AP162" s="143">
        <f t="shared" si="68"/>
        <v>39.165009940357848</v>
      </c>
      <c r="AQ162" s="143">
        <f t="shared" si="68"/>
        <v>42.125984251968504</v>
      </c>
      <c r="AR162" s="144">
        <f t="shared" si="69"/>
        <v>20.5</v>
      </c>
      <c r="AS162" s="341" t="e">
        <f t="shared" si="76"/>
        <v>#N/A</v>
      </c>
      <c r="AT162" s="341">
        <f t="shared" si="76"/>
        <v>0.15121951219512195</v>
      </c>
      <c r="AU162" s="341">
        <f t="shared" si="76"/>
        <v>0.18552036199095023</v>
      </c>
      <c r="AV162" s="341">
        <f t="shared" si="76"/>
        <v>0.16751269035532995</v>
      </c>
      <c r="AW162" s="341" t="e">
        <f t="shared" si="76"/>
        <v>#N/A</v>
      </c>
      <c r="AX162" s="341">
        <f t="shared" si="74"/>
        <v>5.2083333333333336E-2</v>
      </c>
      <c r="AY162" s="341" t="e">
        <f t="shared" si="71"/>
        <v>#N/A</v>
      </c>
      <c r="AZ162" s="341" t="e">
        <f t="shared" si="71"/>
        <v>#N/A</v>
      </c>
      <c r="BA162" s="341">
        <f t="shared" si="71"/>
        <v>6.5989847715736044E-2</v>
      </c>
      <c r="BB162" s="341">
        <f t="shared" si="71"/>
        <v>3.7383177570093455E-2</v>
      </c>
      <c r="BC162" s="341">
        <f t="shared" si="75"/>
        <v>5.2083333333333336E-2</v>
      </c>
      <c r="BD162" s="341">
        <f t="shared" si="72"/>
        <v>0.14634146341463414</v>
      </c>
      <c r="BE162" s="341">
        <f t="shared" si="72"/>
        <v>0.15837104072398189</v>
      </c>
      <c r="BF162" s="341">
        <f t="shared" si="72"/>
        <v>0.19796954314720813</v>
      </c>
      <c r="BG162" s="341">
        <f t="shared" si="72"/>
        <v>0.17289719626168223</v>
      </c>
      <c r="BH162" s="341"/>
      <c r="BI162" s="341"/>
      <c r="BJ162" s="341"/>
      <c r="BK162" s="341"/>
      <c r="BL162" s="341"/>
      <c r="BM162" s="341"/>
      <c r="BN162" s="341"/>
      <c r="BO162" s="341"/>
      <c r="BP162" s="341"/>
      <c r="BQ162" s="341"/>
    </row>
    <row r="163" spans="1:69" ht="13.5" customHeight="1" x14ac:dyDescent="0.2">
      <c r="A163" s="120"/>
      <c r="B163" s="412"/>
      <c r="C163" s="412"/>
      <c r="D163" s="58"/>
      <c r="E163" s="58"/>
      <c r="F163" s="58"/>
      <c r="G163" s="58"/>
      <c r="H163" s="58"/>
      <c r="I163" s="58"/>
      <c r="J163" s="13"/>
      <c r="K163" s="15"/>
      <c r="L163" s="15"/>
      <c r="M163" s="15"/>
      <c r="N163" s="15"/>
      <c r="O163" s="9"/>
      <c r="P163" s="9"/>
      <c r="Q163" s="9"/>
      <c r="R163" s="9"/>
      <c r="S163" s="9"/>
      <c r="T163" s="9"/>
      <c r="U163" s="9"/>
      <c r="V163" s="119"/>
      <c r="W163" s="138"/>
      <c r="X163" s="1202"/>
      <c r="Y163" s="1289" t="s">
        <v>7</v>
      </c>
      <c r="Z163" s="1290">
        <f t="shared" si="61"/>
        <v>374</v>
      </c>
      <c r="AA163" s="1290">
        <f t="shared" si="62"/>
        <v>405</v>
      </c>
      <c r="AB163" s="1290">
        <f t="shared" si="63"/>
        <v>419</v>
      </c>
      <c r="AC163" s="1290">
        <f t="shared" si="64"/>
        <v>409</v>
      </c>
      <c r="AD163" s="1290">
        <f t="shared" si="65"/>
        <v>394</v>
      </c>
      <c r="AJ163" s="560" t="b">
        <f t="shared" si="66"/>
        <v>1</v>
      </c>
      <c r="AK163" s="1197" t="s">
        <v>7</v>
      </c>
      <c r="AL163" s="89" t="str">
        <f t="shared" si="67"/>
        <v>Surrey</v>
      </c>
      <c r="AM163" s="143">
        <f t="shared" si="73"/>
        <v>14.689709347996859</v>
      </c>
      <c r="AN163" s="143">
        <f t="shared" si="68"/>
        <v>15.795631825273011</v>
      </c>
      <c r="AO163" s="143">
        <f t="shared" si="68"/>
        <v>16.177606177606179</v>
      </c>
      <c r="AP163" s="143">
        <f t="shared" si="68"/>
        <v>15.712639262389551</v>
      </c>
      <c r="AQ163" s="143">
        <f t="shared" si="68"/>
        <v>15.043909889270715</v>
      </c>
      <c r="AR163" s="144">
        <f t="shared" si="69"/>
        <v>8.3000000000000007</v>
      </c>
      <c r="AS163" s="341" t="e">
        <f t="shared" si="76"/>
        <v>#N/A</v>
      </c>
      <c r="AT163" s="341">
        <f t="shared" si="76"/>
        <v>0.27407407407407408</v>
      </c>
      <c r="AU163" s="341">
        <f t="shared" si="76"/>
        <v>0.31742243436754175</v>
      </c>
      <c r="AV163" s="341">
        <f t="shared" si="76"/>
        <v>0.41809290953545231</v>
      </c>
      <c r="AW163" s="341" t="e">
        <f t="shared" si="76"/>
        <v>#N/A</v>
      </c>
      <c r="AX163" s="341">
        <f t="shared" si="74"/>
        <v>1.3368983957219251E-2</v>
      </c>
      <c r="AY163" s="341">
        <f t="shared" si="71"/>
        <v>3.7037037037037035E-2</v>
      </c>
      <c r="AZ163" s="341">
        <f t="shared" si="71"/>
        <v>1.6706443914081145E-2</v>
      </c>
      <c r="BA163" s="341">
        <f t="shared" si="71"/>
        <v>3.1784841075794622E-2</v>
      </c>
      <c r="BB163" s="341">
        <f t="shared" si="71"/>
        <v>2.7918781725888325E-2</v>
      </c>
      <c r="BC163" s="341">
        <f t="shared" si="75"/>
        <v>0.13368983957219252</v>
      </c>
      <c r="BD163" s="341">
        <f t="shared" si="72"/>
        <v>9.8765432098765427E-2</v>
      </c>
      <c r="BE163" s="341">
        <f t="shared" si="72"/>
        <v>0.13365155131264916</v>
      </c>
      <c r="BF163" s="341">
        <f t="shared" si="72"/>
        <v>0.12469437652811736</v>
      </c>
      <c r="BG163" s="341">
        <f t="shared" si="72"/>
        <v>0.10913705583756345</v>
      </c>
      <c r="BH163" s="341"/>
      <c r="BI163" s="341"/>
      <c r="BJ163" s="341"/>
      <c r="BK163" s="341"/>
      <c r="BL163" s="341"/>
      <c r="BM163" s="341"/>
      <c r="BN163" s="341"/>
      <c r="BO163" s="341"/>
      <c r="BP163" s="341"/>
      <c r="BQ163" s="341"/>
    </row>
    <row r="164" spans="1:69" ht="13.5" customHeight="1" x14ac:dyDescent="0.2">
      <c r="A164" s="271"/>
      <c r="B164" s="412"/>
      <c r="C164" s="412"/>
      <c r="D164" s="58"/>
      <c r="E164" s="58"/>
      <c r="F164" s="58"/>
      <c r="G164" s="58"/>
      <c r="H164" s="58"/>
      <c r="I164" s="58"/>
      <c r="J164" s="13"/>
      <c r="K164" s="15"/>
      <c r="L164" s="15"/>
      <c r="M164" s="15"/>
      <c r="N164" s="15"/>
      <c r="O164" s="9"/>
      <c r="P164" s="9"/>
      <c r="Q164" s="9"/>
      <c r="R164" s="9"/>
      <c r="S164" s="9"/>
      <c r="T164" s="9"/>
      <c r="U164" s="9"/>
      <c r="V164" s="119"/>
      <c r="W164" s="138"/>
      <c r="X164" s="1202"/>
      <c r="Y164" s="1289" t="s">
        <v>114</v>
      </c>
      <c r="Z164" s="1290">
        <f t="shared" si="61"/>
        <v>135</v>
      </c>
      <c r="AA164" s="1290">
        <f t="shared" si="62"/>
        <v>139</v>
      </c>
      <c r="AB164" s="1290">
        <f t="shared" si="63"/>
        <v>150</v>
      </c>
      <c r="AC164" s="1290">
        <f t="shared" si="64"/>
        <v>155</v>
      </c>
      <c r="AD164" s="1290">
        <f t="shared" si="65"/>
        <v>149</v>
      </c>
      <c r="AJ164" s="560" t="b">
        <f t="shared" si="66"/>
        <v>1</v>
      </c>
      <c r="AK164" s="1197" t="s">
        <v>114</v>
      </c>
      <c r="AL164" s="89" t="str">
        <f t="shared" si="67"/>
        <v>Swindon</v>
      </c>
      <c r="AM164" s="143">
        <f t="shared" si="73"/>
        <v>27.777777777777779</v>
      </c>
      <c r="AN164" s="143">
        <f t="shared" si="73"/>
        <v>28.367346938775508</v>
      </c>
      <c r="AO164" s="143">
        <f t="shared" si="73"/>
        <v>30.303030303030305</v>
      </c>
      <c r="AP164" s="143">
        <f t="shared" si="73"/>
        <v>31.062124248496993</v>
      </c>
      <c r="AQ164" s="143">
        <f t="shared" si="73"/>
        <v>29.681274900398407</v>
      </c>
      <c r="AR164" s="144">
        <f t="shared" si="69"/>
        <v>14.899999999999999</v>
      </c>
      <c r="AS164" s="341" t="e">
        <f t="shared" si="76"/>
        <v>#N/A</v>
      </c>
      <c r="AT164" s="341">
        <f t="shared" si="76"/>
        <v>0.23741007194244604</v>
      </c>
      <c r="AU164" s="341">
        <f t="shared" si="76"/>
        <v>0.28666666666666668</v>
      </c>
      <c r="AV164" s="341">
        <f t="shared" si="76"/>
        <v>0.23870967741935484</v>
      </c>
      <c r="AW164" s="341" t="e">
        <f t="shared" si="76"/>
        <v>#N/A</v>
      </c>
      <c r="AX164" s="341" t="e">
        <f t="shared" si="74"/>
        <v>#N/A</v>
      </c>
      <c r="AY164" s="341" t="e">
        <f t="shared" si="74"/>
        <v>#N/A</v>
      </c>
      <c r="AZ164" s="341">
        <f t="shared" si="74"/>
        <v>6.6666666666666666E-2</v>
      </c>
      <c r="BA164" s="341">
        <f t="shared" si="74"/>
        <v>5.1612903225806452E-2</v>
      </c>
      <c r="BB164" s="341" t="e">
        <f t="shared" si="74"/>
        <v>#N/A</v>
      </c>
      <c r="BC164" s="341">
        <f t="shared" si="75"/>
        <v>7.407407407407407E-2</v>
      </c>
      <c r="BD164" s="341">
        <f t="shared" si="75"/>
        <v>7.1942446043165464E-2</v>
      </c>
      <c r="BE164" s="341">
        <f t="shared" si="75"/>
        <v>0.12666666666666668</v>
      </c>
      <c r="BF164" s="341">
        <f t="shared" si="75"/>
        <v>0.18064516129032257</v>
      </c>
      <c r="BG164" s="341">
        <f t="shared" si="75"/>
        <v>0.21476510067114093</v>
      </c>
      <c r="BH164" s="341"/>
      <c r="BI164" s="341"/>
      <c r="BJ164" s="341"/>
      <c r="BK164" s="341"/>
      <c r="BL164" s="341"/>
      <c r="BM164" s="341"/>
      <c r="BN164" s="341"/>
      <c r="BO164" s="341"/>
      <c r="BP164" s="341"/>
      <c r="BQ164" s="341"/>
    </row>
    <row r="165" spans="1:69" ht="13.5" customHeight="1" x14ac:dyDescent="0.2">
      <c r="A165" s="271"/>
      <c r="B165" s="412"/>
      <c r="C165" s="412"/>
      <c r="D165" s="58"/>
      <c r="E165" s="58"/>
      <c r="F165" s="58"/>
      <c r="G165" s="58"/>
      <c r="H165" s="58"/>
      <c r="I165" s="58"/>
      <c r="J165" s="13"/>
      <c r="K165" s="15"/>
      <c r="L165" s="15"/>
      <c r="M165" s="15"/>
      <c r="N165" s="15"/>
      <c r="O165" s="9"/>
      <c r="P165" s="9"/>
      <c r="Q165" s="9"/>
      <c r="R165" s="9"/>
      <c r="S165" s="9"/>
      <c r="T165" s="9"/>
      <c r="U165" s="9"/>
      <c r="V165" s="119"/>
      <c r="W165" s="138"/>
      <c r="X165" s="1202"/>
      <c r="Y165" s="1289" t="s">
        <v>115</v>
      </c>
      <c r="Z165" s="1290">
        <f t="shared" si="61"/>
        <v>124</v>
      </c>
      <c r="AA165" s="1290">
        <f t="shared" si="62"/>
        <v>125</v>
      </c>
      <c r="AB165" s="1290">
        <f t="shared" si="63"/>
        <v>108</v>
      </c>
      <c r="AC165" s="1290">
        <f t="shared" si="64"/>
        <v>102</v>
      </c>
      <c r="AD165" s="1290">
        <f t="shared" si="65"/>
        <v>118</v>
      </c>
      <c r="AJ165" s="560" t="b">
        <f t="shared" si="66"/>
        <v>1</v>
      </c>
      <c r="AK165" s="1197" t="s">
        <v>115</v>
      </c>
      <c r="AL165" s="89" t="str">
        <f t="shared" si="67"/>
        <v>Torbay</v>
      </c>
      <c r="AM165" s="143">
        <f t="shared" si="73"/>
        <v>49.402390438247018</v>
      </c>
      <c r="AN165" s="143">
        <f t="shared" si="73"/>
        <v>49.603174603174601</v>
      </c>
      <c r="AO165" s="143">
        <f t="shared" si="73"/>
        <v>42.519685039370074</v>
      </c>
      <c r="AP165" s="143">
        <f t="shared" si="73"/>
        <v>40.15748031496063</v>
      </c>
      <c r="AQ165" s="143">
        <f t="shared" si="73"/>
        <v>46.456692913385822</v>
      </c>
      <c r="AR165" s="144">
        <f t="shared" si="69"/>
        <v>21.9</v>
      </c>
      <c r="AS165" s="341" t="e">
        <f t="shared" si="76"/>
        <v>#N/A</v>
      </c>
      <c r="AT165" s="341">
        <f t="shared" si="76"/>
        <v>0.2</v>
      </c>
      <c r="AU165" s="341">
        <f t="shared" si="76"/>
        <v>0.22222222222222221</v>
      </c>
      <c r="AV165" s="341" t="e">
        <f t="shared" si="76"/>
        <v>#N/A</v>
      </c>
      <c r="AW165" s="341" t="e">
        <f t="shared" si="76"/>
        <v>#N/A</v>
      </c>
      <c r="AX165" s="341">
        <f t="shared" si="74"/>
        <v>4.0322580645161289E-2</v>
      </c>
      <c r="AY165" s="341">
        <f t="shared" si="74"/>
        <v>0.04</v>
      </c>
      <c r="AZ165" s="341">
        <f t="shared" si="74"/>
        <v>0.1111111111111111</v>
      </c>
      <c r="BA165" s="341">
        <f t="shared" si="74"/>
        <v>5.8823529411764705E-2</v>
      </c>
      <c r="BB165" s="341">
        <f t="shared" si="74"/>
        <v>6.7796610169491525E-2</v>
      </c>
      <c r="BC165" s="341">
        <f t="shared" si="75"/>
        <v>8.0645161290322578E-2</v>
      </c>
      <c r="BD165" s="341">
        <f t="shared" si="75"/>
        <v>0.08</v>
      </c>
      <c r="BE165" s="341">
        <f t="shared" si="75"/>
        <v>0.14814814814814814</v>
      </c>
      <c r="BF165" s="341">
        <f t="shared" si="75"/>
        <v>9.8039215686274508E-2</v>
      </c>
      <c r="BG165" s="341">
        <f t="shared" si="75"/>
        <v>0.10169491525423729</v>
      </c>
      <c r="BH165" s="341"/>
      <c r="BI165" s="341"/>
      <c r="BJ165" s="341"/>
      <c r="BK165" s="341"/>
      <c r="BL165" s="341"/>
      <c r="BM165" s="341"/>
      <c r="BN165" s="341"/>
      <c r="BO165" s="341"/>
      <c r="BP165" s="341"/>
      <c r="BQ165" s="341"/>
    </row>
    <row r="166" spans="1:69" ht="13.5" customHeight="1" x14ac:dyDescent="0.2">
      <c r="A166" s="120"/>
      <c r="B166" s="412"/>
      <c r="C166" s="412"/>
      <c r="D166" s="58"/>
      <c r="E166" s="58"/>
      <c r="F166" s="58"/>
      <c r="G166" s="58"/>
      <c r="H166" s="58"/>
      <c r="I166" s="58"/>
      <c r="J166" s="13"/>
      <c r="K166" s="15"/>
      <c r="L166" s="15"/>
      <c r="M166" s="15"/>
      <c r="N166" s="15"/>
      <c r="O166" s="9"/>
      <c r="P166" s="9"/>
      <c r="Q166" s="9"/>
      <c r="R166" s="9"/>
      <c r="S166" s="9"/>
      <c r="T166" s="9"/>
      <c r="U166" s="9"/>
      <c r="V166" s="119"/>
      <c r="W166" s="138"/>
      <c r="X166" s="1202"/>
      <c r="Y166" s="1289" t="s">
        <v>15</v>
      </c>
      <c r="Z166" s="1290">
        <f t="shared" si="61"/>
        <v>65</v>
      </c>
      <c r="AA166" s="1290">
        <f t="shared" si="62"/>
        <v>69</v>
      </c>
      <c r="AB166" s="1290">
        <f t="shared" si="63"/>
        <v>74</v>
      </c>
      <c r="AC166" s="1290">
        <f t="shared" si="64"/>
        <v>86</v>
      </c>
      <c r="AD166" s="1290">
        <f t="shared" si="65"/>
        <v>53</v>
      </c>
      <c r="AJ166" s="560" t="b">
        <f t="shared" si="66"/>
        <v>1</v>
      </c>
      <c r="AK166" s="1197" t="s">
        <v>15</v>
      </c>
      <c r="AL166" s="89" t="str">
        <f t="shared" si="67"/>
        <v>West Berkshire</v>
      </c>
      <c r="AM166" s="143">
        <f t="shared" si="73"/>
        <v>18.258426966292134</v>
      </c>
      <c r="AN166" s="143">
        <f t="shared" si="73"/>
        <v>19.327731092436974</v>
      </c>
      <c r="AO166" s="143">
        <f t="shared" si="73"/>
        <v>20.612813370473539</v>
      </c>
      <c r="AP166" s="143">
        <f t="shared" si="73"/>
        <v>24.022346368715084</v>
      </c>
      <c r="AQ166" s="143">
        <f t="shared" si="73"/>
        <v>14.887640449438202</v>
      </c>
      <c r="AR166" s="144">
        <f t="shared" si="69"/>
        <v>8.6999999999999993</v>
      </c>
      <c r="AS166" s="341" t="e">
        <f t="shared" si="76"/>
        <v>#N/A</v>
      </c>
      <c r="AT166" s="341">
        <f t="shared" si="76"/>
        <v>0.20289855072463769</v>
      </c>
      <c r="AU166" s="341">
        <f t="shared" si="76"/>
        <v>0.44594594594594594</v>
      </c>
      <c r="AV166" s="341">
        <f t="shared" si="76"/>
        <v>0.26744186046511625</v>
      </c>
      <c r="AW166" s="341" t="e">
        <f t="shared" si="76"/>
        <v>#N/A</v>
      </c>
      <c r="AX166" s="341">
        <f t="shared" si="74"/>
        <v>7.6923076923076927E-2</v>
      </c>
      <c r="AY166" s="341">
        <f t="shared" si="74"/>
        <v>0.14492753623188406</v>
      </c>
      <c r="AZ166" s="341">
        <f t="shared" si="74"/>
        <v>9.45945945945946E-2</v>
      </c>
      <c r="BA166" s="341">
        <f t="shared" si="74"/>
        <v>0.10465116279069768</v>
      </c>
      <c r="BB166" s="341" t="e">
        <f t="shared" si="74"/>
        <v>#N/A</v>
      </c>
      <c r="BC166" s="341">
        <f t="shared" si="75"/>
        <v>0.15384615384615385</v>
      </c>
      <c r="BD166" s="341">
        <f t="shared" si="75"/>
        <v>0.14492753623188406</v>
      </c>
      <c r="BE166" s="341" t="e">
        <f t="shared" si="75"/>
        <v>#N/A</v>
      </c>
      <c r="BF166" s="341">
        <f t="shared" si="75"/>
        <v>0.23255813953488372</v>
      </c>
      <c r="BG166" s="341">
        <f t="shared" si="75"/>
        <v>0.30188679245283018</v>
      </c>
      <c r="BH166" s="341"/>
      <c r="BI166" s="341"/>
      <c r="BJ166" s="341"/>
      <c r="BK166" s="341"/>
      <c r="BL166" s="341"/>
      <c r="BM166" s="341"/>
      <c r="BN166" s="341"/>
      <c r="BO166" s="341"/>
      <c r="BP166" s="341"/>
      <c r="BQ166" s="341"/>
    </row>
    <row r="167" spans="1:69" ht="13.5" customHeight="1" x14ac:dyDescent="0.2">
      <c r="A167" s="120"/>
      <c r="B167" s="412"/>
      <c r="C167" s="412"/>
      <c r="D167" s="58"/>
      <c r="E167" s="58"/>
      <c r="F167" s="58"/>
      <c r="G167" s="58"/>
      <c r="H167" s="58"/>
      <c r="I167" s="58"/>
      <c r="J167" s="13"/>
      <c r="K167" s="15"/>
      <c r="L167" s="15"/>
      <c r="M167" s="15"/>
      <c r="N167" s="15"/>
      <c r="O167" s="9"/>
      <c r="P167" s="9"/>
      <c r="Q167" s="9"/>
      <c r="R167" s="9"/>
      <c r="S167" s="9"/>
      <c r="T167" s="9"/>
      <c r="U167" s="9"/>
      <c r="V167" s="119"/>
      <c r="W167" s="138"/>
      <c r="X167" s="1202"/>
      <c r="Y167" s="1289" t="s">
        <v>5</v>
      </c>
      <c r="Z167" s="1290">
        <f t="shared" si="61"/>
        <v>328</v>
      </c>
      <c r="AA167" s="1290">
        <f t="shared" si="62"/>
        <v>386</v>
      </c>
      <c r="AB167" s="1290">
        <f t="shared" si="63"/>
        <v>357</v>
      </c>
      <c r="AC167" s="1290">
        <f t="shared" si="64"/>
        <v>338</v>
      </c>
      <c r="AD167" s="1290">
        <f t="shared" si="65"/>
        <v>354</v>
      </c>
      <c r="AJ167" s="560" t="b">
        <f t="shared" si="66"/>
        <v>1</v>
      </c>
      <c r="AK167" s="1197" t="s">
        <v>5</v>
      </c>
      <c r="AL167" s="89" t="str">
        <f t="shared" si="67"/>
        <v>West Sussex</v>
      </c>
      <c r="AM167" s="143">
        <f t="shared" si="73"/>
        <v>19.431279620853083</v>
      </c>
      <c r="AN167" s="143">
        <f t="shared" si="73"/>
        <v>22.652582159624412</v>
      </c>
      <c r="AO167" s="143">
        <f t="shared" si="73"/>
        <v>20.779976717112923</v>
      </c>
      <c r="AP167" s="143">
        <f t="shared" si="73"/>
        <v>19.503750721292555</v>
      </c>
      <c r="AQ167" s="143">
        <f t="shared" si="73"/>
        <v>20.263308528906698</v>
      </c>
      <c r="AR167" s="144">
        <f t="shared" si="69"/>
        <v>11</v>
      </c>
      <c r="AS167" s="341" t="e">
        <f t="shared" si="76"/>
        <v>#N/A</v>
      </c>
      <c r="AT167" s="341">
        <f t="shared" si="76"/>
        <v>0.27461139896373055</v>
      </c>
      <c r="AU167" s="341">
        <f t="shared" si="76"/>
        <v>0.31092436974789917</v>
      </c>
      <c r="AV167" s="341">
        <f t="shared" si="76"/>
        <v>0.31065088757396447</v>
      </c>
      <c r="AW167" s="341" t="e">
        <f t="shared" si="76"/>
        <v>#N/A</v>
      </c>
      <c r="AX167" s="341">
        <f t="shared" si="74"/>
        <v>0</v>
      </c>
      <c r="AY167" s="341" t="e">
        <f t="shared" si="74"/>
        <v>#N/A</v>
      </c>
      <c r="AZ167" s="341">
        <f t="shared" si="74"/>
        <v>0</v>
      </c>
      <c r="BA167" s="341">
        <f t="shared" si="74"/>
        <v>0</v>
      </c>
      <c r="BB167" s="341" t="e">
        <f t="shared" si="74"/>
        <v>#N/A</v>
      </c>
      <c r="BC167" s="341">
        <f t="shared" si="75"/>
        <v>6.097560975609756E-2</v>
      </c>
      <c r="BD167" s="341">
        <f t="shared" si="75"/>
        <v>0.11658031088082901</v>
      </c>
      <c r="BE167" s="341">
        <f t="shared" si="75"/>
        <v>8.4033613445378158E-2</v>
      </c>
      <c r="BF167" s="341">
        <f t="shared" si="75"/>
        <v>0.10946745562130178</v>
      </c>
      <c r="BG167" s="341">
        <f t="shared" si="75"/>
        <v>9.6045197740112997E-2</v>
      </c>
      <c r="BH167" s="341"/>
      <c r="BI167" s="341"/>
      <c r="BJ167" s="341"/>
      <c r="BK167" s="341"/>
      <c r="BL167" s="341"/>
      <c r="BM167" s="341"/>
      <c r="BN167" s="341"/>
      <c r="BO167" s="341"/>
      <c r="BP167" s="341"/>
      <c r="BQ167" s="341"/>
    </row>
    <row r="168" spans="1:69" s="83" customFormat="1" ht="13.5" customHeight="1" x14ac:dyDescent="0.2">
      <c r="A168" s="120"/>
      <c r="B168" s="412"/>
      <c r="C168" s="412"/>
      <c r="D168" s="58"/>
      <c r="E168" s="58"/>
      <c r="F168" s="58"/>
      <c r="G168" s="58"/>
      <c r="H168" s="58"/>
      <c r="I168" s="58"/>
      <c r="J168" s="13"/>
      <c r="K168" s="15"/>
      <c r="L168" s="15"/>
      <c r="M168" s="15"/>
      <c r="N168" s="15"/>
      <c r="O168" s="9"/>
      <c r="P168" s="9"/>
      <c r="Q168" s="9"/>
      <c r="R168" s="9"/>
      <c r="S168" s="9"/>
      <c r="T168" s="9"/>
      <c r="U168" s="9"/>
      <c r="V168" s="119"/>
      <c r="W168" s="138"/>
      <c r="X168" s="1202"/>
      <c r="Y168" s="1289" t="s">
        <v>30</v>
      </c>
      <c r="Z168" s="1290">
        <f t="shared" si="61"/>
        <v>47</v>
      </c>
      <c r="AA168" s="1290">
        <f t="shared" si="62"/>
        <v>43</v>
      </c>
      <c r="AB168" s="1290">
        <f t="shared" si="63"/>
        <v>35</v>
      </c>
      <c r="AC168" s="1290">
        <f t="shared" si="64"/>
        <v>49</v>
      </c>
      <c r="AD168" s="1290">
        <f t="shared" si="65"/>
        <v>52</v>
      </c>
      <c r="AE168" s="1276"/>
      <c r="AF168" s="1276"/>
      <c r="AG168" s="1276"/>
      <c r="AH168" s="1276"/>
      <c r="AI168" s="1276"/>
      <c r="AJ168" s="560" t="b">
        <f t="shared" si="66"/>
        <v>1</v>
      </c>
      <c r="AK168" s="1197" t="s">
        <v>30</v>
      </c>
      <c r="AL168" s="89" t="str">
        <f t="shared" si="67"/>
        <v>Windsor &amp; Maidenhead</v>
      </c>
      <c r="AM168" s="143">
        <f t="shared" si="73"/>
        <v>14.071856287425149</v>
      </c>
      <c r="AN168" s="143">
        <f t="shared" si="73"/>
        <v>12.759643916913946</v>
      </c>
      <c r="AO168" s="143">
        <f t="shared" si="73"/>
        <v>10.233918128654972</v>
      </c>
      <c r="AP168" s="143">
        <f t="shared" si="73"/>
        <v>14.244186046511627</v>
      </c>
      <c r="AQ168" s="143">
        <f t="shared" si="73"/>
        <v>15.028901734104045</v>
      </c>
      <c r="AR168" s="144">
        <f t="shared" si="69"/>
        <v>6.7</v>
      </c>
      <c r="AS168" s="341" t="e">
        <f t="shared" si="76"/>
        <v>#N/A</v>
      </c>
      <c r="AT168" s="341">
        <f t="shared" si="76"/>
        <v>0.37209302325581395</v>
      </c>
      <c r="AU168" s="341">
        <f t="shared" si="76"/>
        <v>0.4</v>
      </c>
      <c r="AV168" s="341">
        <f t="shared" si="76"/>
        <v>0.40816326530612246</v>
      </c>
      <c r="AW168" s="341" t="e">
        <f t="shared" si="76"/>
        <v>#N/A</v>
      </c>
      <c r="AX168" s="341">
        <f t="shared" si="74"/>
        <v>0</v>
      </c>
      <c r="AY168" s="341" t="e">
        <f t="shared" si="74"/>
        <v>#N/A</v>
      </c>
      <c r="AZ168" s="341" t="e">
        <f t="shared" si="74"/>
        <v>#N/A</v>
      </c>
      <c r="BA168" s="341" t="e">
        <f t="shared" si="74"/>
        <v>#N/A</v>
      </c>
      <c r="BB168" s="341">
        <f t="shared" si="74"/>
        <v>0</v>
      </c>
      <c r="BC168" s="341">
        <f t="shared" si="75"/>
        <v>0.21276595744680851</v>
      </c>
      <c r="BD168" s="341" t="e">
        <f t="shared" si="75"/>
        <v>#N/A</v>
      </c>
      <c r="BE168" s="341" t="e">
        <f t="shared" si="75"/>
        <v>#N/A</v>
      </c>
      <c r="BF168" s="341" t="e">
        <f t="shared" si="75"/>
        <v>#N/A</v>
      </c>
      <c r="BG168" s="341">
        <f t="shared" si="75"/>
        <v>0</v>
      </c>
      <c r="BH168" s="341"/>
      <c r="BI168" s="341"/>
      <c r="BJ168" s="341"/>
      <c r="BK168" s="341"/>
      <c r="BL168" s="341"/>
      <c r="BM168" s="341"/>
      <c r="BN168" s="341"/>
      <c r="BO168" s="341"/>
      <c r="BP168" s="341"/>
      <c r="BQ168" s="341"/>
    </row>
    <row r="169" spans="1:69" s="83" customFormat="1" ht="13.5" customHeight="1" x14ac:dyDescent="0.2">
      <c r="A169" s="120"/>
      <c r="B169" s="412"/>
      <c r="C169" s="412"/>
      <c r="D169" s="58"/>
      <c r="E169" s="58"/>
      <c r="F169" s="58"/>
      <c r="G169" s="58"/>
      <c r="H169" s="58"/>
      <c r="I169" s="58"/>
      <c r="J169" s="13"/>
      <c r="K169" s="15"/>
      <c r="L169" s="15"/>
      <c r="M169" s="15"/>
      <c r="N169" s="15"/>
      <c r="O169" s="9"/>
      <c r="P169" s="9"/>
      <c r="Q169" s="9"/>
      <c r="R169" s="9"/>
      <c r="S169" s="9"/>
      <c r="T169" s="9"/>
      <c r="U169" s="9"/>
      <c r="V169" s="119"/>
      <c r="W169" s="138"/>
      <c r="X169" s="1202"/>
      <c r="Y169" s="1289" t="s">
        <v>16</v>
      </c>
      <c r="Z169" s="1290">
        <f t="shared" si="61"/>
        <v>39</v>
      </c>
      <c r="AA169" s="1290">
        <f t="shared" si="62"/>
        <v>34</v>
      </c>
      <c r="AB169" s="1290">
        <f t="shared" si="63"/>
        <v>31</v>
      </c>
      <c r="AC169" s="1290">
        <f t="shared" si="64"/>
        <v>36</v>
      </c>
      <c r="AD169" s="1290">
        <f t="shared" si="65"/>
        <v>58</v>
      </c>
      <c r="AE169" s="1276"/>
      <c r="AF169" s="1276"/>
      <c r="AG169" s="1276"/>
      <c r="AH169" s="1276"/>
      <c r="AI169" s="1276"/>
      <c r="AJ169" s="560" t="b">
        <f t="shared" si="66"/>
        <v>1</v>
      </c>
      <c r="AK169" s="1197" t="s">
        <v>16</v>
      </c>
      <c r="AL169" s="89" t="str">
        <f t="shared" si="67"/>
        <v>Wokingham</v>
      </c>
      <c r="AM169" s="143">
        <f t="shared" si="73"/>
        <v>10.56910569105691</v>
      </c>
      <c r="AN169" s="143">
        <f t="shared" si="73"/>
        <v>9.1152815013404833</v>
      </c>
      <c r="AO169" s="143">
        <f t="shared" si="73"/>
        <v>8.1578947368421044</v>
      </c>
      <c r="AP169" s="143">
        <f t="shared" si="73"/>
        <v>9.3023255813953494</v>
      </c>
      <c r="AQ169" s="143">
        <f t="shared" si="73"/>
        <v>14.683544303797468</v>
      </c>
      <c r="AR169" s="144">
        <f t="shared" si="69"/>
        <v>5.6000000000000005</v>
      </c>
      <c r="AS169" s="341" t="e">
        <f t="shared" si="76"/>
        <v>#N/A</v>
      </c>
      <c r="AT169" s="341">
        <f t="shared" si="76"/>
        <v>0.23529411764705882</v>
      </c>
      <c r="AU169" s="341">
        <f t="shared" si="76"/>
        <v>0.25806451612903225</v>
      </c>
      <c r="AV169" s="341">
        <f t="shared" si="76"/>
        <v>0.41666666666666669</v>
      </c>
      <c r="AW169" s="341" t="e">
        <f t="shared" si="76"/>
        <v>#N/A</v>
      </c>
      <c r="AX169" s="341" t="e">
        <f t="shared" si="74"/>
        <v>#N/A</v>
      </c>
      <c r="AY169" s="341">
        <f t="shared" si="74"/>
        <v>0</v>
      </c>
      <c r="AZ169" s="341" t="e">
        <f t="shared" si="74"/>
        <v>#N/A</v>
      </c>
      <c r="BA169" s="341">
        <f t="shared" si="74"/>
        <v>0</v>
      </c>
      <c r="BB169" s="341" t="e">
        <f t="shared" si="74"/>
        <v>#N/A</v>
      </c>
      <c r="BC169" s="341" t="e">
        <f t="shared" si="75"/>
        <v>#N/A</v>
      </c>
      <c r="BD169" s="341" t="e">
        <f t="shared" si="75"/>
        <v>#N/A</v>
      </c>
      <c r="BE169" s="341" t="e">
        <f t="shared" si="75"/>
        <v>#N/A</v>
      </c>
      <c r="BF169" s="341" t="e">
        <f t="shared" si="75"/>
        <v>#N/A</v>
      </c>
      <c r="BG169" s="341">
        <f t="shared" si="75"/>
        <v>0.15517241379310345</v>
      </c>
      <c r="BH169" s="341"/>
      <c r="BI169" s="341"/>
      <c r="BJ169" s="341"/>
      <c r="BK169" s="341"/>
      <c r="BL169" s="341"/>
      <c r="BM169" s="341"/>
      <c r="BN169" s="341"/>
      <c r="BO169" s="341"/>
      <c r="BP169" s="341"/>
      <c r="BQ169" s="341"/>
    </row>
    <row r="170" spans="1:69" s="83" customFormat="1" ht="13.5" customHeight="1" x14ac:dyDescent="0.2">
      <c r="A170" s="120"/>
      <c r="B170" s="412"/>
      <c r="C170" s="412"/>
      <c r="D170" s="58"/>
      <c r="E170" s="58"/>
      <c r="F170" s="58"/>
      <c r="G170" s="58"/>
      <c r="H170" s="58"/>
      <c r="I170" s="58"/>
      <c r="J170" s="13"/>
      <c r="K170" s="15"/>
      <c r="L170" s="15"/>
      <c r="M170" s="15"/>
      <c r="N170" s="15"/>
      <c r="O170" s="9"/>
      <c r="P170" s="9"/>
      <c r="Q170" s="9"/>
      <c r="R170" s="9"/>
      <c r="S170" s="9"/>
      <c r="T170" s="9"/>
      <c r="U170" s="9"/>
      <c r="V170" s="119"/>
      <c r="W170" s="138"/>
      <c r="X170" s="1202"/>
      <c r="Y170" s="1289" t="s">
        <v>74</v>
      </c>
      <c r="Z170" s="815">
        <f>SUM(Z162:Z163,Z148:Z160,Z166:Z169)</f>
        <v>4090</v>
      </c>
      <c r="AA170" s="815">
        <f>SUM(AA162:AA163,AA148:AA160,AA166:AA169)</f>
        <v>4650</v>
      </c>
      <c r="AB170" s="815">
        <f t="shared" ref="AB170:AD170" si="77">SUM(AB162:AB163,AB148:AB160,AB166:AB169)</f>
        <v>4649</v>
      </c>
      <c r="AC170" s="815">
        <f t="shared" si="77"/>
        <v>4309</v>
      </c>
      <c r="AD170" s="815">
        <f t="shared" si="77"/>
        <v>4143</v>
      </c>
      <c r="AE170" s="1276"/>
      <c r="AF170" s="1276"/>
      <c r="AG170" s="1276"/>
      <c r="AH170" s="1276"/>
      <c r="AI170" s="1276"/>
      <c r="AJ170" s="560" t="b">
        <f t="shared" si="66"/>
        <v>1</v>
      </c>
      <c r="AK170" s="1197" t="s">
        <v>74</v>
      </c>
      <c r="AL170" s="89" t="str">
        <f t="shared" si="67"/>
        <v>South East</v>
      </c>
      <c r="AM170" s="143">
        <f t="shared" si="73"/>
        <v>21.478836256695722</v>
      </c>
      <c r="AN170" s="143">
        <f t="shared" si="73"/>
        <v>24.242740211667797</v>
      </c>
      <c r="AO170" s="143">
        <f t="shared" si="73"/>
        <v>24.05338299193048</v>
      </c>
      <c r="AP170" s="143">
        <f t="shared" si="73"/>
        <v>22.171922423993006</v>
      </c>
      <c r="AQ170" s="143">
        <f t="shared" si="73"/>
        <v>21.149425287356323</v>
      </c>
      <c r="AR170" s="144">
        <f t="shared" si="69"/>
        <v>12.371268250968637</v>
      </c>
      <c r="AS170" s="341" t="e">
        <f t="shared" si="76"/>
        <v>#N/A</v>
      </c>
      <c r="AT170" s="341">
        <f t="shared" si="76"/>
        <v>0.26881720430107525</v>
      </c>
      <c r="AU170" s="341">
        <f t="shared" si="76"/>
        <v>0.31612903225806449</v>
      </c>
      <c r="AV170" s="341">
        <f t="shared" si="76"/>
        <v>0.33642691415313225</v>
      </c>
      <c r="AW170" s="341" t="e">
        <f t="shared" si="76"/>
        <v>#N/A</v>
      </c>
      <c r="AX170" s="341">
        <f t="shared" si="74"/>
        <v>2.4449877750611249E-2</v>
      </c>
      <c r="AY170" s="341">
        <f t="shared" si="74"/>
        <v>2.7956989247311829E-2</v>
      </c>
      <c r="AZ170" s="341">
        <f t="shared" si="74"/>
        <v>2.7956989247311829E-2</v>
      </c>
      <c r="BA170" s="341">
        <f t="shared" si="74"/>
        <v>2.7842227378190254E-2</v>
      </c>
      <c r="BB170" s="341">
        <f t="shared" si="74"/>
        <v>2.6570048309178744E-2</v>
      </c>
      <c r="BC170" s="341">
        <f t="shared" si="75"/>
        <v>9.2909535452322736E-2</v>
      </c>
      <c r="BD170" s="341">
        <f t="shared" si="75"/>
        <v>9.6774193548387094E-2</v>
      </c>
      <c r="BE170" s="341">
        <f t="shared" si="75"/>
        <v>9.8924731182795697E-2</v>
      </c>
      <c r="BF170" s="341">
        <f t="shared" si="75"/>
        <v>0.11600928074245939</v>
      </c>
      <c r="BG170" s="341">
        <f t="shared" si="75"/>
        <v>0.11835748792270531</v>
      </c>
      <c r="BH170" s="341"/>
      <c r="BI170" s="341"/>
      <c r="BJ170" s="341"/>
      <c r="BK170" s="341"/>
      <c r="BL170" s="341"/>
      <c r="BM170" s="341"/>
      <c r="BN170" s="341"/>
      <c r="BO170" s="341"/>
      <c r="BP170" s="341"/>
      <c r="BQ170" s="341"/>
    </row>
    <row r="171" spans="1:69" s="83" customFormat="1" ht="13.5" customHeight="1" x14ac:dyDescent="0.2">
      <c r="A171" s="120"/>
      <c r="B171" s="412"/>
      <c r="C171" s="412"/>
      <c r="D171" s="58"/>
      <c r="E171" s="58"/>
      <c r="F171" s="58"/>
      <c r="G171" s="58"/>
      <c r="H171" s="58"/>
      <c r="I171" s="58"/>
      <c r="J171" s="13"/>
      <c r="K171" s="9"/>
      <c r="L171" s="112"/>
      <c r="M171" s="1589" t="s">
        <v>72</v>
      </c>
      <c r="N171" s="1590"/>
      <c r="O171" s="1590"/>
      <c r="P171" s="1591"/>
      <c r="Q171" s="880"/>
      <c r="R171" s="1462" t="s">
        <v>101</v>
      </c>
      <c r="S171" s="1463"/>
      <c r="T171" s="1463"/>
      <c r="U171" s="1470"/>
      <c r="V171" s="119"/>
      <c r="W171" s="138"/>
      <c r="X171" s="1202"/>
      <c r="Y171" s="1289" t="s">
        <v>126</v>
      </c>
      <c r="Z171" s="1276"/>
      <c r="AA171" s="1276"/>
      <c r="AB171" s="1276"/>
      <c r="AC171" s="1276"/>
      <c r="AD171" s="1276"/>
      <c r="AE171" s="1276"/>
      <c r="AF171" s="1276"/>
      <c r="AG171" s="1276"/>
      <c r="AH171" s="1276"/>
      <c r="AI171" s="1276"/>
      <c r="AJ171" s="560" t="b">
        <f t="shared" si="66"/>
        <v>1</v>
      </c>
      <c r="AK171" s="1197" t="s">
        <v>126</v>
      </c>
      <c r="AL171" s="89" t="str">
        <f t="shared" si="67"/>
        <v>England</v>
      </c>
      <c r="AM171" s="143">
        <f t="shared" si="73"/>
        <v>27.045213385439581</v>
      </c>
      <c r="AN171" s="143">
        <f t="shared" si="73"/>
        <v>27.282302468765788</v>
      </c>
      <c r="AO171" s="143">
        <f t="shared" si="73"/>
        <v>26.643360796924984</v>
      </c>
      <c r="AP171" s="143">
        <f t="shared" si="73"/>
        <v>25.322322406673972</v>
      </c>
      <c r="AQ171" s="143">
        <f t="shared" si="73"/>
        <v>24.643233566995132</v>
      </c>
      <c r="AR171" s="144">
        <f t="shared" si="69"/>
        <v>17.084413405029373</v>
      </c>
      <c r="AS171" s="341" t="e">
        <f t="shared" si="76"/>
        <v>#N/A</v>
      </c>
      <c r="AT171" s="341">
        <f t="shared" si="76"/>
        <v>0.25109855618330196</v>
      </c>
      <c r="AU171" s="341">
        <f t="shared" si="76"/>
        <v>0.27802547770700636</v>
      </c>
      <c r="AV171" s="341">
        <f t="shared" si="76"/>
        <v>0.30815307820299503</v>
      </c>
      <c r="AW171" s="341" t="e">
        <f t="shared" si="76"/>
        <v>#N/A</v>
      </c>
      <c r="AX171" s="341">
        <f t="shared" si="74"/>
        <v>3.2535885167464113E-2</v>
      </c>
      <c r="AY171" s="341">
        <f t="shared" si="74"/>
        <v>3.5153797865662272E-2</v>
      </c>
      <c r="AZ171" s="341">
        <f t="shared" si="74"/>
        <v>3.8216560509554139E-2</v>
      </c>
      <c r="BA171" s="341">
        <f t="shared" si="74"/>
        <v>3.8935108153078206E-2</v>
      </c>
      <c r="BB171" s="341">
        <f t="shared" si="74"/>
        <v>3.8017651052274268E-2</v>
      </c>
      <c r="BC171" s="341">
        <f t="shared" si="75"/>
        <v>0.11323763955342903</v>
      </c>
      <c r="BD171" s="341">
        <f t="shared" si="75"/>
        <v>0.12115505335844319</v>
      </c>
      <c r="BE171" s="341">
        <f t="shared" si="75"/>
        <v>0.11751592356687898</v>
      </c>
      <c r="BF171" s="341">
        <f t="shared" si="75"/>
        <v>0.11414309484193012</v>
      </c>
      <c r="BG171" s="341">
        <f t="shared" si="75"/>
        <v>0.13034623217922606</v>
      </c>
      <c r="BH171" s="341"/>
      <c r="BI171" s="341"/>
      <c r="BJ171" s="341"/>
      <c r="BK171" s="341"/>
      <c r="BL171" s="341"/>
      <c r="BM171" s="341"/>
      <c r="BN171" s="341"/>
      <c r="BO171" s="341"/>
      <c r="BP171" s="341"/>
      <c r="BQ171" s="341"/>
    </row>
    <row r="172" spans="1:69" s="83" customFormat="1" ht="13.5" customHeight="1" x14ac:dyDescent="0.2">
      <c r="A172" s="120"/>
      <c r="B172" s="412"/>
      <c r="C172" s="412"/>
      <c r="D172" s="58"/>
      <c r="E172" s="58"/>
      <c r="F172" s="58"/>
      <c r="G172" s="58"/>
      <c r="H172" s="58"/>
      <c r="I172" s="58"/>
      <c r="J172" s="13"/>
      <c r="K172" s="9"/>
      <c r="L172" s="113"/>
      <c r="M172" s="1462" t="str">
        <f>AA4</f>
        <v>Selected LA- (none)</v>
      </c>
      <c r="N172" s="1463"/>
      <c r="O172" s="1463"/>
      <c r="P172" s="1463"/>
      <c r="Q172" s="112"/>
      <c r="R172" s="1592" t="s">
        <v>184</v>
      </c>
      <c r="S172" s="1592"/>
      <c r="T172" s="1592"/>
      <c r="U172" s="1593"/>
      <c r="V172" s="119"/>
      <c r="W172" s="138"/>
      <c r="X172" s="1194"/>
      <c r="Y172" s="1276"/>
      <c r="Z172" s="1276"/>
      <c r="AA172" s="1276"/>
      <c r="AB172" s="1276"/>
      <c r="AC172" s="1276"/>
      <c r="AD172" s="1290" t="s">
        <v>1002</v>
      </c>
      <c r="AE172" s="1276"/>
      <c r="AF172" s="1276"/>
      <c r="AG172" s="1276"/>
      <c r="AH172" s="1276"/>
      <c r="AI172" s="1276"/>
      <c r="AJ172" s="1276"/>
      <c r="AK172" s="1195"/>
      <c r="AL172" s="76" t="str">
        <f>AA4</f>
        <v>Selected LA- (none)</v>
      </c>
      <c r="AM172" s="143" t="e">
        <f>VLOOKUP($Z4,$B$117:$O$140,AM$144,FALSE)</f>
        <v>#N/A</v>
      </c>
      <c r="AN172" s="143" t="e">
        <f>VLOOKUP($Z4,$B$117:$O$140,AN$144,FALSE)</f>
        <v>#N/A</v>
      </c>
      <c r="AO172" s="143" t="e">
        <f>VLOOKUP($Z4,$B$117:$O$140,AO$144,FALSE)</f>
        <v>#N/A</v>
      </c>
      <c r="AP172" s="143" t="e">
        <f>VLOOKUP($Z4,$B$117:$O$140,AP$144,FALSE)</f>
        <v>#N/A</v>
      </c>
      <c r="AQ172" s="143" t="e">
        <f>VLOOKUP($Z4,$B$117:$O$140,AQ$144,FALSE)</f>
        <v>#N/A</v>
      </c>
      <c r="AR172" s="144" t="e">
        <f>VLOOKUP(Z4,$B$10:$U$32,$AR$144,FALSE)</f>
        <v>#N/A</v>
      </c>
      <c r="AS172" s="341" t="e">
        <f>VLOOKUP($Z4,$B$184:$H$207,AS$37,FALSE)</f>
        <v>#N/A</v>
      </c>
      <c r="AT172" s="341" t="e">
        <f>VLOOKUP($Z4,$B$184:$H$207,AT$37,FALSE)</f>
        <v>#N/A</v>
      </c>
      <c r="AU172" s="341" t="e">
        <f>VLOOKUP($Z4,$B$184:$H$207,AU$37,FALSE)</f>
        <v>#N/A</v>
      </c>
      <c r="AV172" s="341" t="e">
        <f>VLOOKUP($Z4,$B$184:$H$207,AV$37,FALSE)</f>
        <v>#N/A</v>
      </c>
      <c r="AW172" s="341" t="e">
        <f>VLOOKUP($Z4,$B$184:$H$207,AW$37,FALSE)</f>
        <v>#N/A</v>
      </c>
      <c r="AX172" s="341" t="e">
        <f>VLOOKUP($Z4,$B$220:$H$243,AX$144,FALSE)</f>
        <v>#N/A</v>
      </c>
      <c r="AY172" s="341" t="e">
        <f>VLOOKUP($Z4,$B$220:$H$243,AY$144,FALSE)</f>
        <v>#N/A</v>
      </c>
      <c r="AZ172" s="341" t="e">
        <f>VLOOKUP($Z4,$B$220:$H$243,AZ$144,FALSE)</f>
        <v>#N/A</v>
      </c>
      <c r="BA172" s="341" t="e">
        <f>VLOOKUP($Z4,$B$220:$H$243,BA$144,FALSE)</f>
        <v>#N/A</v>
      </c>
      <c r="BB172" s="341" t="e">
        <f>VLOOKUP($Z4,$B$220:$H$243,BB$144,FALSE)</f>
        <v>#N/A</v>
      </c>
      <c r="BC172" s="341" t="e">
        <f>VLOOKUP($Z4,$B$256:$H$279,BC$144,FALSE)</f>
        <v>#N/A</v>
      </c>
      <c r="BD172" s="341" t="e">
        <f>VLOOKUP($Z4,$B$256:$H$279,BD$144,FALSE)</f>
        <v>#N/A</v>
      </c>
      <c r="BE172" s="341" t="e">
        <f>VLOOKUP($Z4,$B$256:$H$279,BE$144,FALSE)</f>
        <v>#N/A</v>
      </c>
      <c r="BF172" s="341" t="e">
        <f>VLOOKUP($Z4,$B$256:$H$279,BF$144,FALSE)</f>
        <v>#N/A</v>
      </c>
      <c r="BG172" s="341" t="e">
        <f>VLOOKUP($Z4,$B$256:$H$279,BG$144,FALSE)</f>
        <v>#N/A</v>
      </c>
      <c r="BH172" s="341"/>
      <c r="BI172" s="341"/>
      <c r="BJ172" s="341"/>
      <c r="BK172" s="341"/>
      <c r="BL172" s="341"/>
      <c r="BM172" s="341"/>
      <c r="BN172" s="341"/>
      <c r="BO172" s="341"/>
      <c r="BP172" s="341"/>
      <c r="BQ172" s="341"/>
    </row>
    <row r="173" spans="1:69" s="83" customFormat="1" ht="42" customHeight="1" x14ac:dyDescent="0.2">
      <c r="A173" s="120"/>
      <c r="B173" s="412"/>
      <c r="C173" s="412"/>
      <c r="D173" s="58"/>
      <c r="E173" s="58"/>
      <c r="F173" s="58"/>
      <c r="G173" s="58"/>
      <c r="H173" s="58"/>
      <c r="I173" s="58"/>
      <c r="J173" s="13"/>
      <c r="K173" s="9"/>
      <c r="L173" s="9"/>
      <c r="M173" s="9"/>
      <c r="N173" s="9"/>
      <c r="O173" s="9"/>
      <c r="P173" s="9"/>
      <c r="Q173" s="9"/>
      <c r="R173" s="9"/>
      <c r="S173" s="9"/>
      <c r="T173" s="9"/>
      <c r="U173" s="9"/>
      <c r="V173" s="119"/>
      <c r="W173" s="138"/>
      <c r="X173" s="1194"/>
      <c r="Y173" s="890" t="s">
        <v>72</v>
      </c>
      <c r="Z173" s="890" t="s">
        <v>70</v>
      </c>
      <c r="AA173" s="890" t="s">
        <v>71</v>
      </c>
      <c r="AB173" s="1291">
        <v>5</v>
      </c>
      <c r="AC173" s="888">
        <f>(AB173*Z174)+AA174</f>
        <v>12.223349881597887</v>
      </c>
      <c r="AD173" s="1187">
        <f>ROUND(ChartLabels!$AA18,3)</f>
        <v>0.621</v>
      </c>
      <c r="AE173" s="1276"/>
      <c r="AF173" s="1276"/>
      <c r="AG173" s="1276"/>
      <c r="AH173" s="1276"/>
      <c r="AI173" s="1276"/>
      <c r="AJ173" s="1276"/>
      <c r="AK173" s="1195"/>
    </row>
    <row r="174" spans="1:69" s="89" customFormat="1" ht="42" customHeight="1" x14ac:dyDescent="0.2">
      <c r="A174" s="123"/>
      <c r="B174" s="111"/>
      <c r="C174" s="111"/>
      <c r="D174" s="111"/>
      <c r="E174" s="111"/>
      <c r="F174" s="111"/>
      <c r="G174" s="111"/>
      <c r="H174" s="111"/>
      <c r="I174" s="111"/>
      <c r="J174" s="98"/>
      <c r="K174" s="87"/>
      <c r="L174" s="87"/>
      <c r="M174" s="87"/>
      <c r="N174" s="87"/>
      <c r="O174" s="87"/>
      <c r="P174" s="87"/>
      <c r="Q174" s="87"/>
      <c r="R174" s="87"/>
      <c r="S174" s="87"/>
      <c r="T174" s="87"/>
      <c r="U174" s="87"/>
      <c r="V174" s="124"/>
      <c r="W174" s="140"/>
      <c r="X174" s="1200"/>
      <c r="Y174" s="1298" t="str">
        <f>"Y= "&amp;Z174&amp;"x + "&amp;AA174</f>
        <v>Y= 1.36646680475726x + 5.3910158578116</v>
      </c>
      <c r="Z174" s="712">
        <f>ChartLabels!$Y18</f>
        <v>1.3664668047572577</v>
      </c>
      <c r="AA174" s="712">
        <f>ChartLabels!$Z18</f>
        <v>5.391015857811599</v>
      </c>
      <c r="AB174" s="1187">
        <v>35</v>
      </c>
      <c r="AC174" s="888">
        <f>(AB174*Z174)+AA174</f>
        <v>53.217354024315611</v>
      </c>
      <c r="AD174" s="1187" t="str">
        <f>AD172&amp;" = "&amp;AD173</f>
        <v>r² = 0.621</v>
      </c>
      <c r="AE174" s="1284"/>
      <c r="AF174" s="1284"/>
      <c r="AG174" s="1284"/>
      <c r="AH174" s="1284"/>
      <c r="AI174" s="1284"/>
      <c r="AJ174" s="199"/>
      <c r="AK174" s="1197"/>
    </row>
    <row r="175" spans="1:69" s="89" customFormat="1" ht="42" customHeight="1" x14ac:dyDescent="0.2">
      <c r="A175" s="123"/>
      <c r="B175" s="111"/>
      <c r="C175" s="111"/>
      <c r="D175" s="111"/>
      <c r="E175" s="111"/>
      <c r="F175" s="111"/>
      <c r="G175" s="111"/>
      <c r="H175" s="111"/>
      <c r="I175" s="111"/>
      <c r="J175" s="98"/>
      <c r="K175" s="87"/>
      <c r="L175" s="87"/>
      <c r="M175" s="87"/>
      <c r="N175" s="87"/>
      <c r="O175" s="87"/>
      <c r="P175" s="87"/>
      <c r="Q175" s="87"/>
      <c r="R175" s="87"/>
      <c r="S175" s="87"/>
      <c r="T175" s="87"/>
      <c r="U175" s="87"/>
      <c r="V175" s="124"/>
      <c r="W175" s="140"/>
      <c r="X175" s="1200"/>
      <c r="Y175" s="890" t="str">
        <f>"National Trend "&amp;Sheet1!$B$8</f>
        <v>National Trend 2019</v>
      </c>
      <c r="Z175" s="1292" t="s">
        <v>70</v>
      </c>
      <c r="AA175" s="890" t="s">
        <v>71</v>
      </c>
      <c r="AB175" s="1291">
        <v>5</v>
      </c>
      <c r="AC175" s="1293">
        <f>((AB175*Z176)+AA176)/$Y$2</f>
        <v>15.242704947010832</v>
      </c>
      <c r="AD175" s="89">
        <f>ROUND(Sheet1!$D$17,3)</f>
        <v>0.20399999999999999</v>
      </c>
      <c r="AE175" s="1284"/>
      <c r="AF175" s="1284"/>
      <c r="AG175" s="1284"/>
      <c r="AH175" s="1284"/>
      <c r="AI175" s="1284"/>
      <c r="AJ175" s="199"/>
      <c r="AK175" s="1197"/>
    </row>
    <row r="176" spans="1:69" ht="7.5" customHeight="1" x14ac:dyDescent="0.2">
      <c r="A176" s="120"/>
      <c r="B176" s="18"/>
      <c r="C176" s="18"/>
      <c r="D176" s="17"/>
      <c r="E176" s="17"/>
      <c r="F176" s="17"/>
      <c r="G176" s="17"/>
      <c r="H176" s="17"/>
      <c r="I176" s="17"/>
      <c r="J176" s="13"/>
      <c r="K176" s="19"/>
      <c r="L176" s="19"/>
      <c r="M176" s="19"/>
      <c r="N176" s="19"/>
      <c r="O176" s="19"/>
      <c r="P176" s="19"/>
      <c r="Q176" s="19"/>
      <c r="R176" s="19"/>
      <c r="S176" s="19"/>
      <c r="T176" s="19"/>
      <c r="U176" s="20"/>
      <c r="V176" s="119"/>
      <c r="W176" s="138"/>
      <c r="X176" s="1194"/>
      <c r="Y176" s="1298" t="str">
        <f>"Y= "&amp;Z176&amp;"x + "&amp;AA176</f>
        <v>Y= 0.946244790343742x + 10.5114809952921</v>
      </c>
      <c r="Z176" s="712">
        <f>Sheet1!$D$15</f>
        <v>0.94624479034374209</v>
      </c>
      <c r="AA176" s="713">
        <f>Sheet1!$D$16</f>
        <v>10.511480995292121</v>
      </c>
      <c r="AB176" s="1187">
        <v>35</v>
      </c>
      <c r="AC176" s="888">
        <f>((AB176*Z176)+AA176)/$Y$2</f>
        <v>43.630048657323101</v>
      </c>
      <c r="AD176" s="714" t="str">
        <f>AD172&amp;" = "&amp;AD175</f>
        <v>r² = 0.204</v>
      </c>
      <c r="AJ176" s="179"/>
      <c r="AK176" s="1196"/>
    </row>
    <row r="177" spans="1:45" ht="15" customHeight="1" x14ac:dyDescent="0.2">
      <c r="A177" s="1399"/>
      <c r="B177" s="1421"/>
      <c r="C177" s="1421"/>
      <c r="D177" s="1421"/>
      <c r="E177" s="1421"/>
      <c r="F177" s="1421"/>
      <c r="G177" s="1421"/>
      <c r="H177" s="1421"/>
      <c r="I177" s="1421"/>
      <c r="J177" s="1421"/>
      <c r="K177" s="1421"/>
      <c r="L177" s="1421"/>
      <c r="M177" s="1421"/>
      <c r="N177" s="1421"/>
      <c r="O177" s="1421"/>
      <c r="P177" s="1421"/>
      <c r="Q177" s="1421"/>
      <c r="R177" s="1421"/>
      <c r="S177" s="1421"/>
      <c r="T177" s="1421"/>
      <c r="U177" s="1421"/>
      <c r="V177" s="1422"/>
      <c r="W177" s="138"/>
      <c r="X177" s="1194"/>
      <c r="Y177" s="1275"/>
      <c r="AA177" s="183"/>
      <c r="AJ177" s="179"/>
      <c r="AK177" s="1196"/>
    </row>
    <row r="178" spans="1:45" ht="11.25" customHeight="1" x14ac:dyDescent="0.2">
      <c r="A178" s="1428" t="str">
        <f>Home!$A$40</f>
        <v>LA's provide quarterly data on the condition that it is used by the benchmarking group for internal reporting only. Please DO NOT share other LA's data with any external partners or the public</v>
      </c>
      <c r="B178" s="1429"/>
      <c r="C178" s="1429"/>
      <c r="D178" s="1429"/>
      <c r="E178" s="1429"/>
      <c r="F178" s="1429"/>
      <c r="G178" s="1429"/>
      <c r="H178" s="1429"/>
      <c r="I178" s="1430"/>
      <c r="J178" s="1429"/>
      <c r="K178" s="1429"/>
      <c r="L178" s="1429"/>
      <c r="M178" s="1429"/>
      <c r="N178" s="1429"/>
      <c r="O178" s="1429"/>
      <c r="P178" s="1431"/>
      <c r="Q178" s="1429"/>
      <c r="R178" s="1429"/>
      <c r="S178" s="1429"/>
      <c r="T178" s="1430"/>
      <c r="U178" s="1429"/>
      <c r="V178" s="1432"/>
      <c r="W178" s="138"/>
      <c r="X178" s="1194"/>
      <c r="Y178" s="1275"/>
      <c r="AA178" s="183"/>
      <c r="AJ178" s="179"/>
      <c r="AK178" s="1196"/>
    </row>
    <row r="179" spans="1:45" ht="11.25" customHeight="1" x14ac:dyDescent="0.2">
      <c r="A179" s="114"/>
      <c r="B179" s="115"/>
      <c r="C179" s="115"/>
      <c r="D179" s="115"/>
      <c r="E179" s="115"/>
      <c r="F179" s="115"/>
      <c r="G179" s="115"/>
      <c r="H179" s="115"/>
      <c r="I179" s="115"/>
      <c r="J179" s="116"/>
      <c r="K179" s="115"/>
      <c r="L179" s="115"/>
      <c r="M179" s="115"/>
      <c r="N179" s="115"/>
      <c r="O179" s="115"/>
      <c r="P179" s="115"/>
      <c r="Q179" s="115"/>
      <c r="R179" s="115"/>
      <c r="S179" s="115"/>
      <c r="T179" s="115"/>
      <c r="U179" s="115"/>
      <c r="V179" s="117"/>
      <c r="W179" s="138"/>
      <c r="X179" s="1194"/>
      <c r="Y179" s="1275"/>
      <c r="AA179" s="183"/>
      <c r="AJ179" s="179"/>
      <c r="AK179" s="1195"/>
    </row>
    <row r="180" spans="1:45" s="78" customFormat="1" ht="15" customHeight="1" x14ac:dyDescent="0.2">
      <c r="A180" s="121"/>
      <c r="B180" s="1442" t="s">
        <v>1125</v>
      </c>
      <c r="C180" s="1442"/>
      <c r="D180" s="1442"/>
      <c r="E180" s="1442"/>
      <c r="F180" s="1442"/>
      <c r="G180" s="1442"/>
      <c r="H180" s="1442"/>
      <c r="I180" s="1442"/>
      <c r="J180" s="69"/>
      <c r="K180" s="69"/>
      <c r="L180" s="69"/>
      <c r="M180" s="69"/>
      <c r="N180" s="771"/>
      <c r="O180" s="69"/>
      <c r="P180" s="69"/>
      <c r="Q180" s="69"/>
      <c r="R180" s="69"/>
      <c r="S180" s="69"/>
      <c r="T180" s="69"/>
      <c r="U180" s="69"/>
      <c r="V180" s="122"/>
      <c r="W180" s="139"/>
      <c r="X180" s="1198"/>
      <c r="Y180" s="1277" t="s">
        <v>737</v>
      </c>
      <c r="Z180" s="1278"/>
      <c r="AA180" s="1279"/>
      <c r="AB180" s="1279"/>
      <c r="AC180" s="1279"/>
      <c r="AD180" s="1279"/>
      <c r="AE180" s="1280" t="s">
        <v>777</v>
      </c>
      <c r="AF180" s="1276"/>
      <c r="AG180" s="1276"/>
      <c r="AH180" s="1276"/>
      <c r="AI180" s="1276"/>
      <c r="AJ180" s="1279"/>
      <c r="AK180" s="1197"/>
    </row>
    <row r="181" spans="1:45" ht="15" customHeight="1" x14ac:dyDescent="0.2">
      <c r="A181" s="120"/>
      <c r="B181" s="1442"/>
      <c r="C181" s="1442"/>
      <c r="D181" s="1442"/>
      <c r="E181" s="1442"/>
      <c r="F181" s="1442"/>
      <c r="G181" s="1442"/>
      <c r="H181" s="1442"/>
      <c r="I181" s="1442"/>
      <c r="J181" s="69"/>
      <c r="K181" s="69"/>
      <c r="L181" s="69"/>
      <c r="M181" s="69"/>
      <c r="N181" s="771"/>
      <c r="O181" s="69"/>
      <c r="P181" s="69"/>
      <c r="Q181" s="69"/>
      <c r="R181" s="10"/>
      <c r="S181" s="69"/>
      <c r="T181" s="69"/>
      <c r="U181" s="69"/>
      <c r="V181" s="119"/>
      <c r="W181" s="138"/>
      <c r="X181" s="1194"/>
      <c r="Y181" s="1279"/>
      <c r="Z181" s="1278"/>
      <c r="AA181" s="1279"/>
      <c r="AB181" s="1279"/>
      <c r="AC181" s="1279"/>
      <c r="AD181" s="1279"/>
      <c r="AE181" s="1281" t="s">
        <v>1123</v>
      </c>
      <c r="AJ181" s="1279"/>
      <c r="AK181" s="1195"/>
    </row>
    <row r="182" spans="1:45" s="89" customFormat="1" ht="13.5" customHeight="1" x14ac:dyDescent="0.2">
      <c r="A182" s="123"/>
      <c r="B182" s="1419" t="s">
        <v>190</v>
      </c>
      <c r="C182" s="873"/>
      <c r="D182" s="755" t="str">
        <f>Sheet1!$D$25</f>
        <v>2014-15</v>
      </c>
      <c r="E182" s="756" t="str">
        <f>Sheet1!$E$25</f>
        <v>2015-16</v>
      </c>
      <c r="F182" s="756" t="str">
        <f>Sheet1!$F$25</f>
        <v>2016-17</v>
      </c>
      <c r="G182" s="756" t="str">
        <f>Sheet1!$G$25</f>
        <v>2017-18</v>
      </c>
      <c r="H182" s="757" t="str">
        <f>Sheet1!$H$25</f>
        <v>2018-19</v>
      </c>
      <c r="I182" s="98"/>
      <c r="J182" s="98"/>
      <c r="K182" s="61"/>
      <c r="L182" s="61"/>
      <c r="M182" s="61"/>
      <c r="N182" s="61"/>
      <c r="O182" s="61"/>
      <c r="P182" s="61"/>
      <c r="Q182" s="774"/>
      <c r="R182" s="774"/>
      <c r="S182" s="155"/>
      <c r="T182" s="155"/>
      <c r="U182" s="775"/>
      <c r="V182" s="124"/>
      <c r="W182" s="140"/>
      <c r="X182" s="1200"/>
      <c r="Y182" s="722"/>
      <c r="Z182" s="719" t="str">
        <f>IF(Sheet1!$C$3="Annual","",Sheet1!AD227)</f>
        <v/>
      </c>
      <c r="AA182" s="719" t="str">
        <f>IF(Sheet1!$C$3="Annual","",Sheet1!AE227)</f>
        <v/>
      </c>
      <c r="AB182" s="719" t="str">
        <f>IF(Sheet1!$C$3="Annual","",Sheet1!AF227)</f>
        <v/>
      </c>
      <c r="AC182" s="719" t="str">
        <f>IF(Sheet1!$C$3="Annual","",Sheet1!AG227)</f>
        <v/>
      </c>
      <c r="AD182" s="719" t="str">
        <f>IF(Sheet1!$C$3="Annual","",Sheet1!AH227)</f>
        <v/>
      </c>
      <c r="AE182" s="1229" t="str">
        <f>IF(Sheet1!$C$3="Annual","",Sheet1!$D$26)</f>
        <v/>
      </c>
      <c r="AF182" s="1229" t="str">
        <f>IF(Sheet1!$C$3="Annual","",Sheet1!$E$26)</f>
        <v/>
      </c>
      <c r="AG182" s="1229" t="str">
        <f>IF(Sheet1!$C$3="Annual","",Sheet1!$F$26)</f>
        <v/>
      </c>
      <c r="AH182" s="1229" t="str">
        <f>IF(Sheet1!$C$3="Annual","",Sheet1!$G$26)</f>
        <v/>
      </c>
      <c r="AI182" s="1229" t="str">
        <f>IF(Sheet1!$C$3="Annual","",Sheet1!$H$26)</f>
        <v/>
      </c>
      <c r="AJ182" s="1279"/>
      <c r="AK182" s="1197"/>
    </row>
    <row r="183" spans="1:45" s="89" customFormat="1" ht="13.5" customHeight="1" x14ac:dyDescent="0.2">
      <c r="A183" s="286"/>
      <c r="B183" s="1420"/>
      <c r="C183" s="87"/>
      <c r="D183" s="758" t="e">
        <f>Sheet1!$D$26</f>
        <v>#N/A</v>
      </c>
      <c r="E183" s="758" t="e">
        <f>Sheet1!$E$26</f>
        <v>#N/A</v>
      </c>
      <c r="F183" s="758" t="e">
        <f>Sheet1!$F$26</f>
        <v>#N/A</v>
      </c>
      <c r="G183" s="758" t="e">
        <f>Sheet1!$G$26</f>
        <v>#N/A</v>
      </c>
      <c r="H183" s="759" t="e">
        <f>Sheet1!$H$26</f>
        <v>#N/A</v>
      </c>
      <c r="I183" s="98"/>
      <c r="J183" s="98"/>
      <c r="K183" s="61"/>
      <c r="L183" s="61"/>
      <c r="M183" s="61"/>
      <c r="N183" s="61"/>
      <c r="O183" s="61"/>
      <c r="P183" s="61"/>
      <c r="Q183" s="875"/>
      <c r="R183" s="875"/>
      <c r="S183" s="155"/>
      <c r="T183" s="155"/>
      <c r="U183" s="876"/>
      <c r="V183" s="124"/>
      <c r="W183" s="140"/>
      <c r="X183" s="1200"/>
      <c r="Y183" s="722"/>
      <c r="Z183" s="719" t="str">
        <f>Sheet1!$D$25</f>
        <v>2014-15</v>
      </c>
      <c r="AA183" s="719" t="str">
        <f>Sheet1!$E$25</f>
        <v>2015-16</v>
      </c>
      <c r="AB183" s="719" t="str">
        <f>Sheet1!$F$25</f>
        <v>2016-17</v>
      </c>
      <c r="AC183" s="719" t="str">
        <f>Sheet1!$G$25</f>
        <v>2017-18</v>
      </c>
      <c r="AD183" s="719" t="str">
        <f>Sheet1!$H$25</f>
        <v>2018-19</v>
      </c>
      <c r="AE183" s="1229" t="str">
        <f>Sheet1!$D$25</f>
        <v>2014-15</v>
      </c>
      <c r="AF183" s="1229" t="str">
        <f>Sheet1!$E$25</f>
        <v>2015-16</v>
      </c>
      <c r="AG183" s="1229" t="str">
        <f>Sheet1!$F$25</f>
        <v>2016-17</v>
      </c>
      <c r="AH183" s="1229" t="str">
        <f>Sheet1!$G$25</f>
        <v>2017-18</v>
      </c>
      <c r="AI183" s="1229" t="str">
        <f>Sheet1!$H$25</f>
        <v>2018-19</v>
      </c>
      <c r="AJ183" s="1279"/>
      <c r="AK183" s="1197"/>
    </row>
    <row r="184" spans="1:45" s="89" customFormat="1" ht="12.75" customHeight="1" x14ac:dyDescent="0.2">
      <c r="A184" s="462">
        <f>VLOOKUP(B184,Sheet1!$AQ$4:$AR$25,2,FALSE)</f>
        <v>0</v>
      </c>
      <c r="B184" s="95" t="str">
        <f>B117</f>
        <v>Bracknell Forest</v>
      </c>
      <c r="C184" s="87"/>
      <c r="D184" s="158" t="e">
        <f>IF(AND(ISNUMBER(Z184),ISNUMBER(D117)),Z184/D117,NA())</f>
        <v>#N/A</v>
      </c>
      <c r="E184" s="158">
        <f t="shared" ref="E184:H184" si="78">IF(AND(ISNUMBER(AA184),ISNUMBER(E117)),AA184/E117,NA())</f>
        <v>0.17647058823529413</v>
      </c>
      <c r="F184" s="158">
        <f t="shared" si="78"/>
        <v>0.38775510204081631</v>
      </c>
      <c r="G184" s="158">
        <f t="shared" si="78"/>
        <v>0.26865671641791045</v>
      </c>
      <c r="H184" s="160" t="e">
        <f t="shared" si="78"/>
        <v>#N/A</v>
      </c>
      <c r="I184" s="98"/>
      <c r="J184" s="98"/>
      <c r="K184" s="162"/>
      <c r="L184" s="162"/>
      <c r="M184" s="162"/>
      <c r="N184" s="162"/>
      <c r="O184" s="162"/>
      <c r="P184" s="162"/>
      <c r="Q184" s="162"/>
      <c r="R184" s="163"/>
      <c r="S184" s="155"/>
      <c r="T184" s="155"/>
      <c r="U184" s="162"/>
      <c r="V184" s="124"/>
      <c r="W184" s="140"/>
      <c r="X184" s="1200"/>
      <c r="Y184" s="722" t="str">
        <f>B184</f>
        <v>Bracknell Forest</v>
      </c>
      <c r="Z184" s="719" t="str">
        <f>IF(Year1_Bracknell_Forest Year1_Care_Leavers_16_18th_birthday="","",Year1_Bracknell_Forest Year1_Care_Leavers_16_18th_birthday)</f>
        <v/>
      </c>
      <c r="AA184" s="722">
        <f>IF(Year2_Bracknell_Forest Year2_Care_Leavers_16_18th_birthday="","",Year2_Bracknell_Forest Year2_Care_Leavers_16_18th_birthday)</f>
        <v>12</v>
      </c>
      <c r="AB184" s="722">
        <f>IF(Year3_Bracknell_Forest Year3_Care_Leavers_16_18th_birthday="","",Year3_Bracknell_Forest Year3_Care_Leavers_16_18th_birthday)</f>
        <v>19</v>
      </c>
      <c r="AC184" s="722">
        <f>IF(Year4_Bracknell_Forest Year4_Care_Leavers_16_18th_birthday="","",Year4_Bracknell_Forest Year4_Care_Leavers_16_18th_birthday)</f>
        <v>18</v>
      </c>
      <c r="AD184" s="722" t="str">
        <f>IF(Year5_Bracknell_Forest Year5_Care_Leavers_16_18th_birthday="","",Year5_Bracknell_Forest Year5_Care_Leavers_16_18th_birthday)</f>
        <v/>
      </c>
      <c r="AE184" s="1276">
        <f t="shared" ref="AE184:AE205" si="79">IF(ISNUMBER(Z184),D117,0)</f>
        <v>0</v>
      </c>
      <c r="AF184" s="1276">
        <f t="shared" ref="AF184:AF205" si="80">IF(ISNUMBER(AA184),E117,0)</f>
        <v>68</v>
      </c>
      <c r="AG184" s="1276">
        <f t="shared" ref="AG184:AG205" si="81">IF(ISNUMBER(AB184),F117,0)</f>
        <v>49</v>
      </c>
      <c r="AH184" s="1276">
        <f t="shared" ref="AH184:AH205" si="82">IF(ISNUMBER(AC184),G117,0)</f>
        <v>67</v>
      </c>
      <c r="AI184" s="1276">
        <f t="shared" ref="AI184:AI205" si="83">IF(ISNUMBER(AD184),H117,0)</f>
        <v>0</v>
      </c>
      <c r="AJ184" s="1279"/>
      <c r="AK184" s="1195"/>
    </row>
    <row r="185" spans="1:45" s="89" customFormat="1" ht="12.75" customHeight="1" x14ac:dyDescent="0.2">
      <c r="A185" s="462">
        <f>VLOOKUP(B185,Sheet1!$AQ$4:$AR$25,2,FALSE)</f>
        <v>0</v>
      </c>
      <c r="B185" s="95" t="str">
        <f t="shared" ref="B185:B207" si="84">B118</f>
        <v>Brighton &amp; Hove</v>
      </c>
      <c r="C185" s="87"/>
      <c r="D185" s="158" t="e">
        <f t="shared" ref="D185:D205" si="85">IF(AND(ISNUMBER(Z185),ISNUMBER(D118)),Z185/D118,NA())</f>
        <v>#N/A</v>
      </c>
      <c r="E185" s="158">
        <f t="shared" ref="E185:E205" si="86">IF(AND(ISNUMBER(AA185),ISNUMBER(E118)),AA185/E118,NA())</f>
        <v>0.24081632653061225</v>
      </c>
      <c r="F185" s="158">
        <f t="shared" ref="F185:F205" si="87">IF(AND(ISNUMBER(AB185),ISNUMBER(F118)),AB185/F118,NA())</f>
        <v>0.34636871508379891</v>
      </c>
      <c r="G185" s="158">
        <f>IF(AND(ISNUMBER(AC185),ISNUMBER(G118)),AC185/G118,NA())</f>
        <v>0.38636363636363635</v>
      </c>
      <c r="H185" s="160" t="e">
        <f t="shared" ref="H185:H205" si="88">IF(AND(ISNUMBER(AD185),ISNUMBER(H118)),AD185/H118,NA())</f>
        <v>#N/A</v>
      </c>
      <c r="I185" s="98"/>
      <c r="J185" s="98"/>
      <c r="K185" s="162"/>
      <c r="L185" s="162"/>
      <c r="M185" s="162"/>
      <c r="N185" s="162"/>
      <c r="O185" s="162"/>
      <c r="P185" s="162"/>
      <c r="Q185" s="162"/>
      <c r="R185" s="163"/>
      <c r="S185" s="155"/>
      <c r="T185" s="155"/>
      <c r="U185" s="162"/>
      <c r="V185" s="124"/>
      <c r="W185" s="140"/>
      <c r="X185" s="1200"/>
      <c r="Y185" s="722" t="str">
        <f t="shared" ref="Y185:Y207" si="89">B185</f>
        <v>Brighton &amp; Hove</v>
      </c>
      <c r="Z185" s="719" t="str">
        <f>IF(Year1_Brighton_Hove Year1_Care_Leavers_16_18th_birthday="","",Year1_Brighton_Hove Year1_Care_Leavers_16_18th_birthday)</f>
        <v/>
      </c>
      <c r="AA185" s="722">
        <f>IF(Year2_Brighton_Hove Year2_Care_Leavers_16_18th_birthday="","",Year2_Brighton_Hove Year2_Care_Leavers_16_18th_birthday)</f>
        <v>59</v>
      </c>
      <c r="AB185" s="722">
        <f>IF(Year3_Brighton_Hove Year3_Care_Leavers_16_18th_birthday="","",Year3_Brighton_Hove Year3_Care_Leavers_16_18th_birthday)</f>
        <v>62</v>
      </c>
      <c r="AC185" s="722">
        <f>IF(Year4_Brighton_Hove Year4_Care_Leavers_16_18th_birthday="","",Year4_Brighton_Hove Year4_Care_Leavers_16_18th_birthday)</f>
        <v>68</v>
      </c>
      <c r="AD185" s="722" t="str">
        <f>IF(Year5_Brighton_Hove Year5_Care_Leavers_16_18th_birthday="","",Year5_Brighton_Hove Year5_Care_Leavers_16_18th_birthday)</f>
        <v/>
      </c>
      <c r="AE185" s="1276">
        <f t="shared" si="79"/>
        <v>0</v>
      </c>
      <c r="AF185" s="1276">
        <f t="shared" si="80"/>
        <v>245</v>
      </c>
      <c r="AG185" s="1276">
        <f t="shared" si="81"/>
        <v>179</v>
      </c>
      <c r="AH185" s="1276">
        <f t="shared" si="82"/>
        <v>176</v>
      </c>
      <c r="AI185" s="1276">
        <f t="shared" si="83"/>
        <v>0</v>
      </c>
      <c r="AJ185" s="1279"/>
      <c r="AK185" s="1197"/>
    </row>
    <row r="186" spans="1:45" s="89" customFormat="1" ht="12.75" customHeight="1" x14ac:dyDescent="0.2">
      <c r="A186" s="462">
        <f>VLOOKUP(B186,Sheet1!$AQ$4:$AR$25,2,FALSE)</f>
        <v>0</v>
      </c>
      <c r="B186" s="95" t="str">
        <f t="shared" si="84"/>
        <v>Buckinghamshire</v>
      </c>
      <c r="C186" s="87"/>
      <c r="D186" s="158" t="e">
        <f t="shared" si="85"/>
        <v>#N/A</v>
      </c>
      <c r="E186" s="158">
        <f t="shared" si="86"/>
        <v>0.24229074889867841</v>
      </c>
      <c r="F186" s="158">
        <f t="shared" si="87"/>
        <v>0.2558139534883721</v>
      </c>
      <c r="G186" s="158">
        <f t="shared" ref="G186:G205" si="90">IF(AND(ISNUMBER(AC186),ISNUMBER(G119)),AC186/G119,NA())</f>
        <v>0.26111111111111113</v>
      </c>
      <c r="H186" s="160" t="e">
        <f t="shared" si="88"/>
        <v>#N/A</v>
      </c>
      <c r="I186" s="98"/>
      <c r="J186" s="98"/>
      <c r="K186" s="162"/>
      <c r="L186" s="162"/>
      <c r="M186" s="162"/>
      <c r="N186" s="162"/>
      <c r="O186" s="162"/>
      <c r="P186" s="162"/>
      <c r="Q186" s="162"/>
      <c r="R186" s="163"/>
      <c r="S186" s="155"/>
      <c r="T186" s="155"/>
      <c r="U186" s="162"/>
      <c r="V186" s="124"/>
      <c r="W186" s="140"/>
      <c r="X186" s="1200"/>
      <c r="Y186" s="722" t="str">
        <f t="shared" si="89"/>
        <v>Buckinghamshire</v>
      </c>
      <c r="Z186" s="719" t="str">
        <f>IF(Year1_Buckinghamshire Year1_Care_Leavers_16_18th_birthday="","",Year1_Buckinghamshire Year1_Care_Leavers_16_18th_birthday)</f>
        <v/>
      </c>
      <c r="AA186" s="722">
        <f>IF(Year2_Buckinghamshire Year2_Care_Leavers_16_18th_birthday="","",Year2_Buckinghamshire Year2_Care_Leavers_16_18th_birthday)</f>
        <v>55</v>
      </c>
      <c r="AB186" s="722">
        <f>IF(Year3_Buckinghamshire Year3_Care_Leavers_16_18th_birthday="","",Year3_Buckinghamshire Year3_Care_Leavers_16_18th_birthday)</f>
        <v>55</v>
      </c>
      <c r="AC186" s="722">
        <f>IF(Year4_Buckinghamshire Year4_Care_Leavers_16_18th_birthday="","",Year4_Buckinghamshire Year4_Care_Leavers_16_18th_birthday)</f>
        <v>47</v>
      </c>
      <c r="AD186" s="722" t="str">
        <f>IF(Year5_Buckinghamshire Year5_Care_Leavers_16_18th_birthday="","",Year5_Buckinghamshire Year5_Care_Leavers_16_18th_birthday)</f>
        <v/>
      </c>
      <c r="AE186" s="1276">
        <f t="shared" si="79"/>
        <v>0</v>
      </c>
      <c r="AF186" s="1276">
        <f t="shared" si="80"/>
        <v>227</v>
      </c>
      <c r="AG186" s="1276">
        <f t="shared" si="81"/>
        <v>215</v>
      </c>
      <c r="AH186" s="1276">
        <f t="shared" si="82"/>
        <v>180</v>
      </c>
      <c r="AI186" s="1276">
        <f t="shared" si="83"/>
        <v>0</v>
      </c>
      <c r="AJ186" s="1279"/>
      <c r="AK186" s="1195"/>
    </row>
    <row r="187" spans="1:45" s="89" customFormat="1" ht="12.75" customHeight="1" x14ac:dyDescent="0.2">
      <c r="A187" s="462">
        <f>VLOOKUP(B187,Sheet1!$AQ$4:$AR$25,2,FALSE)</f>
        <v>0</v>
      </c>
      <c r="B187" s="95" t="str">
        <f t="shared" si="84"/>
        <v>East Sussex</v>
      </c>
      <c r="C187" s="87"/>
      <c r="D187" s="158" t="e">
        <f t="shared" si="85"/>
        <v>#N/A</v>
      </c>
      <c r="E187" s="158">
        <f t="shared" si="86"/>
        <v>0.25520833333333331</v>
      </c>
      <c r="F187" s="158">
        <f t="shared" si="87"/>
        <v>0.2864864864864865</v>
      </c>
      <c r="G187" s="158">
        <f t="shared" si="90"/>
        <v>0.34567901234567899</v>
      </c>
      <c r="H187" s="160" t="e">
        <f t="shared" si="88"/>
        <v>#N/A</v>
      </c>
      <c r="I187" s="98"/>
      <c r="J187" s="98"/>
      <c r="K187" s="162"/>
      <c r="L187" s="162"/>
      <c r="M187" s="162"/>
      <c r="N187" s="162"/>
      <c r="O187" s="162"/>
      <c r="P187" s="162"/>
      <c r="Q187" s="162"/>
      <c r="R187" s="163"/>
      <c r="S187" s="155"/>
      <c r="T187" s="155"/>
      <c r="U187" s="162"/>
      <c r="V187" s="124"/>
      <c r="W187" s="140"/>
      <c r="X187" s="1200"/>
      <c r="Y187" s="722" t="str">
        <f t="shared" si="89"/>
        <v>East Sussex</v>
      </c>
      <c r="Z187" s="719" t="str">
        <f>IF(Year1_East_Sussex Year1_Care_Leavers_16_18th_birthday="","",Year1_East_Sussex Year1_Care_Leavers_16_18th_birthday)</f>
        <v/>
      </c>
      <c r="AA187" s="722">
        <f>IF(Year2_East_Sussex Year2_Care_Leavers_16_18th_birthday="","",Year2_East_Sussex Year2_Care_Leavers_16_18th_birthday)</f>
        <v>49</v>
      </c>
      <c r="AB187" s="722">
        <f>IF(Year3_East_Sussex Year3_Care_Leavers_16_18th_birthday="","",Year3_East_Sussex Year3_Care_Leavers_16_18th_birthday)</f>
        <v>53</v>
      </c>
      <c r="AC187" s="722">
        <f>IF(Year4_East_Sussex Year4_Care_Leavers_16_18th_birthday="","",Year4_East_Sussex Year4_Care_Leavers_16_18th_birthday)</f>
        <v>56</v>
      </c>
      <c r="AD187" s="722" t="str">
        <f>IF(Year5_East_Sussex Year5_Care_Leavers_16_18th_birthday="","",Year5_East_Sussex Year5_Care_Leavers_16_18th_birthday)</f>
        <v/>
      </c>
      <c r="AE187" s="1276">
        <f t="shared" si="79"/>
        <v>0</v>
      </c>
      <c r="AF187" s="1276">
        <f t="shared" si="80"/>
        <v>192</v>
      </c>
      <c r="AG187" s="1276">
        <f t="shared" si="81"/>
        <v>185</v>
      </c>
      <c r="AH187" s="1276">
        <f t="shared" si="82"/>
        <v>162</v>
      </c>
      <c r="AI187" s="1276">
        <f t="shared" si="83"/>
        <v>0</v>
      </c>
      <c r="AJ187" s="1279"/>
      <c r="AK187" s="1197"/>
    </row>
    <row r="188" spans="1:45" s="89" customFormat="1" ht="12.75" customHeight="1" x14ac:dyDescent="0.2">
      <c r="A188" s="462">
        <f>VLOOKUP(B188,Sheet1!$AQ$4:$AR$25,2,FALSE)</f>
        <v>0</v>
      </c>
      <c r="B188" s="95" t="str">
        <f t="shared" si="84"/>
        <v>Hampshire</v>
      </c>
      <c r="C188" s="87"/>
      <c r="D188" s="158" t="e">
        <f t="shared" si="85"/>
        <v>#N/A</v>
      </c>
      <c r="E188" s="158">
        <f t="shared" si="86"/>
        <v>0.26055045871559634</v>
      </c>
      <c r="F188" s="158">
        <f t="shared" si="87"/>
        <v>0.27255639097744361</v>
      </c>
      <c r="G188" s="158">
        <f t="shared" si="90"/>
        <v>0.30041152263374488</v>
      </c>
      <c r="H188" s="160" t="e">
        <f t="shared" si="88"/>
        <v>#N/A</v>
      </c>
      <c r="I188" s="98"/>
      <c r="J188" s="98"/>
      <c r="K188" s="162"/>
      <c r="L188" s="162"/>
      <c r="M188" s="162"/>
      <c r="N188" s="162"/>
      <c r="O188" s="162"/>
      <c r="P188" s="162"/>
      <c r="Q188" s="162"/>
      <c r="R188" s="163"/>
      <c r="S188" s="155"/>
      <c r="T188" s="155"/>
      <c r="U188" s="162"/>
      <c r="V188" s="124"/>
      <c r="W188" s="140"/>
      <c r="X188" s="1200"/>
      <c r="Y188" s="722" t="str">
        <f t="shared" si="89"/>
        <v>Hampshire</v>
      </c>
      <c r="Z188" s="719" t="str">
        <f>IF(Year1_Hampshire Year1_Care_Leavers_16_18th_birthday="","",Year1_Hampshire Year1_Care_Leavers_16_18th_birthday)</f>
        <v/>
      </c>
      <c r="AA188" s="722">
        <f>IF(Year2_Hampshire Year2_Care_Leavers_16_18th_birthday="","",Year2_Hampshire Year2_Care_Leavers_16_18th_birthday)</f>
        <v>142</v>
      </c>
      <c r="AB188" s="722">
        <f>IF(Year3_Hampshire Year3_Care_Leavers_16_18th_birthday="","",Year3_Hampshire Year3_Care_Leavers_16_18th_birthday)</f>
        <v>145</v>
      </c>
      <c r="AC188" s="722">
        <f>IF(Year4_Hampshire Year4_Care_Leavers_16_18th_birthday="","",Year4_Hampshire Year4_Care_Leavers_16_18th_birthday)</f>
        <v>146</v>
      </c>
      <c r="AD188" s="722" t="str">
        <f>IF(Year5_Hampshire Year5_Care_Leavers_16_18th_birthday="","",Year5_Hampshire Year5_Care_Leavers_16_18th_birthday)</f>
        <v/>
      </c>
      <c r="AE188" s="1276">
        <f t="shared" si="79"/>
        <v>0</v>
      </c>
      <c r="AF188" s="1276">
        <f t="shared" si="80"/>
        <v>545</v>
      </c>
      <c r="AG188" s="1276">
        <f t="shared" si="81"/>
        <v>532</v>
      </c>
      <c r="AH188" s="1276">
        <f t="shared" si="82"/>
        <v>486</v>
      </c>
      <c r="AI188" s="1276">
        <f t="shared" si="83"/>
        <v>0</v>
      </c>
      <c r="AJ188" s="1279"/>
      <c r="AK188" s="1195"/>
    </row>
    <row r="189" spans="1:45" s="89" customFormat="1" ht="12.75" customHeight="1" x14ac:dyDescent="0.2">
      <c r="A189" s="462">
        <f>VLOOKUP(B189,Sheet1!$AQ$4:$AR$25,2,FALSE)</f>
        <v>0</v>
      </c>
      <c r="B189" s="95" t="str">
        <f t="shared" si="84"/>
        <v>Isle of Wight</v>
      </c>
      <c r="C189" s="87"/>
      <c r="D189" s="158" t="e">
        <f t="shared" si="85"/>
        <v>#N/A</v>
      </c>
      <c r="E189" s="158">
        <f t="shared" si="86"/>
        <v>0.36986301369863012</v>
      </c>
      <c r="F189" s="158">
        <f t="shared" si="87"/>
        <v>0.26315789473684209</v>
      </c>
      <c r="G189" s="158">
        <f t="shared" si="90"/>
        <v>0.34146341463414637</v>
      </c>
      <c r="H189" s="160" t="e">
        <f t="shared" si="88"/>
        <v>#N/A</v>
      </c>
      <c r="I189" s="98"/>
      <c r="J189" s="98"/>
      <c r="K189" s="162"/>
      <c r="L189" s="162"/>
      <c r="M189" s="162"/>
      <c r="N189" s="162"/>
      <c r="O189" s="162"/>
      <c r="P189" s="162"/>
      <c r="Q189" s="162"/>
      <c r="R189" s="163"/>
      <c r="S189" s="155"/>
      <c r="T189" s="155"/>
      <c r="U189" s="162"/>
      <c r="V189" s="124"/>
      <c r="W189" s="140"/>
      <c r="X189" s="1200"/>
      <c r="Y189" s="722" t="str">
        <f t="shared" si="89"/>
        <v>Isle of Wight</v>
      </c>
      <c r="Z189" s="719" t="str">
        <f>IF(Year1_Isle_of_Wight Year1_Care_Leavers_16_18th_birthday="","",Year1_Isle_of_Wight Year1_Care_Leavers_16_18th_birthday)</f>
        <v/>
      </c>
      <c r="AA189" s="722">
        <f>IF(Year2_Isle_of_Wight Year2_Care_Leavers_16_18th_birthday="","",Year2_Isle_of_Wight Year2_Care_Leavers_16_18th_birthday)</f>
        <v>27</v>
      </c>
      <c r="AB189" s="722">
        <f>IF(Year3_Isle_of_Wight Year3_Care_Leavers_16_18th_birthday="","",Year3_Isle_of_Wight Year3_Care_Leavers_16_18th_birthday)</f>
        <v>20</v>
      </c>
      <c r="AC189" s="722">
        <f>IF(Year4_Isle_of_Wight Year4_Care_Leavers_16_18th_birthday="","",Year4_Isle_of_Wight Year4_Care_Leavers_16_18th_birthday)</f>
        <v>28</v>
      </c>
      <c r="AD189" s="722" t="str">
        <f>IF(Year5_Isle_of_Wight Year5_Care_Leavers_16_18th_birthday="","",Year5_Isle_of_Wight Year5_Care_Leavers_16_18th_birthday)</f>
        <v/>
      </c>
      <c r="AE189" s="1276">
        <f t="shared" si="79"/>
        <v>0</v>
      </c>
      <c r="AF189" s="1276">
        <f t="shared" si="80"/>
        <v>73</v>
      </c>
      <c r="AG189" s="1276">
        <f t="shared" si="81"/>
        <v>76</v>
      </c>
      <c r="AH189" s="1276">
        <f t="shared" si="82"/>
        <v>82</v>
      </c>
      <c r="AI189" s="1276">
        <f t="shared" si="83"/>
        <v>0</v>
      </c>
      <c r="AJ189" s="1279"/>
      <c r="AK189" s="1197"/>
      <c r="AS189" s="89" t="s">
        <v>103</v>
      </c>
    </row>
    <row r="190" spans="1:45" s="89" customFormat="1" ht="12.75" customHeight="1" x14ac:dyDescent="0.2">
      <c r="A190" s="462">
        <f>VLOOKUP(B190,Sheet1!$AQ$4:$AR$25,2,FALSE)</f>
        <v>0</v>
      </c>
      <c r="B190" s="95" t="str">
        <f t="shared" si="84"/>
        <v>Kent</v>
      </c>
      <c r="C190" s="87"/>
      <c r="D190" s="158" t="e">
        <f t="shared" si="85"/>
        <v>#N/A</v>
      </c>
      <c r="E190" s="158">
        <f t="shared" si="86"/>
        <v>0.36700648748841519</v>
      </c>
      <c r="F190" s="158">
        <f t="shared" si="87"/>
        <v>0.41109422492401215</v>
      </c>
      <c r="G190" s="158">
        <f t="shared" si="90"/>
        <v>0.40991420400381318</v>
      </c>
      <c r="H190" s="160" t="e">
        <f t="shared" si="88"/>
        <v>#N/A</v>
      </c>
      <c r="I190" s="98"/>
      <c r="J190" s="98"/>
      <c r="K190" s="162"/>
      <c r="L190" s="162"/>
      <c r="M190" s="162"/>
      <c r="N190" s="162"/>
      <c r="O190" s="162"/>
      <c r="P190" s="162"/>
      <c r="Q190" s="162"/>
      <c r="R190" s="163"/>
      <c r="S190" s="155"/>
      <c r="T190" s="155"/>
      <c r="U190" s="162"/>
      <c r="V190" s="124"/>
      <c r="W190" s="140"/>
      <c r="X190" s="1200"/>
      <c r="Y190" s="722" t="str">
        <f t="shared" si="89"/>
        <v>Kent</v>
      </c>
      <c r="Z190" s="719" t="str">
        <f>IF(Year1_Kent Year1_Care_Leavers_16_18th_birthday="","",Year1_Kent Year1_Care_Leavers_16_18th_birthday)</f>
        <v/>
      </c>
      <c r="AA190" s="722">
        <f>IF(Year2_Kent Year2_Care_Leavers_16_18th_birthday="","",Year2_Kent Year2_Care_Leavers_16_18th_birthday)</f>
        <v>396</v>
      </c>
      <c r="AB190" s="722">
        <f>IF(Year3_Kent Year3_Care_Leavers_16_18th_birthday="","",Year3_Kent Year3_Care_Leavers_16_18th_birthday)</f>
        <v>541</v>
      </c>
      <c r="AC190" s="722">
        <f>IF(Year4_Kent Year4_Care_Leavers_16_18th_birthday="","",Year4_Kent Year4_Care_Leavers_16_18th_birthday)</f>
        <v>430</v>
      </c>
      <c r="AD190" s="722" t="str">
        <f>IF(Year5_Kent Year5_Care_Leavers_16_18th_birthday="","",Year5_Kent Year5_Care_Leavers_16_18th_birthday)</f>
        <v/>
      </c>
      <c r="AE190" s="1276">
        <f t="shared" si="79"/>
        <v>0</v>
      </c>
      <c r="AF190" s="1276">
        <f t="shared" si="80"/>
        <v>1079</v>
      </c>
      <c r="AG190" s="1276">
        <f t="shared" si="81"/>
        <v>1316</v>
      </c>
      <c r="AH190" s="1276">
        <f t="shared" si="82"/>
        <v>1049</v>
      </c>
      <c r="AI190" s="1276">
        <f t="shared" si="83"/>
        <v>0</v>
      </c>
      <c r="AJ190" s="1279"/>
      <c r="AK190" s="1195"/>
    </row>
    <row r="191" spans="1:45" s="89" customFormat="1" ht="12.75" customHeight="1" x14ac:dyDescent="0.2">
      <c r="A191" s="462">
        <f>VLOOKUP(B191,Sheet1!$AQ$4:$AR$25,2,FALSE)</f>
        <v>0</v>
      </c>
      <c r="B191" s="95" t="str">
        <f t="shared" si="84"/>
        <v>Medway</v>
      </c>
      <c r="C191" s="87"/>
      <c r="D191" s="158" t="e">
        <f t="shared" si="85"/>
        <v>#N/A</v>
      </c>
      <c r="E191" s="158">
        <f t="shared" si="86"/>
        <v>0.17142857142857143</v>
      </c>
      <c r="F191" s="158">
        <f t="shared" si="87"/>
        <v>0.20855614973262032</v>
      </c>
      <c r="G191" s="158">
        <f t="shared" si="90"/>
        <v>0.25786163522012578</v>
      </c>
      <c r="H191" s="160" t="e">
        <f t="shared" si="88"/>
        <v>#N/A</v>
      </c>
      <c r="I191" s="98"/>
      <c r="J191" s="98"/>
      <c r="K191" s="162"/>
      <c r="L191" s="162"/>
      <c r="M191" s="162"/>
      <c r="N191" s="162"/>
      <c r="O191" s="162"/>
      <c r="P191" s="162"/>
      <c r="Q191" s="162"/>
      <c r="R191" s="163"/>
      <c r="S191" s="155"/>
      <c r="T191" s="155"/>
      <c r="U191" s="162"/>
      <c r="V191" s="124"/>
      <c r="W191" s="140"/>
      <c r="X191" s="1200"/>
      <c r="Y191" s="722" t="str">
        <f t="shared" si="89"/>
        <v>Medway</v>
      </c>
      <c r="Z191" s="719" t="str">
        <f>IF(Year1_Medway Year1_Care_Leavers_16_18th_birthday="","",Year1_Medway Year1_Care_Leavers_16_18th_birthday)</f>
        <v/>
      </c>
      <c r="AA191" s="722">
        <f>IF(Year2_Medway Year2_Care_Leavers_16_18th_birthday="","",Year2_Medway Year2_Care_Leavers_16_18th_birthday)</f>
        <v>36</v>
      </c>
      <c r="AB191" s="722">
        <f>IF(Year3_Medway Year3_Care_Leavers_16_18th_birthday="","",Year3_Medway Year3_Care_Leavers_16_18th_birthday)</f>
        <v>39</v>
      </c>
      <c r="AC191" s="722">
        <f>IF(Year4_Medway Year4_Care_Leavers_16_18th_birthday="","",Year4_Medway Year4_Care_Leavers_16_18th_birthday)</f>
        <v>41</v>
      </c>
      <c r="AD191" s="722" t="str">
        <f>IF(Year5_Medway Year5_Care_Leavers_16_18th_birthday="","",Year5_Medway Year5_Care_Leavers_16_18th_birthday)</f>
        <v/>
      </c>
      <c r="AE191" s="1276">
        <f t="shared" si="79"/>
        <v>0</v>
      </c>
      <c r="AF191" s="1276">
        <f t="shared" si="80"/>
        <v>210</v>
      </c>
      <c r="AG191" s="1276">
        <f t="shared" si="81"/>
        <v>187</v>
      </c>
      <c r="AH191" s="1276">
        <f t="shared" si="82"/>
        <v>159</v>
      </c>
      <c r="AI191" s="1276">
        <f t="shared" si="83"/>
        <v>0</v>
      </c>
      <c r="AJ191" s="1279"/>
      <c r="AK191" s="1197"/>
    </row>
    <row r="192" spans="1:45" s="89" customFormat="1" ht="12.75" customHeight="1" x14ac:dyDescent="0.2">
      <c r="A192" s="462">
        <f>VLOOKUP(B192,Sheet1!$AQ$4:$AR$25,2,FALSE)</f>
        <v>0</v>
      </c>
      <c r="B192" s="95" t="str">
        <f t="shared" si="84"/>
        <v>Milton Keynes</v>
      </c>
      <c r="C192" s="87"/>
      <c r="D192" s="158" t="e">
        <f t="shared" si="85"/>
        <v>#N/A</v>
      </c>
      <c r="E192" s="158">
        <f t="shared" si="86"/>
        <v>0.23655913978494625</v>
      </c>
      <c r="F192" s="158">
        <f t="shared" si="87"/>
        <v>0.27631578947368424</v>
      </c>
      <c r="G192" s="158">
        <f t="shared" si="90"/>
        <v>0.31724137931034485</v>
      </c>
      <c r="H192" s="160" t="e">
        <f t="shared" si="88"/>
        <v>#N/A</v>
      </c>
      <c r="I192" s="98"/>
      <c r="J192" s="98"/>
      <c r="K192" s="162"/>
      <c r="L192" s="162"/>
      <c r="M192" s="162"/>
      <c r="N192" s="162"/>
      <c r="O192" s="162"/>
      <c r="P192" s="162"/>
      <c r="Q192" s="162"/>
      <c r="R192" s="163"/>
      <c r="S192" s="155"/>
      <c r="T192" s="155"/>
      <c r="U192" s="162"/>
      <c r="V192" s="124"/>
      <c r="W192" s="140"/>
      <c r="X192" s="1200"/>
      <c r="Y192" s="722" t="str">
        <f t="shared" si="89"/>
        <v>Milton Keynes</v>
      </c>
      <c r="Z192" s="719" t="str">
        <f>IF(Year1_Milton_Keynes Year1_Care_Leavers_16_18th_birthday="","",Year1_Milton_Keynes Year1_Care_Leavers_16_18th_birthday)</f>
        <v/>
      </c>
      <c r="AA192" s="722">
        <f>IF(Year2_Milton_Keynes Year2_Care_Leavers_16_18th_birthday="","",Year2_Milton_Keynes Year2_Care_Leavers_16_18th_birthday)</f>
        <v>44</v>
      </c>
      <c r="AB192" s="722">
        <f>IF(Year3_Milton_Keynes Year3_Care_Leavers_16_18th_birthday="","",Year3_Milton_Keynes Year3_Care_Leavers_16_18th_birthday)</f>
        <v>42</v>
      </c>
      <c r="AC192" s="722">
        <f>IF(Year4_Milton_Keynes Year4_Care_Leavers_16_18th_birthday="","",Year4_Milton_Keynes Year4_Care_Leavers_16_18th_birthday)</f>
        <v>46</v>
      </c>
      <c r="AD192" s="722" t="str">
        <f>IF(Year5_Milton_Keynes Year5_Care_Leavers_16_18th_birthday="","",Year5_Milton_Keynes Year5_Care_Leavers_16_18th_birthday)</f>
        <v/>
      </c>
      <c r="AE192" s="1276">
        <f t="shared" si="79"/>
        <v>0</v>
      </c>
      <c r="AF192" s="1276">
        <f t="shared" si="80"/>
        <v>186</v>
      </c>
      <c r="AG192" s="1276">
        <f t="shared" si="81"/>
        <v>152</v>
      </c>
      <c r="AH192" s="1276">
        <f t="shared" si="82"/>
        <v>145</v>
      </c>
      <c r="AI192" s="1276">
        <f t="shared" si="83"/>
        <v>0</v>
      </c>
      <c r="AJ192" s="1279"/>
      <c r="AK192" s="1195"/>
    </row>
    <row r="193" spans="1:37" s="89" customFormat="1" ht="12.75" customHeight="1" x14ac:dyDescent="0.2">
      <c r="A193" s="462">
        <f>VLOOKUP(B193,Sheet1!$AQ$4:$AR$25,2,FALSE)</f>
        <v>0</v>
      </c>
      <c r="B193" s="95" t="str">
        <f t="shared" si="84"/>
        <v>Oxfordshire</v>
      </c>
      <c r="C193" s="87"/>
      <c r="D193" s="158" t="e">
        <f t="shared" si="85"/>
        <v>#N/A</v>
      </c>
      <c r="E193" s="158">
        <f t="shared" si="86"/>
        <v>0.26071428571428573</v>
      </c>
      <c r="F193" s="158">
        <f t="shared" si="87"/>
        <v>0.27272727272727271</v>
      </c>
      <c r="G193" s="158">
        <f t="shared" si="90"/>
        <v>0.30201342281879195</v>
      </c>
      <c r="H193" s="160" t="e">
        <f t="shared" si="88"/>
        <v>#N/A</v>
      </c>
      <c r="I193" s="98"/>
      <c r="J193" s="98"/>
      <c r="K193" s="162"/>
      <c r="L193" s="162"/>
      <c r="M193" s="162"/>
      <c r="N193" s="162"/>
      <c r="O193" s="162"/>
      <c r="P193" s="162"/>
      <c r="Q193" s="162"/>
      <c r="R193" s="163"/>
      <c r="S193" s="155"/>
      <c r="T193" s="155"/>
      <c r="U193" s="162"/>
      <c r="V193" s="124"/>
      <c r="W193" s="140"/>
      <c r="X193" s="1200"/>
      <c r="Y193" s="722" t="str">
        <f t="shared" si="89"/>
        <v>Oxfordshire</v>
      </c>
      <c r="Z193" s="719" t="str">
        <f>IF(Year1_Oxfordshire Year1_Care_Leavers_16_18th_birthday="","",Year1_Oxfordshire Year1_Care_Leavers_16_18th_birthday)</f>
        <v/>
      </c>
      <c r="AA193" s="722">
        <f>IF(Year2_Oxfordshire Year2_Care_Leavers_16_18th_birthday="","",Year2_Oxfordshire Year2_Care_Leavers_16_18th_birthday)</f>
        <v>73</v>
      </c>
      <c r="AB193" s="722">
        <f>IF(Year3_Oxfordshire Year3_Care_Leavers_16_18th_birthday="","",Year3_Oxfordshire Year3_Care_Leavers_16_18th_birthday)</f>
        <v>78</v>
      </c>
      <c r="AC193" s="722">
        <f>IF(Year4_Oxfordshire Year4_Care_Leavers_16_18th_birthday="","",Year4_Oxfordshire Year4_Care_Leavers_16_18th_birthday)</f>
        <v>90</v>
      </c>
      <c r="AD193" s="722" t="str">
        <f>IF(Year5_Oxfordshire Year5_Care_Leavers_16_18th_birthday="","",Year5_Oxfordshire Year5_Care_Leavers_16_18th_birthday)</f>
        <v/>
      </c>
      <c r="AE193" s="1276">
        <f t="shared" si="79"/>
        <v>0</v>
      </c>
      <c r="AF193" s="1276">
        <f t="shared" si="80"/>
        <v>280</v>
      </c>
      <c r="AG193" s="1276">
        <f t="shared" si="81"/>
        <v>286</v>
      </c>
      <c r="AH193" s="1276">
        <f t="shared" si="82"/>
        <v>298</v>
      </c>
      <c r="AI193" s="1276">
        <f t="shared" si="83"/>
        <v>0</v>
      </c>
      <c r="AJ193" s="1279"/>
      <c r="AK193" s="1197"/>
    </row>
    <row r="194" spans="1:37" s="89" customFormat="1" ht="12.75" customHeight="1" x14ac:dyDescent="0.2">
      <c r="A194" s="462">
        <f>VLOOKUP(B194,Sheet1!$AQ$4:$AR$25,2,FALSE)</f>
        <v>0</v>
      </c>
      <c r="B194" s="95" t="str">
        <f t="shared" si="84"/>
        <v>Portsmouth</v>
      </c>
      <c r="C194" s="87"/>
      <c r="D194" s="158" t="e">
        <f t="shared" si="85"/>
        <v>#N/A</v>
      </c>
      <c r="E194" s="158">
        <f t="shared" si="86"/>
        <v>0.19047619047619047</v>
      </c>
      <c r="F194" s="158">
        <f t="shared" si="87"/>
        <v>0.23577235772357724</v>
      </c>
      <c r="G194" s="158">
        <f t="shared" si="90"/>
        <v>0.26881720430107525</v>
      </c>
      <c r="H194" s="160" t="e">
        <f t="shared" si="88"/>
        <v>#N/A</v>
      </c>
      <c r="I194" s="98"/>
      <c r="J194" s="98"/>
      <c r="K194" s="162"/>
      <c r="L194" s="162"/>
      <c r="M194" s="162"/>
      <c r="N194" s="162"/>
      <c r="O194" s="162"/>
      <c r="P194" s="162"/>
      <c r="Q194" s="162"/>
      <c r="R194" s="163"/>
      <c r="S194" s="155"/>
      <c r="T194" s="155"/>
      <c r="U194" s="162"/>
      <c r="V194" s="124"/>
      <c r="W194" s="140"/>
      <c r="X194" s="1200"/>
      <c r="Y194" s="722" t="str">
        <f t="shared" si="89"/>
        <v>Portsmouth</v>
      </c>
      <c r="Z194" s="719" t="str">
        <f>IF(Year1_Portsmouth Year1_Care_Leavers_16_18th_birthday="","",Year1_Portsmouth Year1_Care_Leavers_16_18th_birthday)</f>
        <v/>
      </c>
      <c r="AA194" s="722">
        <f>IF(Year2_Portsmouth Year2_Care_Leavers_16_18th_birthday="","",Year2_Portsmouth Year2_Care_Leavers_16_18th_birthday)</f>
        <v>24</v>
      </c>
      <c r="AB194" s="722">
        <f>IF(Year3_Portsmouth Year3_Care_Leavers_16_18th_birthday="","",Year3_Portsmouth Year3_Care_Leavers_16_18th_birthday)</f>
        <v>29</v>
      </c>
      <c r="AC194" s="722">
        <f>IF(Year4_Portsmouth Year4_Care_Leavers_16_18th_birthday="","",Year4_Portsmouth Year4_Care_Leavers_16_18th_birthday)</f>
        <v>50</v>
      </c>
      <c r="AD194" s="722" t="str">
        <f>IF(Year5_Portsmouth Year5_Care_Leavers_16_18th_birthday="","",Year5_Portsmouth Year5_Care_Leavers_16_18th_birthday)</f>
        <v/>
      </c>
      <c r="AE194" s="1276">
        <f t="shared" si="79"/>
        <v>0</v>
      </c>
      <c r="AF194" s="1276">
        <f t="shared" si="80"/>
        <v>126</v>
      </c>
      <c r="AG194" s="1276">
        <f t="shared" si="81"/>
        <v>123</v>
      </c>
      <c r="AH194" s="1276">
        <f t="shared" si="82"/>
        <v>186</v>
      </c>
      <c r="AI194" s="1276">
        <f t="shared" si="83"/>
        <v>0</v>
      </c>
      <c r="AJ194" s="1279"/>
      <c r="AK194" s="1195"/>
    </row>
    <row r="195" spans="1:37" s="89" customFormat="1" ht="12.75" customHeight="1" x14ac:dyDescent="0.2">
      <c r="A195" s="462">
        <f>VLOOKUP(B195,Sheet1!$AQ$4:$AR$25,2,FALSE)</f>
        <v>0</v>
      </c>
      <c r="B195" s="95" t="str">
        <f t="shared" si="84"/>
        <v>Reading</v>
      </c>
      <c r="C195" s="87"/>
      <c r="D195" s="158" t="e">
        <f t="shared" si="85"/>
        <v>#N/A</v>
      </c>
      <c r="E195" s="158">
        <f t="shared" si="86"/>
        <v>0.23577235772357724</v>
      </c>
      <c r="F195" s="158">
        <f t="shared" si="87"/>
        <v>0.24</v>
      </c>
      <c r="G195" s="158">
        <f t="shared" si="90"/>
        <v>0.38043478260869568</v>
      </c>
      <c r="H195" s="160" t="e">
        <f t="shared" si="88"/>
        <v>#N/A</v>
      </c>
      <c r="I195" s="98"/>
      <c r="J195" s="98"/>
      <c r="K195" s="162"/>
      <c r="L195" s="162"/>
      <c r="M195" s="162"/>
      <c r="N195" s="162"/>
      <c r="O195" s="162"/>
      <c r="P195" s="162"/>
      <c r="Q195" s="162"/>
      <c r="R195" s="163"/>
      <c r="S195" s="155"/>
      <c r="T195" s="155"/>
      <c r="U195" s="162"/>
      <c r="V195" s="124"/>
      <c r="W195" s="140"/>
      <c r="X195" s="1200"/>
      <c r="Y195" s="722" t="str">
        <f t="shared" si="89"/>
        <v>Reading</v>
      </c>
      <c r="Z195" s="719" t="str">
        <f>IF(Year1_Reading Year1_Care_Leavers_16_18th_birthday="","",Year1_Reading Year1_Care_Leavers_16_18th_birthday)</f>
        <v/>
      </c>
      <c r="AA195" s="722">
        <f>IF(Year2_Reading Year2_Care_Leavers_16_18th_birthday="","",Year2_Reading Year2_Care_Leavers_16_18th_birthday)</f>
        <v>29</v>
      </c>
      <c r="AB195" s="722">
        <f>IF(Year3_Reading Year3_Care_Leavers_16_18th_birthday="","",Year3_Reading Year3_Care_Leavers_16_18th_birthday)</f>
        <v>24</v>
      </c>
      <c r="AC195" s="722">
        <f>IF(Year4_Reading Year4_Care_Leavers_16_18th_birthday="","",Year4_Reading Year4_Care_Leavers_16_18th_birthday)</f>
        <v>35</v>
      </c>
      <c r="AD195" s="722" t="str">
        <f>IF(Year5_Reading Year5_Care_Leavers_16_18th_birthday="","",Year5_Reading Year5_Care_Leavers_16_18th_birthday)</f>
        <v/>
      </c>
      <c r="AE195" s="1276">
        <f t="shared" si="79"/>
        <v>0</v>
      </c>
      <c r="AF195" s="1276">
        <f t="shared" si="80"/>
        <v>123</v>
      </c>
      <c r="AG195" s="1276">
        <f t="shared" si="81"/>
        <v>100</v>
      </c>
      <c r="AH195" s="1276">
        <f t="shared" si="82"/>
        <v>92</v>
      </c>
      <c r="AI195" s="1276">
        <f t="shared" si="83"/>
        <v>0</v>
      </c>
      <c r="AJ195" s="1279"/>
      <c r="AK195" s="1197"/>
    </row>
    <row r="196" spans="1:37" s="89" customFormat="1" ht="12.75" customHeight="1" x14ac:dyDescent="0.2">
      <c r="A196" s="462">
        <f>VLOOKUP(B196,Sheet1!$AQ$4:$AR$25,2,FALSE)</f>
        <v>0</v>
      </c>
      <c r="B196" s="95" t="str">
        <f t="shared" si="84"/>
        <v>Slough</v>
      </c>
      <c r="C196" s="87"/>
      <c r="D196" s="158" t="e">
        <f t="shared" si="85"/>
        <v>#N/A</v>
      </c>
      <c r="E196" s="158">
        <f t="shared" si="86"/>
        <v>0.13636363636363635</v>
      </c>
      <c r="F196" s="158">
        <f t="shared" si="87"/>
        <v>0.21428571428571427</v>
      </c>
      <c r="G196" s="158">
        <f t="shared" si="90"/>
        <v>0.25</v>
      </c>
      <c r="H196" s="160" t="e">
        <f t="shared" si="88"/>
        <v>#N/A</v>
      </c>
      <c r="I196" s="98"/>
      <c r="J196" s="98"/>
      <c r="K196" s="162"/>
      <c r="L196" s="162"/>
      <c r="M196" s="162"/>
      <c r="N196" s="162"/>
      <c r="O196" s="162"/>
      <c r="P196" s="162"/>
      <c r="Q196" s="162"/>
      <c r="R196" s="163"/>
      <c r="S196" s="155"/>
      <c r="T196" s="155"/>
      <c r="U196" s="162"/>
      <c r="V196" s="124"/>
      <c r="W196" s="140"/>
      <c r="X196" s="1200"/>
      <c r="Y196" s="722" t="str">
        <f t="shared" si="89"/>
        <v>Slough</v>
      </c>
      <c r="Z196" s="719" t="str">
        <f>IF(Year1_Slough Year1_Care_Leavers_16_18th_birthday="","",Year1_Slough Year1_Care_Leavers_16_18th_birthday)</f>
        <v/>
      </c>
      <c r="AA196" s="722">
        <f>IF(Year2_Slough Year2_Care_Leavers_16_18th_birthday="","",Year2_Slough Year2_Care_Leavers_16_18th_birthday)</f>
        <v>21</v>
      </c>
      <c r="AB196" s="722">
        <f>IF(Year3_Slough Year3_Care_Leavers_16_18th_birthday="","",Year3_Slough Year3_Care_Leavers_16_18th_birthday)</f>
        <v>24</v>
      </c>
      <c r="AC196" s="722">
        <f>IF(Year4_Slough Year4_Care_Leavers_16_18th_birthday="","",Year4_Slough Year4_Care_Leavers_16_18th_birthday)</f>
        <v>28</v>
      </c>
      <c r="AD196" s="722" t="str">
        <f>IF(Year5_Slough Year5_Care_Leavers_16_18th_birthday="","",Year5_Slough Year5_Care_Leavers_16_18th_birthday)</f>
        <v/>
      </c>
      <c r="AE196" s="1276">
        <f t="shared" si="79"/>
        <v>0</v>
      </c>
      <c r="AF196" s="1276">
        <f t="shared" si="80"/>
        <v>154</v>
      </c>
      <c r="AG196" s="1276">
        <f t="shared" si="81"/>
        <v>112</v>
      </c>
      <c r="AH196" s="1276">
        <f t="shared" si="82"/>
        <v>112</v>
      </c>
      <c r="AI196" s="1276">
        <f t="shared" si="83"/>
        <v>0</v>
      </c>
      <c r="AJ196" s="1279"/>
      <c r="AK196" s="1195"/>
    </row>
    <row r="197" spans="1:37" s="89" customFormat="1" ht="12.75" customHeight="1" x14ac:dyDescent="0.2">
      <c r="A197" s="462">
        <f>VLOOKUP(B197,Sheet1!$AQ$4:$AR$25,2,FALSE)</f>
        <v>0</v>
      </c>
      <c r="B197" s="95" t="str">
        <f t="shared" si="84"/>
        <v>Somerset</v>
      </c>
      <c r="C197" s="87"/>
      <c r="D197" s="158" t="e">
        <f t="shared" si="85"/>
        <v>#N/A</v>
      </c>
      <c r="E197" s="158">
        <f t="shared" si="86"/>
        <v>0.1965065502183406</v>
      </c>
      <c r="F197" s="158">
        <f t="shared" si="87"/>
        <v>0.22988505747126436</v>
      </c>
      <c r="G197" s="158">
        <f t="shared" si="90"/>
        <v>0.26008968609865468</v>
      </c>
      <c r="H197" s="160" t="e">
        <f t="shared" si="88"/>
        <v>#N/A</v>
      </c>
      <c r="I197" s="98"/>
      <c r="J197" s="98"/>
      <c r="K197" s="162"/>
      <c r="L197" s="162"/>
      <c r="M197" s="162"/>
      <c r="N197" s="162"/>
      <c r="O197" s="162"/>
      <c r="P197" s="162"/>
      <c r="Q197" s="162"/>
      <c r="R197" s="163"/>
      <c r="S197" s="155"/>
      <c r="T197" s="155"/>
      <c r="U197" s="162"/>
      <c r="V197" s="124"/>
      <c r="W197" s="140"/>
      <c r="X197" s="1200"/>
      <c r="Y197" s="722" t="str">
        <f t="shared" si="89"/>
        <v>Somerset</v>
      </c>
      <c r="Z197" s="719" t="str">
        <f>IF(Year1_Somerset Year1_Care_Leavers_16_18th_birthday="","",Year1_Somerset Year1_Care_Leavers_16_18th_birthday)</f>
        <v/>
      </c>
      <c r="AA197" s="722">
        <f>IF(Year2_Somerset Year2_Care_Leavers_16_18th_birthday="","",Year2_Somerset Year2_Care_Leavers_16_18th_birthday)</f>
        <v>45</v>
      </c>
      <c r="AB197" s="722">
        <f>IF(Year3_Somerset Year3_Care_Leavers_16_18th_birthday="","",Year3_Somerset Year3_Care_Leavers_16_18th_birthday)</f>
        <v>60</v>
      </c>
      <c r="AC197" s="722">
        <f>IF(Year4_Somerset Year4_Care_Leavers_16_18th_birthday="","",Year4_Somerset Year4_Care_Leavers_16_18th_birthday)</f>
        <v>58</v>
      </c>
      <c r="AD197" s="722" t="str">
        <f>IF(Year5_Somerset Year5_Care_Leavers_16_18th_birthday="","",Year5_Somerset Year5_Care_Leavers_16_18th_birthday)</f>
        <v/>
      </c>
      <c r="AE197" s="1276">
        <f t="shared" si="79"/>
        <v>0</v>
      </c>
      <c r="AF197" s="1276">
        <f t="shared" si="80"/>
        <v>229</v>
      </c>
      <c r="AG197" s="1276">
        <f t="shared" si="81"/>
        <v>261</v>
      </c>
      <c r="AH197" s="1276">
        <f t="shared" si="82"/>
        <v>223</v>
      </c>
      <c r="AI197" s="1276">
        <f t="shared" si="83"/>
        <v>0</v>
      </c>
      <c r="AJ197" s="1279"/>
      <c r="AK197" s="1197"/>
    </row>
    <row r="198" spans="1:37" s="89" customFormat="1" ht="12.75" customHeight="1" x14ac:dyDescent="0.2">
      <c r="A198" s="462">
        <f>VLOOKUP(B198,Sheet1!$AQ$4:$AR$25,2,FALSE)</f>
        <v>0</v>
      </c>
      <c r="B198" s="95" t="str">
        <f t="shared" si="84"/>
        <v>Southampton</v>
      </c>
      <c r="C198" s="87"/>
      <c r="D198" s="158" t="e">
        <f t="shared" si="85"/>
        <v>#N/A</v>
      </c>
      <c r="E198" s="158">
        <f t="shared" si="86"/>
        <v>0.15121951219512195</v>
      </c>
      <c r="F198" s="158">
        <f t="shared" si="87"/>
        <v>0.18552036199095023</v>
      </c>
      <c r="G198" s="158">
        <f t="shared" si="90"/>
        <v>0.16751269035532995</v>
      </c>
      <c r="H198" s="160" t="e">
        <f t="shared" si="88"/>
        <v>#N/A</v>
      </c>
      <c r="I198" s="98"/>
      <c r="J198" s="98"/>
      <c r="K198" s="162"/>
      <c r="L198" s="162"/>
      <c r="M198" s="162"/>
      <c r="N198" s="162"/>
      <c r="O198" s="162"/>
      <c r="P198" s="162"/>
      <c r="Q198" s="162"/>
      <c r="R198" s="163"/>
      <c r="S198" s="155"/>
      <c r="T198" s="155"/>
      <c r="U198" s="162"/>
      <c r="V198" s="124"/>
      <c r="W198" s="140"/>
      <c r="X198" s="1200"/>
      <c r="Y198" s="722" t="str">
        <f t="shared" si="89"/>
        <v>Southampton</v>
      </c>
      <c r="Z198" s="719" t="str">
        <f>IF(Year1_Southampton Year1_Care_Leavers_16_18th_birthday="","",Year1_Southampton Year1_Care_Leavers_16_18th_birthday)</f>
        <v/>
      </c>
      <c r="AA198" s="722">
        <f>IF(Year2_Southampton Year2_Care_Leavers_16_18th_birthday="","",Year2_Southampton Year2_Care_Leavers_16_18th_birthday)</f>
        <v>31</v>
      </c>
      <c r="AB198" s="722">
        <f>IF(Year3_Southampton Year3_Care_Leavers_16_18th_birthday="","",Year3_Southampton Year3_Care_Leavers_16_18th_birthday)</f>
        <v>41</v>
      </c>
      <c r="AC198" s="722">
        <f>IF(Year4_Southampton Year4_Care_Leavers_16_18th_birthday="","",Year4_Southampton Year4_Care_Leavers_16_18th_birthday)</f>
        <v>33</v>
      </c>
      <c r="AD198" s="722" t="str">
        <f>IF(Year5_Southampton Year5_Care_Leavers_16_18th_birthday="","",Year5_Southampton Year5_Care_Leavers_16_18th_birthday)</f>
        <v/>
      </c>
      <c r="AE198" s="1276">
        <f t="shared" si="79"/>
        <v>0</v>
      </c>
      <c r="AF198" s="1276">
        <f t="shared" si="80"/>
        <v>205</v>
      </c>
      <c r="AG198" s="1276">
        <f t="shared" si="81"/>
        <v>221</v>
      </c>
      <c r="AH198" s="1276">
        <f t="shared" si="82"/>
        <v>197</v>
      </c>
      <c r="AI198" s="1276">
        <f t="shared" si="83"/>
        <v>0</v>
      </c>
      <c r="AJ198" s="1279"/>
      <c r="AK198" s="1195"/>
    </row>
    <row r="199" spans="1:37" s="89" customFormat="1" ht="12.75" customHeight="1" x14ac:dyDescent="0.2">
      <c r="A199" s="462">
        <f>VLOOKUP(B199,Sheet1!$AQ$4:$AR$25,2,FALSE)</f>
        <v>0</v>
      </c>
      <c r="B199" s="95" t="str">
        <f t="shared" si="84"/>
        <v>Surrey</v>
      </c>
      <c r="C199" s="87"/>
      <c r="D199" s="158" t="e">
        <f t="shared" si="85"/>
        <v>#N/A</v>
      </c>
      <c r="E199" s="158">
        <f t="shared" si="86"/>
        <v>0.27407407407407408</v>
      </c>
      <c r="F199" s="158">
        <f t="shared" si="87"/>
        <v>0.31742243436754175</v>
      </c>
      <c r="G199" s="158">
        <f t="shared" si="90"/>
        <v>0.41809290953545231</v>
      </c>
      <c r="H199" s="160" t="e">
        <f t="shared" si="88"/>
        <v>#N/A</v>
      </c>
      <c r="I199" s="98"/>
      <c r="J199" s="98"/>
      <c r="K199" s="162"/>
      <c r="L199" s="162"/>
      <c r="M199" s="162"/>
      <c r="N199" s="162"/>
      <c r="O199" s="162"/>
      <c r="P199" s="162"/>
      <c r="Q199" s="162"/>
      <c r="R199" s="163"/>
      <c r="S199" s="155"/>
      <c r="T199" s="155"/>
      <c r="U199" s="162"/>
      <c r="V199" s="124"/>
      <c r="W199" s="140"/>
      <c r="X199" s="1200"/>
      <c r="Y199" s="722" t="str">
        <f t="shared" si="89"/>
        <v>Surrey</v>
      </c>
      <c r="Z199" s="719" t="str">
        <f>IF(Year1_Surrey Year1_Care_Leavers_16_18th_birthday="","",Year1_Surrey Year1_Care_Leavers_16_18th_birthday)</f>
        <v/>
      </c>
      <c r="AA199" s="722">
        <f>IF(Year2_Surrey Year2_Care_Leavers_16_18th_birthday="","",Year2_Surrey Year2_Care_Leavers_16_18th_birthday)</f>
        <v>111</v>
      </c>
      <c r="AB199" s="722">
        <f>IF(Year3_Surrey Year3_Care_Leavers_16_18th_birthday="","",Year3_Surrey Year3_Care_Leavers_16_18th_birthday)</f>
        <v>133</v>
      </c>
      <c r="AC199" s="722">
        <f>IF(Year4_Surrey Year4_Care_Leavers_16_18th_birthday="","",Year4_Surrey Year4_Care_Leavers_16_18th_birthday)</f>
        <v>171</v>
      </c>
      <c r="AD199" s="722" t="str">
        <f>IF(Year5_Surrey Year5_Care_Leavers_16_18th_birthday="","",Year5_Surrey Year5_Care_Leavers_16_18th_birthday)</f>
        <v/>
      </c>
      <c r="AE199" s="1276">
        <f t="shared" si="79"/>
        <v>0</v>
      </c>
      <c r="AF199" s="1276">
        <f t="shared" si="80"/>
        <v>405</v>
      </c>
      <c r="AG199" s="1276">
        <f t="shared" si="81"/>
        <v>419</v>
      </c>
      <c r="AH199" s="1276">
        <f t="shared" si="82"/>
        <v>409</v>
      </c>
      <c r="AI199" s="1276">
        <f t="shared" si="83"/>
        <v>0</v>
      </c>
      <c r="AJ199" s="1279"/>
      <c r="AK199" s="1197"/>
    </row>
    <row r="200" spans="1:37" s="89" customFormat="1" ht="12.75" customHeight="1" x14ac:dyDescent="0.2">
      <c r="A200" s="462">
        <f>VLOOKUP(B200,Sheet1!$AQ$4:$AR$25,2,FALSE)</f>
        <v>0</v>
      </c>
      <c r="B200" s="95" t="str">
        <f t="shared" si="84"/>
        <v>Swindon</v>
      </c>
      <c r="C200" s="87"/>
      <c r="D200" s="158" t="e">
        <f t="shared" si="85"/>
        <v>#N/A</v>
      </c>
      <c r="E200" s="158">
        <f t="shared" si="86"/>
        <v>0.23741007194244604</v>
      </c>
      <c r="F200" s="158">
        <f t="shared" si="87"/>
        <v>0.28666666666666668</v>
      </c>
      <c r="G200" s="158">
        <f t="shared" si="90"/>
        <v>0.23870967741935484</v>
      </c>
      <c r="H200" s="160" t="e">
        <f t="shared" si="88"/>
        <v>#N/A</v>
      </c>
      <c r="I200" s="98"/>
      <c r="J200" s="98"/>
      <c r="K200" s="162"/>
      <c r="L200" s="162"/>
      <c r="M200" s="162"/>
      <c r="N200" s="162"/>
      <c r="O200" s="162"/>
      <c r="P200" s="162"/>
      <c r="Q200" s="162"/>
      <c r="R200" s="163"/>
      <c r="S200" s="155"/>
      <c r="T200" s="155"/>
      <c r="U200" s="162"/>
      <c r="V200" s="124"/>
      <c r="W200" s="140"/>
      <c r="X200" s="1200"/>
      <c r="Y200" s="722" t="str">
        <f t="shared" si="89"/>
        <v>Swindon</v>
      </c>
      <c r="Z200" s="719" t="str">
        <f>IF(Year1_Swindon Year1_Care_Leavers_16_18th_birthday="","",Year1_Swindon Year1_Care_Leavers_16_18th_birthday)</f>
        <v/>
      </c>
      <c r="AA200" s="722">
        <f>IF(Year2_Swindon Year2_Care_Leavers_16_18th_birthday="","",Year2_Swindon Year2_Care_Leavers_16_18th_birthday)</f>
        <v>33</v>
      </c>
      <c r="AB200" s="722">
        <f>IF(Year3_Swindon Year3_Care_Leavers_16_18th_birthday="","",Year3_Swindon Year3_Care_Leavers_16_18th_birthday)</f>
        <v>43</v>
      </c>
      <c r="AC200" s="722">
        <f>IF(Year4_Swindon Year4_Care_Leavers_16_18th_birthday="","",Year4_Swindon Year4_Care_Leavers_16_18th_birthday)</f>
        <v>37</v>
      </c>
      <c r="AD200" s="722" t="str">
        <f>IF(Year5_Swindon Year5_Care_Leavers_16_18th_birthday="","",Year5_Swindon Year5_Care_Leavers_16_18th_birthday)</f>
        <v/>
      </c>
      <c r="AE200" s="1276">
        <f t="shared" si="79"/>
        <v>0</v>
      </c>
      <c r="AF200" s="1276">
        <f t="shared" si="80"/>
        <v>139</v>
      </c>
      <c r="AG200" s="1276">
        <f t="shared" si="81"/>
        <v>150</v>
      </c>
      <c r="AH200" s="1276">
        <f t="shared" si="82"/>
        <v>155</v>
      </c>
      <c r="AI200" s="1276">
        <f t="shared" si="83"/>
        <v>0</v>
      </c>
      <c r="AJ200" s="1279"/>
      <c r="AK200" s="1195"/>
    </row>
    <row r="201" spans="1:37" s="89" customFormat="1" ht="12.75" customHeight="1" x14ac:dyDescent="0.2">
      <c r="A201" s="462">
        <f>VLOOKUP(B201,Sheet1!$AQ$4:$AR$25,2,FALSE)</f>
        <v>0</v>
      </c>
      <c r="B201" s="95" t="str">
        <f t="shared" si="84"/>
        <v>Torbay</v>
      </c>
      <c r="C201" s="87"/>
      <c r="D201" s="158" t="e">
        <f t="shared" si="85"/>
        <v>#N/A</v>
      </c>
      <c r="E201" s="158">
        <f t="shared" si="86"/>
        <v>0.2</v>
      </c>
      <c r="F201" s="158">
        <f t="shared" si="87"/>
        <v>0.22222222222222221</v>
      </c>
      <c r="G201" s="158" t="e">
        <f>IF(AND(ISNUMBER(AC201),ISNUMBER(G134)),AC201/G134,NA())</f>
        <v>#N/A</v>
      </c>
      <c r="H201" s="160" t="e">
        <f t="shared" si="88"/>
        <v>#N/A</v>
      </c>
      <c r="I201" s="98"/>
      <c r="J201" s="98"/>
      <c r="K201" s="162"/>
      <c r="L201" s="162"/>
      <c r="M201" s="162"/>
      <c r="N201" s="162"/>
      <c r="O201" s="162"/>
      <c r="P201" s="162"/>
      <c r="Q201" s="162"/>
      <c r="R201" s="163"/>
      <c r="S201" s="155"/>
      <c r="T201" s="155"/>
      <c r="U201" s="162"/>
      <c r="V201" s="124"/>
      <c r="W201" s="140"/>
      <c r="X201" s="1200"/>
      <c r="Y201" s="722" t="str">
        <f t="shared" si="89"/>
        <v>Torbay</v>
      </c>
      <c r="Z201" s="719" t="str">
        <f>IF(Year1_Torbay Year1_Care_Leavers_16_18th_birthday="","",Year1_Torbay Year1_Care_Leavers_16_18th_birthday)</f>
        <v/>
      </c>
      <c r="AA201" s="722">
        <f>IF(Year2_Torbay Year2_Care_Leavers_16_18th_birthday="","",Year2_Torbay Year2_Care_Leavers_16_18th_birthday)</f>
        <v>25</v>
      </c>
      <c r="AB201" s="722">
        <f>IF(Year3_Torbay Year3_Care_Leavers_16_18th_birthday="","",Year3_Torbay Year3_Care_Leavers_16_18th_birthday)</f>
        <v>24</v>
      </c>
      <c r="AC201" s="722" t="str">
        <f>IF(Year4_Torbay Year4_Care_Leavers_16_18th_birthday="","",Year4_Torbay Year4_Care_Leavers_16_18th_birthday)</f>
        <v>x</v>
      </c>
      <c r="AD201" s="722" t="str">
        <f>IF(Year5_Torbay Year5_Care_Leavers_16_18th_birthday="","",Year5_Torbay Year5_Care_Leavers_16_18th_birthday)</f>
        <v/>
      </c>
      <c r="AE201" s="1276">
        <f t="shared" si="79"/>
        <v>0</v>
      </c>
      <c r="AF201" s="1276">
        <f t="shared" si="80"/>
        <v>125</v>
      </c>
      <c r="AG201" s="1276">
        <f t="shared" si="81"/>
        <v>108</v>
      </c>
      <c r="AH201" s="1276">
        <f t="shared" si="82"/>
        <v>0</v>
      </c>
      <c r="AI201" s="1276">
        <f t="shared" si="83"/>
        <v>0</v>
      </c>
      <c r="AJ201" s="1279"/>
      <c r="AK201" s="1197"/>
    </row>
    <row r="202" spans="1:37" s="89" customFormat="1" ht="12.75" customHeight="1" x14ac:dyDescent="0.2">
      <c r="A202" s="462">
        <f>VLOOKUP(B202,Sheet1!$AQ$4:$AR$25,2,FALSE)</f>
        <v>0</v>
      </c>
      <c r="B202" s="95" t="str">
        <f t="shared" si="84"/>
        <v>West Berkshire</v>
      </c>
      <c r="C202" s="87"/>
      <c r="D202" s="158" t="e">
        <f t="shared" si="85"/>
        <v>#N/A</v>
      </c>
      <c r="E202" s="158">
        <f t="shared" si="86"/>
        <v>0.20289855072463769</v>
      </c>
      <c r="F202" s="158">
        <f t="shared" si="87"/>
        <v>0.44594594594594594</v>
      </c>
      <c r="G202" s="158">
        <f t="shared" si="90"/>
        <v>0.26744186046511625</v>
      </c>
      <c r="H202" s="160" t="e">
        <f t="shared" si="88"/>
        <v>#N/A</v>
      </c>
      <c r="I202" s="98"/>
      <c r="J202" s="98"/>
      <c r="K202" s="162"/>
      <c r="L202" s="162"/>
      <c r="M202" s="162"/>
      <c r="N202" s="162"/>
      <c r="O202" s="162"/>
      <c r="P202" s="162"/>
      <c r="Q202" s="162"/>
      <c r="R202" s="163"/>
      <c r="S202" s="155"/>
      <c r="T202" s="155"/>
      <c r="U202" s="162"/>
      <c r="V202" s="124"/>
      <c r="W202" s="140"/>
      <c r="X202" s="1200"/>
      <c r="Y202" s="722" t="str">
        <f t="shared" si="89"/>
        <v>West Berkshire</v>
      </c>
      <c r="Z202" s="719" t="str">
        <f>IF(Year1_West_Berkshire Year1_Care_Leavers_16_18th_birthday="","",Year1_West_Berkshire Year1_Care_Leavers_16_18th_birthday)</f>
        <v/>
      </c>
      <c r="AA202" s="722">
        <f>IF(Year2_West_Berkshire Year2_Care_Leavers_16_18th_birthday="","",Year2_West_Berkshire Year2_Care_Leavers_16_18th_birthday)</f>
        <v>14</v>
      </c>
      <c r="AB202" s="722">
        <f>IF(Year3_West_Berkshire Year3_Care_Leavers_16_18th_birthday="","",Year3_West_Berkshire Year3_Care_Leavers_16_18th_birthday)</f>
        <v>33</v>
      </c>
      <c r="AC202" s="722">
        <f>IF(Year4_West_Berkshire Year4_Care_Leavers_16_18th_birthday="","",Year4_West_Berkshire Year4_Care_Leavers_16_18th_birthday)</f>
        <v>23</v>
      </c>
      <c r="AD202" s="1229" t="str">
        <f>IF(Year5_West_Berkshire Year5_Care_Leavers_16_18th_birthday="","",Year5_West_Berkshire Year5_Care_Leavers_16_18th_birthday)</f>
        <v/>
      </c>
      <c r="AE202" s="1276">
        <f t="shared" si="79"/>
        <v>0</v>
      </c>
      <c r="AF202" s="1276">
        <f t="shared" si="80"/>
        <v>69</v>
      </c>
      <c r="AG202" s="1276">
        <f t="shared" si="81"/>
        <v>74</v>
      </c>
      <c r="AH202" s="1276">
        <f t="shared" si="82"/>
        <v>86</v>
      </c>
      <c r="AI202" s="1276">
        <f t="shared" si="83"/>
        <v>0</v>
      </c>
      <c r="AJ202" s="1279"/>
      <c r="AK202" s="1195"/>
    </row>
    <row r="203" spans="1:37" s="89" customFormat="1" ht="12.75" customHeight="1" x14ac:dyDescent="0.2">
      <c r="A203" s="462">
        <f>VLOOKUP(B203,Sheet1!$AQ$4:$AR$25,2,FALSE)</f>
        <v>0</v>
      </c>
      <c r="B203" s="95" t="str">
        <f t="shared" si="84"/>
        <v>West Sussex</v>
      </c>
      <c r="C203" s="87"/>
      <c r="D203" s="158" t="e">
        <f t="shared" si="85"/>
        <v>#N/A</v>
      </c>
      <c r="E203" s="158">
        <f t="shared" si="86"/>
        <v>0.27461139896373055</v>
      </c>
      <c r="F203" s="158">
        <f t="shared" si="87"/>
        <v>0.31092436974789917</v>
      </c>
      <c r="G203" s="158">
        <f t="shared" si="90"/>
        <v>0.31065088757396447</v>
      </c>
      <c r="H203" s="160" t="e">
        <f t="shared" si="88"/>
        <v>#N/A</v>
      </c>
      <c r="I203" s="98"/>
      <c r="J203" s="98"/>
      <c r="K203" s="162"/>
      <c r="L203" s="162"/>
      <c r="M203" s="162"/>
      <c r="N203" s="162"/>
      <c r="O203" s="162"/>
      <c r="P203" s="162"/>
      <c r="Q203" s="162"/>
      <c r="R203" s="163"/>
      <c r="S203" s="155"/>
      <c r="T203" s="155"/>
      <c r="U203" s="162"/>
      <c r="V203" s="124"/>
      <c r="W203" s="140"/>
      <c r="X203" s="1200"/>
      <c r="Y203" s="722" t="str">
        <f t="shared" si="89"/>
        <v>West Sussex</v>
      </c>
      <c r="Z203" s="719" t="str">
        <f>IF(Year1_West_Sussex Year1_Care_Leavers_16_18th_birthday="","",Year1_West_Sussex Year1_Care_Leavers_16_18th_birthday)</f>
        <v/>
      </c>
      <c r="AA203" s="722">
        <f>IF(Year2_West_Sussex Year2_Care_Leavers_16_18th_birthday="","",Year2_West_Sussex Year2_Care_Leavers_16_18th_birthday)</f>
        <v>106</v>
      </c>
      <c r="AB203" s="722">
        <f>IF(Year3_West_Sussex Year3_Care_Leavers_16_18th_birthday="","",Year3_West_Sussex Year3_Care_Leavers_16_18th_birthday)</f>
        <v>111</v>
      </c>
      <c r="AC203" s="722">
        <f>IF(Year4_West_Sussex Year4_Care_Leavers_16_18th_birthday="","",Year4_West_Sussex Year4_Care_Leavers_16_18th_birthday)</f>
        <v>105</v>
      </c>
      <c r="AD203" s="1229" t="str">
        <f>IF(Year5_West_Sussex Year5_Care_Leavers_16_18th_birthday="","",Year5_West_Sussex Year5_Care_Leavers_16_18th_birthday)</f>
        <v/>
      </c>
      <c r="AE203" s="1276">
        <f t="shared" si="79"/>
        <v>0</v>
      </c>
      <c r="AF203" s="1276">
        <f t="shared" si="80"/>
        <v>386</v>
      </c>
      <c r="AG203" s="1276">
        <f t="shared" si="81"/>
        <v>357</v>
      </c>
      <c r="AH203" s="1276">
        <f t="shared" si="82"/>
        <v>338</v>
      </c>
      <c r="AI203" s="1276">
        <f t="shared" si="83"/>
        <v>0</v>
      </c>
      <c r="AJ203" s="1279"/>
      <c r="AK203" s="1197"/>
    </row>
    <row r="204" spans="1:37" s="89" customFormat="1" ht="12.75" customHeight="1" x14ac:dyDescent="0.2">
      <c r="A204" s="462">
        <f>VLOOKUP(B204,Sheet1!$AQ$4:$AR$25,2,FALSE)</f>
        <v>0</v>
      </c>
      <c r="B204" s="95" t="str">
        <f t="shared" si="84"/>
        <v>Windsor &amp; Maidenhead</v>
      </c>
      <c r="C204" s="87"/>
      <c r="D204" s="158" t="e">
        <f t="shared" si="85"/>
        <v>#N/A</v>
      </c>
      <c r="E204" s="158">
        <f t="shared" si="86"/>
        <v>0.37209302325581395</v>
      </c>
      <c r="F204" s="158">
        <f t="shared" si="87"/>
        <v>0.4</v>
      </c>
      <c r="G204" s="158">
        <f t="shared" si="90"/>
        <v>0.40816326530612246</v>
      </c>
      <c r="H204" s="160" t="e">
        <f t="shared" si="88"/>
        <v>#N/A</v>
      </c>
      <c r="I204" s="98"/>
      <c r="J204" s="98"/>
      <c r="K204" s="162"/>
      <c r="L204" s="162"/>
      <c r="M204" s="162"/>
      <c r="N204" s="162"/>
      <c r="O204" s="162"/>
      <c r="P204" s="162"/>
      <c r="Q204" s="162"/>
      <c r="R204" s="163"/>
      <c r="S204" s="155"/>
      <c r="T204" s="155"/>
      <c r="U204" s="162"/>
      <c r="V204" s="124"/>
      <c r="W204" s="140"/>
      <c r="X204" s="1200"/>
      <c r="Y204" s="722" t="str">
        <f t="shared" si="89"/>
        <v>Windsor &amp; Maidenhead</v>
      </c>
      <c r="Z204" s="719" t="str">
        <f>IF(Year1_Windsor_Maidenhead Year1_Care_Leavers_16_18th_birthday="","",Year1_Windsor_Maidenhead Year1_Care_Leavers_16_18th_birthday)</f>
        <v/>
      </c>
      <c r="AA204" s="722">
        <f>IF(Year2_Windsor_Maidenhead Year2_Care_Leavers_16_18th_birthday="","",Year2_Windsor_Maidenhead Year2_Care_Leavers_16_18th_birthday)</f>
        <v>16</v>
      </c>
      <c r="AB204" s="722">
        <f>IF(Year3_Windsor_Maidenhead Year3_Care_Leavers_16_18th_birthday="","",Year3_Windsor_Maidenhead Year3_Care_Leavers_16_18th_birthday)</f>
        <v>14</v>
      </c>
      <c r="AC204" s="722">
        <f>IF(Year4_Windsor_Maidenhead Year4_Care_Leavers_16_18th_birthday="","",Year4_Windsor_Maidenhead Year4_Care_Leavers_16_18th_birthday)</f>
        <v>20</v>
      </c>
      <c r="AD204" s="1229" t="str">
        <f>IF(Year5_Windsor_Maidenhead Year5_Care_Leavers_16_18th_birthday="","",Year5_Windsor_Maidenhead Year5_Care_Leavers_16_18th_birthday)</f>
        <v/>
      </c>
      <c r="AE204" s="1276">
        <f t="shared" si="79"/>
        <v>0</v>
      </c>
      <c r="AF204" s="1276">
        <f t="shared" si="80"/>
        <v>43</v>
      </c>
      <c r="AG204" s="1276">
        <f t="shared" si="81"/>
        <v>35</v>
      </c>
      <c r="AH204" s="1276">
        <f t="shared" si="82"/>
        <v>49</v>
      </c>
      <c r="AI204" s="1276">
        <f t="shared" si="83"/>
        <v>0</v>
      </c>
      <c r="AJ204" s="1279"/>
      <c r="AK204" s="1195"/>
    </row>
    <row r="205" spans="1:37" s="89" customFormat="1" ht="12.75" customHeight="1" x14ac:dyDescent="0.2">
      <c r="A205" s="462">
        <f>VLOOKUP(B205,Sheet1!$AQ$4:$AR$25,2,FALSE)</f>
        <v>0</v>
      </c>
      <c r="B205" s="95" t="str">
        <f t="shared" si="84"/>
        <v>Wokingham</v>
      </c>
      <c r="C205" s="87"/>
      <c r="D205" s="158" t="e">
        <f t="shared" si="85"/>
        <v>#N/A</v>
      </c>
      <c r="E205" s="158">
        <f t="shared" si="86"/>
        <v>0.23529411764705882</v>
      </c>
      <c r="F205" s="158">
        <f t="shared" si="87"/>
        <v>0.25806451612903225</v>
      </c>
      <c r="G205" s="158">
        <f t="shared" si="90"/>
        <v>0.41666666666666669</v>
      </c>
      <c r="H205" s="160" t="e">
        <f t="shared" si="88"/>
        <v>#N/A</v>
      </c>
      <c r="I205" s="98"/>
      <c r="J205" s="98"/>
      <c r="K205" s="162"/>
      <c r="L205" s="162"/>
      <c r="M205" s="162"/>
      <c r="N205" s="162"/>
      <c r="O205" s="162"/>
      <c r="P205" s="162"/>
      <c r="Q205" s="162"/>
      <c r="R205" s="163"/>
      <c r="S205" s="155"/>
      <c r="T205" s="155"/>
      <c r="U205" s="162"/>
      <c r="V205" s="124"/>
      <c r="W205" s="140"/>
      <c r="X205" s="1200"/>
      <c r="Y205" s="722" t="str">
        <f t="shared" si="89"/>
        <v>Wokingham</v>
      </c>
      <c r="Z205" s="719" t="str">
        <f>IF(Year1_Wokingham Year1_Care_Leavers_16_18th_birthday="","",Year1_Wokingham Year1_Care_Leavers_16_18th_birthday)</f>
        <v/>
      </c>
      <c r="AA205" s="722">
        <f>IF(Year2_Wokingham Year2_Care_Leavers_16_18th_birthday="","",Year2_Wokingham Year2_Care_Leavers_16_18th_birthday)</f>
        <v>8</v>
      </c>
      <c r="AB205" s="722">
        <f>IF(Year3_Wokingham Year3_Care_Leavers_16_18th_birthday="","",Year3_Wokingham Year3_Care_Leavers_16_18th_birthday)</f>
        <v>8</v>
      </c>
      <c r="AC205" s="722">
        <f>IF(Year4_Wokingham Year4_Care_Leavers_16_18th_birthday="","",Year4_Wokingham Year4_Care_Leavers_16_18th_birthday)</f>
        <v>15</v>
      </c>
      <c r="AD205" s="1229" t="str">
        <f>IF(Year5_Wokingham Year5_Care_Leavers_16_18th_birthday="","",Year5_Wokingham Year5_Care_Leavers_16_18th_birthday)</f>
        <v/>
      </c>
      <c r="AE205" s="1276">
        <f t="shared" si="79"/>
        <v>0</v>
      </c>
      <c r="AF205" s="1276">
        <f t="shared" si="80"/>
        <v>34</v>
      </c>
      <c r="AG205" s="1276">
        <f t="shared" si="81"/>
        <v>31</v>
      </c>
      <c r="AH205" s="1276">
        <f t="shared" si="82"/>
        <v>36</v>
      </c>
      <c r="AI205" s="1276">
        <f t="shared" si="83"/>
        <v>0</v>
      </c>
      <c r="AJ205" s="1279"/>
      <c r="AK205" s="1197"/>
    </row>
    <row r="206" spans="1:37" s="89" customFormat="1" ht="12.75" customHeight="1" x14ac:dyDescent="0.2">
      <c r="A206" s="123"/>
      <c r="B206" s="131" t="str">
        <f t="shared" si="84"/>
        <v>South East</v>
      </c>
      <c r="C206" s="87"/>
      <c r="D206" s="159" t="e">
        <f>IF(AND(ISNUMBER(Z206),ISNUMBER(AE206)),Z206/AE206,NA())</f>
        <v>#N/A</v>
      </c>
      <c r="E206" s="159">
        <f t="shared" ref="E206:E207" si="91">IF(AND(ISNUMBER(AA206),ISNUMBER(E139)),AA206/E139,NA())</f>
        <v>0.26881720430107525</v>
      </c>
      <c r="F206" s="159">
        <f t="shared" ref="F206:F207" si="92">IF(AND(ISNUMBER(AB206),ISNUMBER(F139)),AB206/F139,NA())</f>
        <v>0.31612903225806449</v>
      </c>
      <c r="G206" s="159">
        <f t="shared" ref="G206:G207" si="93">IF(AND(ISNUMBER(AC206),ISNUMBER(G139)),AC206/G139,NA())</f>
        <v>0.33642691415313225</v>
      </c>
      <c r="H206" s="161" t="e">
        <f t="shared" ref="H206:H207" si="94">IF(AND(ISNUMBER(AD206),ISNUMBER(H139)),AD206/H139,NA())</f>
        <v>#N/A</v>
      </c>
      <c r="I206" s="98"/>
      <c r="J206" s="98"/>
      <c r="K206" s="164"/>
      <c r="L206" s="164"/>
      <c r="M206" s="164"/>
      <c r="N206" s="164"/>
      <c r="O206" s="164"/>
      <c r="P206" s="164"/>
      <c r="Q206" s="164"/>
      <c r="R206" s="165"/>
      <c r="S206" s="155"/>
      <c r="T206" s="155"/>
      <c r="U206" s="166"/>
      <c r="V206" s="124"/>
      <c r="W206" s="140"/>
      <c r="X206" s="1200"/>
      <c r="Y206" s="722" t="str">
        <f t="shared" si="89"/>
        <v>South East</v>
      </c>
      <c r="Z206" s="722" t="str">
        <f>IF(Year1_SouthEast Year1_Care_Leavers_16_18th_birthday="","",Year1_SouthEast Year1_Care_Leavers_16_18th_birthday)</f>
        <v/>
      </c>
      <c r="AA206" s="722">
        <f>IF(Year2_SouthEast Year2_Care_Leavers_16_18th_birthday="","",Year2_SouthEast Year2_Care_Leavers_16_18th_birthday)</f>
        <v>1250</v>
      </c>
      <c r="AB206" s="722">
        <f>IF(Year3_SouthEast Year3_Care_Leavers_16_18th_birthday="","",Year3_SouthEast Year3_Care_Leavers_16_18th_birthday)</f>
        <v>1470</v>
      </c>
      <c r="AC206" s="722">
        <f>IF(Year4_SouthEast Year4_Care_Leavers_16_18th_birthday="","",Year4_SouthEast Year4_Care_Leavers_16_18th_birthday)</f>
        <v>1450</v>
      </c>
      <c r="AD206" s="722" t="str">
        <f>IF(Year5_SouthEast Year5_Care_Leavers_16_18th_birthday="","",Year5_SouthEast Year5_Care_Leavers_16_18th_birthday)</f>
        <v/>
      </c>
      <c r="AE206" s="1282" t="e">
        <f>IF(SUM(AE184:AE196,AE198:AE199,AE202:AE205)&gt;0,SUM(AE184:AE196,AE198:AE199,AE202:AE205),NA())</f>
        <v>#N/A</v>
      </c>
      <c r="AF206" s="1282">
        <f t="shared" ref="AF206:AI206" si="95">IF(SUM(AF184:AF196,AF198:AF199,AF202:AF205)&gt;0,SUM(AF184:AF196,AF198:AF199,AF202:AF205),NA())</f>
        <v>4650</v>
      </c>
      <c r="AG206" s="1282">
        <f t="shared" si="95"/>
        <v>4649</v>
      </c>
      <c r="AH206" s="1282">
        <f t="shared" si="95"/>
        <v>4309</v>
      </c>
      <c r="AI206" s="1282" t="e">
        <f t="shared" si="95"/>
        <v>#N/A</v>
      </c>
      <c r="AJ206" s="1279"/>
      <c r="AK206" s="1195"/>
    </row>
    <row r="207" spans="1:37" s="89" customFormat="1" ht="12.75" customHeight="1" x14ac:dyDescent="0.2">
      <c r="A207" s="123"/>
      <c r="B207" s="318" t="str">
        <f t="shared" si="84"/>
        <v>England</v>
      </c>
      <c r="C207" s="87"/>
      <c r="D207" s="344" t="e">
        <f t="shared" ref="D207" si="96">IF(AND(ISNUMBER(Z207),ISNUMBER(D140)),Z207/D140,NA())</f>
        <v>#N/A</v>
      </c>
      <c r="E207" s="344">
        <f t="shared" si="91"/>
        <v>0.25109855618330196</v>
      </c>
      <c r="F207" s="344">
        <f t="shared" si="92"/>
        <v>0.27802547770700636</v>
      </c>
      <c r="G207" s="344">
        <f t="shared" si="93"/>
        <v>0.30815307820299503</v>
      </c>
      <c r="H207" s="345" t="e">
        <f t="shared" si="94"/>
        <v>#N/A</v>
      </c>
      <c r="I207" s="98"/>
      <c r="J207" s="98"/>
      <c r="K207" s="164"/>
      <c r="L207" s="164"/>
      <c r="M207" s="164"/>
      <c r="N207" s="164"/>
      <c r="O207" s="164"/>
      <c r="P207" s="164"/>
      <c r="Q207" s="164"/>
      <c r="R207" s="165"/>
      <c r="S207" s="155"/>
      <c r="T207" s="155"/>
      <c r="U207" s="166"/>
      <c r="V207" s="124"/>
      <c r="W207" s="140"/>
      <c r="X207" s="1200"/>
      <c r="Y207" s="722" t="str">
        <f t="shared" si="89"/>
        <v>England</v>
      </c>
      <c r="Z207" s="724" t="str">
        <f>IF(Year1_England Year1_Care_Leavers_16_18th_birthday="","",Year1_England Year1_Care_Leavers_16_18th_birthday)</f>
        <v/>
      </c>
      <c r="AA207" s="724">
        <f>IF(Year2_England Year2_Care_Leavers_16_18th_birthday="","",Year2_England Year2_Care_Leavers_16_18th_birthday)</f>
        <v>8000</v>
      </c>
      <c r="AB207" s="722">
        <f>IF(Year3_England Year3_Care_Leavers_16_18th_birthday="","",Year3_England Year3_Care_Leavers_16_18th_birthday)</f>
        <v>8730</v>
      </c>
      <c r="AC207" s="722">
        <f>IF(Year4_England Year4_Care_Leavers_16_18th_birthday="","",Year4_England Year4_Care_Leavers_16_18th_birthday)</f>
        <v>9260</v>
      </c>
      <c r="AD207" s="1229" t="str">
        <f>IF(Year5_England Year5_Care_Leavers_16_18th_birthday="","",Year5_England Year5_Care_Leavers_16_18th_birthday)</f>
        <v/>
      </c>
      <c r="AE207" s="1276">
        <f>IF(ISNUMBER(Z207),D140,0)</f>
        <v>0</v>
      </c>
      <c r="AF207" s="1276">
        <f>IF(ISNUMBER(AA207),E140,0)</f>
        <v>31860</v>
      </c>
      <c r="AG207" s="1276">
        <f>IF(ISNUMBER(AB207),F140,0)</f>
        <v>31400</v>
      </c>
      <c r="AH207" s="1276">
        <f>IF(ISNUMBER(AC207),G140,0)</f>
        <v>30050</v>
      </c>
      <c r="AI207" s="1276">
        <f>IF(ISNUMBER(AD207),H140,0)</f>
        <v>0</v>
      </c>
      <c r="AJ207" s="1279"/>
      <c r="AK207" s="1197"/>
    </row>
    <row r="208" spans="1:37" s="89" customFormat="1" ht="7.5" customHeight="1" x14ac:dyDescent="0.2">
      <c r="A208" s="286"/>
      <c r="B208" s="98"/>
      <c r="C208" s="98"/>
      <c r="D208" s="98"/>
      <c r="E208" s="98"/>
      <c r="F208" s="98"/>
      <c r="G208" s="98"/>
      <c r="H208" s="98"/>
      <c r="I208" s="98"/>
      <c r="J208" s="98"/>
      <c r="K208" s="164"/>
      <c r="L208" s="164"/>
      <c r="M208" s="164"/>
      <c r="N208" s="164"/>
      <c r="O208" s="164"/>
      <c r="P208" s="164"/>
      <c r="Q208" s="164"/>
      <c r="R208" s="165"/>
      <c r="S208" s="155"/>
      <c r="T208" s="155"/>
      <c r="U208" s="166"/>
      <c r="V208" s="124"/>
      <c r="W208" s="140"/>
      <c r="X208" s="1200"/>
      <c r="Y208" s="1276"/>
      <c r="Z208" s="1276"/>
      <c r="AA208" s="1276"/>
      <c r="AB208" s="1276"/>
      <c r="AC208" s="1283"/>
      <c r="AD208" s="1283"/>
      <c r="AE208" s="472"/>
      <c r="AF208" s="199"/>
      <c r="AG208" s="199"/>
      <c r="AH208" s="199"/>
      <c r="AI208" s="1284"/>
      <c r="AJ208" s="199"/>
      <c r="AK208" s="1197"/>
    </row>
    <row r="209" spans="1:51" s="83" customFormat="1" ht="38.25" customHeight="1" x14ac:dyDescent="0.2">
      <c r="A209" s="213"/>
      <c r="B209" s="385"/>
      <c r="C209" s="385"/>
      <c r="D209" s="385"/>
      <c r="E209" s="385"/>
      <c r="F209" s="385"/>
      <c r="G209" s="385"/>
      <c r="H209" s="385"/>
      <c r="I209" s="385"/>
      <c r="J209" s="168"/>
      <c r="K209" s="168"/>
      <c r="L209" s="168"/>
      <c r="M209" s="168"/>
      <c r="N209" s="168"/>
      <c r="O209" s="168"/>
      <c r="P209" s="168"/>
      <c r="Q209" s="168"/>
      <c r="R209" s="137"/>
      <c r="S209" s="168"/>
      <c r="T209" s="168"/>
      <c r="U209" s="168"/>
      <c r="V209" s="119"/>
      <c r="W209" s="138"/>
      <c r="X209" s="1194"/>
      <c r="Y209" s="1276"/>
      <c r="Z209" s="1276"/>
      <c r="AA209" s="1276"/>
      <c r="AB209" s="1276"/>
      <c r="AC209" s="1276"/>
      <c r="AD209" s="1283"/>
      <c r="AE209" s="472"/>
      <c r="AF209" s="179"/>
      <c r="AG209" s="179"/>
      <c r="AH209" s="179"/>
      <c r="AI209" s="1276"/>
      <c r="AJ209" s="179"/>
      <c r="AK209" s="1195"/>
    </row>
    <row r="210" spans="1:51" s="83" customFormat="1" ht="39" customHeight="1" x14ac:dyDescent="0.2">
      <c r="A210" s="213"/>
      <c r="B210" s="385"/>
      <c r="C210" s="385"/>
      <c r="D210" s="385"/>
      <c r="E210" s="385"/>
      <c r="F210" s="385"/>
      <c r="G210" s="385"/>
      <c r="H210" s="385"/>
      <c r="I210" s="385"/>
      <c r="J210" s="168"/>
      <c r="K210" s="168"/>
      <c r="L210" s="168"/>
      <c r="M210" s="168"/>
      <c r="N210" s="168"/>
      <c r="O210" s="168"/>
      <c r="P210" s="168"/>
      <c r="Q210" s="168"/>
      <c r="R210" s="137"/>
      <c r="S210" s="168"/>
      <c r="T210" s="168"/>
      <c r="U210" s="168"/>
      <c r="V210" s="119"/>
      <c r="W210" s="138"/>
      <c r="X210" s="1194"/>
      <c r="Y210" s="1276"/>
      <c r="Z210" s="1276"/>
      <c r="AA210" s="1276"/>
      <c r="AB210" s="1276"/>
      <c r="AC210" s="1276"/>
      <c r="AD210" s="1276"/>
      <c r="AE210" s="472"/>
      <c r="AF210" s="179"/>
      <c r="AG210" s="179"/>
      <c r="AH210" s="179"/>
      <c r="AI210" s="1276"/>
      <c r="AJ210" s="179"/>
      <c r="AK210" s="1195"/>
    </row>
    <row r="211" spans="1:51" s="83" customFormat="1" ht="38.25" customHeight="1" x14ac:dyDescent="0.2">
      <c r="A211" s="213"/>
      <c r="B211" s="385"/>
      <c r="C211" s="385"/>
      <c r="D211" s="385"/>
      <c r="E211" s="385"/>
      <c r="F211" s="385"/>
      <c r="G211" s="385"/>
      <c r="H211" s="385"/>
      <c r="I211" s="385"/>
      <c r="J211" s="168"/>
      <c r="K211" s="168"/>
      <c r="L211" s="168"/>
      <c r="M211" s="168"/>
      <c r="N211" s="168"/>
      <c r="O211" s="168"/>
      <c r="P211" s="168"/>
      <c r="Q211" s="168"/>
      <c r="R211" s="137"/>
      <c r="S211" s="168"/>
      <c r="T211" s="168"/>
      <c r="U211" s="168"/>
      <c r="V211" s="119"/>
      <c r="W211" s="138"/>
      <c r="X211" s="1194"/>
      <c r="Y211" s="1276"/>
      <c r="Z211" s="1276"/>
      <c r="AA211" s="1276"/>
      <c r="AB211" s="1276"/>
      <c r="AC211" s="1276"/>
      <c r="AD211" s="1276"/>
      <c r="AE211" s="472"/>
      <c r="AF211" s="179"/>
      <c r="AG211" s="179"/>
      <c r="AH211" s="179"/>
      <c r="AI211" s="1276"/>
      <c r="AJ211" s="179"/>
      <c r="AK211" s="1195"/>
    </row>
    <row r="212" spans="1:51" s="83" customFormat="1" ht="7.5" customHeight="1" x14ac:dyDescent="0.2">
      <c r="A212" s="120"/>
      <c r="B212" s="18"/>
      <c r="C212" s="18"/>
      <c r="D212" s="17"/>
      <c r="E212" s="17"/>
      <c r="F212" s="17"/>
      <c r="G212" s="17"/>
      <c r="H212" s="17"/>
      <c r="I212" s="17"/>
      <c r="J212" s="13"/>
      <c r="K212" s="19"/>
      <c r="L212" s="19"/>
      <c r="M212" s="19"/>
      <c r="N212" s="19"/>
      <c r="O212" s="19"/>
      <c r="P212" s="19"/>
      <c r="Q212" s="19"/>
      <c r="R212" s="19"/>
      <c r="S212" s="19"/>
      <c r="T212" s="19"/>
      <c r="U212" s="20"/>
      <c r="V212" s="119"/>
      <c r="W212" s="138"/>
      <c r="X212" s="1194"/>
      <c r="Y212" s="1276"/>
      <c r="Z212" s="1284"/>
      <c r="AA212" s="1276"/>
      <c r="AB212" s="1276"/>
      <c r="AC212" s="1276"/>
      <c r="AD212" s="1276"/>
      <c r="AE212" s="1276"/>
      <c r="AF212" s="1276"/>
      <c r="AG212" s="1276"/>
      <c r="AH212" s="1276"/>
      <c r="AI212" s="1276"/>
      <c r="AJ212" s="179"/>
      <c r="AK212" s="1196"/>
      <c r="AL212" s="76"/>
      <c r="AM212" s="76"/>
      <c r="AN212" s="76"/>
      <c r="AO212" s="76"/>
      <c r="AP212" s="76"/>
      <c r="AQ212" s="76"/>
      <c r="AR212" s="76"/>
    </row>
    <row r="213" spans="1:51" s="83" customFormat="1" ht="15" customHeight="1" x14ac:dyDescent="0.2">
      <c r="A213" s="1399"/>
      <c r="B213" s="1421"/>
      <c r="C213" s="1421"/>
      <c r="D213" s="1421"/>
      <c r="E213" s="1421"/>
      <c r="F213" s="1421"/>
      <c r="G213" s="1421"/>
      <c r="H213" s="1421"/>
      <c r="I213" s="1421"/>
      <c r="J213" s="1421"/>
      <c r="K213" s="1421"/>
      <c r="L213" s="1421"/>
      <c r="M213" s="1421"/>
      <c r="N213" s="1421"/>
      <c r="O213" s="1421"/>
      <c r="P213" s="1421"/>
      <c r="Q213" s="1421"/>
      <c r="R213" s="1421"/>
      <c r="S213" s="1421"/>
      <c r="T213" s="1421"/>
      <c r="U213" s="1421"/>
      <c r="V213" s="1422"/>
      <c r="W213" s="138"/>
      <c r="X213" s="1194"/>
      <c r="Y213" s="1276"/>
      <c r="Z213" s="1276"/>
      <c r="AA213" s="1276"/>
      <c r="AB213" s="1276"/>
      <c r="AC213" s="1276"/>
      <c r="AD213" s="1276"/>
      <c r="AE213" s="1276"/>
      <c r="AF213" s="1276"/>
      <c r="AG213" s="1276"/>
      <c r="AH213" s="1276"/>
      <c r="AI213" s="1276"/>
      <c r="AJ213" s="1276"/>
      <c r="AK213" s="1195"/>
      <c r="AT213" s="76"/>
    </row>
    <row r="214" spans="1:51" s="83" customFormat="1" x14ac:dyDescent="0.2">
      <c r="A214" s="1428" t="str">
        <f>Home!$A$40</f>
        <v>LA's provide quarterly data on the condition that it is used by the benchmarking group for internal reporting only. Please DO NOT share other LA's data with any external partners or the public</v>
      </c>
      <c r="B214" s="1429"/>
      <c r="C214" s="1429"/>
      <c r="D214" s="1429"/>
      <c r="E214" s="1429"/>
      <c r="F214" s="1429"/>
      <c r="G214" s="1429"/>
      <c r="H214" s="1429"/>
      <c r="I214" s="1430"/>
      <c r="J214" s="1429"/>
      <c r="K214" s="1429"/>
      <c r="L214" s="1429"/>
      <c r="M214" s="1429"/>
      <c r="N214" s="1429"/>
      <c r="O214" s="1429"/>
      <c r="P214" s="1431"/>
      <c r="Q214" s="1429"/>
      <c r="R214" s="1429"/>
      <c r="S214" s="1429"/>
      <c r="T214" s="1430"/>
      <c r="U214" s="1429"/>
      <c r="V214" s="1432"/>
      <c r="W214" s="138"/>
      <c r="X214" s="1194"/>
      <c r="Y214" s="1276"/>
      <c r="Z214" s="1276"/>
      <c r="AA214" s="1276"/>
      <c r="AB214" s="1276"/>
      <c r="AC214" s="1276"/>
      <c r="AD214" s="1276"/>
      <c r="AE214" s="1276"/>
      <c r="AF214" s="1276"/>
      <c r="AG214" s="1276"/>
      <c r="AH214" s="1276"/>
      <c r="AI214" s="1276"/>
      <c r="AJ214" s="1276"/>
      <c r="AK214" s="1195"/>
      <c r="AT214" s="76"/>
    </row>
    <row r="215" spans="1:51" ht="11.25" customHeight="1" x14ac:dyDescent="0.2">
      <c r="A215" s="114"/>
      <c r="B215" s="115"/>
      <c r="C215" s="115"/>
      <c r="D215" s="115"/>
      <c r="E215" s="115"/>
      <c r="F215" s="115"/>
      <c r="G215" s="115"/>
      <c r="H215" s="115"/>
      <c r="I215" s="115"/>
      <c r="J215" s="115"/>
      <c r="K215" s="115"/>
      <c r="L215" s="116"/>
      <c r="M215" s="115"/>
      <c r="N215" s="115"/>
      <c r="O215" s="115"/>
      <c r="P215" s="115"/>
      <c r="Q215" s="115"/>
      <c r="R215" s="115"/>
      <c r="S215" s="115"/>
      <c r="T215" s="115"/>
      <c r="U215" s="115"/>
      <c r="V215" s="216"/>
      <c r="W215" s="138"/>
      <c r="X215" s="64"/>
      <c r="Y215" s="83"/>
      <c r="Z215" s="83"/>
      <c r="AA215" s="83"/>
      <c r="AB215" s="191"/>
      <c r="AC215" s="183"/>
      <c r="AD215" s="83"/>
      <c r="AE215" s="83"/>
      <c r="AF215" s="83"/>
      <c r="AG215" s="83"/>
      <c r="AH215" s="83"/>
      <c r="AI215" s="83"/>
      <c r="AJ215" s="83"/>
      <c r="AK215" s="153"/>
    </row>
    <row r="216" spans="1:51" s="78" customFormat="1" ht="15" customHeight="1" x14ac:dyDescent="0.2">
      <c r="A216" s="121"/>
      <c r="B216" s="1442" t="s">
        <v>783</v>
      </c>
      <c r="C216" s="1442"/>
      <c r="D216" s="1442"/>
      <c r="E216" s="1442"/>
      <c r="F216" s="1442"/>
      <c r="G216" s="1442"/>
      <c r="H216" s="1442"/>
      <c r="I216" s="1442"/>
      <c r="J216" s="1442"/>
      <c r="K216" s="220"/>
      <c r="L216" s="220"/>
      <c r="M216" s="69"/>
      <c r="N216" s="69"/>
      <c r="O216" s="69"/>
      <c r="P216" s="473"/>
      <c r="Q216" s="69"/>
      <c r="R216" s="69"/>
      <c r="S216" s="69"/>
      <c r="T216" s="69"/>
      <c r="U216" s="15"/>
      <c r="V216" s="217"/>
      <c r="W216" s="138"/>
      <c r="X216" s="64"/>
      <c r="Y216" s="374" t="s">
        <v>228</v>
      </c>
      <c r="Z216" s="375"/>
      <c r="AC216" s="376"/>
      <c r="AD216" s="376"/>
      <c r="AE216" s="376"/>
      <c r="AF216" s="83"/>
      <c r="AG216" s="83"/>
      <c r="AH216" s="83"/>
      <c r="AI216" s="83"/>
      <c r="AJ216" s="83"/>
      <c r="AK216" s="153"/>
      <c r="AL216" s="76"/>
      <c r="AM216" s="76"/>
      <c r="AN216" s="76"/>
      <c r="AO216" s="76"/>
      <c r="AP216" s="76"/>
      <c r="AQ216" s="76"/>
      <c r="AR216" s="76"/>
      <c r="AS216" s="76"/>
      <c r="AT216" s="76"/>
      <c r="AU216" s="76"/>
      <c r="AV216" s="76"/>
      <c r="AW216" s="76"/>
      <c r="AX216" s="76"/>
      <c r="AY216" s="76"/>
    </row>
    <row r="217" spans="1:51" ht="15" customHeight="1" x14ac:dyDescent="0.2">
      <c r="A217" s="120"/>
      <c r="B217" s="1442"/>
      <c r="C217" s="1442"/>
      <c r="D217" s="1442"/>
      <c r="E217" s="1442"/>
      <c r="F217" s="1442"/>
      <c r="G217" s="1442"/>
      <c r="H217" s="1442"/>
      <c r="I217" s="1442"/>
      <c r="J217" s="1442"/>
      <c r="K217" s="220"/>
      <c r="L217" s="220"/>
      <c r="M217" s="69"/>
      <c r="N217" s="69"/>
      <c r="O217" s="69"/>
      <c r="P217" s="473"/>
      <c r="Q217" s="69"/>
      <c r="R217" s="69"/>
      <c r="S217" s="10"/>
      <c r="T217" s="69"/>
      <c r="U217" s="9"/>
      <c r="V217" s="235"/>
      <c r="W217" s="138"/>
      <c r="X217" s="64"/>
      <c r="Y217" s="376"/>
      <c r="Z217" s="375"/>
      <c r="AA217" s="76"/>
      <c r="AB217" s="76"/>
      <c r="AC217" s="376"/>
      <c r="AD217" s="376"/>
      <c r="AE217" s="376"/>
      <c r="AF217" s="83"/>
      <c r="AG217" s="83"/>
      <c r="AH217" s="83"/>
      <c r="AI217" s="83"/>
      <c r="AJ217" s="83"/>
      <c r="AK217" s="153"/>
    </row>
    <row r="218" spans="1:51" s="89" customFormat="1" ht="13.5" customHeight="1" x14ac:dyDescent="0.2">
      <c r="A218" s="123"/>
      <c r="B218" s="1419" t="s">
        <v>190</v>
      </c>
      <c r="C218" s="979"/>
      <c r="D218" s="755" t="str">
        <f>Sheet1!$D$25</f>
        <v>2014-15</v>
      </c>
      <c r="E218" s="756" t="str">
        <f>Sheet1!$E$25</f>
        <v>2015-16</v>
      </c>
      <c r="F218" s="756" t="str">
        <f>Sheet1!$F$25</f>
        <v>2016-17</v>
      </c>
      <c r="G218" s="756" t="str">
        <f>Sheet1!$G$25</f>
        <v>2017-18</v>
      </c>
      <c r="H218" s="757" t="str">
        <f>Sheet1!$H$25</f>
        <v>2018-19</v>
      </c>
      <c r="I218" s="61"/>
      <c r="J218" s="98"/>
      <c r="K218" s="98"/>
      <c r="L218" s="98"/>
      <c r="M218" s="61"/>
      <c r="N218" s="61"/>
      <c r="O218" s="61"/>
      <c r="P218" s="61"/>
      <c r="Q218" s="61"/>
      <c r="R218" s="475"/>
      <c r="S218" s="475"/>
      <c r="T218" s="476"/>
      <c r="U218" s="87"/>
      <c r="V218" s="1006"/>
      <c r="W218" s="138"/>
      <c r="X218" s="147"/>
      <c r="Y218" s="365"/>
      <c r="Z218" s="463" t="str">
        <f>IF(Sheet1!$C$3="Annual","",Sheet1!$D$26)</f>
        <v/>
      </c>
      <c r="AA218" s="463" t="str">
        <f>IF(Sheet1!$C$3="Annual","",Sheet1!$E$26)</f>
        <v/>
      </c>
      <c r="AB218" s="463" t="str">
        <f>IF(Sheet1!$C$3="Annual","",Sheet1!$F$26)</f>
        <v/>
      </c>
      <c r="AC218" s="463" t="str">
        <f>IF(Sheet1!$C$3="Annual","",Sheet1!$G$26)</f>
        <v/>
      </c>
      <c r="AD218" s="463" t="str">
        <f>IF(Sheet1!$C$3="Annual","",Sheet1!$H$26)</f>
        <v/>
      </c>
      <c r="AE218" s="376"/>
      <c r="AF218" s="83"/>
      <c r="AG218" s="83"/>
      <c r="AH218" s="83"/>
      <c r="AI218" s="83"/>
      <c r="AJ218" s="83"/>
      <c r="AK218" s="153"/>
      <c r="AL218" s="76"/>
      <c r="AM218" s="76"/>
      <c r="AN218" s="76"/>
      <c r="AO218" s="76"/>
      <c r="AP218" s="76"/>
      <c r="AQ218" s="76"/>
      <c r="AR218" s="76"/>
      <c r="AS218" s="76"/>
      <c r="AT218" s="76"/>
      <c r="AU218" s="76"/>
      <c r="AV218" s="76"/>
      <c r="AW218" s="76"/>
      <c r="AX218" s="76"/>
      <c r="AY218" s="76"/>
    </row>
    <row r="219" spans="1:51" s="89" customFormat="1" ht="13.5" customHeight="1" x14ac:dyDescent="0.2">
      <c r="A219" s="286"/>
      <c r="B219" s="1420"/>
      <c r="C219" s="87"/>
      <c r="D219" s="758" t="e">
        <f>Sheet1!$D$26</f>
        <v>#N/A</v>
      </c>
      <c r="E219" s="758" t="e">
        <f>Sheet1!$E$26</f>
        <v>#N/A</v>
      </c>
      <c r="F219" s="758" t="e">
        <f>Sheet1!$F$26</f>
        <v>#N/A</v>
      </c>
      <c r="G219" s="758" t="e">
        <f>Sheet1!$G$26</f>
        <v>#N/A</v>
      </c>
      <c r="H219" s="759" t="e">
        <f>Sheet1!$H$26</f>
        <v>#N/A</v>
      </c>
      <c r="I219" s="61"/>
      <c r="J219" s="98"/>
      <c r="K219" s="98"/>
      <c r="L219" s="98"/>
      <c r="M219" s="61"/>
      <c r="N219" s="61"/>
      <c r="O219" s="61"/>
      <c r="P219" s="61"/>
      <c r="Q219" s="61"/>
      <c r="R219" s="982"/>
      <c r="S219" s="982"/>
      <c r="T219" s="983"/>
      <c r="U219" s="87"/>
      <c r="V219" s="1006"/>
      <c r="W219" s="138"/>
      <c r="X219" s="147"/>
      <c r="Y219" s="365"/>
      <c r="Z219" s="463" t="str">
        <f>Sheet1!$D$25</f>
        <v>2014-15</v>
      </c>
      <c r="AA219" s="463" t="str">
        <f>Sheet1!$E$25</f>
        <v>2015-16</v>
      </c>
      <c r="AB219" s="463" t="str">
        <f>Sheet1!$F$25</f>
        <v>2016-17</v>
      </c>
      <c r="AC219" s="463" t="str">
        <f>Sheet1!$G$25</f>
        <v>2017-18</v>
      </c>
      <c r="AD219" s="463" t="str">
        <f>Sheet1!$H$25</f>
        <v>2018-19</v>
      </c>
      <c r="AE219" s="376"/>
      <c r="AF219" s="83"/>
      <c r="AG219" s="83"/>
      <c r="AH219" s="83"/>
      <c r="AI219" s="83"/>
      <c r="AJ219" s="83"/>
      <c r="AK219" s="153"/>
      <c r="AL219" s="76"/>
      <c r="AM219" s="76"/>
      <c r="AN219" s="76"/>
      <c r="AO219" s="76"/>
      <c r="AP219" s="76"/>
      <c r="AQ219" s="76"/>
      <c r="AR219" s="76"/>
      <c r="AS219" s="76"/>
      <c r="AT219" s="76"/>
      <c r="AU219" s="76"/>
      <c r="AV219" s="76"/>
      <c r="AW219" s="76"/>
      <c r="AX219" s="76"/>
      <c r="AY219" s="76"/>
    </row>
    <row r="220" spans="1:51" s="89" customFormat="1" ht="12.75" customHeight="1" x14ac:dyDescent="0.2">
      <c r="A220" s="525">
        <f>VLOOKUP(B220,Sheet1!$AQ$4:$AR$25,2,FALSE)</f>
        <v>0</v>
      </c>
      <c r="B220" s="95" t="str">
        <f>Adoption!B78</f>
        <v>Bracknell Forest</v>
      </c>
      <c r="C220" s="87"/>
      <c r="D220" s="158" t="e">
        <f>IF(AND(ISNUMBER(D117),ISNUMBER(Z220)),Z220/D117,NA())</f>
        <v>#N/A</v>
      </c>
      <c r="E220" s="158" t="e">
        <f t="shared" ref="E220:H220" si="97">IF(AND(ISNUMBER(E117),ISNUMBER(AA220)),AA220/E117,NA())</f>
        <v>#N/A</v>
      </c>
      <c r="F220" s="158" t="e">
        <f t="shared" si="97"/>
        <v>#N/A</v>
      </c>
      <c r="G220" s="158" t="e">
        <f t="shared" si="97"/>
        <v>#N/A</v>
      </c>
      <c r="H220" s="160" t="e">
        <f t="shared" si="97"/>
        <v>#N/A</v>
      </c>
      <c r="I220" s="425"/>
      <c r="J220" s="98"/>
      <c r="K220" s="98"/>
      <c r="L220" s="98"/>
      <c r="M220" s="162"/>
      <c r="N220" s="162"/>
      <c r="O220" s="162"/>
      <c r="P220" s="162"/>
      <c r="Q220" s="162"/>
      <c r="R220" s="162"/>
      <c r="S220" s="163"/>
      <c r="T220" s="162"/>
      <c r="U220" s="87"/>
      <c r="V220" s="1006"/>
      <c r="W220" s="138"/>
      <c r="X220" s="147"/>
      <c r="Y220" s="365" t="str">
        <f t="shared" ref="Y220:Y243" si="98">B220</f>
        <v>Bracknell Forest</v>
      </c>
      <c r="Z220" s="365" t="str">
        <f>IF(Year1_Bracknell_Forest Year1_ROSGO_ceased_LAC_CAO="","",Year1_Bracknell_Forest Year1_ROSGO_ceased_LAC_CAO)</f>
        <v>x</v>
      </c>
      <c r="AA220" s="365" t="str">
        <f>IF(Year2_Bracknell_Forest Year2_ROSGO_ceased_LAC_CAO="","",Year2_Bracknell_Forest Year2_ROSGO_ceased_LAC_CAO)</f>
        <v>x</v>
      </c>
      <c r="AB220" s="365" t="str">
        <f>IF(Year3_Bracknell_Forest Year3_ROSGO_ceased_LAC_CAO="","",Year3_Bracknell_Forest Year3_ROSGO_ceased_LAC_CAO)</f>
        <v>x</v>
      </c>
      <c r="AC220" s="365" t="str">
        <f>IF(Year4_Bracknell_Forest Year4_ROSGO_ceased_LAC_CAO="","",Year4_Bracknell_Forest Year4_ROSGO_ceased_LAC_CAO)</f>
        <v>x</v>
      </c>
      <c r="AD220" s="365" t="str">
        <f>IF(Year5_Bracknell_Forest Year5_ROSGO_ceased_LAC_CAO="","",Year5_Bracknell_Forest Year5_ROSGO_ceased_LAC_CAO)</f>
        <v>x</v>
      </c>
      <c r="AE220" s="376"/>
      <c r="AF220" s="83"/>
      <c r="AG220" s="83"/>
      <c r="AH220" s="83"/>
      <c r="AI220" s="83"/>
      <c r="AJ220" s="83"/>
      <c r="AK220" s="153"/>
      <c r="AL220" s="76"/>
      <c r="AM220" s="76"/>
      <c r="AN220" s="76"/>
      <c r="AO220" s="76"/>
      <c r="AP220" s="76"/>
      <c r="AQ220" s="76"/>
      <c r="AR220" s="76"/>
      <c r="AS220" s="76"/>
      <c r="AT220" s="76"/>
      <c r="AU220" s="76"/>
      <c r="AV220" s="76"/>
      <c r="AW220" s="76"/>
      <c r="AX220" s="76"/>
      <c r="AY220" s="76"/>
    </row>
    <row r="221" spans="1:51" s="89" customFormat="1" ht="12.75" customHeight="1" x14ac:dyDescent="0.2">
      <c r="A221" s="525">
        <f>VLOOKUP(B221,Sheet1!$AQ$4:$AR$25,2,FALSE)</f>
        <v>0</v>
      </c>
      <c r="B221" s="95" t="str">
        <f>Adoption!B79</f>
        <v>Brighton &amp; Hove</v>
      </c>
      <c r="C221" s="87"/>
      <c r="D221" s="158">
        <f t="shared" ref="D221:D243" si="99">IF(AND(ISNUMBER(D118),ISNUMBER(Z221)),Z221/D118,NA())</f>
        <v>2.6041666666666668E-2</v>
      </c>
      <c r="E221" s="158" t="e">
        <f t="shared" ref="E221:E243" si="100">IF(AND(ISNUMBER(E118),ISNUMBER(AA221)),AA221/E118,NA())</f>
        <v>#N/A</v>
      </c>
      <c r="F221" s="158" t="e">
        <f t="shared" ref="F221:F243" si="101">IF(AND(ISNUMBER(F118),ISNUMBER(AB221)),AB221/F118,NA())</f>
        <v>#N/A</v>
      </c>
      <c r="G221" s="158">
        <f t="shared" ref="G221:G243" si="102">IF(AND(ISNUMBER(G118),ISNUMBER(AC221)),AC221/G118,NA())</f>
        <v>3.9772727272727272E-2</v>
      </c>
      <c r="H221" s="160" t="e">
        <f t="shared" ref="H221:H243" si="103">IF(AND(ISNUMBER(H118),ISNUMBER(AD221)),AD221/H118,NA())</f>
        <v>#N/A</v>
      </c>
      <c r="I221" s="425"/>
      <c r="J221" s="98"/>
      <c r="K221" s="98"/>
      <c r="L221" s="98"/>
      <c r="M221" s="162"/>
      <c r="N221" s="162"/>
      <c r="O221" s="162"/>
      <c r="P221" s="162"/>
      <c r="Q221" s="162"/>
      <c r="R221" s="162"/>
      <c r="S221" s="163"/>
      <c r="T221" s="162"/>
      <c r="U221" s="87"/>
      <c r="V221" s="1006"/>
      <c r="W221" s="138"/>
      <c r="X221" s="147"/>
      <c r="Y221" s="365" t="str">
        <f t="shared" si="98"/>
        <v>Brighton &amp; Hove</v>
      </c>
      <c r="Z221" s="365">
        <f>IF(Year1_Brighton_Hove Year1_ROSGO_ceased_LAC_CAO="","",Year1_Brighton_Hove Year1_ROSGO_ceased_LAC_CAO)</f>
        <v>5</v>
      </c>
      <c r="AA221" s="365" t="str">
        <f>IF(Year2_Brighton_Hove Year2_ROSGO_ceased_LAC_CAO="","",Year2_Brighton_Hove Year2_ROSGO_ceased_LAC_CAO)</f>
        <v>x</v>
      </c>
      <c r="AB221" s="365" t="str">
        <f>IF(Year3_Brighton_Hove Year3_ROSGO_ceased_LAC_CAO="","",Year3_Brighton_Hove Year3_ROSGO_ceased_LAC_CAO)</f>
        <v>x</v>
      </c>
      <c r="AC221" s="365">
        <f>IF(Year4_Brighton_Hove Year4_ROSGO_ceased_LAC_CAO="","",Year4_Brighton_Hove Year4_ROSGO_ceased_LAC_CAO)</f>
        <v>7</v>
      </c>
      <c r="AD221" s="365" t="str">
        <f>IF(Year5_Brighton_Hove Year5_ROSGO_ceased_LAC_CAO="","",Year5_Brighton_Hove Year5_ROSGO_ceased_LAC_CAO)</f>
        <v>x</v>
      </c>
      <c r="AE221" s="376"/>
      <c r="AF221" s="83"/>
      <c r="AG221" s="83"/>
      <c r="AH221" s="83"/>
      <c r="AI221" s="83"/>
      <c r="AJ221" s="83"/>
      <c r="AK221" s="153"/>
      <c r="AL221" s="76"/>
      <c r="AM221" s="76"/>
      <c r="AN221" s="76"/>
      <c r="AO221" s="76"/>
      <c r="AP221" s="76"/>
      <c r="AQ221" s="76"/>
      <c r="AR221" s="76"/>
      <c r="AS221" s="76"/>
      <c r="AT221" s="76"/>
      <c r="AU221" s="76"/>
      <c r="AV221" s="76"/>
      <c r="AW221" s="76"/>
      <c r="AX221" s="76"/>
      <c r="AY221" s="76"/>
    </row>
    <row r="222" spans="1:51" s="89" customFormat="1" ht="12.75" customHeight="1" x14ac:dyDescent="0.2">
      <c r="A222" s="525">
        <f>VLOOKUP(B222,Sheet1!$AQ$4:$AR$25,2,FALSE)</f>
        <v>0</v>
      </c>
      <c r="B222" s="95" t="str">
        <f>Adoption!B80</f>
        <v>Buckinghamshire</v>
      </c>
      <c r="C222" s="87"/>
      <c r="D222" s="158" t="e">
        <f t="shared" si="99"/>
        <v>#N/A</v>
      </c>
      <c r="E222" s="158">
        <f t="shared" si="100"/>
        <v>2.2026431718061675E-2</v>
      </c>
      <c r="F222" s="158">
        <f t="shared" si="101"/>
        <v>3.7209302325581395E-2</v>
      </c>
      <c r="G222" s="158" t="e">
        <f t="shared" si="102"/>
        <v>#N/A</v>
      </c>
      <c r="H222" s="160" t="e">
        <f t="shared" si="103"/>
        <v>#N/A</v>
      </c>
      <c r="I222" s="425"/>
      <c r="J222" s="98"/>
      <c r="K222" s="98"/>
      <c r="L222" s="98"/>
      <c r="M222" s="162"/>
      <c r="N222" s="162"/>
      <c r="O222" s="162"/>
      <c r="P222" s="162"/>
      <c r="Q222" s="162"/>
      <c r="R222" s="162"/>
      <c r="S222" s="163"/>
      <c r="T222" s="162"/>
      <c r="U222" s="87"/>
      <c r="V222" s="1006"/>
      <c r="W222" s="138"/>
      <c r="X222" s="147"/>
      <c r="Y222" s="365" t="str">
        <f t="shared" si="98"/>
        <v>Buckinghamshire</v>
      </c>
      <c r="Z222" s="365" t="str">
        <f>IF(Year1_Buckinghamshire Year1_ROSGO_ceased_LAC_CAO="","",Year1_Buckinghamshire Year1_ROSGO_ceased_LAC_CAO)</f>
        <v>x</v>
      </c>
      <c r="AA222" s="365">
        <f>IF(Year2_Buckinghamshire Year2_ROSGO_ceased_LAC_CAO="","",Year2_Buckinghamshire Year2_ROSGO_ceased_LAC_CAO)</f>
        <v>5</v>
      </c>
      <c r="AB222" s="365">
        <f>IF(Year3_Buckinghamshire Year3_ROSGO_ceased_LAC_CAO="","",Year3_Buckinghamshire Year3_ROSGO_ceased_LAC_CAO)</f>
        <v>8</v>
      </c>
      <c r="AC222" s="365" t="str">
        <f>IF(Year4_Buckinghamshire Year4_ROSGO_ceased_LAC_CAO="","",Year4_Buckinghamshire Year4_ROSGO_ceased_LAC_CAO)</f>
        <v>x</v>
      </c>
      <c r="AD222" s="365" t="str">
        <f>IF(Year5_Buckinghamshire Year5_ROSGO_ceased_LAC_CAO="","",Year5_Buckinghamshire Year5_ROSGO_ceased_LAC_CAO)</f>
        <v>x</v>
      </c>
      <c r="AE222" s="376"/>
      <c r="AF222" s="83"/>
      <c r="AG222" s="83"/>
      <c r="AH222" s="83"/>
      <c r="AI222" s="83"/>
      <c r="AJ222" s="83"/>
      <c r="AK222" s="153"/>
      <c r="AL222" s="76"/>
      <c r="AM222" s="76"/>
      <c r="AN222" s="76"/>
      <c r="AO222" s="76"/>
      <c r="AP222" s="76"/>
      <c r="AQ222" s="76"/>
      <c r="AR222" s="76"/>
      <c r="AS222" s="76"/>
      <c r="AT222" s="76"/>
      <c r="AU222" s="76"/>
      <c r="AV222" s="76"/>
      <c r="AW222" s="76"/>
      <c r="AX222" s="76"/>
      <c r="AY222" s="76"/>
    </row>
    <row r="223" spans="1:51" s="89" customFormat="1" ht="12.75" customHeight="1" x14ac:dyDescent="0.2">
      <c r="A223" s="525">
        <f>VLOOKUP(B223,Sheet1!$AQ$4:$AR$25,2,FALSE)</f>
        <v>0</v>
      </c>
      <c r="B223" s="95" t="str">
        <f>Adoption!B81</f>
        <v>East Sussex</v>
      </c>
      <c r="C223" s="87"/>
      <c r="D223" s="158">
        <f t="shared" si="99"/>
        <v>5.2910052910052907E-2</v>
      </c>
      <c r="E223" s="158" t="e">
        <f t="shared" si="100"/>
        <v>#N/A</v>
      </c>
      <c r="F223" s="158" t="e">
        <f t="shared" si="101"/>
        <v>#N/A</v>
      </c>
      <c r="G223" s="158" t="e">
        <f t="shared" si="102"/>
        <v>#N/A</v>
      </c>
      <c r="H223" s="160" t="e">
        <f t="shared" si="103"/>
        <v>#N/A</v>
      </c>
      <c r="I223" s="425"/>
      <c r="J223" s="98"/>
      <c r="K223" s="98"/>
      <c r="L223" s="98"/>
      <c r="M223" s="162"/>
      <c r="N223" s="162"/>
      <c r="O223" s="162"/>
      <c r="P223" s="162"/>
      <c r="Q223" s="162"/>
      <c r="R223" s="162"/>
      <c r="S223" s="163"/>
      <c r="T223" s="162"/>
      <c r="U223" s="87"/>
      <c r="V223" s="1006"/>
      <c r="W223" s="138"/>
      <c r="X223" s="147"/>
      <c r="Y223" s="365" t="str">
        <f t="shared" si="98"/>
        <v>East Sussex</v>
      </c>
      <c r="Z223" s="365">
        <f>IF(Year1_East_Sussex Year1_ROSGO_ceased_LAC_CAO="","",Year1_East_Sussex Year1_ROSGO_ceased_LAC_CAO)</f>
        <v>10</v>
      </c>
      <c r="AA223" s="365" t="str">
        <f>IF(Year2_East_Sussex Year2_ROSGO_ceased_LAC_CAO="","",Year2_East_Sussex Year2_ROSGO_ceased_LAC_CAO)</f>
        <v>x</v>
      </c>
      <c r="AB223" s="365" t="str">
        <f>IF(Year3_East_Sussex Year3_ROSGO_ceased_LAC_CAO="","",Year3_East_Sussex Year3_ROSGO_ceased_LAC_CAO)</f>
        <v>x</v>
      </c>
      <c r="AC223" s="365" t="str">
        <f>IF(Year4_East_Sussex Year4_ROSGO_ceased_LAC_CAO="","",Year4_East_Sussex Year4_ROSGO_ceased_LAC_CAO)</f>
        <v>x</v>
      </c>
      <c r="AD223" s="365" t="str">
        <f>IF(Year5_East_Sussex Year5_ROSGO_ceased_LAC_CAO="","",Year5_East_Sussex Year5_ROSGO_ceased_LAC_CAO)</f>
        <v>x</v>
      </c>
      <c r="AE223" s="376"/>
      <c r="AF223" s="83"/>
      <c r="AG223" s="83"/>
      <c r="AH223" s="83"/>
      <c r="AI223" s="83"/>
      <c r="AJ223" s="83"/>
      <c r="AK223" s="153"/>
      <c r="AL223" s="76"/>
      <c r="AM223" s="76"/>
      <c r="AN223" s="76"/>
      <c r="AO223" s="76"/>
      <c r="AP223" s="76"/>
      <c r="AQ223" s="76"/>
      <c r="AR223" s="76"/>
      <c r="AS223" s="76"/>
      <c r="AT223" s="76"/>
      <c r="AU223" s="76"/>
      <c r="AV223" s="76"/>
      <c r="AW223" s="76"/>
      <c r="AX223" s="76"/>
      <c r="AY223" s="76"/>
    </row>
    <row r="224" spans="1:51" s="89" customFormat="1" ht="12.75" customHeight="1" x14ac:dyDescent="0.2">
      <c r="A224" s="462">
        <f>VLOOKUP(B224,Sheet1!$AQ$4:$AR$25,2,FALSE)</f>
        <v>0</v>
      </c>
      <c r="B224" s="95" t="str">
        <f>Adoption!B82</f>
        <v>Hampshire</v>
      </c>
      <c r="C224" s="87"/>
      <c r="D224" s="158">
        <f t="shared" si="99"/>
        <v>1.8315018315018316E-2</v>
      </c>
      <c r="E224" s="158">
        <f t="shared" si="100"/>
        <v>9.1743119266055051E-3</v>
      </c>
      <c r="F224" s="158">
        <f t="shared" si="101"/>
        <v>3.9473684210526314E-2</v>
      </c>
      <c r="G224" s="158">
        <f t="shared" si="102"/>
        <v>4.1152263374485597E-2</v>
      </c>
      <c r="H224" s="160">
        <f t="shared" si="103"/>
        <v>3.0354131534569982E-2</v>
      </c>
      <c r="I224" s="425"/>
      <c r="J224" s="98"/>
      <c r="K224" s="98"/>
      <c r="L224" s="98"/>
      <c r="M224" s="162"/>
      <c r="N224" s="162"/>
      <c r="O224" s="162"/>
      <c r="P224" s="162"/>
      <c r="Q224" s="162"/>
      <c r="R224" s="162"/>
      <c r="S224" s="163"/>
      <c r="T224" s="162"/>
      <c r="U224" s="87"/>
      <c r="V224" s="1006"/>
      <c r="W224" s="138"/>
      <c r="X224" s="147"/>
      <c r="Y224" s="365" t="str">
        <f t="shared" si="98"/>
        <v>Hampshire</v>
      </c>
      <c r="Z224" s="365">
        <f>IF(Year1_Hampshire Year1_ROSGO_ceased_LAC_CAO="","",Year1_Hampshire Year1_ROSGO_ceased_LAC_CAO)</f>
        <v>10</v>
      </c>
      <c r="AA224" s="365">
        <f>IF(Year2_Hampshire Year2_ROSGO_ceased_LAC_CAO="","",Year2_Hampshire Year2_ROSGO_ceased_LAC_CAO)</f>
        <v>5</v>
      </c>
      <c r="AB224" s="365">
        <f>IF(Year3_Hampshire Year3_ROSGO_ceased_LAC_CAO="","",Year3_Hampshire Year3_ROSGO_ceased_LAC_CAO)</f>
        <v>21</v>
      </c>
      <c r="AC224" s="365">
        <f>IF(Year4_Hampshire Year4_ROSGO_ceased_LAC_CAO="","",Year4_Hampshire Year4_ROSGO_ceased_LAC_CAO)</f>
        <v>20</v>
      </c>
      <c r="AD224" s="365">
        <f>IF(Year5_Hampshire Year5_ROSGO_ceased_LAC_CAO="","",Year5_Hampshire Year5_ROSGO_ceased_LAC_CAO)</f>
        <v>18</v>
      </c>
      <c r="AE224" s="376"/>
      <c r="AH224" s="83"/>
      <c r="AI224" s="83"/>
      <c r="AJ224" s="83"/>
      <c r="AK224" s="153"/>
      <c r="AL224" s="76"/>
      <c r="AM224" s="76"/>
      <c r="AN224" s="76"/>
      <c r="AO224" s="76"/>
      <c r="AP224" s="76"/>
      <c r="AQ224" s="76"/>
      <c r="AR224" s="76"/>
      <c r="AS224" s="76"/>
      <c r="AT224" s="76"/>
      <c r="AU224" s="76"/>
      <c r="AV224" s="76"/>
      <c r="AW224" s="76"/>
      <c r="AX224" s="76"/>
      <c r="AY224" s="76"/>
    </row>
    <row r="225" spans="1:51" s="89" customFormat="1" ht="12.75" customHeight="1" x14ac:dyDescent="0.2">
      <c r="A225" s="462">
        <f>VLOOKUP(B225,Sheet1!$AQ$4:$AR$25,2,FALSE)</f>
        <v>0</v>
      </c>
      <c r="B225" s="95" t="str">
        <f>Adoption!B83</f>
        <v>Isle of Wight</v>
      </c>
      <c r="C225" s="87"/>
      <c r="D225" s="158" t="e">
        <f t="shared" si="99"/>
        <v>#N/A</v>
      </c>
      <c r="E225" s="158" t="e">
        <f t="shared" si="100"/>
        <v>#N/A</v>
      </c>
      <c r="F225" s="158" t="e">
        <f t="shared" si="101"/>
        <v>#N/A</v>
      </c>
      <c r="G225" s="158" t="e">
        <f t="shared" si="102"/>
        <v>#N/A</v>
      </c>
      <c r="H225" s="160" t="e">
        <f t="shared" si="103"/>
        <v>#N/A</v>
      </c>
      <c r="I225" s="425"/>
      <c r="J225" s="98"/>
      <c r="K225" s="98"/>
      <c r="L225" s="98"/>
      <c r="M225" s="162"/>
      <c r="N225" s="162"/>
      <c r="O225" s="162"/>
      <c r="P225" s="162"/>
      <c r="Q225" s="162"/>
      <c r="R225" s="162"/>
      <c r="S225" s="163"/>
      <c r="T225" s="162"/>
      <c r="U225" s="87"/>
      <c r="V225" s="1006"/>
      <c r="W225" s="138"/>
      <c r="X225" s="147"/>
      <c r="Y225" s="365" t="str">
        <f t="shared" si="98"/>
        <v>Isle of Wight</v>
      </c>
      <c r="Z225" s="365" t="str">
        <f>IF(Year1_Isle_of_Wight Year1_ROSGO_ceased_LAC_CAO="","",Year1_Isle_of_Wight Year1_ROSGO_ceased_LAC_CAO)</f>
        <v>x</v>
      </c>
      <c r="AA225" s="365" t="str">
        <f>IF(Year2_Isle_of_Wight Year2_ROSGO_ceased_LAC_CAO="","",Year2_Isle_of_Wight Year2_ROSGO_ceased_LAC_CAO)</f>
        <v>x</v>
      </c>
      <c r="AB225" s="365" t="str">
        <f>IF(Year3_Isle_of_Wight Year3_ROSGO_ceased_LAC_CAO="","",Year3_Isle_of_Wight Year3_ROSGO_ceased_LAC_CAO)</f>
        <v>x</v>
      </c>
      <c r="AC225" s="365" t="str">
        <f>IF(Year4_Isle_of_Wight Year4_ROSGO_ceased_LAC_CAO="","",Year4_Isle_of_Wight Year4_ROSGO_ceased_LAC_CAO)</f>
        <v>x</v>
      </c>
      <c r="AD225" s="365" t="str">
        <f>IF(Year5_Isle_of_Wight Year5_ROSGO_ceased_LAC_CAO="","",Year5_Isle_of_Wight Year5_ROSGO_ceased_LAC_CAO)</f>
        <v>x</v>
      </c>
      <c r="AE225" s="376"/>
      <c r="AH225" s="83"/>
      <c r="AI225" s="83"/>
      <c r="AJ225" s="83"/>
      <c r="AK225" s="153"/>
      <c r="AL225" s="76"/>
      <c r="AM225" s="76"/>
      <c r="AN225" s="76"/>
      <c r="AO225" s="76"/>
      <c r="AP225" s="76"/>
      <c r="AQ225" s="76"/>
      <c r="AR225" s="76"/>
      <c r="AS225" s="76"/>
      <c r="AT225" s="76"/>
      <c r="AU225" s="76"/>
      <c r="AV225" s="76"/>
      <c r="AW225" s="76"/>
      <c r="AX225" s="76"/>
      <c r="AY225" s="76"/>
    </row>
    <row r="226" spans="1:51" s="89" customFormat="1" ht="12.75" customHeight="1" x14ac:dyDescent="0.2">
      <c r="A226" s="462">
        <f>VLOOKUP(B226,Sheet1!$AQ$4:$AR$25,2,FALSE)</f>
        <v>0</v>
      </c>
      <c r="B226" s="95" t="str">
        <f>Adoption!B84</f>
        <v>Kent</v>
      </c>
      <c r="C226" s="87"/>
      <c r="D226" s="158">
        <f t="shared" si="99"/>
        <v>2.8506271379703536E-2</v>
      </c>
      <c r="E226" s="158">
        <f t="shared" si="100"/>
        <v>9.2678405931417972E-3</v>
      </c>
      <c r="F226" s="158">
        <f t="shared" si="101"/>
        <v>8.3586626139817623E-3</v>
      </c>
      <c r="G226" s="158">
        <f t="shared" si="102"/>
        <v>1.5252621544327931E-2</v>
      </c>
      <c r="H226" s="160">
        <f t="shared" si="103"/>
        <v>1.310615989515072E-2</v>
      </c>
      <c r="I226" s="425"/>
      <c r="J226" s="98"/>
      <c r="K226" s="98"/>
      <c r="L226" s="98"/>
      <c r="M226" s="162"/>
      <c r="N226" s="162"/>
      <c r="O226" s="162"/>
      <c r="P226" s="162"/>
      <c r="Q226" s="162"/>
      <c r="R226" s="162"/>
      <c r="S226" s="163"/>
      <c r="T226" s="162"/>
      <c r="U226" s="87"/>
      <c r="V226" s="1006"/>
      <c r="W226" s="138"/>
      <c r="X226" s="147"/>
      <c r="Y226" s="365" t="str">
        <f t="shared" si="98"/>
        <v>Kent</v>
      </c>
      <c r="Z226" s="365">
        <f>IF(Year1_Kent Year1_ROSGO_ceased_LAC_CAO="","",Year1_Kent Year1_ROSGO_ceased_LAC_CAO)</f>
        <v>25</v>
      </c>
      <c r="AA226" s="365">
        <f>IF(Year2_Kent Year2_ROSGO_ceased_LAC_CAO="","",Year2_Kent Year2_ROSGO_ceased_LAC_CAO)</f>
        <v>10</v>
      </c>
      <c r="AB226" s="365">
        <f>IF(Year3_Kent Year3_ROSGO_ceased_LAC_CAO="","",Year3_Kent Year3_ROSGO_ceased_LAC_CAO)</f>
        <v>11</v>
      </c>
      <c r="AC226" s="365">
        <f>IF(Year4_Kent Year4_ROSGO_ceased_LAC_CAO="","",Year4_Kent Year4_ROSGO_ceased_LAC_CAO)</f>
        <v>16</v>
      </c>
      <c r="AD226" s="365">
        <f>IF(Year5_Kent Year5_ROSGO_ceased_LAC_CAO="","",Year5_Kent Year5_ROSGO_ceased_LAC_CAO)</f>
        <v>10</v>
      </c>
      <c r="AE226" s="376"/>
      <c r="AH226" s="83"/>
      <c r="AI226" s="83"/>
      <c r="AJ226" s="83"/>
      <c r="AK226" s="153"/>
      <c r="AL226" s="76"/>
      <c r="AM226" s="76"/>
      <c r="AN226" s="76"/>
      <c r="AO226" s="76"/>
      <c r="AP226" s="76"/>
      <c r="AQ226" s="76"/>
      <c r="AR226" s="76"/>
      <c r="AS226" s="76"/>
      <c r="AT226" s="76"/>
      <c r="AU226" s="76"/>
      <c r="AV226" s="76"/>
      <c r="AW226" s="76"/>
      <c r="AX226" s="76"/>
      <c r="AY226" s="76"/>
    </row>
    <row r="227" spans="1:51" s="89" customFormat="1" ht="12.75" customHeight="1" x14ac:dyDescent="0.2">
      <c r="A227" s="462">
        <f>VLOOKUP(B227,Sheet1!$AQ$4:$AR$25,2,FALSE)</f>
        <v>0</v>
      </c>
      <c r="B227" s="95" t="str">
        <f>Adoption!B85</f>
        <v>Medway</v>
      </c>
      <c r="C227" s="87"/>
      <c r="D227" s="158">
        <f t="shared" si="99"/>
        <v>0</v>
      </c>
      <c r="E227" s="158">
        <f t="shared" si="100"/>
        <v>9.5238095238095233E-2</v>
      </c>
      <c r="F227" s="158">
        <f t="shared" si="101"/>
        <v>6.4171122994652413E-2</v>
      </c>
      <c r="G227" s="158" t="e">
        <f t="shared" si="102"/>
        <v>#N/A</v>
      </c>
      <c r="H227" s="160" t="e">
        <f t="shared" si="103"/>
        <v>#N/A</v>
      </c>
      <c r="I227" s="425"/>
      <c r="J227" s="98"/>
      <c r="K227" s="98"/>
      <c r="L227" s="98"/>
      <c r="M227" s="162"/>
      <c r="N227" s="162"/>
      <c r="O227" s="162"/>
      <c r="P227" s="162"/>
      <c r="Q227" s="162"/>
      <c r="R227" s="162"/>
      <c r="S227" s="163"/>
      <c r="T227" s="162"/>
      <c r="U227" s="87"/>
      <c r="V227" s="1006"/>
      <c r="W227" s="138"/>
      <c r="X227" s="147"/>
      <c r="Y227" s="365" t="str">
        <f t="shared" si="98"/>
        <v>Medway</v>
      </c>
      <c r="Z227" s="365">
        <f>IF(Year1_Medway Year1_ROSGO_ceased_LAC_CAO="","",Year1_Medway Year1_ROSGO_ceased_LAC_CAO)</f>
        <v>0</v>
      </c>
      <c r="AA227" s="365">
        <f>IF(Year2_Medway Year2_ROSGO_ceased_LAC_CAO="","",Year2_Medway Year2_ROSGO_ceased_LAC_CAO)</f>
        <v>20</v>
      </c>
      <c r="AB227" s="365">
        <f>IF(Year3_Medway Year3_ROSGO_ceased_LAC_CAO="","",Year3_Medway Year3_ROSGO_ceased_LAC_CAO)</f>
        <v>12</v>
      </c>
      <c r="AC227" s="365" t="str">
        <f>IF(Year4_Medway Year4_ROSGO_ceased_LAC_CAO="","",Year4_Medway Year4_ROSGO_ceased_LAC_CAO)</f>
        <v>x</v>
      </c>
      <c r="AD227" s="365" t="str">
        <f>IF(Year5_Medway Year5_ROSGO_ceased_LAC_CAO="","",Year5_Medway Year5_ROSGO_ceased_LAC_CAO)</f>
        <v>x</v>
      </c>
      <c r="AE227" s="376"/>
      <c r="AH227" s="83"/>
      <c r="AI227" s="83"/>
      <c r="AJ227" s="83"/>
      <c r="AK227" s="153"/>
      <c r="AL227" s="76"/>
      <c r="AM227" s="76"/>
      <c r="AN227" s="76"/>
      <c r="AO227" s="76"/>
      <c r="AP227" s="76"/>
      <c r="AQ227" s="76"/>
      <c r="AR227" s="76"/>
      <c r="AS227" s="76"/>
      <c r="AT227" s="76"/>
      <c r="AU227" s="76"/>
      <c r="AV227" s="76"/>
      <c r="AW227" s="76"/>
      <c r="AX227" s="76"/>
      <c r="AY227" s="76"/>
    </row>
    <row r="228" spans="1:51" s="89" customFormat="1" ht="12.75" customHeight="1" x14ac:dyDescent="0.2">
      <c r="A228" s="462">
        <f>VLOOKUP(B228,Sheet1!$AQ$4:$AR$25,2,FALSE)</f>
        <v>0</v>
      </c>
      <c r="B228" s="95" t="str">
        <f>Adoption!B86</f>
        <v>Milton Keynes</v>
      </c>
      <c r="C228" s="87"/>
      <c r="D228" s="158" t="e">
        <f t="shared" si="99"/>
        <v>#N/A</v>
      </c>
      <c r="E228" s="158">
        <f t="shared" si="100"/>
        <v>2.6881720430107527E-2</v>
      </c>
      <c r="F228" s="158" t="e">
        <f t="shared" si="101"/>
        <v>#N/A</v>
      </c>
      <c r="G228" s="158" t="e">
        <f t="shared" si="102"/>
        <v>#N/A</v>
      </c>
      <c r="H228" s="160" t="e">
        <f t="shared" si="103"/>
        <v>#N/A</v>
      </c>
      <c r="I228" s="425"/>
      <c r="J228" s="98"/>
      <c r="K228" s="98"/>
      <c r="L228" s="98"/>
      <c r="M228" s="162"/>
      <c r="N228" s="162"/>
      <c r="O228" s="162"/>
      <c r="P228" s="162"/>
      <c r="Q228" s="162"/>
      <c r="R228" s="162"/>
      <c r="S228" s="163"/>
      <c r="T228" s="162"/>
      <c r="U228" s="87"/>
      <c r="V228" s="1006"/>
      <c r="W228" s="138"/>
      <c r="X228" s="147"/>
      <c r="Y228" s="365" t="str">
        <f t="shared" si="98"/>
        <v>Milton Keynes</v>
      </c>
      <c r="Z228" s="365" t="str">
        <f>IF(Year1_Milton_Keynes Year1_ROSGO_ceased_LAC_CAO="","",Year1_Milton_Keynes Year1_ROSGO_ceased_LAC_CAO)</f>
        <v>x</v>
      </c>
      <c r="AA228" s="365">
        <f>IF(Year2_Milton_Keynes Year2_ROSGO_ceased_LAC_CAO="","",Year2_Milton_Keynes Year2_ROSGO_ceased_LAC_CAO)</f>
        <v>5</v>
      </c>
      <c r="AB228" s="365" t="str">
        <f>IF(Year3_Milton_Keynes Year3_ROSGO_ceased_LAC_CAO="","",Year3_Milton_Keynes Year3_ROSGO_ceased_LAC_CAO)</f>
        <v>x</v>
      </c>
      <c r="AC228" s="365" t="str">
        <f>IF(Year4_Milton_Keynes Year4_ROSGO_ceased_LAC_CAO="","",Year4_Milton_Keynes Year4_ROSGO_ceased_LAC_CAO)</f>
        <v>x</v>
      </c>
      <c r="AD228" s="365" t="str">
        <f>IF(Year5_Milton_Keynes Year5_ROSGO_ceased_LAC_CAO="","",Year5_Milton_Keynes Year5_ROSGO_ceased_LAC_CAO)</f>
        <v>x</v>
      </c>
      <c r="AE228" s="376"/>
      <c r="AH228" s="83"/>
      <c r="AI228" s="83"/>
      <c r="AJ228" s="83"/>
      <c r="AK228" s="153"/>
      <c r="AL228" s="76"/>
      <c r="AM228" s="76"/>
      <c r="AN228" s="76"/>
      <c r="AO228" s="76"/>
      <c r="AP228" s="76"/>
      <c r="AQ228" s="76"/>
      <c r="AR228" s="76"/>
      <c r="AS228" s="76"/>
      <c r="AT228" s="76"/>
      <c r="AU228" s="76"/>
      <c r="AV228" s="76"/>
      <c r="AW228" s="76"/>
      <c r="AX228" s="76"/>
      <c r="AY228" s="76"/>
    </row>
    <row r="229" spans="1:51" s="89" customFormat="1" ht="12.75" customHeight="1" x14ac:dyDescent="0.2">
      <c r="A229" s="462">
        <f>VLOOKUP(B229,Sheet1!$AQ$4:$AR$25,2,FALSE)</f>
        <v>0</v>
      </c>
      <c r="B229" s="95" t="str">
        <f>Adoption!B87</f>
        <v>Oxfordshire</v>
      </c>
      <c r="C229" s="87"/>
      <c r="D229" s="158">
        <f t="shared" si="99"/>
        <v>4.0160642570281124E-2</v>
      </c>
      <c r="E229" s="158">
        <f t="shared" si="100"/>
        <v>3.5714285714285712E-2</v>
      </c>
      <c r="F229" s="158">
        <f t="shared" si="101"/>
        <v>6.9930069930069935E-2</v>
      </c>
      <c r="G229" s="158">
        <f t="shared" si="102"/>
        <v>2.6845637583892617E-2</v>
      </c>
      <c r="H229" s="160">
        <f t="shared" si="103"/>
        <v>6.95970695970696E-2</v>
      </c>
      <c r="I229" s="425"/>
      <c r="J229" s="98"/>
      <c r="K229" s="98"/>
      <c r="L229" s="98"/>
      <c r="M229" s="162"/>
      <c r="N229" s="162"/>
      <c r="O229" s="162"/>
      <c r="P229" s="162"/>
      <c r="Q229" s="162"/>
      <c r="R229" s="162"/>
      <c r="S229" s="163"/>
      <c r="T229" s="162"/>
      <c r="U229" s="87"/>
      <c r="V229" s="1006"/>
      <c r="W229" s="138"/>
      <c r="X229" s="147"/>
      <c r="Y229" s="365" t="str">
        <f t="shared" si="98"/>
        <v>Oxfordshire</v>
      </c>
      <c r="Z229" s="365">
        <f>IF(Year1_Oxfordshire Year1_ROSGO_ceased_LAC_CAO="","",Year1_Oxfordshire Year1_ROSGO_ceased_LAC_CAO)</f>
        <v>10</v>
      </c>
      <c r="AA229" s="365">
        <f>IF(Year2_Oxfordshire Year2_ROSGO_ceased_LAC_CAO="","",Year2_Oxfordshire Year2_ROSGO_ceased_LAC_CAO)</f>
        <v>10</v>
      </c>
      <c r="AB229" s="365">
        <f>IF(Year3_Oxfordshire Year3_ROSGO_ceased_LAC_CAO="","",Year3_Oxfordshire Year3_ROSGO_ceased_LAC_CAO)</f>
        <v>20</v>
      </c>
      <c r="AC229" s="365">
        <f>IF(Year4_Oxfordshire Year4_ROSGO_ceased_LAC_CAO="","",Year4_Oxfordshire Year4_ROSGO_ceased_LAC_CAO)</f>
        <v>8</v>
      </c>
      <c r="AD229" s="365">
        <f>IF(Year5_Oxfordshire Year5_ROSGO_ceased_LAC_CAO="","",Year5_Oxfordshire Year5_ROSGO_ceased_LAC_CAO)</f>
        <v>19</v>
      </c>
      <c r="AE229" s="376"/>
      <c r="AH229" s="83"/>
      <c r="AI229" s="83"/>
      <c r="AJ229" s="83"/>
      <c r="AK229" s="153"/>
      <c r="AL229" s="76"/>
      <c r="AM229" s="76"/>
      <c r="AN229" s="76"/>
      <c r="AO229" s="76"/>
      <c r="AP229" s="76"/>
      <c r="AQ229" s="76"/>
      <c r="AR229" s="76"/>
      <c r="AS229" s="76"/>
      <c r="AT229" s="76"/>
      <c r="AU229" s="76"/>
      <c r="AV229" s="76"/>
      <c r="AW229" s="76"/>
      <c r="AX229" s="76"/>
      <c r="AY229" s="76"/>
    </row>
    <row r="230" spans="1:51" s="89" customFormat="1" ht="12.75" customHeight="1" x14ac:dyDescent="0.2">
      <c r="A230" s="462">
        <f>VLOOKUP(B230,Sheet1!$AQ$4:$AR$25,2,FALSE)</f>
        <v>0</v>
      </c>
      <c r="B230" s="95" t="str">
        <f>Adoption!B88</f>
        <v>Portsmouth</v>
      </c>
      <c r="C230" s="87"/>
      <c r="D230" s="158">
        <f t="shared" si="99"/>
        <v>3.048780487804878E-2</v>
      </c>
      <c r="E230" s="158">
        <f t="shared" si="100"/>
        <v>0.11904761904761904</v>
      </c>
      <c r="F230" s="158" t="e">
        <f t="shared" si="101"/>
        <v>#N/A</v>
      </c>
      <c r="G230" s="158">
        <f t="shared" si="102"/>
        <v>4.3010752688172046E-2</v>
      </c>
      <c r="H230" s="160">
        <f t="shared" si="103"/>
        <v>6.2111801242236024E-2</v>
      </c>
      <c r="I230" s="425"/>
      <c r="J230" s="98"/>
      <c r="K230" s="98"/>
      <c r="L230" s="98"/>
      <c r="M230" s="162"/>
      <c r="N230" s="162"/>
      <c r="O230" s="162"/>
      <c r="P230" s="162"/>
      <c r="Q230" s="162"/>
      <c r="R230" s="162"/>
      <c r="S230" s="163"/>
      <c r="T230" s="162"/>
      <c r="U230" s="87"/>
      <c r="V230" s="1006"/>
      <c r="W230" s="138"/>
      <c r="X230" s="147"/>
      <c r="Y230" s="365" t="str">
        <f t="shared" si="98"/>
        <v>Portsmouth</v>
      </c>
      <c r="Z230" s="365">
        <f>IF(Year1_Portsmouth Year1_ROSGO_ceased_LAC_CAO="","",Year1_Portsmouth Year1_ROSGO_ceased_LAC_CAO)</f>
        <v>5</v>
      </c>
      <c r="AA230" s="365">
        <f>IF(Year2_Portsmouth Year2_ROSGO_ceased_LAC_CAO="","",Year2_Portsmouth Year2_ROSGO_ceased_LAC_CAO)</f>
        <v>15</v>
      </c>
      <c r="AB230" s="365" t="str">
        <f>IF(Year3_Portsmouth Year3_ROSGO_ceased_LAC_CAO="","",Year3_Portsmouth Year3_ROSGO_ceased_LAC_CAO)</f>
        <v>x</v>
      </c>
      <c r="AC230" s="365">
        <f>IF(Year4_Portsmouth Year4_ROSGO_ceased_LAC_CAO="","",Year4_Portsmouth Year4_ROSGO_ceased_LAC_CAO)</f>
        <v>8</v>
      </c>
      <c r="AD230" s="365">
        <f>IF(Year5_Portsmouth Year5_ROSGO_ceased_LAC_CAO="","",Year5_Portsmouth Year5_ROSGO_ceased_LAC_CAO)</f>
        <v>10</v>
      </c>
      <c r="AE230" s="376"/>
      <c r="AH230" s="83"/>
      <c r="AI230" s="83"/>
      <c r="AJ230" s="83"/>
      <c r="AK230" s="153"/>
      <c r="AL230" s="76"/>
      <c r="AM230" s="76"/>
      <c r="AN230" s="76"/>
      <c r="AO230" s="76"/>
      <c r="AP230" s="76"/>
      <c r="AQ230" s="76"/>
      <c r="AR230" s="76"/>
      <c r="AS230" s="76"/>
      <c r="AT230" s="76"/>
      <c r="AU230" s="76"/>
      <c r="AV230" s="76"/>
      <c r="AW230" s="76"/>
      <c r="AX230" s="76"/>
      <c r="AY230" s="76"/>
    </row>
    <row r="231" spans="1:51" s="89" customFormat="1" ht="12.75" customHeight="1" x14ac:dyDescent="0.2">
      <c r="A231" s="462">
        <f>VLOOKUP(B231,Sheet1!$AQ$4:$AR$25,2,FALSE)</f>
        <v>0</v>
      </c>
      <c r="B231" s="95" t="str">
        <f>Adoption!B89</f>
        <v>Reading</v>
      </c>
      <c r="C231" s="87"/>
      <c r="D231" s="158">
        <f t="shared" si="99"/>
        <v>0</v>
      </c>
      <c r="E231" s="158">
        <f t="shared" si="100"/>
        <v>8.1300813008130079E-2</v>
      </c>
      <c r="F231" s="158">
        <f t="shared" si="101"/>
        <v>0</v>
      </c>
      <c r="G231" s="158" t="e">
        <f t="shared" si="102"/>
        <v>#N/A</v>
      </c>
      <c r="H231" s="160">
        <f t="shared" si="103"/>
        <v>0</v>
      </c>
      <c r="I231" s="425"/>
      <c r="J231" s="98"/>
      <c r="K231" s="98"/>
      <c r="L231" s="98"/>
      <c r="M231" s="162"/>
      <c r="N231" s="162"/>
      <c r="O231" s="162"/>
      <c r="P231" s="162"/>
      <c r="Q231" s="162"/>
      <c r="R231" s="162"/>
      <c r="S231" s="163"/>
      <c r="T231" s="162"/>
      <c r="U231" s="87"/>
      <c r="V231" s="1006"/>
      <c r="W231" s="138"/>
      <c r="X231" s="147"/>
      <c r="Y231" s="365" t="str">
        <f t="shared" si="98"/>
        <v>Reading</v>
      </c>
      <c r="Z231" s="365">
        <f>IF(Year1_Reading Year1_ROSGO_ceased_LAC_CAO="","",Year1_Reading Year1_ROSGO_ceased_LAC_CAO)</f>
        <v>0</v>
      </c>
      <c r="AA231" s="365">
        <f>IF(Year2_Reading Year2_ROSGO_ceased_LAC_CAO="","",Year2_Reading Year2_ROSGO_ceased_LAC_CAO)</f>
        <v>10</v>
      </c>
      <c r="AB231" s="365">
        <f>IF(Year3_Reading Year3_ROSGO_ceased_LAC_CAO="","",Year3_Reading Year3_ROSGO_ceased_LAC_CAO)</f>
        <v>0</v>
      </c>
      <c r="AC231" s="365" t="str">
        <f>IF(Year4_Reading Year4_ROSGO_ceased_LAC_CAO="","",Year4_Reading Year4_ROSGO_ceased_LAC_CAO)</f>
        <v>x</v>
      </c>
      <c r="AD231" s="365">
        <f>IF(Year5_Reading Year5_ROSGO_ceased_LAC_CAO="","",Year5_Reading Year5_ROSGO_ceased_LAC_CAO)</f>
        <v>0</v>
      </c>
      <c r="AE231" s="376"/>
      <c r="AH231" s="83"/>
      <c r="AI231" s="83"/>
      <c r="AJ231" s="83"/>
      <c r="AK231" s="153"/>
      <c r="AL231" s="76"/>
      <c r="AM231" s="76"/>
      <c r="AN231" s="76"/>
      <c r="AO231" s="76"/>
      <c r="AP231" s="76"/>
      <c r="AQ231" s="76"/>
      <c r="AR231" s="76"/>
      <c r="AS231" s="76"/>
      <c r="AT231" s="76"/>
      <c r="AU231" s="76"/>
      <c r="AV231" s="76"/>
      <c r="AW231" s="76"/>
      <c r="AX231" s="76"/>
      <c r="AY231" s="76"/>
    </row>
    <row r="232" spans="1:51" s="89" customFormat="1" ht="12.75" customHeight="1" x14ac:dyDescent="0.2">
      <c r="A232" s="462">
        <f>VLOOKUP(B232,Sheet1!$AQ$4:$AR$25,2,FALSE)</f>
        <v>0</v>
      </c>
      <c r="B232" s="95" t="str">
        <f>Adoption!B90</f>
        <v>Slough</v>
      </c>
      <c r="C232" s="87"/>
      <c r="D232" s="158" t="e">
        <f t="shared" si="99"/>
        <v>#N/A</v>
      </c>
      <c r="E232" s="158">
        <f t="shared" si="100"/>
        <v>6.4935064935064929E-2</v>
      </c>
      <c r="F232" s="158">
        <f t="shared" si="101"/>
        <v>8.0357142857142863E-2</v>
      </c>
      <c r="G232" s="158" t="e">
        <f t="shared" si="102"/>
        <v>#N/A</v>
      </c>
      <c r="H232" s="160" t="e">
        <f t="shared" si="103"/>
        <v>#N/A</v>
      </c>
      <c r="I232" s="425"/>
      <c r="J232" s="98"/>
      <c r="K232" s="98"/>
      <c r="L232" s="98"/>
      <c r="M232" s="162"/>
      <c r="N232" s="162"/>
      <c r="O232" s="162"/>
      <c r="P232" s="162"/>
      <c r="Q232" s="162"/>
      <c r="R232" s="162"/>
      <c r="S232" s="163"/>
      <c r="T232" s="162"/>
      <c r="U232" s="87"/>
      <c r="V232" s="1006"/>
      <c r="W232" s="138"/>
      <c r="X232" s="147"/>
      <c r="Y232" s="365" t="str">
        <f t="shared" si="98"/>
        <v>Slough</v>
      </c>
      <c r="Z232" s="365" t="str">
        <f>IF(Year1_Slough Year1_ROSGO_ceased_LAC_CAO="","",Year1_Slough Year1_ROSGO_ceased_LAC_CAO)</f>
        <v>x</v>
      </c>
      <c r="AA232" s="365">
        <f>IF(Year2_Slough Year2_ROSGO_ceased_LAC_CAO="","",Year2_Slough Year2_ROSGO_ceased_LAC_CAO)</f>
        <v>10</v>
      </c>
      <c r="AB232" s="365">
        <f>IF(Year3_Slough Year3_ROSGO_ceased_LAC_CAO="","",Year3_Slough Year3_ROSGO_ceased_LAC_CAO)</f>
        <v>9</v>
      </c>
      <c r="AC232" s="365" t="str">
        <f>IF(Year4_Slough Year4_ROSGO_ceased_LAC_CAO="","",Year4_Slough Year4_ROSGO_ceased_LAC_CAO)</f>
        <v>x</v>
      </c>
      <c r="AD232" s="365" t="str">
        <f>IF(Year5_Slough Year5_ROSGO_ceased_LAC_CAO="","",Year5_Slough Year5_ROSGO_ceased_LAC_CAO)</f>
        <v>x</v>
      </c>
      <c r="AE232" s="376"/>
      <c r="AH232" s="83"/>
      <c r="AI232" s="83"/>
      <c r="AJ232" s="83"/>
      <c r="AK232" s="153"/>
      <c r="AL232" s="76"/>
      <c r="AM232" s="76"/>
      <c r="AN232" s="76"/>
      <c r="AO232" s="76"/>
      <c r="AP232" s="76"/>
      <c r="AQ232" s="76"/>
      <c r="AR232" s="76"/>
      <c r="AS232" s="76"/>
      <c r="AT232" s="76"/>
      <c r="AU232" s="76"/>
      <c r="AV232" s="76"/>
      <c r="AW232" s="76"/>
      <c r="AX232" s="76"/>
      <c r="AY232" s="76"/>
    </row>
    <row r="233" spans="1:51" s="89" customFormat="1" ht="12.75" customHeight="1" x14ac:dyDescent="0.2">
      <c r="A233" s="462">
        <f>VLOOKUP(B233,Sheet1!$AQ$4:$AR$25,2,FALSE)</f>
        <v>0</v>
      </c>
      <c r="B233" s="95" t="str">
        <f>Adoption!B91</f>
        <v>Somerset</v>
      </c>
      <c r="C233" s="87"/>
      <c r="D233" s="158">
        <f t="shared" si="99"/>
        <v>1.6722408026755852E-2</v>
      </c>
      <c r="E233" s="158" t="e">
        <f t="shared" si="100"/>
        <v>#N/A</v>
      </c>
      <c r="F233" s="158">
        <f t="shared" si="101"/>
        <v>4.5977011494252873E-2</v>
      </c>
      <c r="G233" s="158">
        <f t="shared" si="102"/>
        <v>2.6905829596412557E-2</v>
      </c>
      <c r="H233" s="160" t="e">
        <f t="shared" si="103"/>
        <v>#N/A</v>
      </c>
      <c r="I233" s="425"/>
      <c r="J233" s="98"/>
      <c r="K233" s="98"/>
      <c r="L233" s="98"/>
      <c r="M233" s="162"/>
      <c r="N233" s="162"/>
      <c r="O233" s="162"/>
      <c r="P233" s="162"/>
      <c r="Q233" s="162"/>
      <c r="R233" s="162"/>
      <c r="S233" s="163"/>
      <c r="T233" s="162"/>
      <c r="U233" s="87"/>
      <c r="V233" s="1006"/>
      <c r="W233" s="138"/>
      <c r="X233" s="147"/>
      <c r="Y233" s="365" t="str">
        <f t="shared" si="98"/>
        <v>Somerset</v>
      </c>
      <c r="Z233" s="365">
        <f>IF(Year1_Somerset Year1_ROSGO_ceased_LAC_CAO="","",Year1_Somerset Year1_ROSGO_ceased_LAC_CAO)</f>
        <v>5</v>
      </c>
      <c r="AA233" s="365" t="str">
        <f>IF(Year2_Somerset Year2_ROSGO_ceased_LAC_CAO="","",Year2_Somerset Year2_ROSGO_ceased_LAC_CAO)</f>
        <v>x</v>
      </c>
      <c r="AB233" s="365">
        <f>IF(Year3_Somerset Year3_ROSGO_ceased_LAC_CAO="","",Year3_Somerset Year3_ROSGO_ceased_LAC_CAO)</f>
        <v>12</v>
      </c>
      <c r="AC233" s="365">
        <f>IF(Year4_Somerset Year4_ROSGO_ceased_LAC_CAO="","",Year4_Somerset Year4_ROSGO_ceased_LAC_CAO)</f>
        <v>6</v>
      </c>
      <c r="AD233" s="365" t="str">
        <f>IF(Year5_Somerset Year5_ROSGO_ceased_LAC_CAO="","",Year5_Somerset Year5_ROSGO_ceased_LAC_CAO)</f>
        <v>x</v>
      </c>
      <c r="AE233" s="376"/>
      <c r="AH233" s="83"/>
      <c r="AI233" s="83"/>
      <c r="AJ233" s="83"/>
      <c r="AK233" s="153"/>
      <c r="AL233" s="76"/>
      <c r="AM233" s="76"/>
      <c r="AN233" s="76"/>
      <c r="AO233" s="76"/>
      <c r="AP233" s="76"/>
      <c r="AQ233" s="76"/>
      <c r="AR233" s="76"/>
      <c r="AS233" s="76"/>
      <c r="AT233" s="76"/>
      <c r="AU233" s="76"/>
      <c r="AV233" s="76"/>
      <c r="AW233" s="76"/>
      <c r="AX233" s="76"/>
      <c r="AY233" s="76"/>
    </row>
    <row r="234" spans="1:51" s="89" customFormat="1" ht="12.75" customHeight="1" x14ac:dyDescent="0.2">
      <c r="A234" s="462">
        <f>VLOOKUP(B234,Sheet1!$AQ$4:$AR$25,2,FALSE)</f>
        <v>0</v>
      </c>
      <c r="B234" s="95" t="str">
        <f>Adoption!B92</f>
        <v>Southampton</v>
      </c>
      <c r="C234" s="87"/>
      <c r="D234" s="158">
        <f t="shared" si="99"/>
        <v>5.2083333333333336E-2</v>
      </c>
      <c r="E234" s="158" t="e">
        <f t="shared" si="100"/>
        <v>#N/A</v>
      </c>
      <c r="F234" s="158" t="e">
        <f t="shared" si="101"/>
        <v>#N/A</v>
      </c>
      <c r="G234" s="158">
        <f t="shared" si="102"/>
        <v>6.5989847715736044E-2</v>
      </c>
      <c r="H234" s="160">
        <f t="shared" si="103"/>
        <v>3.7383177570093455E-2</v>
      </c>
      <c r="I234" s="425"/>
      <c r="J234" s="98"/>
      <c r="K234" s="98"/>
      <c r="L234" s="98"/>
      <c r="M234" s="162"/>
      <c r="N234" s="162"/>
      <c r="O234" s="162"/>
      <c r="P234" s="162"/>
      <c r="Q234" s="162"/>
      <c r="R234" s="162"/>
      <c r="S234" s="163"/>
      <c r="T234" s="162"/>
      <c r="U234" s="87"/>
      <c r="V234" s="1006"/>
      <c r="W234" s="138"/>
      <c r="X234" s="147"/>
      <c r="Y234" s="365" t="str">
        <f t="shared" si="98"/>
        <v>Southampton</v>
      </c>
      <c r="Z234" s="365">
        <f>IF(Year1_Southampton Year1_ROSGO_ceased_LAC_CAO="","",Year1_Southampton Year1_ROSGO_ceased_LAC_CAO)</f>
        <v>10</v>
      </c>
      <c r="AA234" s="365" t="str">
        <f>IF(Year2_Southampton Year2_ROSGO_ceased_LAC_CAO="","",Year2_Southampton Year2_ROSGO_ceased_LAC_CAO)</f>
        <v>x</v>
      </c>
      <c r="AB234" s="365" t="str">
        <f>IF(Year3_Southampton Year3_ROSGO_ceased_LAC_CAO="","",Year3_Southampton Year3_ROSGO_ceased_LAC_CAO)</f>
        <v>x</v>
      </c>
      <c r="AC234" s="365">
        <f>IF(Year4_Southampton Year4_ROSGO_ceased_LAC_CAO="","",Year4_Southampton Year4_ROSGO_ceased_LAC_CAO)</f>
        <v>13</v>
      </c>
      <c r="AD234" s="365">
        <f>IF(Year5_Southampton Year5_ROSGO_ceased_LAC_CAO="","",Year5_Southampton Year5_ROSGO_ceased_LAC_CAO)</f>
        <v>8</v>
      </c>
      <c r="AE234" s="376"/>
      <c r="AH234" s="83"/>
      <c r="AI234" s="83"/>
      <c r="AJ234" s="83"/>
      <c r="AK234" s="153"/>
      <c r="AL234" s="76"/>
      <c r="AM234" s="76"/>
      <c r="AN234" s="76"/>
      <c r="AO234" s="76"/>
      <c r="AP234" s="76"/>
      <c r="AQ234" s="76"/>
      <c r="AR234" s="76"/>
      <c r="AS234" s="76"/>
      <c r="AT234" s="76"/>
      <c r="AU234" s="76"/>
      <c r="AV234" s="76"/>
      <c r="AW234" s="76"/>
      <c r="AX234" s="76"/>
      <c r="AY234" s="76"/>
    </row>
    <row r="235" spans="1:51" s="89" customFormat="1" ht="12.75" customHeight="1" x14ac:dyDescent="0.2">
      <c r="A235" s="462">
        <f>VLOOKUP(B235,Sheet1!$AQ$4:$AR$25,2,FALSE)</f>
        <v>0</v>
      </c>
      <c r="B235" s="95" t="str">
        <f>Adoption!B93</f>
        <v>Surrey</v>
      </c>
      <c r="C235" s="87"/>
      <c r="D235" s="158">
        <f t="shared" si="99"/>
        <v>1.3368983957219251E-2</v>
      </c>
      <c r="E235" s="158">
        <f t="shared" si="100"/>
        <v>3.7037037037037035E-2</v>
      </c>
      <c r="F235" s="158">
        <f t="shared" si="101"/>
        <v>1.6706443914081145E-2</v>
      </c>
      <c r="G235" s="158">
        <f t="shared" si="102"/>
        <v>3.1784841075794622E-2</v>
      </c>
      <c r="H235" s="160">
        <f t="shared" si="103"/>
        <v>2.7918781725888325E-2</v>
      </c>
      <c r="I235" s="425"/>
      <c r="J235" s="98"/>
      <c r="K235" s="98"/>
      <c r="L235" s="98"/>
      <c r="M235" s="162"/>
      <c r="N235" s="162"/>
      <c r="O235" s="162"/>
      <c r="P235" s="162"/>
      <c r="Q235" s="162"/>
      <c r="R235" s="162"/>
      <c r="S235" s="163"/>
      <c r="T235" s="162"/>
      <c r="U235" s="87"/>
      <c r="V235" s="1006"/>
      <c r="W235" s="138"/>
      <c r="X235" s="147"/>
      <c r="Y235" s="365" t="str">
        <f t="shared" si="98"/>
        <v>Surrey</v>
      </c>
      <c r="Z235" s="365">
        <f>IF(Year1_Surrey Year1_ROSGO_ceased_LAC_CAO="","",Year1_Surrey Year1_ROSGO_ceased_LAC_CAO)</f>
        <v>5</v>
      </c>
      <c r="AA235" s="365">
        <f>IF(Year2_Surrey Year2_ROSGO_ceased_LAC_CAO="","",Year2_Surrey Year2_ROSGO_ceased_LAC_CAO)</f>
        <v>15</v>
      </c>
      <c r="AB235" s="365">
        <f>IF(Year3_Surrey Year3_ROSGO_ceased_LAC_CAO="","",Year3_Surrey Year3_ROSGO_ceased_LAC_CAO)</f>
        <v>7</v>
      </c>
      <c r="AC235" s="365">
        <f>IF(Year4_Surrey Year4_ROSGO_ceased_LAC_CAO="","",Year4_Surrey Year4_ROSGO_ceased_LAC_CAO)</f>
        <v>13</v>
      </c>
      <c r="AD235" s="365">
        <f>IF(Year5_Surrey Year5_ROSGO_ceased_LAC_CAO="","",Year5_Surrey Year5_ROSGO_ceased_LAC_CAO)</f>
        <v>11</v>
      </c>
      <c r="AE235" s="376"/>
      <c r="AH235" s="83"/>
      <c r="AI235" s="83"/>
      <c r="AJ235" s="83"/>
      <c r="AK235" s="153"/>
      <c r="AL235" s="76"/>
      <c r="AM235" s="76"/>
      <c r="AN235" s="76"/>
      <c r="AO235" s="76"/>
      <c r="AP235" s="76"/>
      <c r="AQ235" s="76"/>
      <c r="AR235" s="76"/>
      <c r="AS235" s="76"/>
      <c r="AT235" s="76"/>
      <c r="AU235" s="76"/>
      <c r="AV235" s="76"/>
      <c r="AW235" s="76"/>
      <c r="AX235" s="76"/>
      <c r="AY235" s="76"/>
    </row>
    <row r="236" spans="1:51" s="89" customFormat="1" ht="12.75" customHeight="1" x14ac:dyDescent="0.2">
      <c r="A236" s="462">
        <f>VLOOKUP(B236,Sheet1!$AQ$4:$AR$25,2,FALSE)</f>
        <v>0</v>
      </c>
      <c r="B236" s="95" t="str">
        <f>Adoption!B94</f>
        <v>Swindon</v>
      </c>
      <c r="C236" s="87"/>
      <c r="D236" s="158" t="e">
        <f t="shared" si="99"/>
        <v>#N/A</v>
      </c>
      <c r="E236" s="158" t="e">
        <f t="shared" si="100"/>
        <v>#N/A</v>
      </c>
      <c r="F236" s="158">
        <f t="shared" si="101"/>
        <v>6.6666666666666666E-2</v>
      </c>
      <c r="G236" s="158">
        <f t="shared" si="102"/>
        <v>5.1612903225806452E-2</v>
      </c>
      <c r="H236" s="160" t="e">
        <f t="shared" si="103"/>
        <v>#N/A</v>
      </c>
      <c r="I236" s="425"/>
      <c r="J236" s="98"/>
      <c r="K236" s="98"/>
      <c r="L236" s="98"/>
      <c r="M236" s="162"/>
      <c r="N236" s="162"/>
      <c r="O236" s="162"/>
      <c r="P236" s="162"/>
      <c r="Q236" s="162"/>
      <c r="R236" s="162"/>
      <c r="S236" s="163"/>
      <c r="T236" s="162"/>
      <c r="U236" s="87"/>
      <c r="V236" s="1006"/>
      <c r="W236" s="138"/>
      <c r="X236" s="147"/>
      <c r="Y236" s="365" t="str">
        <f t="shared" si="98"/>
        <v>Swindon</v>
      </c>
      <c r="Z236" s="365" t="str">
        <f>IF(Year1_Swindon Year1_ROSGO_ceased_LAC_CAO="","",Year1_Swindon Year1_ROSGO_ceased_LAC_CAO)</f>
        <v>x</v>
      </c>
      <c r="AA236" s="365" t="str">
        <f>IF(Year2_Swindon Year2_ROSGO_ceased_LAC_CAO="","",Year2_Swindon Year2_ROSGO_ceased_LAC_CAO)</f>
        <v>x</v>
      </c>
      <c r="AB236" s="365">
        <f>IF(Year3_Swindon Year3_ROSGO_ceased_LAC_CAO="","",Year3_Swindon Year3_ROSGO_ceased_LAC_CAO)</f>
        <v>10</v>
      </c>
      <c r="AC236" s="574">
        <f>IF(Year4_Swindon Year4_ROSGO_ceased_LAC_CAO="","",Year4_Swindon Year4_ROSGO_ceased_LAC_CAO)</f>
        <v>8</v>
      </c>
      <c r="AD236" s="574" t="str">
        <f>IF(Year5_Swindon Year5_ROSGO_ceased_LAC_CAO="","",Year5_Swindon Year5_ROSGO_ceased_LAC_CAO)</f>
        <v>x</v>
      </c>
      <c r="AE236" s="376"/>
      <c r="AH236" s="83"/>
      <c r="AI236" s="83"/>
      <c r="AJ236" s="83"/>
      <c r="AK236" s="153"/>
      <c r="AL236" s="76"/>
      <c r="AM236" s="76"/>
      <c r="AN236" s="76"/>
      <c r="AO236" s="76"/>
      <c r="AP236" s="76"/>
      <c r="AQ236" s="76"/>
      <c r="AR236" s="76"/>
      <c r="AS236" s="76"/>
      <c r="AT236" s="76"/>
      <c r="AU236" s="76"/>
      <c r="AV236" s="76"/>
      <c r="AW236" s="76"/>
      <c r="AX236" s="76"/>
      <c r="AY236" s="76"/>
    </row>
    <row r="237" spans="1:51" s="89" customFormat="1" ht="12.75" customHeight="1" x14ac:dyDescent="0.2">
      <c r="A237" s="462">
        <f>VLOOKUP(B237,Sheet1!$AQ$4:$AR$25,2,FALSE)</f>
        <v>0</v>
      </c>
      <c r="B237" s="95" t="str">
        <f>Adoption!B95</f>
        <v>Torbay</v>
      </c>
      <c r="C237" s="87"/>
      <c r="D237" s="158">
        <f t="shared" si="99"/>
        <v>4.0322580645161289E-2</v>
      </c>
      <c r="E237" s="158">
        <f t="shared" si="100"/>
        <v>0.04</v>
      </c>
      <c r="F237" s="158">
        <f t="shared" si="101"/>
        <v>0.1111111111111111</v>
      </c>
      <c r="G237" s="158">
        <f t="shared" si="102"/>
        <v>5.8823529411764705E-2</v>
      </c>
      <c r="H237" s="160">
        <f t="shared" si="103"/>
        <v>6.7796610169491525E-2</v>
      </c>
      <c r="I237" s="425"/>
      <c r="J237" s="98"/>
      <c r="K237" s="98"/>
      <c r="L237" s="98"/>
      <c r="M237" s="162"/>
      <c r="N237" s="162"/>
      <c r="O237" s="162"/>
      <c r="P237" s="162"/>
      <c r="Q237" s="162"/>
      <c r="R237" s="162"/>
      <c r="S237" s="163"/>
      <c r="T237" s="162"/>
      <c r="U237" s="87"/>
      <c r="V237" s="1006"/>
      <c r="W237" s="138"/>
      <c r="X237" s="147"/>
      <c r="Y237" s="365" t="str">
        <f t="shared" si="98"/>
        <v>Torbay</v>
      </c>
      <c r="Z237" s="365">
        <f>IF(Year1_Torbay Year1_ROSGO_ceased_LAC_CAO="","",Year1_Torbay Year1_ROSGO_ceased_LAC_CAO)</f>
        <v>5</v>
      </c>
      <c r="AA237" s="365">
        <f>IF(Year2_Torbay Year2_ROSGO_ceased_LAC_CAO="","",Year2_Torbay Year2_ROSGO_ceased_LAC_CAO)</f>
        <v>5</v>
      </c>
      <c r="AB237" s="365">
        <f>IF(Year3_Torbay Year3_ROSGO_ceased_LAC_CAO="","",Year3_Torbay Year3_ROSGO_ceased_LAC_CAO)</f>
        <v>12</v>
      </c>
      <c r="AC237" s="574">
        <f>IF(Year4_Torbay Year4_ROSGO_ceased_LAC_CAO="","",Year4_Torbay Year4_ROSGO_ceased_LAC_CAO)</f>
        <v>6</v>
      </c>
      <c r="AD237" s="574">
        <f>IF(Year5_Torbay Year5_ROSGO_ceased_LAC_CAO="","",Year5_Torbay Year5_ROSGO_ceased_LAC_CAO)</f>
        <v>8</v>
      </c>
      <c r="AE237" s="376"/>
      <c r="AH237" s="83"/>
      <c r="AI237" s="83"/>
      <c r="AJ237" s="83"/>
      <c r="AK237" s="153"/>
      <c r="AL237" s="76"/>
      <c r="AM237" s="76"/>
      <c r="AN237" s="76"/>
      <c r="AO237" s="76"/>
      <c r="AP237" s="76"/>
      <c r="AQ237" s="76"/>
      <c r="AR237" s="76"/>
      <c r="AS237" s="76"/>
      <c r="AT237" s="76"/>
      <c r="AU237" s="76"/>
      <c r="AV237" s="76"/>
      <c r="AW237" s="76"/>
      <c r="AX237" s="76"/>
      <c r="AY237" s="76"/>
    </row>
    <row r="238" spans="1:51" s="89" customFormat="1" ht="12.75" customHeight="1" x14ac:dyDescent="0.2">
      <c r="A238" s="462">
        <f>VLOOKUP(B238,Sheet1!$AQ$4:$AR$25,2,FALSE)</f>
        <v>0</v>
      </c>
      <c r="B238" s="95" t="str">
        <f>Adoption!B96</f>
        <v>West Berkshire</v>
      </c>
      <c r="C238" s="87"/>
      <c r="D238" s="158">
        <f t="shared" si="99"/>
        <v>7.6923076923076927E-2</v>
      </c>
      <c r="E238" s="158">
        <f t="shared" si="100"/>
        <v>0.14492753623188406</v>
      </c>
      <c r="F238" s="158">
        <f t="shared" si="101"/>
        <v>9.45945945945946E-2</v>
      </c>
      <c r="G238" s="158">
        <f t="shared" si="102"/>
        <v>0.10465116279069768</v>
      </c>
      <c r="H238" s="160" t="e">
        <f t="shared" si="103"/>
        <v>#N/A</v>
      </c>
      <c r="I238" s="425"/>
      <c r="J238" s="98"/>
      <c r="K238" s="98"/>
      <c r="L238" s="98"/>
      <c r="M238" s="162"/>
      <c r="N238" s="162"/>
      <c r="O238" s="162"/>
      <c r="P238" s="162"/>
      <c r="Q238" s="162"/>
      <c r="R238" s="162"/>
      <c r="S238" s="163"/>
      <c r="T238" s="162"/>
      <c r="U238" s="87"/>
      <c r="V238" s="1006"/>
      <c r="W238" s="138"/>
      <c r="X238" s="147"/>
      <c r="Y238" s="365" t="str">
        <f t="shared" si="98"/>
        <v>West Berkshire</v>
      </c>
      <c r="Z238" s="365">
        <f>IF(Year1_West_Berkshire Year1_ROSGO_ceased_LAC_CAO="","",Year1_West_Berkshire Year1_ROSGO_ceased_LAC_CAO)</f>
        <v>5</v>
      </c>
      <c r="AA238" s="365">
        <f>IF(Year2_West_Berkshire Year2_ROSGO_ceased_LAC_CAO="","",Year2_West_Berkshire Year2_ROSGO_ceased_LAC_CAO)</f>
        <v>10</v>
      </c>
      <c r="AB238" s="365">
        <f>IF(Year3_West_Berkshire Year3_ROSGO_ceased_LAC_CAO="","",Year3_West_Berkshire Year3_ROSGO_ceased_LAC_CAO)</f>
        <v>7</v>
      </c>
      <c r="AC238" s="365">
        <f>IF(Year4_West_Berkshire Year4_ROSGO_ceased_LAC_CAO="","",Year4_West_Berkshire Year4_ROSGO_ceased_LAC_CAO)</f>
        <v>9</v>
      </c>
      <c r="AD238" s="365" t="str">
        <f>IF(Year5_West_Berkshire Year5_ROSGO_ceased_LAC_CAO="","",Year5_West_Berkshire Year5_ROSGO_ceased_LAC_CAO)</f>
        <v>x</v>
      </c>
      <c r="AE238" s="376"/>
      <c r="AH238" s="83"/>
      <c r="AI238" s="83"/>
      <c r="AJ238" s="83"/>
      <c r="AK238" s="153"/>
      <c r="AL238" s="76"/>
      <c r="AM238" s="76"/>
      <c r="AN238" s="76"/>
      <c r="AO238" s="76"/>
      <c r="AP238" s="76"/>
      <c r="AQ238" s="76"/>
      <c r="AR238" s="76"/>
      <c r="AS238" s="76"/>
      <c r="AT238" s="76"/>
      <c r="AU238" s="76"/>
      <c r="AV238" s="76"/>
      <c r="AW238" s="76"/>
      <c r="AX238" s="76"/>
      <c r="AY238" s="76"/>
    </row>
    <row r="239" spans="1:51" s="89" customFormat="1" ht="12.75" customHeight="1" x14ac:dyDescent="0.2">
      <c r="A239" s="462">
        <f>VLOOKUP(B239,Sheet1!$AQ$4:$AR$25,2,FALSE)</f>
        <v>0</v>
      </c>
      <c r="B239" s="95" t="str">
        <f>Adoption!B97</f>
        <v>West Sussex</v>
      </c>
      <c r="C239" s="87"/>
      <c r="D239" s="158">
        <f t="shared" si="99"/>
        <v>0</v>
      </c>
      <c r="E239" s="158" t="e">
        <f t="shared" si="100"/>
        <v>#N/A</v>
      </c>
      <c r="F239" s="158">
        <f t="shared" si="101"/>
        <v>0</v>
      </c>
      <c r="G239" s="158">
        <f t="shared" si="102"/>
        <v>0</v>
      </c>
      <c r="H239" s="160" t="e">
        <f t="shared" si="103"/>
        <v>#N/A</v>
      </c>
      <c r="I239" s="425"/>
      <c r="J239" s="98"/>
      <c r="K239" s="98"/>
      <c r="L239" s="98"/>
      <c r="M239" s="162"/>
      <c r="N239" s="162"/>
      <c r="O239" s="162"/>
      <c r="P239" s="162"/>
      <c r="Q239" s="162"/>
      <c r="R239" s="162"/>
      <c r="S239" s="163"/>
      <c r="T239" s="162"/>
      <c r="U239" s="87"/>
      <c r="V239" s="1006"/>
      <c r="W239" s="138"/>
      <c r="X239" s="147"/>
      <c r="Y239" s="365" t="str">
        <f t="shared" si="98"/>
        <v>West Sussex</v>
      </c>
      <c r="Z239" s="365">
        <f>IF(Year1_West_Sussex Year1_ROSGO_ceased_LAC_CAO="","",Year1_West_Sussex Year1_ROSGO_ceased_LAC_CAO)</f>
        <v>0</v>
      </c>
      <c r="AA239" s="365" t="str">
        <f>IF(Year2_West_Sussex Year2_ROSGO_ceased_LAC_CAO="","",Year2_West_Sussex Year2_ROSGO_ceased_LAC_CAO)</f>
        <v>x</v>
      </c>
      <c r="AB239" s="365">
        <f>IF(Year3_West_Sussex Year3_ROSGO_ceased_LAC_CAO="","",Year3_West_Sussex Year3_ROSGO_ceased_LAC_CAO)</f>
        <v>0</v>
      </c>
      <c r="AC239" s="365">
        <f>IF(Year4_West_Sussex Year4_ROSGO_ceased_LAC_CAO="","",Year4_West_Sussex Year4_ROSGO_ceased_LAC_CAO)</f>
        <v>0</v>
      </c>
      <c r="AD239" s="365" t="str">
        <f>IF(Year5_West_Sussex Year5_ROSGO_ceased_LAC_CAO="","",Year5_West_Sussex Year5_ROSGO_ceased_LAC_CAO)</f>
        <v>x</v>
      </c>
      <c r="AE239" s="376"/>
      <c r="AH239" s="83"/>
      <c r="AI239" s="83"/>
      <c r="AJ239" s="83"/>
      <c r="AK239" s="153"/>
      <c r="AL239" s="76"/>
      <c r="AM239" s="76"/>
      <c r="AN239" s="76"/>
      <c r="AO239" s="76"/>
      <c r="AP239" s="76"/>
      <c r="AQ239" s="76"/>
      <c r="AR239" s="76"/>
      <c r="AS239" s="76"/>
      <c r="AT239" s="76"/>
      <c r="AU239" s="76"/>
      <c r="AV239" s="76"/>
      <c r="AW239" s="76"/>
      <c r="AX239" s="76"/>
      <c r="AY239" s="76"/>
    </row>
    <row r="240" spans="1:51" s="89" customFormat="1" ht="12.75" customHeight="1" x14ac:dyDescent="0.2">
      <c r="A240" s="462">
        <f>VLOOKUP(B240,Sheet1!$AQ$4:$AR$25,2,FALSE)</f>
        <v>0</v>
      </c>
      <c r="B240" s="95" t="str">
        <f>Adoption!B98</f>
        <v>Windsor &amp; Maidenhead</v>
      </c>
      <c r="C240" s="87"/>
      <c r="D240" s="158">
        <f t="shared" si="99"/>
        <v>0</v>
      </c>
      <c r="E240" s="158" t="e">
        <f t="shared" si="100"/>
        <v>#N/A</v>
      </c>
      <c r="F240" s="158" t="e">
        <f t="shared" si="101"/>
        <v>#N/A</v>
      </c>
      <c r="G240" s="158" t="e">
        <f t="shared" si="102"/>
        <v>#N/A</v>
      </c>
      <c r="H240" s="160">
        <f t="shared" si="103"/>
        <v>0</v>
      </c>
      <c r="I240" s="425"/>
      <c r="J240" s="98"/>
      <c r="K240" s="98"/>
      <c r="L240" s="98"/>
      <c r="M240" s="162"/>
      <c r="N240" s="162"/>
      <c r="O240" s="162"/>
      <c r="P240" s="162"/>
      <c r="Q240" s="162"/>
      <c r="R240" s="162"/>
      <c r="S240" s="163"/>
      <c r="T240" s="162"/>
      <c r="U240" s="87"/>
      <c r="V240" s="1006"/>
      <c r="W240" s="138"/>
      <c r="X240" s="147"/>
      <c r="Y240" s="365" t="str">
        <f t="shared" si="98"/>
        <v>Windsor &amp; Maidenhead</v>
      </c>
      <c r="Z240" s="365">
        <f>IF(Year1_Windsor_Maidenhead Year1_ROSGO_ceased_LAC_CAO="","",Year1_Windsor_Maidenhead Year1_ROSGO_ceased_LAC_CAO)</f>
        <v>0</v>
      </c>
      <c r="AA240" s="365" t="str">
        <f>IF(Year2_Windsor_Maidenhead Year2_ROSGO_ceased_LAC_CAO="","",Year2_Windsor_Maidenhead Year2_ROSGO_ceased_LAC_CAO)</f>
        <v>x</v>
      </c>
      <c r="AB240" s="365" t="str">
        <f>IF(Year3_Windsor_Maidenhead Year3_ROSGO_ceased_LAC_CAO="","",Year3_Windsor_Maidenhead Year3_ROSGO_ceased_LAC_CAO)</f>
        <v>x</v>
      </c>
      <c r="AC240" s="365" t="str">
        <f>IF(Year4_Windsor_Maidenhead Year4_ROSGO_ceased_LAC_CAO="","",Year4_Windsor_Maidenhead Year4_ROSGO_ceased_LAC_CAO)</f>
        <v>x</v>
      </c>
      <c r="AD240" s="365">
        <f>IF(Year5_Windsor_Maidenhead Year5_ROSGO_ceased_LAC_CAO="","",Year5_Windsor_Maidenhead Year5_ROSGO_ceased_LAC_CAO)</f>
        <v>0</v>
      </c>
      <c r="AE240" s="376"/>
      <c r="AH240" s="83"/>
      <c r="AI240" s="83"/>
      <c r="AJ240" s="83"/>
      <c r="AK240" s="153"/>
      <c r="AL240" s="76"/>
      <c r="AM240" s="76"/>
      <c r="AN240" s="76"/>
      <c r="AO240" s="76"/>
      <c r="AP240" s="76"/>
      <c r="AQ240" s="76"/>
      <c r="AR240" s="76"/>
      <c r="AS240" s="76"/>
      <c r="AT240" s="76"/>
      <c r="AU240" s="76"/>
      <c r="AV240" s="76"/>
      <c r="AW240" s="76"/>
      <c r="AX240" s="76"/>
      <c r="AY240" s="76"/>
    </row>
    <row r="241" spans="1:51" s="89" customFormat="1" ht="12.75" customHeight="1" x14ac:dyDescent="0.2">
      <c r="A241" s="462">
        <f>VLOOKUP(B241,Sheet1!$AQ$4:$AR$25,2,FALSE)</f>
        <v>0</v>
      </c>
      <c r="B241" s="95" t="str">
        <f>Adoption!B99</f>
        <v>Wokingham</v>
      </c>
      <c r="C241" s="87"/>
      <c r="D241" s="158" t="e">
        <f t="shared" si="99"/>
        <v>#N/A</v>
      </c>
      <c r="E241" s="158">
        <f t="shared" si="100"/>
        <v>0</v>
      </c>
      <c r="F241" s="158" t="e">
        <f t="shared" si="101"/>
        <v>#N/A</v>
      </c>
      <c r="G241" s="158">
        <f t="shared" si="102"/>
        <v>0</v>
      </c>
      <c r="H241" s="160" t="e">
        <f t="shared" si="103"/>
        <v>#N/A</v>
      </c>
      <c r="I241" s="425"/>
      <c r="J241" s="98"/>
      <c r="K241" s="98"/>
      <c r="L241" s="98"/>
      <c r="M241" s="162"/>
      <c r="N241" s="162"/>
      <c r="O241" s="162"/>
      <c r="P241" s="162"/>
      <c r="Q241" s="162"/>
      <c r="R241" s="162"/>
      <c r="S241" s="163"/>
      <c r="T241" s="162"/>
      <c r="U241" s="87"/>
      <c r="V241" s="1006"/>
      <c r="W241" s="138"/>
      <c r="X241" s="147"/>
      <c r="Y241" s="365" t="str">
        <f t="shared" si="98"/>
        <v>Wokingham</v>
      </c>
      <c r="Z241" s="365" t="str">
        <f>IF(Year1_Wokingham Year1_ROSGO_ceased_LAC_CAO="","",Year1_Wokingham Year1_ROSGO_ceased_LAC_CAO)</f>
        <v>x</v>
      </c>
      <c r="AA241" s="365">
        <f>IF(Year2_Wokingham Year2_ROSGO_ceased_LAC_CAO="","",Year2_Wokingham Year2_ROSGO_ceased_LAC_CAO)</f>
        <v>0</v>
      </c>
      <c r="AB241" s="365" t="str">
        <f>IF(Year3_Wokingham Year3_ROSGO_ceased_LAC_CAO="","",Year3_Wokingham Year3_ROSGO_ceased_LAC_CAO)</f>
        <v>x</v>
      </c>
      <c r="AC241" s="365">
        <f>IF(Year4_Wokingham Year4_ROSGO_ceased_LAC_CAO="","",Year4_Wokingham Year4_ROSGO_ceased_LAC_CAO)</f>
        <v>0</v>
      </c>
      <c r="AD241" s="365" t="str">
        <f>IF(Year5_Wokingham Year5_ROSGO_ceased_LAC_CAO="","",Year5_Wokingham Year5_ROSGO_ceased_LAC_CAO)</f>
        <v>x</v>
      </c>
      <c r="AE241" s="376"/>
      <c r="AH241" s="83"/>
      <c r="AI241" s="83"/>
      <c r="AJ241" s="83"/>
      <c r="AK241" s="153"/>
      <c r="AL241" s="76"/>
      <c r="AM241" s="76"/>
      <c r="AN241" s="76"/>
      <c r="AO241" s="76"/>
      <c r="AP241" s="76"/>
      <c r="AQ241" s="76"/>
      <c r="AR241" s="76"/>
      <c r="AS241" s="76"/>
      <c r="AT241" s="76"/>
      <c r="AU241" s="76"/>
      <c r="AV241" s="76"/>
      <c r="AW241" s="76"/>
      <c r="AX241" s="76"/>
      <c r="AY241" s="76"/>
    </row>
    <row r="242" spans="1:51" s="89" customFormat="1" ht="12.75" customHeight="1" x14ac:dyDescent="0.2">
      <c r="A242" s="123"/>
      <c r="B242" s="131" t="str">
        <f>Adoption!B100</f>
        <v>South East</v>
      </c>
      <c r="C242" s="87"/>
      <c r="D242" s="159">
        <f t="shared" si="99"/>
        <v>2.4449877750611249E-2</v>
      </c>
      <c r="E242" s="159">
        <f t="shared" si="100"/>
        <v>2.7956989247311829E-2</v>
      </c>
      <c r="F242" s="159">
        <f t="shared" si="101"/>
        <v>2.7956989247311829E-2</v>
      </c>
      <c r="G242" s="159">
        <f t="shared" si="102"/>
        <v>2.7842227378190254E-2</v>
      </c>
      <c r="H242" s="161">
        <f t="shared" si="103"/>
        <v>2.6570048309178744E-2</v>
      </c>
      <c r="I242" s="425"/>
      <c r="J242" s="98"/>
      <c r="K242" s="98"/>
      <c r="L242" s="98"/>
      <c r="M242" s="164"/>
      <c r="N242" s="164"/>
      <c r="O242" s="164"/>
      <c r="P242" s="164"/>
      <c r="Q242" s="164"/>
      <c r="R242" s="164"/>
      <c r="S242" s="165"/>
      <c r="T242" s="166"/>
      <c r="U242" s="87"/>
      <c r="V242" s="1006"/>
      <c r="W242" s="138"/>
      <c r="X242" s="147"/>
      <c r="Y242" s="365" t="str">
        <f t="shared" si="98"/>
        <v>South East</v>
      </c>
      <c r="Z242" s="607">
        <f>IF(Year1_SouthEast Year1_ROSGO_ceased_LAC_CAO=0,NA(),Year1_SouthEast Year1_ROSGO_ceased_LAC_CAO)</f>
        <v>100</v>
      </c>
      <c r="AA242" s="605">
        <f>IF(Year2_SouthEast Year2_ROSGO_ceased_LAC_CAO=0,NA(),Year2_SouthEast Year2_ROSGO_ceased_LAC_CAO)</f>
        <v>130</v>
      </c>
      <c r="AB242" s="605">
        <f>IF(Year3_SouthEast Year3_ROSGO_ceased_LAC_CAO=0,NA(),Year3_SouthEast Year3_ROSGO_ceased_LAC_CAO)</f>
        <v>130</v>
      </c>
      <c r="AC242" s="365">
        <f>IF(Year4_SouthEast Year4_ROSGO_ceased_LAC_CAO=0,NA(),Year4_SouthEast Year4_ROSGO_ceased_LAC_CAO)</f>
        <v>120</v>
      </c>
      <c r="AD242" s="365">
        <f>IF(Year5_SouthEast Year5_ROSGO_ceased_LAC_CAO=0,NA(),Year5_SouthEast Year5_ROSGO_ceased_LAC_CAO)</f>
        <v>110</v>
      </c>
      <c r="AE242" s="376"/>
      <c r="AH242" s="83"/>
      <c r="AI242" s="83"/>
      <c r="AJ242" s="83"/>
      <c r="AK242" s="153"/>
      <c r="AL242" s="76"/>
      <c r="AM242" s="76"/>
      <c r="AN242" s="76"/>
      <c r="AO242" s="76"/>
      <c r="AP242" s="76"/>
      <c r="AQ242" s="76"/>
      <c r="AR242" s="76"/>
      <c r="AS242" s="76"/>
      <c r="AT242" s="76"/>
      <c r="AU242" s="76"/>
      <c r="AV242" s="76"/>
      <c r="AW242" s="76"/>
      <c r="AX242" s="76"/>
      <c r="AY242" s="76"/>
    </row>
    <row r="243" spans="1:51" s="89" customFormat="1" ht="12.75" customHeight="1" x14ac:dyDescent="0.2">
      <c r="A243" s="123"/>
      <c r="B243" s="318" t="str">
        <f>Adoption!B101</f>
        <v>England</v>
      </c>
      <c r="C243" s="87"/>
      <c r="D243" s="344">
        <f t="shared" si="99"/>
        <v>3.2535885167464113E-2</v>
      </c>
      <c r="E243" s="344">
        <f t="shared" si="100"/>
        <v>3.5153797865662272E-2</v>
      </c>
      <c r="F243" s="344">
        <f t="shared" si="101"/>
        <v>3.8216560509554139E-2</v>
      </c>
      <c r="G243" s="344">
        <f t="shared" si="102"/>
        <v>3.8935108153078206E-2</v>
      </c>
      <c r="H243" s="345">
        <f t="shared" si="103"/>
        <v>3.8017651052274268E-2</v>
      </c>
      <c r="I243" s="994"/>
      <c r="J243" s="98"/>
      <c r="K243" s="98"/>
      <c r="L243" s="98"/>
      <c r="M243" s="164"/>
      <c r="N243" s="164"/>
      <c r="O243" s="164"/>
      <c r="P243" s="164"/>
      <c r="Q243" s="164"/>
      <c r="R243" s="164"/>
      <c r="S243" s="165"/>
      <c r="T243" s="166"/>
      <c r="U243" s="87"/>
      <c r="V243" s="1006"/>
      <c r="W243" s="138"/>
      <c r="X243" s="147"/>
      <c r="Y243" s="365" t="str">
        <f t="shared" si="98"/>
        <v>England</v>
      </c>
      <c r="Z243" s="607">
        <f>IF(Year1_England Year1_ROSGO_ceased_LAC_CAO=0,NA(),Year1_England Year1_ROSGO_ceased_LAC_CAO)</f>
        <v>1020</v>
      </c>
      <c r="AA243" s="605">
        <f>IF(Year2_England Year2_ROSGO_ceased_LAC_CAO=0,NA(),Year2_England Year2_ROSGO_ceased_LAC_CAO)</f>
        <v>1120</v>
      </c>
      <c r="AB243" s="605">
        <f>IF(Year3_England Year3_ROSGO_ceased_LAC_CAO=0,NA(),Year3_England Year3_ROSGO_ceased_LAC_CAO)</f>
        <v>1200</v>
      </c>
      <c r="AC243" s="365">
        <f>IF(Year4_England Year4_ROSGO_ceased_LAC_CAO=0,NA(),Year4_England Year4_ROSGO_ceased_LAC_CAO)</f>
        <v>1170</v>
      </c>
      <c r="AD243" s="365">
        <f>IF(Year5_England Year5_ROSGO_ceased_LAC_CAO=0,NA(),Year5_England Year5_ROSGO_ceased_LAC_CAO)</f>
        <v>1120</v>
      </c>
      <c r="AE243" s="376"/>
      <c r="AH243" s="83"/>
      <c r="AI243" s="83"/>
      <c r="AJ243" s="83"/>
      <c r="AK243" s="153"/>
      <c r="AL243" s="76"/>
      <c r="AM243" s="76"/>
      <c r="AN243" s="76"/>
      <c r="AO243" s="76"/>
      <c r="AP243" s="76"/>
      <c r="AQ243" s="76"/>
      <c r="AR243" s="76"/>
      <c r="AS243" s="76"/>
      <c r="AT243" s="76"/>
      <c r="AU243" s="76"/>
      <c r="AV243" s="76"/>
      <c r="AW243" s="76"/>
      <c r="AX243" s="76"/>
      <c r="AY243" s="76"/>
    </row>
    <row r="244" spans="1:51" s="89" customFormat="1" ht="7.5" customHeight="1" x14ac:dyDescent="0.2">
      <c r="A244" s="286"/>
      <c r="B244" s="98"/>
      <c r="C244" s="98"/>
      <c r="D244" s="98"/>
      <c r="E244" s="98"/>
      <c r="F244" s="98"/>
      <c r="G244" s="98"/>
      <c r="H244" s="98"/>
      <c r="I244" s="98"/>
      <c r="J244" s="98"/>
      <c r="K244" s="98"/>
      <c r="L244" s="98"/>
      <c r="M244" s="164"/>
      <c r="N244" s="164"/>
      <c r="O244" s="164"/>
      <c r="P244" s="164"/>
      <c r="Q244" s="164"/>
      <c r="R244" s="164"/>
      <c r="S244" s="165"/>
      <c r="T244" s="166"/>
      <c r="U244" s="87"/>
      <c r="V244" s="1006"/>
      <c r="W244" s="138"/>
      <c r="X244" s="64"/>
      <c r="Y244" s="83"/>
      <c r="Z244" s="83"/>
      <c r="AC244" s="191"/>
      <c r="AD244" s="191"/>
      <c r="AE244" s="376"/>
      <c r="AH244" s="83"/>
      <c r="AI244" s="83"/>
      <c r="AJ244" s="83"/>
      <c r="AK244" s="153"/>
      <c r="AL244" s="76"/>
      <c r="AM244" s="76"/>
      <c r="AN244" s="76"/>
      <c r="AO244" s="76"/>
      <c r="AP244" s="76"/>
      <c r="AQ244" s="76"/>
      <c r="AR244" s="76"/>
      <c r="AS244" s="76"/>
      <c r="AT244" s="76"/>
      <c r="AU244" s="76"/>
      <c r="AV244" s="76"/>
      <c r="AW244" s="76"/>
      <c r="AX244" s="76"/>
      <c r="AY244" s="76"/>
    </row>
    <row r="245" spans="1:51" s="83" customFormat="1" ht="38.25" customHeight="1" x14ac:dyDescent="0.2">
      <c r="A245" s="213"/>
      <c r="B245" s="385"/>
      <c r="C245" s="385"/>
      <c r="D245" s="385"/>
      <c r="E245" s="385"/>
      <c r="F245" s="385"/>
      <c r="G245" s="385"/>
      <c r="H245" s="385"/>
      <c r="I245" s="385"/>
      <c r="J245" s="385"/>
      <c r="K245" s="385"/>
      <c r="L245" s="168"/>
      <c r="M245" s="168"/>
      <c r="N245" s="168"/>
      <c r="O245" s="168"/>
      <c r="P245" s="168"/>
      <c r="Q245" s="168"/>
      <c r="R245" s="168"/>
      <c r="S245" s="137"/>
      <c r="T245" s="168"/>
      <c r="U245" s="9"/>
      <c r="V245" s="1296"/>
      <c r="W245" s="138"/>
      <c r="X245" s="64"/>
      <c r="Y245" s="65"/>
      <c r="Z245" s="62"/>
      <c r="AA245" s="62"/>
      <c r="AB245" s="62"/>
      <c r="AC245" s="65"/>
      <c r="AD245" s="65"/>
      <c r="AE245" s="65"/>
      <c r="AF245" s="65"/>
      <c r="AG245" s="65"/>
      <c r="AH245" s="58"/>
      <c r="AI245" s="58"/>
      <c r="AJ245" s="58"/>
      <c r="AK245" s="153"/>
      <c r="AL245" s="76"/>
      <c r="AM245" s="76"/>
      <c r="AN245" s="76"/>
      <c r="AO245" s="76"/>
      <c r="AP245" s="76"/>
      <c r="AQ245" s="76"/>
      <c r="AR245" s="76"/>
      <c r="AS245" s="76"/>
      <c r="AT245" s="76"/>
      <c r="AU245" s="76"/>
      <c r="AV245" s="76"/>
      <c r="AW245" s="76"/>
      <c r="AX245" s="76"/>
      <c r="AY245" s="76"/>
    </row>
    <row r="246" spans="1:51" s="83" customFormat="1" ht="39" customHeight="1" x14ac:dyDescent="0.2">
      <c r="A246" s="213"/>
      <c r="B246" s="385"/>
      <c r="C246" s="385"/>
      <c r="D246" s="385"/>
      <c r="E246" s="385"/>
      <c r="F246" s="385"/>
      <c r="G246" s="385"/>
      <c r="H246" s="385"/>
      <c r="I246" s="385"/>
      <c r="J246" s="385"/>
      <c r="K246" s="385"/>
      <c r="L246" s="168"/>
      <c r="M246" s="168"/>
      <c r="N246" s="168"/>
      <c r="O246" s="168"/>
      <c r="P246" s="168"/>
      <c r="Q246" s="168"/>
      <c r="R246" s="168"/>
      <c r="S246" s="137"/>
      <c r="T246" s="168"/>
      <c r="U246" s="9"/>
      <c r="V246" s="1296"/>
      <c r="W246" s="138"/>
      <c r="X246" s="65"/>
      <c r="Y246" s="62"/>
      <c r="Z246" s="62"/>
      <c r="AA246" s="62"/>
      <c r="AB246" s="65"/>
      <c r="AC246" s="65"/>
      <c r="AD246" s="65"/>
      <c r="AE246" s="65"/>
      <c r="AF246" s="65"/>
      <c r="AG246" s="58"/>
      <c r="AH246" s="58"/>
      <c r="AI246" s="58"/>
      <c r="AJ246" s="153"/>
      <c r="AK246" s="153"/>
      <c r="AL246" s="76"/>
      <c r="AM246" s="76"/>
      <c r="AN246" s="76"/>
      <c r="AO246" s="76"/>
      <c r="AP246" s="76"/>
      <c r="AQ246" s="76"/>
      <c r="AR246" s="76"/>
      <c r="AS246" s="76"/>
      <c r="AT246" s="76"/>
      <c r="AU246" s="76"/>
      <c r="AV246" s="76"/>
      <c r="AW246" s="76"/>
      <c r="AX246" s="76"/>
    </row>
    <row r="247" spans="1:51" s="83" customFormat="1" ht="38.25" customHeight="1" x14ac:dyDescent="0.2">
      <c r="A247" s="213"/>
      <c r="B247" s="385"/>
      <c r="C247" s="385"/>
      <c r="D247" s="385"/>
      <c r="E247" s="385"/>
      <c r="F247" s="385"/>
      <c r="G247" s="385"/>
      <c r="H247" s="385"/>
      <c r="I247" s="385"/>
      <c r="J247" s="385"/>
      <c r="K247" s="385"/>
      <c r="L247" s="168"/>
      <c r="M247" s="168"/>
      <c r="N247" s="168"/>
      <c r="O247" s="168"/>
      <c r="P247" s="168"/>
      <c r="Q247" s="168"/>
      <c r="R247" s="168"/>
      <c r="S247" s="137"/>
      <c r="T247" s="168"/>
      <c r="U247" s="9"/>
      <c r="V247" s="1296"/>
      <c r="W247" s="138"/>
      <c r="X247" s="65"/>
      <c r="Y247" s="62"/>
      <c r="Z247" s="62"/>
      <c r="AA247" s="62"/>
      <c r="AB247" s="65"/>
      <c r="AC247" s="65"/>
      <c r="AD247" s="65"/>
      <c r="AE247" s="65"/>
      <c r="AF247" s="1305"/>
      <c r="AG247" s="58"/>
      <c r="AH247" s="58"/>
      <c r="AI247" s="58"/>
      <c r="AJ247" s="153"/>
      <c r="AK247" s="153"/>
      <c r="AL247" s="76"/>
      <c r="AM247" s="76"/>
      <c r="AN247" s="76"/>
      <c r="AO247" s="76"/>
      <c r="AP247" s="76"/>
      <c r="AQ247" s="76"/>
      <c r="AR247" s="76"/>
      <c r="AS247" s="76"/>
      <c r="AT247" s="76"/>
      <c r="AU247" s="76"/>
      <c r="AV247" s="76"/>
      <c r="AW247" s="76"/>
      <c r="AX247" s="76"/>
    </row>
    <row r="248" spans="1:51" s="83" customFormat="1" ht="7.5" customHeight="1" x14ac:dyDescent="0.2">
      <c r="A248" s="120"/>
      <c r="B248" s="18"/>
      <c r="C248" s="18"/>
      <c r="D248" s="17"/>
      <c r="E248" s="17"/>
      <c r="F248" s="17"/>
      <c r="G248" s="17"/>
      <c r="H248" s="17"/>
      <c r="I248" s="17"/>
      <c r="J248" s="17"/>
      <c r="K248" s="17"/>
      <c r="L248" s="13"/>
      <c r="M248" s="19"/>
      <c r="N248" s="19"/>
      <c r="O248" s="19"/>
      <c r="P248" s="19"/>
      <c r="Q248" s="19"/>
      <c r="R248" s="19"/>
      <c r="S248" s="19"/>
      <c r="T248" s="20"/>
      <c r="U248" s="9"/>
      <c r="V248" s="1296"/>
      <c r="W248" s="138"/>
      <c r="X248" s="65"/>
      <c r="Y248" s="62"/>
      <c r="Z248" s="62"/>
      <c r="AA248" s="62"/>
      <c r="AB248" s="65"/>
      <c r="AC248" s="65"/>
      <c r="AD248" s="65"/>
      <c r="AE248" s="65"/>
      <c r="AF248" s="1305"/>
      <c r="AG248" s="58"/>
      <c r="AH248" s="58"/>
      <c r="AI248" s="58"/>
      <c r="AJ248" s="153"/>
      <c r="AK248" s="153"/>
      <c r="AL248" s="76"/>
      <c r="AM248" s="76"/>
      <c r="AN248" s="76"/>
      <c r="AO248" s="76"/>
      <c r="AP248" s="76"/>
      <c r="AQ248" s="76"/>
      <c r="AR248" s="76"/>
      <c r="AS248" s="76"/>
      <c r="AT248" s="76"/>
      <c r="AU248" s="76"/>
      <c r="AV248" s="76"/>
      <c r="AW248" s="76"/>
      <c r="AX248" s="76"/>
    </row>
    <row r="249" spans="1:51" s="83" customFormat="1" ht="15" customHeight="1" x14ac:dyDescent="0.2">
      <c r="A249" s="526"/>
      <c r="B249" s="527"/>
      <c r="C249" s="527"/>
      <c r="D249" s="527"/>
      <c r="E249" s="527"/>
      <c r="F249" s="527"/>
      <c r="G249" s="527"/>
      <c r="H249" s="527"/>
      <c r="I249" s="527"/>
      <c r="J249" s="527"/>
      <c r="K249" s="527"/>
      <c r="L249" s="527"/>
      <c r="M249" s="527"/>
      <c r="N249" s="527"/>
      <c r="O249" s="527"/>
      <c r="P249" s="527"/>
      <c r="Q249" s="527"/>
      <c r="R249" s="527"/>
      <c r="S249" s="527"/>
      <c r="T249" s="527"/>
      <c r="U249" s="527"/>
      <c r="V249" s="1296"/>
      <c r="W249" s="138"/>
      <c r="X249" s="65"/>
      <c r="Y249" s="62"/>
      <c r="Z249" s="62"/>
      <c r="AA249" s="62"/>
      <c r="AB249" s="62"/>
      <c r="AC249" s="62"/>
      <c r="AD249" s="62"/>
      <c r="AE249" s="65"/>
      <c r="AF249" s="1305"/>
      <c r="AG249" s="58"/>
      <c r="AH249" s="58"/>
      <c r="AI249" s="58"/>
      <c r="AJ249" s="153"/>
      <c r="AK249" s="153"/>
      <c r="AL249" s="76"/>
      <c r="AM249" s="76"/>
      <c r="AN249" s="76"/>
      <c r="AO249" s="76"/>
      <c r="AP249" s="76"/>
      <c r="AQ249" s="76"/>
      <c r="AR249" s="76"/>
      <c r="AS249" s="76"/>
      <c r="AT249" s="76"/>
      <c r="AU249" s="76"/>
      <c r="AV249" s="76"/>
      <c r="AW249" s="76"/>
      <c r="AX249" s="76"/>
    </row>
    <row r="250" spans="1:51" s="83" customFormat="1" ht="11.25" customHeight="1" x14ac:dyDescent="0.2">
      <c r="A250" s="1481" t="str">
        <f>Home!$A$40</f>
        <v>LA's provide quarterly data on the condition that it is used by the benchmarking group for internal reporting only. Please DO NOT share other LA's data with any external partners or the public</v>
      </c>
      <c r="B250" s="1472"/>
      <c r="C250" s="1472"/>
      <c r="D250" s="1472"/>
      <c r="E250" s="1472"/>
      <c r="F250" s="1472"/>
      <c r="G250" s="1472"/>
      <c r="H250" s="1472"/>
      <c r="I250" s="1472"/>
      <c r="J250" s="1472"/>
      <c r="K250" s="1472"/>
      <c r="L250" s="1472"/>
      <c r="M250" s="1472"/>
      <c r="N250" s="1472"/>
      <c r="O250" s="1472"/>
      <c r="P250" s="1472"/>
      <c r="Q250" s="1472"/>
      <c r="R250" s="1472"/>
      <c r="S250" s="1472"/>
      <c r="T250" s="1472"/>
      <c r="U250" s="1472"/>
      <c r="V250" s="1296"/>
      <c r="W250" s="138"/>
      <c r="X250" s="65"/>
      <c r="Y250" s="62"/>
      <c r="Z250" s="62"/>
      <c r="AA250" s="62"/>
      <c r="AB250" s="62"/>
      <c r="AC250" s="62"/>
      <c r="AD250" s="62"/>
      <c r="AE250" s="65"/>
      <c r="AF250" s="1305"/>
      <c r="AG250" s="58"/>
      <c r="AH250" s="58"/>
      <c r="AI250" s="58"/>
      <c r="AJ250" s="153"/>
      <c r="AK250" s="153"/>
      <c r="AL250" s="76"/>
      <c r="AM250" s="76"/>
      <c r="AN250" s="76"/>
      <c r="AO250" s="76"/>
      <c r="AP250" s="76"/>
      <c r="AQ250" s="76"/>
      <c r="AR250" s="76"/>
      <c r="AS250" s="76"/>
      <c r="AT250" s="76"/>
      <c r="AU250" s="76"/>
      <c r="AV250" s="76"/>
      <c r="AW250" s="76"/>
      <c r="AX250" s="76"/>
    </row>
    <row r="251" spans="1:51" ht="11.25" customHeight="1" x14ac:dyDescent="0.2">
      <c r="A251" s="114"/>
      <c r="B251" s="115"/>
      <c r="C251" s="115"/>
      <c r="D251" s="115"/>
      <c r="E251" s="115"/>
      <c r="F251" s="115"/>
      <c r="G251" s="115"/>
      <c r="H251" s="115"/>
      <c r="I251" s="115"/>
      <c r="J251" s="115"/>
      <c r="K251" s="115"/>
      <c r="L251" s="116"/>
      <c r="M251" s="115"/>
      <c r="N251" s="115"/>
      <c r="O251" s="115"/>
      <c r="P251" s="115"/>
      <c r="Q251" s="115"/>
      <c r="R251" s="115"/>
      <c r="S251" s="115"/>
      <c r="T251" s="115"/>
      <c r="U251" s="115"/>
      <c r="V251" s="235"/>
      <c r="W251" s="138"/>
      <c r="X251" s="64"/>
      <c r="Y251" s="83"/>
      <c r="Z251" s="83"/>
      <c r="AA251" s="83"/>
      <c r="AB251" s="83"/>
      <c r="AC251" s="83"/>
      <c r="AD251" s="83"/>
      <c r="AE251" s="83"/>
      <c r="AF251" s="83"/>
      <c r="AG251" s="83"/>
      <c r="AH251" s="83"/>
      <c r="AI251" s="83"/>
      <c r="AJ251" s="83"/>
      <c r="AK251" s="153"/>
    </row>
    <row r="252" spans="1:51" s="78" customFormat="1" ht="15" customHeight="1" x14ac:dyDescent="0.2">
      <c r="A252" s="121"/>
      <c r="B252" s="1442" t="s">
        <v>782</v>
      </c>
      <c r="C252" s="1442"/>
      <c r="D252" s="1442"/>
      <c r="E252" s="1442"/>
      <c r="F252" s="1442"/>
      <c r="G252" s="1442"/>
      <c r="H252" s="1442"/>
      <c r="I252" s="1442"/>
      <c r="J252" s="1442"/>
      <c r="K252" s="220"/>
      <c r="L252" s="220"/>
      <c r="M252" s="69"/>
      <c r="N252" s="69"/>
      <c r="O252" s="69"/>
      <c r="P252" s="473"/>
      <c r="Q252" s="69"/>
      <c r="R252" s="69"/>
      <c r="S252" s="69"/>
      <c r="T252" s="69"/>
      <c r="U252" s="15"/>
      <c r="V252" s="217"/>
      <c r="W252" s="138"/>
      <c r="X252" s="64"/>
      <c r="Y252" s="374" t="s">
        <v>227</v>
      </c>
      <c r="Z252" s="375"/>
      <c r="AC252" s="376"/>
      <c r="AD252" s="376"/>
      <c r="AE252" s="376"/>
      <c r="AF252" s="83"/>
      <c r="AG252" s="83"/>
      <c r="AH252" s="83"/>
      <c r="AI252" s="83"/>
      <c r="AJ252" s="83"/>
      <c r="AK252" s="153"/>
      <c r="AL252" s="76"/>
      <c r="AM252" s="76"/>
      <c r="AN252" s="76"/>
      <c r="AO252" s="76"/>
      <c r="AP252" s="76"/>
      <c r="AQ252" s="76"/>
      <c r="AR252" s="76"/>
      <c r="AS252" s="76"/>
      <c r="AT252" s="76"/>
      <c r="AU252" s="76"/>
      <c r="AV252" s="76"/>
      <c r="AW252" s="76"/>
      <c r="AX252" s="76"/>
      <c r="AY252" s="76"/>
    </row>
    <row r="253" spans="1:51" ht="15" customHeight="1" x14ac:dyDescent="0.2">
      <c r="A253" s="120"/>
      <c r="B253" s="1442"/>
      <c r="C253" s="1442"/>
      <c r="D253" s="1442"/>
      <c r="E253" s="1442"/>
      <c r="F253" s="1442"/>
      <c r="G253" s="1442"/>
      <c r="H253" s="1442"/>
      <c r="I253" s="1442"/>
      <c r="J253" s="1442"/>
      <c r="K253" s="220"/>
      <c r="L253" s="220"/>
      <c r="M253" s="69"/>
      <c r="N253" s="69"/>
      <c r="O253" s="69"/>
      <c r="P253" s="473"/>
      <c r="Q253" s="69"/>
      <c r="R253" s="69"/>
      <c r="S253" s="10"/>
      <c r="T253" s="69"/>
      <c r="U253" s="9"/>
      <c r="V253" s="235"/>
      <c r="W253" s="138"/>
      <c r="X253" s="64"/>
      <c r="Y253" s="376"/>
      <c r="Z253" s="375"/>
      <c r="AA253" s="76"/>
      <c r="AB253" s="76"/>
      <c r="AC253" s="376"/>
      <c r="AD253" s="376"/>
      <c r="AE253" s="376"/>
      <c r="AF253" s="83"/>
      <c r="AG253" s="83"/>
      <c r="AH253" s="83"/>
      <c r="AI253" s="83"/>
      <c r="AJ253" s="83"/>
      <c r="AK253" s="153"/>
    </row>
    <row r="254" spans="1:51" s="89" customFormat="1" ht="13.5" customHeight="1" x14ac:dyDescent="0.2">
      <c r="A254" s="123"/>
      <c r="B254" s="1419" t="s">
        <v>190</v>
      </c>
      <c r="C254" s="979"/>
      <c r="D254" s="755" t="str">
        <f>Sheet1!$D$25</f>
        <v>2014-15</v>
      </c>
      <c r="E254" s="756" t="str">
        <f>Sheet1!$E$25</f>
        <v>2015-16</v>
      </c>
      <c r="F254" s="756" t="str">
        <f>Sheet1!$F$25</f>
        <v>2016-17</v>
      </c>
      <c r="G254" s="756" t="str">
        <f>Sheet1!$G$25</f>
        <v>2017-18</v>
      </c>
      <c r="H254" s="757" t="str">
        <f>Sheet1!$H$25</f>
        <v>2018-19</v>
      </c>
      <c r="I254" s="61"/>
      <c r="J254" s="98"/>
      <c r="K254" s="98"/>
      <c r="L254" s="98"/>
      <c r="M254" s="61"/>
      <c r="N254" s="61"/>
      <c r="O254" s="61"/>
      <c r="P254" s="61"/>
      <c r="Q254" s="61"/>
      <c r="R254" s="475"/>
      <c r="S254" s="475"/>
      <c r="T254" s="476"/>
      <c r="U254" s="87"/>
      <c r="V254" s="1006"/>
      <c r="W254" s="138"/>
      <c r="X254" s="147"/>
      <c r="Y254" s="365"/>
      <c r="Z254" s="463" t="str">
        <f>IF(Sheet1!$C$3="Annual","",Sheet1!$D$26)</f>
        <v/>
      </c>
      <c r="AA254" s="463" t="str">
        <f>IF(Sheet1!$C$3="Annual","",Sheet1!$E$26)</f>
        <v/>
      </c>
      <c r="AB254" s="463" t="str">
        <f>IF(Sheet1!$C$3="Annual","",Sheet1!$F$26)</f>
        <v/>
      </c>
      <c r="AC254" s="463" t="str">
        <f>IF(Sheet1!$C$3="Annual","",Sheet1!$G$26)</f>
        <v/>
      </c>
      <c r="AD254" s="463" t="str">
        <f>IF(Sheet1!$C$3="Annual","",Sheet1!$H$26)</f>
        <v/>
      </c>
      <c r="AE254" s="376"/>
      <c r="AF254" s="83"/>
      <c r="AG254" s="83"/>
      <c r="AH254" s="83"/>
      <c r="AI254" s="83"/>
      <c r="AJ254" s="83"/>
      <c r="AK254" s="153"/>
      <c r="AL254" s="76"/>
      <c r="AM254" s="76"/>
      <c r="AN254" s="76"/>
      <c r="AO254" s="76"/>
      <c r="AP254" s="76"/>
      <c r="AQ254" s="76"/>
      <c r="AR254" s="76"/>
      <c r="AS254" s="76"/>
      <c r="AT254" s="76"/>
      <c r="AU254" s="76"/>
      <c r="AV254" s="76"/>
      <c r="AW254" s="76"/>
      <c r="AX254" s="76"/>
      <c r="AY254" s="76"/>
    </row>
    <row r="255" spans="1:51" s="89" customFormat="1" ht="13.5" customHeight="1" x14ac:dyDescent="0.2">
      <c r="A255" s="286"/>
      <c r="B255" s="1420"/>
      <c r="C255" s="87"/>
      <c r="D255" s="758" t="e">
        <f>Sheet1!$D$26</f>
        <v>#N/A</v>
      </c>
      <c r="E255" s="758" t="e">
        <f>Sheet1!$E$26</f>
        <v>#N/A</v>
      </c>
      <c r="F255" s="758" t="e">
        <f>Sheet1!$F$26</f>
        <v>#N/A</v>
      </c>
      <c r="G255" s="758" t="e">
        <f>Sheet1!$G$26</f>
        <v>#N/A</v>
      </c>
      <c r="H255" s="759" t="e">
        <f>Sheet1!$H$26</f>
        <v>#N/A</v>
      </c>
      <c r="I255" s="61"/>
      <c r="J255" s="98"/>
      <c r="K255" s="98"/>
      <c r="L255" s="98"/>
      <c r="M255" s="61"/>
      <c r="N255" s="61"/>
      <c r="O255" s="61"/>
      <c r="P255" s="61"/>
      <c r="Q255" s="61"/>
      <c r="R255" s="982"/>
      <c r="S255" s="982"/>
      <c r="T255" s="983"/>
      <c r="U255" s="87"/>
      <c r="V255" s="1006"/>
      <c r="W255" s="138"/>
      <c r="X255" s="147"/>
      <c r="Y255" s="365"/>
      <c r="Z255" s="463" t="str">
        <f>Sheet1!$D$25</f>
        <v>2014-15</v>
      </c>
      <c r="AA255" s="463" t="str">
        <f>Sheet1!$E$25</f>
        <v>2015-16</v>
      </c>
      <c r="AB255" s="463" t="str">
        <f>Sheet1!$F$25</f>
        <v>2016-17</v>
      </c>
      <c r="AC255" s="463" t="str">
        <f>Sheet1!$G$25</f>
        <v>2017-18</v>
      </c>
      <c r="AD255" s="463" t="str">
        <f>Sheet1!$H$25</f>
        <v>2018-19</v>
      </c>
      <c r="AE255" s="376"/>
      <c r="AF255" s="83"/>
      <c r="AG255" s="83"/>
      <c r="AH255" s="83"/>
      <c r="AI255" s="83"/>
      <c r="AJ255" s="83"/>
      <c r="AK255" s="153"/>
      <c r="AL255" s="76"/>
      <c r="AM255" s="76"/>
      <c r="AN255" s="76"/>
      <c r="AO255" s="76"/>
      <c r="AP255" s="76"/>
      <c r="AQ255" s="76"/>
      <c r="AR255" s="76"/>
      <c r="AS255" s="76"/>
      <c r="AT255" s="76"/>
      <c r="AU255" s="76"/>
      <c r="AV255" s="76"/>
      <c r="AW255" s="76"/>
      <c r="AX255" s="76"/>
      <c r="AY255" s="76"/>
    </row>
    <row r="256" spans="1:51" s="89" customFormat="1" ht="12.75" customHeight="1" x14ac:dyDescent="0.2">
      <c r="A256" s="525">
        <f>VLOOKUP(B256,Sheet1!$AQ$4:$AR$25,2,FALSE)</f>
        <v>0</v>
      </c>
      <c r="B256" s="95" t="str">
        <f>B220</f>
        <v>Bracknell Forest</v>
      </c>
      <c r="C256" s="87"/>
      <c r="D256" s="158">
        <f>IF(AND(ISNUMBER(Adoption!Y78),ISNUMBER(Z256)),Z256/Adoption!Y78,NA())</f>
        <v>0.17241379310344829</v>
      </c>
      <c r="E256" s="158">
        <f>IF(AND(ISNUMBER(Adoption!Z78),ISNUMBER(AA256)),AA256/Adoption!Z78,NA())</f>
        <v>0.14705882352941177</v>
      </c>
      <c r="F256" s="158">
        <f>IF(AND(ISNUMBER(Adoption!AA78),ISNUMBER(AB256)),AB256/Adoption!AA78,NA())</f>
        <v>0.20408163265306123</v>
      </c>
      <c r="G256" s="158" t="e">
        <f>IF(AND(ISNUMBER(Adoption!AB78),ISNUMBER(AC256)),AC256/Adoption!AB78,NA())</f>
        <v>#N/A</v>
      </c>
      <c r="H256" s="160">
        <f>IF(AND(ISNUMBER(Adoption!AC78),ISNUMBER(AD256)),AD256/Adoption!AC78,NA())</f>
        <v>0</v>
      </c>
      <c r="I256" s="425"/>
      <c r="J256" s="98"/>
      <c r="K256" s="98"/>
      <c r="L256" s="98"/>
      <c r="M256" s="162"/>
      <c r="N256" s="162"/>
      <c r="O256" s="162"/>
      <c r="P256" s="162"/>
      <c r="Q256" s="162"/>
      <c r="R256" s="162"/>
      <c r="S256" s="163"/>
      <c r="T256" s="162"/>
      <c r="U256" s="87"/>
      <c r="V256" s="1006"/>
      <c r="W256" s="138"/>
      <c r="X256" s="147"/>
      <c r="Y256" s="365" t="str">
        <f t="shared" ref="Y256:Y279" si="104">B256</f>
        <v>Bracknell Forest</v>
      </c>
      <c r="Z256" s="365">
        <f>IF(Year1_Bracknell_Forest Year1_ROSGO_ceased_LAC_SGO="","",Year1_Bracknell_Forest Year1_ROSGO_ceased_LAC_SGO)</f>
        <v>10</v>
      </c>
      <c r="AA256" s="365">
        <f>IF(Year2_Bracknell_Forest Year2_ROSGO_ceased_LAC_SGO="","",Year2_Bracknell_Forest Year2_ROSGO_ceased_LAC_SGO)</f>
        <v>10</v>
      </c>
      <c r="AB256" s="365">
        <f>IF(Year3_Bracknell_Forest Year3_ROSGO_ceased_LAC_SGO="","",Year3_Bracknell_Forest Year3_ROSGO_ceased_LAC_SGO)</f>
        <v>10</v>
      </c>
      <c r="AC256" s="365" t="str">
        <f>IF(Year4_Bracknell_Forest Year4_ROSGO_ceased_LAC_SGO="","",Year4_Bracknell_Forest Year4_ROSGO_ceased_LAC_SGO)</f>
        <v>x</v>
      </c>
      <c r="AD256" s="365">
        <f>IF(Year5_Bracknell_Forest Year5_ROSGO_ceased_LAC_SGO="","",Year5_Bracknell_Forest Year5_ROSGO_ceased_LAC_SGO)</f>
        <v>0</v>
      </c>
      <c r="AE256" s="376"/>
      <c r="AF256" s="83"/>
      <c r="AG256" s="83"/>
      <c r="AH256" s="83"/>
      <c r="AI256" s="83"/>
      <c r="AJ256" s="83"/>
      <c r="AK256" s="153"/>
      <c r="AL256" s="76"/>
      <c r="AM256" s="76"/>
      <c r="AN256" s="76"/>
      <c r="AO256" s="76"/>
      <c r="AP256" s="76"/>
      <c r="AQ256" s="76"/>
      <c r="AR256" s="76"/>
      <c r="AS256" s="76"/>
      <c r="AT256" s="76"/>
      <c r="AU256" s="76"/>
      <c r="AV256" s="76"/>
      <c r="AW256" s="76"/>
      <c r="AX256" s="76"/>
      <c r="AY256" s="76"/>
    </row>
    <row r="257" spans="1:51" s="89" customFormat="1" ht="12.75" customHeight="1" x14ac:dyDescent="0.2">
      <c r="A257" s="525">
        <f>VLOOKUP(B257,Sheet1!$AQ$4:$AR$25,2,FALSE)</f>
        <v>0</v>
      </c>
      <c r="B257" s="95" t="str">
        <f t="shared" ref="B257:B279" si="105">B221</f>
        <v>Brighton &amp; Hove</v>
      </c>
      <c r="C257" s="87"/>
      <c r="D257" s="158">
        <f>IF(AND(ISNUMBER(Adoption!Y79),ISNUMBER(Z257)),Z257/Adoption!Y79,NA())</f>
        <v>0.13020833333333334</v>
      </c>
      <c r="E257" s="158">
        <f>IF(AND(ISNUMBER(Adoption!Z79),ISNUMBER(AA257)),AA257/Adoption!Z79,NA())</f>
        <v>0.16326530612244897</v>
      </c>
      <c r="F257" s="158">
        <f>IF(AND(ISNUMBER(Adoption!AA79),ISNUMBER(AB257)),AB257/Adoption!AA79,NA())</f>
        <v>9.4972067039106142E-2</v>
      </c>
      <c r="G257" s="158">
        <f>IF(AND(ISNUMBER(Adoption!AB79),ISNUMBER(AC257)),AC257/Adoption!AB79,NA())</f>
        <v>0.14204545454545456</v>
      </c>
      <c r="H257" s="160">
        <f>IF(AND(ISNUMBER(Adoption!AC79),ISNUMBER(AD257)),AD257/Adoption!AC79,NA())</f>
        <v>0.13368983957219252</v>
      </c>
      <c r="I257" s="425"/>
      <c r="J257" s="98"/>
      <c r="K257" s="98"/>
      <c r="L257" s="98"/>
      <c r="M257" s="162"/>
      <c r="N257" s="162"/>
      <c r="O257" s="162"/>
      <c r="P257" s="162"/>
      <c r="Q257" s="162"/>
      <c r="R257" s="162"/>
      <c r="S257" s="163"/>
      <c r="T257" s="162"/>
      <c r="U257" s="87"/>
      <c r="V257" s="1006"/>
      <c r="W257" s="138"/>
      <c r="X257" s="147"/>
      <c r="Y257" s="365" t="str">
        <f t="shared" si="104"/>
        <v>Brighton &amp; Hove</v>
      </c>
      <c r="Z257" s="365">
        <f>IF(Year1_Brighton_Hove Year1_ROSGO_ceased_LAC_SGO="","",Year1_Brighton_Hove Year1_ROSGO_ceased_LAC_SGO)</f>
        <v>25</v>
      </c>
      <c r="AA257" s="365">
        <f>IF(Year2_Brighton_Hove Year2_ROSGO_ceased_LAC_SGO="","",Year2_Brighton_Hove Year2_ROSGO_ceased_LAC_SGO)</f>
        <v>40</v>
      </c>
      <c r="AB257" s="365">
        <f>IF(Year3_Brighton_Hove Year3_ROSGO_ceased_LAC_SGO="","",Year3_Brighton_Hove Year3_ROSGO_ceased_LAC_SGO)</f>
        <v>17</v>
      </c>
      <c r="AC257" s="365">
        <f>IF(Year4_Brighton_Hove Year4_ROSGO_ceased_LAC_SGO="","",Year4_Brighton_Hove Year4_ROSGO_ceased_LAC_SGO)</f>
        <v>25</v>
      </c>
      <c r="AD257" s="365">
        <f>IF(Year5_Brighton_Hove Year5_ROSGO_ceased_LAC_SGO="","",Year5_Brighton_Hove Year5_ROSGO_ceased_LAC_SGO)</f>
        <v>25</v>
      </c>
      <c r="AE257" s="376"/>
      <c r="AF257" s="83"/>
      <c r="AG257" s="83"/>
      <c r="AH257" s="83"/>
      <c r="AI257" s="83"/>
      <c r="AJ257" s="83"/>
      <c r="AK257" s="153"/>
      <c r="AL257" s="76"/>
      <c r="AM257" s="76"/>
      <c r="AN257" s="76"/>
      <c r="AO257" s="76"/>
      <c r="AP257" s="76"/>
      <c r="AQ257" s="76"/>
      <c r="AR257" s="76"/>
      <c r="AS257" s="76"/>
      <c r="AT257" s="76"/>
      <c r="AU257" s="76"/>
      <c r="AV257" s="76"/>
      <c r="AW257" s="76"/>
      <c r="AX257" s="76"/>
      <c r="AY257" s="76"/>
    </row>
    <row r="258" spans="1:51" s="89" customFormat="1" ht="12.75" customHeight="1" x14ac:dyDescent="0.2">
      <c r="A258" s="525">
        <f>VLOOKUP(B258,Sheet1!$AQ$4:$AR$25,2,FALSE)</f>
        <v>0</v>
      </c>
      <c r="B258" s="95" t="str">
        <f t="shared" si="105"/>
        <v>Buckinghamshire</v>
      </c>
      <c r="C258" s="87"/>
      <c r="D258" s="158">
        <f>IF(AND(ISNUMBER(Adoption!Y80),ISNUMBER(Z258)),Z258/Adoption!Y80,NA())</f>
        <v>0.12345679012345678</v>
      </c>
      <c r="E258" s="158">
        <f>IF(AND(ISNUMBER(Adoption!Z80),ISNUMBER(AA258)),AA258/Adoption!Z80,NA())</f>
        <v>8.8105726872246701E-2</v>
      </c>
      <c r="F258" s="158">
        <f>IF(AND(ISNUMBER(Adoption!AA80),ISNUMBER(AB258)),AB258/Adoption!AA80,NA())</f>
        <v>8.3720930232558138E-2</v>
      </c>
      <c r="G258" s="158">
        <f>IF(AND(ISNUMBER(Adoption!AB80),ISNUMBER(AC258)),AC258/Adoption!AB80,NA())</f>
        <v>0.17222222222222222</v>
      </c>
      <c r="H258" s="160">
        <f>IF(AND(ISNUMBER(Adoption!AC80),ISNUMBER(AD258)),AD258/Adoption!AC80,NA())</f>
        <v>8.2352941176470587E-2</v>
      </c>
      <c r="I258" s="425"/>
      <c r="J258" s="98"/>
      <c r="K258" s="98"/>
      <c r="L258" s="98"/>
      <c r="M258" s="162"/>
      <c r="N258" s="162"/>
      <c r="O258" s="162"/>
      <c r="P258" s="162"/>
      <c r="Q258" s="162"/>
      <c r="R258" s="162"/>
      <c r="S258" s="163"/>
      <c r="T258" s="162"/>
      <c r="U258" s="87"/>
      <c r="V258" s="1006"/>
      <c r="W258" s="138"/>
      <c r="X258" s="147"/>
      <c r="Y258" s="365" t="str">
        <f t="shared" si="104"/>
        <v>Buckinghamshire</v>
      </c>
      <c r="Z258" s="365">
        <f>IF(Year1_Buckinghamshire Year1_ROSGO_ceased_LAC_SGO="","",Year1_Buckinghamshire Year1_ROSGO_ceased_LAC_SGO)</f>
        <v>20</v>
      </c>
      <c r="AA258" s="365">
        <f>IF(Year2_Buckinghamshire Year2_ROSGO_ceased_LAC_SGO="","",Year2_Buckinghamshire Year2_ROSGO_ceased_LAC_SGO)</f>
        <v>20</v>
      </c>
      <c r="AB258" s="365">
        <f>IF(Year3_Buckinghamshire Year3_ROSGO_ceased_LAC_SGO="","",Year3_Buckinghamshire Year3_ROSGO_ceased_LAC_SGO)</f>
        <v>18</v>
      </c>
      <c r="AC258" s="365">
        <f>IF(Year4_Buckinghamshire Year4_ROSGO_ceased_LAC_SGO="","",Year4_Buckinghamshire Year4_ROSGO_ceased_LAC_SGO)</f>
        <v>31</v>
      </c>
      <c r="AD258" s="365">
        <f>IF(Year5_Buckinghamshire Year5_ROSGO_ceased_LAC_SGO="","",Year5_Buckinghamshire Year5_ROSGO_ceased_LAC_SGO)</f>
        <v>14</v>
      </c>
      <c r="AE258" s="376"/>
      <c r="AF258" s="83"/>
      <c r="AG258" s="83"/>
      <c r="AH258" s="83"/>
      <c r="AI258" s="83"/>
      <c r="AJ258" s="83"/>
      <c r="AK258" s="153"/>
      <c r="AL258" s="76"/>
      <c r="AM258" s="76"/>
      <c r="AN258" s="76"/>
      <c r="AO258" s="76"/>
      <c r="AP258" s="76"/>
      <c r="AQ258" s="76"/>
      <c r="AR258" s="76"/>
      <c r="AS258" s="76"/>
      <c r="AT258" s="76"/>
      <c r="AU258" s="76"/>
      <c r="AV258" s="76"/>
      <c r="AW258" s="76"/>
      <c r="AX258" s="76"/>
      <c r="AY258" s="76"/>
    </row>
    <row r="259" spans="1:51" s="89" customFormat="1" ht="12.75" customHeight="1" x14ac:dyDescent="0.2">
      <c r="A259" s="525">
        <f>VLOOKUP(B259,Sheet1!$AQ$4:$AR$25,2,FALSE)</f>
        <v>0</v>
      </c>
      <c r="B259" s="95" t="str">
        <f t="shared" si="105"/>
        <v>East Sussex</v>
      </c>
      <c r="C259" s="87"/>
      <c r="D259" s="158">
        <f>IF(AND(ISNUMBER(Adoption!Y81),ISNUMBER(Z259)),Z259/Adoption!Y81,NA())</f>
        <v>7.9365079365079361E-2</v>
      </c>
      <c r="E259" s="158">
        <f>IF(AND(ISNUMBER(Adoption!Z81),ISNUMBER(AA259)),AA259/Adoption!Z81,NA())</f>
        <v>0.10416666666666667</v>
      </c>
      <c r="F259" s="158">
        <f>IF(AND(ISNUMBER(Adoption!AA81),ISNUMBER(AB259)),AB259/Adoption!AA81,NA())</f>
        <v>0.16216216216216217</v>
      </c>
      <c r="G259" s="158">
        <f>IF(AND(ISNUMBER(Adoption!AB81),ISNUMBER(AC259)),AC259/Adoption!AB81,NA())</f>
        <v>0.1111111111111111</v>
      </c>
      <c r="H259" s="160">
        <f>IF(AND(ISNUMBER(Adoption!AC81),ISNUMBER(AD259)),AD259/Adoption!AC81,NA())</f>
        <v>0.125</v>
      </c>
      <c r="I259" s="425"/>
      <c r="J259" s="98"/>
      <c r="K259" s="98"/>
      <c r="L259" s="98"/>
      <c r="M259" s="162"/>
      <c r="N259" s="162"/>
      <c r="O259" s="162"/>
      <c r="P259" s="162"/>
      <c r="Q259" s="162"/>
      <c r="R259" s="162"/>
      <c r="S259" s="163"/>
      <c r="T259" s="162"/>
      <c r="U259" s="87"/>
      <c r="V259" s="1006"/>
      <c r="W259" s="138"/>
      <c r="X259" s="147"/>
      <c r="Y259" s="365" t="str">
        <f t="shared" si="104"/>
        <v>East Sussex</v>
      </c>
      <c r="Z259" s="365">
        <f>IF(Year1_East_Sussex Year1_ROSGO_ceased_LAC_SGO="","",Year1_East_Sussex Year1_ROSGO_ceased_LAC_SGO)</f>
        <v>15</v>
      </c>
      <c r="AA259" s="365">
        <f>IF(Year2_East_Sussex Year2_ROSGO_ceased_LAC_SGO="","",Year2_East_Sussex Year2_ROSGO_ceased_LAC_SGO)</f>
        <v>20</v>
      </c>
      <c r="AB259" s="365">
        <f>IF(Year3_East_Sussex Year3_ROSGO_ceased_LAC_SGO="","",Year3_East_Sussex Year3_ROSGO_ceased_LAC_SGO)</f>
        <v>30</v>
      </c>
      <c r="AC259" s="365">
        <f>IF(Year4_East_Sussex Year4_ROSGO_ceased_LAC_SGO="","",Year4_East_Sussex Year4_ROSGO_ceased_LAC_SGO)</f>
        <v>18</v>
      </c>
      <c r="AD259" s="365">
        <f>IF(Year5_East_Sussex Year5_ROSGO_ceased_LAC_SGO="","",Year5_East_Sussex Year5_ROSGO_ceased_LAC_SGO)</f>
        <v>24</v>
      </c>
      <c r="AE259" s="376"/>
      <c r="AF259" s="83"/>
      <c r="AG259" s="83"/>
      <c r="AH259" s="83"/>
      <c r="AI259" s="83"/>
      <c r="AJ259" s="83"/>
      <c r="AK259" s="153"/>
      <c r="AL259" s="76"/>
      <c r="AM259" s="76"/>
      <c r="AN259" s="76"/>
      <c r="AO259" s="76"/>
      <c r="AP259" s="76"/>
      <c r="AQ259" s="76"/>
      <c r="AR259" s="76"/>
      <c r="AS259" s="76"/>
      <c r="AT259" s="76"/>
      <c r="AU259" s="76"/>
      <c r="AV259" s="76"/>
      <c r="AW259" s="76"/>
      <c r="AX259" s="76"/>
      <c r="AY259" s="76"/>
    </row>
    <row r="260" spans="1:51" s="89" customFormat="1" ht="12.75" customHeight="1" x14ac:dyDescent="0.2">
      <c r="A260" s="462">
        <f>VLOOKUP(B260,Sheet1!$AQ$4:$AR$25,2,FALSE)</f>
        <v>0</v>
      </c>
      <c r="B260" s="95" t="str">
        <f t="shared" si="105"/>
        <v>Hampshire</v>
      </c>
      <c r="C260" s="87"/>
      <c r="D260" s="158">
        <f>IF(AND(ISNUMBER(Adoption!Y82),ISNUMBER(Z260)),Z260/Adoption!Y82,NA())</f>
        <v>7.3260073260073263E-2</v>
      </c>
      <c r="E260" s="158">
        <f>IF(AND(ISNUMBER(Adoption!Z82),ISNUMBER(AA260)),AA260/Adoption!Z82,NA())</f>
        <v>8.2568807339449546E-2</v>
      </c>
      <c r="F260" s="158">
        <f>IF(AND(ISNUMBER(Adoption!AA82),ISNUMBER(AB260)),AB260/Adoption!AA82,NA())</f>
        <v>9.5864661654135333E-2</v>
      </c>
      <c r="G260" s="158">
        <f>IF(AND(ISNUMBER(Adoption!AB82),ISNUMBER(AC260)),AC260/Adoption!AB82,NA())</f>
        <v>0.11522633744855967</v>
      </c>
      <c r="H260" s="160">
        <f>IF(AND(ISNUMBER(Adoption!AC82),ISNUMBER(AD260)),AD260/Adoption!AC82,NA())</f>
        <v>0.1551433389544688</v>
      </c>
      <c r="I260" s="425"/>
      <c r="J260" s="98"/>
      <c r="K260" s="98"/>
      <c r="L260" s="98"/>
      <c r="M260" s="162"/>
      <c r="N260" s="162"/>
      <c r="O260" s="162"/>
      <c r="P260" s="162"/>
      <c r="Q260" s="162"/>
      <c r="R260" s="162"/>
      <c r="S260" s="163"/>
      <c r="T260" s="162"/>
      <c r="U260" s="87"/>
      <c r="V260" s="1006"/>
      <c r="W260" s="138"/>
      <c r="X260" s="147"/>
      <c r="Y260" s="365" t="str">
        <f t="shared" si="104"/>
        <v>Hampshire</v>
      </c>
      <c r="Z260" s="365">
        <f>IF(Year1_Hampshire Year1_ROSGO_ceased_LAC_SGO="","",Year1_Hampshire Year1_ROSGO_ceased_LAC_SGO)</f>
        <v>40</v>
      </c>
      <c r="AA260" s="365">
        <f>IF(Year2_Hampshire Year2_ROSGO_ceased_LAC_SGO="","",Year2_Hampshire Year2_ROSGO_ceased_LAC_SGO)</f>
        <v>45</v>
      </c>
      <c r="AB260" s="365">
        <f>IF(Year3_Hampshire Year3_ROSGO_ceased_LAC_SGO="","",Year3_Hampshire Year3_ROSGO_ceased_LAC_SGO)</f>
        <v>51</v>
      </c>
      <c r="AC260" s="365">
        <f>IF(Year4_Hampshire Year4_ROSGO_ceased_LAC_SGO="","",Year4_Hampshire Year4_ROSGO_ceased_LAC_SGO)</f>
        <v>56</v>
      </c>
      <c r="AD260" s="365">
        <f>IF(Year5_Hampshire Year5_ROSGO_ceased_LAC_SGO="","",Year5_Hampshire Year5_ROSGO_ceased_LAC_SGO)</f>
        <v>92</v>
      </c>
      <c r="AE260" s="376"/>
      <c r="AF260" s="83"/>
      <c r="AG260" s="83"/>
      <c r="AH260" s="83"/>
      <c r="AI260" s="83"/>
      <c r="AJ260" s="83"/>
      <c r="AK260" s="153"/>
      <c r="AL260" s="76"/>
      <c r="AM260" s="76"/>
      <c r="AN260" s="76"/>
      <c r="AO260" s="76"/>
      <c r="AP260" s="76"/>
      <c r="AQ260" s="76"/>
      <c r="AR260" s="76"/>
      <c r="AS260" s="76"/>
      <c r="AT260" s="76"/>
      <c r="AU260" s="76"/>
      <c r="AV260" s="76"/>
      <c r="AW260" s="76"/>
      <c r="AX260" s="76"/>
      <c r="AY260" s="76"/>
    </row>
    <row r="261" spans="1:51" s="89" customFormat="1" ht="12.75" customHeight="1" x14ac:dyDescent="0.2">
      <c r="A261" s="462">
        <f>VLOOKUP(B261,Sheet1!$AQ$4:$AR$25,2,FALSE)</f>
        <v>0</v>
      </c>
      <c r="B261" s="95" t="str">
        <f t="shared" si="105"/>
        <v>Isle of Wight</v>
      </c>
      <c r="C261" s="87"/>
      <c r="D261" s="158">
        <f>IF(AND(ISNUMBER(Adoption!Y83),ISNUMBER(Z261)),Z261/Adoption!Y83,NA())</f>
        <v>6.3291139240506333E-2</v>
      </c>
      <c r="E261" s="158">
        <f>IF(AND(ISNUMBER(Adoption!Z83),ISNUMBER(AA261)),AA261/Adoption!Z83,NA())</f>
        <v>0.13698630136986301</v>
      </c>
      <c r="F261" s="158" t="e">
        <f>IF(AND(ISNUMBER(Adoption!AA83),ISNUMBER(AB261)),AB261/Adoption!AA83,NA())</f>
        <v>#N/A</v>
      </c>
      <c r="G261" s="158" t="e">
        <f>IF(AND(ISNUMBER(Adoption!AB83),ISNUMBER(AC261)),AC261/Adoption!AB83,NA())</f>
        <v>#N/A</v>
      </c>
      <c r="H261" s="160">
        <f>IF(AND(ISNUMBER(Adoption!AC83),ISNUMBER(AD261)),AD261/Adoption!AC83,NA())</f>
        <v>0</v>
      </c>
      <c r="I261" s="425"/>
      <c r="J261" s="98"/>
      <c r="K261" s="98"/>
      <c r="L261" s="98"/>
      <c r="M261" s="162"/>
      <c r="N261" s="162"/>
      <c r="O261" s="162"/>
      <c r="P261" s="162"/>
      <c r="Q261" s="162"/>
      <c r="R261" s="162"/>
      <c r="S261" s="163"/>
      <c r="T261" s="162"/>
      <c r="U261" s="87"/>
      <c r="V261" s="1006"/>
      <c r="W261" s="138"/>
      <c r="X261" s="147"/>
      <c r="Y261" s="365" t="str">
        <f t="shared" si="104"/>
        <v>Isle of Wight</v>
      </c>
      <c r="Z261" s="365">
        <f>IF(Year1_Isle_of_Wight Year1_ROSGO_ceased_LAC_SGO="","",Year1_Isle_of_Wight Year1_ROSGO_ceased_LAC_SGO)</f>
        <v>5</v>
      </c>
      <c r="AA261" s="365">
        <f>IF(Year2_Isle_of_Wight Year2_ROSGO_ceased_LAC_SGO="","",Year2_Isle_of_Wight Year2_ROSGO_ceased_LAC_SGO)</f>
        <v>10</v>
      </c>
      <c r="AB261" s="365" t="str">
        <f>IF(Year3_Isle_of_Wight Year3_ROSGO_ceased_LAC_SGO="","",Year3_Isle_of_Wight Year3_ROSGO_ceased_LAC_SGO)</f>
        <v>x</v>
      </c>
      <c r="AC261" s="365" t="str">
        <f>IF(Year4_Isle_of_Wight Year4_ROSGO_ceased_LAC_SGO="","",Year4_Isle_of_Wight Year4_ROSGO_ceased_LAC_SGO)</f>
        <v>x</v>
      </c>
      <c r="AD261" s="365">
        <f>IF(Year5_Isle_of_Wight Year5_ROSGO_ceased_LAC_SGO="","",Year5_Isle_of_Wight Year5_ROSGO_ceased_LAC_SGO)</f>
        <v>0</v>
      </c>
      <c r="AE261" s="376"/>
      <c r="AF261" s="83"/>
      <c r="AG261" s="83"/>
      <c r="AH261" s="83"/>
      <c r="AI261" s="83"/>
      <c r="AJ261" s="83"/>
      <c r="AK261" s="153"/>
      <c r="AL261" s="76"/>
      <c r="AM261" s="76"/>
      <c r="AN261" s="76"/>
      <c r="AO261" s="76"/>
      <c r="AP261" s="76"/>
      <c r="AQ261" s="76"/>
      <c r="AR261" s="76"/>
      <c r="AS261" s="76"/>
      <c r="AT261" s="76"/>
      <c r="AU261" s="76"/>
      <c r="AV261" s="76"/>
      <c r="AW261" s="76"/>
      <c r="AX261" s="76"/>
      <c r="AY261" s="76"/>
    </row>
    <row r="262" spans="1:51" s="89" customFormat="1" ht="12.75" customHeight="1" x14ac:dyDescent="0.2">
      <c r="A262" s="462">
        <f>VLOOKUP(B262,Sheet1!$AQ$4:$AR$25,2,FALSE)</f>
        <v>0</v>
      </c>
      <c r="B262" s="95" t="str">
        <f t="shared" si="105"/>
        <v>Kent</v>
      </c>
      <c r="C262" s="87"/>
      <c r="D262" s="158">
        <f>IF(AND(ISNUMBER(Adoption!Y84),ISNUMBER(Z262)),Z262/Adoption!Y84,NA())</f>
        <v>6.2713797035347782E-2</v>
      </c>
      <c r="E262" s="158">
        <f>IF(AND(ISNUMBER(Adoption!Z84),ISNUMBER(AA262)),AA262/Adoption!Z84,NA())</f>
        <v>4.1705282669138088E-2</v>
      </c>
      <c r="F262" s="158">
        <f>IF(AND(ISNUMBER(Adoption!AA84),ISNUMBER(AB262)),AB262/Adoption!AA84,NA())</f>
        <v>4.1033434650455926E-2</v>
      </c>
      <c r="G262" s="158">
        <f>IF(AND(ISNUMBER(Adoption!AB84),ISNUMBER(AC262)),AC262/Adoption!AB84,NA())</f>
        <v>4.0991420400381312E-2</v>
      </c>
      <c r="H262" s="160">
        <f>IF(AND(ISNUMBER(Adoption!AC84),ISNUMBER(AD262)),AD262/Adoption!AC84,NA())</f>
        <v>5.8977719528178242E-2</v>
      </c>
      <c r="I262" s="425"/>
      <c r="J262" s="98"/>
      <c r="K262" s="98"/>
      <c r="L262" s="98"/>
      <c r="M262" s="162"/>
      <c r="N262" s="162"/>
      <c r="O262" s="162"/>
      <c r="P262" s="162"/>
      <c r="Q262" s="162"/>
      <c r="R262" s="162"/>
      <c r="S262" s="163"/>
      <c r="T262" s="162"/>
      <c r="U262" s="87"/>
      <c r="V262" s="1006"/>
      <c r="W262" s="138"/>
      <c r="X262" s="147"/>
      <c r="Y262" s="365" t="str">
        <f t="shared" si="104"/>
        <v>Kent</v>
      </c>
      <c r="Z262" s="365">
        <f>IF(Year1_Kent Year1_ROSGO_ceased_LAC_SGO="","",Year1_Kent Year1_ROSGO_ceased_LAC_SGO)</f>
        <v>55</v>
      </c>
      <c r="AA262" s="365">
        <f>IF(Year2_Kent Year2_ROSGO_ceased_LAC_SGO="","",Year2_Kent Year2_ROSGO_ceased_LAC_SGO)</f>
        <v>45</v>
      </c>
      <c r="AB262" s="365">
        <f>IF(Year3_Kent Year3_ROSGO_ceased_LAC_SGO="","",Year3_Kent Year3_ROSGO_ceased_LAC_SGO)</f>
        <v>54</v>
      </c>
      <c r="AC262" s="365">
        <f>IF(Year4_Kent Year4_ROSGO_ceased_LAC_SGO="","",Year4_Kent Year4_ROSGO_ceased_LAC_SGO)</f>
        <v>43</v>
      </c>
      <c r="AD262" s="365">
        <f>IF(Year5_Kent Year5_ROSGO_ceased_LAC_SGO="","",Year5_Kent Year5_ROSGO_ceased_LAC_SGO)</f>
        <v>45</v>
      </c>
      <c r="AE262" s="376"/>
      <c r="AF262" s="83"/>
      <c r="AG262" s="83"/>
      <c r="AH262" s="83"/>
      <c r="AI262" s="83"/>
      <c r="AJ262" s="83"/>
      <c r="AK262" s="153"/>
      <c r="AL262" s="76"/>
      <c r="AM262" s="76"/>
      <c r="AN262" s="76"/>
      <c r="AO262" s="76"/>
      <c r="AP262" s="76"/>
      <c r="AQ262" s="76"/>
      <c r="AR262" s="76"/>
      <c r="AS262" s="76"/>
      <c r="AT262" s="76"/>
      <c r="AU262" s="76"/>
      <c r="AV262" s="76"/>
      <c r="AW262" s="76"/>
      <c r="AX262" s="76"/>
      <c r="AY262" s="76"/>
    </row>
    <row r="263" spans="1:51" s="89" customFormat="1" ht="12.75" customHeight="1" x14ac:dyDescent="0.2">
      <c r="A263" s="462">
        <f>VLOOKUP(B263,Sheet1!$AQ$4:$AR$25,2,FALSE)</f>
        <v>0</v>
      </c>
      <c r="B263" s="95" t="str">
        <f t="shared" si="105"/>
        <v>Medway</v>
      </c>
      <c r="C263" s="87"/>
      <c r="D263" s="158">
        <f>IF(AND(ISNUMBER(Adoption!Y85),ISNUMBER(Z263)),Z263/Adoption!Y85,NA())</f>
        <v>5.128205128205128E-2</v>
      </c>
      <c r="E263" s="158">
        <f>IF(AND(ISNUMBER(Adoption!Z85),ISNUMBER(AA263)),AA263/Adoption!Z85,NA())</f>
        <v>0.11904761904761904</v>
      </c>
      <c r="F263" s="158">
        <f>IF(AND(ISNUMBER(Adoption!AA85),ISNUMBER(AB263)),AB263/Adoption!AA85,NA())</f>
        <v>0.1497326203208556</v>
      </c>
      <c r="G263" s="158">
        <f>IF(AND(ISNUMBER(Adoption!AB85),ISNUMBER(AC263)),AC263/Adoption!AB85,NA())</f>
        <v>0.11949685534591195</v>
      </c>
      <c r="H263" s="160">
        <f>IF(AND(ISNUMBER(Adoption!AC85),ISNUMBER(AD263)),AD263/Adoption!AC85,NA())</f>
        <v>0.15822784810126583</v>
      </c>
      <c r="I263" s="425"/>
      <c r="J263" s="98"/>
      <c r="K263" s="98"/>
      <c r="L263" s="98"/>
      <c r="M263" s="162"/>
      <c r="N263" s="162"/>
      <c r="O263" s="162"/>
      <c r="P263" s="162"/>
      <c r="Q263" s="162"/>
      <c r="R263" s="162"/>
      <c r="S263" s="163"/>
      <c r="T263" s="162"/>
      <c r="U263" s="87"/>
      <c r="V263" s="1006"/>
      <c r="W263" s="138"/>
      <c r="X263" s="147"/>
      <c r="Y263" s="365" t="str">
        <f t="shared" si="104"/>
        <v>Medway</v>
      </c>
      <c r="Z263" s="365">
        <f>IF(Year1_Medway Year1_ROSGO_ceased_LAC_SGO="","",Year1_Medway Year1_ROSGO_ceased_LAC_SGO)</f>
        <v>10</v>
      </c>
      <c r="AA263" s="365">
        <f>IF(Year2_Medway Year2_ROSGO_ceased_LAC_SGO="","",Year2_Medway Year2_ROSGO_ceased_LAC_SGO)</f>
        <v>25</v>
      </c>
      <c r="AB263" s="365">
        <f>IF(Year3_Medway Year3_ROSGO_ceased_LAC_SGO="","",Year3_Medway Year3_ROSGO_ceased_LAC_SGO)</f>
        <v>28</v>
      </c>
      <c r="AC263" s="365">
        <f>IF(Year4_Medway Year4_ROSGO_ceased_LAC_SGO="","",Year4_Medway Year4_ROSGO_ceased_LAC_SGO)</f>
        <v>19</v>
      </c>
      <c r="AD263" s="365">
        <f>IF(Year5_Medway Year5_ROSGO_ceased_LAC_SGO="","",Year5_Medway Year5_ROSGO_ceased_LAC_SGO)</f>
        <v>25</v>
      </c>
      <c r="AE263" s="376"/>
      <c r="AF263" s="83"/>
      <c r="AG263" s="83"/>
      <c r="AH263" s="83"/>
      <c r="AI263" s="83"/>
      <c r="AJ263" s="83"/>
      <c r="AK263" s="153"/>
      <c r="AL263" s="76"/>
      <c r="AM263" s="76"/>
      <c r="AN263" s="76"/>
      <c r="AO263" s="76"/>
      <c r="AP263" s="76"/>
      <c r="AQ263" s="76"/>
      <c r="AR263" s="76"/>
      <c r="AS263" s="76"/>
      <c r="AT263" s="76"/>
      <c r="AU263" s="76"/>
      <c r="AV263" s="76"/>
      <c r="AW263" s="76"/>
      <c r="AX263" s="76"/>
      <c r="AY263" s="76"/>
    </row>
    <row r="264" spans="1:51" s="89" customFormat="1" ht="12.75" customHeight="1" x14ac:dyDescent="0.2">
      <c r="A264" s="462">
        <f>VLOOKUP(B264,Sheet1!$AQ$4:$AR$25,2,FALSE)</f>
        <v>0</v>
      </c>
      <c r="B264" s="95" t="str">
        <f t="shared" si="105"/>
        <v>Milton Keynes</v>
      </c>
      <c r="C264" s="87"/>
      <c r="D264" s="158">
        <f>IF(AND(ISNUMBER(Adoption!Y86),ISNUMBER(Z264)),Z264/Adoption!Y86,NA())</f>
        <v>0.10948905109489052</v>
      </c>
      <c r="E264" s="158">
        <f>IF(AND(ISNUMBER(Adoption!Z86),ISNUMBER(AA264)),AA264/Adoption!Z86,NA())</f>
        <v>0.10752688172043011</v>
      </c>
      <c r="F264" s="158">
        <f>IF(AND(ISNUMBER(Adoption!AA86),ISNUMBER(AB264)),AB264/Adoption!AA86,NA())</f>
        <v>0.17763157894736842</v>
      </c>
      <c r="G264" s="158">
        <f>IF(AND(ISNUMBER(Adoption!AB86),ISNUMBER(AC264)),AC264/Adoption!AB86,NA())</f>
        <v>0.24827586206896551</v>
      </c>
      <c r="H264" s="160">
        <f>IF(AND(ISNUMBER(Adoption!AC86),ISNUMBER(AD264)),AD264/Adoption!AC86,NA())</f>
        <v>0.15028901734104047</v>
      </c>
      <c r="I264" s="425"/>
      <c r="J264" s="98"/>
      <c r="K264" s="98"/>
      <c r="L264" s="98"/>
      <c r="M264" s="162"/>
      <c r="N264" s="162"/>
      <c r="O264" s="162"/>
      <c r="P264" s="162"/>
      <c r="Q264" s="162"/>
      <c r="R264" s="162"/>
      <c r="S264" s="163"/>
      <c r="T264" s="162"/>
      <c r="U264" s="87"/>
      <c r="V264" s="1006"/>
      <c r="W264" s="138"/>
      <c r="X264" s="147"/>
      <c r="Y264" s="365" t="str">
        <f t="shared" si="104"/>
        <v>Milton Keynes</v>
      </c>
      <c r="Z264" s="365">
        <f>IF(Year1_Milton_Keynes Year1_ROSGO_ceased_LAC_SGO="","",Year1_Milton_Keynes Year1_ROSGO_ceased_LAC_SGO)</f>
        <v>15</v>
      </c>
      <c r="AA264" s="365">
        <f>IF(Year2_Milton_Keynes Year2_ROSGO_ceased_LAC_SGO="","",Year2_Milton_Keynes Year2_ROSGO_ceased_LAC_SGO)</f>
        <v>20</v>
      </c>
      <c r="AB264" s="365">
        <f>IF(Year3_Milton_Keynes Year3_ROSGO_ceased_LAC_SGO="","",Year3_Milton_Keynes Year3_ROSGO_ceased_LAC_SGO)</f>
        <v>27</v>
      </c>
      <c r="AC264" s="365">
        <f>IF(Year4_Milton_Keynes Year4_ROSGO_ceased_LAC_SGO="","",Year4_Milton_Keynes Year4_ROSGO_ceased_LAC_SGO)</f>
        <v>36</v>
      </c>
      <c r="AD264" s="365">
        <f>IF(Year5_Milton_Keynes Year5_ROSGO_ceased_LAC_SGO="","",Year5_Milton_Keynes Year5_ROSGO_ceased_LAC_SGO)</f>
        <v>26</v>
      </c>
      <c r="AE264" s="376"/>
      <c r="AF264" s="83"/>
      <c r="AG264" s="83"/>
      <c r="AH264" s="83"/>
      <c r="AI264" s="83"/>
      <c r="AJ264" s="83"/>
      <c r="AK264" s="153"/>
      <c r="AL264" s="76"/>
      <c r="AM264" s="76"/>
      <c r="AN264" s="76"/>
      <c r="AO264" s="76"/>
      <c r="AP264" s="76"/>
      <c r="AQ264" s="76"/>
      <c r="AR264" s="76"/>
      <c r="AS264" s="76"/>
      <c r="AT264" s="76"/>
      <c r="AU264" s="76"/>
      <c r="AV264" s="76"/>
      <c r="AW264" s="76"/>
      <c r="AX264" s="76"/>
      <c r="AY264" s="76"/>
    </row>
    <row r="265" spans="1:51" s="89" customFormat="1" ht="12.75" customHeight="1" x14ac:dyDescent="0.2">
      <c r="A265" s="462">
        <f>VLOOKUP(B265,Sheet1!$AQ$4:$AR$25,2,FALSE)</f>
        <v>0</v>
      </c>
      <c r="B265" s="95" t="str">
        <f t="shared" si="105"/>
        <v>Oxfordshire</v>
      </c>
      <c r="C265" s="87"/>
      <c r="D265" s="158">
        <f>IF(AND(ISNUMBER(Adoption!Y87),ISNUMBER(Z265)),Z265/Adoption!Y87,NA())</f>
        <v>0.1606425702811245</v>
      </c>
      <c r="E265" s="158">
        <f>IF(AND(ISNUMBER(Adoption!Z87),ISNUMBER(AA265)),AA265/Adoption!Z87,NA())</f>
        <v>0.10714285714285714</v>
      </c>
      <c r="F265" s="158">
        <f>IF(AND(ISNUMBER(Adoption!AA87),ISNUMBER(AB265)),AB265/Adoption!AA87,NA())</f>
        <v>5.5944055944055944E-2</v>
      </c>
      <c r="G265" s="158">
        <f>IF(AND(ISNUMBER(Adoption!AB87),ISNUMBER(AC265)),AC265/Adoption!AB87,NA())</f>
        <v>0.1476510067114094</v>
      </c>
      <c r="H265" s="160">
        <f>IF(AND(ISNUMBER(Adoption!AC87),ISNUMBER(AD265)),AD265/Adoption!AC87,NA())</f>
        <v>9.5238095238095233E-2</v>
      </c>
      <c r="I265" s="425"/>
      <c r="J265" s="98"/>
      <c r="K265" s="98"/>
      <c r="L265" s="98"/>
      <c r="M265" s="162"/>
      <c r="N265" s="162"/>
      <c r="O265" s="162"/>
      <c r="P265" s="162"/>
      <c r="Q265" s="162"/>
      <c r="R265" s="162"/>
      <c r="S265" s="163"/>
      <c r="T265" s="162"/>
      <c r="U265" s="87"/>
      <c r="V265" s="1006"/>
      <c r="W265" s="138"/>
      <c r="X265" s="147"/>
      <c r="Y265" s="365" t="str">
        <f t="shared" si="104"/>
        <v>Oxfordshire</v>
      </c>
      <c r="Z265" s="365">
        <f>IF(Year1_Oxfordshire Year1_ROSGO_ceased_LAC_SGO="","",Year1_Oxfordshire Year1_ROSGO_ceased_LAC_SGO)</f>
        <v>40</v>
      </c>
      <c r="AA265" s="365">
        <f>IF(Year2_Oxfordshire Year2_ROSGO_ceased_LAC_SGO="","",Year2_Oxfordshire Year2_ROSGO_ceased_LAC_SGO)</f>
        <v>30</v>
      </c>
      <c r="AB265" s="365">
        <f>IF(Year3_Oxfordshire Year3_ROSGO_ceased_LAC_SGO="","",Year3_Oxfordshire Year3_ROSGO_ceased_LAC_SGO)</f>
        <v>16</v>
      </c>
      <c r="AC265" s="365">
        <f>IF(Year4_Oxfordshire Year4_ROSGO_ceased_LAC_SGO="","",Year4_Oxfordshire Year4_ROSGO_ceased_LAC_SGO)</f>
        <v>44</v>
      </c>
      <c r="AD265" s="365">
        <f>IF(Year5_Oxfordshire Year5_ROSGO_ceased_LAC_SGO="","",Year5_Oxfordshire Year5_ROSGO_ceased_LAC_SGO)</f>
        <v>26</v>
      </c>
      <c r="AE265" s="376"/>
      <c r="AF265" s="83"/>
      <c r="AG265" s="83"/>
      <c r="AH265" s="83"/>
      <c r="AI265" s="83"/>
      <c r="AJ265" s="83"/>
      <c r="AK265" s="153"/>
      <c r="AL265" s="76"/>
      <c r="AM265" s="76"/>
      <c r="AN265" s="76"/>
      <c r="AO265" s="76"/>
      <c r="AP265" s="76"/>
      <c r="AQ265" s="76"/>
      <c r="AR265" s="76"/>
      <c r="AS265" s="76"/>
      <c r="AT265" s="76"/>
      <c r="AU265" s="76"/>
      <c r="AV265" s="76"/>
      <c r="AW265" s="76"/>
      <c r="AX265" s="76"/>
      <c r="AY265" s="76"/>
    </row>
    <row r="266" spans="1:51" s="89" customFormat="1" ht="12.75" customHeight="1" x14ac:dyDescent="0.2">
      <c r="A266" s="462">
        <f>VLOOKUP(B266,Sheet1!$AQ$4:$AR$25,2,FALSE)</f>
        <v>0</v>
      </c>
      <c r="B266" s="95" t="str">
        <f t="shared" si="105"/>
        <v>Portsmouth</v>
      </c>
      <c r="C266" s="87"/>
      <c r="D266" s="158">
        <f>IF(AND(ISNUMBER(Adoption!Y88),ISNUMBER(Z266)),Z266/Adoption!Y88,NA())</f>
        <v>9.1463414634146339E-2</v>
      </c>
      <c r="E266" s="158">
        <f>IF(AND(ISNUMBER(Adoption!Z88),ISNUMBER(AA266)),AA266/Adoption!Z88,NA())</f>
        <v>0.11904761904761904</v>
      </c>
      <c r="F266" s="158">
        <f>IF(AND(ISNUMBER(Adoption!AA88),ISNUMBER(AB266)),AB266/Adoption!AA88,NA())</f>
        <v>9.7560975609756101E-2</v>
      </c>
      <c r="G266" s="158">
        <f>IF(AND(ISNUMBER(Adoption!AB88),ISNUMBER(AC266)),AC266/Adoption!AB88,NA())</f>
        <v>0.11827956989247312</v>
      </c>
      <c r="H266" s="160">
        <f>IF(AND(ISNUMBER(Adoption!AC88),ISNUMBER(AD266)),AD266/Adoption!AC88,NA())</f>
        <v>4.3478260869565216E-2</v>
      </c>
      <c r="I266" s="425"/>
      <c r="J266" s="98"/>
      <c r="K266" s="98"/>
      <c r="L266" s="98"/>
      <c r="M266" s="162"/>
      <c r="N266" s="162"/>
      <c r="O266" s="162"/>
      <c r="P266" s="162"/>
      <c r="Q266" s="162"/>
      <c r="R266" s="162"/>
      <c r="S266" s="163"/>
      <c r="T266" s="162"/>
      <c r="U266" s="87"/>
      <c r="V266" s="1006"/>
      <c r="W266" s="138"/>
      <c r="X266" s="147"/>
      <c r="Y266" s="365" t="str">
        <f t="shared" si="104"/>
        <v>Portsmouth</v>
      </c>
      <c r="Z266" s="365">
        <f>IF(Year1_Portsmouth Year1_ROSGO_ceased_LAC_SGO="","",Year1_Portsmouth Year1_ROSGO_ceased_LAC_SGO)</f>
        <v>15</v>
      </c>
      <c r="AA266" s="365">
        <f>IF(Year2_Portsmouth Year2_ROSGO_ceased_LAC_SGO="","",Year2_Portsmouth Year2_ROSGO_ceased_LAC_SGO)</f>
        <v>15</v>
      </c>
      <c r="AB266" s="365">
        <f>IF(Year3_Portsmouth Year3_ROSGO_ceased_LAC_SGO="","",Year3_Portsmouth Year3_ROSGO_ceased_LAC_SGO)</f>
        <v>12</v>
      </c>
      <c r="AC266" s="365">
        <f>IF(Year4_Portsmouth Year4_ROSGO_ceased_LAC_SGO="","",Year4_Portsmouth Year4_ROSGO_ceased_LAC_SGO)</f>
        <v>22</v>
      </c>
      <c r="AD266" s="365">
        <f>IF(Year5_Portsmouth Year5_ROSGO_ceased_LAC_SGO="","",Year5_Portsmouth Year5_ROSGO_ceased_LAC_SGO)</f>
        <v>7</v>
      </c>
      <c r="AE266" s="376"/>
      <c r="AF266" s="83"/>
      <c r="AG266" s="83"/>
      <c r="AH266" s="83"/>
      <c r="AI266" s="83"/>
      <c r="AJ266" s="83"/>
      <c r="AK266" s="153"/>
      <c r="AL266" s="76"/>
      <c r="AM266" s="76"/>
      <c r="AN266" s="76"/>
      <c r="AO266" s="76"/>
      <c r="AP266" s="76"/>
      <c r="AQ266" s="76"/>
      <c r="AR266" s="76"/>
      <c r="AS266" s="76"/>
      <c r="AT266" s="76"/>
      <c r="AU266" s="76"/>
      <c r="AV266" s="76"/>
      <c r="AW266" s="76"/>
      <c r="AX266" s="76"/>
      <c r="AY266" s="76"/>
    </row>
    <row r="267" spans="1:51" s="89" customFormat="1" ht="12.75" customHeight="1" x14ac:dyDescent="0.2">
      <c r="A267" s="462">
        <f>VLOOKUP(B267,Sheet1!$AQ$4:$AR$25,2,FALSE)</f>
        <v>0</v>
      </c>
      <c r="B267" s="95" t="str">
        <f t="shared" si="105"/>
        <v>Reading</v>
      </c>
      <c r="C267" s="87"/>
      <c r="D267" s="158">
        <f>IF(AND(ISNUMBER(Adoption!Y89),ISNUMBER(Z267)),Z267/Adoption!Y89,NA())</f>
        <v>0.17857142857142858</v>
      </c>
      <c r="E267" s="158">
        <f>IF(AND(ISNUMBER(Adoption!Z89),ISNUMBER(AA267)),AA267/Adoption!Z89,NA())</f>
        <v>0.16260162601626016</v>
      </c>
      <c r="F267" s="158">
        <f>IF(AND(ISNUMBER(Adoption!AA89),ISNUMBER(AB267)),AB267/Adoption!AA89,NA())</f>
        <v>0.08</v>
      </c>
      <c r="G267" s="158">
        <f>IF(AND(ISNUMBER(Adoption!AB89),ISNUMBER(AC267)),AC267/Adoption!AB89,NA())</f>
        <v>0.15217391304347827</v>
      </c>
      <c r="H267" s="160">
        <f>IF(AND(ISNUMBER(Adoption!AC89),ISNUMBER(AD267)),AD267/Adoption!AC89,NA())</f>
        <v>0.14736842105263157</v>
      </c>
      <c r="I267" s="425"/>
      <c r="J267" s="98"/>
      <c r="K267" s="98"/>
      <c r="L267" s="98"/>
      <c r="M267" s="162"/>
      <c r="N267" s="162"/>
      <c r="O267" s="162"/>
      <c r="P267" s="162"/>
      <c r="Q267" s="162"/>
      <c r="R267" s="162"/>
      <c r="S267" s="163"/>
      <c r="T267" s="162"/>
      <c r="U267" s="87"/>
      <c r="V267" s="1006"/>
      <c r="W267" s="138"/>
      <c r="X267" s="147"/>
      <c r="Y267" s="365" t="str">
        <f t="shared" si="104"/>
        <v>Reading</v>
      </c>
      <c r="Z267" s="365">
        <f>IF(Year1_Reading Year1_ROSGO_ceased_LAC_SGO="","",Year1_Reading Year1_ROSGO_ceased_LAC_SGO)</f>
        <v>15</v>
      </c>
      <c r="AA267" s="365">
        <f>IF(Year2_Reading Year2_ROSGO_ceased_LAC_SGO="","",Year2_Reading Year2_ROSGO_ceased_LAC_SGO)</f>
        <v>20</v>
      </c>
      <c r="AB267" s="365">
        <f>IF(Year3_Reading Year3_ROSGO_ceased_LAC_SGO="","",Year3_Reading Year3_ROSGO_ceased_LAC_SGO)</f>
        <v>8</v>
      </c>
      <c r="AC267" s="365">
        <f>IF(Year4_Reading Year4_ROSGO_ceased_LAC_SGO="","",Year4_Reading Year4_ROSGO_ceased_LAC_SGO)</f>
        <v>14</v>
      </c>
      <c r="AD267" s="365">
        <f>IF(Year5_Reading Year5_ROSGO_ceased_LAC_SGO="","",Year5_Reading Year5_ROSGO_ceased_LAC_SGO)</f>
        <v>14</v>
      </c>
      <c r="AE267" s="376"/>
      <c r="AF267" s="83"/>
      <c r="AG267" s="83"/>
      <c r="AH267" s="83"/>
      <c r="AI267" s="83"/>
      <c r="AJ267" s="83"/>
      <c r="AK267" s="153"/>
      <c r="AL267" s="76"/>
      <c r="AM267" s="76"/>
      <c r="AN267" s="76"/>
      <c r="AO267" s="76"/>
      <c r="AP267" s="76"/>
      <c r="AQ267" s="76"/>
      <c r="AR267" s="76"/>
      <c r="AS267" s="76"/>
      <c r="AT267" s="76"/>
      <c r="AU267" s="76"/>
      <c r="AV267" s="76"/>
      <c r="AW267" s="76"/>
      <c r="AX267" s="76"/>
      <c r="AY267" s="76"/>
    </row>
    <row r="268" spans="1:51" s="89" customFormat="1" ht="12.75" customHeight="1" x14ac:dyDescent="0.2">
      <c r="A268" s="462">
        <f>VLOOKUP(B268,Sheet1!$AQ$4:$AR$25,2,FALSE)</f>
        <v>0</v>
      </c>
      <c r="B268" s="95" t="str">
        <f t="shared" si="105"/>
        <v>Slough</v>
      </c>
      <c r="C268" s="87"/>
      <c r="D268" s="158">
        <f>IF(AND(ISNUMBER(Adoption!Y90),ISNUMBER(Z268)),Z268/Adoption!Y90,NA())</f>
        <v>4.4247787610619468E-2</v>
      </c>
      <c r="E268" s="158">
        <f>IF(AND(ISNUMBER(Adoption!Z90),ISNUMBER(AA268)),AA268/Adoption!Z90,NA())</f>
        <v>0.16233766233766234</v>
      </c>
      <c r="F268" s="158">
        <f>IF(AND(ISNUMBER(Adoption!AA90),ISNUMBER(AB268)),AB268/Adoption!AA90,NA())</f>
        <v>8.9285714285714288E-2</v>
      </c>
      <c r="G268" s="158">
        <f>IF(AND(ISNUMBER(Adoption!AB90),ISNUMBER(AC268)),AC268/Adoption!AB90,NA())</f>
        <v>0.125</v>
      </c>
      <c r="H268" s="160">
        <f>IF(AND(ISNUMBER(Adoption!AC90),ISNUMBER(AD268)),AD268/Adoption!AC90,NA())</f>
        <v>7.0866141732283464E-2</v>
      </c>
      <c r="I268" s="425"/>
      <c r="J268" s="98"/>
      <c r="K268" s="98"/>
      <c r="L268" s="98"/>
      <c r="M268" s="162"/>
      <c r="N268" s="162"/>
      <c r="O268" s="162"/>
      <c r="P268" s="162"/>
      <c r="Q268" s="162"/>
      <c r="R268" s="162"/>
      <c r="S268" s="163"/>
      <c r="T268" s="162"/>
      <c r="U268" s="87"/>
      <c r="V268" s="1006"/>
      <c r="W268" s="138"/>
      <c r="X268" s="147"/>
      <c r="Y268" s="365" t="str">
        <f t="shared" si="104"/>
        <v>Slough</v>
      </c>
      <c r="Z268" s="365">
        <f>IF(Year1_Slough Year1_ROSGO_ceased_LAC_SGO="","",Year1_Slough Year1_ROSGO_ceased_LAC_SGO)</f>
        <v>5</v>
      </c>
      <c r="AA268" s="365">
        <f>IF(Year2_Slough Year2_ROSGO_ceased_LAC_SGO="","",Year2_Slough Year2_ROSGO_ceased_LAC_SGO)</f>
        <v>25</v>
      </c>
      <c r="AB268" s="365">
        <f>IF(Year3_Slough Year3_ROSGO_ceased_LAC_SGO="","",Year3_Slough Year3_ROSGO_ceased_LAC_SGO)</f>
        <v>10</v>
      </c>
      <c r="AC268" s="365">
        <f>IF(Year4_Slough Year4_ROSGO_ceased_LAC_SGO="","",Year4_Slough Year4_ROSGO_ceased_LAC_SGO)</f>
        <v>14</v>
      </c>
      <c r="AD268" s="365">
        <f>IF(Year5_Slough Year5_ROSGO_ceased_LAC_SGO="","",Year5_Slough Year5_ROSGO_ceased_LAC_SGO)</f>
        <v>9</v>
      </c>
      <c r="AE268" s="376"/>
      <c r="AF268" s="83"/>
      <c r="AG268" s="83"/>
      <c r="AH268" s="83"/>
      <c r="AI268" s="83"/>
      <c r="AJ268" s="83"/>
      <c r="AK268" s="153"/>
      <c r="AL268" s="76"/>
      <c r="AM268" s="76"/>
      <c r="AN268" s="76"/>
      <c r="AO268" s="76"/>
      <c r="AP268" s="76"/>
      <c r="AQ268" s="76"/>
      <c r="AR268" s="76"/>
      <c r="AS268" s="76"/>
      <c r="AT268" s="76"/>
      <c r="AU268" s="76"/>
      <c r="AV268" s="76"/>
      <c r="AW268" s="76"/>
      <c r="AX268" s="76"/>
      <c r="AY268" s="76"/>
    </row>
    <row r="269" spans="1:51" s="89" customFormat="1" ht="12.75" customHeight="1" x14ac:dyDescent="0.2">
      <c r="A269" s="462">
        <f>VLOOKUP(B269,Sheet1!$AQ$4:$AR$25,2,FALSE)</f>
        <v>0</v>
      </c>
      <c r="B269" s="95" t="str">
        <f t="shared" si="105"/>
        <v>Somerset</v>
      </c>
      <c r="C269" s="87"/>
      <c r="D269" s="158">
        <f>IF(AND(ISNUMBER(Adoption!Y91),ISNUMBER(Z269)),Z269/Adoption!Y91,NA())</f>
        <v>5.016722408026756E-2</v>
      </c>
      <c r="E269" s="158">
        <f>IF(AND(ISNUMBER(Adoption!Z91),ISNUMBER(AA269)),AA269/Adoption!Z91,NA())</f>
        <v>6.5502183406113537E-2</v>
      </c>
      <c r="F269" s="158">
        <f>IF(AND(ISNUMBER(Adoption!AA91),ISNUMBER(AB269)),AB269/Adoption!AA91,NA())</f>
        <v>0.11494252873563218</v>
      </c>
      <c r="G269" s="158">
        <f>IF(AND(ISNUMBER(Adoption!AB91),ISNUMBER(AC269)),AC269/Adoption!AB91,NA())</f>
        <v>0.12556053811659193</v>
      </c>
      <c r="H269" s="160">
        <f>IF(AND(ISNUMBER(Adoption!AC91),ISNUMBER(AD269)),AD269/Adoption!AC91,NA())</f>
        <v>7.0652173913043473E-2</v>
      </c>
      <c r="I269" s="425"/>
      <c r="J269" s="98"/>
      <c r="K269" s="98"/>
      <c r="L269" s="98"/>
      <c r="M269" s="162"/>
      <c r="N269" s="162"/>
      <c r="O269" s="162"/>
      <c r="P269" s="162"/>
      <c r="Q269" s="162"/>
      <c r="R269" s="162"/>
      <c r="S269" s="163"/>
      <c r="T269" s="162"/>
      <c r="U269" s="87"/>
      <c r="V269" s="1006"/>
      <c r="W269" s="138"/>
      <c r="X269" s="147"/>
      <c r="Y269" s="365" t="str">
        <f t="shared" si="104"/>
        <v>Somerset</v>
      </c>
      <c r="Z269" s="365">
        <f>IF(Year1_Somerset Year1_ROSGO_ceased_LAC_SGO="","",Year1_Somerset Year1_ROSGO_ceased_LAC_SGO)</f>
        <v>15</v>
      </c>
      <c r="AA269" s="365">
        <f>IF(Year2_Somerset Year2_ROSGO_ceased_LAC_SGO="","",Year2_Somerset Year2_ROSGO_ceased_LAC_SGO)</f>
        <v>15</v>
      </c>
      <c r="AB269" s="365">
        <f>IF(Year3_Somerset Year3_ROSGO_ceased_LAC_SGO="","",Year3_Somerset Year3_ROSGO_ceased_LAC_SGO)</f>
        <v>30</v>
      </c>
      <c r="AC269" s="365">
        <f>IF(Year4_Somerset Year4_ROSGO_ceased_LAC_SGO="","",Year4_Somerset Year4_ROSGO_ceased_LAC_SGO)</f>
        <v>28</v>
      </c>
      <c r="AD269" s="365">
        <f>IF(Year5_Somerset Year5_ROSGO_ceased_LAC_SGO="","",Year5_Somerset Year5_ROSGO_ceased_LAC_SGO)</f>
        <v>13</v>
      </c>
      <c r="AE269" s="376"/>
      <c r="AF269" s="83"/>
      <c r="AG269" s="83"/>
      <c r="AH269" s="83"/>
      <c r="AI269" s="83"/>
      <c r="AJ269" s="83"/>
      <c r="AK269" s="153"/>
      <c r="AL269" s="76"/>
      <c r="AM269" s="76"/>
      <c r="AN269" s="76"/>
      <c r="AO269" s="76"/>
      <c r="AP269" s="76"/>
      <c r="AQ269" s="76"/>
      <c r="AR269" s="76"/>
      <c r="AS269" s="76"/>
      <c r="AT269" s="76"/>
      <c r="AU269" s="76"/>
      <c r="AV269" s="76"/>
      <c r="AW269" s="76"/>
      <c r="AX269" s="76"/>
      <c r="AY269" s="76"/>
    </row>
    <row r="270" spans="1:51" s="89" customFormat="1" ht="12.75" customHeight="1" x14ac:dyDescent="0.2">
      <c r="A270" s="462">
        <f>VLOOKUP(B270,Sheet1!$AQ$4:$AR$25,2,FALSE)</f>
        <v>0</v>
      </c>
      <c r="B270" s="95" t="str">
        <f t="shared" si="105"/>
        <v>Southampton</v>
      </c>
      <c r="C270" s="87"/>
      <c r="D270" s="158">
        <f>IF(AND(ISNUMBER(Adoption!Y92),ISNUMBER(Z270)),Z270/Adoption!Y92,NA())</f>
        <v>5.2083333333333336E-2</v>
      </c>
      <c r="E270" s="158">
        <f>IF(AND(ISNUMBER(Adoption!Z92),ISNUMBER(AA270)),AA270/Adoption!Z92,NA())</f>
        <v>0.14634146341463414</v>
      </c>
      <c r="F270" s="158">
        <f>IF(AND(ISNUMBER(Adoption!AA92),ISNUMBER(AB270)),AB270/Adoption!AA92,NA())</f>
        <v>0.15837104072398189</v>
      </c>
      <c r="G270" s="158">
        <f>IF(AND(ISNUMBER(Adoption!AB92),ISNUMBER(AC270)),AC270/Adoption!AB92,NA())</f>
        <v>0.19796954314720813</v>
      </c>
      <c r="H270" s="160">
        <f>IF(AND(ISNUMBER(Adoption!AC92),ISNUMBER(AD270)),AD270/Adoption!AC92,NA())</f>
        <v>0.17289719626168223</v>
      </c>
      <c r="I270" s="425"/>
      <c r="J270" s="98"/>
      <c r="K270" s="98"/>
      <c r="L270" s="98"/>
      <c r="M270" s="162"/>
      <c r="N270" s="162"/>
      <c r="O270" s="162"/>
      <c r="P270" s="162"/>
      <c r="Q270" s="162"/>
      <c r="R270" s="162"/>
      <c r="S270" s="163"/>
      <c r="T270" s="162"/>
      <c r="U270" s="87"/>
      <c r="V270" s="1006"/>
      <c r="W270" s="138"/>
      <c r="X270" s="147"/>
      <c r="Y270" s="365" t="str">
        <f t="shared" si="104"/>
        <v>Southampton</v>
      </c>
      <c r="Z270" s="365">
        <f>IF(Year1_Southampton Year1_ROSGO_ceased_LAC_SGO="","",Year1_Southampton Year1_ROSGO_ceased_LAC_SGO)</f>
        <v>10</v>
      </c>
      <c r="AA270" s="365">
        <f>IF(Year2_Southampton Year2_ROSGO_ceased_LAC_SGO="","",Year2_Southampton Year2_ROSGO_ceased_LAC_SGO)</f>
        <v>30</v>
      </c>
      <c r="AB270" s="365">
        <f>IF(Year3_Southampton Year3_ROSGO_ceased_LAC_SGO="","",Year3_Southampton Year3_ROSGO_ceased_LAC_SGO)</f>
        <v>35</v>
      </c>
      <c r="AC270" s="365">
        <f>IF(Year4_Southampton Year4_ROSGO_ceased_LAC_SGO="","",Year4_Southampton Year4_ROSGO_ceased_LAC_SGO)</f>
        <v>39</v>
      </c>
      <c r="AD270" s="365">
        <f>IF(Year5_Southampton Year5_ROSGO_ceased_LAC_SGO="","",Year5_Southampton Year5_ROSGO_ceased_LAC_SGO)</f>
        <v>37</v>
      </c>
      <c r="AE270" s="376"/>
      <c r="AF270" s="83"/>
      <c r="AG270" s="83"/>
      <c r="AH270" s="83"/>
      <c r="AI270" s="83"/>
      <c r="AJ270" s="83"/>
      <c r="AK270" s="153"/>
      <c r="AL270" s="76"/>
      <c r="AM270" s="76"/>
      <c r="AN270" s="76"/>
      <c r="AO270" s="76"/>
      <c r="AP270" s="76"/>
      <c r="AQ270" s="76"/>
      <c r="AR270" s="76"/>
      <c r="AS270" s="76"/>
      <c r="AT270" s="76"/>
      <c r="AU270" s="76"/>
      <c r="AV270" s="76"/>
      <c r="AW270" s="76"/>
      <c r="AX270" s="76"/>
      <c r="AY270" s="76"/>
    </row>
    <row r="271" spans="1:51" s="89" customFormat="1" ht="12.75" customHeight="1" x14ac:dyDescent="0.2">
      <c r="A271" s="462">
        <f>VLOOKUP(B271,Sheet1!$AQ$4:$AR$25,2,FALSE)</f>
        <v>0</v>
      </c>
      <c r="B271" s="95" t="str">
        <f t="shared" si="105"/>
        <v>Surrey</v>
      </c>
      <c r="C271" s="87"/>
      <c r="D271" s="158">
        <f>IF(AND(ISNUMBER(Adoption!Y93),ISNUMBER(Z271)),Z271/Adoption!Y93,NA())</f>
        <v>0.13368983957219252</v>
      </c>
      <c r="E271" s="158">
        <f>IF(AND(ISNUMBER(Adoption!Z93),ISNUMBER(AA271)),AA271/Adoption!Z93,NA())</f>
        <v>9.8765432098765427E-2</v>
      </c>
      <c r="F271" s="158">
        <f>IF(AND(ISNUMBER(Adoption!AA93),ISNUMBER(AB271)),AB271/Adoption!AA93,NA())</f>
        <v>0.13365155131264916</v>
      </c>
      <c r="G271" s="158">
        <f>IF(AND(ISNUMBER(Adoption!AB93),ISNUMBER(AC271)),AC271/Adoption!AB93,NA())</f>
        <v>0.12469437652811736</v>
      </c>
      <c r="H271" s="160">
        <f>IF(AND(ISNUMBER(Adoption!AC93),ISNUMBER(AD271)),AD271/Adoption!AC93,NA())</f>
        <v>0.10913705583756345</v>
      </c>
      <c r="I271" s="425"/>
      <c r="J271" s="98"/>
      <c r="K271" s="98"/>
      <c r="L271" s="98"/>
      <c r="M271" s="162"/>
      <c r="N271" s="162"/>
      <c r="O271" s="162"/>
      <c r="P271" s="162"/>
      <c r="Q271" s="162"/>
      <c r="R271" s="162"/>
      <c r="S271" s="163"/>
      <c r="T271" s="162"/>
      <c r="U271" s="87"/>
      <c r="V271" s="1006"/>
      <c r="W271" s="138"/>
      <c r="X271" s="147"/>
      <c r="Y271" s="365" t="str">
        <f t="shared" si="104"/>
        <v>Surrey</v>
      </c>
      <c r="Z271" s="365">
        <f>IF(Year1_Surrey Year1_ROSGO_ceased_LAC_SGO="","",Year1_Surrey Year1_ROSGO_ceased_LAC_SGO)</f>
        <v>50</v>
      </c>
      <c r="AA271" s="365">
        <f>IF(Year2_Surrey Year2_ROSGO_ceased_LAC_SGO="","",Year2_Surrey Year2_ROSGO_ceased_LAC_SGO)</f>
        <v>40</v>
      </c>
      <c r="AB271" s="365">
        <f>IF(Year3_Surrey Year3_ROSGO_ceased_LAC_SGO="","",Year3_Surrey Year3_ROSGO_ceased_LAC_SGO)</f>
        <v>56</v>
      </c>
      <c r="AC271" s="365">
        <f>IF(Year4_Surrey Year4_ROSGO_ceased_LAC_SGO="","",Year4_Surrey Year4_ROSGO_ceased_LAC_SGO)</f>
        <v>51</v>
      </c>
      <c r="AD271" s="365">
        <f>IF(Year5_Surrey Year5_ROSGO_ceased_LAC_SGO="","",Year5_Surrey Year5_ROSGO_ceased_LAC_SGO)</f>
        <v>43</v>
      </c>
      <c r="AE271" s="376"/>
      <c r="AF271" s="83"/>
      <c r="AG271" s="83"/>
      <c r="AH271" s="83"/>
      <c r="AI271" s="83"/>
      <c r="AJ271" s="83"/>
      <c r="AK271" s="153"/>
      <c r="AL271" s="76"/>
      <c r="AM271" s="76"/>
      <c r="AN271" s="76"/>
      <c r="AO271" s="76"/>
      <c r="AP271" s="76"/>
      <c r="AQ271" s="76"/>
      <c r="AR271" s="76"/>
      <c r="AS271" s="76"/>
      <c r="AT271" s="76"/>
      <c r="AU271" s="76"/>
      <c r="AV271" s="76"/>
      <c r="AW271" s="76"/>
      <c r="AX271" s="76"/>
      <c r="AY271" s="76"/>
    </row>
    <row r="272" spans="1:51" s="89" customFormat="1" ht="12.75" customHeight="1" x14ac:dyDescent="0.2">
      <c r="A272" s="462">
        <f>VLOOKUP(B272,Sheet1!$AQ$4:$AR$25,2,FALSE)</f>
        <v>0</v>
      </c>
      <c r="B272" s="95" t="str">
        <f t="shared" si="105"/>
        <v>Swindon</v>
      </c>
      <c r="C272" s="87"/>
      <c r="D272" s="158">
        <f>IF(AND(ISNUMBER(Adoption!Y94),ISNUMBER(Z272)),Z272/Adoption!Y94,NA())</f>
        <v>7.407407407407407E-2</v>
      </c>
      <c r="E272" s="158">
        <f>IF(AND(ISNUMBER(Adoption!Z94),ISNUMBER(AA272)),AA272/Adoption!Z94,NA())</f>
        <v>7.1942446043165464E-2</v>
      </c>
      <c r="F272" s="158">
        <f>IF(AND(ISNUMBER(Adoption!AA94),ISNUMBER(AB272)),AB272/Adoption!AA94,NA())</f>
        <v>0.12666666666666668</v>
      </c>
      <c r="G272" s="158">
        <f>IF(AND(ISNUMBER(Adoption!AB94),ISNUMBER(AC272)),AC272/Adoption!AB94,NA())</f>
        <v>0.18064516129032257</v>
      </c>
      <c r="H272" s="160">
        <f>IF(AND(ISNUMBER(Adoption!AC94),ISNUMBER(AD272)),AD272/Adoption!AC94,NA())</f>
        <v>0.21476510067114093</v>
      </c>
      <c r="I272" s="425"/>
      <c r="J272" s="98"/>
      <c r="K272" s="98"/>
      <c r="L272" s="98"/>
      <c r="M272" s="162"/>
      <c r="N272" s="162"/>
      <c r="O272" s="162"/>
      <c r="P272" s="162"/>
      <c r="Q272" s="162"/>
      <c r="R272" s="162"/>
      <c r="S272" s="163"/>
      <c r="T272" s="162"/>
      <c r="U272" s="87"/>
      <c r="V272" s="1006"/>
      <c r="W272" s="138"/>
      <c r="X272" s="147"/>
      <c r="Y272" s="365" t="str">
        <f t="shared" si="104"/>
        <v>Swindon</v>
      </c>
      <c r="Z272" s="365">
        <f>IF(Year1_Swindon Year1_ROSGO_ceased_LAC_SGO="","",Year1_Swindon Year1_ROSGO_ceased_LAC_SGO)</f>
        <v>10</v>
      </c>
      <c r="AA272" s="365">
        <f>IF(Year2_Swindon Year2_ROSGO_ceased_LAC_SGO="","",Year2_Swindon Year2_ROSGO_ceased_LAC_SGO)</f>
        <v>10</v>
      </c>
      <c r="AB272" s="365">
        <f>IF(Year3_Swindon Year3_ROSGO_ceased_LAC_SGO="","",Year3_Swindon Year3_ROSGO_ceased_LAC_SGO)</f>
        <v>19</v>
      </c>
      <c r="AC272" s="574">
        <f>IF(Year4_Swindon Year4_ROSGO_ceased_LAC_SGO="","",Year4_Swindon Year4_ROSGO_ceased_LAC_SGO)</f>
        <v>28</v>
      </c>
      <c r="AD272" s="574">
        <f>IF(Year5_Swindon Year5_ROSGO_ceased_LAC_SGO="","",Year5_Swindon Year5_ROSGO_ceased_LAC_SGO)</f>
        <v>32</v>
      </c>
      <c r="AE272" s="376"/>
      <c r="AF272" s="83"/>
      <c r="AG272" s="83"/>
      <c r="AH272" s="83"/>
      <c r="AI272" s="83"/>
      <c r="AJ272" s="83"/>
      <c r="AK272" s="153"/>
      <c r="AL272" s="76"/>
      <c r="AM272" s="76"/>
      <c r="AN272" s="76"/>
      <c r="AO272" s="76"/>
      <c r="AP272" s="76"/>
      <c r="AQ272" s="76"/>
      <c r="AR272" s="76"/>
      <c r="AS272" s="76"/>
      <c r="AT272" s="76"/>
      <c r="AU272" s="76"/>
      <c r="AV272" s="76"/>
      <c r="AW272" s="76"/>
      <c r="AX272" s="76"/>
      <c r="AY272" s="76"/>
    </row>
    <row r="273" spans="1:51" s="89" customFormat="1" ht="12.75" customHeight="1" x14ac:dyDescent="0.2">
      <c r="A273" s="462">
        <f>VLOOKUP(B273,Sheet1!$AQ$4:$AR$25,2,FALSE)</f>
        <v>0</v>
      </c>
      <c r="B273" s="95" t="str">
        <f t="shared" si="105"/>
        <v>Torbay</v>
      </c>
      <c r="C273" s="87"/>
      <c r="D273" s="158">
        <f>IF(AND(ISNUMBER(Adoption!Y95),ISNUMBER(Z273)),Z273/Adoption!Y95,NA())</f>
        <v>8.0645161290322578E-2</v>
      </c>
      <c r="E273" s="158">
        <f>IF(AND(ISNUMBER(Adoption!Z95),ISNUMBER(AA273)),AA273/Adoption!Z95,NA())</f>
        <v>0.08</v>
      </c>
      <c r="F273" s="158">
        <f>IF(AND(ISNUMBER(Adoption!AA95),ISNUMBER(AB273)),AB273/Adoption!AA95,NA())</f>
        <v>0.14814814814814814</v>
      </c>
      <c r="G273" s="158">
        <f>IF(AND(ISNUMBER(Adoption!AB95),ISNUMBER(AC273)),AC273/Adoption!AB95,NA())</f>
        <v>9.8039215686274508E-2</v>
      </c>
      <c r="H273" s="160">
        <f>IF(AND(ISNUMBER(Adoption!AC95),ISNUMBER(AD273)),AD273/Adoption!AC95,NA())</f>
        <v>0.10169491525423729</v>
      </c>
      <c r="I273" s="425"/>
      <c r="J273" s="98"/>
      <c r="K273" s="98"/>
      <c r="L273" s="98"/>
      <c r="M273" s="162"/>
      <c r="N273" s="162"/>
      <c r="O273" s="162"/>
      <c r="P273" s="162"/>
      <c r="Q273" s="162"/>
      <c r="R273" s="162"/>
      <c r="S273" s="163"/>
      <c r="T273" s="162"/>
      <c r="U273" s="87"/>
      <c r="V273" s="1006"/>
      <c r="W273" s="138"/>
      <c r="X273" s="147"/>
      <c r="Y273" s="365" t="str">
        <f t="shared" si="104"/>
        <v>Torbay</v>
      </c>
      <c r="Z273" s="365">
        <f>IF(Year1_Torbay Year1_ROSGO_ceased_LAC_SGO="","",Year1_Torbay Year1_ROSGO_ceased_LAC_SGO)</f>
        <v>10</v>
      </c>
      <c r="AA273" s="365">
        <f>IF(Year2_Torbay Year2_ROSGO_ceased_LAC_SGO="","",Year2_Torbay Year2_ROSGO_ceased_LAC_SGO)</f>
        <v>10</v>
      </c>
      <c r="AB273" s="365">
        <f>IF(Year3_Torbay Year3_ROSGO_ceased_LAC_SGO="","",Year3_Torbay Year3_ROSGO_ceased_LAC_SGO)</f>
        <v>16</v>
      </c>
      <c r="AC273" s="574">
        <f>IF(Year4_Torbay Year4_ROSGO_ceased_LAC_SGO="","",Year4_Torbay Year4_ROSGO_ceased_LAC_SGO)</f>
        <v>10</v>
      </c>
      <c r="AD273" s="574">
        <f>IF(Year5_Torbay Year5_ROSGO_ceased_LAC_SGO="","",Year5_Torbay Year5_ROSGO_ceased_LAC_SGO)</f>
        <v>12</v>
      </c>
      <c r="AE273" s="376"/>
      <c r="AF273" s="83"/>
      <c r="AG273" s="83"/>
      <c r="AH273" s="83"/>
      <c r="AI273" s="83"/>
      <c r="AJ273" s="83"/>
      <c r="AK273" s="153"/>
      <c r="AL273" s="76"/>
      <c r="AM273" s="76"/>
      <c r="AN273" s="76"/>
      <c r="AO273" s="76"/>
      <c r="AP273" s="76"/>
      <c r="AQ273" s="76"/>
      <c r="AR273" s="76"/>
      <c r="AS273" s="76"/>
      <c r="AT273" s="76"/>
      <c r="AU273" s="76"/>
      <c r="AV273" s="76"/>
      <c r="AW273" s="76"/>
      <c r="AX273" s="76"/>
      <c r="AY273" s="76"/>
    </row>
    <row r="274" spans="1:51" s="89" customFormat="1" ht="12.75" customHeight="1" x14ac:dyDescent="0.2">
      <c r="A274" s="462">
        <f>VLOOKUP(B274,Sheet1!$AQ$4:$AR$25,2,FALSE)</f>
        <v>0</v>
      </c>
      <c r="B274" s="95" t="str">
        <f t="shared" si="105"/>
        <v>West Berkshire</v>
      </c>
      <c r="C274" s="87"/>
      <c r="D274" s="158">
        <f>IF(AND(ISNUMBER(Adoption!Y96),ISNUMBER(Z274)),Z274/Adoption!Y96,NA())</f>
        <v>0.15384615384615385</v>
      </c>
      <c r="E274" s="158">
        <f>IF(AND(ISNUMBER(Adoption!Z96),ISNUMBER(AA274)),AA274/Adoption!Z96,NA())</f>
        <v>0.14492753623188406</v>
      </c>
      <c r="F274" s="158" t="e">
        <f>IF(AND(ISNUMBER(Adoption!AA96),ISNUMBER(AB274)),AB274/Adoption!AA96,NA())</f>
        <v>#N/A</v>
      </c>
      <c r="G274" s="158">
        <f>IF(AND(ISNUMBER(Adoption!AB96),ISNUMBER(AC274)),AC274/Adoption!AB96,NA())</f>
        <v>0.23255813953488372</v>
      </c>
      <c r="H274" s="160">
        <f>IF(AND(ISNUMBER(Adoption!AC96),ISNUMBER(AD274)),AD274/Adoption!AC96,NA())</f>
        <v>0.30188679245283018</v>
      </c>
      <c r="I274" s="425"/>
      <c r="J274" s="98"/>
      <c r="K274" s="98"/>
      <c r="L274" s="98"/>
      <c r="M274" s="162"/>
      <c r="N274" s="162"/>
      <c r="O274" s="162"/>
      <c r="P274" s="162"/>
      <c r="Q274" s="162"/>
      <c r="R274" s="162"/>
      <c r="S274" s="163"/>
      <c r="T274" s="162"/>
      <c r="U274" s="87"/>
      <c r="V274" s="1006"/>
      <c r="W274" s="138"/>
      <c r="X274" s="147"/>
      <c r="Y274" s="365" t="str">
        <f t="shared" si="104"/>
        <v>West Berkshire</v>
      </c>
      <c r="Z274" s="365">
        <f>IF(Year1_West_Berkshire Year1_ROSGO_ceased_LAC_SGO="","",Year1_West_Berkshire Year1_ROSGO_ceased_LAC_SGO)</f>
        <v>10</v>
      </c>
      <c r="AA274" s="365">
        <f>IF(Year2_West_Berkshire Year2_ROSGO_ceased_LAC_SGO="","",Year2_West_Berkshire Year2_ROSGO_ceased_LAC_SGO)</f>
        <v>10</v>
      </c>
      <c r="AB274" s="365" t="str">
        <f>IF(Year3_West_Berkshire Year3_ROSGO_ceased_LAC_SGO="","",Year3_West_Berkshire Year3_ROSGO_ceased_LAC_SGO)</f>
        <v>x</v>
      </c>
      <c r="AC274" s="365">
        <f>IF(Year4_West_Berkshire Year4_ROSGO_ceased_LAC_SGO="","",Year4_West_Berkshire Year4_ROSGO_ceased_LAC_SGO)</f>
        <v>20</v>
      </c>
      <c r="AD274" s="365">
        <f>IF(Year5_West_Berkshire Year5_ROSGO_ceased_LAC_SGO="","",Year5_West_Berkshire Year5_ROSGO_ceased_LAC_SGO)</f>
        <v>16</v>
      </c>
      <c r="AE274" s="376"/>
      <c r="AF274" s="83"/>
      <c r="AG274" s="83"/>
      <c r="AH274" s="83"/>
      <c r="AI274" s="83"/>
      <c r="AJ274" s="83"/>
      <c r="AK274" s="153"/>
      <c r="AL274" s="76"/>
      <c r="AM274" s="76"/>
      <c r="AN274" s="76"/>
      <c r="AO274" s="76"/>
      <c r="AP274" s="76"/>
      <c r="AQ274" s="76"/>
      <c r="AR274" s="76"/>
      <c r="AS274" s="76"/>
      <c r="AT274" s="76"/>
      <c r="AU274" s="76"/>
      <c r="AV274" s="76"/>
      <c r="AW274" s="76"/>
      <c r="AX274" s="76"/>
      <c r="AY274" s="76"/>
    </row>
    <row r="275" spans="1:51" s="89" customFormat="1" ht="12.75" customHeight="1" x14ac:dyDescent="0.2">
      <c r="A275" s="462">
        <f>VLOOKUP(B275,Sheet1!$AQ$4:$AR$25,2,FALSE)</f>
        <v>0</v>
      </c>
      <c r="B275" s="95" t="str">
        <f t="shared" si="105"/>
        <v>West Sussex</v>
      </c>
      <c r="C275" s="87"/>
      <c r="D275" s="158">
        <f>IF(AND(ISNUMBER(Adoption!Y97),ISNUMBER(Z275)),Z275/Adoption!Y97,NA())</f>
        <v>6.097560975609756E-2</v>
      </c>
      <c r="E275" s="158">
        <f>IF(AND(ISNUMBER(Adoption!Z97),ISNUMBER(AA275)),AA275/Adoption!Z97,NA())</f>
        <v>0.11658031088082901</v>
      </c>
      <c r="F275" s="158">
        <f>IF(AND(ISNUMBER(Adoption!AA97),ISNUMBER(AB275)),AB275/Adoption!AA97,NA())</f>
        <v>8.4033613445378158E-2</v>
      </c>
      <c r="G275" s="158">
        <f>IF(AND(ISNUMBER(Adoption!AB97),ISNUMBER(AC275)),AC275/Adoption!AB97,NA())</f>
        <v>0.10946745562130178</v>
      </c>
      <c r="H275" s="160">
        <f>IF(AND(ISNUMBER(Adoption!AC97),ISNUMBER(AD275)),AD275/Adoption!AC97,NA())</f>
        <v>9.6045197740112997E-2</v>
      </c>
      <c r="I275" s="425"/>
      <c r="J275" s="98"/>
      <c r="K275" s="98"/>
      <c r="L275" s="98"/>
      <c r="M275" s="162"/>
      <c r="N275" s="162"/>
      <c r="O275" s="162"/>
      <c r="P275" s="162"/>
      <c r="Q275" s="162"/>
      <c r="R275" s="162"/>
      <c r="S275" s="163"/>
      <c r="T275" s="162"/>
      <c r="U275" s="87"/>
      <c r="V275" s="1006"/>
      <c r="W275" s="138"/>
      <c r="X275" s="147"/>
      <c r="Y275" s="365" t="str">
        <f t="shared" si="104"/>
        <v>West Sussex</v>
      </c>
      <c r="Z275" s="365">
        <f>IF(Year1_West_Sussex Year1_ROSGO_ceased_LAC_SGO="","",Year1_West_Sussex Year1_ROSGO_ceased_LAC_SGO)</f>
        <v>20</v>
      </c>
      <c r="AA275" s="365">
        <f>IF(Year2_West_Sussex Year2_ROSGO_ceased_LAC_SGO="","",Year2_West_Sussex Year2_ROSGO_ceased_LAC_SGO)</f>
        <v>45</v>
      </c>
      <c r="AB275" s="365">
        <f>IF(Year3_West_Sussex Year3_ROSGO_ceased_LAC_SGO="","",Year3_West_Sussex Year3_ROSGO_ceased_LAC_SGO)</f>
        <v>30</v>
      </c>
      <c r="AC275" s="365">
        <f>IF(Year4_West_Sussex Year4_ROSGO_ceased_LAC_SGO="","",Year4_West_Sussex Year4_ROSGO_ceased_LAC_SGO)</f>
        <v>37</v>
      </c>
      <c r="AD275" s="365">
        <f>IF(Year5_West_Sussex Year5_ROSGO_ceased_LAC_SGO="","",Year5_West_Sussex Year5_ROSGO_ceased_LAC_SGO)</f>
        <v>34</v>
      </c>
      <c r="AE275" s="376"/>
      <c r="AF275" s="83"/>
      <c r="AG275" s="83"/>
      <c r="AH275" s="83"/>
      <c r="AI275" s="83"/>
      <c r="AJ275" s="83"/>
      <c r="AK275" s="153"/>
      <c r="AL275" s="76"/>
      <c r="AM275" s="76"/>
      <c r="AN275" s="76"/>
      <c r="AO275" s="76"/>
      <c r="AP275" s="76"/>
      <c r="AQ275" s="76"/>
      <c r="AR275" s="76"/>
      <c r="AS275" s="76"/>
      <c r="AT275" s="76"/>
      <c r="AU275" s="76"/>
      <c r="AV275" s="76"/>
      <c r="AW275" s="76"/>
      <c r="AX275" s="76"/>
      <c r="AY275" s="76"/>
    </row>
    <row r="276" spans="1:51" s="89" customFormat="1" ht="12.75" customHeight="1" x14ac:dyDescent="0.2">
      <c r="A276" s="462">
        <f>VLOOKUP(B276,Sheet1!$AQ$4:$AR$25,2,FALSE)</f>
        <v>0</v>
      </c>
      <c r="B276" s="95" t="str">
        <f t="shared" si="105"/>
        <v>Windsor &amp; Maidenhead</v>
      </c>
      <c r="C276" s="87"/>
      <c r="D276" s="158">
        <f>IF(AND(ISNUMBER(Adoption!Y98),ISNUMBER(Z276)),Z276/Adoption!Y98,NA())</f>
        <v>0.21276595744680851</v>
      </c>
      <c r="E276" s="158" t="e">
        <f>IF(AND(ISNUMBER(Adoption!Z98),ISNUMBER(AA276)),AA276/Adoption!Z98,NA())</f>
        <v>#N/A</v>
      </c>
      <c r="F276" s="158" t="e">
        <f>IF(AND(ISNUMBER(Adoption!AA98),ISNUMBER(AB276)),AB276/Adoption!AA98,NA())</f>
        <v>#N/A</v>
      </c>
      <c r="G276" s="158" t="e">
        <f>IF(AND(ISNUMBER(Adoption!AB98),ISNUMBER(AC276)),AC276/Adoption!AB98,NA())</f>
        <v>#N/A</v>
      </c>
      <c r="H276" s="160">
        <f>IF(AND(ISNUMBER(Adoption!AC98),ISNUMBER(AD276)),AD276/Adoption!AC98,NA())</f>
        <v>0</v>
      </c>
      <c r="I276" s="425"/>
      <c r="J276" s="98"/>
      <c r="K276" s="98"/>
      <c r="L276" s="98"/>
      <c r="M276" s="162"/>
      <c r="N276" s="162"/>
      <c r="O276" s="162"/>
      <c r="P276" s="162"/>
      <c r="Q276" s="162"/>
      <c r="R276" s="162"/>
      <c r="S276" s="163"/>
      <c r="T276" s="162"/>
      <c r="U276" s="87"/>
      <c r="V276" s="1006"/>
      <c r="W276" s="138"/>
      <c r="X276" s="147"/>
      <c r="Y276" s="365" t="str">
        <f t="shared" si="104"/>
        <v>Windsor &amp; Maidenhead</v>
      </c>
      <c r="Z276" s="365">
        <f>IF(Year1_Windsor_Maidenhead Year1_ROSGO_ceased_LAC_SGO="","",Year1_Windsor_Maidenhead Year1_ROSGO_ceased_LAC_SGO)</f>
        <v>10</v>
      </c>
      <c r="AA276" s="365" t="str">
        <f>IF(Year2_Windsor_Maidenhead Year2_ROSGO_ceased_LAC_SGO="","",Year2_Windsor_Maidenhead Year2_ROSGO_ceased_LAC_SGO)</f>
        <v>-</v>
      </c>
      <c r="AB276" s="365" t="str">
        <f>IF(Year3_Windsor_Maidenhead Year3_ROSGO_ceased_LAC_SGO="","",Year3_Windsor_Maidenhead Year3_ROSGO_ceased_LAC_SGO)</f>
        <v>x</v>
      </c>
      <c r="AC276" s="365" t="str">
        <f>IF(Year4_Windsor_Maidenhead Year4_ROSGO_ceased_LAC_SGO="","",Year4_Windsor_Maidenhead Year4_ROSGO_ceased_LAC_SGO)</f>
        <v>x</v>
      </c>
      <c r="AD276" s="365">
        <f>IF(Year5_Windsor_Maidenhead Year5_ROSGO_ceased_LAC_SGO="","",Year5_Windsor_Maidenhead Year5_ROSGO_ceased_LAC_SGO)</f>
        <v>0</v>
      </c>
      <c r="AE276" s="376"/>
      <c r="AF276" s="83"/>
      <c r="AG276" s="83"/>
      <c r="AH276" s="83"/>
      <c r="AI276" s="83"/>
      <c r="AJ276" s="83"/>
      <c r="AK276" s="153"/>
      <c r="AL276" s="76"/>
      <c r="AM276" s="76"/>
      <c r="AN276" s="76"/>
      <c r="AO276" s="76"/>
      <c r="AP276" s="76"/>
      <c r="AQ276" s="76"/>
      <c r="AR276" s="76"/>
      <c r="AS276" s="76"/>
      <c r="AT276" s="76"/>
      <c r="AU276" s="76"/>
      <c r="AV276" s="76"/>
      <c r="AW276" s="76"/>
      <c r="AX276" s="76"/>
      <c r="AY276" s="76"/>
    </row>
    <row r="277" spans="1:51" s="89" customFormat="1" ht="12.75" customHeight="1" x14ac:dyDescent="0.2">
      <c r="A277" s="462">
        <f>VLOOKUP(B277,Sheet1!$AQ$4:$AR$25,2,FALSE)</f>
        <v>0</v>
      </c>
      <c r="B277" s="95" t="str">
        <f t="shared" si="105"/>
        <v>Wokingham</v>
      </c>
      <c r="C277" s="87"/>
      <c r="D277" s="158" t="e">
        <f>IF(AND(ISNUMBER(Adoption!Y99),ISNUMBER(Z277)),Z277/Adoption!Y99,NA())</f>
        <v>#N/A</v>
      </c>
      <c r="E277" s="158" t="e">
        <f>IF(AND(ISNUMBER(Adoption!Z99),ISNUMBER(AA277)),AA277/Adoption!Z99,NA())</f>
        <v>#N/A</v>
      </c>
      <c r="F277" s="158" t="e">
        <f>IF(AND(ISNUMBER(Adoption!AA99),ISNUMBER(AB277)),AB277/Adoption!AA99,NA())</f>
        <v>#N/A</v>
      </c>
      <c r="G277" s="158" t="e">
        <f>IF(AND(ISNUMBER(Adoption!AB99),ISNUMBER(AC277)),AC277/Adoption!AB99,NA())</f>
        <v>#N/A</v>
      </c>
      <c r="H277" s="160">
        <f>IF(AND(ISNUMBER(Adoption!AC99),ISNUMBER(AD277)),AD277/Adoption!AC99,NA())</f>
        <v>0.15517241379310345</v>
      </c>
      <c r="I277" s="425"/>
      <c r="J277" s="98"/>
      <c r="K277" s="98"/>
      <c r="L277" s="98"/>
      <c r="M277" s="162"/>
      <c r="N277" s="162"/>
      <c r="O277" s="162"/>
      <c r="P277" s="162"/>
      <c r="Q277" s="162"/>
      <c r="R277" s="162"/>
      <c r="S277" s="163"/>
      <c r="T277" s="162"/>
      <c r="U277" s="87"/>
      <c r="V277" s="1006"/>
      <c r="W277" s="138"/>
      <c r="X277" s="147"/>
      <c r="Y277" s="365" t="str">
        <f t="shared" si="104"/>
        <v>Wokingham</v>
      </c>
      <c r="Z277" s="365" t="str">
        <f>IF(Year1_Wokingham Year1_ROSGO_ceased_LAC_SGO="","",Year1_Wokingham Year1_ROSGO_ceased_LAC_SGO)</f>
        <v>-</v>
      </c>
      <c r="AA277" s="365" t="str">
        <f>IF(Year2_Wokingham Year2_ROSGO_ceased_LAC_SGO="","",Year2_Wokingham Year2_ROSGO_ceased_LAC_SGO)</f>
        <v>-</v>
      </c>
      <c r="AB277" s="365" t="str">
        <f>IF(Year3_Wokingham Year3_ROSGO_ceased_LAC_SGO="","",Year3_Wokingham Year3_ROSGO_ceased_LAC_SGO)</f>
        <v>x</v>
      </c>
      <c r="AC277" s="365" t="str">
        <f>IF(Year4_Wokingham Year4_ROSGO_ceased_LAC_SGO="","",Year4_Wokingham Year4_ROSGO_ceased_LAC_SGO)</f>
        <v>x</v>
      </c>
      <c r="AD277" s="365">
        <f>IF(Year5_Wokingham Year5_ROSGO_ceased_LAC_SGO="","",Year5_Wokingham Year5_ROSGO_ceased_LAC_SGO)</f>
        <v>9</v>
      </c>
      <c r="AE277" s="376"/>
      <c r="AF277" s="83"/>
      <c r="AG277" s="83"/>
      <c r="AH277" s="83"/>
      <c r="AI277" s="83"/>
      <c r="AJ277" s="83"/>
      <c r="AK277" s="153"/>
      <c r="AL277" s="76"/>
      <c r="AM277" s="76"/>
      <c r="AN277" s="76"/>
      <c r="AO277" s="76"/>
      <c r="AP277" s="76"/>
      <c r="AQ277" s="76"/>
      <c r="AR277" s="76"/>
      <c r="AS277" s="76"/>
      <c r="AT277" s="76"/>
      <c r="AU277" s="76"/>
      <c r="AV277" s="76"/>
      <c r="AW277" s="76"/>
      <c r="AX277" s="76"/>
      <c r="AY277" s="76"/>
    </row>
    <row r="278" spans="1:51" s="89" customFormat="1" ht="12.75" customHeight="1" x14ac:dyDescent="0.2">
      <c r="A278" s="123"/>
      <c r="B278" s="131" t="str">
        <f t="shared" si="105"/>
        <v>South East</v>
      </c>
      <c r="C278" s="87"/>
      <c r="D278" s="159">
        <f>IF(AND(ISNUMBER(Adoption!Y100),ISNUMBER(Z278)),Z278/Adoption!Y100,NA())</f>
        <v>9.2909535452322736E-2</v>
      </c>
      <c r="E278" s="159">
        <f>IF(AND(ISNUMBER(Adoption!Z100),ISNUMBER(AA278)),AA278/Adoption!Z100,NA())</f>
        <v>9.6774193548387094E-2</v>
      </c>
      <c r="F278" s="159">
        <f>IF(AND(ISNUMBER(Adoption!AA100),ISNUMBER(AB278)),AB278/Adoption!AA100,NA())</f>
        <v>9.8924731182795697E-2</v>
      </c>
      <c r="G278" s="159">
        <f>IF(AND(ISNUMBER(Adoption!AB100),ISNUMBER(AC278)),AC278/Adoption!AB100,NA())</f>
        <v>0.11600928074245939</v>
      </c>
      <c r="H278" s="161">
        <f>IF(AND(ISNUMBER(Adoption!AC100),ISNUMBER(AD278)),AD278/Adoption!AC100,NA())</f>
        <v>0.11835748792270531</v>
      </c>
      <c r="I278" s="425"/>
      <c r="J278" s="98"/>
      <c r="K278" s="98"/>
      <c r="L278" s="98"/>
      <c r="M278" s="164"/>
      <c r="N278" s="164"/>
      <c r="O278" s="164"/>
      <c r="P278" s="164"/>
      <c r="Q278" s="164"/>
      <c r="R278" s="164"/>
      <c r="S278" s="165"/>
      <c r="T278" s="166"/>
      <c r="U278" s="87"/>
      <c r="V278" s="1006"/>
      <c r="W278" s="138"/>
      <c r="X278" s="147"/>
      <c r="Y278" s="365" t="str">
        <f t="shared" si="104"/>
        <v>South East</v>
      </c>
      <c r="Z278" s="607">
        <f>IF(Year1_SouthEast Year1_ROSGO_ceased_LAC_SGO=0,NA(),Year1_SouthEast Year1_ROSGO_ceased_LAC_SGO)</f>
        <v>380</v>
      </c>
      <c r="AA278" s="605">
        <f>IF(Year2_SouthEast Year2_ROSGO_ceased_LAC_SGO=0,NA(),Year2_SouthEast Year2_ROSGO_ceased_LAC_SGO)</f>
        <v>450</v>
      </c>
      <c r="AB278" s="605">
        <f>IF(Year3_SouthEast Year3_ROSGO_ceased_LAC_SGO=0,NA(),Year3_SouthEast Year3_ROSGO_ceased_LAC_SGO)</f>
        <v>460</v>
      </c>
      <c r="AC278" s="365">
        <f>IF(Year4_SouthEast Year4_ROSGO_ceased_LAC_SGO=0,NA(),Year4_SouthEast Year4_ROSGO_ceased_LAC_SGO)</f>
        <v>500</v>
      </c>
      <c r="AD278" s="365">
        <f>IF(Year5_SouthEast Year5_ROSGO_ceased_LAC_SGO=0,NA(),Year5_SouthEast Year5_ROSGO_ceased_LAC_SGO)</f>
        <v>490</v>
      </c>
      <c r="AE278" s="376"/>
      <c r="AF278" s="83"/>
      <c r="AG278" s="83"/>
      <c r="AH278" s="83"/>
      <c r="AI278" s="83"/>
      <c r="AJ278" s="83"/>
      <c r="AK278" s="153"/>
      <c r="AL278" s="76"/>
      <c r="AM278" s="76"/>
      <c r="AN278" s="76"/>
      <c r="AO278" s="76"/>
      <c r="AP278" s="76"/>
      <c r="AQ278" s="76"/>
      <c r="AR278" s="76"/>
      <c r="AS278" s="76"/>
      <c r="AT278" s="76"/>
      <c r="AU278" s="76"/>
      <c r="AV278" s="76"/>
      <c r="AW278" s="76"/>
      <c r="AX278" s="76"/>
      <c r="AY278" s="76"/>
    </row>
    <row r="279" spans="1:51" s="89" customFormat="1" ht="12.75" customHeight="1" x14ac:dyDescent="0.2">
      <c r="A279" s="123"/>
      <c r="B279" s="318" t="str">
        <f t="shared" si="105"/>
        <v>England</v>
      </c>
      <c r="C279" s="87"/>
      <c r="D279" s="344">
        <f>IF(AND(ISNUMBER(Adoption!Y101),ISNUMBER(Z279)),Z279/Adoption!Y101,NA())</f>
        <v>0.11323763955342903</v>
      </c>
      <c r="E279" s="344">
        <f>IF(AND(ISNUMBER(Adoption!Z101),ISNUMBER(AA279)),AA279/Adoption!Z101,NA())</f>
        <v>0.12115505335844319</v>
      </c>
      <c r="F279" s="344">
        <f>IF(AND(ISNUMBER(Adoption!AA101),ISNUMBER(AB279)),AB279/Adoption!AA101,NA())</f>
        <v>0.11751592356687898</v>
      </c>
      <c r="G279" s="344">
        <f>IF(AND(ISNUMBER(Adoption!AB101),ISNUMBER(AC279)),AC279/Adoption!AB101,NA())</f>
        <v>0.11414309484193012</v>
      </c>
      <c r="H279" s="345">
        <f>IF(AND(ISNUMBER(Adoption!AC101),ISNUMBER(AD279)),AD279/Adoption!AC101,NA())</f>
        <v>0.13034623217922606</v>
      </c>
      <c r="I279" s="994"/>
      <c r="J279" s="98"/>
      <c r="K279" s="98"/>
      <c r="L279" s="98"/>
      <c r="M279" s="164"/>
      <c r="N279" s="164"/>
      <c r="O279" s="164"/>
      <c r="P279" s="164"/>
      <c r="Q279" s="164"/>
      <c r="R279" s="164"/>
      <c r="S279" s="165"/>
      <c r="T279" s="166"/>
      <c r="U279" s="87"/>
      <c r="V279" s="1006"/>
      <c r="W279" s="138"/>
      <c r="X279" s="147"/>
      <c r="Y279" s="365" t="str">
        <f t="shared" si="104"/>
        <v>England</v>
      </c>
      <c r="Z279" s="607">
        <f>IF(Year1_England Year1_ROSGO_ceased_LAC_SGO="","",Year1_England Year1_ROSGO_ceased_LAC_SGO)</f>
        <v>3550</v>
      </c>
      <c r="AA279" s="605">
        <f>IF(Year2_England Year2_ROSGO_ceased_LAC_SGO="","",Year2_England Year2_ROSGO_ceased_LAC_SGO)</f>
        <v>3860</v>
      </c>
      <c r="AB279" s="605">
        <f>IF(Year3_England Year3_ROSGO_ceased_LAC_SGO="","",Year3_England Year3_ROSGO_ceased_LAC_SGO)</f>
        <v>3690</v>
      </c>
      <c r="AC279" s="365">
        <f>IF(Year4_England Year4_ROSGO_ceased_LAC_SGO="","",Year4_England Year4_ROSGO_ceased_LAC_SGO)</f>
        <v>3430</v>
      </c>
      <c r="AD279" s="365">
        <f>IF(Year5_England Year5_ROSGO_ceased_LAC_SGO="","",Year5_England Year5_ROSGO_ceased_LAC_SGO)</f>
        <v>3840</v>
      </c>
      <c r="AE279" s="376"/>
      <c r="AF279" s="83"/>
      <c r="AG279" s="83"/>
      <c r="AH279" s="83"/>
      <c r="AI279" s="83"/>
      <c r="AJ279" s="83"/>
      <c r="AK279" s="153"/>
      <c r="AL279" s="76"/>
      <c r="AM279" s="76"/>
      <c r="AN279" s="76"/>
      <c r="AO279" s="76"/>
      <c r="AP279" s="76"/>
      <c r="AQ279" s="76"/>
      <c r="AR279" s="76"/>
      <c r="AS279" s="76"/>
      <c r="AT279" s="76"/>
      <c r="AU279" s="76"/>
      <c r="AV279" s="76"/>
      <c r="AW279" s="76"/>
      <c r="AX279" s="76"/>
      <c r="AY279" s="76"/>
    </row>
    <row r="280" spans="1:51" s="89" customFormat="1" ht="7.5" customHeight="1" x14ac:dyDescent="0.2">
      <c r="A280" s="286"/>
      <c r="B280" s="98"/>
      <c r="C280" s="98"/>
      <c r="D280" s="98"/>
      <c r="E280" s="98"/>
      <c r="F280" s="98"/>
      <c r="G280" s="98"/>
      <c r="H280" s="98"/>
      <c r="I280" s="98"/>
      <c r="J280" s="98"/>
      <c r="K280" s="98"/>
      <c r="L280" s="98"/>
      <c r="M280" s="164"/>
      <c r="N280" s="164"/>
      <c r="O280" s="164"/>
      <c r="P280" s="164"/>
      <c r="Q280" s="164"/>
      <c r="R280" s="164"/>
      <c r="S280" s="165"/>
      <c r="T280" s="166"/>
      <c r="U280" s="87"/>
      <c r="V280" s="1006"/>
      <c r="W280" s="138"/>
      <c r="X280" s="64"/>
      <c r="Y280" s="83"/>
      <c r="Z280" s="83"/>
      <c r="AC280" s="191"/>
      <c r="AD280" s="191"/>
      <c r="AE280" s="376"/>
      <c r="AF280" s="83"/>
      <c r="AG280" s="83"/>
      <c r="AH280" s="83"/>
      <c r="AI280" s="83"/>
      <c r="AJ280" s="83"/>
      <c r="AK280" s="153"/>
      <c r="AL280" s="76"/>
      <c r="AM280" s="76"/>
      <c r="AN280" s="76"/>
      <c r="AO280" s="76"/>
      <c r="AP280" s="76"/>
      <c r="AQ280" s="76"/>
      <c r="AR280" s="76"/>
      <c r="AS280" s="76"/>
      <c r="AT280" s="76"/>
      <c r="AU280" s="76"/>
      <c r="AV280" s="76"/>
      <c r="AW280" s="76"/>
      <c r="AX280" s="76"/>
      <c r="AY280" s="76"/>
    </row>
    <row r="281" spans="1:51" s="83" customFormat="1" ht="38.25" customHeight="1" x14ac:dyDescent="0.2">
      <c r="A281" s="213"/>
      <c r="B281" s="385"/>
      <c r="C281" s="385"/>
      <c r="D281" s="385"/>
      <c r="E281" s="385"/>
      <c r="F281" s="385"/>
      <c r="G281" s="385"/>
      <c r="H281" s="385"/>
      <c r="I281" s="385"/>
      <c r="J281" s="385"/>
      <c r="K281" s="385"/>
      <c r="L281" s="168"/>
      <c r="M281" s="168"/>
      <c r="N281" s="168"/>
      <c r="O281" s="168"/>
      <c r="P281" s="168"/>
      <c r="Q281" s="168"/>
      <c r="R281" s="168"/>
      <c r="S281" s="137"/>
      <c r="T281" s="168"/>
      <c r="U281" s="9"/>
      <c r="V281" s="1296"/>
      <c r="W281" s="138"/>
      <c r="X281" s="64"/>
      <c r="Y281" s="82"/>
      <c r="Z281" s="82"/>
      <c r="AF281" s="192"/>
      <c r="AG281" s="194"/>
      <c r="AH281" s="179"/>
      <c r="AI281" s="179"/>
      <c r="AJ281" s="179"/>
      <c r="AK281" s="153"/>
      <c r="AL281" s="76"/>
      <c r="AM281" s="76"/>
      <c r="AN281" s="76"/>
      <c r="AO281" s="76"/>
      <c r="AP281" s="76"/>
      <c r="AQ281" s="76"/>
      <c r="AR281" s="76"/>
      <c r="AS281" s="76"/>
      <c r="AT281" s="76"/>
      <c r="AU281" s="76"/>
      <c r="AV281" s="76"/>
      <c r="AW281" s="76"/>
      <c r="AX281" s="76"/>
      <c r="AY281" s="76"/>
    </row>
    <row r="282" spans="1:51" s="83" customFormat="1" ht="39" customHeight="1" x14ac:dyDescent="0.2">
      <c r="A282" s="213"/>
      <c r="B282" s="385"/>
      <c r="C282" s="385"/>
      <c r="D282" s="385"/>
      <c r="E282" s="385"/>
      <c r="F282" s="385"/>
      <c r="G282" s="385"/>
      <c r="H282" s="385"/>
      <c r="I282" s="385"/>
      <c r="J282" s="385"/>
      <c r="K282" s="385"/>
      <c r="L282" s="168"/>
      <c r="M282" s="168"/>
      <c r="N282" s="168"/>
      <c r="O282" s="168"/>
      <c r="P282" s="168"/>
      <c r="Q282" s="168"/>
      <c r="R282" s="168"/>
      <c r="S282" s="137"/>
      <c r="T282" s="168"/>
      <c r="U282" s="9"/>
      <c r="V282" s="1296"/>
      <c r="W282" s="138"/>
      <c r="X282" s="64"/>
      <c r="Y282" s="82"/>
      <c r="Z282" s="82"/>
      <c r="AB282" s="185"/>
      <c r="AG282" s="194"/>
      <c r="AH282" s="179"/>
      <c r="AI282" s="179"/>
      <c r="AJ282" s="179"/>
      <c r="AK282" s="153"/>
      <c r="AL282" s="76"/>
      <c r="AM282" s="76"/>
      <c r="AN282" s="76"/>
      <c r="AO282" s="76"/>
      <c r="AP282" s="76"/>
      <c r="AQ282" s="76"/>
      <c r="AR282" s="76"/>
      <c r="AS282" s="76"/>
      <c r="AT282" s="76"/>
      <c r="AU282" s="76"/>
      <c r="AV282" s="76"/>
      <c r="AW282" s="76"/>
      <c r="AX282" s="76"/>
      <c r="AY282" s="76"/>
    </row>
    <row r="283" spans="1:51" s="83" customFormat="1" ht="38.25" customHeight="1" x14ac:dyDescent="0.2">
      <c r="A283" s="213"/>
      <c r="B283" s="385"/>
      <c r="C283" s="385"/>
      <c r="D283" s="385"/>
      <c r="E283" s="385"/>
      <c r="F283" s="385"/>
      <c r="G283" s="385"/>
      <c r="H283" s="385"/>
      <c r="I283" s="385"/>
      <c r="J283" s="385"/>
      <c r="K283" s="385"/>
      <c r="L283" s="168"/>
      <c r="M283" s="168"/>
      <c r="N283" s="168"/>
      <c r="O283" s="168"/>
      <c r="P283" s="168"/>
      <c r="Q283" s="168"/>
      <c r="R283" s="168"/>
      <c r="S283" s="137"/>
      <c r="T283" s="168"/>
      <c r="U283" s="9"/>
      <c r="V283" s="1296"/>
      <c r="W283" s="138"/>
      <c r="X283" s="64"/>
      <c r="Y283" s="82"/>
      <c r="Z283" s="82"/>
      <c r="AB283" s="185"/>
      <c r="AG283" s="194"/>
      <c r="AH283" s="179"/>
      <c r="AI283" s="179"/>
      <c r="AJ283" s="179"/>
      <c r="AK283" s="153"/>
      <c r="AL283" s="76"/>
      <c r="AM283" s="76"/>
      <c r="AN283" s="76"/>
      <c r="AO283" s="76"/>
      <c r="AP283" s="76"/>
      <c r="AQ283" s="76"/>
      <c r="AR283" s="76"/>
      <c r="AS283" s="76"/>
      <c r="AT283" s="76"/>
      <c r="AU283" s="76"/>
      <c r="AV283" s="76"/>
      <c r="AW283" s="76"/>
      <c r="AX283" s="76"/>
      <c r="AY283" s="76"/>
    </row>
    <row r="284" spans="1:51" s="83" customFormat="1" ht="7.5" customHeight="1" x14ac:dyDescent="0.2">
      <c r="A284" s="120"/>
      <c r="B284" s="18"/>
      <c r="C284" s="18"/>
      <c r="D284" s="17"/>
      <c r="E284" s="17"/>
      <c r="F284" s="17"/>
      <c r="G284" s="17"/>
      <c r="H284" s="17"/>
      <c r="I284" s="17"/>
      <c r="J284" s="17"/>
      <c r="K284" s="17"/>
      <c r="L284" s="13"/>
      <c r="M284" s="19"/>
      <c r="N284" s="19"/>
      <c r="O284" s="19"/>
      <c r="P284" s="19"/>
      <c r="Q284" s="19"/>
      <c r="R284" s="19"/>
      <c r="S284" s="19"/>
      <c r="T284" s="20"/>
      <c r="U284" s="9"/>
      <c r="V284" s="1296"/>
      <c r="W284" s="138"/>
      <c r="X284" s="64"/>
      <c r="Y284" s="82"/>
      <c r="Z284" s="82"/>
      <c r="AB284" s="185"/>
      <c r="AK284" s="153"/>
      <c r="AL284" s="76"/>
      <c r="AM284" s="76"/>
      <c r="AN284" s="76"/>
      <c r="AO284" s="76"/>
      <c r="AP284" s="76"/>
      <c r="AQ284" s="76"/>
      <c r="AR284" s="76"/>
      <c r="AS284" s="76"/>
      <c r="AT284" s="76"/>
      <c r="AU284" s="76"/>
      <c r="AV284" s="76"/>
      <c r="AW284" s="76"/>
      <c r="AX284" s="76"/>
      <c r="AY284" s="76"/>
    </row>
    <row r="285" spans="1:51" s="83" customFormat="1" ht="15" customHeight="1" x14ac:dyDescent="0.2">
      <c r="A285" s="526"/>
      <c r="B285" s="527"/>
      <c r="C285" s="527"/>
      <c r="D285" s="527"/>
      <c r="E285" s="527"/>
      <c r="F285" s="527"/>
      <c r="G285" s="527"/>
      <c r="H285" s="527"/>
      <c r="I285" s="527"/>
      <c r="J285" s="527"/>
      <c r="K285" s="527"/>
      <c r="L285" s="527"/>
      <c r="M285" s="527"/>
      <c r="N285" s="527"/>
      <c r="O285" s="527"/>
      <c r="P285" s="527"/>
      <c r="Q285" s="527"/>
      <c r="R285" s="527"/>
      <c r="S285" s="527"/>
      <c r="T285" s="527"/>
      <c r="U285" s="527"/>
      <c r="V285" s="1296"/>
      <c r="W285" s="138"/>
      <c r="X285" s="64"/>
      <c r="Y285" s="82"/>
      <c r="Z285" s="82"/>
      <c r="AK285" s="153"/>
      <c r="AL285" s="76"/>
      <c r="AM285" s="76"/>
      <c r="AN285" s="76"/>
      <c r="AO285" s="76"/>
      <c r="AP285" s="76"/>
      <c r="AQ285" s="76"/>
      <c r="AR285" s="76"/>
      <c r="AS285" s="76"/>
      <c r="AT285" s="76"/>
      <c r="AU285" s="76"/>
      <c r="AV285" s="76"/>
      <c r="AW285" s="76"/>
      <c r="AX285" s="76"/>
      <c r="AY285" s="76"/>
    </row>
    <row r="286" spans="1:51" s="83" customFormat="1" ht="11.25" customHeight="1" x14ac:dyDescent="0.2">
      <c r="A286" s="1481" t="str">
        <f>Home!$A$40</f>
        <v>LA's provide quarterly data on the condition that it is used by the benchmarking group for internal reporting only. Please DO NOT share other LA's data with any external partners or the public</v>
      </c>
      <c r="B286" s="1472"/>
      <c r="C286" s="1472"/>
      <c r="D286" s="1472"/>
      <c r="E286" s="1472"/>
      <c r="F286" s="1472"/>
      <c r="G286" s="1472"/>
      <c r="H286" s="1472"/>
      <c r="I286" s="1472"/>
      <c r="J286" s="1472"/>
      <c r="K286" s="1472"/>
      <c r="L286" s="1472"/>
      <c r="M286" s="1472"/>
      <c r="N286" s="1472"/>
      <c r="O286" s="1472"/>
      <c r="P286" s="1472"/>
      <c r="Q286" s="1472"/>
      <c r="R286" s="1472"/>
      <c r="S286" s="1472"/>
      <c r="T286" s="1472"/>
      <c r="U286" s="1472"/>
      <c r="V286" s="1297"/>
      <c r="W286" s="138"/>
      <c r="X286" s="64"/>
      <c r="Y286" s="82"/>
      <c r="Z286" s="82"/>
      <c r="AB286" s="185"/>
      <c r="AG286" s="194"/>
      <c r="AH286" s="179"/>
      <c r="AI286" s="179"/>
      <c r="AK286" s="153"/>
      <c r="AL286" s="76"/>
      <c r="AM286" s="76"/>
      <c r="AN286" s="76"/>
      <c r="AO286" s="76"/>
      <c r="AP286" s="76"/>
      <c r="AQ286" s="76"/>
      <c r="AR286" s="76"/>
      <c r="AS286" s="76"/>
      <c r="AT286" s="76"/>
      <c r="AU286" s="76"/>
      <c r="AV286" s="76"/>
      <c r="AW286" s="76"/>
      <c r="AX286" s="76"/>
      <c r="AY286" s="76"/>
    </row>
    <row r="287" spans="1:51" ht="18.75" customHeight="1" x14ac:dyDescent="0.2">
      <c r="A287" s="114"/>
      <c r="B287" s="115"/>
      <c r="C287" s="115"/>
      <c r="D287" s="115"/>
      <c r="E287" s="115"/>
      <c r="F287" s="115"/>
      <c r="G287" s="115"/>
      <c r="H287" s="115"/>
      <c r="I287" s="115"/>
      <c r="J287" s="116"/>
      <c r="K287" s="115"/>
      <c r="L287" s="115"/>
      <c r="M287" s="115"/>
      <c r="N287" s="115"/>
      <c r="O287" s="115"/>
      <c r="P287" s="115"/>
      <c r="Q287" s="115"/>
      <c r="R287" s="115"/>
      <c r="S287" s="115"/>
      <c r="T287" s="115"/>
      <c r="U287" s="115"/>
      <c r="V287" s="117"/>
      <c r="W287" s="138"/>
      <c r="X287" s="1194"/>
      <c r="Z287" s="1284"/>
      <c r="AJ287" s="1276"/>
      <c r="AK287" s="1195"/>
      <c r="AL287" s="83"/>
    </row>
    <row r="288" spans="1:51" ht="18.75" customHeight="1" x14ac:dyDescent="0.2">
      <c r="A288" s="120"/>
      <c r="B288" s="130" t="s">
        <v>764</v>
      </c>
      <c r="C288" s="9"/>
      <c r="D288" s="9"/>
      <c r="E288" s="9"/>
      <c r="F288" s="9"/>
      <c r="G288" s="9"/>
      <c r="H288" s="9"/>
      <c r="I288" s="9"/>
      <c r="J288" s="13"/>
      <c r="K288" s="9"/>
      <c r="L288" s="9"/>
      <c r="M288" s="9"/>
      <c r="N288" s="9"/>
      <c r="O288" s="9"/>
      <c r="P288" s="9"/>
      <c r="Q288" s="9"/>
      <c r="R288" s="9"/>
      <c r="S288" s="9"/>
      <c r="T288" s="9"/>
      <c r="U288" s="9"/>
      <c r="V288" s="119"/>
      <c r="W288" s="138"/>
      <c r="X288" s="1194"/>
      <c r="Z288" s="1284"/>
      <c r="AJ288" s="179"/>
      <c r="AK288" s="1196"/>
    </row>
    <row r="289" spans="1:50" ht="18.75" customHeight="1" x14ac:dyDescent="0.2">
      <c r="A289" s="126"/>
      <c r="B289" s="127"/>
      <c r="C289" s="127"/>
      <c r="D289" s="127"/>
      <c r="E289" s="127"/>
      <c r="F289" s="127"/>
      <c r="G289" s="127"/>
      <c r="H289" s="127"/>
      <c r="I289" s="260"/>
      <c r="J289" s="128"/>
      <c r="K289" s="127"/>
      <c r="L289" s="127"/>
      <c r="M289" s="127"/>
      <c r="N289" s="127"/>
      <c r="O289" s="127"/>
      <c r="P289" s="528"/>
      <c r="Q289" s="127"/>
      <c r="R289" s="127"/>
      <c r="S289" s="127"/>
      <c r="T289" s="260"/>
      <c r="U289" s="127"/>
      <c r="V289" s="129"/>
      <c r="W289" s="157"/>
      <c r="X289" s="1194"/>
      <c r="Z289" s="1284"/>
      <c r="AJ289" s="179"/>
      <c r="AK289" s="1196"/>
      <c r="AR289" s="76">
        <v>0</v>
      </c>
    </row>
    <row r="290" spans="1:50" ht="11.25" customHeight="1" x14ac:dyDescent="0.2">
      <c r="A290" s="114"/>
      <c r="B290" s="115"/>
      <c r="C290" s="115"/>
      <c r="D290" s="115"/>
      <c r="E290" s="115"/>
      <c r="F290" s="115"/>
      <c r="G290" s="115"/>
      <c r="H290" s="115"/>
      <c r="I290" s="115"/>
      <c r="J290" s="116"/>
      <c r="K290" s="115"/>
      <c r="L290" s="115"/>
      <c r="M290" s="115"/>
      <c r="N290" s="115"/>
      <c r="O290" s="115"/>
      <c r="P290" s="115"/>
      <c r="Q290" s="115"/>
      <c r="R290" s="115"/>
      <c r="S290" s="115"/>
      <c r="T290" s="115"/>
      <c r="U290" s="115"/>
      <c r="V290" s="117"/>
      <c r="W290" s="138"/>
      <c r="X290" s="1194"/>
      <c r="Z290" s="1284"/>
      <c r="AJ290" s="179"/>
      <c r="AK290" s="1196"/>
    </row>
    <row r="291" spans="1:50" s="78" customFormat="1" ht="15" customHeight="1" x14ac:dyDescent="0.2">
      <c r="A291" s="121"/>
      <c r="B291" s="1547" t="str">
        <f>"Net Number of Children becoming Looked After in"&amp;$Z1</f>
        <v>Net Number of Children becoming Looked After in the year ending 31st March</v>
      </c>
      <c r="C291" s="1547"/>
      <c r="D291" s="1547"/>
      <c r="E291" s="1547"/>
      <c r="F291" s="1547"/>
      <c r="G291" s="1547"/>
      <c r="H291" s="1547"/>
      <c r="I291" s="1547"/>
      <c r="J291" s="1547"/>
      <c r="K291" s="1547"/>
      <c r="L291" s="1547"/>
      <c r="M291" s="1547"/>
      <c r="N291" s="1547"/>
      <c r="O291" s="1547"/>
      <c r="P291" s="1547"/>
      <c r="Q291" s="1547"/>
      <c r="R291" s="1547"/>
      <c r="S291" s="1547"/>
      <c r="T291" s="1547"/>
      <c r="U291" s="1547"/>
      <c r="V291" s="122"/>
      <c r="W291" s="139"/>
      <c r="X291" s="1198"/>
      <c r="Y291" s="1276"/>
      <c r="Z291" s="1284"/>
      <c r="AA291" s="1276"/>
      <c r="AB291" s="1276"/>
      <c r="AC291" s="1276"/>
      <c r="AD291" s="1276"/>
      <c r="AE291" s="1276"/>
      <c r="AF291" s="183"/>
      <c r="AG291" s="183"/>
      <c r="AH291" s="183"/>
      <c r="AI291" s="183"/>
      <c r="AJ291" s="183"/>
      <c r="AK291" s="1199"/>
      <c r="AL291" s="183" t="str">
        <f>CONCATENATE($I$7,"in Number of "&amp;$B291)</f>
        <v>Average Annual Change in Number of Net Number of Children becoming Looked After in the year ending 31st March</v>
      </c>
      <c r="AR291" s="887" t="s">
        <v>692</v>
      </c>
    </row>
    <row r="292" spans="1:50" ht="13.5" customHeight="1" x14ac:dyDescent="0.2">
      <c r="A292" s="120"/>
      <c r="B292" s="1547"/>
      <c r="C292" s="1547"/>
      <c r="D292" s="1547"/>
      <c r="E292" s="1547"/>
      <c r="F292" s="1547"/>
      <c r="G292" s="1547"/>
      <c r="H292" s="1547"/>
      <c r="I292" s="1547"/>
      <c r="J292" s="1547"/>
      <c r="K292" s="1547"/>
      <c r="L292" s="1547"/>
      <c r="M292" s="1547"/>
      <c r="N292" s="1547"/>
      <c r="O292" s="1547"/>
      <c r="P292" s="1547"/>
      <c r="Q292" s="1547"/>
      <c r="R292" s="1547"/>
      <c r="S292" s="1547"/>
      <c r="T292" s="1547"/>
      <c r="U292" s="1547"/>
      <c r="V292" s="119"/>
      <c r="W292" s="138"/>
      <c r="X292" s="1194"/>
      <c r="Z292" s="1284"/>
      <c r="AJ292" s="179"/>
      <c r="AK292" s="1196"/>
    </row>
    <row r="293" spans="1:50" s="89" customFormat="1" ht="12.75" customHeight="1" x14ac:dyDescent="0.2">
      <c r="A293" s="123"/>
      <c r="B293" s="1449" t="s">
        <v>190</v>
      </c>
      <c r="C293" s="87"/>
      <c r="D293" s="1545" t="s">
        <v>88</v>
      </c>
      <c r="E293" s="1557"/>
      <c r="F293" s="1557"/>
      <c r="G293" s="1557"/>
      <c r="H293" s="1558"/>
      <c r="I293" s="1439" t="str">
        <f>"Average "&amp;Sheet1!C3&amp;" Change "</f>
        <v xml:space="preserve">Average Annual Change </v>
      </c>
      <c r="J293" s="98"/>
      <c r="K293" s="1562" t="s">
        <v>89</v>
      </c>
      <c r="L293" s="1563"/>
      <c r="M293" s="1563"/>
      <c r="N293" s="1563"/>
      <c r="O293" s="1563"/>
      <c r="P293" s="1563"/>
      <c r="Q293" s="1446" t="str">
        <f>IF(ISNA(O295),"SE Rank "&amp;O294,"SE Rank "&amp;O295)</f>
        <v>SE Rank 2018-19</v>
      </c>
      <c r="R293" s="69"/>
      <c r="S293" s="1451" t="str">
        <f>"Distance from Expected "&amp;Sheet1!$B$8</f>
        <v>Distance from Expected 2019</v>
      </c>
      <c r="T293" s="1452"/>
      <c r="U293" s="1453"/>
      <c r="V293" s="124"/>
      <c r="W293" s="140"/>
      <c r="X293" s="1200"/>
      <c r="Y293" s="199"/>
      <c r="Z293" s="199"/>
      <c r="AB293" s="1288" t="s">
        <v>79</v>
      </c>
      <c r="AC293" s="1284"/>
      <c r="AD293" s="1284"/>
      <c r="AE293" s="472"/>
      <c r="AF293" s="472"/>
      <c r="AG293" s="1288" t="s">
        <v>92</v>
      </c>
      <c r="AH293" s="1284"/>
      <c r="AI293" s="1284"/>
      <c r="AJ293" s="199"/>
      <c r="AK293" s="1197"/>
      <c r="AL293" s="550"/>
      <c r="AM293" s="550"/>
      <c r="AN293" s="550"/>
      <c r="AO293" s="550"/>
      <c r="AP293" s="550"/>
      <c r="AQ293" s="76"/>
    </row>
    <row r="294" spans="1:50" s="89" customFormat="1" ht="12.75" customHeight="1" x14ac:dyDescent="0.2">
      <c r="A294" s="286"/>
      <c r="B294" s="1449"/>
      <c r="C294" s="87"/>
      <c r="D294" s="755" t="str">
        <f>Sheet1!$D$25</f>
        <v>2014-15</v>
      </c>
      <c r="E294" s="756" t="str">
        <f>Sheet1!$E$25</f>
        <v>2015-16</v>
      </c>
      <c r="F294" s="756" t="str">
        <f>Sheet1!$F$25</f>
        <v>2016-17</v>
      </c>
      <c r="G294" s="756" t="str">
        <f>Sheet1!$G$25</f>
        <v>2017-18</v>
      </c>
      <c r="H294" s="757" t="str">
        <f>Sheet1!$H$25</f>
        <v>2018-19</v>
      </c>
      <c r="I294" s="1440"/>
      <c r="J294" s="98"/>
      <c r="K294" s="768" t="str">
        <f>Sheet1!$D$25</f>
        <v>2014-15</v>
      </c>
      <c r="L294" s="769" t="str">
        <f>Sheet1!$E$25</f>
        <v>2015-16</v>
      </c>
      <c r="M294" s="769" t="str">
        <f>Sheet1!$F$25</f>
        <v>2016-17</v>
      </c>
      <c r="N294" s="769" t="str">
        <f>Sheet1!$G$25</f>
        <v>2017-18</v>
      </c>
      <c r="O294" s="1457" t="str">
        <f>Sheet1!$H$25</f>
        <v>2018-19</v>
      </c>
      <c r="P294" s="1458"/>
      <c r="Q294" s="1447"/>
      <c r="R294" s="69"/>
      <c r="S294" s="1454"/>
      <c r="T294" s="1455"/>
      <c r="U294" s="1456"/>
      <c r="V294" s="124"/>
      <c r="W294" s="140"/>
      <c r="X294" s="1200"/>
      <c r="Y294" s="199"/>
      <c r="Z294" s="1543" t="s">
        <v>76</v>
      </c>
      <c r="AA294" s="1543" t="s">
        <v>77</v>
      </c>
      <c r="AB294" s="1288" t="str">
        <f>IF(Sheet1!$C$3="Annual","",Sheet1!AE264)</f>
        <v/>
      </c>
      <c r="AC294" s="1284" t="str">
        <f>IF(Sheet1!$C$3="Annual","",Sheet1!AF264)</f>
        <v/>
      </c>
      <c r="AD294" s="1284" t="str">
        <f>IF(Sheet1!$C$3="Annual","",Sheet1!AG264)</f>
        <v/>
      </c>
      <c r="AE294" s="472" t="str">
        <f>IF(Sheet1!$C$3="Annual","",Sheet1!AH264)</f>
        <v/>
      </c>
      <c r="AF294" s="472" t="str">
        <f>IF(Sheet1!$C$3="Annual","",Sheet1!AI264)</f>
        <v/>
      </c>
      <c r="AG294" s="1288"/>
      <c r="AH294" s="1284"/>
      <c r="AI294" s="1284"/>
      <c r="AJ294" s="199"/>
      <c r="AK294" s="1197"/>
      <c r="AL294" s="897"/>
      <c r="AM294" s="897"/>
      <c r="AN294" s="897"/>
      <c r="AO294" s="897"/>
      <c r="AP294" s="897"/>
    </row>
    <row r="295" spans="1:50" s="89" customFormat="1" ht="12.75" customHeight="1" x14ac:dyDescent="0.2">
      <c r="A295" s="123"/>
      <c r="B295" s="1450"/>
      <c r="C295" s="87"/>
      <c r="D295" s="758" t="e">
        <f>Sheet1!$D$26</f>
        <v>#N/A</v>
      </c>
      <c r="E295" s="758" t="e">
        <f>Sheet1!$E$26</f>
        <v>#N/A</v>
      </c>
      <c r="F295" s="758" t="e">
        <f>Sheet1!$F$26</f>
        <v>#N/A</v>
      </c>
      <c r="G295" s="758" t="e">
        <f>Sheet1!$G$26</f>
        <v>#N/A</v>
      </c>
      <c r="H295" s="759" t="e">
        <f>Sheet1!$H$26</f>
        <v>#N/A</v>
      </c>
      <c r="I295" s="1441"/>
      <c r="J295" s="98"/>
      <c r="K295" s="758" t="e">
        <f>Sheet1!$D$26</f>
        <v>#N/A</v>
      </c>
      <c r="L295" s="758" t="e">
        <f>Sheet1!$E$26</f>
        <v>#N/A</v>
      </c>
      <c r="M295" s="758" t="e">
        <f>Sheet1!$F$26</f>
        <v>#N/A</v>
      </c>
      <c r="N295" s="758" t="e">
        <f>Sheet1!$G$26</f>
        <v>#N/A</v>
      </c>
      <c r="O295" s="1433" t="e">
        <f>Sheet1!$H$26</f>
        <v>#N/A</v>
      </c>
      <c r="P295" s="1434"/>
      <c r="Q295" s="1448"/>
      <c r="R295" s="69"/>
      <c r="S295" s="896" t="s">
        <v>78</v>
      </c>
      <c r="T295" s="794" t="s">
        <v>127</v>
      </c>
      <c r="U295" s="795" t="s">
        <v>128</v>
      </c>
      <c r="V295" s="124"/>
      <c r="W295" s="140"/>
      <c r="X295" s="1200"/>
      <c r="Y295" s="199"/>
      <c r="Z295" s="1605"/>
      <c r="AA295" s="1605"/>
      <c r="AB295" s="890" t="str">
        <f>Sheet1!$D$25</f>
        <v>2014-15</v>
      </c>
      <c r="AC295" s="890" t="str">
        <f>Sheet1!$E$25</f>
        <v>2015-16</v>
      </c>
      <c r="AD295" s="890" t="str">
        <f>Sheet1!$F$25</f>
        <v>2016-17</v>
      </c>
      <c r="AE295" s="890" t="str">
        <f>Sheet1!$G$25</f>
        <v>2017-18</v>
      </c>
      <c r="AF295" s="890" t="str">
        <f>Sheet1!$H$25</f>
        <v>2018-19</v>
      </c>
      <c r="AG295" s="1284"/>
      <c r="AH295" s="1284">
        <f>COLUMNS($B$4:O$4)</f>
        <v>14</v>
      </c>
      <c r="AI295" s="1284"/>
      <c r="AJ295" s="199"/>
      <c r="AK295" s="1197"/>
      <c r="AL295" s="899" t="s">
        <v>686</v>
      </c>
      <c r="AM295" s="899" t="s">
        <v>687</v>
      </c>
      <c r="AN295" s="899" t="s">
        <v>688</v>
      </c>
      <c r="AO295" s="899" t="s">
        <v>689</v>
      </c>
      <c r="AP295" s="899" t="s">
        <v>690</v>
      </c>
      <c r="AR295" s="889" t="s">
        <v>693</v>
      </c>
      <c r="AS295" s="889" t="s">
        <v>694</v>
      </c>
      <c r="AT295" s="889" t="s">
        <v>695</v>
      </c>
      <c r="AU295" s="889" t="s">
        <v>696</v>
      </c>
      <c r="AV295" s="890" t="s">
        <v>697</v>
      </c>
      <c r="AW295" s="890" t="s">
        <v>698</v>
      </c>
      <c r="AX295" s="890" t="s">
        <v>699</v>
      </c>
    </row>
    <row r="296" spans="1:50" s="89" customFormat="1" ht="13.5" customHeight="1" x14ac:dyDescent="0.2">
      <c r="A296" s="462">
        <f>VLOOKUP(B296,Sheet1!$AQ$4:$AR$25,2,FALSE)</f>
        <v>0</v>
      </c>
      <c r="B296" s="95" t="str">
        <f>Sheet1!$K$4</f>
        <v>Bracknell Forest</v>
      </c>
      <c r="C296" s="87"/>
      <c r="D296" s="96">
        <f t="shared" ref="D296:H305" si="106">IF(AND(ISNUMBER(D10),ISNUMBER(D117)),D10-D117,NA())</f>
        <v>-12</v>
      </c>
      <c r="E296" s="96">
        <f t="shared" si="106"/>
        <v>-8</v>
      </c>
      <c r="F296" s="96">
        <f t="shared" si="106"/>
        <v>18</v>
      </c>
      <c r="G296" s="96">
        <f t="shared" si="106"/>
        <v>17</v>
      </c>
      <c r="H296" s="97">
        <f t="shared" si="106"/>
        <v>19</v>
      </c>
      <c r="I296" s="1204">
        <f>AP296</f>
        <v>7.75</v>
      </c>
      <c r="J296" s="98"/>
      <c r="K296" s="99">
        <f>IF(ISNUMBER(D296),D296/Population!D10*10000,NA())</f>
        <v>-4.3165467625899279</v>
      </c>
      <c r="L296" s="99">
        <f>IF(ISNUMBER(E296),E296/Population!E10*10000,NA())</f>
        <v>-2.8368794326241136</v>
      </c>
      <c r="M296" s="99">
        <f>IF(ISNUMBER(F296),F296/Population!F10*10000,NA())</f>
        <v>6.3829787234042552</v>
      </c>
      <c r="N296" s="99">
        <f>IF(ISNUMBER(G296),G296/Population!G10*10000,NA())</f>
        <v>6.04982206405694</v>
      </c>
      <c r="O296" s="99">
        <f>IF(ISNUMBER(H296),H296/Population!H10*10000,NA())</f>
        <v>6.7137809187279149</v>
      </c>
      <c r="P296" s="101">
        <f>IF(ISNUMBER(O296),O296,"")</f>
        <v>6.7137809187279149</v>
      </c>
      <c r="Q296" s="886">
        <f>IF(ISNA(VLOOKUP(B296,$AG$10:$AI$28,3,FALSE)),"--",IF(ISNUMBER(H296),VLOOKUP(B296,$AG$10:$AI$28,3,FALSE),NA()))</f>
        <v>14</v>
      </c>
      <c r="R296" s="69"/>
      <c r="S296" s="333">
        <f>IDACI!C9</f>
        <v>8.9</v>
      </c>
      <c r="T296" s="334">
        <f t="shared" ref="T296:T319" si="107">((S296*$Z$330)+$AA$330)/$Y$2</f>
        <v>2.3772517247788465</v>
      </c>
      <c r="U296" s="335">
        <f>O296-T296</f>
        <v>4.3365291939490689</v>
      </c>
      <c r="V296" s="124"/>
      <c r="W296" s="140"/>
      <c r="X296" s="1200"/>
      <c r="Y296" s="1289" t="str">
        <f t="shared" ref="Y296:Y319" si="108">B296</f>
        <v>Bracknell Forest</v>
      </c>
      <c r="Z296" s="815">
        <f>IF(AD148&gt;0,IDACI!D9,0)</f>
        <v>24849</v>
      </c>
      <c r="AA296" s="815">
        <f>IF(AD148&gt;0,IDACI!E9,0)</f>
        <v>2211.5610000000001</v>
      </c>
      <c r="AB296" s="572">
        <f>IF(ISNUMBER(D296),Population!D10,0)</f>
        <v>27800</v>
      </c>
      <c r="AC296" s="572">
        <f>IF(ISNUMBER(E296),Population!E10,0)</f>
        <v>28200</v>
      </c>
      <c r="AD296" s="572">
        <f>IF(ISNUMBER(F296),Population!F10,0)</f>
        <v>28200</v>
      </c>
      <c r="AE296" s="572">
        <f>IF(ISNUMBER(G296),Population!G10,0)</f>
        <v>28100</v>
      </c>
      <c r="AF296" s="572">
        <f>IF(ISNUMBER(H296),Population!H10,0)</f>
        <v>28300</v>
      </c>
      <c r="AG296" s="95" t="str">
        <f>B296</f>
        <v>Bracknell Forest</v>
      </c>
      <c r="AH296" s="225">
        <f t="shared" ref="AH296:AH314" si="109">IFERROR(VLOOKUP(AG296,$B$296:$O$319,$AH$116,FALSE),"")</f>
        <v>6.7137809187279149</v>
      </c>
      <c r="AI296" s="1187">
        <f>RANK(AH296,$AH$296:$AH$314,1)</f>
        <v>17</v>
      </c>
      <c r="AJ296" s="199"/>
      <c r="AK296" s="1197"/>
      <c r="AL296" s="840">
        <f>IF(ISERROR((E296-D296)),"x",(E296-D296))</f>
        <v>4</v>
      </c>
      <c r="AM296" s="840">
        <f t="shared" ref="AM296:AO296" si="110">IF(ISERROR((F296-E296)),"x",(F296-E296))</f>
        <v>26</v>
      </c>
      <c r="AN296" s="840">
        <f t="shared" si="110"/>
        <v>-1</v>
      </c>
      <c r="AO296" s="840">
        <f t="shared" si="110"/>
        <v>2</v>
      </c>
      <c r="AP296" s="840">
        <f>AVERAGE(AL296:AO296)</f>
        <v>7.75</v>
      </c>
      <c r="AR296" s="888">
        <f>IF(ISNUMBER(L296),L296,"")</f>
        <v>-2.8368794326241136</v>
      </c>
      <c r="AS296" s="888">
        <f t="shared" ref="AS296:AS319" si="111">IF(ISNUMBER(M296),M296,"")</f>
        <v>6.3829787234042552</v>
      </c>
      <c r="AT296" s="888">
        <f t="shared" ref="AT296:AT319" si="112">IF(ISNUMBER(N296),N296,"")</f>
        <v>6.04982206405694</v>
      </c>
      <c r="AU296" s="888">
        <f t="shared" ref="AU296:AU308" si="113">IF(ISNUMBER(O296),O296,"")</f>
        <v>6.7137809187279149</v>
      </c>
      <c r="AV296" s="888">
        <f t="shared" ref="AV296:AV308" si="114">SUM(AR296:AU296)</f>
        <v>16.309702273564994</v>
      </c>
      <c r="AW296" s="550">
        <f t="shared" ref="AW296:AW308" si="115">COUNTBLANK(AR296:AU296)</f>
        <v>0</v>
      </c>
      <c r="AX296" s="888">
        <f>AV296/(4-AW296)*4</f>
        <v>16.309702273564994</v>
      </c>
    </row>
    <row r="297" spans="1:50" s="89" customFormat="1" ht="13.5" customHeight="1" x14ac:dyDescent="0.2">
      <c r="A297" s="462">
        <f>VLOOKUP(B297,Sheet1!$AQ$4:$AR$25,2,FALSE)</f>
        <v>0</v>
      </c>
      <c r="B297" s="95" t="str">
        <f>Sheet1!$K$5</f>
        <v>Brighton &amp; Hove</v>
      </c>
      <c r="C297" s="87"/>
      <c r="D297" s="96">
        <f t="shared" si="106"/>
        <v>3</v>
      </c>
      <c r="E297" s="96">
        <f t="shared" si="106"/>
        <v>-41</v>
      </c>
      <c r="F297" s="96">
        <f t="shared" si="106"/>
        <v>15</v>
      </c>
      <c r="G297" s="96">
        <f t="shared" si="106"/>
        <v>-36</v>
      </c>
      <c r="H297" s="97">
        <f t="shared" si="106"/>
        <v>-30</v>
      </c>
      <c r="I297" s="1204">
        <f t="shared" ref="I297:I319" si="116">AP297</f>
        <v>-8.25</v>
      </c>
      <c r="J297" s="98"/>
      <c r="K297" s="99">
        <f>IF(ISNUMBER(D297),D297/Population!D11*10000,NA())</f>
        <v>0.58823529411764708</v>
      </c>
      <c r="L297" s="99">
        <f>IF(ISNUMBER(E297),E297/Population!E11*10000,NA())</f>
        <v>-8.0078125</v>
      </c>
      <c r="M297" s="99">
        <f>IF(ISNUMBER(F297),F297/Population!F11*10000,NA())</f>
        <v>2.9239766081871346</v>
      </c>
      <c r="N297" s="99">
        <f>IF(ISNUMBER(G297),G297/Population!G11*10000,NA())</f>
        <v>-7.0588235294117654</v>
      </c>
      <c r="O297" s="100">
        <f>IF(ISNUMBER(H297),H297/Population!H11*10000,NA())</f>
        <v>-5.8823529411764701</v>
      </c>
      <c r="P297" s="101">
        <f t="shared" ref="P297:P318" si="117">IF(ISNUMBER(O297),O297,"")</f>
        <v>-5.8823529411764701</v>
      </c>
      <c r="Q297" s="886">
        <f t="shared" ref="Q297:Q300" si="118">IF(ISNA(VLOOKUP(B297,$AG$10:$AI$28,3,FALSE)),"--",IF(ISNUMBER(H297),VLOOKUP(B297,$AG$10:$AI$28,3,FALSE),NA()))</f>
        <v>16</v>
      </c>
      <c r="R297" s="69"/>
      <c r="S297" s="333">
        <f>IDACI!C10</f>
        <v>15.299999999999999</v>
      </c>
      <c r="T297" s="334">
        <f t="shared" si="107"/>
        <v>2.6273740075994017</v>
      </c>
      <c r="U297" s="335">
        <f t="shared" ref="U297:U319" si="119">O297-T297</f>
        <v>-8.5097269487758709</v>
      </c>
      <c r="V297" s="124"/>
      <c r="W297" s="140"/>
      <c r="X297" s="1200"/>
      <c r="Y297" s="1289" t="str">
        <f t="shared" si="108"/>
        <v>Brighton &amp; Hove</v>
      </c>
      <c r="Z297" s="815">
        <f>IF(AD149&gt;0,IDACI!D10,0)</f>
        <v>45576</v>
      </c>
      <c r="AA297" s="815">
        <f>IF(AD149&gt;0,IDACI!E10,0)</f>
        <v>6973.1279999999997</v>
      </c>
      <c r="AB297" s="572">
        <f>IF(ISNUMBER(D297),Population!D11,0)</f>
        <v>51000</v>
      </c>
      <c r="AC297" s="572">
        <f>IF(ISNUMBER(E297),Population!E11,0)</f>
        <v>51200</v>
      </c>
      <c r="AD297" s="572">
        <f>IF(ISNUMBER(F297),Population!F11,0)</f>
        <v>51300</v>
      </c>
      <c r="AE297" s="572">
        <f>IF(ISNUMBER(G297),Population!G11,0)</f>
        <v>51000</v>
      </c>
      <c r="AF297" s="572">
        <f>IF(ISNUMBER(H297),Population!H11,0)</f>
        <v>51000</v>
      </c>
      <c r="AG297" s="95" t="s">
        <v>31</v>
      </c>
      <c r="AH297" s="225">
        <f t="shared" si="109"/>
        <v>-5.8823529411764701</v>
      </c>
      <c r="AI297" s="1187">
        <f t="shared" ref="AI297:AI314" si="120">RANK(AH297,$AH$296:$AH$314,1)</f>
        <v>2</v>
      </c>
      <c r="AJ297" s="199"/>
      <c r="AK297" s="1197"/>
      <c r="AL297" s="840">
        <f t="shared" ref="AL297:AL319" si="121">IF(ISERROR((E297-D297)),"x",(E297-D297))</f>
        <v>-44</v>
      </c>
      <c r="AM297" s="840">
        <f t="shared" ref="AM297:AM319" si="122">IF(ISERROR((F297-E297)),"x",(F297-E297))</f>
        <v>56</v>
      </c>
      <c r="AN297" s="840">
        <f t="shared" ref="AN297:AN319" si="123">IF(ISERROR((G297-F297)),"x",(G297-F297))</f>
        <v>-51</v>
      </c>
      <c r="AO297" s="840">
        <f t="shared" ref="AO297:AO319" si="124">IF(ISERROR((H297-G297)),"x",(H297-G297))</f>
        <v>6</v>
      </c>
      <c r="AP297" s="840">
        <f>AVERAGE(AL297:AO297)</f>
        <v>-8.25</v>
      </c>
      <c r="AR297" s="888">
        <f t="shared" ref="AR297:AR319" si="125">IF(ISNUMBER(L297),L297,"")</f>
        <v>-8.0078125</v>
      </c>
      <c r="AS297" s="888">
        <f t="shared" si="111"/>
        <v>2.9239766081871346</v>
      </c>
      <c r="AT297" s="888">
        <f t="shared" si="112"/>
        <v>-7.0588235294117654</v>
      </c>
      <c r="AU297" s="888">
        <f t="shared" si="113"/>
        <v>-5.8823529411764701</v>
      </c>
      <c r="AV297" s="888">
        <f t="shared" si="114"/>
        <v>-18.025012362401103</v>
      </c>
      <c r="AW297" s="550">
        <f t="shared" si="115"/>
        <v>0</v>
      </c>
      <c r="AX297" s="888">
        <f t="shared" ref="AX297:AX308" si="126">AV297/(4-AW297)*4</f>
        <v>-18.025012362401103</v>
      </c>
    </row>
    <row r="298" spans="1:50" s="89" customFormat="1" ht="13.5" customHeight="1" x14ac:dyDescent="0.2">
      <c r="A298" s="462">
        <f>VLOOKUP(B298,Sheet1!$AQ$4:$AR$25,2,FALSE)</f>
        <v>0</v>
      </c>
      <c r="B298" s="95" t="str">
        <f>Sheet1!$K$6</f>
        <v>Buckinghamshire</v>
      </c>
      <c r="C298" s="87"/>
      <c r="D298" s="96">
        <f t="shared" si="106"/>
        <v>-4</v>
      </c>
      <c r="E298" s="96">
        <f t="shared" si="106"/>
        <v>22</v>
      </c>
      <c r="F298" s="96">
        <f t="shared" si="106"/>
        <v>-8</v>
      </c>
      <c r="G298" s="96">
        <f t="shared" si="106"/>
        <v>13</v>
      </c>
      <c r="H298" s="97">
        <f t="shared" si="106"/>
        <v>39</v>
      </c>
      <c r="I298" s="1204">
        <f t="shared" si="116"/>
        <v>10.75</v>
      </c>
      <c r="J298" s="98"/>
      <c r="K298" s="99">
        <f>IF(ISNUMBER(D298),D298/Population!D12*10000,NA())</f>
        <v>-0.33641715727502103</v>
      </c>
      <c r="L298" s="99">
        <f>IF(ISNUMBER(E298),E298/Population!E12*10000,NA())</f>
        <v>1.8242122719734659</v>
      </c>
      <c r="M298" s="99">
        <f>IF(ISNUMBER(F298),F298/Population!F12*10000,NA())</f>
        <v>-0.65466448445171854</v>
      </c>
      <c r="N298" s="99">
        <f>IF(ISNUMBER(G298),G298/Population!G12*10000,NA())</f>
        <v>1.0560519902518279</v>
      </c>
      <c r="O298" s="100">
        <f>IF(ISNUMBER(H298),H298/Population!H12*10000,NA())</f>
        <v>3.1375703942075623</v>
      </c>
      <c r="P298" s="101">
        <f t="shared" si="117"/>
        <v>3.1375703942075623</v>
      </c>
      <c r="Q298" s="886">
        <f t="shared" si="118"/>
        <v>3</v>
      </c>
      <c r="R298" s="69"/>
      <c r="S298" s="333">
        <f>IDACI!C11</f>
        <v>8.5</v>
      </c>
      <c r="T298" s="334">
        <f t="shared" si="107"/>
        <v>2.3616190821025618</v>
      </c>
      <c r="U298" s="335">
        <f t="shared" si="119"/>
        <v>0.77595131210500057</v>
      </c>
      <c r="V298" s="124"/>
      <c r="W298" s="140"/>
      <c r="X298" s="1200"/>
      <c r="Y298" s="1289" t="str">
        <f t="shared" si="108"/>
        <v>Buckinghamshire</v>
      </c>
      <c r="Z298" s="815">
        <f>IF(AD150&gt;0,IDACI!D11,0)</f>
        <v>107385</v>
      </c>
      <c r="AA298" s="815">
        <f>IF(AD150&gt;0,IDACI!E11,0)</f>
        <v>9127.7250000000004</v>
      </c>
      <c r="AB298" s="572">
        <f>IF(ISNUMBER(D298),Population!D12,0)</f>
        <v>118900</v>
      </c>
      <c r="AC298" s="572">
        <f>IF(ISNUMBER(E298),Population!E12,0)</f>
        <v>120600</v>
      </c>
      <c r="AD298" s="572">
        <f>IF(ISNUMBER(F298),Population!F12,0)</f>
        <v>122200</v>
      </c>
      <c r="AE298" s="572">
        <f>IF(ISNUMBER(G298),Population!G12,0)</f>
        <v>123100</v>
      </c>
      <c r="AF298" s="572">
        <f>IF(ISNUMBER(H298),Population!H12,0)</f>
        <v>124300</v>
      </c>
      <c r="AG298" s="95" t="s">
        <v>8</v>
      </c>
      <c r="AH298" s="225">
        <f t="shared" si="109"/>
        <v>3.1375703942075623</v>
      </c>
      <c r="AI298" s="1187">
        <f t="shared" si="120"/>
        <v>13</v>
      </c>
      <c r="AJ298" s="199"/>
      <c r="AK298" s="1197"/>
      <c r="AL298" s="840">
        <f t="shared" si="121"/>
        <v>26</v>
      </c>
      <c r="AM298" s="840">
        <f t="shared" si="122"/>
        <v>-30</v>
      </c>
      <c r="AN298" s="840">
        <f t="shared" si="123"/>
        <v>21</v>
      </c>
      <c r="AO298" s="840">
        <f t="shared" si="124"/>
        <v>26</v>
      </c>
      <c r="AP298" s="840">
        <f t="shared" ref="AP298:AP318" si="127">AVERAGE(AL298:AO298)</f>
        <v>10.75</v>
      </c>
      <c r="AR298" s="888">
        <f t="shared" si="125"/>
        <v>1.8242122719734659</v>
      </c>
      <c r="AS298" s="888">
        <f t="shared" si="111"/>
        <v>-0.65466448445171854</v>
      </c>
      <c r="AT298" s="888">
        <f t="shared" si="112"/>
        <v>1.0560519902518279</v>
      </c>
      <c r="AU298" s="888">
        <f t="shared" si="113"/>
        <v>3.1375703942075623</v>
      </c>
      <c r="AV298" s="888">
        <f t="shared" si="114"/>
        <v>5.3631701719811371</v>
      </c>
      <c r="AW298" s="550">
        <f t="shared" si="115"/>
        <v>0</v>
      </c>
      <c r="AX298" s="888">
        <f t="shared" si="126"/>
        <v>5.3631701719811371</v>
      </c>
    </row>
    <row r="299" spans="1:50" s="89" customFormat="1" ht="13.5" customHeight="1" x14ac:dyDescent="0.2">
      <c r="A299" s="462">
        <f>VLOOKUP(B299,Sheet1!$AQ$4:$AR$25,2,FALSE)</f>
        <v>0</v>
      </c>
      <c r="B299" s="95" t="str">
        <f>Sheet1!$K$7</f>
        <v>East Sussex</v>
      </c>
      <c r="C299" s="87"/>
      <c r="D299" s="96">
        <f t="shared" si="106"/>
        <v>-33</v>
      </c>
      <c r="E299" s="102">
        <f t="shared" si="106"/>
        <v>-8</v>
      </c>
      <c r="F299" s="96">
        <f t="shared" si="106"/>
        <v>13</v>
      </c>
      <c r="G299" s="96">
        <f t="shared" si="106"/>
        <v>41</v>
      </c>
      <c r="H299" s="97">
        <f t="shared" si="106"/>
        <v>0</v>
      </c>
      <c r="I299" s="1204">
        <f t="shared" si="116"/>
        <v>8.25</v>
      </c>
      <c r="J299" s="98"/>
      <c r="K299" s="99">
        <f>IF(ISNUMBER(D299),D299/Population!D13*10000,NA())</f>
        <v>-3.1309297912713472</v>
      </c>
      <c r="L299" s="99">
        <f>IF(ISNUMBER(E299),E299/Population!E13*10000,NA())</f>
        <v>-0.75542965061378664</v>
      </c>
      <c r="M299" s="99">
        <f>IF(ISNUMBER(F299),F299/Population!F13*10000,NA())</f>
        <v>1.2275731822474032</v>
      </c>
      <c r="N299" s="99">
        <f>IF(ISNUMBER(G299),G299/Population!G13*10000,NA())</f>
        <v>3.8679245283018866</v>
      </c>
      <c r="O299" s="100">
        <f>IF(ISNUMBER(H299),H299/Population!H13*10000,NA())</f>
        <v>0</v>
      </c>
      <c r="P299" s="101">
        <f t="shared" si="117"/>
        <v>0</v>
      </c>
      <c r="Q299" s="886">
        <f t="shared" si="118"/>
        <v>4</v>
      </c>
      <c r="R299" s="69"/>
      <c r="S299" s="333">
        <f>IDACI!C12</f>
        <v>16.100000000000001</v>
      </c>
      <c r="T299" s="334">
        <f t="shared" si="107"/>
        <v>2.6586392929519711</v>
      </c>
      <c r="U299" s="335">
        <f t="shared" si="119"/>
        <v>-2.6586392929519711</v>
      </c>
      <c r="V299" s="124"/>
      <c r="W299" s="140"/>
      <c r="X299" s="1200"/>
      <c r="Y299" s="1289" t="str">
        <f t="shared" si="108"/>
        <v>East Sussex</v>
      </c>
      <c r="Z299" s="815">
        <f>IF(AD151&gt;0,IDACI!D12,0)</f>
        <v>93130</v>
      </c>
      <c r="AA299" s="815">
        <f>IF(AD151&gt;0,IDACI!E12,0)</f>
        <v>14993.93</v>
      </c>
      <c r="AB299" s="572">
        <f>IF(ISNUMBER(D299),Population!D13,0)</f>
        <v>105400</v>
      </c>
      <c r="AC299" s="572">
        <f>IF(ISNUMBER(E299),Population!E13,0)</f>
        <v>105900</v>
      </c>
      <c r="AD299" s="572">
        <f>IF(ISNUMBER(F299),Population!F13,0)</f>
        <v>105900</v>
      </c>
      <c r="AE299" s="572">
        <f>IF(ISNUMBER(G299),Population!G13,0)</f>
        <v>106000</v>
      </c>
      <c r="AF299" s="572">
        <f>IF(ISNUMBER(H299),Population!H13,0)</f>
        <v>106400</v>
      </c>
      <c r="AG299" s="95" t="s">
        <v>4</v>
      </c>
      <c r="AH299" s="225">
        <f t="shared" si="109"/>
        <v>0</v>
      </c>
      <c r="AI299" s="1187">
        <f t="shared" si="120"/>
        <v>7</v>
      </c>
      <c r="AJ299" s="199"/>
      <c r="AK299" s="1197"/>
      <c r="AL299" s="840">
        <f t="shared" si="121"/>
        <v>25</v>
      </c>
      <c r="AM299" s="840">
        <f t="shared" si="122"/>
        <v>21</v>
      </c>
      <c r="AN299" s="840">
        <f t="shared" si="123"/>
        <v>28</v>
      </c>
      <c r="AO299" s="840">
        <f t="shared" si="124"/>
        <v>-41</v>
      </c>
      <c r="AP299" s="840">
        <f t="shared" si="127"/>
        <v>8.25</v>
      </c>
      <c r="AR299" s="888">
        <f t="shared" si="125"/>
        <v>-0.75542965061378664</v>
      </c>
      <c r="AS299" s="888">
        <f t="shared" si="111"/>
        <v>1.2275731822474032</v>
      </c>
      <c r="AT299" s="888">
        <f t="shared" si="112"/>
        <v>3.8679245283018866</v>
      </c>
      <c r="AU299" s="888">
        <f t="shared" si="113"/>
        <v>0</v>
      </c>
      <c r="AV299" s="888">
        <f t="shared" si="114"/>
        <v>4.3400680599355033</v>
      </c>
      <c r="AW299" s="550">
        <f t="shared" si="115"/>
        <v>0</v>
      </c>
      <c r="AX299" s="888">
        <f t="shared" si="126"/>
        <v>4.3400680599355033</v>
      </c>
    </row>
    <row r="300" spans="1:50" s="89" customFormat="1" ht="13.5" customHeight="1" x14ac:dyDescent="0.2">
      <c r="A300" s="462">
        <f>VLOOKUP(B300,Sheet1!$AQ$4:$AR$25,2,FALSE)</f>
        <v>0</v>
      </c>
      <c r="B300" s="95" t="str">
        <f>Sheet1!$K$8</f>
        <v>Hampshire</v>
      </c>
      <c r="C300" s="87"/>
      <c r="D300" s="96">
        <f t="shared" si="106"/>
        <v>54</v>
      </c>
      <c r="E300" s="96">
        <f t="shared" si="106"/>
        <v>-38</v>
      </c>
      <c r="F300" s="103">
        <f t="shared" si="106"/>
        <v>115</v>
      </c>
      <c r="G300" s="103">
        <f t="shared" si="106"/>
        <v>143</v>
      </c>
      <c r="H300" s="97">
        <f t="shared" si="106"/>
        <v>59</v>
      </c>
      <c r="I300" s="1204">
        <f t="shared" si="116"/>
        <v>1.25</v>
      </c>
      <c r="J300" s="98"/>
      <c r="K300" s="99">
        <f>IF(ISNUMBER(D300),D300/Population!D14*10000,NA())</f>
        <v>1.9182948490230907</v>
      </c>
      <c r="L300" s="99">
        <f>IF(ISNUMBER(E300),E300/Population!E14*10000,NA())</f>
        <v>-1.3479957431713374</v>
      </c>
      <c r="M300" s="99">
        <f>IF(ISNUMBER(F300),F300/Population!F14*10000,NA())</f>
        <v>4.0664780763790667</v>
      </c>
      <c r="N300" s="99">
        <f>IF(ISNUMBER(G300),G300/Population!G14*10000,NA())</f>
        <v>5.047652665019414</v>
      </c>
      <c r="O300" s="100">
        <f>IF(ISNUMBER(H300),H300/Population!H14*10000,NA())</f>
        <v>2.0774647887323945</v>
      </c>
      <c r="P300" s="101">
        <f t="shared" si="117"/>
        <v>2.0774647887323945</v>
      </c>
      <c r="Q300" s="886">
        <f t="shared" si="118"/>
        <v>9</v>
      </c>
      <c r="R300" s="69"/>
      <c r="S300" s="333">
        <f>IDACI!C13</f>
        <v>10.100000000000001</v>
      </c>
      <c r="T300" s="334">
        <f t="shared" si="107"/>
        <v>2.4241496528077007</v>
      </c>
      <c r="U300" s="335">
        <f t="shared" si="119"/>
        <v>-0.34668486407530619</v>
      </c>
      <c r="V300" s="124"/>
      <c r="W300" s="140"/>
      <c r="X300" s="1200"/>
      <c r="Y300" s="1289" t="str">
        <f t="shared" si="108"/>
        <v>Hampshire</v>
      </c>
      <c r="Z300" s="815">
        <f>IF(AD152&gt;0,IDACI!D13,0)</f>
        <v>249483</v>
      </c>
      <c r="AA300" s="815">
        <f>IF(AD152&gt;0,IDACI!E13,0)</f>
        <v>25197.783000000007</v>
      </c>
      <c r="AB300" s="572">
        <f>IF(ISNUMBER(D300),Population!D14,0)</f>
        <v>281500</v>
      </c>
      <c r="AC300" s="572">
        <f>IF(ISNUMBER(E300),Population!E14,0)</f>
        <v>281900</v>
      </c>
      <c r="AD300" s="572">
        <f>IF(ISNUMBER(F300),Population!F14,0)</f>
        <v>282800</v>
      </c>
      <c r="AE300" s="572">
        <f>IF(ISNUMBER(G300),Population!G14,0)</f>
        <v>283300</v>
      </c>
      <c r="AF300" s="572">
        <f>IF(ISNUMBER(H300),Population!H14,0)</f>
        <v>284000</v>
      </c>
      <c r="AG300" s="95" t="s">
        <v>6</v>
      </c>
      <c r="AH300" s="225">
        <f t="shared" si="109"/>
        <v>2.0774647887323945</v>
      </c>
      <c r="AI300" s="1187">
        <f t="shared" si="120"/>
        <v>12</v>
      </c>
      <c r="AJ300" s="199"/>
      <c r="AK300" s="1197"/>
      <c r="AL300" s="840">
        <f t="shared" si="121"/>
        <v>-92</v>
      </c>
      <c r="AM300" s="840">
        <f t="shared" si="122"/>
        <v>153</v>
      </c>
      <c r="AN300" s="840">
        <f t="shared" si="123"/>
        <v>28</v>
      </c>
      <c r="AO300" s="840">
        <f t="shared" si="124"/>
        <v>-84</v>
      </c>
      <c r="AP300" s="840">
        <f t="shared" si="127"/>
        <v>1.25</v>
      </c>
      <c r="AR300" s="888">
        <f t="shared" si="125"/>
        <v>-1.3479957431713374</v>
      </c>
      <c r="AS300" s="888">
        <f t="shared" si="111"/>
        <v>4.0664780763790667</v>
      </c>
      <c r="AT300" s="888">
        <f t="shared" si="112"/>
        <v>5.047652665019414</v>
      </c>
      <c r="AU300" s="888">
        <f t="shared" si="113"/>
        <v>2.0774647887323945</v>
      </c>
      <c r="AV300" s="888">
        <f t="shared" si="114"/>
        <v>9.8435997869595369</v>
      </c>
      <c r="AW300" s="550">
        <f t="shared" si="115"/>
        <v>0</v>
      </c>
      <c r="AX300" s="888">
        <f t="shared" si="126"/>
        <v>9.8435997869595369</v>
      </c>
    </row>
    <row r="301" spans="1:50" s="89" customFormat="1" ht="13.5" customHeight="1" x14ac:dyDescent="0.2">
      <c r="A301" s="462">
        <f>VLOOKUP(B301,Sheet1!$AQ$4:$AR$25,2,FALSE)</f>
        <v>0</v>
      </c>
      <c r="B301" s="95" t="str">
        <f>Sheet1!$K$9</f>
        <v>Isle of Wight</v>
      </c>
      <c r="C301" s="87"/>
      <c r="D301" s="96">
        <f t="shared" si="106"/>
        <v>7</v>
      </c>
      <c r="E301" s="96">
        <f t="shared" si="106"/>
        <v>0</v>
      </c>
      <c r="F301" s="96">
        <f t="shared" si="106"/>
        <v>23</v>
      </c>
      <c r="G301" s="96">
        <f t="shared" si="106"/>
        <v>-6</v>
      </c>
      <c r="H301" s="97">
        <f t="shared" si="106"/>
        <v>13</v>
      </c>
      <c r="I301" s="1204">
        <f t="shared" si="116"/>
        <v>1.5</v>
      </c>
      <c r="J301" s="98"/>
      <c r="K301" s="99">
        <f>IF(ISNUMBER(D301),D301/Population!D15*10000,NA())</f>
        <v>2.7450980392156863</v>
      </c>
      <c r="L301" s="99">
        <f>IF(ISNUMBER(E301),E301/Population!E15*10000,NA())</f>
        <v>0</v>
      </c>
      <c r="M301" s="99">
        <f>IF(ISNUMBER(F301),F301/Population!F15*10000,NA())</f>
        <v>9.1269841269841283</v>
      </c>
      <c r="N301" s="99">
        <f>IF(ISNUMBER(G301),G301/Population!G15*10000,NA())</f>
        <v>-2.3904382470119523</v>
      </c>
      <c r="O301" s="100">
        <f>IF(ISNUMBER(H301),H301/Population!H15*10000,NA())</f>
        <v>5.2208835341365463</v>
      </c>
      <c r="P301" s="101">
        <f t="shared" si="117"/>
        <v>5.2208835341365463</v>
      </c>
      <c r="Q301" s="886">
        <f>IF(ISNA(VLOOKUP(B301,$AG$10:$AI$28,3,FALSE)),"--",IF(ISNUMBER(H301),VLOOKUP(B301,$AG$10:$AI$28,3,FALSE),NA()))</f>
        <v>15</v>
      </c>
      <c r="R301" s="69"/>
      <c r="S301" s="333">
        <f>IDACI!C14</f>
        <v>18</v>
      </c>
      <c r="T301" s="334">
        <f t="shared" si="107"/>
        <v>2.7328943456643233</v>
      </c>
      <c r="U301" s="335">
        <f t="shared" si="119"/>
        <v>2.4879891884722229</v>
      </c>
      <c r="V301" s="124"/>
      <c r="W301" s="140"/>
      <c r="X301" s="1200"/>
      <c r="Y301" s="1289" t="str">
        <f t="shared" si="108"/>
        <v>Isle of Wight</v>
      </c>
      <c r="Z301" s="815">
        <f>IF(AD153&gt;0,IDACI!D14,0)</f>
        <v>22123</v>
      </c>
      <c r="AA301" s="815">
        <f>IF(AD153&gt;0,IDACI!E14,0)</f>
        <v>3982.14</v>
      </c>
      <c r="AB301" s="572">
        <f>IF(ISNUMBER(D301),Population!D15,0)</f>
        <v>25500</v>
      </c>
      <c r="AC301" s="572">
        <f>IF(ISNUMBER(E301),Population!E15,0)</f>
        <v>25300</v>
      </c>
      <c r="AD301" s="572">
        <f>IF(ISNUMBER(F301),Population!F15,0)</f>
        <v>25200</v>
      </c>
      <c r="AE301" s="572">
        <f>IF(ISNUMBER(G301),Population!G15,0)</f>
        <v>25100</v>
      </c>
      <c r="AF301" s="572">
        <f>IF(ISNUMBER(H301),Population!H15,0)</f>
        <v>24900</v>
      </c>
      <c r="AG301" s="95" t="s">
        <v>1</v>
      </c>
      <c r="AH301" s="225">
        <f t="shared" si="109"/>
        <v>5.2208835341365463</v>
      </c>
      <c r="AI301" s="1187">
        <f t="shared" si="120"/>
        <v>15</v>
      </c>
      <c r="AJ301" s="199"/>
      <c r="AK301" s="1197"/>
      <c r="AL301" s="840">
        <f t="shared" si="121"/>
        <v>-7</v>
      </c>
      <c r="AM301" s="840">
        <f t="shared" si="122"/>
        <v>23</v>
      </c>
      <c r="AN301" s="840">
        <f t="shared" si="123"/>
        <v>-29</v>
      </c>
      <c r="AO301" s="840">
        <f t="shared" si="124"/>
        <v>19</v>
      </c>
      <c r="AP301" s="840">
        <f t="shared" si="127"/>
        <v>1.5</v>
      </c>
      <c r="AR301" s="888">
        <f t="shared" si="125"/>
        <v>0</v>
      </c>
      <c r="AS301" s="888">
        <f t="shared" si="111"/>
        <v>9.1269841269841283</v>
      </c>
      <c r="AT301" s="888">
        <f t="shared" si="112"/>
        <v>-2.3904382470119523</v>
      </c>
      <c r="AU301" s="888">
        <f t="shared" si="113"/>
        <v>5.2208835341365463</v>
      </c>
      <c r="AV301" s="888">
        <f t="shared" si="114"/>
        <v>11.957429414108724</v>
      </c>
      <c r="AW301" s="550">
        <f t="shared" si="115"/>
        <v>0</v>
      </c>
      <c r="AX301" s="888">
        <f t="shared" si="126"/>
        <v>11.957429414108724</v>
      </c>
    </row>
    <row r="302" spans="1:50" s="89" customFormat="1" ht="13.5" customHeight="1" x14ac:dyDescent="0.2">
      <c r="A302" s="462">
        <f>VLOOKUP(B302,Sheet1!$AQ$4:$AR$25,2,FALSE)</f>
        <v>0</v>
      </c>
      <c r="B302" s="95" t="str">
        <f>Sheet1!$K$10</f>
        <v>Kent</v>
      </c>
      <c r="C302" s="87"/>
      <c r="D302" s="96">
        <f t="shared" si="106"/>
        <v>32</v>
      </c>
      <c r="E302" s="96">
        <f t="shared" si="106"/>
        <v>425</v>
      </c>
      <c r="F302" s="96">
        <f t="shared" si="106"/>
        <v>-426</v>
      </c>
      <c r="G302" s="96">
        <f t="shared" si="106"/>
        <v>-281</v>
      </c>
      <c r="H302" s="97">
        <f t="shared" si="106"/>
        <v>-67</v>
      </c>
      <c r="I302" s="1204">
        <f t="shared" si="116"/>
        <v>-24.75</v>
      </c>
      <c r="J302" s="98"/>
      <c r="K302" s="99">
        <f>IF(ISNUMBER(D302),D302/Population!D16*10000,NA())</f>
        <v>0.97471824550715802</v>
      </c>
      <c r="L302" s="99">
        <f>IF(ISNUMBER(E302),E302/Population!E16*10000,NA())</f>
        <v>12.86319612590799</v>
      </c>
      <c r="M302" s="99">
        <f>IF(ISNUMBER(F302),F302/Population!F16*10000,NA())</f>
        <v>-12.792792792792794</v>
      </c>
      <c r="N302" s="99">
        <f>IF(ISNUMBER(G302),G302/Population!G16*10000,NA())</f>
        <v>-8.3606069622136268</v>
      </c>
      <c r="O302" s="100">
        <f>IF(ISNUMBER(H302),H302/Population!H16*10000,NA())</f>
        <v>-1.9700088209350191</v>
      </c>
      <c r="P302" s="101">
        <f t="shared" si="117"/>
        <v>-1.9700088209350191</v>
      </c>
      <c r="Q302" s="886">
        <f t="shared" ref="Q302:Q319" si="128">IF(ISNA(VLOOKUP(B302,$AG$10:$AI$28,3,FALSE)),"--",IF(ISNUMBER(H302),VLOOKUP(B302,$AG$10:$AI$28,3,FALSE),NA()))</f>
        <v>7</v>
      </c>
      <c r="R302" s="69"/>
      <c r="S302" s="333">
        <f>IDACI!C15</f>
        <v>15.8</v>
      </c>
      <c r="T302" s="334">
        <f t="shared" si="107"/>
        <v>2.6469148109447573</v>
      </c>
      <c r="U302" s="335">
        <f t="shared" si="119"/>
        <v>-4.6169236318797768</v>
      </c>
      <c r="V302" s="124"/>
      <c r="W302" s="140"/>
      <c r="X302" s="1200"/>
      <c r="Y302" s="1289" t="str">
        <f t="shared" si="108"/>
        <v>Kent</v>
      </c>
      <c r="Z302" s="815">
        <f>IF(AD154&gt;0,IDACI!D15,0)</f>
        <v>291866</v>
      </c>
      <c r="AA302" s="815">
        <f>IF(AD154&gt;0,IDACI!E15,0)</f>
        <v>46114.828000000001</v>
      </c>
      <c r="AB302" s="572">
        <f>IF(ISNUMBER(D302),Population!D16,0)</f>
        <v>328300</v>
      </c>
      <c r="AC302" s="572">
        <f>IF(ISNUMBER(E302),Population!E16,0)</f>
        <v>330400</v>
      </c>
      <c r="AD302" s="572">
        <f>IF(ISNUMBER(F302),Population!F16,0)</f>
        <v>333000</v>
      </c>
      <c r="AE302" s="572">
        <f>IF(ISNUMBER(G302),Population!G16,0)</f>
        <v>336100</v>
      </c>
      <c r="AF302" s="572">
        <f>IF(ISNUMBER(H302),Population!H16,0)</f>
        <v>340100</v>
      </c>
      <c r="AG302" s="95" t="s">
        <v>9</v>
      </c>
      <c r="AH302" s="225">
        <f t="shared" si="109"/>
        <v>-1.9700088209350191</v>
      </c>
      <c r="AI302" s="1187">
        <f t="shared" si="120"/>
        <v>3</v>
      </c>
      <c r="AJ302" s="199"/>
      <c r="AK302" s="1197"/>
      <c r="AL302" s="840">
        <f t="shared" si="121"/>
        <v>393</v>
      </c>
      <c r="AM302" s="840">
        <f t="shared" si="122"/>
        <v>-851</v>
      </c>
      <c r="AN302" s="840">
        <f t="shared" si="123"/>
        <v>145</v>
      </c>
      <c r="AO302" s="840">
        <f t="shared" si="124"/>
        <v>214</v>
      </c>
      <c r="AP302" s="840">
        <f t="shared" si="127"/>
        <v>-24.75</v>
      </c>
      <c r="AR302" s="888">
        <f t="shared" si="125"/>
        <v>12.86319612590799</v>
      </c>
      <c r="AS302" s="888">
        <f t="shared" si="111"/>
        <v>-12.792792792792794</v>
      </c>
      <c r="AT302" s="888">
        <f t="shared" si="112"/>
        <v>-8.3606069622136268</v>
      </c>
      <c r="AU302" s="888">
        <f t="shared" si="113"/>
        <v>-1.9700088209350191</v>
      </c>
      <c r="AV302" s="888">
        <f t="shared" si="114"/>
        <v>-10.26021245003345</v>
      </c>
      <c r="AW302" s="550">
        <f t="shared" si="115"/>
        <v>0</v>
      </c>
      <c r="AX302" s="888">
        <f t="shared" si="126"/>
        <v>-10.26021245003345</v>
      </c>
    </row>
    <row r="303" spans="1:50" s="89" customFormat="1" ht="13.5" customHeight="1" x14ac:dyDescent="0.2">
      <c r="A303" s="462">
        <f>VLOOKUP(B303,Sheet1!$AQ$4:$AR$25,2,FALSE)</f>
        <v>0</v>
      </c>
      <c r="B303" s="95" t="str">
        <f>Sheet1!$K$11</f>
        <v>Medway</v>
      </c>
      <c r="C303" s="87"/>
      <c r="D303" s="96">
        <f t="shared" si="106"/>
        <v>43</v>
      </c>
      <c r="E303" s="290">
        <f t="shared" si="106"/>
        <v>-2</v>
      </c>
      <c r="F303" s="290">
        <f t="shared" si="106"/>
        <v>-42</v>
      </c>
      <c r="G303" s="290">
        <f t="shared" si="106"/>
        <v>16</v>
      </c>
      <c r="H303" s="291">
        <f t="shared" si="106"/>
        <v>9</v>
      </c>
      <c r="I303" s="1204">
        <f t="shared" si="116"/>
        <v>-8.5</v>
      </c>
      <c r="J303" s="98"/>
      <c r="K303" s="99">
        <f>IF(ISNUMBER(D303),D303/Population!D17*10000,NA())</f>
        <v>6.88</v>
      </c>
      <c r="L303" s="99">
        <f>IF(ISNUMBER(E303),E303/Population!E17*10000,NA())</f>
        <v>-0.31645569620253167</v>
      </c>
      <c r="M303" s="99">
        <f>IF(ISNUMBER(F303),F303/Population!F17*10000,NA())</f>
        <v>-6.5934065934065931</v>
      </c>
      <c r="N303" s="99">
        <f>IF(ISNUMBER(G303),G303/Population!G17*10000,NA())</f>
        <v>2.5039123630672928</v>
      </c>
      <c r="O303" s="100">
        <f>IF(ISNUMBER(H303),H303/Population!H17*10000,NA())</f>
        <v>1.3975155279503104</v>
      </c>
      <c r="P303" s="101">
        <f t="shared" si="117"/>
        <v>1.3975155279503104</v>
      </c>
      <c r="Q303" s="886">
        <f t="shared" si="128"/>
        <v>13</v>
      </c>
      <c r="R303" s="69"/>
      <c r="S303" s="333">
        <f>IDACI!C16</f>
        <v>18.899999999999999</v>
      </c>
      <c r="T303" s="334">
        <f t="shared" si="107"/>
        <v>2.7680677916859642</v>
      </c>
      <c r="U303" s="335">
        <f t="shared" si="119"/>
        <v>-1.3705522637356538</v>
      </c>
      <c r="V303" s="124"/>
      <c r="W303" s="140"/>
      <c r="X303" s="1200"/>
      <c r="Y303" s="1289" t="str">
        <f t="shared" si="108"/>
        <v>Medway</v>
      </c>
      <c r="Z303" s="815">
        <f>IF(AD155&gt;0,IDACI!D16,0)</f>
        <v>55993</v>
      </c>
      <c r="AA303" s="815">
        <f>IF(AD155&gt;0,IDACI!E16,0)</f>
        <v>10582.676999999998</v>
      </c>
      <c r="AB303" s="572">
        <f>IF(ISNUMBER(D303),Population!D17,0)</f>
        <v>62500</v>
      </c>
      <c r="AC303" s="572">
        <f>IF(ISNUMBER(E303),Population!E17,0)</f>
        <v>63200</v>
      </c>
      <c r="AD303" s="572">
        <f>IF(ISNUMBER(F303),Population!F17,0)</f>
        <v>63700</v>
      </c>
      <c r="AE303" s="572">
        <f>IF(ISNUMBER(G303),Population!G17,0)</f>
        <v>63900</v>
      </c>
      <c r="AF303" s="572">
        <f>IF(ISNUMBER(H303),Population!H17,0)</f>
        <v>64400</v>
      </c>
      <c r="AG303" s="95" t="s">
        <v>2</v>
      </c>
      <c r="AH303" s="225">
        <f t="shared" si="109"/>
        <v>1.3975155279503104</v>
      </c>
      <c r="AI303" s="1187">
        <f t="shared" si="120"/>
        <v>9</v>
      </c>
      <c r="AJ303" s="199"/>
      <c r="AK303" s="1197"/>
      <c r="AL303" s="840">
        <f t="shared" si="121"/>
        <v>-45</v>
      </c>
      <c r="AM303" s="840">
        <f t="shared" si="122"/>
        <v>-40</v>
      </c>
      <c r="AN303" s="840">
        <f t="shared" si="123"/>
        <v>58</v>
      </c>
      <c r="AO303" s="840">
        <f t="shared" si="124"/>
        <v>-7</v>
      </c>
      <c r="AP303" s="840">
        <f t="shared" si="127"/>
        <v>-8.5</v>
      </c>
      <c r="AR303" s="888">
        <f t="shared" si="125"/>
        <v>-0.31645569620253167</v>
      </c>
      <c r="AS303" s="888">
        <f t="shared" si="111"/>
        <v>-6.5934065934065931</v>
      </c>
      <c r="AT303" s="888">
        <f t="shared" si="112"/>
        <v>2.5039123630672928</v>
      </c>
      <c r="AU303" s="888">
        <f t="shared" si="113"/>
        <v>1.3975155279503104</v>
      </c>
      <c r="AV303" s="888">
        <f t="shared" si="114"/>
        <v>-3.008434398591521</v>
      </c>
      <c r="AW303" s="550">
        <f t="shared" si="115"/>
        <v>0</v>
      </c>
      <c r="AX303" s="888">
        <f t="shared" si="126"/>
        <v>-3.008434398591521</v>
      </c>
    </row>
    <row r="304" spans="1:50" s="89" customFormat="1" ht="13.5" customHeight="1" x14ac:dyDescent="0.2">
      <c r="A304" s="462">
        <f>VLOOKUP(B304,Sheet1!$AQ$4:$AR$25,2,FALSE)</f>
        <v>0</v>
      </c>
      <c r="B304" s="95" t="str">
        <f>Sheet1!$K$12</f>
        <v>Milton Keynes</v>
      </c>
      <c r="C304" s="87"/>
      <c r="D304" s="96">
        <f t="shared" si="106"/>
        <v>31</v>
      </c>
      <c r="E304" s="96">
        <f t="shared" si="106"/>
        <v>-3</v>
      </c>
      <c r="F304" s="96">
        <f t="shared" si="106"/>
        <v>45</v>
      </c>
      <c r="G304" s="96">
        <f t="shared" si="106"/>
        <v>-5</v>
      </c>
      <c r="H304" s="97">
        <f t="shared" si="106"/>
        <v>-11</v>
      </c>
      <c r="I304" s="1204">
        <f t="shared" si="116"/>
        <v>-10.5</v>
      </c>
      <c r="J304" s="98"/>
      <c r="K304" s="99">
        <f>IF(ISNUMBER(D304),D304/Population!D18*10000,NA())</f>
        <v>4.7546012269938647</v>
      </c>
      <c r="L304" s="99">
        <f>IF(ISNUMBER(E304),E304/Population!E18*10000,NA())</f>
        <v>-0.45385779122541603</v>
      </c>
      <c r="M304" s="99">
        <f>IF(ISNUMBER(F304),F304/Population!F18*10000,NA())</f>
        <v>6.7064083457526085</v>
      </c>
      <c r="N304" s="99">
        <f>IF(ISNUMBER(G304),G304/Population!G18*10000,NA())</f>
        <v>-0.73964497041420119</v>
      </c>
      <c r="O304" s="100">
        <f>IF(ISNUMBER(H304),H304/Population!H18*10000,NA())</f>
        <v>-1.6105417276720351</v>
      </c>
      <c r="P304" s="101">
        <f t="shared" si="117"/>
        <v>-1.6105417276720351</v>
      </c>
      <c r="Q304" s="886">
        <f t="shared" si="128"/>
        <v>10</v>
      </c>
      <c r="R304" s="69"/>
      <c r="S304" s="333">
        <f>IDACI!C17</f>
        <v>15</v>
      </c>
      <c r="T304" s="334">
        <f t="shared" si="107"/>
        <v>2.6156495255921883</v>
      </c>
      <c r="U304" s="335">
        <f t="shared" si="119"/>
        <v>-4.2261912532642238</v>
      </c>
      <c r="V304" s="124"/>
      <c r="W304" s="140"/>
      <c r="X304" s="1200"/>
      <c r="Y304" s="1289" t="str">
        <f t="shared" si="108"/>
        <v>Milton Keynes</v>
      </c>
      <c r="Z304" s="815">
        <f>IF(AD156&gt;0,IDACI!D17,0)</f>
        <v>59903</v>
      </c>
      <c r="AA304" s="815">
        <f>IF(AD156&gt;0,IDACI!E17,0)</f>
        <v>8985.4499999999989</v>
      </c>
      <c r="AB304" s="572">
        <f>IF(ISNUMBER(D304),Population!D18,0)</f>
        <v>65200</v>
      </c>
      <c r="AC304" s="572">
        <f>IF(ISNUMBER(E304),Population!E18,0)</f>
        <v>66100</v>
      </c>
      <c r="AD304" s="572">
        <f>IF(ISNUMBER(F304),Population!F18,0)</f>
        <v>67100</v>
      </c>
      <c r="AE304" s="572">
        <f>IF(ISNUMBER(G304),Population!G18,0)</f>
        <v>67600</v>
      </c>
      <c r="AF304" s="572">
        <f>IF(ISNUMBER(H304),Population!H18,0)</f>
        <v>68300</v>
      </c>
      <c r="AG304" s="95" t="s">
        <v>10</v>
      </c>
      <c r="AH304" s="225">
        <f t="shared" si="109"/>
        <v>-1.6105417276720351</v>
      </c>
      <c r="AI304" s="1187">
        <f t="shared" si="120"/>
        <v>5</v>
      </c>
      <c r="AJ304" s="199"/>
      <c r="AK304" s="1197"/>
      <c r="AL304" s="840">
        <f t="shared" si="121"/>
        <v>-34</v>
      </c>
      <c r="AM304" s="840">
        <f t="shared" si="122"/>
        <v>48</v>
      </c>
      <c r="AN304" s="840">
        <f t="shared" si="123"/>
        <v>-50</v>
      </c>
      <c r="AO304" s="840">
        <f t="shared" si="124"/>
        <v>-6</v>
      </c>
      <c r="AP304" s="840">
        <f t="shared" si="127"/>
        <v>-10.5</v>
      </c>
      <c r="AR304" s="888">
        <f t="shared" si="125"/>
        <v>-0.45385779122541603</v>
      </c>
      <c r="AS304" s="888">
        <f t="shared" si="111"/>
        <v>6.7064083457526085</v>
      </c>
      <c r="AT304" s="888">
        <f t="shared" si="112"/>
        <v>-0.73964497041420119</v>
      </c>
      <c r="AU304" s="888">
        <f t="shared" si="113"/>
        <v>-1.6105417276720351</v>
      </c>
      <c r="AV304" s="888">
        <f t="shared" si="114"/>
        <v>3.9023638564409557</v>
      </c>
      <c r="AW304" s="550">
        <f t="shared" si="115"/>
        <v>0</v>
      </c>
      <c r="AX304" s="888">
        <f t="shared" si="126"/>
        <v>3.9023638564409557</v>
      </c>
    </row>
    <row r="305" spans="1:50" s="89" customFormat="1" ht="13.5" customHeight="1" x14ac:dyDescent="0.2">
      <c r="A305" s="462">
        <f>VLOOKUP(B305,Sheet1!$AQ$4:$AR$25,2,FALSE)</f>
        <v>0</v>
      </c>
      <c r="B305" s="95" t="str">
        <f>Sheet1!$K$13</f>
        <v>Oxfordshire</v>
      </c>
      <c r="C305" s="87"/>
      <c r="D305" s="96">
        <f t="shared" si="106"/>
        <v>40</v>
      </c>
      <c r="E305" s="96">
        <f t="shared" si="106"/>
        <v>77</v>
      </c>
      <c r="F305" s="96">
        <f t="shared" si="106"/>
        <v>67</v>
      </c>
      <c r="G305" s="96">
        <f t="shared" si="106"/>
        <v>5</v>
      </c>
      <c r="H305" s="97">
        <f t="shared" si="106"/>
        <v>82</v>
      </c>
      <c r="I305" s="1204">
        <f t="shared" si="116"/>
        <v>10.5</v>
      </c>
      <c r="J305" s="98"/>
      <c r="K305" s="99">
        <f>IF(ISNUMBER(D305),D305/Population!D19*10000,NA())</f>
        <v>2.8328611898016995</v>
      </c>
      <c r="L305" s="99">
        <f>IF(ISNUMBER(E305),E305/Population!E19*10000,NA())</f>
        <v>5.4301833568406206</v>
      </c>
      <c r="M305" s="99">
        <f>IF(ISNUMBER(F305),F305/Population!F19*10000,NA())</f>
        <v>4.6885934219734082</v>
      </c>
      <c r="N305" s="99">
        <f>IF(ISNUMBER(G305),G305/Population!G19*10000,NA())</f>
        <v>0.34867503486750351</v>
      </c>
      <c r="O305" s="100">
        <f>IF(ISNUMBER(H305),H305/Population!H19*10000,NA())</f>
        <v>5.6629834254143638</v>
      </c>
      <c r="P305" s="101">
        <f t="shared" si="117"/>
        <v>5.6629834254143638</v>
      </c>
      <c r="Q305" s="886">
        <f t="shared" si="128"/>
        <v>12</v>
      </c>
      <c r="R305" s="69"/>
      <c r="S305" s="333">
        <f>IDACI!C18</f>
        <v>10.100000000000001</v>
      </c>
      <c r="T305" s="334">
        <f t="shared" si="107"/>
        <v>2.4241496528077007</v>
      </c>
      <c r="U305" s="335">
        <f t="shared" si="119"/>
        <v>3.2388337726066632</v>
      </c>
      <c r="V305" s="124"/>
      <c r="W305" s="140"/>
      <c r="X305" s="1200"/>
      <c r="Y305" s="1289" t="str">
        <f t="shared" si="108"/>
        <v>Oxfordshire</v>
      </c>
      <c r="Z305" s="815">
        <f>IF(AD157&gt;0,IDACI!D18,0)</f>
        <v>126119</v>
      </c>
      <c r="AA305" s="815">
        <f>IF(AD157&gt;0,IDACI!E18,0)</f>
        <v>12738.019000000002</v>
      </c>
      <c r="AB305" s="572">
        <f>IF(ISNUMBER(D305),Population!D19,0)</f>
        <v>141200</v>
      </c>
      <c r="AC305" s="572">
        <f>IF(ISNUMBER(E305),Population!E19,0)</f>
        <v>141800</v>
      </c>
      <c r="AD305" s="572">
        <f>IF(ISNUMBER(F305),Population!F19,0)</f>
        <v>142900</v>
      </c>
      <c r="AE305" s="572">
        <f>IF(ISNUMBER(G305),Population!G19,0)</f>
        <v>143400</v>
      </c>
      <c r="AF305" s="572">
        <f>IF(ISNUMBER(H305),Population!H19,0)</f>
        <v>144800</v>
      </c>
      <c r="AG305" s="95" t="s">
        <v>11</v>
      </c>
      <c r="AH305" s="225">
        <f t="shared" si="109"/>
        <v>5.6629834254143638</v>
      </c>
      <c r="AI305" s="1187">
        <f t="shared" si="120"/>
        <v>16</v>
      </c>
      <c r="AJ305" s="199"/>
      <c r="AK305" s="1197"/>
      <c r="AL305" s="840">
        <f t="shared" si="121"/>
        <v>37</v>
      </c>
      <c r="AM305" s="840">
        <f t="shared" si="122"/>
        <v>-10</v>
      </c>
      <c r="AN305" s="840">
        <f t="shared" si="123"/>
        <v>-62</v>
      </c>
      <c r="AO305" s="840">
        <f t="shared" si="124"/>
        <v>77</v>
      </c>
      <c r="AP305" s="840">
        <f t="shared" si="127"/>
        <v>10.5</v>
      </c>
      <c r="AR305" s="888">
        <f t="shared" si="125"/>
        <v>5.4301833568406206</v>
      </c>
      <c r="AS305" s="888">
        <f t="shared" si="111"/>
        <v>4.6885934219734082</v>
      </c>
      <c r="AT305" s="888">
        <f t="shared" si="112"/>
        <v>0.34867503486750351</v>
      </c>
      <c r="AU305" s="888">
        <f t="shared" si="113"/>
        <v>5.6629834254143638</v>
      </c>
      <c r="AV305" s="888">
        <f t="shared" si="114"/>
        <v>16.130435239095895</v>
      </c>
      <c r="AW305" s="550">
        <f t="shared" si="115"/>
        <v>0</v>
      </c>
      <c r="AX305" s="888">
        <f t="shared" si="126"/>
        <v>16.130435239095895</v>
      </c>
    </row>
    <row r="306" spans="1:50" s="89" customFormat="1" ht="13.5" customHeight="1" x14ac:dyDescent="0.2">
      <c r="A306" s="462">
        <f>VLOOKUP(B306,Sheet1!$AQ$4:$AR$25,2,FALSE)</f>
        <v>0</v>
      </c>
      <c r="B306" s="95" t="str">
        <f>Sheet1!$K$14</f>
        <v>Portsmouth</v>
      </c>
      <c r="C306" s="87"/>
      <c r="D306" s="96">
        <f t="shared" ref="D306:H315" si="129">IF(AND(ISNUMBER(D20),ISNUMBER(D127)),D20-D127,NA())</f>
        <v>-9</v>
      </c>
      <c r="E306" s="96">
        <f t="shared" si="129"/>
        <v>2</v>
      </c>
      <c r="F306" s="96">
        <f t="shared" si="129"/>
        <v>36</v>
      </c>
      <c r="G306" s="96">
        <f t="shared" si="129"/>
        <v>51</v>
      </c>
      <c r="H306" s="97">
        <f t="shared" si="129"/>
        <v>68</v>
      </c>
      <c r="I306" s="1204">
        <f t="shared" si="116"/>
        <v>19.25</v>
      </c>
      <c r="J306" s="98"/>
      <c r="K306" s="99">
        <f>IF(ISNUMBER(D306),D306/Population!D20*10000,NA())</f>
        <v>-2.0737327188940093</v>
      </c>
      <c r="L306" s="99">
        <f>IF(ISNUMBER(E306),E306/Population!E20*10000,NA())</f>
        <v>0.45662100456621008</v>
      </c>
      <c r="M306" s="99">
        <f>IF(ISNUMBER(F306),F306/Population!F20*10000,NA())</f>
        <v>8.1818181818181817</v>
      </c>
      <c r="N306" s="99">
        <f>IF(ISNUMBER(G306),G306/Population!G20*10000,NA())</f>
        <v>11.53846153846154</v>
      </c>
      <c r="O306" s="100">
        <f>IF(ISNUMBER(H306),H306/Population!H20*10000,NA())</f>
        <v>15.454545454545453</v>
      </c>
      <c r="P306" s="101">
        <f t="shared" si="117"/>
        <v>15.454545454545453</v>
      </c>
      <c r="Q306" s="886">
        <f t="shared" si="128"/>
        <v>19</v>
      </c>
      <c r="R306" s="69"/>
      <c r="S306" s="333">
        <f>IDACI!C19</f>
        <v>20.200000000000003</v>
      </c>
      <c r="T306" s="334">
        <f t="shared" si="107"/>
        <v>2.8188738803838893</v>
      </c>
      <c r="U306" s="335">
        <f t="shared" si="119"/>
        <v>12.635671574161563</v>
      </c>
      <c r="V306" s="124"/>
      <c r="W306" s="140"/>
      <c r="X306" s="1200"/>
      <c r="Y306" s="1289" t="str">
        <f t="shared" si="108"/>
        <v>Portsmouth</v>
      </c>
      <c r="Z306" s="815">
        <f>IF(AD158&gt;0,IDACI!D19,0)</f>
        <v>39325</v>
      </c>
      <c r="AA306" s="815">
        <f>IF(AD158&gt;0,IDACI!E19,0)</f>
        <v>7943.6500000000015</v>
      </c>
      <c r="AB306" s="572">
        <f>IF(ISNUMBER(D306),Population!D20,0)</f>
        <v>43400</v>
      </c>
      <c r="AC306" s="572">
        <f>IF(ISNUMBER(E306),Population!E20,0)</f>
        <v>43800</v>
      </c>
      <c r="AD306" s="572">
        <f>IF(ISNUMBER(F306),Population!F20,0)</f>
        <v>44000</v>
      </c>
      <c r="AE306" s="572">
        <f>IF(ISNUMBER(G306),Population!G20,0)</f>
        <v>44200</v>
      </c>
      <c r="AF306" s="572">
        <f>IF(ISNUMBER(H306),Population!H20,0)</f>
        <v>44000</v>
      </c>
      <c r="AG306" s="95" t="s">
        <v>12</v>
      </c>
      <c r="AH306" s="225">
        <f t="shared" si="109"/>
        <v>15.454545454545453</v>
      </c>
      <c r="AI306" s="1187">
        <f t="shared" si="120"/>
        <v>19</v>
      </c>
      <c r="AJ306" s="199"/>
      <c r="AK306" s="1197"/>
      <c r="AL306" s="840">
        <f t="shared" si="121"/>
        <v>11</v>
      </c>
      <c r="AM306" s="840">
        <f t="shared" si="122"/>
        <v>34</v>
      </c>
      <c r="AN306" s="840">
        <f t="shared" si="123"/>
        <v>15</v>
      </c>
      <c r="AO306" s="840">
        <f t="shared" si="124"/>
        <v>17</v>
      </c>
      <c r="AP306" s="840">
        <f t="shared" si="127"/>
        <v>19.25</v>
      </c>
      <c r="AR306" s="888">
        <f t="shared" si="125"/>
        <v>0.45662100456621008</v>
      </c>
      <c r="AS306" s="888">
        <f t="shared" si="111"/>
        <v>8.1818181818181817</v>
      </c>
      <c r="AT306" s="888">
        <f t="shared" si="112"/>
        <v>11.53846153846154</v>
      </c>
      <c r="AU306" s="888">
        <f t="shared" si="113"/>
        <v>15.454545454545453</v>
      </c>
      <c r="AV306" s="888">
        <f t="shared" si="114"/>
        <v>35.631446179391389</v>
      </c>
      <c r="AW306" s="550">
        <f t="shared" si="115"/>
        <v>0</v>
      </c>
      <c r="AX306" s="888">
        <f t="shared" si="126"/>
        <v>35.631446179391389</v>
      </c>
    </row>
    <row r="307" spans="1:50" s="89" customFormat="1" ht="13.5" customHeight="1" x14ac:dyDescent="0.2">
      <c r="A307" s="462">
        <f>VLOOKUP(B307,Sheet1!$AQ$4:$AR$25,2,FALSE)</f>
        <v>0</v>
      </c>
      <c r="B307" s="95" t="str">
        <f>Sheet1!$K$15</f>
        <v>Reading</v>
      </c>
      <c r="C307" s="87"/>
      <c r="D307" s="96">
        <f t="shared" si="129"/>
        <v>0</v>
      </c>
      <c r="E307" s="96">
        <f t="shared" si="129"/>
        <v>7</v>
      </c>
      <c r="F307" s="96">
        <f t="shared" si="129"/>
        <v>42</v>
      </c>
      <c r="G307" s="96">
        <f t="shared" si="129"/>
        <v>15</v>
      </c>
      <c r="H307" s="97">
        <f t="shared" si="129"/>
        <v>-6</v>
      </c>
      <c r="I307" s="1204">
        <f t="shared" si="116"/>
        <v>-1.5</v>
      </c>
      <c r="J307" s="98"/>
      <c r="K307" s="99">
        <f>IF(ISNUMBER(D307),D307/Population!D21*10000,NA())</f>
        <v>0</v>
      </c>
      <c r="L307" s="99">
        <f>IF(ISNUMBER(E307),E307/Population!E21*10000,NA())</f>
        <v>1.9230769230769231</v>
      </c>
      <c r="M307" s="99">
        <f>IF(ISNUMBER(F307),F307/Population!F21*10000,NA())</f>
        <v>11.475409836065573</v>
      </c>
      <c r="N307" s="99">
        <f>IF(ISNUMBER(G307),G307/Population!G21*10000,NA())</f>
        <v>4.0431266846361185</v>
      </c>
      <c r="O307" s="100">
        <f>IF(ISNUMBER(H307),H307/Population!H21*10000,NA())</f>
        <v>-1.6172506738544474</v>
      </c>
      <c r="P307" s="101">
        <f t="shared" si="117"/>
        <v>-1.6172506738544474</v>
      </c>
      <c r="Q307" s="886">
        <f t="shared" si="128"/>
        <v>11</v>
      </c>
      <c r="R307" s="69"/>
      <c r="S307" s="333">
        <f>IDACI!C20</f>
        <v>16</v>
      </c>
      <c r="T307" s="334">
        <f t="shared" si="107"/>
        <v>2.6547311322829001</v>
      </c>
      <c r="U307" s="335">
        <f t="shared" si="119"/>
        <v>-4.2719818061373473</v>
      </c>
      <c r="V307" s="124"/>
      <c r="W307" s="140"/>
      <c r="X307" s="1200"/>
      <c r="Y307" s="1289" t="str">
        <f t="shared" si="108"/>
        <v>Reading</v>
      </c>
      <c r="Z307" s="815">
        <f>IF(AD159&gt;0,IDACI!D20,0)</f>
        <v>33203</v>
      </c>
      <c r="AA307" s="815">
        <f>IF(AD159&gt;0,IDACI!E20,0)</f>
        <v>5312.4800000000005</v>
      </c>
      <c r="AB307" s="572">
        <f>IF(ISNUMBER(D307),Population!D21,0)</f>
        <v>35900</v>
      </c>
      <c r="AC307" s="572">
        <f>IF(ISNUMBER(E307),Population!E21,0)</f>
        <v>36400</v>
      </c>
      <c r="AD307" s="572">
        <f>IF(ISNUMBER(F307),Population!F21,0)</f>
        <v>36600</v>
      </c>
      <c r="AE307" s="572">
        <f>IF(ISNUMBER(G307),Population!G21,0)</f>
        <v>37100</v>
      </c>
      <c r="AF307" s="572">
        <f>IF(ISNUMBER(H307),Population!H21,0)</f>
        <v>37100</v>
      </c>
      <c r="AG307" s="95" t="s">
        <v>3</v>
      </c>
      <c r="AH307" s="225">
        <f t="shared" si="109"/>
        <v>-1.6172506738544474</v>
      </c>
      <c r="AI307" s="1187">
        <f t="shared" si="120"/>
        <v>4</v>
      </c>
      <c r="AJ307" s="199"/>
      <c r="AK307" s="1197"/>
      <c r="AL307" s="840">
        <f t="shared" si="121"/>
        <v>7</v>
      </c>
      <c r="AM307" s="840">
        <f t="shared" si="122"/>
        <v>35</v>
      </c>
      <c r="AN307" s="840">
        <f t="shared" si="123"/>
        <v>-27</v>
      </c>
      <c r="AO307" s="840">
        <f t="shared" si="124"/>
        <v>-21</v>
      </c>
      <c r="AP307" s="840">
        <f t="shared" si="127"/>
        <v>-1.5</v>
      </c>
      <c r="AR307" s="888">
        <f t="shared" si="125"/>
        <v>1.9230769230769231</v>
      </c>
      <c r="AS307" s="888">
        <f t="shared" si="111"/>
        <v>11.475409836065573</v>
      </c>
      <c r="AT307" s="888">
        <f t="shared" si="112"/>
        <v>4.0431266846361185</v>
      </c>
      <c r="AU307" s="888">
        <f t="shared" si="113"/>
        <v>-1.6172506738544474</v>
      </c>
      <c r="AV307" s="888">
        <f t="shared" si="114"/>
        <v>15.824362769924166</v>
      </c>
      <c r="AW307" s="550">
        <f t="shared" si="115"/>
        <v>0</v>
      </c>
      <c r="AX307" s="888">
        <f t="shared" si="126"/>
        <v>15.824362769924166</v>
      </c>
    </row>
    <row r="308" spans="1:50" s="89" customFormat="1" ht="13.5" customHeight="1" x14ac:dyDescent="0.2">
      <c r="A308" s="462">
        <f>VLOOKUP(B308,Sheet1!$AQ$4:$AR$25,2,FALSE)</f>
        <v>0</v>
      </c>
      <c r="B308" s="95" t="str">
        <f>Sheet1!$K$16</f>
        <v>Slough</v>
      </c>
      <c r="C308" s="87"/>
      <c r="D308" s="96">
        <f t="shared" si="129"/>
        <v>6</v>
      </c>
      <c r="E308" s="96">
        <f t="shared" si="129"/>
        <v>-25</v>
      </c>
      <c r="F308" s="96">
        <f t="shared" si="129"/>
        <v>6</v>
      </c>
      <c r="G308" s="96">
        <f t="shared" si="129"/>
        <v>13</v>
      </c>
      <c r="H308" s="97">
        <f t="shared" si="129"/>
        <v>7</v>
      </c>
      <c r="I308" s="1204">
        <f t="shared" si="116"/>
        <v>0.25</v>
      </c>
      <c r="J308" s="98"/>
      <c r="K308" s="99">
        <f>IF(ISNUMBER(D308),D308/Population!D22*10000,NA())</f>
        <v>1.5037593984962405</v>
      </c>
      <c r="L308" s="99">
        <f>IF(ISNUMBER(E308),E308/Population!E22*10000,NA())</f>
        <v>-6.1576354679802954</v>
      </c>
      <c r="M308" s="99">
        <f>IF(ISNUMBER(F308),F308/Population!F22*10000,NA())</f>
        <v>1.4492753623188406</v>
      </c>
      <c r="N308" s="99">
        <f>IF(ISNUMBER(G308),G308/Population!G22*10000,NA())</f>
        <v>3.080568720379147</v>
      </c>
      <c r="O308" s="100">
        <f>IF(ISNUMBER(H308),H308/Population!H22*10000,NA())</f>
        <v>1.639344262295082</v>
      </c>
      <c r="P308" s="101">
        <f t="shared" si="117"/>
        <v>1.639344262295082</v>
      </c>
      <c r="Q308" s="886">
        <f t="shared" si="128"/>
        <v>17</v>
      </c>
      <c r="R308" s="69"/>
      <c r="S308" s="333">
        <f>IDACI!C21</f>
        <v>14.7</v>
      </c>
      <c r="T308" s="334">
        <f t="shared" si="107"/>
        <v>2.6039250435849746</v>
      </c>
      <c r="U308" s="335">
        <f t="shared" si="119"/>
        <v>-0.96458078128989255</v>
      </c>
      <c r="V308" s="124"/>
      <c r="W308" s="140"/>
      <c r="X308" s="1200"/>
      <c r="Y308" s="1289" t="str">
        <f t="shared" si="108"/>
        <v>Slough</v>
      </c>
      <c r="Z308" s="815">
        <f>IF(AD160&gt;0,IDACI!D21,0)</f>
        <v>37031</v>
      </c>
      <c r="AA308" s="815">
        <f>IF(AD160&gt;0,IDACI!E21,0)</f>
        <v>5443.5569999999998</v>
      </c>
      <c r="AB308" s="572">
        <f>IF(ISNUMBER(D308),Population!D22,0)</f>
        <v>39900</v>
      </c>
      <c r="AC308" s="572">
        <f>IF(ISNUMBER(E308),Population!E22,0)</f>
        <v>40600</v>
      </c>
      <c r="AD308" s="572">
        <f>IF(ISNUMBER(F308),Population!F22,0)</f>
        <v>41400</v>
      </c>
      <c r="AE308" s="572">
        <f>IF(ISNUMBER(G308),Population!G22,0)</f>
        <v>42200</v>
      </c>
      <c r="AF308" s="572">
        <f>IF(ISNUMBER(H308),Population!H22,0)</f>
        <v>42700</v>
      </c>
      <c r="AG308" s="95" t="s">
        <v>13</v>
      </c>
      <c r="AH308" s="225">
        <f t="shared" si="109"/>
        <v>1.639344262295082</v>
      </c>
      <c r="AI308" s="1187">
        <f t="shared" si="120"/>
        <v>11</v>
      </c>
      <c r="AJ308" s="199"/>
      <c r="AK308" s="1197"/>
      <c r="AL308" s="840">
        <f t="shared" si="121"/>
        <v>-31</v>
      </c>
      <c r="AM308" s="840">
        <f t="shared" si="122"/>
        <v>31</v>
      </c>
      <c r="AN308" s="840">
        <f t="shared" si="123"/>
        <v>7</v>
      </c>
      <c r="AO308" s="840">
        <f t="shared" si="124"/>
        <v>-6</v>
      </c>
      <c r="AP308" s="840">
        <f t="shared" si="127"/>
        <v>0.25</v>
      </c>
      <c r="AR308" s="888">
        <f t="shared" si="125"/>
        <v>-6.1576354679802954</v>
      </c>
      <c r="AS308" s="888">
        <f t="shared" si="111"/>
        <v>1.4492753623188406</v>
      </c>
      <c r="AT308" s="888">
        <f t="shared" si="112"/>
        <v>3.080568720379147</v>
      </c>
      <c r="AU308" s="888">
        <f t="shared" si="113"/>
        <v>1.639344262295082</v>
      </c>
      <c r="AV308" s="888">
        <f t="shared" si="114"/>
        <v>1.155287701277441E-2</v>
      </c>
      <c r="AW308" s="550">
        <f t="shared" si="115"/>
        <v>0</v>
      </c>
      <c r="AX308" s="888">
        <f t="shared" si="126"/>
        <v>1.155287701277441E-2</v>
      </c>
    </row>
    <row r="309" spans="1:50" s="89" customFormat="1" ht="13.5" customHeight="1" x14ac:dyDescent="0.2">
      <c r="A309" s="462">
        <f>VLOOKUP(B309,Sheet1!$AQ$4:$AR$25,2,FALSE)</f>
        <v>0</v>
      </c>
      <c r="B309" s="95" t="str">
        <f>Sheet1!$K$17</f>
        <v>Somerset</v>
      </c>
      <c r="C309" s="87"/>
      <c r="D309" s="96">
        <f t="shared" si="129"/>
        <v>-12</v>
      </c>
      <c r="E309" s="96">
        <f t="shared" si="129"/>
        <v>6</v>
      </c>
      <c r="F309" s="96">
        <f t="shared" si="129"/>
        <v>-31</v>
      </c>
      <c r="G309" s="96">
        <f t="shared" si="129"/>
        <v>35</v>
      </c>
      <c r="H309" s="97">
        <f t="shared" si="129"/>
        <v>10</v>
      </c>
      <c r="I309" s="1204">
        <f t="shared" si="116"/>
        <v>5.5</v>
      </c>
      <c r="J309" s="98"/>
      <c r="K309" s="99">
        <f>IF(ISNUMBER(D309),D309/Population!D23*10000,NA())</f>
        <v>-1.1019283746556474</v>
      </c>
      <c r="L309" s="99">
        <f>IF(ISNUMBER(E309),E309/Population!E23*10000,NA())</f>
        <v>0.5494505494505495</v>
      </c>
      <c r="M309" s="99">
        <f>IF(ISNUMBER(F309),F309/Population!F23*10000,NA())</f>
        <v>-2.825888787602552</v>
      </c>
      <c r="N309" s="99">
        <f>IF(ISNUMBER(G309),G309/Population!G23*10000,NA())</f>
        <v>3.1789282470481379</v>
      </c>
      <c r="O309" s="100">
        <f>IF(ISNUMBER(H309),H309/Population!H23*10000,NA())</f>
        <v>0.90334236675700097</v>
      </c>
      <c r="P309" s="101">
        <f t="shared" si="117"/>
        <v>0.90334236675700097</v>
      </c>
      <c r="Q309" s="363" t="str">
        <f t="shared" si="128"/>
        <v>--</v>
      </c>
      <c r="R309" s="69"/>
      <c r="S309" s="333">
        <f>IDACI!C22</f>
        <v>13.600000000000001</v>
      </c>
      <c r="T309" s="334">
        <f t="shared" si="107"/>
        <v>2.5609352762251918</v>
      </c>
      <c r="U309" s="335">
        <f t="shared" si="119"/>
        <v>-1.6575929094681907</v>
      </c>
      <c r="V309" s="124"/>
      <c r="W309" s="140"/>
      <c r="X309" s="1200"/>
      <c r="Y309" s="1289" t="str">
        <f t="shared" si="108"/>
        <v>Somerset</v>
      </c>
      <c r="Z309" s="815">
        <f>IF(AD161&gt;0,IDACI!D22,0)</f>
        <v>95875</v>
      </c>
      <c r="AA309" s="815">
        <f>IF(AD161&gt;0,IDACI!E22,0)</f>
        <v>13039.000000000002</v>
      </c>
      <c r="AB309" s="572">
        <f>IF(ISNUMBER(D309),Population!D23,0)</f>
        <v>108900</v>
      </c>
      <c r="AC309" s="572">
        <f>IF(ISNUMBER(E309),Population!E23,0)</f>
        <v>109200</v>
      </c>
      <c r="AD309" s="572">
        <f>IF(ISNUMBER(F309),Population!F23,0)</f>
        <v>109700</v>
      </c>
      <c r="AE309" s="572">
        <f>IF(ISNUMBER(G309),Population!G23,0)</f>
        <v>110100</v>
      </c>
      <c r="AF309" s="572">
        <f>IF(ISNUMBER(H309),Population!H23,0)</f>
        <v>110700</v>
      </c>
      <c r="AG309" s="95" t="s">
        <v>14</v>
      </c>
      <c r="AH309" s="225">
        <f t="shared" si="109"/>
        <v>-8.6614173228346463</v>
      </c>
      <c r="AI309" s="1187">
        <f t="shared" si="120"/>
        <v>1</v>
      </c>
      <c r="AJ309" s="199"/>
      <c r="AK309" s="1197"/>
      <c r="AL309" s="840">
        <f t="shared" si="121"/>
        <v>18</v>
      </c>
      <c r="AM309" s="840">
        <f t="shared" si="122"/>
        <v>-37</v>
      </c>
      <c r="AN309" s="840">
        <f t="shared" si="123"/>
        <v>66</v>
      </c>
      <c r="AO309" s="840">
        <f t="shared" si="124"/>
        <v>-25</v>
      </c>
      <c r="AP309" s="840">
        <f>AVERAGE(AL309:AO309)</f>
        <v>5.5</v>
      </c>
      <c r="AR309" s="888">
        <f t="shared" si="125"/>
        <v>0.5494505494505495</v>
      </c>
      <c r="AS309" s="888">
        <f t="shared" si="111"/>
        <v>-2.825888787602552</v>
      </c>
      <c r="AT309" s="888">
        <f t="shared" si="112"/>
        <v>3.1789282470481379</v>
      </c>
      <c r="AU309" s="888">
        <f>IF(ISNUMBER(O309),O309,"")</f>
        <v>0.90334236675700097</v>
      </c>
      <c r="AV309" s="888">
        <f>SUM(AR309:AU309)</f>
        <v>1.8058323756531363</v>
      </c>
      <c r="AW309" s="550">
        <f>COUNTBLANK(AR309:AU309)</f>
        <v>0</v>
      </c>
      <c r="AX309" s="888">
        <f>AV309/(4-AW309)*4</f>
        <v>1.8058323756531363</v>
      </c>
    </row>
    <row r="310" spans="1:50" s="89" customFormat="1" ht="13.5" customHeight="1" x14ac:dyDescent="0.2">
      <c r="A310" s="462">
        <f>VLOOKUP(B310,Sheet1!$AQ$4:$AR$25,2,FALSE)</f>
        <v>0</v>
      </c>
      <c r="B310" s="95" t="str">
        <f>Sheet1!$K$18</f>
        <v>Southampton</v>
      </c>
      <c r="C310" s="87"/>
      <c r="D310" s="96">
        <f t="shared" si="129"/>
        <v>74</v>
      </c>
      <c r="E310" s="96">
        <f t="shared" si="129"/>
        <v>9</v>
      </c>
      <c r="F310" s="96">
        <f t="shared" si="129"/>
        <v>-53</v>
      </c>
      <c r="G310" s="96">
        <f t="shared" si="129"/>
        <v>-19</v>
      </c>
      <c r="H310" s="97">
        <f t="shared" si="129"/>
        <v>-44</v>
      </c>
      <c r="I310" s="1204">
        <f t="shared" si="116"/>
        <v>-29.5</v>
      </c>
      <c r="J310" s="98"/>
      <c r="K310" s="99">
        <f>IF(ISNUMBER(D310),D310/Population!D24*10000,NA())</f>
        <v>15.22633744855967</v>
      </c>
      <c r="L310" s="99">
        <f>IF(ISNUMBER(E310),E310/Population!E24*10000,NA())</f>
        <v>1.8292682926829269</v>
      </c>
      <c r="M310" s="99">
        <f>IF(ISNUMBER(F310),F310/Population!F24*10000,NA())</f>
        <v>-10.62124248496994</v>
      </c>
      <c r="N310" s="99">
        <f>IF(ISNUMBER(G310),G310/Population!G24*10000,NA())</f>
        <v>-3.7773359840954273</v>
      </c>
      <c r="O310" s="100">
        <f>IF(ISNUMBER(H310),H310/Population!H24*10000,NA())</f>
        <v>-8.6614173228346463</v>
      </c>
      <c r="P310" s="101">
        <f t="shared" si="117"/>
        <v>-8.6614173228346463</v>
      </c>
      <c r="Q310" s="886">
        <f t="shared" si="128"/>
        <v>18</v>
      </c>
      <c r="R310" s="69"/>
      <c r="S310" s="333">
        <f>IDACI!C23</f>
        <v>20.5</v>
      </c>
      <c r="T310" s="334">
        <f t="shared" si="107"/>
        <v>2.8305983623911026</v>
      </c>
      <c r="U310" s="335">
        <f t="shared" si="119"/>
        <v>-11.492015685225748</v>
      </c>
      <c r="V310" s="124"/>
      <c r="W310" s="140"/>
      <c r="X310" s="1200"/>
      <c r="Y310" s="1289" t="str">
        <f t="shared" si="108"/>
        <v>Southampton</v>
      </c>
      <c r="Z310" s="815">
        <f>IF(AD162&gt;0,IDACI!D23,0)</f>
        <v>44295</v>
      </c>
      <c r="AA310" s="815">
        <f>IF(AD162&gt;0,IDACI!E23,0)</f>
        <v>9080.4750000000004</v>
      </c>
      <c r="AB310" s="572">
        <f>IF(ISNUMBER(D310),Population!D24,0)</f>
        <v>48600</v>
      </c>
      <c r="AC310" s="572">
        <f>IF(ISNUMBER(E310),Population!E24,0)</f>
        <v>49200</v>
      </c>
      <c r="AD310" s="572">
        <f>IF(ISNUMBER(F310),Population!F24,0)</f>
        <v>49900</v>
      </c>
      <c r="AE310" s="572">
        <f>IF(ISNUMBER(G310),Population!G24,0)</f>
        <v>50300</v>
      </c>
      <c r="AF310" s="572">
        <f>IF(ISNUMBER(H310),Population!H24,0)</f>
        <v>50800</v>
      </c>
      <c r="AG310" s="95" t="s">
        <v>7</v>
      </c>
      <c r="AH310" s="225">
        <f t="shared" si="109"/>
        <v>1.565483008781978</v>
      </c>
      <c r="AI310" s="1187">
        <f t="shared" si="120"/>
        <v>10</v>
      </c>
      <c r="AJ310" s="199"/>
      <c r="AK310" s="1197"/>
      <c r="AL310" s="840">
        <f t="shared" si="121"/>
        <v>-65</v>
      </c>
      <c r="AM310" s="840">
        <f t="shared" si="122"/>
        <v>-62</v>
      </c>
      <c r="AN310" s="840">
        <f t="shared" si="123"/>
        <v>34</v>
      </c>
      <c r="AO310" s="840">
        <f t="shared" si="124"/>
        <v>-25</v>
      </c>
      <c r="AP310" s="840">
        <f t="shared" si="127"/>
        <v>-29.5</v>
      </c>
      <c r="AR310" s="888">
        <f t="shared" si="125"/>
        <v>1.8292682926829269</v>
      </c>
      <c r="AS310" s="888">
        <f t="shared" si="111"/>
        <v>-10.62124248496994</v>
      </c>
      <c r="AT310" s="888">
        <f t="shared" si="112"/>
        <v>-3.7773359840954273</v>
      </c>
      <c r="AU310" s="888">
        <f t="shared" ref="AU310:AU319" si="130">IF(ISNUMBER(O310),O310,"")</f>
        <v>-8.6614173228346463</v>
      </c>
      <c r="AV310" s="888">
        <f t="shared" ref="AV310:AV319" si="131">SUM(AR310:AU310)</f>
        <v>-21.230727499217089</v>
      </c>
      <c r="AW310" s="550">
        <f t="shared" ref="AW310:AW319" si="132">COUNTBLANK(AR310:AU310)</f>
        <v>0</v>
      </c>
      <c r="AX310" s="888">
        <f t="shared" ref="AX310:AX315" si="133">AV310/(4-AW310)*4</f>
        <v>-21.230727499217089</v>
      </c>
    </row>
    <row r="311" spans="1:50" s="89" customFormat="1" ht="13.5" customHeight="1" x14ac:dyDescent="0.2">
      <c r="A311" s="462">
        <f>VLOOKUP(B311,Sheet1!$AQ$4:$AR$25,2,FALSE)</f>
        <v>0</v>
      </c>
      <c r="B311" s="95" t="str">
        <f>Sheet1!$K$19</f>
        <v>Surrey</v>
      </c>
      <c r="C311" s="87"/>
      <c r="D311" s="96">
        <f t="shared" si="129"/>
        <v>-26</v>
      </c>
      <c r="E311" s="96">
        <f t="shared" si="129"/>
        <v>84</v>
      </c>
      <c r="F311" s="96">
        <f t="shared" si="129"/>
        <v>-9</v>
      </c>
      <c r="G311" s="96">
        <f t="shared" si="129"/>
        <v>47</v>
      </c>
      <c r="H311" s="97">
        <f t="shared" si="129"/>
        <v>41</v>
      </c>
      <c r="I311" s="1204">
        <f t="shared" si="116"/>
        <v>16.75</v>
      </c>
      <c r="J311" s="98"/>
      <c r="K311" s="99">
        <f>IF(ISNUMBER(D311),D311/Population!D25*10000,NA())</f>
        <v>-1.0212097407698351</v>
      </c>
      <c r="L311" s="99">
        <f>IF(ISNUMBER(E311),E311/Population!E25*10000,NA())</f>
        <v>3.2761310452418098</v>
      </c>
      <c r="M311" s="99">
        <f>IF(ISNUMBER(F311),F311/Population!F25*10000,NA())</f>
        <v>-0.34749034749034746</v>
      </c>
      <c r="N311" s="99">
        <f>IF(ISNUMBER(G311),G311/Population!G25*10000,NA())</f>
        <v>1.8056089127929311</v>
      </c>
      <c r="O311" s="100">
        <f>IF(ISNUMBER(H311),H311/Population!H25*10000,NA())</f>
        <v>1.565483008781978</v>
      </c>
      <c r="P311" s="101">
        <f t="shared" si="117"/>
        <v>1.565483008781978</v>
      </c>
      <c r="Q311" s="886">
        <f t="shared" si="128"/>
        <v>2</v>
      </c>
      <c r="R311" s="69"/>
      <c r="S311" s="333">
        <f>IDACI!C24</f>
        <v>8.3000000000000007</v>
      </c>
      <c r="T311" s="334">
        <f t="shared" si="107"/>
        <v>2.3538027607644194</v>
      </c>
      <c r="U311" s="335">
        <f t="shared" si="119"/>
        <v>-0.78831975198244142</v>
      </c>
      <c r="V311" s="124"/>
      <c r="W311" s="140"/>
      <c r="X311" s="1200"/>
      <c r="Y311" s="1289" t="str">
        <f t="shared" si="108"/>
        <v>Surrey</v>
      </c>
      <c r="Z311" s="815">
        <f>IF(AD163&gt;0,IDACI!D24,0)</f>
        <v>228466</v>
      </c>
      <c r="AA311" s="815">
        <f>IF(AD163&gt;0,IDACI!E24,0)</f>
        <v>18962.678</v>
      </c>
      <c r="AB311" s="572">
        <f>IF(ISNUMBER(D311),Population!D25,0)</f>
        <v>254600</v>
      </c>
      <c r="AC311" s="572">
        <f>IF(ISNUMBER(E311),Population!E25,0)</f>
        <v>256400</v>
      </c>
      <c r="AD311" s="572">
        <f>IF(ISNUMBER(F311),Population!F25,0)</f>
        <v>259000</v>
      </c>
      <c r="AE311" s="572">
        <f>IF(ISNUMBER(G311),Population!G25,0)</f>
        <v>260300</v>
      </c>
      <c r="AF311" s="572">
        <f>IF(ISNUMBER(H311),Population!H25,0)</f>
        <v>261900</v>
      </c>
      <c r="AG311" s="95" t="s">
        <v>15</v>
      </c>
      <c r="AH311" s="225">
        <f t="shared" si="109"/>
        <v>7.3033707865168536</v>
      </c>
      <c r="AI311" s="1187">
        <f t="shared" si="120"/>
        <v>18</v>
      </c>
      <c r="AJ311" s="199"/>
      <c r="AK311" s="1197"/>
      <c r="AL311" s="840">
        <f t="shared" si="121"/>
        <v>110</v>
      </c>
      <c r="AM311" s="840">
        <f t="shared" si="122"/>
        <v>-93</v>
      </c>
      <c r="AN311" s="840">
        <f t="shared" si="123"/>
        <v>56</v>
      </c>
      <c r="AO311" s="840">
        <f t="shared" si="124"/>
        <v>-6</v>
      </c>
      <c r="AP311" s="840">
        <f t="shared" si="127"/>
        <v>16.75</v>
      </c>
      <c r="AR311" s="888">
        <f t="shared" si="125"/>
        <v>3.2761310452418098</v>
      </c>
      <c r="AS311" s="888">
        <f t="shared" si="111"/>
        <v>-0.34749034749034746</v>
      </c>
      <c r="AT311" s="888">
        <f t="shared" si="112"/>
        <v>1.8056089127929311</v>
      </c>
      <c r="AU311" s="888">
        <f t="shared" si="130"/>
        <v>1.565483008781978</v>
      </c>
      <c r="AV311" s="888">
        <f t="shared" si="131"/>
        <v>6.2997326193263721</v>
      </c>
      <c r="AW311" s="550">
        <f t="shared" si="132"/>
        <v>0</v>
      </c>
      <c r="AX311" s="888">
        <f t="shared" si="133"/>
        <v>6.2997326193263721</v>
      </c>
    </row>
    <row r="312" spans="1:50" s="89" customFormat="1" ht="13.5" customHeight="1" x14ac:dyDescent="0.2">
      <c r="A312" s="462">
        <f>VLOOKUP(B312,Sheet1!$AQ$4:$AR$25,2,FALSE)</f>
        <v>0</v>
      </c>
      <c r="B312" s="95" t="str">
        <f>Sheet1!$K$20</f>
        <v>Swindon</v>
      </c>
      <c r="C312" s="87"/>
      <c r="D312" s="96">
        <f t="shared" si="129"/>
        <v>-5</v>
      </c>
      <c r="E312" s="96">
        <f t="shared" si="129"/>
        <v>42</v>
      </c>
      <c r="F312" s="96">
        <f t="shared" si="129"/>
        <v>32</v>
      </c>
      <c r="G312" s="96">
        <f t="shared" si="129"/>
        <v>23</v>
      </c>
      <c r="H312" s="97">
        <f t="shared" si="129"/>
        <v>-12</v>
      </c>
      <c r="I312" s="1204">
        <f t="shared" si="116"/>
        <v>-1.75</v>
      </c>
      <c r="J312" s="98"/>
      <c r="K312" s="99">
        <f>IF(ISNUMBER(D312),D312/Population!D26*10000,NA())</f>
        <v>-1.0288065843621399</v>
      </c>
      <c r="L312" s="99">
        <f>IF(ISNUMBER(E312),E312/Population!E26*10000,NA())</f>
        <v>8.5714285714285712</v>
      </c>
      <c r="M312" s="99">
        <f>IF(ISNUMBER(F312),F312/Population!F26*10000,NA())</f>
        <v>6.4646464646464645</v>
      </c>
      <c r="N312" s="99">
        <f>IF(ISNUMBER(G312),G312/Population!G26*10000,NA())</f>
        <v>4.6092184368737472</v>
      </c>
      <c r="O312" s="100">
        <f>IF(ISNUMBER(H312),H312/Population!H26*10000,NA())</f>
        <v>-2.3904382470119523</v>
      </c>
      <c r="P312" s="101">
        <f t="shared" si="117"/>
        <v>-2.3904382470119523</v>
      </c>
      <c r="Q312" s="363" t="str">
        <f t="shared" si="128"/>
        <v>--</v>
      </c>
      <c r="R312" s="69"/>
      <c r="S312" s="333">
        <f>IDACI!C25</f>
        <v>14.899999999999999</v>
      </c>
      <c r="T312" s="334">
        <f t="shared" si="107"/>
        <v>2.6117413649231169</v>
      </c>
      <c r="U312" s="335">
        <f t="shared" si="119"/>
        <v>-5.0021796119350697</v>
      </c>
      <c r="V312" s="124"/>
      <c r="W312" s="140"/>
      <c r="X312" s="1200"/>
      <c r="Y312" s="1289" t="str">
        <f t="shared" si="108"/>
        <v>Swindon</v>
      </c>
      <c r="Z312" s="815">
        <f>IF(AD164&gt;0,IDACI!D25,0)</f>
        <v>43899</v>
      </c>
      <c r="AA312" s="815">
        <f>IF(AD164&gt;0,IDACI!E25,0)</f>
        <v>6540.951</v>
      </c>
      <c r="AB312" s="572">
        <f>IF(ISNUMBER(D312),Population!D26,0)</f>
        <v>48600</v>
      </c>
      <c r="AC312" s="572">
        <f>IF(ISNUMBER(E312),Population!E26,0)</f>
        <v>49000</v>
      </c>
      <c r="AD312" s="572">
        <f>IF(ISNUMBER(F312),Population!F26,0)</f>
        <v>49500</v>
      </c>
      <c r="AE312" s="572">
        <f>IF(ISNUMBER(G312),Population!G26,0)</f>
        <v>49900</v>
      </c>
      <c r="AF312" s="572">
        <f>IF(ISNUMBER(H312),Population!H26,0)</f>
        <v>50200</v>
      </c>
      <c r="AG312" s="95" t="s">
        <v>5</v>
      </c>
      <c r="AH312" s="225">
        <f t="shared" si="109"/>
        <v>-0.45792787635947341</v>
      </c>
      <c r="AI312" s="1187">
        <f t="shared" si="120"/>
        <v>6</v>
      </c>
      <c r="AJ312" s="199"/>
      <c r="AK312" s="1197"/>
      <c r="AL312" s="840">
        <f t="shared" si="121"/>
        <v>47</v>
      </c>
      <c r="AM312" s="840">
        <f t="shared" si="122"/>
        <v>-10</v>
      </c>
      <c r="AN312" s="840">
        <f t="shared" si="123"/>
        <v>-9</v>
      </c>
      <c r="AO312" s="840">
        <f t="shared" si="124"/>
        <v>-35</v>
      </c>
      <c r="AP312" s="840">
        <f t="shared" si="127"/>
        <v>-1.75</v>
      </c>
      <c r="AR312" s="888">
        <f t="shared" si="125"/>
        <v>8.5714285714285712</v>
      </c>
      <c r="AS312" s="888">
        <f t="shared" si="111"/>
        <v>6.4646464646464645</v>
      </c>
      <c r="AT312" s="888">
        <f t="shared" si="112"/>
        <v>4.6092184368737472</v>
      </c>
      <c r="AU312" s="888">
        <f t="shared" si="130"/>
        <v>-2.3904382470119523</v>
      </c>
      <c r="AV312" s="888">
        <f t="shared" si="131"/>
        <v>17.254855225936829</v>
      </c>
      <c r="AW312" s="550">
        <f t="shared" si="132"/>
        <v>0</v>
      </c>
      <c r="AX312" s="888">
        <f t="shared" si="133"/>
        <v>17.254855225936829</v>
      </c>
    </row>
    <row r="313" spans="1:50" s="89" customFormat="1" ht="13.5" customHeight="1" x14ac:dyDescent="0.2">
      <c r="A313" s="462">
        <f>VLOOKUP(B313,Sheet1!$AQ$4:$AR$25,2,FALSE)</f>
        <v>0</v>
      </c>
      <c r="B313" s="95" t="str">
        <f>Sheet1!$K$21</f>
        <v>Torbay</v>
      </c>
      <c r="C313" s="87"/>
      <c r="D313" s="96">
        <f t="shared" si="129"/>
        <v>-2</v>
      </c>
      <c r="E313" s="96">
        <f t="shared" si="129"/>
        <v>-29</v>
      </c>
      <c r="F313" s="96">
        <f t="shared" si="129"/>
        <v>7</v>
      </c>
      <c r="G313" s="96">
        <f t="shared" si="129"/>
        <v>36</v>
      </c>
      <c r="H313" s="97">
        <f t="shared" si="129"/>
        <v>29</v>
      </c>
      <c r="I313" s="1204">
        <f t="shared" si="116"/>
        <v>7.75</v>
      </c>
      <c r="J313" s="98"/>
      <c r="K313" s="99">
        <f>IF(ISNUMBER(D313),D313/Population!D27*10000,NA())</f>
        <v>-0.79681274900398413</v>
      </c>
      <c r="L313" s="99">
        <f>IF(ISNUMBER(E313),E313/Population!E27*10000,NA())</f>
        <v>-11.507936507936508</v>
      </c>
      <c r="M313" s="99">
        <f>IF(ISNUMBER(F313),F313/Population!F27*10000,NA())</f>
        <v>2.7559055118110236</v>
      </c>
      <c r="N313" s="99">
        <f>IF(ISNUMBER(G313),G313/Population!G27*10000,NA())</f>
        <v>14.173228346456694</v>
      </c>
      <c r="O313" s="100">
        <f>IF(ISNUMBER(H313),H313/Population!H27*10000,NA())</f>
        <v>11.417322834645669</v>
      </c>
      <c r="P313" s="101">
        <f t="shared" si="117"/>
        <v>11.417322834645669</v>
      </c>
      <c r="Q313" s="363" t="str">
        <f t="shared" si="128"/>
        <v>--</v>
      </c>
      <c r="R313" s="69"/>
      <c r="S313" s="333">
        <f>IDACI!C26</f>
        <v>21.9</v>
      </c>
      <c r="T313" s="334">
        <f t="shared" si="107"/>
        <v>2.8853126117580992</v>
      </c>
      <c r="U313" s="335">
        <f t="shared" si="119"/>
        <v>8.5320102228875694</v>
      </c>
      <c r="V313" s="124"/>
      <c r="W313" s="140"/>
      <c r="X313" s="1200"/>
      <c r="Y313" s="1289" t="str">
        <f t="shared" si="108"/>
        <v>Torbay</v>
      </c>
      <c r="Z313" s="815">
        <f>IF(AD165&gt;0,IDACI!D26,0)</f>
        <v>22257</v>
      </c>
      <c r="AA313" s="815">
        <f>IF(AD165&gt;0,IDACI!E26,0)</f>
        <v>4874.2829999999994</v>
      </c>
      <c r="AB313" s="572">
        <f>IF(ISNUMBER(D313),Population!D27,0)</f>
        <v>25100</v>
      </c>
      <c r="AC313" s="572">
        <f>IF(ISNUMBER(E313),Population!E27,0)</f>
        <v>25200</v>
      </c>
      <c r="AD313" s="572">
        <f>IF(ISNUMBER(F313),Population!F27,0)</f>
        <v>25400</v>
      </c>
      <c r="AE313" s="572">
        <f>IF(ISNUMBER(G313),Population!G27,0)</f>
        <v>25400</v>
      </c>
      <c r="AF313" s="572">
        <f>IF(ISNUMBER(H313),Population!H27,0)</f>
        <v>25400</v>
      </c>
      <c r="AG313" s="95" t="s">
        <v>30</v>
      </c>
      <c r="AH313" s="225">
        <f t="shared" si="109"/>
        <v>3.7572254335260111</v>
      </c>
      <c r="AI313" s="1187">
        <f t="shared" si="120"/>
        <v>14</v>
      </c>
      <c r="AJ313" s="199"/>
      <c r="AK313" s="1197"/>
      <c r="AL313" s="840">
        <f t="shared" si="121"/>
        <v>-27</v>
      </c>
      <c r="AM313" s="840">
        <f t="shared" si="122"/>
        <v>36</v>
      </c>
      <c r="AN313" s="840">
        <f t="shared" si="123"/>
        <v>29</v>
      </c>
      <c r="AO313" s="840">
        <f t="shared" si="124"/>
        <v>-7</v>
      </c>
      <c r="AP313" s="840">
        <f t="shared" si="127"/>
        <v>7.75</v>
      </c>
      <c r="AR313" s="888">
        <f t="shared" si="125"/>
        <v>-11.507936507936508</v>
      </c>
      <c r="AS313" s="888">
        <f t="shared" si="111"/>
        <v>2.7559055118110236</v>
      </c>
      <c r="AT313" s="888">
        <f t="shared" si="112"/>
        <v>14.173228346456694</v>
      </c>
      <c r="AU313" s="888">
        <f t="shared" si="130"/>
        <v>11.417322834645669</v>
      </c>
      <c r="AV313" s="888">
        <f t="shared" si="131"/>
        <v>16.838520184976879</v>
      </c>
      <c r="AW313" s="550">
        <f t="shared" si="132"/>
        <v>0</v>
      </c>
      <c r="AX313" s="888">
        <f t="shared" si="133"/>
        <v>16.838520184976879</v>
      </c>
    </row>
    <row r="314" spans="1:50" s="89" customFormat="1" ht="13.5" customHeight="1" x14ac:dyDescent="0.2">
      <c r="A314" s="462">
        <f>VLOOKUP(B314,Sheet1!$AQ$4:$AR$25,2,FALSE)</f>
        <v>0</v>
      </c>
      <c r="B314" s="95" t="str">
        <f>Sheet1!$K$22</f>
        <v>West Berkshire</v>
      </c>
      <c r="C314" s="87"/>
      <c r="D314" s="96">
        <f t="shared" si="129"/>
        <v>16</v>
      </c>
      <c r="E314" s="102">
        <f t="shared" si="129"/>
        <v>-15</v>
      </c>
      <c r="F314" s="96">
        <f t="shared" si="129"/>
        <v>0</v>
      </c>
      <c r="G314" s="96">
        <f t="shared" si="129"/>
        <v>-18</v>
      </c>
      <c r="H314" s="97">
        <f t="shared" si="129"/>
        <v>26</v>
      </c>
      <c r="I314" s="1204">
        <f t="shared" si="116"/>
        <v>2.5</v>
      </c>
      <c r="J314" s="98"/>
      <c r="K314" s="99">
        <f>IF(ISNUMBER(D314),D314/Population!D28*10000,NA())</f>
        <v>4.4943820224719104</v>
      </c>
      <c r="L314" s="99">
        <f>IF(ISNUMBER(E314),E314/Population!E28*10000,NA())</f>
        <v>-4.2016806722689077</v>
      </c>
      <c r="M314" s="99">
        <f>IF(ISNUMBER(F314),F314/Population!F28*10000,NA())</f>
        <v>0</v>
      </c>
      <c r="N314" s="99">
        <f>IF(ISNUMBER(G314),G314/Population!G28*10000,NA())</f>
        <v>-5.027932960893855</v>
      </c>
      <c r="O314" s="100">
        <f>IF(ISNUMBER(H314),H314/Population!H28*10000,NA())</f>
        <v>7.3033707865168536</v>
      </c>
      <c r="P314" s="101">
        <f t="shared" si="117"/>
        <v>7.3033707865168536</v>
      </c>
      <c r="Q314" s="886">
        <f t="shared" si="128"/>
        <v>8</v>
      </c>
      <c r="R314" s="69"/>
      <c r="S314" s="333">
        <f>IDACI!C27</f>
        <v>8.6999999999999993</v>
      </c>
      <c r="T314" s="334">
        <f t="shared" si="107"/>
        <v>2.3694354034407041</v>
      </c>
      <c r="U314" s="335">
        <f t="shared" si="119"/>
        <v>4.9339353830761494</v>
      </c>
      <c r="V314" s="124"/>
      <c r="W314" s="140"/>
      <c r="X314" s="1200"/>
      <c r="Y314" s="1289" t="str">
        <f t="shared" si="108"/>
        <v>West Berkshire</v>
      </c>
      <c r="Z314" s="815">
        <f>IF(AD166&gt;0,IDACI!D27,0)</f>
        <v>31625</v>
      </c>
      <c r="AA314" s="815">
        <f>IF(AD166&gt;0,IDACI!E27,0)</f>
        <v>2751.375</v>
      </c>
      <c r="AB314" s="572">
        <f>IF(ISNUMBER(D314),Population!D28,0)</f>
        <v>35600</v>
      </c>
      <c r="AC314" s="572">
        <f>IF(ISNUMBER(E314),Population!E28,0)</f>
        <v>35700</v>
      </c>
      <c r="AD314" s="572">
        <f>IF(ISNUMBER(F314),Population!F28,0)</f>
        <v>35900</v>
      </c>
      <c r="AE314" s="572">
        <f>IF(ISNUMBER(G314),Population!G28,0)</f>
        <v>35800</v>
      </c>
      <c r="AF314" s="572">
        <f>IF(ISNUMBER(H314),Population!H28,0)</f>
        <v>35600</v>
      </c>
      <c r="AG314" s="95" t="s">
        <v>16</v>
      </c>
      <c r="AH314" s="225">
        <f t="shared" si="109"/>
        <v>1.0126582278481013</v>
      </c>
      <c r="AI314" s="1187">
        <f t="shared" si="120"/>
        <v>8</v>
      </c>
      <c r="AJ314" s="199"/>
      <c r="AK314" s="1197"/>
      <c r="AL314" s="840">
        <f t="shared" si="121"/>
        <v>-31</v>
      </c>
      <c r="AM314" s="840">
        <f t="shared" si="122"/>
        <v>15</v>
      </c>
      <c r="AN314" s="840">
        <f t="shared" si="123"/>
        <v>-18</v>
      </c>
      <c r="AO314" s="840">
        <f t="shared" si="124"/>
        <v>44</v>
      </c>
      <c r="AP314" s="840">
        <f t="shared" si="127"/>
        <v>2.5</v>
      </c>
      <c r="AR314" s="888">
        <f t="shared" si="125"/>
        <v>-4.2016806722689077</v>
      </c>
      <c r="AS314" s="888">
        <f t="shared" si="111"/>
        <v>0</v>
      </c>
      <c r="AT314" s="888">
        <f t="shared" si="112"/>
        <v>-5.027932960893855</v>
      </c>
      <c r="AU314" s="888">
        <f t="shared" si="130"/>
        <v>7.3033707865168536</v>
      </c>
      <c r="AV314" s="888">
        <f t="shared" si="131"/>
        <v>-1.9262428466459101</v>
      </c>
      <c r="AW314" s="550">
        <f t="shared" si="132"/>
        <v>0</v>
      </c>
      <c r="AX314" s="888">
        <f t="shared" si="133"/>
        <v>-1.9262428466459101</v>
      </c>
    </row>
    <row r="315" spans="1:50" s="89" customFormat="1" ht="13.5" customHeight="1" x14ac:dyDescent="0.2">
      <c r="A315" s="462">
        <f>VLOOKUP(B315,Sheet1!$AQ$4:$AR$25,2,FALSE)</f>
        <v>0</v>
      </c>
      <c r="B315" s="95" t="str">
        <f>Sheet1!$K$23</f>
        <v>West Sussex</v>
      </c>
      <c r="C315" s="87"/>
      <c r="D315" s="96">
        <f t="shared" si="129"/>
        <v>38</v>
      </c>
      <c r="E315" s="102">
        <f t="shared" si="129"/>
        <v>-6</v>
      </c>
      <c r="F315" s="96">
        <f t="shared" si="129"/>
        <v>20</v>
      </c>
      <c r="G315" s="96">
        <f t="shared" si="129"/>
        <v>40</v>
      </c>
      <c r="H315" s="97">
        <f t="shared" si="129"/>
        <v>-8</v>
      </c>
      <c r="I315" s="1204">
        <f t="shared" si="116"/>
        <v>-11.5</v>
      </c>
      <c r="J315" s="98"/>
      <c r="K315" s="99">
        <f>IF(ISNUMBER(D315),D315/Population!D29*10000,NA())</f>
        <v>2.2511848341232228</v>
      </c>
      <c r="L315" s="99">
        <f>IF(ISNUMBER(E315),E315/Population!E29*10000,NA())</f>
        <v>-0.35211267605633806</v>
      </c>
      <c r="M315" s="99">
        <f>IF(ISNUMBER(F315),F315/Population!F29*10000,NA())</f>
        <v>1.1641443538998837</v>
      </c>
      <c r="N315" s="99">
        <f>IF(ISNUMBER(G315),G315/Population!G29*10000,NA())</f>
        <v>2.3081361800346221</v>
      </c>
      <c r="O315" s="100">
        <f>IF(ISNUMBER(H315),H315/Population!H29*10000,NA())</f>
        <v>-0.45792787635947341</v>
      </c>
      <c r="P315" s="101">
        <f t="shared" si="117"/>
        <v>-0.45792787635947341</v>
      </c>
      <c r="Q315" s="886">
        <f t="shared" si="128"/>
        <v>6</v>
      </c>
      <c r="R315" s="69"/>
      <c r="S315" s="333">
        <f>IDACI!C28</f>
        <v>11</v>
      </c>
      <c r="T315" s="334">
        <f t="shared" si="107"/>
        <v>2.4593230988293411</v>
      </c>
      <c r="U315" s="335">
        <f t="shared" si="119"/>
        <v>-2.9172509751888143</v>
      </c>
      <c r="V315" s="124"/>
      <c r="W315" s="140"/>
      <c r="X315" s="1200"/>
      <c r="Y315" s="1289" t="str">
        <f t="shared" si="108"/>
        <v>West Sussex</v>
      </c>
      <c r="Z315" s="815">
        <f>IF(AD167&gt;0,IDACI!D28,0)</f>
        <v>151487</v>
      </c>
      <c r="AA315" s="815">
        <f>IF(AD167&gt;0,IDACI!E28,0)</f>
        <v>16663.57</v>
      </c>
      <c r="AB315" s="572">
        <f>IF(ISNUMBER(D315),Population!D29,0)</f>
        <v>168800</v>
      </c>
      <c r="AC315" s="572">
        <f>IF(ISNUMBER(E315),Population!E29,0)</f>
        <v>170400</v>
      </c>
      <c r="AD315" s="572">
        <f>IF(ISNUMBER(F315),Population!F29,0)</f>
        <v>171800</v>
      </c>
      <c r="AE315" s="572">
        <f>IF(ISNUMBER(G315),Population!G29,0)</f>
        <v>173300</v>
      </c>
      <c r="AF315" s="572">
        <f>IF(ISNUMBER(H315),Population!H29,0)</f>
        <v>174700</v>
      </c>
      <c r="AG315" s="199"/>
      <c r="AH315" s="199"/>
      <c r="AI315" s="1284"/>
      <c r="AJ315" s="199"/>
      <c r="AK315" s="1197"/>
      <c r="AL315" s="840">
        <f t="shared" si="121"/>
        <v>-44</v>
      </c>
      <c r="AM315" s="840">
        <f t="shared" si="122"/>
        <v>26</v>
      </c>
      <c r="AN315" s="840">
        <f t="shared" si="123"/>
        <v>20</v>
      </c>
      <c r="AO315" s="840">
        <f t="shared" si="124"/>
        <v>-48</v>
      </c>
      <c r="AP315" s="840">
        <f t="shared" si="127"/>
        <v>-11.5</v>
      </c>
      <c r="AR315" s="888">
        <f t="shared" si="125"/>
        <v>-0.35211267605633806</v>
      </c>
      <c r="AS315" s="888">
        <f t="shared" si="111"/>
        <v>1.1641443538998837</v>
      </c>
      <c r="AT315" s="888">
        <f t="shared" si="112"/>
        <v>2.3081361800346221</v>
      </c>
      <c r="AU315" s="888">
        <f t="shared" si="130"/>
        <v>-0.45792787635947341</v>
      </c>
      <c r="AV315" s="888">
        <f t="shared" si="131"/>
        <v>2.6622399815186943</v>
      </c>
      <c r="AW315" s="550">
        <f t="shared" si="132"/>
        <v>0</v>
      </c>
      <c r="AX315" s="888">
        <f t="shared" si="133"/>
        <v>2.6622399815186943</v>
      </c>
    </row>
    <row r="316" spans="1:50" s="89" customFormat="1" ht="13.5" customHeight="1" x14ac:dyDescent="0.2">
      <c r="A316" s="462">
        <f>VLOOKUP(B316,Sheet1!$AQ$4:$AR$25,2,FALSE)</f>
        <v>0</v>
      </c>
      <c r="B316" s="95" t="str">
        <f>Sheet1!$K$24</f>
        <v>Windsor &amp; Maidenhead</v>
      </c>
      <c r="C316" s="87"/>
      <c r="D316" s="102">
        <f t="shared" ref="D316:H317" si="134">IF(AND(ISNUMBER(D30),ISNUMBER(D137)),D30-D137,NA())</f>
        <v>-8</v>
      </c>
      <c r="E316" s="96">
        <f t="shared" si="134"/>
        <v>-11</v>
      </c>
      <c r="F316" s="96">
        <f t="shared" si="134"/>
        <v>18</v>
      </c>
      <c r="G316" s="96">
        <f t="shared" si="134"/>
        <v>-3</v>
      </c>
      <c r="H316" s="97">
        <f t="shared" si="134"/>
        <v>13</v>
      </c>
      <c r="I316" s="1204">
        <f t="shared" si="116"/>
        <v>5.25</v>
      </c>
      <c r="J316" s="98"/>
      <c r="K316" s="99">
        <f>IF(ISNUMBER(D316),D316/Population!D30*10000,NA())</f>
        <v>-2.3952095808383231</v>
      </c>
      <c r="L316" s="99">
        <f>IF(ISNUMBER(E316),E316/Population!E30*10000,NA())</f>
        <v>-3.2640949554896141</v>
      </c>
      <c r="M316" s="99">
        <f>IF(ISNUMBER(F316),F316/Population!F30*10000,NA())</f>
        <v>5.2631578947368416</v>
      </c>
      <c r="N316" s="99">
        <f>IF(ISNUMBER(G316),G316/Population!G30*10000,NA())</f>
        <v>-0.87209302325581395</v>
      </c>
      <c r="O316" s="100">
        <f>IF(ISNUMBER(H316),H316/Population!H30*10000,NA())</f>
        <v>3.7572254335260111</v>
      </c>
      <c r="P316" s="101">
        <f t="shared" si="117"/>
        <v>3.7572254335260111</v>
      </c>
      <c r="Q316" s="886">
        <f t="shared" si="128"/>
        <v>5</v>
      </c>
      <c r="R316" s="69"/>
      <c r="S316" s="333">
        <f>IDACI!C29</f>
        <v>6.7</v>
      </c>
      <c r="T316" s="334">
        <f t="shared" si="107"/>
        <v>2.2912721900592805</v>
      </c>
      <c r="U316" s="335">
        <f t="shared" si="119"/>
        <v>1.4659532434667306</v>
      </c>
      <c r="V316" s="124"/>
      <c r="W316" s="140"/>
      <c r="X316" s="1200"/>
      <c r="Y316" s="1289" t="str">
        <f t="shared" si="108"/>
        <v>Windsor &amp; Maidenhead</v>
      </c>
      <c r="Z316" s="815">
        <f>IF(AD168&gt;0,IDACI!D29,0)</f>
        <v>29792</v>
      </c>
      <c r="AA316" s="815">
        <f>IF(AD168&gt;0,IDACI!E29,0)</f>
        <v>1996.0640000000001</v>
      </c>
      <c r="AB316" s="572">
        <f>IF(ISNUMBER(D316),Population!D30,0)</f>
        <v>33400</v>
      </c>
      <c r="AC316" s="572">
        <f>IF(ISNUMBER(E316),Population!E30,0)</f>
        <v>33700</v>
      </c>
      <c r="AD316" s="572">
        <f>IF(ISNUMBER(F316),Population!F30,0)</f>
        <v>34200</v>
      </c>
      <c r="AE316" s="572">
        <f>IF(ISNUMBER(G316),Population!G30,0)</f>
        <v>34400</v>
      </c>
      <c r="AF316" s="572">
        <f>IF(ISNUMBER(H316),Population!H30,0)</f>
        <v>34600</v>
      </c>
      <c r="AG316" s="199"/>
      <c r="AH316" s="199"/>
      <c r="AI316" s="1284"/>
      <c r="AJ316" s="199"/>
      <c r="AK316" s="1197"/>
      <c r="AL316" s="840">
        <f t="shared" si="121"/>
        <v>-3</v>
      </c>
      <c r="AM316" s="840">
        <f t="shared" si="122"/>
        <v>29</v>
      </c>
      <c r="AN316" s="840">
        <f t="shared" si="123"/>
        <v>-21</v>
      </c>
      <c r="AO316" s="840">
        <f t="shared" si="124"/>
        <v>16</v>
      </c>
      <c r="AP316" s="840">
        <f t="shared" si="127"/>
        <v>5.25</v>
      </c>
      <c r="AR316" s="888">
        <f t="shared" si="125"/>
        <v>-3.2640949554896141</v>
      </c>
      <c r="AS316" s="888">
        <f t="shared" si="111"/>
        <v>5.2631578947368416</v>
      </c>
      <c r="AT316" s="888">
        <f t="shared" si="112"/>
        <v>-0.87209302325581395</v>
      </c>
      <c r="AU316" s="888">
        <f t="shared" si="130"/>
        <v>3.7572254335260111</v>
      </c>
      <c r="AV316" s="888">
        <f t="shared" si="131"/>
        <v>4.8841953495174248</v>
      </c>
      <c r="AW316" s="550">
        <f t="shared" si="132"/>
        <v>0</v>
      </c>
      <c r="AX316" s="888">
        <f>AV316/(4-AW316)*4</f>
        <v>4.8841953495174248</v>
      </c>
    </row>
    <row r="317" spans="1:50" s="89" customFormat="1" ht="13.5" customHeight="1" x14ac:dyDescent="0.2">
      <c r="A317" s="462">
        <f>VLOOKUP(B317,Sheet1!$AQ$4:$AR$25,2,FALSE)</f>
        <v>0</v>
      </c>
      <c r="B317" s="95" t="str">
        <f>Sheet1!$K$25</f>
        <v>Wokingham</v>
      </c>
      <c r="C317" s="87"/>
      <c r="D317" s="102">
        <f t="shared" si="134"/>
        <v>2</v>
      </c>
      <c r="E317" s="96">
        <f t="shared" si="134"/>
        <v>4</v>
      </c>
      <c r="F317" s="96">
        <f t="shared" si="134"/>
        <v>-6</v>
      </c>
      <c r="G317" s="96">
        <f t="shared" si="134"/>
        <v>30</v>
      </c>
      <c r="H317" s="97">
        <f t="shared" si="134"/>
        <v>4</v>
      </c>
      <c r="I317" s="1204">
        <f t="shared" si="116"/>
        <v>0.5</v>
      </c>
      <c r="J317" s="98"/>
      <c r="K317" s="99">
        <f>IF(ISNUMBER(D317),D317/Population!D31*10000,NA())</f>
        <v>0.54200542005420049</v>
      </c>
      <c r="L317" s="99">
        <f>IF(ISNUMBER(E317),E317/Population!E31*10000,NA())</f>
        <v>1.0723860589812333</v>
      </c>
      <c r="M317" s="99">
        <f>IF(ISNUMBER(F317),F317/Population!F31*10000,NA())</f>
        <v>-1.5789473684210527</v>
      </c>
      <c r="N317" s="99">
        <f>IF(ISNUMBER(G317),G317/Population!G31*10000,NA())</f>
        <v>7.7519379844961236</v>
      </c>
      <c r="O317" s="100">
        <f>IF(ISNUMBER(H317),H317/Population!H31*10000,NA())</f>
        <v>1.0126582278481013</v>
      </c>
      <c r="P317" s="101">
        <f t="shared" si="117"/>
        <v>1.0126582278481013</v>
      </c>
      <c r="Q317" s="886">
        <f t="shared" si="128"/>
        <v>1</v>
      </c>
      <c r="R317" s="69"/>
      <c r="S317" s="333">
        <f>IDACI!C30</f>
        <v>5.6000000000000005</v>
      </c>
      <c r="T317" s="334">
        <f t="shared" si="107"/>
        <v>2.2482824226994977</v>
      </c>
      <c r="U317" s="335">
        <f t="shared" si="119"/>
        <v>-1.2356241948513964</v>
      </c>
      <c r="V317" s="124"/>
      <c r="W317" s="140"/>
      <c r="X317" s="1200"/>
      <c r="Y317" s="1289" t="str">
        <f t="shared" si="108"/>
        <v>Wokingham</v>
      </c>
      <c r="Z317" s="815">
        <f>IF(AD169&gt;0,IDACI!D30,0)</f>
        <v>33327</v>
      </c>
      <c r="AA317" s="815">
        <f>IF(AD169&gt;0,IDACI!E30,0)</f>
        <v>1866.3120000000004</v>
      </c>
      <c r="AB317" s="572">
        <f>IF(ISNUMBER(D317),Population!D31,0)</f>
        <v>36900</v>
      </c>
      <c r="AC317" s="572">
        <f>IF(ISNUMBER(E317),Population!E31,0)</f>
        <v>37300</v>
      </c>
      <c r="AD317" s="572">
        <f>IF(ISNUMBER(F317),Population!F31,0)</f>
        <v>38000</v>
      </c>
      <c r="AE317" s="572">
        <f>IF(ISNUMBER(G317),Population!G31,0)</f>
        <v>38700</v>
      </c>
      <c r="AF317" s="572">
        <f>IF(ISNUMBER(H317),Population!H31,0)</f>
        <v>39500</v>
      </c>
      <c r="AG317" s="199"/>
      <c r="AH317" s="199"/>
      <c r="AI317" s="1284"/>
      <c r="AJ317" s="199"/>
      <c r="AK317" s="1197"/>
      <c r="AL317" s="840">
        <f t="shared" si="121"/>
        <v>2</v>
      </c>
      <c r="AM317" s="840">
        <f t="shared" si="122"/>
        <v>-10</v>
      </c>
      <c r="AN317" s="840">
        <f t="shared" si="123"/>
        <v>36</v>
      </c>
      <c r="AO317" s="840">
        <f t="shared" si="124"/>
        <v>-26</v>
      </c>
      <c r="AP317" s="840">
        <f t="shared" si="127"/>
        <v>0.5</v>
      </c>
      <c r="AR317" s="888">
        <f t="shared" si="125"/>
        <v>1.0723860589812333</v>
      </c>
      <c r="AS317" s="888">
        <f t="shared" si="111"/>
        <v>-1.5789473684210527</v>
      </c>
      <c r="AT317" s="888">
        <f t="shared" si="112"/>
        <v>7.7519379844961236</v>
      </c>
      <c r="AU317" s="888">
        <f t="shared" si="130"/>
        <v>1.0126582278481013</v>
      </c>
      <c r="AV317" s="888">
        <f t="shared" si="131"/>
        <v>8.2580349029044058</v>
      </c>
      <c r="AW317" s="550">
        <f t="shared" si="132"/>
        <v>0</v>
      </c>
      <c r="AX317" s="888">
        <f t="shared" ref="AX317:AX319" si="135">AV317/(4-AW317)*4</f>
        <v>8.2580349029044058</v>
      </c>
    </row>
    <row r="318" spans="1:50" s="89" customFormat="1" ht="13.5" customHeight="1" x14ac:dyDescent="0.2">
      <c r="A318" s="123"/>
      <c r="B318" s="131" t="str">
        <f>Sheet1!$K$26</f>
        <v>South East</v>
      </c>
      <c r="C318" s="87"/>
      <c r="D318" s="132">
        <f>IF(AND(ISNUMBER(D32),ISNUMBER(Z170)),D32-Z170,NA())</f>
        <v>250</v>
      </c>
      <c r="E318" s="132">
        <f>IF(AND(ISNUMBER(E32),ISNUMBER(AA170)),E32-AA170,NA())</f>
        <v>470</v>
      </c>
      <c r="F318" s="132">
        <f>IF(AND(ISNUMBER(F32),ISNUMBER(AB170)),F32-AB170,NA())</f>
        <v>-129</v>
      </c>
      <c r="G318" s="132">
        <f>IF(AND(ISNUMBER(G32),ISNUMBER(AC170)),G32-AC170,NA())</f>
        <v>61</v>
      </c>
      <c r="H318" s="133">
        <f>IF(AND(ISNUMBER(H32),ISNUMBER(AD170)),H32-AD170,NA())</f>
        <v>217</v>
      </c>
      <c r="I318" s="398">
        <f t="shared" si="116"/>
        <v>-8.25</v>
      </c>
      <c r="J318" s="98"/>
      <c r="K318" s="134">
        <f>IF(ISNUMBER(D318),D318/AB318*10000,NA())</f>
        <v>1.3127494223902543</v>
      </c>
      <c r="L318" s="134">
        <f>IF(ISNUMBER(E318),E318/AC318*10000,NA())</f>
        <v>2.4503414837599706</v>
      </c>
      <c r="M318" s="134">
        <f>IF(ISNUMBER(F318),F318/AD318*10000,NA())</f>
        <v>-0.66732191816253683</v>
      </c>
      <c r="N318" s="134">
        <f>IF(ISNUMBER(G318),G318/AE318*10000,NA())</f>
        <v>0.31380215031637426</v>
      </c>
      <c r="O318" s="135">
        <f>IF(ISNUMBER(H318),H318/AF318*10000,NA())</f>
        <v>1.1086134668437724</v>
      </c>
      <c r="P318" s="101">
        <f t="shared" si="117"/>
        <v>1.1086134668437724</v>
      </c>
      <c r="Q318" s="329" t="str">
        <f t="shared" si="128"/>
        <v>--</v>
      </c>
      <c r="R318" s="69"/>
      <c r="S318" s="331">
        <f>AA318/Z318*100</f>
        <v>12.371268250968637</v>
      </c>
      <c r="T318" s="331">
        <f t="shared" si="107"/>
        <v>2.5129144652811579</v>
      </c>
      <c r="U318" s="336">
        <f t="shared" si="119"/>
        <v>-1.4043009984373855</v>
      </c>
      <c r="V318" s="124"/>
      <c r="W318" s="140"/>
      <c r="X318" s="1200"/>
      <c r="Y318" s="1289" t="str">
        <f t="shared" si="108"/>
        <v>South East</v>
      </c>
      <c r="Z318" s="815">
        <f>SUM(Z310:Z311,Z296:Z308,Z314:Z317)</f>
        <v>1704978</v>
      </c>
      <c r="AA318" s="815">
        <f>SUM(AA310:AA311,AA296:AA308,AA314:AA317)</f>
        <v>210927.40200000003</v>
      </c>
      <c r="AB318" s="572">
        <f>SUM(AB296:AB308,AB310:AB311,AB314:AB317)</f>
        <v>1904400</v>
      </c>
      <c r="AC318" s="572">
        <f t="shared" ref="AC318:AF318" si="136">SUM(AC296:AC308,AC310:AC311,AC314:AC317)</f>
        <v>1918100</v>
      </c>
      <c r="AD318" s="572">
        <f t="shared" si="136"/>
        <v>1933100</v>
      </c>
      <c r="AE318" s="572">
        <f t="shared" si="136"/>
        <v>1943900</v>
      </c>
      <c r="AF318" s="572">
        <f t="shared" si="136"/>
        <v>1957400</v>
      </c>
      <c r="AG318" s="199"/>
      <c r="AH318" s="199"/>
      <c r="AI318" s="1284"/>
      <c r="AJ318" s="199"/>
      <c r="AK318" s="1197"/>
      <c r="AL318" s="840">
        <f t="shared" si="121"/>
        <v>220</v>
      </c>
      <c r="AM318" s="840">
        <f t="shared" si="122"/>
        <v>-599</v>
      </c>
      <c r="AN318" s="840">
        <f t="shared" si="123"/>
        <v>190</v>
      </c>
      <c r="AO318" s="840">
        <f t="shared" si="124"/>
        <v>156</v>
      </c>
      <c r="AP318" s="840">
        <f t="shared" si="127"/>
        <v>-8.25</v>
      </c>
      <c r="AR318" s="888">
        <f t="shared" si="125"/>
        <v>2.4503414837599706</v>
      </c>
      <c r="AS318" s="888">
        <f t="shared" si="111"/>
        <v>-0.66732191816253683</v>
      </c>
      <c r="AT318" s="888">
        <f t="shared" si="112"/>
        <v>0.31380215031637426</v>
      </c>
      <c r="AU318" s="888">
        <f t="shared" si="130"/>
        <v>1.1086134668437724</v>
      </c>
      <c r="AV318" s="888">
        <f t="shared" si="131"/>
        <v>3.2054351827575802</v>
      </c>
      <c r="AW318" s="550">
        <f t="shared" si="132"/>
        <v>0</v>
      </c>
      <c r="AX318" s="888">
        <f t="shared" si="135"/>
        <v>3.2054351827575802</v>
      </c>
    </row>
    <row r="319" spans="1:50" s="89" customFormat="1" ht="13.5" customHeight="1" x14ac:dyDescent="0.2">
      <c r="A319" s="286"/>
      <c r="B319" s="318" t="str">
        <f>Sheet1!$K$27</f>
        <v>England</v>
      </c>
      <c r="C319" s="87"/>
      <c r="D319" s="319">
        <f>IF(AND(ISNUMBER(D33),ISNUMBER(D140)),D33-D140,NA())</f>
        <v>10</v>
      </c>
      <c r="E319" s="319">
        <f>IF(AND(ISNUMBER(E33),ISNUMBER(E140)),E33-E140,NA())</f>
        <v>310</v>
      </c>
      <c r="F319" s="319">
        <f>IF(AND(ISNUMBER(F33),ISNUMBER(F140)),F33-F140,NA())</f>
        <v>1540</v>
      </c>
      <c r="G319" s="319">
        <f>IF(AND(ISNUMBER(G33),ISNUMBER(G140)),G33-G140,NA())</f>
        <v>2140</v>
      </c>
      <c r="H319" s="320">
        <f>IF(AND(ISNUMBER(H33),ISNUMBER(H140)),H33-H140,NA())</f>
        <v>2220</v>
      </c>
      <c r="I319" s="400">
        <f t="shared" si="116"/>
        <v>552.5</v>
      </c>
      <c r="J319" s="98"/>
      <c r="K319" s="321">
        <f>IF(ISNUMBER(D319),D319/Population!D33*10000,NA())</f>
        <v>8.6268623239041733E-3</v>
      </c>
      <c r="L319" s="321">
        <f>IF(ISNUMBER(E319),E319/Population!E33*10000,NA())</f>
        <v>0.26545868692144992</v>
      </c>
      <c r="M319" s="321">
        <f>IF(ISNUMBER(F319),F319/Population!F33*10000,NA())</f>
        <v>1.30671259959441</v>
      </c>
      <c r="N319" s="321">
        <f>IF(ISNUMBER(G319),G319/Population!G33*10000,NA())</f>
        <v>1.8033201314569816</v>
      </c>
      <c r="O319" s="345">
        <f>IF(ISNUMBER(H319),H319/Population!H33*10000,NA())</f>
        <v>1.8570257474110385</v>
      </c>
      <c r="P319" s="727"/>
      <c r="Q319" s="330" t="str">
        <f t="shared" si="128"/>
        <v>--</v>
      </c>
      <c r="R319" s="69"/>
      <c r="S319" s="332">
        <f>IDACI!C32</f>
        <v>17.084413405029373</v>
      </c>
      <c r="T319" s="332">
        <f t="shared" si="107"/>
        <v>2.6971117504683932</v>
      </c>
      <c r="U319" s="598">
        <f t="shared" si="119"/>
        <v>-0.8400860030573547</v>
      </c>
      <c r="V319" s="124"/>
      <c r="W319" s="140"/>
      <c r="X319" s="1200"/>
      <c r="Y319" s="1289" t="str">
        <f t="shared" si="108"/>
        <v>England</v>
      </c>
      <c r="Z319" s="815"/>
      <c r="AA319" s="815"/>
      <c r="AB319" s="572">
        <f>IF(D319&gt;0,Population!D309,"")</f>
        <v>0</v>
      </c>
      <c r="AC319" s="572">
        <f>IF(E319&gt;0,Population!E309,"")</f>
        <v>0</v>
      </c>
      <c r="AD319" s="572">
        <f>IF(F319&gt;0,Population!F309,"")</f>
        <v>0</v>
      </c>
      <c r="AE319" s="572">
        <f>IF(G319&gt;0,Population!G309,"")</f>
        <v>0</v>
      </c>
      <c r="AF319" s="572">
        <f>IF(H319&gt;0,Population!H309,"")</f>
        <v>0</v>
      </c>
      <c r="AG319" s="199"/>
      <c r="AH319" s="199"/>
      <c r="AI319" s="1284"/>
      <c r="AJ319" s="199"/>
      <c r="AK319" s="1197"/>
      <c r="AL319" s="840">
        <f t="shared" si="121"/>
        <v>300</v>
      </c>
      <c r="AM319" s="840">
        <f t="shared" si="122"/>
        <v>1230</v>
      </c>
      <c r="AN319" s="840">
        <f t="shared" si="123"/>
        <v>600</v>
      </c>
      <c r="AO319" s="840">
        <f t="shared" si="124"/>
        <v>80</v>
      </c>
      <c r="AP319" s="840">
        <f>AVERAGE(AL319:AO319)</f>
        <v>552.5</v>
      </c>
      <c r="AR319" s="888">
        <f t="shared" si="125"/>
        <v>0.26545868692144992</v>
      </c>
      <c r="AS319" s="888">
        <f t="shared" si="111"/>
        <v>1.30671259959441</v>
      </c>
      <c r="AT319" s="888">
        <f t="shared" si="112"/>
        <v>1.8033201314569816</v>
      </c>
      <c r="AU319" s="888">
        <f t="shared" si="130"/>
        <v>1.8570257474110385</v>
      </c>
      <c r="AV319" s="888">
        <f t="shared" si="131"/>
        <v>5.2325171653838805</v>
      </c>
      <c r="AW319" s="550">
        <f t="shared" si="132"/>
        <v>0</v>
      </c>
      <c r="AX319" s="888">
        <f t="shared" si="135"/>
        <v>5.2325171653838805</v>
      </c>
    </row>
    <row r="320" spans="1:50" s="83" customFormat="1" ht="13.5" customHeight="1" x14ac:dyDescent="0.2">
      <c r="A320" s="120"/>
      <c r="B320" s="125" t="s">
        <v>90</v>
      </c>
      <c r="C320" s="63"/>
      <c r="D320" s="63"/>
      <c r="E320" s="63"/>
      <c r="F320" s="63"/>
      <c r="G320" s="63"/>
      <c r="H320" s="63"/>
      <c r="I320" s="63"/>
      <c r="J320" s="63"/>
      <c r="K320" s="63"/>
      <c r="L320" s="63"/>
      <c r="M320" s="63"/>
      <c r="N320" s="63"/>
      <c r="O320" s="63"/>
      <c r="P320" s="63"/>
      <c r="Q320" s="137" t="s">
        <v>109</v>
      </c>
      <c r="S320" s="63"/>
      <c r="T320" s="63"/>
      <c r="U320" s="63"/>
      <c r="V320" s="119"/>
      <c r="W320" s="138"/>
      <c r="X320" s="1194"/>
      <c r="Y320" s="179"/>
      <c r="Z320" s="179"/>
      <c r="AA320" s="179"/>
      <c r="AB320" s="179"/>
      <c r="AC320" s="179"/>
      <c r="AD320" s="179"/>
      <c r="AE320" s="179"/>
      <c r="AF320" s="179"/>
      <c r="AG320" s="179"/>
      <c r="AH320" s="179"/>
      <c r="AI320" s="1276"/>
      <c r="AJ320" s="179"/>
      <c r="AK320" s="1195"/>
    </row>
    <row r="321" spans="1:69" s="83" customFormat="1" ht="25.5" customHeight="1" x14ac:dyDescent="0.2">
      <c r="A321" s="120"/>
      <c r="B321" s="1580"/>
      <c r="C321" s="1581"/>
      <c r="D321" s="1581"/>
      <c r="E321" s="1581"/>
      <c r="F321" s="1581"/>
      <c r="G321" s="1581"/>
      <c r="H321" s="1581"/>
      <c r="I321" s="1581"/>
      <c r="J321" s="1581"/>
      <c r="K321" s="1581"/>
      <c r="L321" s="1581"/>
      <c r="M321" s="1581"/>
      <c r="N321" s="1581"/>
      <c r="O321" s="1581"/>
      <c r="P321" s="1581"/>
      <c r="Q321" s="1581"/>
      <c r="R321" s="1581"/>
      <c r="S321" s="1581"/>
      <c r="T321" s="1581"/>
      <c r="U321" s="1582"/>
      <c r="V321" s="119"/>
      <c r="W321" s="138"/>
      <c r="X321" s="1194"/>
      <c r="Y321" s="179"/>
      <c r="Z321" s="179"/>
      <c r="AA321" s="179"/>
      <c r="AB321" s="179"/>
      <c r="AC321" s="179"/>
      <c r="AD321" s="179"/>
      <c r="AE321" s="179"/>
      <c r="AF321" s="179"/>
      <c r="AG321" s="179"/>
      <c r="AH321" s="179"/>
      <c r="AI321" s="1276"/>
      <c r="AJ321" s="179"/>
      <c r="AK321" s="1196"/>
      <c r="AL321" s="76"/>
      <c r="AM321" s="76"/>
      <c r="AN321" s="76"/>
      <c r="AO321" s="76"/>
      <c r="AP321" s="76"/>
      <c r="AQ321" s="76"/>
      <c r="AR321" s="76"/>
    </row>
    <row r="322" spans="1:69" s="83" customFormat="1" ht="7.5" customHeight="1" x14ac:dyDescent="0.2">
      <c r="A322" s="120"/>
      <c r="B322" s="18"/>
      <c r="C322" s="18"/>
      <c r="D322" s="17"/>
      <c r="E322" s="17"/>
      <c r="F322" s="17"/>
      <c r="G322" s="17"/>
      <c r="H322" s="17"/>
      <c r="I322" s="17"/>
      <c r="J322" s="13"/>
      <c r="K322" s="19"/>
      <c r="L322" s="19"/>
      <c r="M322" s="19"/>
      <c r="N322" s="19"/>
      <c r="O322" s="19"/>
      <c r="P322" s="19"/>
      <c r="Q322" s="19"/>
      <c r="R322" s="19"/>
      <c r="S322" s="19"/>
      <c r="T322" s="19"/>
      <c r="U322" s="20"/>
      <c r="V322" s="119"/>
      <c r="W322" s="138"/>
      <c r="X322" s="1194"/>
      <c r="Y322" s="1276"/>
      <c r="Z322" s="1284"/>
      <c r="AA322" s="1276"/>
      <c r="AB322" s="1276"/>
      <c r="AC322" s="1276"/>
      <c r="AD322" s="1276"/>
      <c r="AE322" s="1276"/>
      <c r="AF322" s="1276"/>
      <c r="AG322" s="1276"/>
      <c r="AH322" s="1276"/>
      <c r="AI322" s="1276"/>
      <c r="AJ322" s="179"/>
      <c r="AK322" s="1196"/>
      <c r="AL322" s="76"/>
      <c r="AM322" s="76"/>
      <c r="AN322" s="76"/>
      <c r="AO322" s="76"/>
      <c r="AP322" s="76"/>
      <c r="AQ322" s="76"/>
      <c r="AR322" s="76"/>
    </row>
    <row r="323" spans="1:69" s="83" customFormat="1" ht="15" customHeight="1" x14ac:dyDescent="0.2">
      <c r="A323" s="1399"/>
      <c r="B323" s="1421"/>
      <c r="C323" s="1421"/>
      <c r="D323" s="1421"/>
      <c r="E323" s="1421"/>
      <c r="F323" s="1421"/>
      <c r="G323" s="1421"/>
      <c r="H323" s="1421"/>
      <c r="I323" s="1421"/>
      <c r="J323" s="1421"/>
      <c r="K323" s="1421"/>
      <c r="L323" s="1421"/>
      <c r="M323" s="1421"/>
      <c r="N323" s="1421"/>
      <c r="O323" s="1421"/>
      <c r="P323" s="1421"/>
      <c r="Q323" s="1421"/>
      <c r="R323" s="1421"/>
      <c r="S323" s="1421"/>
      <c r="T323" s="1421"/>
      <c r="U323" s="1421"/>
      <c r="V323" s="1422"/>
      <c r="W323" s="138"/>
      <c r="X323" s="1194"/>
      <c r="Y323" s="1276"/>
      <c r="Z323" s="1284"/>
      <c r="AA323" s="1276"/>
      <c r="AB323" s="1276"/>
      <c r="AC323" s="1276"/>
      <c r="AD323" s="1276"/>
      <c r="AE323" s="1276"/>
      <c r="AF323" s="1276"/>
      <c r="AG323" s="1276"/>
      <c r="AH323" s="1276"/>
      <c r="AI323" s="1276"/>
      <c r="AJ323" s="1276"/>
      <c r="AK323" s="1195"/>
      <c r="AM323" s="83">
        <f>COLUMNS($B$4:K$4)</f>
        <v>10</v>
      </c>
      <c r="AN323" s="83">
        <f>COLUMNS($B$4:L$4)</f>
        <v>11</v>
      </c>
      <c r="AO323" s="83">
        <f>COLUMNS($B$4:M$4)</f>
        <v>12</v>
      </c>
      <c r="AP323" s="83">
        <f>COLUMNS($B$4:N$4)</f>
        <v>13</v>
      </c>
      <c r="AQ323" s="83">
        <f>COLUMNS($B$4:O$4)</f>
        <v>14</v>
      </c>
      <c r="AR323" s="83">
        <f>COLUMNS($B$4:S$4)</f>
        <v>18</v>
      </c>
    </row>
    <row r="324" spans="1:69" s="83" customFormat="1" ht="11.25" customHeight="1" x14ac:dyDescent="0.2">
      <c r="A324" s="1428" t="str">
        <f>Home!$A$40</f>
        <v>LA's provide quarterly data on the condition that it is used by the benchmarking group for internal reporting only. Please DO NOT share other LA's data with any external partners or the public</v>
      </c>
      <c r="B324" s="1429"/>
      <c r="C324" s="1429"/>
      <c r="D324" s="1429"/>
      <c r="E324" s="1429"/>
      <c r="F324" s="1429"/>
      <c r="G324" s="1429"/>
      <c r="H324" s="1429"/>
      <c r="I324" s="1430"/>
      <c r="J324" s="1429"/>
      <c r="K324" s="1429"/>
      <c r="L324" s="1429"/>
      <c r="M324" s="1429"/>
      <c r="N324" s="1429"/>
      <c r="O324" s="1429"/>
      <c r="P324" s="1431"/>
      <c r="Q324" s="1429"/>
      <c r="R324" s="1429"/>
      <c r="S324" s="1429"/>
      <c r="T324" s="1430"/>
      <c r="U324" s="1429"/>
      <c r="V324" s="1432"/>
      <c r="W324" s="138"/>
      <c r="X324" s="1194"/>
      <c r="Y324" s="1276"/>
      <c r="Z324" s="1284"/>
      <c r="AA324" s="1276"/>
      <c r="AB324" s="1276"/>
      <c r="AC324" s="1276"/>
      <c r="AD324" s="1276"/>
      <c r="AE324" s="1276"/>
      <c r="AF324" s="1276"/>
      <c r="AG324" s="1276"/>
      <c r="AH324" s="1276"/>
      <c r="AI324" s="1276"/>
      <c r="AJ324" s="179"/>
      <c r="AK324" s="1197"/>
      <c r="AL324" s="89"/>
      <c r="AM324" s="897" t="s">
        <v>89</v>
      </c>
      <c r="AN324" s="898"/>
      <c r="AO324" s="898"/>
      <c r="AP324" s="898"/>
      <c r="AQ324" s="898"/>
      <c r="AR324" s="897" t="s">
        <v>95</v>
      </c>
    </row>
    <row r="325" spans="1:69" s="83" customFormat="1" ht="11.25" customHeight="1" x14ac:dyDescent="0.2">
      <c r="A325" s="114"/>
      <c r="B325" s="115"/>
      <c r="C325" s="115"/>
      <c r="D325" s="115"/>
      <c r="E325" s="115"/>
      <c r="F325" s="115"/>
      <c r="G325" s="115"/>
      <c r="H325" s="115"/>
      <c r="I325" s="115"/>
      <c r="J325" s="116"/>
      <c r="K325" s="115"/>
      <c r="L325" s="115"/>
      <c r="M325" s="115"/>
      <c r="N325" s="115"/>
      <c r="O325" s="115"/>
      <c r="P325" s="115"/>
      <c r="Q325" s="115"/>
      <c r="R325" s="115"/>
      <c r="S325" s="115"/>
      <c r="T325" s="115"/>
      <c r="U325" s="115"/>
      <c r="V325" s="117"/>
      <c r="W325" s="138"/>
      <c r="X325" s="1201" t="s">
        <v>102</v>
      </c>
      <c r="Y325" s="1283"/>
      <c r="Z325" s="1283"/>
      <c r="AA325" s="1283"/>
      <c r="AB325" s="1283"/>
      <c r="AC325" s="1283"/>
      <c r="AD325" s="1276"/>
      <c r="AE325" s="1276"/>
      <c r="AF325" s="1276"/>
      <c r="AG325" s="1276"/>
      <c r="AH325" s="1276"/>
      <c r="AI325" s="1276"/>
      <c r="AJ325" s="179"/>
      <c r="AK325" s="1197"/>
      <c r="AL325" s="89"/>
      <c r="AM325" s="897" t="str">
        <f>IF(Sheet1!$C$3="Annual","",Sheet1!AQ293)</f>
        <v/>
      </c>
      <c r="AN325" s="897" t="str">
        <f>IF(Sheet1!$C$3="Annual","",Sheet1!AR293)</f>
        <v/>
      </c>
      <c r="AO325" s="897" t="str">
        <f>IF(Sheet1!$C$3="Annual","",Sheet1!AS293)</f>
        <v/>
      </c>
      <c r="AP325" s="897" t="str">
        <f>IF(Sheet1!$C$3="Annual","",Sheet1!AT293)</f>
        <v/>
      </c>
      <c r="AQ325" s="897" t="str">
        <f>IF(Sheet1!$C$3="Annual","",Sheet1!AU293)</f>
        <v/>
      </c>
      <c r="AR325" s="898"/>
    </row>
    <row r="326" spans="1:69" s="83" customFormat="1" ht="3.75" customHeight="1" x14ac:dyDescent="0.25">
      <c r="A326" s="118"/>
      <c r="B326" s="9"/>
      <c r="C326" s="9"/>
      <c r="D326" s="9"/>
      <c r="E326" s="9"/>
      <c r="F326" s="9"/>
      <c r="G326" s="9"/>
      <c r="H326" s="9"/>
      <c r="I326" s="9"/>
      <c r="J326" s="13"/>
      <c r="K326" s="9"/>
      <c r="L326" s="9"/>
      <c r="M326" s="9"/>
      <c r="N326" s="9"/>
      <c r="O326" s="9"/>
      <c r="P326" s="9"/>
      <c r="Q326" s="9"/>
      <c r="R326" s="9"/>
      <c r="S326" s="9"/>
      <c r="T326" s="9"/>
      <c r="U326" s="9"/>
      <c r="V326" s="119"/>
      <c r="W326" s="138"/>
      <c r="X326" s="1202"/>
      <c r="Y326" s="1276"/>
      <c r="Z326" s="1276"/>
      <c r="AA326" s="1276"/>
      <c r="AB326" s="1276"/>
      <c r="AC326" s="1276"/>
      <c r="AD326" s="1290" t="s">
        <v>1002</v>
      </c>
      <c r="AE326" s="1276"/>
      <c r="AF326" s="1276"/>
      <c r="AG326" s="1276"/>
      <c r="AH326" s="1276"/>
      <c r="AI326" s="1276"/>
      <c r="AJ326" s="1276"/>
      <c r="AK326" s="1197"/>
      <c r="AL326" s="89"/>
      <c r="AM326" s="897" t="str">
        <f>Sheet1!$D$25</f>
        <v>2014-15</v>
      </c>
      <c r="AN326" s="897" t="str">
        <f>Sheet1!$E$25</f>
        <v>2015-16</v>
      </c>
      <c r="AO326" s="897" t="str">
        <f>Sheet1!$F$25</f>
        <v>2016-17</v>
      </c>
      <c r="AP326" s="897" t="str">
        <f>Sheet1!$G$25</f>
        <v>2017-18</v>
      </c>
      <c r="AQ326" s="897" t="str">
        <f>Sheet1!$H$25</f>
        <v>2018-19</v>
      </c>
      <c r="AR326" s="898"/>
    </row>
    <row r="327" spans="1:69" s="83" customFormat="1" ht="14.25" customHeight="1" x14ac:dyDescent="0.2">
      <c r="A327" s="120"/>
      <c r="B327" s="9"/>
      <c r="C327" s="9"/>
      <c r="D327" s="9"/>
      <c r="E327" s="9"/>
      <c r="F327" s="9"/>
      <c r="G327" s="9"/>
      <c r="H327" s="9"/>
      <c r="I327" s="9"/>
      <c r="J327" s="13"/>
      <c r="K327" s="9"/>
      <c r="L327" s="9"/>
      <c r="M327" s="9"/>
      <c r="N327" s="9"/>
      <c r="O327" s="9"/>
      <c r="P327" s="9"/>
      <c r="Q327" s="9"/>
      <c r="R327" s="9"/>
      <c r="S327" s="9"/>
      <c r="T327" s="9"/>
      <c r="U327" s="9"/>
      <c r="V327" s="119"/>
      <c r="W327" s="138"/>
      <c r="X327" s="1202"/>
      <c r="Y327" s="890" t="s">
        <v>72</v>
      </c>
      <c r="Z327" s="890" t="s">
        <v>70</v>
      </c>
      <c r="AA327" s="890" t="s">
        <v>71</v>
      </c>
      <c r="AB327" s="1291">
        <v>5</v>
      </c>
      <c r="AC327" s="888">
        <f>(AB327*Z328)+AA328</f>
        <v>3.4325299171140071</v>
      </c>
      <c r="AD327" s="1187">
        <f>ROUND(ChartLabels!$AA19,3)</f>
        <v>3.2000000000000001E-2</v>
      </c>
      <c r="AE327" s="1276"/>
      <c r="AF327" s="1276"/>
      <c r="AG327" s="1276"/>
      <c r="AH327" s="1276"/>
      <c r="AI327" s="1276"/>
      <c r="AJ327" s="560" t="b">
        <f t="shared" ref="AJ327:AJ350" si="137">AJ148</f>
        <v>1</v>
      </c>
      <c r="AK327" s="1197" t="s">
        <v>0</v>
      </c>
      <c r="AL327" s="89" t="str">
        <f t="shared" ref="AL327:AL350" si="138">IF(AJ327=TRUE,B296,"")</f>
        <v>Bracknell Forest</v>
      </c>
      <c r="AM327" s="143">
        <f t="shared" ref="AM327:AR336" si="139">VLOOKUP($AL327,$B$296:$S$319,AM$144,FALSE)</f>
        <v>-4.3165467625899279</v>
      </c>
      <c r="AN327" s="143">
        <f t="shared" si="139"/>
        <v>-2.8368794326241136</v>
      </c>
      <c r="AO327" s="143">
        <f t="shared" si="139"/>
        <v>6.3829787234042552</v>
      </c>
      <c r="AP327" s="143">
        <f t="shared" si="139"/>
        <v>6.04982206405694</v>
      </c>
      <c r="AQ327" s="143">
        <f t="shared" si="139"/>
        <v>6.7137809187279149</v>
      </c>
      <c r="AR327" s="143">
        <f t="shared" si="139"/>
        <v>8.9</v>
      </c>
    </row>
    <row r="328" spans="1:69" s="83" customFormat="1" ht="14.25" customHeight="1" x14ac:dyDescent="0.2">
      <c r="A328" s="120"/>
      <c r="B328" s="9"/>
      <c r="C328" s="9"/>
      <c r="D328" s="9"/>
      <c r="E328" s="9"/>
      <c r="F328" s="9"/>
      <c r="G328" s="9"/>
      <c r="H328" s="9"/>
      <c r="I328" s="9"/>
      <c r="J328" s="13"/>
      <c r="K328" s="9"/>
      <c r="L328" s="9"/>
      <c r="M328" s="9"/>
      <c r="N328" s="9"/>
      <c r="O328" s="9"/>
      <c r="P328" s="9"/>
      <c r="Q328" s="9"/>
      <c r="R328" s="9"/>
      <c r="S328" s="9"/>
      <c r="T328" s="9"/>
      <c r="U328" s="9"/>
      <c r="V328" s="119"/>
      <c r="W328" s="138"/>
      <c r="X328" s="1202"/>
      <c r="Y328" s="1229" t="str">
        <f>"Y= "&amp;Z328&amp;"x + "&amp;AA328</f>
        <v>Y= -0.198661942798668x + 4.42583963110735</v>
      </c>
      <c r="Z328" s="712">
        <f>ChartLabels!$Y19</f>
        <v>-0.19866194279866792</v>
      </c>
      <c r="AA328" s="712">
        <f>ChartLabels!$Z19</f>
        <v>4.4258396311073467</v>
      </c>
      <c r="AB328" s="1187">
        <v>35</v>
      </c>
      <c r="AC328" s="888">
        <f>(AB328*Z328)+AA328</f>
        <v>-2.5273283668460307</v>
      </c>
      <c r="AD328" s="1187" t="str">
        <f>AD326&amp;" = "&amp;AD327</f>
        <v>r² = 0.032</v>
      </c>
      <c r="AE328" s="1276"/>
      <c r="AF328" s="1276"/>
      <c r="AG328" s="1276"/>
      <c r="AH328" s="1276"/>
      <c r="AI328" s="1276"/>
      <c r="AJ328" s="560" t="b">
        <f t="shared" si="137"/>
        <v>1</v>
      </c>
      <c r="AK328" s="1197" t="s">
        <v>31</v>
      </c>
      <c r="AL328" s="89" t="str">
        <f t="shared" si="138"/>
        <v>Brighton &amp; Hove</v>
      </c>
      <c r="AM328" s="143">
        <f t="shared" si="139"/>
        <v>0.58823529411764708</v>
      </c>
      <c r="AN328" s="143">
        <f t="shared" si="139"/>
        <v>-8.0078125</v>
      </c>
      <c r="AO328" s="143">
        <f t="shared" si="139"/>
        <v>2.9239766081871346</v>
      </c>
      <c r="AP328" s="143">
        <f t="shared" si="139"/>
        <v>-7.0588235294117654</v>
      </c>
      <c r="AQ328" s="143">
        <f t="shared" si="139"/>
        <v>-5.8823529411764701</v>
      </c>
      <c r="AR328" s="143">
        <f t="shared" si="139"/>
        <v>15.299999999999999</v>
      </c>
      <c r="AY328" s="341"/>
      <c r="AZ328" s="341"/>
      <c r="BA328" s="341"/>
      <c r="BB328" s="341"/>
      <c r="BC328" s="341"/>
      <c r="BD328" s="341"/>
      <c r="BE328" s="341"/>
      <c r="BF328" s="341"/>
      <c r="BG328" s="341"/>
      <c r="BH328" s="341"/>
      <c r="BI328" s="341"/>
      <c r="BJ328" s="341"/>
      <c r="BK328" s="341"/>
      <c r="BL328" s="341"/>
      <c r="BM328" s="341"/>
      <c r="BN328" s="341"/>
      <c r="BO328" s="341"/>
      <c r="BP328" s="341"/>
      <c r="BQ328" s="341"/>
    </row>
    <row r="329" spans="1:69" ht="14.25" customHeight="1" x14ac:dyDescent="0.2">
      <c r="A329" s="120"/>
      <c r="B329" s="9"/>
      <c r="C329" s="9"/>
      <c r="D329" s="9"/>
      <c r="E329" s="9"/>
      <c r="F329" s="9"/>
      <c r="G329" s="9"/>
      <c r="H329" s="9"/>
      <c r="I329" s="9"/>
      <c r="J329" s="13"/>
      <c r="K329" s="9"/>
      <c r="L329" s="9"/>
      <c r="M329" s="9"/>
      <c r="N329" s="9"/>
      <c r="O329" s="9"/>
      <c r="P329" s="9"/>
      <c r="Q329" s="9"/>
      <c r="R329" s="9"/>
      <c r="S329" s="9"/>
      <c r="T329" s="9"/>
      <c r="U329" s="9"/>
      <c r="V329" s="119"/>
      <c r="W329" s="138"/>
      <c r="X329" s="1202"/>
      <c r="Y329" s="890" t="str">
        <f>"National Trend "&amp;Sheet1!$B$8</f>
        <v>National Trend 2019</v>
      </c>
      <c r="Z329" s="1292" t="s">
        <v>70</v>
      </c>
      <c r="AA329" s="890" t="s">
        <v>71</v>
      </c>
      <c r="AB329" s="1291">
        <v>5</v>
      </c>
      <c r="AC329" s="1293">
        <f>(AB329*Z330)+AA330</f>
        <v>2.2248334586850707</v>
      </c>
      <c r="AD329" s="714" t="str">
        <f>AD326&amp;" = "&amp;AD330</f>
        <v>r² = 0.001</v>
      </c>
      <c r="AJ329" s="560" t="b">
        <f t="shared" si="137"/>
        <v>1</v>
      </c>
      <c r="AK329" s="1197" t="s">
        <v>8</v>
      </c>
      <c r="AL329" s="89" t="str">
        <f t="shared" si="138"/>
        <v>Buckinghamshire</v>
      </c>
      <c r="AM329" s="143">
        <f t="shared" si="139"/>
        <v>-0.33641715727502103</v>
      </c>
      <c r="AN329" s="143">
        <f t="shared" si="139"/>
        <v>1.8242122719734659</v>
      </c>
      <c r="AO329" s="143">
        <f t="shared" si="139"/>
        <v>-0.65466448445171854</v>
      </c>
      <c r="AP329" s="143">
        <f t="shared" si="139"/>
        <v>1.0560519902518279</v>
      </c>
      <c r="AQ329" s="143">
        <f t="shared" si="139"/>
        <v>3.1375703942075623</v>
      </c>
      <c r="AR329" s="143">
        <f t="shared" si="139"/>
        <v>8.5</v>
      </c>
      <c r="AS329" s="83"/>
      <c r="AT329" s="83"/>
      <c r="AU329" s="83"/>
      <c r="AV329" s="83"/>
      <c r="AW329" s="83"/>
      <c r="AX329" s="83"/>
      <c r="AY329" s="341"/>
      <c r="AZ329" s="341"/>
      <c r="BA329" s="341"/>
      <c r="BB329" s="341"/>
      <c r="BC329" s="341"/>
      <c r="BD329" s="341"/>
      <c r="BE329" s="341"/>
      <c r="BF329" s="341"/>
      <c r="BG329" s="341"/>
      <c r="BH329" s="341"/>
      <c r="BI329" s="341"/>
      <c r="BJ329" s="341"/>
      <c r="BK329" s="341"/>
      <c r="BL329" s="341"/>
      <c r="BM329" s="341"/>
      <c r="BN329" s="341"/>
      <c r="BO329" s="341"/>
      <c r="BP329" s="341"/>
      <c r="BQ329" s="341"/>
    </row>
    <row r="330" spans="1:69" ht="14.25" customHeight="1" x14ac:dyDescent="0.2">
      <c r="A330" s="120"/>
      <c r="B330" s="9"/>
      <c r="C330" s="9"/>
      <c r="D330" s="9"/>
      <c r="E330" s="9"/>
      <c r="F330" s="9"/>
      <c r="G330" s="9"/>
      <c r="H330" s="9"/>
      <c r="I330" s="9"/>
      <c r="J330" s="13"/>
      <c r="K330" s="14"/>
      <c r="L330" s="14"/>
      <c r="M330" s="14"/>
      <c r="N330" s="14"/>
      <c r="O330" s="15"/>
      <c r="P330" s="15"/>
      <c r="Q330" s="15"/>
      <c r="R330" s="15"/>
      <c r="S330" s="15"/>
      <c r="T330" s="15"/>
      <c r="U330" s="15"/>
      <c r="V330" s="119"/>
      <c r="W330" s="138"/>
      <c r="X330" s="1202"/>
      <c r="Y330" s="1289" t="str">
        <f>"Y= "&amp;Z330&amp;"x + "&amp;AA330</f>
        <v>Y= 0.0390816066907117x + 2.02942542523151</v>
      </c>
      <c r="Z330" s="712">
        <f>Sheet1!$E$15</f>
        <v>3.9081606690711743E-2</v>
      </c>
      <c r="AA330" s="713">
        <f>Sheet1!$E$16</f>
        <v>2.029425425231512</v>
      </c>
      <c r="AB330" s="1187">
        <v>35</v>
      </c>
      <c r="AC330" s="888">
        <f>(AB330*Z330)+AA330</f>
        <v>3.3972816594064232</v>
      </c>
      <c r="AD330" s="1290">
        <f>ROUND(Sheet1!$E$17,3)</f>
        <v>1E-3</v>
      </c>
      <c r="AJ330" s="560" t="b">
        <f t="shared" si="137"/>
        <v>1</v>
      </c>
      <c r="AK330" s="1197" t="s">
        <v>4</v>
      </c>
      <c r="AL330" s="89" t="str">
        <f t="shared" si="138"/>
        <v>East Sussex</v>
      </c>
      <c r="AM330" s="143">
        <f t="shared" si="139"/>
        <v>-3.1309297912713472</v>
      </c>
      <c r="AN330" s="143">
        <f t="shared" si="139"/>
        <v>-0.75542965061378664</v>
      </c>
      <c r="AO330" s="143">
        <f t="shared" si="139"/>
        <v>1.2275731822474032</v>
      </c>
      <c r="AP330" s="143">
        <f t="shared" si="139"/>
        <v>3.8679245283018866</v>
      </c>
      <c r="AQ330" s="143">
        <f t="shared" si="139"/>
        <v>0</v>
      </c>
      <c r="AR330" s="143">
        <f t="shared" si="139"/>
        <v>16.100000000000001</v>
      </c>
      <c r="AS330" s="83"/>
      <c r="AT330" s="83"/>
      <c r="AU330" s="83"/>
      <c r="AV330" s="83"/>
      <c r="AW330" s="83"/>
      <c r="AX330" s="83"/>
      <c r="AY330" s="341"/>
      <c r="AZ330" s="341"/>
      <c r="BA330" s="341"/>
      <c r="BB330" s="341"/>
      <c r="BC330" s="341"/>
      <c r="BD330" s="341"/>
      <c r="BE330" s="341"/>
      <c r="BF330" s="341"/>
      <c r="BG330" s="341"/>
      <c r="BH330" s="341"/>
      <c r="BI330" s="341"/>
      <c r="BJ330" s="341"/>
      <c r="BK330" s="341"/>
      <c r="BL330" s="341"/>
      <c r="BM330" s="341"/>
      <c r="BN330" s="341"/>
      <c r="BO330" s="341"/>
      <c r="BP330" s="341"/>
      <c r="BQ330" s="341"/>
    </row>
    <row r="331" spans="1:69" s="78" customFormat="1" ht="14.25" customHeight="1" x14ac:dyDescent="0.2">
      <c r="A331" s="121"/>
      <c r="B331" s="220"/>
      <c r="C331" s="220"/>
      <c r="D331" s="221"/>
      <c r="E331" s="221"/>
      <c r="F331" s="221"/>
      <c r="G331" s="221"/>
      <c r="H331" s="221"/>
      <c r="I331" s="221"/>
      <c r="J331" s="16"/>
      <c r="K331" s="9"/>
      <c r="L331" s="9"/>
      <c r="M331" s="9"/>
      <c r="N331" s="9"/>
      <c r="O331" s="9"/>
      <c r="P331" s="9"/>
      <c r="Q331" s="9"/>
      <c r="R331" s="9"/>
      <c r="S331" s="9"/>
      <c r="T331" s="9"/>
      <c r="U331" s="9"/>
      <c r="V331" s="122"/>
      <c r="W331" s="139"/>
      <c r="X331" s="1203"/>
      <c r="AD331" s="1276"/>
      <c r="AE331" s="1276"/>
      <c r="AF331" s="1276"/>
      <c r="AG331" s="1276"/>
      <c r="AH331" s="1276"/>
      <c r="AI331" s="1276"/>
      <c r="AJ331" s="560" t="b">
        <f t="shared" si="137"/>
        <v>1</v>
      </c>
      <c r="AK331" s="1197" t="s">
        <v>6</v>
      </c>
      <c r="AL331" s="89" t="str">
        <f t="shared" si="138"/>
        <v>Hampshire</v>
      </c>
      <c r="AM331" s="143">
        <f t="shared" si="139"/>
        <v>1.9182948490230907</v>
      </c>
      <c r="AN331" s="143">
        <f t="shared" si="139"/>
        <v>-1.3479957431713374</v>
      </c>
      <c r="AO331" s="143">
        <f t="shared" si="139"/>
        <v>4.0664780763790667</v>
      </c>
      <c r="AP331" s="143">
        <f t="shared" si="139"/>
        <v>5.047652665019414</v>
      </c>
      <c r="AQ331" s="143">
        <f t="shared" si="139"/>
        <v>2.0774647887323945</v>
      </c>
      <c r="AR331" s="143">
        <f t="shared" si="139"/>
        <v>10.100000000000001</v>
      </c>
      <c r="AS331" s="83"/>
      <c r="AT331" s="83"/>
      <c r="AU331" s="83"/>
      <c r="AV331" s="83"/>
      <c r="AW331" s="83"/>
      <c r="AX331" s="83"/>
      <c r="AY331" s="341"/>
      <c r="AZ331" s="341"/>
      <c r="BA331" s="341"/>
      <c r="BB331" s="341"/>
      <c r="BC331" s="341"/>
      <c r="BD331" s="341"/>
      <c r="BE331" s="341"/>
      <c r="BF331" s="341"/>
      <c r="BG331" s="341"/>
      <c r="BH331" s="341"/>
      <c r="BI331" s="341"/>
      <c r="BJ331" s="341"/>
      <c r="BK331" s="341"/>
      <c r="BL331" s="341"/>
      <c r="BM331" s="341"/>
      <c r="BN331" s="341"/>
      <c r="BO331" s="341"/>
      <c r="BP331" s="341"/>
      <c r="BQ331" s="341"/>
    </row>
    <row r="332" spans="1:69" ht="14.25" customHeight="1" x14ac:dyDescent="0.2">
      <c r="A332" s="120"/>
      <c r="B332" s="221"/>
      <c r="C332" s="221"/>
      <c r="D332" s="221"/>
      <c r="E332" s="221"/>
      <c r="F332" s="221"/>
      <c r="G332" s="221"/>
      <c r="H332" s="221"/>
      <c r="I332" s="221"/>
      <c r="J332" s="13"/>
      <c r="K332" s="15"/>
      <c r="L332" s="15"/>
      <c r="M332" s="15"/>
      <c r="N332" s="15"/>
      <c r="O332" s="9"/>
      <c r="P332" s="9"/>
      <c r="Q332" s="9"/>
      <c r="R332" s="9"/>
      <c r="S332" s="9"/>
      <c r="T332" s="9"/>
      <c r="U332" s="9"/>
      <c r="V332" s="119"/>
      <c r="W332" s="138"/>
      <c r="X332" s="1202"/>
      <c r="AJ332" s="560" t="b">
        <f t="shared" si="137"/>
        <v>1</v>
      </c>
      <c r="AK332" s="1197" t="s">
        <v>1</v>
      </c>
      <c r="AL332" s="89" t="str">
        <f t="shared" si="138"/>
        <v>Isle of Wight</v>
      </c>
      <c r="AM332" s="143">
        <f t="shared" si="139"/>
        <v>2.7450980392156863</v>
      </c>
      <c r="AN332" s="143">
        <f t="shared" si="139"/>
        <v>0</v>
      </c>
      <c r="AO332" s="143">
        <f t="shared" si="139"/>
        <v>9.1269841269841283</v>
      </c>
      <c r="AP332" s="143">
        <f t="shared" si="139"/>
        <v>-2.3904382470119523</v>
      </c>
      <c r="AQ332" s="143">
        <f t="shared" si="139"/>
        <v>5.2208835341365463</v>
      </c>
      <c r="AR332" s="143">
        <f t="shared" si="139"/>
        <v>18</v>
      </c>
      <c r="AS332" s="83"/>
      <c r="AT332" s="83"/>
      <c r="AU332" s="83"/>
      <c r="AV332" s="83"/>
      <c r="AW332" s="83"/>
      <c r="AX332" s="83"/>
      <c r="AY332" s="341"/>
      <c r="AZ332" s="341"/>
      <c r="BA332" s="341"/>
      <c r="BB332" s="341"/>
      <c r="BC332" s="341"/>
      <c r="BD332" s="341"/>
      <c r="BE332" s="341"/>
      <c r="BF332" s="341"/>
      <c r="BG332" s="341"/>
      <c r="BH332" s="341"/>
      <c r="BI332" s="341"/>
      <c r="BJ332" s="341"/>
      <c r="BK332" s="341"/>
      <c r="BL332" s="341"/>
      <c r="BM332" s="341"/>
      <c r="BN332" s="341"/>
      <c r="BO332" s="341"/>
      <c r="BP332" s="341"/>
      <c r="BQ332" s="341"/>
    </row>
    <row r="333" spans="1:69" ht="14.25" customHeight="1" x14ac:dyDescent="0.2">
      <c r="A333" s="120"/>
      <c r="B333" s="221"/>
      <c r="C333" s="221"/>
      <c r="D333" s="221"/>
      <c r="E333" s="221"/>
      <c r="F333" s="221"/>
      <c r="G333" s="221"/>
      <c r="H333" s="221"/>
      <c r="I333" s="221"/>
      <c r="J333" s="13"/>
      <c r="K333" s="15"/>
      <c r="L333" s="15"/>
      <c r="M333" s="15"/>
      <c r="N333" s="15"/>
      <c r="O333" s="9"/>
      <c r="P333" s="9"/>
      <c r="Q333" s="9"/>
      <c r="R333" s="9"/>
      <c r="S333" s="9"/>
      <c r="T333" s="9"/>
      <c r="U333" s="9"/>
      <c r="V333" s="119"/>
      <c r="W333" s="138"/>
      <c r="X333" s="1202"/>
      <c r="AD333" s="1283"/>
      <c r="AJ333" s="560" t="b">
        <f t="shared" si="137"/>
        <v>1</v>
      </c>
      <c r="AK333" s="1197" t="s">
        <v>9</v>
      </c>
      <c r="AL333" s="89" t="str">
        <f t="shared" si="138"/>
        <v>Kent</v>
      </c>
      <c r="AM333" s="143">
        <f t="shared" si="139"/>
        <v>0.97471824550715802</v>
      </c>
      <c r="AN333" s="143">
        <f t="shared" si="139"/>
        <v>12.86319612590799</v>
      </c>
      <c r="AO333" s="143">
        <f t="shared" si="139"/>
        <v>-12.792792792792794</v>
      </c>
      <c r="AP333" s="143">
        <f t="shared" si="139"/>
        <v>-8.3606069622136268</v>
      </c>
      <c r="AQ333" s="143">
        <f t="shared" si="139"/>
        <v>-1.9700088209350191</v>
      </c>
      <c r="AR333" s="143">
        <f t="shared" si="139"/>
        <v>15.8</v>
      </c>
      <c r="AS333" s="83"/>
      <c r="AT333" s="83"/>
      <c r="AU333" s="83"/>
      <c r="AV333" s="83"/>
      <c r="AW333" s="83"/>
      <c r="AX333" s="83"/>
      <c r="AY333" s="341"/>
      <c r="AZ333" s="341"/>
      <c r="BA333" s="341"/>
      <c r="BB333" s="341"/>
      <c r="BC333" s="341"/>
      <c r="BD333" s="341"/>
      <c r="BE333" s="341"/>
      <c r="BF333" s="341"/>
      <c r="BG333" s="341"/>
      <c r="BH333" s="341"/>
      <c r="BI333" s="341"/>
      <c r="BJ333" s="341"/>
      <c r="BK333" s="341"/>
      <c r="BL333" s="341"/>
      <c r="BM333" s="341"/>
      <c r="BN333" s="341"/>
      <c r="BO333" s="341"/>
      <c r="BP333" s="341"/>
      <c r="BQ333" s="341"/>
    </row>
    <row r="334" spans="1:69" ht="14.25" customHeight="1" x14ac:dyDescent="0.2">
      <c r="A334" s="120"/>
      <c r="B334" s="58"/>
      <c r="C334" s="58"/>
      <c r="D334" s="58"/>
      <c r="E334" s="58"/>
      <c r="F334" s="58"/>
      <c r="G334" s="58"/>
      <c r="H334" s="58"/>
      <c r="I334" s="58"/>
      <c r="J334" s="13"/>
      <c r="K334" s="15"/>
      <c r="L334" s="15"/>
      <c r="M334" s="15"/>
      <c r="N334" s="15"/>
      <c r="O334" s="9"/>
      <c r="P334" s="9"/>
      <c r="Q334" s="9"/>
      <c r="R334" s="9"/>
      <c r="S334" s="9"/>
      <c r="T334" s="9"/>
      <c r="U334" s="9"/>
      <c r="V334" s="119"/>
      <c r="W334" s="138"/>
      <c r="X334" s="1202"/>
      <c r="AD334" s="179"/>
      <c r="AJ334" s="560" t="b">
        <f t="shared" si="137"/>
        <v>1</v>
      </c>
      <c r="AK334" s="1197" t="s">
        <v>2</v>
      </c>
      <c r="AL334" s="89" t="str">
        <f t="shared" si="138"/>
        <v>Medway</v>
      </c>
      <c r="AM334" s="143">
        <f t="shared" si="139"/>
        <v>6.88</v>
      </c>
      <c r="AN334" s="143">
        <f t="shared" si="139"/>
        <v>-0.31645569620253167</v>
      </c>
      <c r="AO334" s="143">
        <f t="shared" si="139"/>
        <v>-6.5934065934065931</v>
      </c>
      <c r="AP334" s="143">
        <f t="shared" si="139"/>
        <v>2.5039123630672928</v>
      </c>
      <c r="AQ334" s="143">
        <f t="shared" si="139"/>
        <v>1.3975155279503104</v>
      </c>
      <c r="AR334" s="143">
        <f t="shared" si="139"/>
        <v>18.899999999999999</v>
      </c>
      <c r="AS334" s="83"/>
      <c r="AT334" s="83"/>
      <c r="AU334" s="83"/>
      <c r="AV334" s="83"/>
      <c r="AW334" s="83"/>
      <c r="AX334" s="83"/>
      <c r="AY334" s="341"/>
      <c r="AZ334" s="341"/>
      <c r="BA334" s="341"/>
      <c r="BB334" s="341"/>
      <c r="BC334" s="341"/>
      <c r="BD334" s="341"/>
      <c r="BE334" s="341"/>
      <c r="BF334" s="341"/>
      <c r="BG334" s="341"/>
      <c r="BH334" s="341"/>
      <c r="BI334" s="341"/>
      <c r="BJ334" s="341"/>
      <c r="BK334" s="341"/>
      <c r="BL334" s="341"/>
      <c r="BM334" s="341"/>
      <c r="BN334" s="341"/>
      <c r="BO334" s="341"/>
      <c r="BP334" s="341"/>
      <c r="BQ334" s="341"/>
    </row>
    <row r="335" spans="1:69" ht="14.25" customHeight="1" x14ac:dyDescent="0.2">
      <c r="A335" s="120"/>
      <c r="B335" s="58"/>
      <c r="C335" s="58"/>
      <c r="D335" s="68"/>
      <c r="E335" s="69"/>
      <c r="F335" s="68"/>
      <c r="G335" s="69"/>
      <c r="H335" s="69"/>
      <c r="I335" s="69"/>
      <c r="J335" s="13"/>
      <c r="K335" s="15"/>
      <c r="L335" s="15"/>
      <c r="M335" s="15"/>
      <c r="N335" s="15"/>
      <c r="O335" s="9"/>
      <c r="P335" s="9"/>
      <c r="Q335" s="9"/>
      <c r="R335" s="9"/>
      <c r="S335" s="9"/>
      <c r="T335" s="9"/>
      <c r="U335" s="9"/>
      <c r="V335" s="119"/>
      <c r="W335" s="138"/>
      <c r="X335" s="1202"/>
      <c r="AJ335" s="560" t="b">
        <f t="shared" si="137"/>
        <v>1</v>
      </c>
      <c r="AK335" s="1197" t="s">
        <v>10</v>
      </c>
      <c r="AL335" s="89" t="str">
        <f t="shared" si="138"/>
        <v>Milton Keynes</v>
      </c>
      <c r="AM335" s="143">
        <f t="shared" si="139"/>
        <v>4.7546012269938647</v>
      </c>
      <c r="AN335" s="143">
        <f t="shared" si="139"/>
        <v>-0.45385779122541603</v>
      </c>
      <c r="AO335" s="143">
        <f t="shared" si="139"/>
        <v>6.7064083457526085</v>
      </c>
      <c r="AP335" s="143">
        <f t="shared" si="139"/>
        <v>-0.73964497041420119</v>
      </c>
      <c r="AQ335" s="143">
        <f t="shared" si="139"/>
        <v>-1.6105417276720351</v>
      </c>
      <c r="AR335" s="143">
        <f t="shared" si="139"/>
        <v>15</v>
      </c>
      <c r="AS335" s="83"/>
      <c r="AT335" s="83"/>
      <c r="AU335" s="83"/>
      <c r="AV335" s="83"/>
      <c r="AW335" s="83"/>
      <c r="AX335" s="83"/>
      <c r="AY335" s="341"/>
      <c r="AZ335" s="341"/>
      <c r="BA335" s="341"/>
      <c r="BB335" s="341"/>
      <c r="BC335" s="341"/>
      <c r="BD335" s="341"/>
      <c r="BE335" s="341"/>
      <c r="BF335" s="341"/>
      <c r="BG335" s="341"/>
      <c r="BH335" s="341"/>
      <c r="BI335" s="341"/>
      <c r="BJ335" s="341"/>
      <c r="BK335" s="341"/>
      <c r="BL335" s="341"/>
      <c r="BM335" s="341"/>
      <c r="BN335" s="341"/>
      <c r="BO335" s="341"/>
      <c r="BP335" s="341"/>
      <c r="BQ335" s="341"/>
    </row>
    <row r="336" spans="1:69" ht="14.25" customHeight="1" x14ac:dyDescent="0.2">
      <c r="A336" s="120"/>
      <c r="B336" s="58"/>
      <c r="C336" s="58"/>
      <c r="D336" s="61"/>
      <c r="E336" s="61"/>
      <c r="F336" s="61"/>
      <c r="G336" s="61"/>
      <c r="H336" s="61"/>
      <c r="I336" s="61"/>
      <c r="J336" s="13"/>
      <c r="K336" s="15"/>
      <c r="L336" s="15"/>
      <c r="M336" s="15"/>
      <c r="N336" s="15"/>
      <c r="O336" s="9"/>
      <c r="P336" s="9"/>
      <c r="Q336" s="9"/>
      <c r="R336" s="9"/>
      <c r="S336" s="9"/>
      <c r="T336" s="9"/>
      <c r="U336" s="9"/>
      <c r="V336" s="119"/>
      <c r="W336" s="138"/>
      <c r="X336" s="1202"/>
      <c r="AJ336" s="560" t="b">
        <f t="shared" si="137"/>
        <v>1</v>
      </c>
      <c r="AK336" s="1197" t="s">
        <v>11</v>
      </c>
      <c r="AL336" s="89" t="str">
        <f t="shared" si="138"/>
        <v>Oxfordshire</v>
      </c>
      <c r="AM336" s="143">
        <f t="shared" si="139"/>
        <v>2.8328611898016995</v>
      </c>
      <c r="AN336" s="143">
        <f t="shared" si="139"/>
        <v>5.4301833568406206</v>
      </c>
      <c r="AO336" s="143">
        <f t="shared" si="139"/>
        <v>4.6885934219734082</v>
      </c>
      <c r="AP336" s="143">
        <f t="shared" si="139"/>
        <v>0.34867503486750351</v>
      </c>
      <c r="AQ336" s="143">
        <f t="shared" si="139"/>
        <v>5.6629834254143638</v>
      </c>
      <c r="AR336" s="143">
        <f t="shared" si="139"/>
        <v>10.100000000000001</v>
      </c>
      <c r="AS336" s="83"/>
      <c r="AT336" s="83"/>
      <c r="AU336" s="83"/>
      <c r="AV336" s="83"/>
      <c r="AW336" s="83"/>
      <c r="AX336" s="83"/>
      <c r="AY336" s="341"/>
      <c r="AZ336" s="341"/>
      <c r="BA336" s="341"/>
      <c r="BB336" s="341"/>
      <c r="BC336" s="341"/>
      <c r="BD336" s="341"/>
      <c r="BE336" s="341"/>
      <c r="BF336" s="341"/>
      <c r="BG336" s="341"/>
      <c r="BH336" s="341"/>
      <c r="BI336" s="341"/>
      <c r="BJ336" s="341"/>
      <c r="BK336" s="341"/>
      <c r="BL336" s="341"/>
      <c r="BM336" s="341"/>
      <c r="BN336" s="341"/>
      <c r="BO336" s="341"/>
      <c r="BP336" s="341"/>
      <c r="BQ336" s="341"/>
    </row>
    <row r="337" spans="1:69" ht="14.25" customHeight="1" x14ac:dyDescent="0.2">
      <c r="A337" s="120"/>
      <c r="B337" s="412"/>
      <c r="C337" s="412"/>
      <c r="D337" s="58"/>
      <c r="E337" s="58"/>
      <c r="F337" s="58"/>
      <c r="G337" s="58"/>
      <c r="H337" s="58"/>
      <c r="I337" s="58"/>
      <c r="J337" s="13"/>
      <c r="K337" s="15"/>
      <c r="L337" s="15"/>
      <c r="M337" s="15"/>
      <c r="N337" s="15"/>
      <c r="O337" s="9"/>
      <c r="P337" s="9"/>
      <c r="Q337" s="9"/>
      <c r="R337" s="9"/>
      <c r="S337" s="9"/>
      <c r="T337" s="9"/>
      <c r="U337" s="9"/>
      <c r="V337" s="119"/>
      <c r="W337" s="138"/>
      <c r="X337" s="1202"/>
      <c r="AJ337" s="560" t="b">
        <f t="shared" si="137"/>
        <v>1</v>
      </c>
      <c r="AK337" s="1197" t="s">
        <v>12</v>
      </c>
      <c r="AL337" s="89" t="str">
        <f t="shared" si="138"/>
        <v>Portsmouth</v>
      </c>
      <c r="AM337" s="143">
        <f t="shared" ref="AM337:AR350" si="140">VLOOKUP($AL337,$B$296:$S$319,AM$144,FALSE)</f>
        <v>-2.0737327188940093</v>
      </c>
      <c r="AN337" s="143">
        <f t="shared" si="140"/>
        <v>0.45662100456621008</v>
      </c>
      <c r="AO337" s="143">
        <f t="shared" si="140"/>
        <v>8.1818181818181817</v>
      </c>
      <c r="AP337" s="143">
        <f t="shared" si="140"/>
        <v>11.53846153846154</v>
      </c>
      <c r="AQ337" s="143">
        <f t="shared" si="140"/>
        <v>15.454545454545453</v>
      </c>
      <c r="AR337" s="143">
        <f t="shared" si="140"/>
        <v>20.200000000000003</v>
      </c>
      <c r="AS337" s="83"/>
      <c r="AT337" s="83"/>
      <c r="AU337" s="83"/>
      <c r="AV337" s="83"/>
      <c r="AW337" s="83"/>
      <c r="AX337" s="83"/>
      <c r="AY337" s="341"/>
      <c r="AZ337" s="341"/>
      <c r="BA337" s="341"/>
      <c r="BB337" s="341"/>
      <c r="BC337" s="341"/>
      <c r="BD337" s="341"/>
      <c r="BE337" s="341"/>
      <c r="BF337" s="341"/>
      <c r="BG337" s="341"/>
      <c r="BH337" s="341"/>
      <c r="BI337" s="341"/>
      <c r="BJ337" s="341"/>
      <c r="BK337" s="341"/>
      <c r="BL337" s="341"/>
      <c r="BM337" s="341"/>
      <c r="BN337" s="341"/>
      <c r="BO337" s="341"/>
      <c r="BP337" s="341"/>
      <c r="BQ337" s="341"/>
    </row>
    <row r="338" spans="1:69" ht="14.25" customHeight="1" x14ac:dyDescent="0.2">
      <c r="A338" s="120"/>
      <c r="B338" s="412"/>
      <c r="C338" s="412"/>
      <c r="D338" s="58"/>
      <c r="E338" s="58"/>
      <c r="F338" s="58"/>
      <c r="G338" s="58"/>
      <c r="H338" s="58"/>
      <c r="I338" s="58"/>
      <c r="J338" s="13"/>
      <c r="K338" s="15"/>
      <c r="L338" s="15"/>
      <c r="M338" s="15"/>
      <c r="N338" s="15"/>
      <c r="O338" s="9"/>
      <c r="P338" s="9"/>
      <c r="Q338" s="9"/>
      <c r="R338" s="9"/>
      <c r="S338" s="9"/>
      <c r="T338" s="9"/>
      <c r="U338" s="9"/>
      <c r="V338" s="119"/>
      <c r="W338" s="138"/>
      <c r="X338" s="1202"/>
      <c r="AJ338" s="560" t="b">
        <f t="shared" si="137"/>
        <v>1</v>
      </c>
      <c r="AK338" s="1197" t="s">
        <v>3</v>
      </c>
      <c r="AL338" s="89" t="str">
        <f t="shared" si="138"/>
        <v>Reading</v>
      </c>
      <c r="AM338" s="143">
        <f t="shared" si="140"/>
        <v>0</v>
      </c>
      <c r="AN338" s="143">
        <f t="shared" si="140"/>
        <v>1.9230769230769231</v>
      </c>
      <c r="AO338" s="143">
        <f t="shared" si="140"/>
        <v>11.475409836065573</v>
      </c>
      <c r="AP338" s="143">
        <f t="shared" si="140"/>
        <v>4.0431266846361185</v>
      </c>
      <c r="AQ338" s="143">
        <f t="shared" si="140"/>
        <v>-1.6172506738544474</v>
      </c>
      <c r="AR338" s="143">
        <f t="shared" si="140"/>
        <v>16</v>
      </c>
      <c r="AS338" s="83"/>
      <c r="AT338" s="83"/>
      <c r="AU338" s="83"/>
      <c r="AV338" s="83"/>
      <c r="AW338" s="83"/>
      <c r="AX338" s="83"/>
      <c r="AY338" s="341"/>
      <c r="AZ338" s="341"/>
      <c r="BA338" s="341"/>
      <c r="BB338" s="341"/>
      <c r="BC338" s="341"/>
      <c r="BD338" s="341"/>
      <c r="BE338" s="341"/>
      <c r="BF338" s="341"/>
      <c r="BG338" s="341"/>
      <c r="BH338" s="341"/>
      <c r="BI338" s="341"/>
      <c r="BJ338" s="341"/>
      <c r="BK338" s="341"/>
      <c r="BL338" s="341"/>
      <c r="BM338" s="341"/>
      <c r="BN338" s="341"/>
      <c r="BO338" s="341"/>
      <c r="BP338" s="341"/>
      <c r="BQ338" s="341"/>
    </row>
    <row r="339" spans="1:69" ht="14.25" customHeight="1" x14ac:dyDescent="0.2">
      <c r="A339" s="120"/>
      <c r="B339" s="412"/>
      <c r="C339" s="412"/>
      <c r="D339" s="58"/>
      <c r="E339" s="58"/>
      <c r="F339" s="58"/>
      <c r="G339" s="58"/>
      <c r="H339" s="58"/>
      <c r="I339" s="58"/>
      <c r="J339" s="13"/>
      <c r="K339" s="15"/>
      <c r="L339" s="15"/>
      <c r="M339" s="15"/>
      <c r="N339" s="15"/>
      <c r="O339" s="9"/>
      <c r="P339" s="9"/>
      <c r="Q339" s="9"/>
      <c r="R339" s="9"/>
      <c r="S339" s="9"/>
      <c r="T339" s="9"/>
      <c r="U339" s="9"/>
      <c r="V339" s="119"/>
      <c r="W339" s="138"/>
      <c r="X339" s="1202"/>
      <c r="AJ339" s="560" t="b">
        <f t="shared" si="137"/>
        <v>1</v>
      </c>
      <c r="AK339" s="1197" t="s">
        <v>13</v>
      </c>
      <c r="AL339" s="89" t="str">
        <f t="shared" si="138"/>
        <v>Slough</v>
      </c>
      <c r="AM339" s="143">
        <f t="shared" si="140"/>
        <v>1.5037593984962405</v>
      </c>
      <c r="AN339" s="143">
        <f t="shared" si="140"/>
        <v>-6.1576354679802954</v>
      </c>
      <c r="AO339" s="143">
        <f t="shared" si="140"/>
        <v>1.4492753623188406</v>
      </c>
      <c r="AP339" s="143">
        <f t="shared" si="140"/>
        <v>3.080568720379147</v>
      </c>
      <c r="AQ339" s="143">
        <f t="shared" si="140"/>
        <v>1.639344262295082</v>
      </c>
      <c r="AR339" s="143">
        <f t="shared" si="140"/>
        <v>14.7</v>
      </c>
      <c r="AS339" s="83"/>
      <c r="AT339" s="83"/>
      <c r="AU339" s="83"/>
      <c r="AV339" s="83"/>
      <c r="AW339" s="83"/>
      <c r="AX339" s="83"/>
      <c r="AY339" s="341"/>
      <c r="AZ339" s="341"/>
      <c r="BA339" s="341"/>
      <c r="BB339" s="341"/>
      <c r="BC339" s="341"/>
      <c r="BD339" s="341"/>
      <c r="BE339" s="341"/>
      <c r="BF339" s="341"/>
      <c r="BG339" s="341"/>
      <c r="BH339" s="341"/>
      <c r="BI339" s="341"/>
      <c r="BJ339" s="341"/>
      <c r="BK339" s="341"/>
      <c r="BL339" s="341"/>
      <c r="BM339" s="341"/>
      <c r="BN339" s="341"/>
      <c r="BO339" s="341"/>
      <c r="BP339" s="341"/>
      <c r="BQ339" s="341"/>
    </row>
    <row r="340" spans="1:69" ht="14.25" customHeight="1" x14ac:dyDescent="0.2">
      <c r="A340" s="120"/>
      <c r="B340" s="412"/>
      <c r="C340" s="412"/>
      <c r="D340" s="58"/>
      <c r="E340" s="58"/>
      <c r="F340" s="58"/>
      <c r="G340" s="58"/>
      <c r="H340" s="58"/>
      <c r="I340" s="58"/>
      <c r="J340" s="13"/>
      <c r="K340" s="15"/>
      <c r="L340" s="15"/>
      <c r="M340" s="15"/>
      <c r="N340" s="15"/>
      <c r="O340" s="9"/>
      <c r="P340" s="9"/>
      <c r="Q340" s="9"/>
      <c r="R340" s="9"/>
      <c r="S340" s="9"/>
      <c r="T340" s="9"/>
      <c r="U340" s="9"/>
      <c r="V340" s="119"/>
      <c r="W340" s="138"/>
      <c r="X340" s="1202"/>
      <c r="AJ340" s="560" t="b">
        <f t="shared" si="137"/>
        <v>1</v>
      </c>
      <c r="AK340" s="1197" t="s">
        <v>93</v>
      </c>
      <c r="AL340" s="89" t="str">
        <f t="shared" si="138"/>
        <v>Somerset</v>
      </c>
      <c r="AM340" s="143">
        <f t="shared" si="140"/>
        <v>-1.1019283746556474</v>
      </c>
      <c r="AN340" s="143">
        <f t="shared" si="140"/>
        <v>0.5494505494505495</v>
      </c>
      <c r="AO340" s="143">
        <f t="shared" si="140"/>
        <v>-2.825888787602552</v>
      </c>
      <c r="AP340" s="143">
        <f t="shared" si="140"/>
        <v>3.1789282470481379</v>
      </c>
      <c r="AQ340" s="143">
        <f t="shared" si="140"/>
        <v>0.90334236675700097</v>
      </c>
      <c r="AR340" s="143">
        <f t="shared" si="140"/>
        <v>13.600000000000001</v>
      </c>
      <c r="AS340" s="83"/>
      <c r="AT340" s="83"/>
      <c r="AU340" s="83"/>
      <c r="AV340" s="83"/>
      <c r="AW340" s="83"/>
      <c r="AX340" s="83"/>
      <c r="AY340" s="341"/>
      <c r="AZ340" s="341"/>
      <c r="BA340" s="341"/>
      <c r="BB340" s="341"/>
      <c r="BC340" s="341"/>
      <c r="BD340" s="341"/>
      <c r="BE340" s="341"/>
      <c r="BF340" s="341"/>
      <c r="BG340" s="341"/>
      <c r="BH340" s="341"/>
      <c r="BI340" s="341"/>
      <c r="BJ340" s="341"/>
      <c r="BK340" s="341"/>
      <c r="BL340" s="341"/>
      <c r="BM340" s="341"/>
      <c r="BN340" s="341"/>
      <c r="BO340" s="341"/>
      <c r="BP340" s="341"/>
      <c r="BQ340" s="341"/>
    </row>
    <row r="341" spans="1:69" ht="14.25" customHeight="1" x14ac:dyDescent="0.2">
      <c r="A341" s="120"/>
      <c r="B341" s="412"/>
      <c r="C341" s="412"/>
      <c r="D341" s="58"/>
      <c r="E341" s="58"/>
      <c r="F341" s="58"/>
      <c r="G341" s="58"/>
      <c r="H341" s="58"/>
      <c r="I341" s="58"/>
      <c r="J341" s="13"/>
      <c r="K341" s="15"/>
      <c r="L341" s="15"/>
      <c r="M341" s="15"/>
      <c r="N341" s="15"/>
      <c r="O341" s="9"/>
      <c r="P341" s="9"/>
      <c r="Q341" s="9"/>
      <c r="R341" s="9"/>
      <c r="S341" s="9"/>
      <c r="T341" s="9"/>
      <c r="U341" s="9"/>
      <c r="V341" s="119"/>
      <c r="W341" s="138"/>
      <c r="X341" s="1202"/>
      <c r="AJ341" s="560" t="b">
        <f t="shared" si="137"/>
        <v>1</v>
      </c>
      <c r="AK341" s="1197" t="s">
        <v>14</v>
      </c>
      <c r="AL341" s="89" t="str">
        <f t="shared" si="138"/>
        <v>Southampton</v>
      </c>
      <c r="AM341" s="143">
        <f t="shared" si="140"/>
        <v>15.22633744855967</v>
      </c>
      <c r="AN341" s="143">
        <f t="shared" si="140"/>
        <v>1.8292682926829269</v>
      </c>
      <c r="AO341" s="143">
        <f t="shared" si="140"/>
        <v>-10.62124248496994</v>
      </c>
      <c r="AP341" s="143">
        <f t="shared" si="140"/>
        <v>-3.7773359840954273</v>
      </c>
      <c r="AQ341" s="143">
        <f t="shared" si="140"/>
        <v>-8.6614173228346463</v>
      </c>
      <c r="AR341" s="143">
        <f t="shared" si="140"/>
        <v>20.5</v>
      </c>
      <c r="AS341" s="83"/>
      <c r="AT341" s="83"/>
      <c r="AU341" s="83"/>
      <c r="AV341" s="83"/>
      <c r="AW341" s="83"/>
      <c r="AX341" s="83"/>
      <c r="AY341" s="341"/>
      <c r="AZ341" s="341"/>
      <c r="BA341" s="341"/>
      <c r="BB341" s="341"/>
      <c r="BC341" s="341"/>
      <c r="BD341" s="341"/>
      <c r="BE341" s="341"/>
      <c r="BF341" s="341"/>
      <c r="BG341" s="341"/>
      <c r="BH341" s="341"/>
      <c r="BI341" s="341"/>
      <c r="BJ341" s="341"/>
      <c r="BK341" s="341"/>
      <c r="BL341" s="341"/>
      <c r="BM341" s="341"/>
      <c r="BN341" s="341"/>
      <c r="BO341" s="341"/>
      <c r="BP341" s="341"/>
      <c r="BQ341" s="341"/>
    </row>
    <row r="342" spans="1:69" ht="14.25" customHeight="1" x14ac:dyDescent="0.2">
      <c r="A342" s="120"/>
      <c r="B342" s="412"/>
      <c r="C342" s="412"/>
      <c r="D342" s="58"/>
      <c r="E342" s="58"/>
      <c r="F342" s="58"/>
      <c r="G342" s="58"/>
      <c r="H342" s="58"/>
      <c r="I342" s="58"/>
      <c r="J342" s="13"/>
      <c r="K342" s="15"/>
      <c r="L342" s="15"/>
      <c r="M342" s="15"/>
      <c r="N342" s="15"/>
      <c r="O342" s="9"/>
      <c r="P342" s="9"/>
      <c r="Q342" s="9"/>
      <c r="R342" s="9"/>
      <c r="S342" s="9"/>
      <c r="T342" s="9"/>
      <c r="U342" s="9"/>
      <c r="V342" s="119"/>
      <c r="W342" s="138"/>
      <c r="X342" s="1202"/>
      <c r="AJ342" s="560" t="b">
        <f t="shared" si="137"/>
        <v>1</v>
      </c>
      <c r="AK342" s="1197" t="s">
        <v>7</v>
      </c>
      <c r="AL342" s="89" t="str">
        <f t="shared" si="138"/>
        <v>Surrey</v>
      </c>
      <c r="AM342" s="143">
        <f t="shared" si="140"/>
        <v>-1.0212097407698351</v>
      </c>
      <c r="AN342" s="143">
        <f t="shared" si="140"/>
        <v>3.2761310452418098</v>
      </c>
      <c r="AO342" s="143">
        <f t="shared" si="140"/>
        <v>-0.34749034749034746</v>
      </c>
      <c r="AP342" s="143">
        <f t="shared" si="140"/>
        <v>1.8056089127929311</v>
      </c>
      <c r="AQ342" s="143">
        <f t="shared" si="140"/>
        <v>1.565483008781978</v>
      </c>
      <c r="AR342" s="143">
        <f t="shared" si="140"/>
        <v>8.3000000000000007</v>
      </c>
      <c r="AS342" s="83"/>
      <c r="AT342" s="83"/>
      <c r="AU342" s="83"/>
      <c r="AV342" s="83"/>
      <c r="AW342" s="83"/>
      <c r="AX342" s="83"/>
      <c r="AY342" s="341"/>
      <c r="AZ342" s="341"/>
      <c r="BA342" s="341"/>
      <c r="BB342" s="341"/>
      <c r="BC342" s="341"/>
      <c r="BD342" s="341"/>
      <c r="BE342" s="341"/>
      <c r="BF342" s="341"/>
      <c r="BG342" s="341"/>
      <c r="BH342" s="341"/>
      <c r="BI342" s="341"/>
      <c r="BJ342" s="341"/>
      <c r="BK342" s="341"/>
      <c r="BL342" s="341"/>
      <c r="BM342" s="341"/>
      <c r="BN342" s="341"/>
      <c r="BO342" s="341"/>
      <c r="BP342" s="341"/>
      <c r="BQ342" s="341"/>
    </row>
    <row r="343" spans="1:69" ht="14.25" customHeight="1" x14ac:dyDescent="0.2">
      <c r="A343" s="271"/>
      <c r="B343" s="412"/>
      <c r="C343" s="412"/>
      <c r="D343" s="58"/>
      <c r="E343" s="58"/>
      <c r="F343" s="58"/>
      <c r="G343" s="58"/>
      <c r="H343" s="58"/>
      <c r="I343" s="58"/>
      <c r="J343" s="13"/>
      <c r="K343" s="15"/>
      <c r="L343" s="15"/>
      <c r="M343" s="15"/>
      <c r="N343" s="15"/>
      <c r="O343" s="9"/>
      <c r="P343" s="9"/>
      <c r="Q343" s="9"/>
      <c r="R343" s="9"/>
      <c r="S343" s="9"/>
      <c r="T343" s="9"/>
      <c r="U343" s="9"/>
      <c r="V343" s="119"/>
      <c r="W343" s="138"/>
      <c r="X343" s="1202"/>
      <c r="AJ343" s="560" t="b">
        <f t="shared" si="137"/>
        <v>1</v>
      </c>
      <c r="AK343" s="1197" t="s">
        <v>114</v>
      </c>
      <c r="AL343" s="89" t="str">
        <f t="shared" si="138"/>
        <v>Swindon</v>
      </c>
      <c r="AM343" s="143">
        <f t="shared" si="140"/>
        <v>-1.0288065843621399</v>
      </c>
      <c r="AN343" s="143">
        <f t="shared" si="140"/>
        <v>8.5714285714285712</v>
      </c>
      <c r="AO343" s="143">
        <f t="shared" si="140"/>
        <v>6.4646464646464645</v>
      </c>
      <c r="AP343" s="143">
        <f t="shared" si="140"/>
        <v>4.6092184368737472</v>
      </c>
      <c r="AQ343" s="143">
        <f t="shared" si="140"/>
        <v>-2.3904382470119523</v>
      </c>
      <c r="AR343" s="143">
        <f t="shared" si="140"/>
        <v>14.899999999999999</v>
      </c>
      <c r="AS343" s="83"/>
      <c r="AT343" s="83"/>
      <c r="AU343" s="83"/>
      <c r="AV343" s="83"/>
      <c r="AW343" s="83"/>
      <c r="AX343" s="83"/>
      <c r="AY343" s="341"/>
      <c r="AZ343" s="341"/>
      <c r="BA343" s="341"/>
      <c r="BB343" s="341"/>
      <c r="BC343" s="341"/>
      <c r="BD343" s="341"/>
      <c r="BE343" s="341"/>
      <c r="BF343" s="341"/>
      <c r="BG343" s="341"/>
      <c r="BH343" s="341"/>
      <c r="BI343" s="341"/>
      <c r="BJ343" s="341"/>
      <c r="BK343" s="341"/>
      <c r="BL343" s="341"/>
      <c r="BM343" s="341"/>
      <c r="BN343" s="341"/>
      <c r="BO343" s="341"/>
      <c r="BP343" s="341"/>
      <c r="BQ343" s="341"/>
    </row>
    <row r="344" spans="1:69" ht="14.25" customHeight="1" x14ac:dyDescent="0.2">
      <c r="A344" s="271"/>
      <c r="B344" s="412"/>
      <c r="C344" s="412"/>
      <c r="D344" s="58"/>
      <c r="E344" s="58"/>
      <c r="F344" s="58"/>
      <c r="G344" s="58"/>
      <c r="H344" s="58"/>
      <c r="I344" s="58"/>
      <c r="J344" s="13"/>
      <c r="K344" s="15"/>
      <c r="L344" s="15"/>
      <c r="M344" s="15"/>
      <c r="N344" s="15"/>
      <c r="O344" s="9"/>
      <c r="P344" s="9"/>
      <c r="Q344" s="9"/>
      <c r="R344" s="9"/>
      <c r="S344" s="9"/>
      <c r="T344" s="9"/>
      <c r="U344" s="9"/>
      <c r="V344" s="119"/>
      <c r="W344" s="138"/>
      <c r="X344" s="1202"/>
      <c r="AJ344" s="560" t="b">
        <f t="shared" si="137"/>
        <v>1</v>
      </c>
      <c r="AK344" s="1197" t="s">
        <v>115</v>
      </c>
      <c r="AL344" s="89" t="str">
        <f t="shared" si="138"/>
        <v>Torbay</v>
      </c>
      <c r="AM344" s="143">
        <f t="shared" si="140"/>
        <v>-0.79681274900398413</v>
      </c>
      <c r="AN344" s="143">
        <f t="shared" si="140"/>
        <v>-11.507936507936508</v>
      </c>
      <c r="AO344" s="143">
        <f t="shared" si="140"/>
        <v>2.7559055118110236</v>
      </c>
      <c r="AP344" s="143">
        <f t="shared" si="140"/>
        <v>14.173228346456694</v>
      </c>
      <c r="AQ344" s="143">
        <f t="shared" si="140"/>
        <v>11.417322834645669</v>
      </c>
      <c r="AR344" s="143">
        <f t="shared" si="140"/>
        <v>21.9</v>
      </c>
      <c r="AS344" s="83"/>
      <c r="AT344" s="83"/>
      <c r="AU344" s="83"/>
      <c r="AV344" s="83"/>
      <c r="AW344" s="83"/>
      <c r="AX344" s="83"/>
      <c r="AY344" s="341"/>
      <c r="AZ344" s="341"/>
      <c r="BA344" s="341"/>
      <c r="BB344" s="341"/>
      <c r="BC344" s="341"/>
      <c r="BD344" s="341"/>
      <c r="BE344" s="341"/>
      <c r="BF344" s="341"/>
      <c r="BG344" s="341"/>
      <c r="BH344" s="341"/>
      <c r="BI344" s="341"/>
      <c r="BJ344" s="341"/>
      <c r="BK344" s="341"/>
      <c r="BL344" s="341"/>
      <c r="BM344" s="341"/>
      <c r="BN344" s="341"/>
      <c r="BO344" s="341"/>
      <c r="BP344" s="341"/>
      <c r="BQ344" s="341"/>
    </row>
    <row r="345" spans="1:69" ht="14.25" customHeight="1" x14ac:dyDescent="0.2">
      <c r="A345" s="120"/>
      <c r="B345" s="412"/>
      <c r="C345" s="412"/>
      <c r="D345" s="58"/>
      <c r="E345" s="58"/>
      <c r="F345" s="58"/>
      <c r="G345" s="58"/>
      <c r="H345" s="58"/>
      <c r="I345" s="58"/>
      <c r="J345" s="13"/>
      <c r="K345" s="15"/>
      <c r="L345" s="15"/>
      <c r="M345" s="15"/>
      <c r="N345" s="15"/>
      <c r="O345" s="9"/>
      <c r="P345" s="9"/>
      <c r="Q345" s="9"/>
      <c r="R345" s="9"/>
      <c r="S345" s="9"/>
      <c r="T345" s="9"/>
      <c r="U345" s="9"/>
      <c r="V345" s="119"/>
      <c r="W345" s="138"/>
      <c r="X345" s="1202"/>
      <c r="AJ345" s="560" t="b">
        <f t="shared" si="137"/>
        <v>1</v>
      </c>
      <c r="AK345" s="1197" t="s">
        <v>15</v>
      </c>
      <c r="AL345" s="89" t="str">
        <f t="shared" si="138"/>
        <v>West Berkshire</v>
      </c>
      <c r="AM345" s="143">
        <f t="shared" si="140"/>
        <v>4.4943820224719104</v>
      </c>
      <c r="AN345" s="143">
        <f t="shared" si="140"/>
        <v>-4.2016806722689077</v>
      </c>
      <c r="AO345" s="143">
        <f t="shared" si="140"/>
        <v>0</v>
      </c>
      <c r="AP345" s="143">
        <f t="shared" si="140"/>
        <v>-5.027932960893855</v>
      </c>
      <c r="AQ345" s="143">
        <f t="shared" si="140"/>
        <v>7.3033707865168536</v>
      </c>
      <c r="AR345" s="143">
        <f t="shared" si="140"/>
        <v>8.6999999999999993</v>
      </c>
      <c r="AS345" s="83"/>
      <c r="AT345" s="83"/>
      <c r="AU345" s="83"/>
      <c r="AV345" s="83"/>
      <c r="AW345" s="83"/>
      <c r="AX345" s="83"/>
      <c r="AY345" s="341"/>
      <c r="AZ345" s="341"/>
      <c r="BA345" s="341"/>
      <c r="BB345" s="341"/>
      <c r="BC345" s="341"/>
      <c r="BD345" s="341"/>
      <c r="BE345" s="341"/>
      <c r="BF345" s="341"/>
      <c r="BG345" s="341"/>
      <c r="BH345" s="341"/>
      <c r="BI345" s="341"/>
      <c r="BJ345" s="341"/>
      <c r="BK345" s="341"/>
      <c r="BL345" s="341"/>
      <c r="BM345" s="341"/>
      <c r="BN345" s="341"/>
      <c r="BO345" s="341"/>
      <c r="BP345" s="341"/>
      <c r="BQ345" s="341"/>
    </row>
    <row r="346" spans="1:69" ht="14.25" customHeight="1" x14ac:dyDescent="0.2">
      <c r="A346" s="120"/>
      <c r="B346" s="412"/>
      <c r="C346" s="412"/>
      <c r="D346" s="58"/>
      <c r="E346" s="58"/>
      <c r="F346" s="58"/>
      <c r="G346" s="58"/>
      <c r="H346" s="58"/>
      <c r="I346" s="58"/>
      <c r="J346" s="13"/>
      <c r="K346" s="15"/>
      <c r="L346" s="15"/>
      <c r="M346" s="15"/>
      <c r="N346" s="15"/>
      <c r="O346" s="9"/>
      <c r="P346" s="9"/>
      <c r="Q346" s="9"/>
      <c r="R346" s="9"/>
      <c r="S346" s="9"/>
      <c r="T346" s="9"/>
      <c r="U346" s="9"/>
      <c r="V346" s="119"/>
      <c r="W346" s="138"/>
      <c r="X346" s="1202"/>
      <c r="AJ346" s="560" t="b">
        <f t="shared" si="137"/>
        <v>1</v>
      </c>
      <c r="AK346" s="1197" t="s">
        <v>5</v>
      </c>
      <c r="AL346" s="89" t="str">
        <f t="shared" si="138"/>
        <v>West Sussex</v>
      </c>
      <c r="AM346" s="143">
        <f t="shared" si="140"/>
        <v>2.2511848341232228</v>
      </c>
      <c r="AN346" s="143">
        <f t="shared" si="140"/>
        <v>-0.35211267605633806</v>
      </c>
      <c r="AO346" s="143">
        <f t="shared" si="140"/>
        <v>1.1641443538998837</v>
      </c>
      <c r="AP346" s="143">
        <f t="shared" si="140"/>
        <v>2.3081361800346221</v>
      </c>
      <c r="AQ346" s="143">
        <f t="shared" si="140"/>
        <v>-0.45792787635947341</v>
      </c>
      <c r="AR346" s="143">
        <f t="shared" si="140"/>
        <v>11</v>
      </c>
      <c r="AS346" s="83"/>
      <c r="AT346" s="83"/>
      <c r="AU346" s="83"/>
      <c r="AV346" s="83"/>
      <c r="AW346" s="83"/>
      <c r="AX346" s="83"/>
      <c r="AY346" s="341"/>
      <c r="AZ346" s="341"/>
      <c r="BA346" s="341"/>
      <c r="BB346" s="341"/>
      <c r="BC346" s="341"/>
      <c r="BD346" s="341"/>
      <c r="BE346" s="341"/>
      <c r="BF346" s="341"/>
      <c r="BG346" s="341"/>
      <c r="BH346" s="341"/>
      <c r="BI346" s="341"/>
      <c r="BJ346" s="341"/>
      <c r="BK346" s="341"/>
      <c r="BL346" s="341"/>
      <c r="BM346" s="341"/>
      <c r="BN346" s="341"/>
      <c r="BO346" s="341"/>
      <c r="BP346" s="341"/>
      <c r="BQ346" s="341"/>
    </row>
    <row r="347" spans="1:69" s="83" customFormat="1" ht="14.25" customHeight="1" x14ac:dyDescent="0.2">
      <c r="A347" s="120"/>
      <c r="B347" s="412"/>
      <c r="C347" s="412"/>
      <c r="D347" s="58"/>
      <c r="E347" s="58"/>
      <c r="F347" s="58"/>
      <c r="G347" s="58"/>
      <c r="H347" s="58"/>
      <c r="I347" s="58"/>
      <c r="J347" s="13"/>
      <c r="K347" s="15"/>
      <c r="L347" s="15"/>
      <c r="M347" s="15"/>
      <c r="N347" s="15"/>
      <c r="O347" s="9"/>
      <c r="P347" s="9"/>
      <c r="Q347" s="9"/>
      <c r="R347" s="9"/>
      <c r="S347" s="9"/>
      <c r="T347" s="9"/>
      <c r="U347" s="9"/>
      <c r="V347" s="119"/>
      <c r="W347" s="138"/>
      <c r="X347" s="1202"/>
      <c r="Y347" s="1276"/>
      <c r="Z347" s="1276"/>
      <c r="AA347" s="1276"/>
      <c r="AB347" s="1276"/>
      <c r="AC347" s="1276"/>
      <c r="AD347" s="1276"/>
      <c r="AE347" s="1276"/>
      <c r="AF347" s="1276"/>
      <c r="AG347" s="1276"/>
      <c r="AH347" s="1276"/>
      <c r="AI347" s="1276"/>
      <c r="AJ347" s="560" t="b">
        <f t="shared" si="137"/>
        <v>1</v>
      </c>
      <c r="AK347" s="1197" t="s">
        <v>30</v>
      </c>
      <c r="AL347" s="89" t="str">
        <f t="shared" si="138"/>
        <v>Windsor &amp; Maidenhead</v>
      </c>
      <c r="AM347" s="143">
        <f t="shared" si="140"/>
        <v>-2.3952095808383231</v>
      </c>
      <c r="AN347" s="143">
        <f t="shared" si="140"/>
        <v>-3.2640949554896141</v>
      </c>
      <c r="AO347" s="143">
        <f t="shared" si="140"/>
        <v>5.2631578947368416</v>
      </c>
      <c r="AP347" s="143">
        <f t="shared" si="140"/>
        <v>-0.87209302325581395</v>
      </c>
      <c r="AQ347" s="143">
        <f t="shared" si="140"/>
        <v>3.7572254335260111</v>
      </c>
      <c r="AR347" s="143">
        <f t="shared" si="140"/>
        <v>6.7</v>
      </c>
      <c r="AY347" s="341"/>
      <c r="AZ347" s="341"/>
      <c r="BA347" s="341"/>
      <c r="BB347" s="341"/>
      <c r="BC347" s="341"/>
      <c r="BD347" s="341"/>
      <c r="BE347" s="341"/>
      <c r="BF347" s="341"/>
      <c r="BG347" s="341"/>
      <c r="BH347" s="341"/>
      <c r="BI347" s="341"/>
      <c r="BJ347" s="341"/>
      <c r="BK347" s="341"/>
      <c r="BL347" s="341"/>
      <c r="BM347" s="341"/>
      <c r="BN347" s="341"/>
      <c r="BO347" s="341"/>
      <c r="BP347" s="341"/>
      <c r="BQ347" s="341"/>
    </row>
    <row r="348" spans="1:69" s="83" customFormat="1" ht="14.25" customHeight="1" x14ac:dyDescent="0.2">
      <c r="A348" s="120"/>
      <c r="B348" s="412"/>
      <c r="C348" s="412"/>
      <c r="D348" s="58"/>
      <c r="E348" s="58"/>
      <c r="F348" s="58"/>
      <c r="G348" s="58"/>
      <c r="H348" s="58"/>
      <c r="I348" s="58"/>
      <c r="J348" s="13"/>
      <c r="K348" s="15"/>
      <c r="L348" s="15"/>
      <c r="M348" s="15"/>
      <c r="N348" s="15"/>
      <c r="O348" s="9"/>
      <c r="P348" s="9"/>
      <c r="Q348" s="9"/>
      <c r="R348" s="9"/>
      <c r="S348" s="9"/>
      <c r="T348" s="9"/>
      <c r="U348" s="9"/>
      <c r="V348" s="119"/>
      <c r="W348" s="138"/>
      <c r="X348" s="1202"/>
      <c r="Y348" s="1276"/>
      <c r="Z348" s="1276"/>
      <c r="AA348" s="1276"/>
      <c r="AB348" s="1276"/>
      <c r="AC348" s="1276"/>
      <c r="AD348" s="1276"/>
      <c r="AE348" s="1276"/>
      <c r="AF348" s="1276"/>
      <c r="AG348" s="1276"/>
      <c r="AH348" s="1276"/>
      <c r="AI348" s="1276"/>
      <c r="AJ348" s="560" t="b">
        <f t="shared" si="137"/>
        <v>1</v>
      </c>
      <c r="AK348" s="1197" t="s">
        <v>16</v>
      </c>
      <c r="AL348" s="89" t="str">
        <f t="shared" si="138"/>
        <v>Wokingham</v>
      </c>
      <c r="AM348" s="143">
        <f t="shared" si="140"/>
        <v>0.54200542005420049</v>
      </c>
      <c r="AN348" s="143">
        <f t="shared" si="140"/>
        <v>1.0723860589812333</v>
      </c>
      <c r="AO348" s="143">
        <f t="shared" si="140"/>
        <v>-1.5789473684210527</v>
      </c>
      <c r="AP348" s="143">
        <f t="shared" si="140"/>
        <v>7.7519379844961236</v>
      </c>
      <c r="AQ348" s="143">
        <f t="shared" si="140"/>
        <v>1.0126582278481013</v>
      </c>
      <c r="AR348" s="143">
        <f t="shared" si="140"/>
        <v>5.6000000000000005</v>
      </c>
      <c r="AY348" s="341"/>
      <c r="AZ348" s="341"/>
      <c r="BA348" s="341"/>
      <c r="BB348" s="341"/>
      <c r="BC348" s="341"/>
      <c r="BD348" s="341"/>
      <c r="BE348" s="341"/>
      <c r="BF348" s="341"/>
      <c r="BG348" s="341"/>
      <c r="BH348" s="341"/>
      <c r="BI348" s="341"/>
      <c r="BJ348" s="341"/>
      <c r="BK348" s="341"/>
      <c r="BL348" s="341"/>
      <c r="BM348" s="341"/>
      <c r="BN348" s="341"/>
      <c r="BO348" s="341"/>
      <c r="BP348" s="341"/>
      <c r="BQ348" s="341"/>
    </row>
    <row r="349" spans="1:69" s="83" customFormat="1" ht="14.25" customHeight="1" x14ac:dyDescent="0.2">
      <c r="A349" s="120"/>
      <c r="B349" s="412"/>
      <c r="C349" s="412"/>
      <c r="D349" s="58"/>
      <c r="E349" s="58"/>
      <c r="F349" s="58"/>
      <c r="G349" s="58"/>
      <c r="H349" s="58"/>
      <c r="I349" s="58"/>
      <c r="J349" s="13"/>
      <c r="K349" s="15"/>
      <c r="L349" s="15"/>
      <c r="M349" s="15"/>
      <c r="N349" s="15"/>
      <c r="O349" s="9"/>
      <c r="P349" s="9"/>
      <c r="Q349" s="9"/>
      <c r="R349" s="9"/>
      <c r="S349" s="9"/>
      <c r="T349" s="9"/>
      <c r="U349" s="9"/>
      <c r="V349" s="119"/>
      <c r="W349" s="138"/>
      <c r="X349" s="1202"/>
      <c r="Y349" s="1276"/>
      <c r="Z349" s="1276"/>
      <c r="AA349" s="1276"/>
      <c r="AB349" s="1276"/>
      <c r="AC349" s="1276"/>
      <c r="AD349" s="1276"/>
      <c r="AE349" s="1276"/>
      <c r="AF349" s="1276"/>
      <c r="AG349" s="1276"/>
      <c r="AH349" s="1276"/>
      <c r="AI349" s="1276"/>
      <c r="AJ349" s="560" t="b">
        <f t="shared" si="137"/>
        <v>1</v>
      </c>
      <c r="AK349" s="1197" t="s">
        <v>74</v>
      </c>
      <c r="AL349" s="89" t="str">
        <f t="shared" si="138"/>
        <v>South East</v>
      </c>
      <c r="AM349" s="143">
        <f t="shared" si="140"/>
        <v>1.3127494223902543</v>
      </c>
      <c r="AN349" s="143">
        <f t="shared" si="140"/>
        <v>2.4503414837599706</v>
      </c>
      <c r="AO349" s="143">
        <f t="shared" si="140"/>
        <v>-0.66732191816253683</v>
      </c>
      <c r="AP349" s="143">
        <f t="shared" si="140"/>
        <v>0.31380215031637426</v>
      </c>
      <c r="AQ349" s="143">
        <f t="shared" si="140"/>
        <v>1.1086134668437724</v>
      </c>
      <c r="AR349" s="143">
        <f t="shared" si="140"/>
        <v>12.371268250968637</v>
      </c>
      <c r="AY349" s="341"/>
      <c r="AZ349" s="341"/>
      <c r="BA349" s="341"/>
      <c r="BB349" s="341"/>
      <c r="BC349" s="341"/>
      <c r="BD349" s="341"/>
      <c r="BE349" s="341"/>
      <c r="BF349" s="341"/>
      <c r="BG349" s="341"/>
      <c r="BH349" s="341"/>
      <c r="BI349" s="341"/>
      <c r="BJ349" s="341"/>
      <c r="BK349" s="341"/>
      <c r="BL349" s="341"/>
      <c r="BM349" s="341"/>
      <c r="BN349" s="341"/>
      <c r="BO349" s="341"/>
      <c r="BP349" s="341"/>
      <c r="BQ349" s="341"/>
    </row>
    <row r="350" spans="1:69" s="83" customFormat="1" ht="14.25" customHeight="1" x14ac:dyDescent="0.2">
      <c r="A350" s="120"/>
      <c r="B350" s="412"/>
      <c r="C350" s="412"/>
      <c r="D350" s="58"/>
      <c r="E350" s="58"/>
      <c r="F350" s="58"/>
      <c r="G350" s="58"/>
      <c r="H350" s="58"/>
      <c r="I350" s="58"/>
      <c r="J350" s="13"/>
      <c r="K350" s="9"/>
      <c r="L350" s="112"/>
      <c r="M350" s="1589" t="s">
        <v>72</v>
      </c>
      <c r="N350" s="1590"/>
      <c r="O350" s="1590"/>
      <c r="P350" s="1591"/>
      <c r="Q350" s="900"/>
      <c r="R350" s="1462" t="s">
        <v>101</v>
      </c>
      <c r="S350" s="1463"/>
      <c r="T350" s="1463"/>
      <c r="U350" s="1470"/>
      <c r="V350" s="119"/>
      <c r="W350" s="138"/>
      <c r="X350" s="1202"/>
      <c r="Y350" s="1276"/>
      <c r="Z350" s="1276"/>
      <c r="AA350" s="1276"/>
      <c r="AB350" s="1276"/>
      <c r="AC350" s="1276"/>
      <c r="AD350" s="1276"/>
      <c r="AE350" s="1276"/>
      <c r="AF350" s="1276"/>
      <c r="AG350" s="1276"/>
      <c r="AH350" s="1276"/>
      <c r="AI350" s="1276"/>
      <c r="AJ350" s="560" t="b">
        <f t="shared" si="137"/>
        <v>1</v>
      </c>
      <c r="AK350" s="1197" t="s">
        <v>126</v>
      </c>
      <c r="AL350" s="89" t="str">
        <f t="shared" si="138"/>
        <v>England</v>
      </c>
      <c r="AM350" s="143">
        <f t="shared" si="140"/>
        <v>8.6268623239041733E-3</v>
      </c>
      <c r="AN350" s="143">
        <f t="shared" si="140"/>
        <v>0.26545868692144992</v>
      </c>
      <c r="AO350" s="143">
        <f t="shared" si="140"/>
        <v>1.30671259959441</v>
      </c>
      <c r="AP350" s="143">
        <f t="shared" si="140"/>
        <v>1.8033201314569816</v>
      </c>
      <c r="AQ350" s="143">
        <f t="shared" si="140"/>
        <v>1.8570257474110385</v>
      </c>
      <c r="AR350" s="143">
        <f t="shared" si="140"/>
        <v>17.084413405029373</v>
      </c>
      <c r="AY350" s="341"/>
      <c r="AZ350" s="341"/>
      <c r="BA350" s="341"/>
      <c r="BB350" s="341"/>
      <c r="BC350" s="341"/>
      <c r="BD350" s="341"/>
      <c r="BE350" s="341"/>
      <c r="BF350" s="341"/>
      <c r="BG350" s="341"/>
      <c r="BH350" s="341"/>
      <c r="BI350" s="341"/>
      <c r="BJ350" s="341"/>
      <c r="BK350" s="341"/>
      <c r="BL350" s="341"/>
      <c r="BM350" s="341"/>
      <c r="BN350" s="341"/>
      <c r="BO350" s="341"/>
      <c r="BP350" s="341"/>
      <c r="BQ350" s="341"/>
    </row>
    <row r="351" spans="1:69" s="83" customFormat="1" ht="14.25" customHeight="1" x14ac:dyDescent="0.2">
      <c r="A351" s="120"/>
      <c r="B351" s="412"/>
      <c r="C351" s="412"/>
      <c r="D351" s="58"/>
      <c r="E351" s="58"/>
      <c r="F351" s="58"/>
      <c r="G351" s="58"/>
      <c r="H351" s="58"/>
      <c r="I351" s="58"/>
      <c r="J351" s="13"/>
      <c r="K351" s="9"/>
      <c r="L351" s="113"/>
      <c r="M351" s="1462" t="str">
        <f>$AA$4</f>
        <v>Selected LA- (none)</v>
      </c>
      <c r="N351" s="1463"/>
      <c r="O351" s="1463"/>
      <c r="P351" s="1463"/>
      <c r="Q351" s="112"/>
      <c r="R351" s="1592" t="s">
        <v>184</v>
      </c>
      <c r="S351" s="1592"/>
      <c r="T351" s="1592"/>
      <c r="U351" s="1593"/>
      <c r="V351" s="119"/>
      <c r="W351" s="138"/>
      <c r="X351" s="147"/>
      <c r="Y351" s="1276"/>
      <c r="Z351" s="1276"/>
      <c r="AA351" s="1276"/>
      <c r="AB351" s="1276"/>
      <c r="AC351" s="1276"/>
      <c r="AD351" s="1276"/>
      <c r="AE351" s="1276"/>
      <c r="AF351" s="1276"/>
      <c r="AG351" s="1276"/>
      <c r="AH351" s="1276"/>
      <c r="AI351" s="1276"/>
      <c r="AJ351" s="1276"/>
      <c r="AK351" s="157"/>
      <c r="AL351" s="76" t="str">
        <f>AA4</f>
        <v>Selected LA- (none)</v>
      </c>
      <c r="AM351" s="143" t="e">
        <f t="shared" ref="AM351:AR351" si="141">VLOOKUP($Z4,$B$296:$S$319,AM$323,FALSE)</f>
        <v>#N/A</v>
      </c>
      <c r="AN351" s="143" t="e">
        <f t="shared" si="141"/>
        <v>#N/A</v>
      </c>
      <c r="AO351" s="143" t="e">
        <f t="shared" si="141"/>
        <v>#N/A</v>
      </c>
      <c r="AP351" s="143" t="e">
        <f t="shared" si="141"/>
        <v>#N/A</v>
      </c>
      <c r="AQ351" s="143" t="e">
        <f t="shared" si="141"/>
        <v>#N/A</v>
      </c>
      <c r="AR351" s="143" t="e">
        <f t="shared" si="141"/>
        <v>#N/A</v>
      </c>
      <c r="AY351" s="167"/>
      <c r="AZ351" s="167"/>
      <c r="BA351" s="167"/>
      <c r="BB351" s="167"/>
      <c r="BC351" s="167"/>
      <c r="BD351" s="167"/>
      <c r="BE351" s="167"/>
      <c r="BF351" s="167"/>
      <c r="BG351" s="167"/>
      <c r="BH351" s="341"/>
      <c r="BI351" s="341"/>
      <c r="BJ351" s="341"/>
      <c r="BK351" s="341"/>
      <c r="BL351" s="341"/>
      <c r="BM351" s="341"/>
      <c r="BN351" s="341"/>
      <c r="BO351" s="341"/>
      <c r="BP351" s="341"/>
      <c r="BQ351" s="341"/>
    </row>
    <row r="352" spans="1:69" s="83" customFormat="1" ht="42" customHeight="1" x14ac:dyDescent="0.2">
      <c r="A352" s="120"/>
      <c r="B352" s="412"/>
      <c r="C352" s="412"/>
      <c r="D352" s="58"/>
      <c r="E352" s="58"/>
      <c r="F352" s="58"/>
      <c r="G352" s="58"/>
      <c r="H352" s="58"/>
      <c r="I352" s="58"/>
      <c r="J352" s="13"/>
      <c r="K352" s="9"/>
      <c r="L352" s="9"/>
      <c r="M352" s="9"/>
      <c r="N352" s="9"/>
      <c r="O352" s="9"/>
      <c r="P352" s="9"/>
      <c r="Q352" s="9"/>
      <c r="R352" s="9"/>
      <c r="S352" s="9"/>
      <c r="T352" s="9"/>
      <c r="U352" s="9"/>
      <c r="V352" s="119"/>
      <c r="W352" s="138"/>
      <c r="X352" s="147"/>
      <c r="Y352" s="1276"/>
      <c r="Z352" s="1276"/>
      <c r="AA352" s="1276"/>
      <c r="AB352" s="1276"/>
      <c r="AC352" s="1276"/>
      <c r="AD352" s="1276"/>
      <c r="AE352" s="1276"/>
      <c r="AF352" s="1276"/>
      <c r="AG352" s="1276"/>
      <c r="AH352" s="1276"/>
      <c r="AI352" s="1276"/>
      <c r="AJ352" s="1276"/>
      <c r="AK352" s="157"/>
    </row>
    <row r="353" spans="1:59" s="89" customFormat="1" ht="42" customHeight="1" x14ac:dyDescent="0.2">
      <c r="A353" s="123"/>
      <c r="B353" s="111"/>
      <c r="C353" s="111"/>
      <c r="D353" s="111"/>
      <c r="E353" s="111"/>
      <c r="F353" s="111"/>
      <c r="G353" s="111"/>
      <c r="H353" s="111"/>
      <c r="I353" s="111"/>
      <c r="J353" s="98"/>
      <c r="K353" s="87"/>
      <c r="L353" s="87"/>
      <c r="M353" s="87"/>
      <c r="N353" s="87"/>
      <c r="O353" s="87"/>
      <c r="P353" s="87"/>
      <c r="Q353" s="87"/>
      <c r="R353" s="87"/>
      <c r="S353" s="87"/>
      <c r="T353" s="87"/>
      <c r="U353" s="87"/>
      <c r="V353" s="124"/>
      <c r="W353" s="140"/>
      <c r="X353" s="149"/>
      <c r="AE353" s="1284"/>
      <c r="AF353" s="1284"/>
      <c r="AG353" s="1284"/>
      <c r="AH353" s="1284"/>
      <c r="AI353" s="1284"/>
      <c r="AJ353" s="199"/>
      <c r="AK353" s="156"/>
    </row>
    <row r="354" spans="1:59" s="89" customFormat="1" ht="42" customHeight="1" x14ac:dyDescent="0.2">
      <c r="A354" s="123"/>
      <c r="B354" s="111"/>
      <c r="C354" s="111"/>
      <c r="D354" s="111"/>
      <c r="E354" s="111"/>
      <c r="F354" s="111"/>
      <c r="G354" s="111"/>
      <c r="H354" s="111"/>
      <c r="I354" s="111"/>
      <c r="J354" s="98"/>
      <c r="K354" s="87"/>
      <c r="L354" s="87"/>
      <c r="M354" s="87"/>
      <c r="N354" s="87"/>
      <c r="O354" s="87"/>
      <c r="P354" s="87"/>
      <c r="Q354" s="87"/>
      <c r="R354" s="87"/>
      <c r="S354" s="87"/>
      <c r="T354" s="87"/>
      <c r="U354" s="87"/>
      <c r="V354" s="124"/>
      <c r="W354" s="140"/>
      <c r="X354" s="149"/>
      <c r="AE354" s="1284"/>
      <c r="AF354" s="1284"/>
      <c r="AG354" s="1284"/>
      <c r="AH354" s="1284"/>
      <c r="AI354" s="1284"/>
      <c r="AJ354" s="199"/>
      <c r="AK354" s="156"/>
    </row>
    <row r="355" spans="1:59" ht="7.5" customHeight="1" x14ac:dyDescent="0.2">
      <c r="A355" s="120"/>
      <c r="B355" s="18"/>
      <c r="C355" s="18"/>
      <c r="D355" s="17"/>
      <c r="E355" s="17"/>
      <c r="F355" s="17"/>
      <c r="G355" s="17"/>
      <c r="H355" s="17"/>
      <c r="I355" s="17"/>
      <c r="J355" s="13"/>
      <c r="K355" s="19"/>
      <c r="L355" s="19"/>
      <c r="M355" s="19"/>
      <c r="N355" s="19"/>
      <c r="O355" s="19"/>
      <c r="P355" s="19"/>
      <c r="Q355" s="19"/>
      <c r="R355" s="19"/>
      <c r="S355" s="19"/>
      <c r="T355" s="19"/>
      <c r="U355" s="20"/>
      <c r="V355" s="119"/>
      <c r="W355" s="138"/>
      <c r="X355" s="147"/>
      <c r="AJ355" s="179"/>
      <c r="AK355" s="153"/>
    </row>
    <row r="356" spans="1:59" ht="15" customHeight="1" x14ac:dyDescent="0.2">
      <c r="A356" s="1399"/>
      <c r="B356" s="1421"/>
      <c r="C356" s="1421"/>
      <c r="D356" s="1421"/>
      <c r="E356" s="1421"/>
      <c r="F356" s="1421"/>
      <c r="G356" s="1421"/>
      <c r="H356" s="1421"/>
      <c r="I356" s="1421"/>
      <c r="J356" s="1421"/>
      <c r="K356" s="1421"/>
      <c r="L356" s="1421"/>
      <c r="M356" s="1421"/>
      <c r="N356" s="1421"/>
      <c r="O356" s="1421"/>
      <c r="P356" s="1421"/>
      <c r="Q356" s="1421"/>
      <c r="R356" s="1421"/>
      <c r="S356" s="1421"/>
      <c r="T356" s="1421"/>
      <c r="U356" s="1421"/>
      <c r="V356" s="1422"/>
      <c r="W356" s="138"/>
      <c r="X356" s="147"/>
      <c r="AJ356" s="179"/>
      <c r="AK356" s="153"/>
    </row>
    <row r="357" spans="1:59" ht="11.25" customHeight="1" x14ac:dyDescent="0.2">
      <c r="A357" s="1428" t="str">
        <f>Home!$A$40</f>
        <v>LA's provide quarterly data on the condition that it is used by the benchmarking group for internal reporting only. Please DO NOT share other LA's data with any external partners or the public</v>
      </c>
      <c r="B357" s="1429"/>
      <c r="C357" s="1429"/>
      <c r="D357" s="1429"/>
      <c r="E357" s="1429"/>
      <c r="F357" s="1429"/>
      <c r="G357" s="1429"/>
      <c r="H357" s="1429"/>
      <c r="I357" s="1430"/>
      <c r="J357" s="1429"/>
      <c r="K357" s="1429"/>
      <c r="L357" s="1429"/>
      <c r="M357" s="1429"/>
      <c r="N357" s="1429"/>
      <c r="O357" s="1429"/>
      <c r="P357" s="1431"/>
      <c r="Q357" s="1429"/>
      <c r="R357" s="1429"/>
      <c r="S357" s="1429"/>
      <c r="T357" s="1430"/>
      <c r="U357" s="1429"/>
      <c r="V357" s="1432"/>
      <c r="W357" s="138"/>
      <c r="X357" s="147"/>
      <c r="AJ357" s="179"/>
      <c r="AK357" s="153"/>
    </row>
    <row r="358" spans="1:59" ht="11.25" customHeight="1" x14ac:dyDescent="0.2">
      <c r="A358" s="141"/>
      <c r="B358" s="1109"/>
      <c r="C358" s="9"/>
      <c r="D358" s="9"/>
      <c r="E358" s="9"/>
      <c r="F358" s="9"/>
      <c r="G358" s="9"/>
      <c r="H358" s="9"/>
      <c r="I358" s="9"/>
      <c r="J358" s="13"/>
      <c r="K358" s="9"/>
      <c r="L358" s="9"/>
      <c r="M358" s="9"/>
      <c r="N358" s="9"/>
      <c r="O358" s="9"/>
      <c r="P358" s="9"/>
      <c r="Q358" s="9"/>
      <c r="R358" s="9"/>
      <c r="S358" s="9"/>
      <c r="T358" s="9"/>
      <c r="U358" s="11"/>
      <c r="V358" s="11"/>
      <c r="W358" s="1311"/>
      <c r="X358" s="12"/>
      <c r="Y358" s="12"/>
      <c r="Z358" s="12"/>
      <c r="AA358" s="12"/>
      <c r="AB358" s="12"/>
      <c r="AC358" s="241"/>
      <c r="AI358" s="179"/>
      <c r="AJ358" s="179"/>
      <c r="AK358" s="153"/>
      <c r="AS358" s="83"/>
      <c r="AT358" s="83"/>
      <c r="AU358" s="83"/>
      <c r="AV358" s="83"/>
      <c r="AW358" s="83"/>
      <c r="AX358" s="83"/>
      <c r="AY358" s="83"/>
      <c r="AZ358" s="83"/>
      <c r="BA358" s="83"/>
      <c r="BB358" s="83"/>
      <c r="BC358" s="83"/>
      <c r="BD358" s="83"/>
      <c r="BE358" s="83"/>
      <c r="BF358" s="83"/>
      <c r="BG358" s="83"/>
    </row>
    <row r="359" spans="1:59" ht="11.25" customHeight="1" x14ac:dyDescent="0.2">
      <c r="A359" s="141"/>
      <c r="B359" s="1109"/>
      <c r="C359" s="9"/>
      <c r="D359" s="9"/>
      <c r="E359" s="9"/>
      <c r="F359" s="9"/>
      <c r="G359" s="9"/>
      <c r="H359" s="9"/>
      <c r="I359" s="9"/>
      <c r="J359" s="13"/>
      <c r="K359" s="9"/>
      <c r="L359" s="9"/>
      <c r="M359" s="9"/>
      <c r="N359" s="9"/>
      <c r="O359" s="9"/>
      <c r="P359" s="9"/>
      <c r="Q359" s="9"/>
      <c r="R359" s="9"/>
      <c r="S359" s="9"/>
      <c r="T359" s="9"/>
      <c r="U359" s="11"/>
      <c r="V359" s="11"/>
      <c r="W359" s="11"/>
      <c r="X359" s="12"/>
      <c r="Y359" s="12"/>
      <c r="Z359" s="12"/>
      <c r="AA359" s="12"/>
      <c r="AB359" s="12"/>
      <c r="AC359" s="241"/>
      <c r="AI359" s="179"/>
      <c r="AJ359" s="179"/>
      <c r="AK359" s="153"/>
      <c r="AM359" s="83"/>
      <c r="AN359" s="83"/>
      <c r="AO359" s="83"/>
      <c r="AP359" s="83"/>
      <c r="AQ359" s="83"/>
      <c r="AR359" s="83"/>
    </row>
    <row r="360" spans="1:59" ht="11.25" customHeight="1" x14ac:dyDescent="0.2">
      <c r="A360" s="141"/>
      <c r="B360" s="1367" t="s">
        <v>82</v>
      </c>
      <c r="C360" s="15"/>
      <c r="D360" s="1306"/>
      <c r="E360" s="1306"/>
      <c r="F360" s="9"/>
      <c r="G360" s="9"/>
      <c r="H360" s="9"/>
      <c r="I360" s="9"/>
      <c r="J360" s="13"/>
      <c r="K360" s="9"/>
      <c r="L360" s="9"/>
      <c r="M360" s="9"/>
      <c r="N360" s="9"/>
      <c r="O360" s="9"/>
      <c r="P360" s="9"/>
      <c r="Q360" s="9"/>
      <c r="R360" s="9"/>
      <c r="S360" s="9"/>
      <c r="T360" s="9"/>
      <c r="U360" s="11"/>
      <c r="V360" s="11"/>
      <c r="W360" s="11"/>
      <c r="X360" s="12"/>
      <c r="Y360" s="12"/>
      <c r="Z360" s="12"/>
      <c r="AA360" s="12"/>
      <c r="AB360" s="12"/>
      <c r="AC360" s="241"/>
      <c r="AI360" s="179"/>
      <c r="AJ360" s="179"/>
      <c r="AK360" s="153"/>
      <c r="AM360" s="83"/>
      <c r="AN360" s="83"/>
      <c r="AO360" s="83"/>
      <c r="AP360" s="83"/>
      <c r="AQ360" s="83"/>
      <c r="AR360" s="83"/>
    </row>
    <row r="361" spans="1:59" ht="11.25" customHeight="1" x14ac:dyDescent="0.2">
      <c r="A361" s="141"/>
      <c r="B361" s="1368"/>
      <c r="C361" s="9"/>
      <c r="D361" s="1306"/>
      <c r="E361" s="1306"/>
      <c r="F361" s="9"/>
      <c r="G361" s="9"/>
      <c r="H361" s="9"/>
      <c r="I361" s="9"/>
      <c r="J361" s="13"/>
      <c r="K361" s="9"/>
      <c r="L361" s="9"/>
      <c r="M361" s="9"/>
      <c r="N361" s="9"/>
      <c r="O361" s="9"/>
      <c r="P361" s="9"/>
      <c r="Q361" s="9"/>
      <c r="R361" s="9"/>
      <c r="S361" s="9"/>
      <c r="T361" s="9"/>
      <c r="U361" s="11"/>
      <c r="V361" s="11"/>
      <c r="W361" s="11"/>
      <c r="X361" s="12"/>
      <c r="Y361" s="12"/>
      <c r="Z361" s="12"/>
      <c r="AA361" s="12"/>
      <c r="AB361" s="12"/>
      <c r="AC361" s="241"/>
      <c r="AI361" s="179"/>
      <c r="AJ361" s="179"/>
      <c r="AK361" s="153"/>
    </row>
    <row r="362" spans="1:59" ht="11.25" customHeight="1" x14ac:dyDescent="0.2">
      <c r="A362" s="141"/>
      <c r="B362" s="1366" t="s">
        <v>806</v>
      </c>
      <c r="C362" s="1366"/>
      <c r="D362" s="1366"/>
      <c r="E362" s="1366"/>
      <c r="F362" s="9"/>
      <c r="G362" s="9"/>
      <c r="H362" s="9"/>
      <c r="I362" s="9"/>
      <c r="J362" s="13"/>
      <c r="K362" s="9"/>
      <c r="L362" s="9"/>
      <c r="M362" s="9"/>
      <c r="N362" s="9"/>
      <c r="O362" s="9"/>
      <c r="P362" s="9"/>
      <c r="Q362" s="9"/>
      <c r="R362" s="9"/>
      <c r="S362" s="9"/>
      <c r="T362" s="9"/>
      <c r="U362" s="11"/>
      <c r="V362" s="11"/>
      <c r="W362" s="11"/>
      <c r="X362" s="12"/>
      <c r="Y362" s="12"/>
      <c r="Z362" s="12"/>
      <c r="AA362" s="12"/>
      <c r="AB362" s="12"/>
      <c r="AC362" s="241"/>
      <c r="AI362" s="179"/>
      <c r="AJ362" s="179"/>
      <c r="AK362" s="153"/>
    </row>
    <row r="363" spans="1:59" ht="11.25" customHeight="1" x14ac:dyDescent="0.2">
      <c r="A363" s="141"/>
      <c r="B363" s="1366"/>
      <c r="C363" s="1366"/>
      <c r="D363" s="1366"/>
      <c r="E363" s="1366"/>
      <c r="F363" s="9"/>
      <c r="G363" s="9"/>
      <c r="H363" s="9"/>
      <c r="I363" s="9"/>
      <c r="J363" s="13"/>
      <c r="K363" s="9"/>
      <c r="L363" s="9"/>
      <c r="M363" s="9"/>
      <c r="N363" s="9"/>
      <c r="O363" s="9"/>
      <c r="P363" s="9"/>
      <c r="Q363" s="9"/>
      <c r="R363" s="9"/>
      <c r="S363" s="9"/>
      <c r="T363" s="9"/>
      <c r="U363" s="11"/>
      <c r="V363" s="11"/>
      <c r="W363" s="11"/>
      <c r="X363" s="12"/>
      <c r="Y363" s="12"/>
      <c r="Z363" s="12"/>
      <c r="AA363" s="12"/>
      <c r="AB363" s="12"/>
      <c r="AC363" s="241"/>
      <c r="AI363" s="183"/>
      <c r="AJ363" s="183"/>
      <c r="AK363" s="154"/>
    </row>
    <row r="364" spans="1:59" s="78" customFormat="1" ht="11.25" customHeight="1" x14ac:dyDescent="0.2">
      <c r="A364" s="141"/>
      <c r="B364" s="1366" t="s">
        <v>81</v>
      </c>
      <c r="C364" s="1366"/>
      <c r="D364" s="1366"/>
      <c r="E364" s="1366"/>
      <c r="F364" s="9"/>
      <c r="G364" s="9"/>
      <c r="H364" s="9"/>
      <c r="I364" s="9"/>
      <c r="J364" s="13"/>
      <c r="K364" s="9"/>
      <c r="L364" s="9"/>
      <c r="M364" s="9"/>
      <c r="N364" s="9"/>
      <c r="O364" s="9"/>
      <c r="P364" s="9"/>
      <c r="Q364" s="9"/>
      <c r="R364" s="9"/>
      <c r="S364" s="9"/>
      <c r="T364" s="9"/>
      <c r="U364" s="11"/>
      <c r="V364" s="11"/>
      <c r="W364" s="11"/>
      <c r="X364" s="12"/>
      <c r="Y364" s="12"/>
      <c r="Z364" s="12"/>
      <c r="AA364" s="12"/>
      <c r="AB364" s="12"/>
      <c r="AC364" s="241"/>
      <c r="AD364" s="1276"/>
      <c r="AE364" s="1276"/>
      <c r="AF364" s="1276"/>
      <c r="AG364" s="1276"/>
      <c r="AH364" s="1276"/>
      <c r="AI364" s="179"/>
      <c r="AJ364" s="179"/>
      <c r="AK364" s="153"/>
    </row>
    <row r="365" spans="1:59" ht="11.25" customHeight="1" x14ac:dyDescent="0.2">
      <c r="A365" s="141"/>
      <c r="B365" s="1366"/>
      <c r="C365" s="1366"/>
      <c r="D365" s="1366"/>
      <c r="E365" s="1366"/>
      <c r="F365" s="9"/>
      <c r="G365" s="9"/>
      <c r="H365" s="9"/>
      <c r="I365" s="9"/>
      <c r="J365" s="13"/>
      <c r="K365" s="9"/>
      <c r="L365" s="9"/>
      <c r="M365" s="9"/>
      <c r="N365" s="9"/>
      <c r="O365" s="9"/>
      <c r="P365" s="9"/>
      <c r="Q365" s="9"/>
      <c r="R365" s="9"/>
      <c r="S365" s="9"/>
      <c r="T365" s="9"/>
      <c r="U365" s="11"/>
      <c r="V365" s="11"/>
      <c r="W365" s="11"/>
      <c r="X365" s="12"/>
      <c r="Y365" s="12"/>
      <c r="Z365" s="12"/>
      <c r="AA365" s="12"/>
      <c r="AB365" s="12"/>
      <c r="AC365" s="241"/>
      <c r="AI365" s="179"/>
      <c r="AJ365" s="179"/>
      <c r="AK365" s="153"/>
    </row>
    <row r="366" spans="1:59" ht="11.25" customHeight="1" x14ac:dyDescent="0.2">
      <c r="A366" s="141"/>
      <c r="B366" s="1366" t="s">
        <v>78</v>
      </c>
      <c r="C366" s="1366"/>
      <c r="D366" s="1366"/>
      <c r="E366" s="1366"/>
      <c r="F366" s="9"/>
      <c r="G366" s="9"/>
      <c r="H366" s="9"/>
      <c r="I366" s="9"/>
      <c r="J366" s="13"/>
      <c r="K366" s="9"/>
      <c r="L366" s="9"/>
      <c r="M366" s="9"/>
      <c r="N366" s="9"/>
      <c r="O366" s="9"/>
      <c r="P366" s="9"/>
      <c r="Q366" s="9"/>
      <c r="R366" s="9"/>
      <c r="S366" s="9"/>
      <c r="T366" s="9"/>
      <c r="U366" s="11"/>
      <c r="V366" s="11"/>
      <c r="W366" s="11"/>
      <c r="X366" s="12"/>
      <c r="Y366" s="12"/>
      <c r="Z366" s="12"/>
      <c r="AA366" s="12"/>
      <c r="AB366" s="12"/>
      <c r="AC366" s="241"/>
      <c r="AI366" s="179"/>
      <c r="AJ366" s="179"/>
      <c r="AK366" s="153"/>
      <c r="AL366" s="78"/>
      <c r="AM366" s="78"/>
    </row>
    <row r="367" spans="1:59" ht="11.25" customHeight="1" x14ac:dyDescent="0.2">
      <c r="A367" s="141"/>
      <c r="B367" s="1366"/>
      <c r="C367" s="1366"/>
      <c r="D367" s="1366"/>
      <c r="E367" s="1366"/>
      <c r="F367" s="9"/>
      <c r="G367" s="9"/>
      <c r="H367" s="9"/>
      <c r="I367" s="9"/>
      <c r="J367" s="13"/>
      <c r="K367" s="9"/>
      <c r="L367" s="9"/>
      <c r="M367" s="9"/>
      <c r="N367" s="9"/>
      <c r="O367" s="9"/>
      <c r="P367" s="9"/>
      <c r="Q367" s="9"/>
      <c r="R367" s="9"/>
      <c r="S367" s="9"/>
      <c r="T367" s="9"/>
      <c r="U367" s="11"/>
      <c r="V367" s="11"/>
      <c r="W367" s="11"/>
      <c r="X367" s="12"/>
      <c r="Y367" s="12"/>
      <c r="Z367" s="12"/>
      <c r="AA367" s="12"/>
      <c r="AB367" s="12"/>
      <c r="AC367" s="241"/>
      <c r="AI367" s="179"/>
      <c r="AJ367" s="179"/>
      <c r="AK367" s="153"/>
    </row>
    <row r="368" spans="1:59" ht="11.25" customHeight="1" x14ac:dyDescent="0.2">
      <c r="A368" s="141"/>
      <c r="B368" s="1366" t="s">
        <v>17</v>
      </c>
      <c r="C368" s="1366"/>
      <c r="D368" s="1366"/>
      <c r="E368" s="1366"/>
      <c r="F368" s="9"/>
      <c r="G368" s="9"/>
      <c r="H368" s="9"/>
      <c r="I368" s="9"/>
      <c r="J368" s="13"/>
      <c r="K368" s="9"/>
      <c r="L368" s="9"/>
      <c r="M368" s="9"/>
      <c r="N368" s="9"/>
      <c r="O368" s="9"/>
      <c r="P368" s="9"/>
      <c r="Q368" s="9"/>
      <c r="R368" s="9"/>
      <c r="S368" s="9"/>
      <c r="T368" s="9"/>
      <c r="U368" s="11"/>
      <c r="V368" s="11"/>
      <c r="W368" s="11"/>
      <c r="X368" s="12"/>
      <c r="Y368" s="12"/>
      <c r="Z368" s="12"/>
      <c r="AA368" s="12"/>
      <c r="AB368" s="12"/>
      <c r="AC368" s="241"/>
      <c r="AI368" s="179"/>
      <c r="AJ368" s="179"/>
      <c r="AK368" s="153"/>
      <c r="AL368" s="78"/>
      <c r="AM368" s="78"/>
    </row>
    <row r="369" spans="1:39" ht="11.25" customHeight="1" x14ac:dyDescent="0.2">
      <c r="A369" s="141"/>
      <c r="B369" s="1366"/>
      <c r="C369" s="1366"/>
      <c r="D369" s="1366"/>
      <c r="E369" s="1366"/>
      <c r="F369" s="9"/>
      <c r="G369" s="9"/>
      <c r="H369" s="9"/>
      <c r="I369" s="9"/>
      <c r="J369" s="13"/>
      <c r="K369" s="9"/>
      <c r="L369" s="9"/>
      <c r="M369" s="9"/>
      <c r="N369" s="9"/>
      <c r="O369" s="9"/>
      <c r="P369" s="9"/>
      <c r="Q369" s="9"/>
      <c r="R369" s="9"/>
      <c r="S369" s="9"/>
      <c r="T369" s="9"/>
      <c r="U369" s="11"/>
      <c r="V369" s="11"/>
      <c r="W369" s="11"/>
      <c r="X369" s="12"/>
      <c r="Y369" s="12"/>
      <c r="Z369" s="12"/>
      <c r="AA369" s="12"/>
      <c r="AB369" s="12"/>
      <c r="AC369" s="241"/>
      <c r="AI369" s="179"/>
      <c r="AJ369" s="179"/>
      <c r="AK369" s="153"/>
    </row>
    <row r="370" spans="1:39" ht="11.25" customHeight="1" x14ac:dyDescent="0.2">
      <c r="A370" s="141"/>
      <c r="B370" s="1366" t="s">
        <v>80</v>
      </c>
      <c r="C370" s="1366"/>
      <c r="D370" s="1366"/>
      <c r="E370" s="1366"/>
      <c r="F370" s="9"/>
      <c r="G370" s="9"/>
      <c r="H370" s="9"/>
      <c r="I370" s="9"/>
      <c r="J370" s="13"/>
      <c r="K370" s="9"/>
      <c r="L370" s="9"/>
      <c r="M370" s="9"/>
      <c r="N370" s="9"/>
      <c r="O370" s="9"/>
      <c r="P370" s="9"/>
      <c r="Q370" s="9"/>
      <c r="R370" s="9"/>
      <c r="S370" s="9"/>
      <c r="T370" s="9"/>
      <c r="U370" s="11"/>
      <c r="V370" s="11"/>
      <c r="W370" s="11"/>
      <c r="X370" s="12"/>
      <c r="Y370" s="12"/>
      <c r="Z370" s="12"/>
      <c r="AA370" s="12"/>
      <c r="AB370" s="12"/>
      <c r="AC370" s="241"/>
      <c r="AI370" s="179"/>
      <c r="AJ370" s="179"/>
      <c r="AK370" s="153"/>
      <c r="AL370" s="78"/>
      <c r="AM370" s="78"/>
    </row>
    <row r="371" spans="1:39" ht="11.25" customHeight="1" x14ac:dyDescent="0.2">
      <c r="A371" s="141"/>
      <c r="B371" s="1366"/>
      <c r="C371" s="1366"/>
      <c r="D371" s="1366"/>
      <c r="E371" s="1366"/>
      <c r="F371" s="9"/>
      <c r="G371" s="9"/>
      <c r="H371" s="9"/>
      <c r="I371" s="9"/>
      <c r="J371" s="13"/>
      <c r="K371" s="9"/>
      <c r="L371" s="9"/>
      <c r="M371" s="9"/>
      <c r="N371" s="9"/>
      <c r="O371" s="9"/>
      <c r="P371" s="9"/>
      <c r="Q371" s="9"/>
      <c r="R371" s="9"/>
      <c r="S371" s="9"/>
      <c r="T371" s="9"/>
      <c r="U371" s="11"/>
      <c r="V371" s="11"/>
      <c r="W371" s="11"/>
      <c r="X371" s="12"/>
      <c r="Y371" s="12"/>
      <c r="Z371" s="12"/>
      <c r="AA371" s="12"/>
      <c r="AB371" s="12"/>
      <c r="AC371" s="241"/>
      <c r="AI371" s="179"/>
      <c r="AJ371" s="179"/>
      <c r="AK371" s="153"/>
    </row>
    <row r="372" spans="1:39" ht="11.25" customHeight="1" x14ac:dyDescent="0.2">
      <c r="A372" s="141"/>
      <c r="B372" s="1366" t="s">
        <v>69</v>
      </c>
      <c r="C372" s="1366"/>
      <c r="D372" s="1366"/>
      <c r="E372" s="1366"/>
      <c r="F372" s="9"/>
      <c r="G372" s="9"/>
      <c r="H372" s="9"/>
      <c r="I372" s="9"/>
      <c r="J372" s="13"/>
      <c r="K372" s="9"/>
      <c r="L372" s="9"/>
      <c r="M372" s="9"/>
      <c r="N372" s="9"/>
      <c r="O372" s="9"/>
      <c r="P372" s="9"/>
      <c r="Q372" s="9"/>
      <c r="R372" s="9"/>
      <c r="S372" s="9"/>
      <c r="T372" s="9"/>
      <c r="U372" s="11"/>
      <c r="V372" s="11"/>
      <c r="W372" s="11"/>
      <c r="X372" s="12"/>
      <c r="Y372" s="12"/>
      <c r="Z372" s="12"/>
      <c r="AA372" s="12"/>
      <c r="AB372" s="12"/>
      <c r="AC372" s="241"/>
      <c r="AI372" s="179"/>
      <c r="AJ372" s="179"/>
      <c r="AK372" s="153"/>
      <c r="AL372" s="78"/>
      <c r="AM372" s="78"/>
    </row>
    <row r="373" spans="1:39" ht="11.25" customHeight="1" x14ac:dyDescent="0.2">
      <c r="A373" s="141"/>
      <c r="B373" s="1366"/>
      <c r="C373" s="1366"/>
      <c r="D373" s="1366"/>
      <c r="E373" s="1366"/>
      <c r="F373" s="9"/>
      <c r="G373" s="9"/>
      <c r="H373" s="9"/>
      <c r="I373" s="9"/>
      <c r="J373" s="13"/>
      <c r="K373" s="9"/>
      <c r="L373" s="9"/>
      <c r="M373" s="9"/>
      <c r="N373" s="9"/>
      <c r="O373" s="9"/>
      <c r="P373" s="9"/>
      <c r="Q373" s="9"/>
      <c r="R373" s="9"/>
      <c r="S373" s="9"/>
      <c r="T373" s="9"/>
      <c r="U373" s="11"/>
      <c r="V373" s="11"/>
      <c r="W373" s="11"/>
      <c r="X373" s="12"/>
      <c r="Y373" s="12"/>
      <c r="Z373" s="12"/>
      <c r="AA373" s="12"/>
      <c r="AB373" s="12"/>
      <c r="AC373" s="241"/>
      <c r="AI373" s="179"/>
      <c r="AJ373" s="179"/>
      <c r="AK373" s="153"/>
    </row>
    <row r="374" spans="1:39" ht="11.25" customHeight="1" x14ac:dyDescent="0.2">
      <c r="A374" s="141"/>
      <c r="B374" s="1366" t="s">
        <v>24</v>
      </c>
      <c r="C374" s="1366"/>
      <c r="D374" s="1366"/>
      <c r="E374" s="1366"/>
      <c r="F374" s="9"/>
      <c r="G374" s="9"/>
      <c r="H374" s="9"/>
      <c r="I374" s="9"/>
      <c r="J374" s="13"/>
      <c r="K374" s="9"/>
      <c r="L374" s="9"/>
      <c r="M374" s="9"/>
      <c r="N374" s="9"/>
      <c r="O374" s="9"/>
      <c r="P374" s="9"/>
      <c r="Q374" s="9"/>
      <c r="R374" s="9"/>
      <c r="S374" s="9"/>
      <c r="T374" s="9"/>
      <c r="U374" s="11"/>
      <c r="V374" s="11"/>
      <c r="W374" s="11"/>
      <c r="X374" s="12"/>
      <c r="Y374" s="12"/>
      <c r="Z374" s="12"/>
      <c r="AA374" s="12"/>
      <c r="AB374" s="12"/>
      <c r="AC374" s="241"/>
      <c r="AI374" s="179"/>
      <c r="AJ374" s="179"/>
      <c r="AK374" s="153"/>
      <c r="AL374" s="78"/>
      <c r="AM374" s="78"/>
    </row>
    <row r="375" spans="1:39" ht="11.25" customHeight="1" x14ac:dyDescent="0.2">
      <c r="A375" s="141"/>
      <c r="B375" s="1366"/>
      <c r="C375" s="1366"/>
      <c r="D375" s="1366"/>
      <c r="E375" s="1366"/>
      <c r="F375" s="9"/>
      <c r="G375" s="9"/>
      <c r="H375" s="9"/>
      <c r="I375" s="9"/>
      <c r="J375" s="13"/>
      <c r="K375" s="9"/>
      <c r="L375" s="9"/>
      <c r="M375" s="9"/>
      <c r="N375" s="9"/>
      <c r="O375" s="9"/>
      <c r="P375" s="9"/>
      <c r="Q375" s="9"/>
      <c r="R375" s="9"/>
      <c r="S375" s="9"/>
      <c r="T375" s="9"/>
      <c r="U375" s="11"/>
      <c r="V375" s="11"/>
      <c r="W375" s="11"/>
      <c r="X375" s="12"/>
      <c r="Y375" s="12"/>
      <c r="Z375" s="12"/>
      <c r="AA375" s="12"/>
      <c r="AB375" s="12"/>
      <c r="AC375" s="241"/>
      <c r="AI375" s="179"/>
      <c r="AJ375" s="179"/>
      <c r="AK375" s="153"/>
    </row>
    <row r="376" spans="1:39" ht="11.25" customHeight="1" x14ac:dyDescent="0.2">
      <c r="A376" s="141"/>
      <c r="B376" s="1366" t="s">
        <v>22</v>
      </c>
      <c r="C376" s="1366"/>
      <c r="D376" s="1366"/>
      <c r="E376" s="1366"/>
      <c r="F376" s="9"/>
      <c r="G376" s="9"/>
      <c r="H376" s="9"/>
      <c r="I376" s="9"/>
      <c r="J376" s="13"/>
      <c r="K376" s="9"/>
      <c r="L376" s="9"/>
      <c r="M376" s="9"/>
      <c r="N376" s="9"/>
      <c r="O376" s="9"/>
      <c r="P376" s="9"/>
      <c r="Q376" s="9"/>
      <c r="R376" s="9"/>
      <c r="S376" s="9"/>
      <c r="T376" s="9"/>
      <c r="U376" s="11"/>
      <c r="V376" s="11"/>
      <c r="W376" s="11"/>
      <c r="X376" s="12"/>
      <c r="Y376" s="12"/>
      <c r="Z376" s="12"/>
      <c r="AA376" s="12"/>
      <c r="AB376" s="12"/>
      <c r="AC376" s="241"/>
      <c r="AI376" s="179"/>
      <c r="AJ376" s="179"/>
      <c r="AK376" s="153"/>
      <c r="AL376" s="78"/>
      <c r="AM376" s="78"/>
    </row>
    <row r="377" spans="1:39" ht="11.25" customHeight="1" x14ac:dyDescent="0.2">
      <c r="A377" s="141"/>
      <c r="B377" s="1366"/>
      <c r="C377" s="1366"/>
      <c r="D377" s="1366"/>
      <c r="E377" s="1366"/>
      <c r="F377" s="9"/>
      <c r="G377" s="9"/>
      <c r="H377" s="9"/>
      <c r="I377" s="9"/>
      <c r="J377" s="13"/>
      <c r="K377" s="9"/>
      <c r="L377" s="9"/>
      <c r="M377" s="9"/>
      <c r="N377" s="9"/>
      <c r="O377" s="9"/>
      <c r="P377" s="9"/>
      <c r="Q377" s="9"/>
      <c r="R377" s="9"/>
      <c r="S377" s="9"/>
      <c r="T377" s="9"/>
      <c r="U377" s="11"/>
      <c r="V377" s="11"/>
      <c r="W377" s="11"/>
      <c r="X377" s="12"/>
      <c r="Y377" s="12"/>
      <c r="Z377" s="12"/>
      <c r="AA377" s="12"/>
      <c r="AB377" s="12"/>
      <c r="AC377" s="241"/>
      <c r="AI377" s="179"/>
      <c r="AJ377" s="179"/>
      <c r="AK377" s="153"/>
    </row>
    <row r="378" spans="1:39" ht="11.25" customHeight="1" x14ac:dyDescent="0.2">
      <c r="A378" s="141"/>
      <c r="B378" s="1366" t="s">
        <v>25</v>
      </c>
      <c r="C378" s="1366"/>
      <c r="D378" s="1366"/>
      <c r="E378" s="1366"/>
      <c r="F378" s="9"/>
      <c r="G378" s="9"/>
      <c r="H378" s="9"/>
      <c r="I378" s="9"/>
      <c r="J378" s="13"/>
      <c r="K378" s="9"/>
      <c r="L378" s="9"/>
      <c r="M378" s="9"/>
      <c r="N378" s="9"/>
      <c r="O378" s="9"/>
      <c r="P378" s="9"/>
      <c r="Q378" s="9"/>
      <c r="R378" s="9"/>
      <c r="S378" s="9"/>
      <c r="T378" s="9"/>
      <c r="U378" s="11"/>
      <c r="V378" s="11"/>
      <c r="W378" s="11"/>
      <c r="X378" s="12"/>
      <c r="Y378" s="12"/>
      <c r="Z378" s="12"/>
      <c r="AA378" s="12"/>
      <c r="AB378" s="12"/>
      <c r="AC378" s="241"/>
      <c r="AI378" s="179"/>
      <c r="AJ378" s="179"/>
      <c r="AK378" s="153"/>
      <c r="AL378" s="78"/>
      <c r="AM378" s="78"/>
    </row>
    <row r="379" spans="1:39" ht="11.25" customHeight="1" x14ac:dyDescent="0.2">
      <c r="A379" s="141"/>
      <c r="B379" s="1366"/>
      <c r="C379" s="1366"/>
      <c r="D379" s="1366"/>
      <c r="E379" s="1366"/>
      <c r="F379" s="9"/>
      <c r="G379" s="9"/>
      <c r="H379" s="9"/>
      <c r="I379" s="9"/>
      <c r="J379" s="13"/>
      <c r="K379" s="9"/>
      <c r="L379" s="9"/>
      <c r="M379" s="9"/>
      <c r="N379" s="9"/>
      <c r="O379" s="9"/>
      <c r="P379" s="9"/>
      <c r="Q379" s="9"/>
      <c r="R379" s="9"/>
      <c r="S379" s="9"/>
      <c r="T379" s="9"/>
      <c r="U379" s="11"/>
      <c r="V379" s="11"/>
      <c r="W379" s="11"/>
      <c r="X379" s="12"/>
      <c r="Y379" s="12"/>
      <c r="Z379" s="12"/>
      <c r="AA379" s="12"/>
      <c r="AB379" s="12"/>
      <c r="AC379" s="241"/>
      <c r="AI379" s="179"/>
      <c r="AJ379" s="179"/>
      <c r="AK379" s="153"/>
    </row>
    <row r="380" spans="1:39" ht="11.25" customHeight="1" x14ac:dyDescent="0.2">
      <c r="A380" s="141"/>
      <c r="B380" s="1366" t="s">
        <v>18</v>
      </c>
      <c r="C380" s="1366"/>
      <c r="D380" s="1366"/>
      <c r="E380" s="1366"/>
      <c r="F380" s="9"/>
      <c r="G380" s="9"/>
      <c r="H380" s="9"/>
      <c r="I380" s="9"/>
      <c r="J380" s="13"/>
      <c r="K380" s="9"/>
      <c r="L380" s="9"/>
      <c r="M380" s="9"/>
      <c r="N380" s="9"/>
      <c r="O380" s="9"/>
      <c r="P380" s="9"/>
      <c r="Q380" s="9"/>
      <c r="R380" s="9"/>
      <c r="S380" s="9"/>
      <c r="T380" s="9"/>
      <c r="U380" s="11"/>
      <c r="V380" s="11"/>
      <c r="W380" s="11"/>
      <c r="X380" s="12"/>
      <c r="Y380" s="12"/>
      <c r="Z380" s="12"/>
      <c r="AA380" s="12"/>
      <c r="AB380" s="12"/>
      <c r="AC380" s="241"/>
      <c r="AI380" s="179"/>
      <c r="AJ380" s="179"/>
      <c r="AK380" s="153"/>
    </row>
    <row r="381" spans="1:39" ht="11.25" customHeight="1" x14ac:dyDescent="0.2">
      <c r="A381" s="141"/>
      <c r="B381" s="1366"/>
      <c r="C381" s="1366"/>
      <c r="D381" s="1366"/>
      <c r="E381" s="1366"/>
      <c r="F381" s="9"/>
      <c r="G381" s="9"/>
      <c r="H381" s="9"/>
      <c r="I381" s="9"/>
      <c r="J381" s="13"/>
      <c r="K381" s="9"/>
      <c r="L381" s="9"/>
      <c r="M381" s="9"/>
      <c r="N381" s="9"/>
      <c r="O381" s="9"/>
      <c r="P381" s="9"/>
      <c r="Q381" s="9"/>
      <c r="R381" s="9"/>
      <c r="S381" s="9"/>
      <c r="T381" s="9"/>
      <c r="U381" s="11"/>
      <c r="V381" s="11"/>
      <c r="W381" s="11"/>
      <c r="X381" s="12"/>
      <c r="Y381" s="12"/>
      <c r="Z381" s="12"/>
      <c r="AA381" s="12"/>
      <c r="AB381" s="12"/>
      <c r="AC381" s="241"/>
      <c r="AI381" s="179"/>
      <c r="AJ381" s="179"/>
      <c r="AK381" s="153"/>
    </row>
    <row r="382" spans="1:39" ht="11.25" customHeight="1" x14ac:dyDescent="0.2">
      <c r="A382" s="141"/>
      <c r="B382" s="1366" t="s">
        <v>19</v>
      </c>
      <c r="C382" s="1366"/>
      <c r="D382" s="1366"/>
      <c r="E382" s="1366"/>
      <c r="F382" s="1366"/>
      <c r="G382" s="9"/>
      <c r="H382" s="9"/>
      <c r="I382" s="9"/>
      <c r="J382" s="13"/>
      <c r="K382" s="9"/>
      <c r="L382" s="9"/>
      <c r="M382" s="9"/>
      <c r="N382" s="9"/>
      <c r="O382" s="9"/>
      <c r="P382" s="9"/>
      <c r="Q382" s="9"/>
      <c r="R382" s="9"/>
      <c r="S382" s="9"/>
      <c r="T382" s="9"/>
      <c r="U382" s="11"/>
      <c r="V382" s="11"/>
      <c r="W382" s="11"/>
      <c r="X382" s="12"/>
      <c r="Y382" s="12"/>
      <c r="Z382" s="12"/>
      <c r="AA382" s="12"/>
      <c r="AB382" s="12"/>
      <c r="AC382" s="241"/>
      <c r="AI382" s="179"/>
      <c r="AJ382" s="179"/>
      <c r="AK382" s="153"/>
    </row>
    <row r="383" spans="1:39" ht="11.25" customHeight="1" x14ac:dyDescent="0.2">
      <c r="A383" s="141"/>
      <c r="B383" s="1366"/>
      <c r="C383" s="1366"/>
      <c r="D383" s="1366"/>
      <c r="E383" s="1366"/>
      <c r="F383" s="1366"/>
      <c r="G383" s="9"/>
      <c r="H383" s="9"/>
      <c r="I383" s="9"/>
      <c r="J383" s="13"/>
      <c r="K383" s="9"/>
      <c r="L383" s="9"/>
      <c r="M383" s="9"/>
      <c r="N383" s="9"/>
      <c r="O383" s="9"/>
      <c r="P383" s="9"/>
      <c r="Q383" s="9"/>
      <c r="R383" s="9"/>
      <c r="S383" s="9"/>
      <c r="T383" s="9"/>
      <c r="U383" s="11"/>
      <c r="V383" s="11"/>
      <c r="W383" s="11"/>
      <c r="X383" s="12"/>
      <c r="Y383" s="12"/>
      <c r="Z383" s="12"/>
      <c r="AA383" s="12"/>
      <c r="AB383" s="12"/>
      <c r="AC383" s="241"/>
      <c r="AI383" s="179"/>
      <c r="AJ383" s="179"/>
      <c r="AK383" s="153"/>
    </row>
    <row r="384" spans="1:39" ht="11.25" customHeight="1" x14ac:dyDescent="0.2">
      <c r="A384" s="141"/>
      <c r="B384" s="1366" t="s">
        <v>20</v>
      </c>
      <c r="C384" s="1366"/>
      <c r="D384" s="1366"/>
      <c r="E384" s="1366"/>
      <c r="F384" s="9"/>
      <c r="G384" s="9"/>
      <c r="H384" s="9"/>
      <c r="I384" s="9"/>
      <c r="J384" s="13"/>
      <c r="K384" s="9"/>
      <c r="L384" s="9"/>
      <c r="M384" s="9"/>
      <c r="N384" s="9"/>
      <c r="O384" s="9"/>
      <c r="P384" s="9"/>
      <c r="Q384" s="9"/>
      <c r="R384" s="9"/>
      <c r="S384" s="9"/>
      <c r="T384" s="9"/>
      <c r="U384" s="11"/>
      <c r="V384" s="11"/>
      <c r="W384" s="11"/>
      <c r="X384" s="12"/>
      <c r="Y384" s="12"/>
      <c r="Z384" s="12"/>
      <c r="AA384" s="12"/>
      <c r="AB384" s="12"/>
      <c r="AC384" s="241"/>
      <c r="AI384" s="179"/>
      <c r="AJ384" s="179"/>
      <c r="AK384" s="153"/>
    </row>
    <row r="385" spans="1:56" ht="11.25" customHeight="1" x14ac:dyDescent="0.2">
      <c r="A385" s="141"/>
      <c r="B385" s="1366"/>
      <c r="C385" s="1366"/>
      <c r="D385" s="1366"/>
      <c r="E385" s="1366"/>
      <c r="F385" s="9"/>
      <c r="G385" s="9"/>
      <c r="H385" s="9"/>
      <c r="I385" s="9"/>
      <c r="J385" s="13"/>
      <c r="K385" s="9"/>
      <c r="L385" s="9"/>
      <c r="M385" s="9"/>
      <c r="N385" s="9"/>
      <c r="O385" s="9"/>
      <c r="P385" s="9"/>
      <c r="Q385" s="9"/>
      <c r="R385" s="9"/>
      <c r="S385" s="9"/>
      <c r="T385" s="9"/>
      <c r="U385" s="11"/>
      <c r="V385" s="11"/>
      <c r="W385" s="11"/>
      <c r="X385" s="12"/>
      <c r="Y385" s="12"/>
      <c r="Z385" s="12"/>
      <c r="AA385" s="12"/>
      <c r="AB385" s="12"/>
      <c r="AC385" s="241"/>
      <c r="AI385" s="179"/>
      <c r="AJ385" s="179"/>
      <c r="AK385" s="153"/>
    </row>
    <row r="386" spans="1:56" ht="11.25" customHeight="1" x14ac:dyDescent="0.2">
      <c r="A386" s="141"/>
      <c r="B386" s="1366" t="s">
        <v>26</v>
      </c>
      <c r="C386" s="1366"/>
      <c r="D386" s="1366"/>
      <c r="E386" s="1366"/>
      <c r="F386" s="9"/>
      <c r="G386" s="9"/>
      <c r="H386" s="9"/>
      <c r="I386" s="9"/>
      <c r="J386" s="13"/>
      <c r="K386" s="9"/>
      <c r="L386" s="9"/>
      <c r="M386" s="9"/>
      <c r="N386" s="9"/>
      <c r="O386" s="9"/>
      <c r="P386" s="9"/>
      <c r="Q386" s="9"/>
      <c r="R386" s="9"/>
      <c r="S386" s="9"/>
      <c r="T386" s="9"/>
      <c r="U386" s="11"/>
      <c r="V386" s="11"/>
      <c r="W386" s="11"/>
      <c r="X386" s="12"/>
      <c r="Y386" s="12"/>
      <c r="Z386" s="12"/>
      <c r="AA386" s="12"/>
      <c r="AB386" s="12"/>
      <c r="AC386" s="241"/>
      <c r="AI386" s="179"/>
      <c r="AJ386" s="179"/>
      <c r="AK386" s="153"/>
    </row>
    <row r="387" spans="1:56" ht="11.25" customHeight="1" x14ac:dyDescent="0.2">
      <c r="A387" s="141"/>
      <c r="B387" s="1366"/>
      <c r="C387" s="1366"/>
      <c r="D387" s="1366"/>
      <c r="E387" s="1366"/>
      <c r="F387" s="9"/>
      <c r="G387" s="9"/>
      <c r="H387" s="9"/>
      <c r="I387" s="9"/>
      <c r="J387" s="13"/>
      <c r="K387" s="9"/>
      <c r="L387" s="9"/>
      <c r="M387" s="9"/>
      <c r="N387" s="9"/>
      <c r="O387" s="9"/>
      <c r="P387" s="9"/>
      <c r="Q387" s="9"/>
      <c r="R387" s="9"/>
      <c r="S387" s="9"/>
      <c r="T387" s="9"/>
      <c r="U387" s="11"/>
      <c r="V387" s="11"/>
      <c r="W387" s="11"/>
      <c r="X387" s="12"/>
      <c r="Y387" s="12"/>
      <c r="Z387" s="12"/>
      <c r="AA387" s="12"/>
      <c r="AB387" s="12"/>
      <c r="AC387" s="241"/>
      <c r="AI387" s="179"/>
      <c r="AJ387" s="179"/>
      <c r="AK387" s="153"/>
    </row>
    <row r="388" spans="1:56" ht="11.25" customHeight="1" x14ac:dyDescent="0.2">
      <c r="A388" s="141"/>
      <c r="B388" s="1366" t="s">
        <v>21</v>
      </c>
      <c r="C388" s="1366"/>
      <c r="D388" s="1366"/>
      <c r="E388" s="1366"/>
      <c r="F388" s="9"/>
      <c r="G388" s="9"/>
      <c r="H388" s="9"/>
      <c r="I388" s="9"/>
      <c r="J388" s="13"/>
      <c r="K388" s="9"/>
      <c r="L388" s="9"/>
      <c r="M388" s="9"/>
      <c r="N388" s="9"/>
      <c r="O388" s="9"/>
      <c r="P388" s="9"/>
      <c r="Q388" s="9"/>
      <c r="R388" s="9"/>
      <c r="S388" s="9"/>
      <c r="T388" s="9"/>
      <c r="U388" s="11"/>
      <c r="V388" s="11"/>
      <c r="W388" s="11"/>
      <c r="X388" s="12"/>
      <c r="Y388" s="12"/>
      <c r="Z388" s="12"/>
      <c r="AA388" s="12"/>
      <c r="AB388" s="12"/>
      <c r="AC388" s="241"/>
      <c r="AI388" s="179"/>
      <c r="AJ388" s="179"/>
      <c r="AK388" s="153"/>
    </row>
    <row r="389" spans="1:56" ht="11.25" customHeight="1" x14ac:dyDescent="0.2">
      <c r="A389" s="141"/>
      <c r="B389" s="1366"/>
      <c r="C389" s="1366"/>
      <c r="D389" s="1366"/>
      <c r="E389" s="1366"/>
      <c r="F389" s="9"/>
      <c r="G389" s="9"/>
      <c r="H389" s="9"/>
      <c r="I389" s="9"/>
      <c r="J389" s="13"/>
      <c r="K389" s="9"/>
      <c r="L389" s="9"/>
      <c r="M389" s="9"/>
      <c r="N389" s="9"/>
      <c r="O389" s="9"/>
      <c r="P389" s="9"/>
      <c r="Q389" s="9"/>
      <c r="R389" s="9"/>
      <c r="S389" s="9"/>
      <c r="T389" s="9"/>
      <c r="U389" s="11"/>
      <c r="V389" s="11"/>
      <c r="W389" s="11"/>
      <c r="X389" s="12"/>
      <c r="Y389" s="12"/>
      <c r="Z389" s="12"/>
      <c r="AA389" s="12"/>
      <c r="AB389" s="12"/>
      <c r="AC389" s="241"/>
      <c r="AI389" s="179"/>
      <c r="AJ389" s="179"/>
      <c r="AK389" s="153"/>
    </row>
    <row r="390" spans="1:56" ht="11.25" customHeight="1" x14ac:dyDescent="0.2">
      <c r="A390" s="141"/>
      <c r="B390" s="1366" t="s">
        <v>930</v>
      </c>
      <c r="C390" s="1366"/>
      <c r="D390" s="1366"/>
      <c r="E390" s="1366"/>
      <c r="F390" s="1366"/>
      <c r="G390" s="9"/>
      <c r="H390" s="9"/>
      <c r="I390" s="9"/>
      <c r="J390" s="13"/>
      <c r="K390" s="9"/>
      <c r="L390" s="9"/>
      <c r="M390" s="9"/>
      <c r="N390" s="9"/>
      <c r="O390" s="9"/>
      <c r="P390" s="9"/>
      <c r="Q390" s="9"/>
      <c r="R390" s="9"/>
      <c r="S390" s="9"/>
      <c r="T390" s="9"/>
      <c r="U390" s="11"/>
      <c r="V390" s="11"/>
      <c r="W390" s="11"/>
      <c r="X390" s="12"/>
      <c r="Y390" s="12"/>
      <c r="Z390" s="12"/>
      <c r="AA390" s="12"/>
      <c r="AB390" s="12"/>
      <c r="AC390" s="241"/>
      <c r="AI390" s="179"/>
      <c r="AJ390" s="179"/>
      <c r="AK390" s="153"/>
    </row>
    <row r="391" spans="1:56" ht="11.25" customHeight="1" x14ac:dyDescent="0.2">
      <c r="A391" s="141"/>
      <c r="B391" s="1366"/>
      <c r="C391" s="1366"/>
      <c r="D391" s="1366"/>
      <c r="E391" s="1366"/>
      <c r="F391" s="1366"/>
      <c r="G391" s="9"/>
      <c r="H391" s="9"/>
      <c r="I391" s="9"/>
      <c r="J391" s="13"/>
      <c r="K391" s="9"/>
      <c r="L391" s="9"/>
      <c r="M391" s="9"/>
      <c r="N391" s="9"/>
      <c r="O391" s="9"/>
      <c r="P391" s="9"/>
      <c r="Q391" s="9"/>
      <c r="R391" s="9"/>
      <c r="S391" s="9"/>
      <c r="T391" s="9"/>
      <c r="U391" s="11"/>
      <c r="V391" s="11"/>
      <c r="W391" s="11"/>
      <c r="X391" s="12"/>
      <c r="Y391" s="12"/>
      <c r="Z391" s="12"/>
      <c r="AA391" s="12"/>
      <c r="AB391" s="12"/>
      <c r="AC391" s="241"/>
      <c r="AI391" s="179"/>
      <c r="AJ391" s="179"/>
      <c r="AK391" s="153"/>
    </row>
    <row r="392" spans="1:56" ht="11.25" customHeight="1" x14ac:dyDescent="0.2">
      <c r="A392" s="141"/>
      <c r="B392" s="1366" t="s">
        <v>680</v>
      </c>
      <c r="C392" s="1366"/>
      <c r="D392" s="1366"/>
      <c r="E392" s="1366"/>
      <c r="F392" s="9"/>
      <c r="G392" s="9"/>
      <c r="H392" s="9"/>
      <c r="I392" s="9"/>
      <c r="J392" s="13"/>
      <c r="K392" s="9"/>
      <c r="L392" s="9"/>
      <c r="M392" s="9"/>
      <c r="N392" s="9"/>
      <c r="O392" s="9"/>
      <c r="P392" s="9"/>
      <c r="Q392" s="9"/>
      <c r="R392" s="9"/>
      <c r="S392" s="9"/>
      <c r="T392" s="9"/>
      <c r="U392" s="11"/>
      <c r="V392" s="11"/>
      <c r="W392" s="11"/>
      <c r="X392" s="12"/>
      <c r="Y392" s="12"/>
      <c r="Z392" s="12"/>
      <c r="AA392" s="12"/>
      <c r="AB392" s="12"/>
      <c r="AC392" s="241"/>
      <c r="AI392" s="179"/>
      <c r="AJ392" s="179"/>
      <c r="AK392" s="153"/>
    </row>
    <row r="393" spans="1:56" ht="11.25" customHeight="1" x14ac:dyDescent="0.2">
      <c r="A393" s="141"/>
      <c r="B393" s="1366"/>
      <c r="C393" s="1366"/>
      <c r="D393" s="1366"/>
      <c r="E393" s="1366"/>
      <c r="F393" s="9"/>
      <c r="G393" s="9"/>
      <c r="H393" s="9"/>
      <c r="I393" s="9"/>
      <c r="J393" s="13"/>
      <c r="K393" s="9"/>
      <c r="L393" s="9"/>
      <c r="M393" s="9"/>
      <c r="N393" s="9"/>
      <c r="O393" s="9"/>
      <c r="P393" s="9"/>
      <c r="Q393" s="9"/>
      <c r="R393" s="9"/>
      <c r="S393" s="9"/>
      <c r="T393" s="9"/>
      <c r="U393" s="11"/>
      <c r="V393" s="11"/>
      <c r="W393" s="11"/>
      <c r="X393" s="12"/>
      <c r="Y393" s="12"/>
      <c r="Z393" s="12"/>
      <c r="AA393" s="12"/>
      <c r="AB393" s="12"/>
      <c r="AC393" s="241"/>
      <c r="AI393" s="179"/>
      <c r="AJ393" s="179"/>
      <c r="AK393" s="153"/>
    </row>
    <row r="394" spans="1:56" ht="11.25" customHeight="1" x14ac:dyDescent="0.2">
      <c r="A394" s="141"/>
      <c r="B394" s="1366" t="s">
        <v>32</v>
      </c>
      <c r="C394" s="1366"/>
      <c r="D394" s="1366"/>
      <c r="E394" s="1366"/>
      <c r="F394" s="9"/>
      <c r="G394" s="9"/>
      <c r="H394" s="9"/>
      <c r="I394" s="9"/>
      <c r="J394" s="13"/>
      <c r="K394" s="9"/>
      <c r="L394" s="9"/>
      <c r="M394" s="9"/>
      <c r="N394" s="9"/>
      <c r="O394" s="9"/>
      <c r="P394" s="9"/>
      <c r="Q394" s="9"/>
      <c r="R394" s="9"/>
      <c r="S394" s="9"/>
      <c r="T394" s="9"/>
      <c r="U394" s="11"/>
      <c r="V394" s="11"/>
      <c r="W394" s="11"/>
      <c r="X394" s="12"/>
      <c r="Y394" s="12"/>
      <c r="Z394" s="12"/>
      <c r="AA394" s="12"/>
      <c r="AB394" s="12"/>
      <c r="AC394" s="241"/>
      <c r="AI394" s="179"/>
      <c r="AJ394" s="179"/>
      <c r="AK394" s="153"/>
    </row>
    <row r="395" spans="1:56" ht="11.25" customHeight="1" x14ac:dyDescent="0.2">
      <c r="A395" s="141"/>
      <c r="B395" s="1366"/>
      <c r="C395" s="1366"/>
      <c r="D395" s="1366"/>
      <c r="E395" s="1366"/>
      <c r="F395" s="9"/>
      <c r="G395" s="9"/>
      <c r="H395" s="9"/>
      <c r="I395" s="9"/>
      <c r="J395" s="13"/>
      <c r="K395" s="9"/>
      <c r="L395" s="9"/>
      <c r="M395" s="9"/>
      <c r="N395" s="9"/>
      <c r="O395" s="9"/>
      <c r="P395" s="9"/>
      <c r="Q395" s="9"/>
      <c r="R395" s="9"/>
      <c r="S395" s="9"/>
      <c r="T395" s="9"/>
      <c r="U395" s="11"/>
      <c r="V395" s="11"/>
      <c r="W395" s="11"/>
      <c r="X395" s="12"/>
      <c r="Y395" s="12"/>
      <c r="Z395" s="12"/>
      <c r="AA395" s="12"/>
      <c r="AB395" s="12"/>
      <c r="AC395" s="241"/>
      <c r="AI395" s="179"/>
      <c r="AJ395" s="179"/>
      <c r="AK395" s="153"/>
    </row>
    <row r="396" spans="1:56" ht="11.25" customHeight="1" x14ac:dyDescent="0.2">
      <c r="A396" s="248"/>
      <c r="B396" s="1110"/>
      <c r="C396" s="246"/>
      <c r="D396" s="246"/>
      <c r="E396" s="246"/>
      <c r="F396" s="246"/>
      <c r="G396" s="246"/>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1307"/>
      <c r="AI396" s="179"/>
      <c r="AJ396" s="179"/>
      <c r="AK396" s="242"/>
    </row>
    <row r="397" spans="1:56" ht="11.25" customHeight="1" x14ac:dyDescent="0.2">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c r="AB397" s="77"/>
      <c r="AC397" s="77"/>
      <c r="AI397" s="179"/>
      <c r="AJ397" s="179"/>
    </row>
    <row r="398" spans="1:56" ht="18.75" customHeight="1" x14ac:dyDescent="0.2">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c r="AB398" s="77"/>
      <c r="AC398" s="77"/>
      <c r="AI398" s="179"/>
      <c r="AJ398" s="179"/>
    </row>
    <row r="399" spans="1:56" s="82" customFormat="1" ht="11.25" customHeight="1" x14ac:dyDescent="0.2">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c r="AB399" s="77"/>
      <c r="AC399" s="77"/>
      <c r="AD399" s="1276"/>
      <c r="AE399" s="1276"/>
      <c r="AF399" s="1276"/>
      <c r="AG399" s="1276"/>
      <c r="AH399" s="1276"/>
      <c r="AI399" s="179"/>
      <c r="AJ399" s="179"/>
      <c r="AL399" s="76"/>
      <c r="AM399" s="76"/>
      <c r="AN399" s="76"/>
      <c r="AO399" s="76"/>
      <c r="AP399" s="76"/>
      <c r="AQ399" s="76"/>
      <c r="AR399" s="76"/>
      <c r="AS399" s="76"/>
      <c r="AT399" s="76"/>
      <c r="AU399" s="76"/>
      <c r="AV399" s="76"/>
      <c r="AW399" s="76"/>
      <c r="AX399" s="76"/>
      <c r="AY399" s="76"/>
      <c r="AZ399" s="76"/>
      <c r="BA399" s="76"/>
      <c r="BB399" s="76"/>
      <c r="BC399" s="76"/>
      <c r="BD399" s="76"/>
    </row>
    <row r="400" spans="1:56" ht="11.25" customHeight="1" x14ac:dyDescent="0.2">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c r="AB400" s="77"/>
      <c r="AC400" s="77"/>
      <c r="AI400" s="179"/>
      <c r="AJ400" s="179"/>
    </row>
    <row r="401" spans="1:36" ht="11.25" customHeight="1" x14ac:dyDescent="0.2">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c r="AB401" s="77"/>
      <c r="AC401" s="77"/>
      <c r="AI401" s="179"/>
      <c r="AJ401" s="179"/>
    </row>
    <row r="402" spans="1:36" ht="11.25" customHeight="1" x14ac:dyDescent="0.2">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c r="AB402" s="77"/>
      <c r="AC402" s="77"/>
      <c r="AI402" s="179"/>
      <c r="AJ402" s="179"/>
    </row>
    <row r="403" spans="1:36" ht="11.25" customHeight="1" x14ac:dyDescent="0.2">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c r="AB403" s="77"/>
      <c r="AC403" s="77"/>
      <c r="AI403" s="179"/>
      <c r="AJ403" s="179"/>
    </row>
    <row r="404" spans="1:36" ht="11.25" customHeight="1" x14ac:dyDescent="0.2">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c r="AB404" s="77"/>
      <c r="AC404" s="77"/>
      <c r="AI404" s="179"/>
      <c r="AJ404" s="179"/>
    </row>
    <row r="405" spans="1:36" ht="11.25" customHeight="1" x14ac:dyDescent="0.2">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c r="AB405" s="77"/>
      <c r="AC405" s="77"/>
      <c r="AI405" s="179"/>
      <c r="AJ405" s="179"/>
    </row>
    <row r="406" spans="1:36" ht="11.25" customHeight="1" x14ac:dyDescent="0.2">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c r="AB406" s="77"/>
      <c r="AC406" s="77"/>
      <c r="AI406" s="179"/>
      <c r="AJ406" s="179"/>
    </row>
    <row r="407" spans="1:36" ht="11.25" customHeight="1" x14ac:dyDescent="0.2">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c r="AB407" s="77"/>
      <c r="AC407" s="77"/>
      <c r="AI407" s="179"/>
      <c r="AJ407" s="179"/>
    </row>
    <row r="408" spans="1:36" ht="11.25" customHeight="1" x14ac:dyDescent="0.2">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c r="AB408" s="77"/>
      <c r="AC408" s="77"/>
      <c r="AI408" s="179"/>
      <c r="AJ408" s="179"/>
    </row>
    <row r="409" spans="1:36" ht="11.25" customHeight="1" x14ac:dyDescent="0.2">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c r="AB409" s="77"/>
      <c r="AC409" s="77"/>
      <c r="AI409" s="179"/>
      <c r="AJ409" s="179"/>
    </row>
    <row r="410" spans="1:36" ht="11.25" customHeight="1" x14ac:dyDescent="0.2">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c r="AB410" s="77"/>
      <c r="AC410" s="77"/>
      <c r="AI410" s="179"/>
      <c r="AJ410" s="179"/>
    </row>
    <row r="411" spans="1:36" ht="11.25" customHeight="1" x14ac:dyDescent="0.2">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c r="AB411" s="77"/>
      <c r="AC411" s="77"/>
      <c r="AI411" s="179"/>
      <c r="AJ411" s="179"/>
    </row>
    <row r="412" spans="1:36" ht="11.25" customHeight="1" x14ac:dyDescent="0.2">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c r="AB412" s="77"/>
      <c r="AC412" s="77"/>
      <c r="AI412" s="179"/>
      <c r="AJ412" s="179"/>
    </row>
    <row r="413" spans="1:36" ht="11.25" customHeight="1" x14ac:dyDescent="0.2">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c r="AB413" s="77"/>
      <c r="AC413" s="77"/>
      <c r="AI413" s="179"/>
      <c r="AJ413" s="179"/>
    </row>
    <row r="414" spans="1:36" ht="11.25" customHeight="1" x14ac:dyDescent="0.2">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c r="AB414" s="77"/>
      <c r="AC414" s="77"/>
      <c r="AD414" s="1295"/>
      <c r="AE414" s="1295"/>
      <c r="AF414" s="1295"/>
      <c r="AG414" s="1295"/>
      <c r="AH414" s="1295"/>
      <c r="AI414" s="198"/>
      <c r="AJ414" s="198"/>
    </row>
    <row r="525" spans="38:38" ht="11.25" customHeight="1" x14ac:dyDescent="0.2">
      <c r="AL525" s="76" t="b">
        <v>1</v>
      </c>
    </row>
  </sheetData>
  <sheetProtection sheet="1" objects="1" scenarios="1"/>
  <mergeCells count="94">
    <mergeCell ref="Z8:Z9"/>
    <mergeCell ref="AA8:AA9"/>
    <mergeCell ref="Z7:AA7"/>
    <mergeCell ref="AB7:AF7"/>
    <mergeCell ref="A357:V357"/>
    <mergeCell ref="M350:P350"/>
    <mergeCell ref="R350:U350"/>
    <mergeCell ref="M351:P351"/>
    <mergeCell ref="R351:U351"/>
    <mergeCell ref="A356:V356"/>
    <mergeCell ref="B321:U321"/>
    <mergeCell ref="A323:V323"/>
    <mergeCell ref="A324:V324"/>
    <mergeCell ref="Z294:Z295"/>
    <mergeCell ref="AA294:AA295"/>
    <mergeCell ref="B291:U292"/>
    <mergeCell ref="A70:V70"/>
    <mergeCell ref="A71:V71"/>
    <mergeCell ref="B293:B295"/>
    <mergeCell ref="D293:H293"/>
    <mergeCell ref="B5:U6"/>
    <mergeCell ref="B7:B9"/>
    <mergeCell ref="D7:H7"/>
    <mergeCell ref="I7:I9"/>
    <mergeCell ref="Q7:Q9"/>
    <mergeCell ref="K7:P7"/>
    <mergeCell ref="S7:U8"/>
    <mergeCell ref="O8:P8"/>
    <mergeCell ref="O9:P9"/>
    <mergeCell ref="B35:U35"/>
    <mergeCell ref="A37:V37"/>
    <mergeCell ref="A38:V38"/>
    <mergeCell ref="B182:B183"/>
    <mergeCell ref="I293:I295"/>
    <mergeCell ref="B360:B361"/>
    <mergeCell ref="R64:U64"/>
    <mergeCell ref="M64:P64"/>
    <mergeCell ref="M65:P65"/>
    <mergeCell ref="R65:U65"/>
    <mergeCell ref="A286:U286"/>
    <mergeCell ref="B73:I74"/>
    <mergeCell ref="A106:V106"/>
    <mergeCell ref="B180:I181"/>
    <mergeCell ref="A213:V213"/>
    <mergeCell ref="A214:V214"/>
    <mergeCell ref="A107:V107"/>
    <mergeCell ref="A144:V144"/>
    <mergeCell ref="A145:V145"/>
    <mergeCell ref="A177:V177"/>
    <mergeCell ref="A178:V178"/>
    <mergeCell ref="B75:B76"/>
    <mergeCell ref="K114:P114"/>
    <mergeCell ref="S114:U115"/>
    <mergeCell ref="O115:P115"/>
    <mergeCell ref="O116:P116"/>
    <mergeCell ref="D114:H114"/>
    <mergeCell ref="I114:I116"/>
    <mergeCell ref="Q114:Q116"/>
    <mergeCell ref="B112:U113"/>
    <mergeCell ref="B114:B116"/>
    <mergeCell ref="B218:B219"/>
    <mergeCell ref="B216:J217"/>
    <mergeCell ref="A250:U250"/>
    <mergeCell ref="B252:J253"/>
    <mergeCell ref="B254:B255"/>
    <mergeCell ref="K293:P293"/>
    <mergeCell ref="Q293:Q295"/>
    <mergeCell ref="S293:U294"/>
    <mergeCell ref="O294:P294"/>
    <mergeCell ref="O295:P295"/>
    <mergeCell ref="Z115:Z116"/>
    <mergeCell ref="AA115:AA116"/>
    <mergeCell ref="R171:U171"/>
    <mergeCell ref="M171:P171"/>
    <mergeCell ref="M172:P172"/>
    <mergeCell ref="R172:U172"/>
    <mergeCell ref="B142:U142"/>
    <mergeCell ref="B394:E395"/>
    <mergeCell ref="B380:E381"/>
    <mergeCell ref="B384:E385"/>
    <mergeCell ref="B386:E387"/>
    <mergeCell ref="B388:E389"/>
    <mergeCell ref="B382:F383"/>
    <mergeCell ref="B390:F391"/>
    <mergeCell ref="B372:E373"/>
    <mergeCell ref="B374:E375"/>
    <mergeCell ref="B376:E377"/>
    <mergeCell ref="B378:E379"/>
    <mergeCell ref="B392:E393"/>
    <mergeCell ref="B362:E363"/>
    <mergeCell ref="B364:E365"/>
    <mergeCell ref="B366:E367"/>
    <mergeCell ref="B368:E369"/>
    <mergeCell ref="B370:E371"/>
  </mergeCells>
  <conditionalFormatting sqref="B10:B31 K10:O31 D10:I31 P10:Q32 S10:U31 B51:C66 B77:B98 D77:H98 K117:O138 D117:I138 Q117:Q138 B117:B138 P117:P139 S117:U138 B158:C173 B184:B205 D296:I317 Q296:Q317 K296:O317 B296:B317 P296:P318 S296:U317 B337:C352 D184:H205 D220:H241 D256:H277">
    <cfRule type="expression" dxfId="191" priority="221">
      <formula>$B10=$Z$4</formula>
    </cfRule>
  </conditionalFormatting>
  <conditionalFormatting sqref="S10:T31">
    <cfRule type="containsErrors" dxfId="190" priority="200">
      <formula>ISERROR(S10)</formula>
    </cfRule>
  </conditionalFormatting>
  <conditionalFormatting sqref="A10:A31 A184:A205">
    <cfRule type="cellIs" dxfId="189" priority="198" operator="equal">
      <formula>0</formula>
    </cfRule>
  </conditionalFormatting>
  <conditionalFormatting sqref="A77:A98">
    <cfRule type="cellIs" dxfId="188" priority="196" operator="equal">
      <formula>0</formula>
    </cfRule>
  </conditionalFormatting>
  <conditionalFormatting sqref="A1:A37 A39:A70 A72:A106 A415:A1048576">
    <cfRule type="containsErrors" dxfId="187" priority="190">
      <formula>ISERROR(A1)</formula>
    </cfRule>
  </conditionalFormatting>
  <conditionalFormatting sqref="AG10:AH28">
    <cfRule type="containsErrors" dxfId="186" priority="189">
      <formula>ISERROR(AG10)</formula>
    </cfRule>
  </conditionalFormatting>
  <conditionalFormatting sqref="AG10:AH21 AH11:AH28 AG296:AH307 AH297:AH314 AG117:AH128 AH118:AH135">
    <cfRule type="expression" dxfId="185" priority="188">
      <formula>$B10=$X$4</formula>
    </cfRule>
  </conditionalFormatting>
  <conditionalFormatting sqref="D100:H100">
    <cfRule type="containsErrors" dxfId="184" priority="187">
      <formula>ISERROR(D100)</formula>
    </cfRule>
  </conditionalFormatting>
  <conditionalFormatting sqref="A38">
    <cfRule type="cellIs" dxfId="183" priority="180" operator="equal">
      <formula>0</formula>
    </cfRule>
    <cfRule type="containsErrors" dxfId="182" priority="181">
      <formula>ISERROR(A38)</formula>
    </cfRule>
  </conditionalFormatting>
  <conditionalFormatting sqref="A71">
    <cfRule type="cellIs" dxfId="181" priority="178" operator="equal">
      <formula>0</formula>
    </cfRule>
    <cfRule type="containsErrors" dxfId="180" priority="179">
      <formula>ISERROR(A71)</formula>
    </cfRule>
  </conditionalFormatting>
  <conditionalFormatting sqref="A107">
    <cfRule type="cellIs" dxfId="179" priority="172" operator="equal">
      <formula>0</formula>
    </cfRule>
    <cfRule type="containsErrors" dxfId="178" priority="173">
      <formula>ISERROR(A107)</formula>
    </cfRule>
  </conditionalFormatting>
  <conditionalFormatting sqref="B117:B138 K117:O138 B158:C173 D117:I138 Q117:Q138">
    <cfRule type="containsErrors" dxfId="177" priority="218">
      <formula>ISERROR(B117)</formula>
    </cfRule>
  </conditionalFormatting>
  <conditionalFormatting sqref="S117:T138">
    <cfRule type="containsErrors" dxfId="176" priority="158">
      <formula>ISERROR(S117)</formula>
    </cfRule>
  </conditionalFormatting>
  <conditionalFormatting sqref="A117:A138">
    <cfRule type="cellIs" dxfId="175" priority="157" operator="equal">
      <formula>0</formula>
    </cfRule>
  </conditionalFormatting>
  <conditionalFormatting sqref="A111:A144 A146:A177">
    <cfRule type="containsErrors" dxfId="174" priority="156">
      <formula>ISERROR(A111)</formula>
    </cfRule>
  </conditionalFormatting>
  <conditionalFormatting sqref="AG117:AH135">
    <cfRule type="containsErrors" dxfId="173" priority="155">
      <formula>ISERROR(AG117)</formula>
    </cfRule>
  </conditionalFormatting>
  <conditionalFormatting sqref="Q117:Q138">
    <cfRule type="containsErrors" dxfId="172" priority="161">
      <formula>ISERROR(Q117)</formula>
    </cfRule>
  </conditionalFormatting>
  <conditionalFormatting sqref="A145">
    <cfRule type="cellIs" dxfId="171" priority="149" operator="equal">
      <formula>0</formula>
    </cfRule>
    <cfRule type="containsErrors" dxfId="170" priority="150">
      <formula>ISERROR(A145)</formula>
    </cfRule>
  </conditionalFormatting>
  <conditionalFormatting sqref="A178">
    <cfRule type="cellIs" dxfId="169" priority="147" operator="equal">
      <formula>0</formula>
    </cfRule>
    <cfRule type="containsErrors" dxfId="168" priority="148">
      <formula>ISERROR(A178)</formula>
    </cfRule>
  </conditionalFormatting>
  <conditionalFormatting sqref="A214">
    <cfRule type="cellIs" dxfId="167" priority="140" operator="equal">
      <formula>0</formula>
    </cfRule>
    <cfRule type="containsErrors" dxfId="166" priority="141">
      <formula>ISERROR(A214)</formula>
    </cfRule>
  </conditionalFormatting>
  <conditionalFormatting sqref="D8:H8">
    <cfRule type="containsErrors" dxfId="165" priority="137">
      <formula>ISERROR(D8)</formula>
    </cfRule>
  </conditionalFormatting>
  <conditionalFormatting sqref="D9:H9">
    <cfRule type="containsErrors" dxfId="164" priority="139">
      <formula>ISERROR(D9)</formula>
    </cfRule>
  </conditionalFormatting>
  <conditionalFormatting sqref="K8:O8">
    <cfRule type="containsErrors" dxfId="163" priority="136">
      <formula>ISERROR(K8)</formula>
    </cfRule>
  </conditionalFormatting>
  <conditionalFormatting sqref="K9:O9">
    <cfRule type="containsErrors" dxfId="162" priority="223">
      <formula>ISERROR(K9)</formula>
    </cfRule>
  </conditionalFormatting>
  <conditionalFormatting sqref="P32">
    <cfRule type="containsErrors" dxfId="161" priority="128">
      <formula>ISERROR(P32)</formula>
    </cfRule>
  </conditionalFormatting>
  <conditionalFormatting sqref="P10:P32">
    <cfRule type="containsErrors" dxfId="160" priority="126">
      <formula>ISERROR(P10)</formula>
    </cfRule>
    <cfRule type="dataBar" priority="127">
      <dataBar showValue="0">
        <cfvo type="min"/>
        <cfvo type="max"/>
        <color theme="9"/>
      </dataBar>
      <extLst>
        <ext xmlns:x14="http://schemas.microsoft.com/office/spreadsheetml/2009/9/main" uri="{B025F937-C7B1-47D3-B67F-A62EFF666E3E}">
          <x14:id>{2403FCE7-E9CA-4BA9-A83D-360576285C10}</x14:id>
        </ext>
      </extLst>
    </cfRule>
  </conditionalFormatting>
  <conditionalFormatting sqref="Q10:Q31">
    <cfRule type="containsErrors" dxfId="159" priority="124">
      <formula>ISERROR(Q10)</formula>
    </cfRule>
  </conditionalFormatting>
  <conditionalFormatting sqref="I10:I31">
    <cfRule type="containsErrors" dxfId="158" priority="123">
      <formula>ISERROR(I10)</formula>
    </cfRule>
  </conditionalFormatting>
  <conditionalFormatting sqref="Z3:AD3">
    <cfRule type="containsErrors" dxfId="157" priority="122">
      <formula>ISERROR(Z3)</formula>
    </cfRule>
  </conditionalFormatting>
  <conditionalFormatting sqref="Z2:AD2">
    <cfRule type="containsErrors" dxfId="156" priority="121">
      <formula>ISERROR(Z2)</formula>
    </cfRule>
  </conditionalFormatting>
  <conditionalFormatting sqref="Y2">
    <cfRule type="containsErrors" dxfId="155" priority="119">
      <formula>ISERROR(Y2)</formula>
    </cfRule>
  </conditionalFormatting>
  <conditionalFormatting sqref="Y3">
    <cfRule type="containsErrors" dxfId="154" priority="120">
      <formula>ISERROR(Y3)</formula>
    </cfRule>
  </conditionalFormatting>
  <conditionalFormatting sqref="D75:H75">
    <cfRule type="containsErrors" dxfId="153" priority="115">
      <formula>ISERROR(D75)</formula>
    </cfRule>
  </conditionalFormatting>
  <conditionalFormatting sqref="D76:H76">
    <cfRule type="containsErrors" dxfId="152" priority="116">
      <formula>ISERROR(D76)</formula>
    </cfRule>
  </conditionalFormatting>
  <conditionalFormatting sqref="I117:I138">
    <cfRule type="containsErrors" dxfId="151" priority="114">
      <formula>ISERROR(I117)</formula>
    </cfRule>
  </conditionalFormatting>
  <conditionalFormatting sqref="D115:H115">
    <cfRule type="containsErrors" dxfId="150" priority="111">
      <formula>ISERROR(D115)</formula>
    </cfRule>
  </conditionalFormatting>
  <conditionalFormatting sqref="D116:H116">
    <cfRule type="containsErrors" dxfId="149" priority="113">
      <formula>ISERROR(D116)</formula>
    </cfRule>
  </conditionalFormatting>
  <conditionalFormatting sqref="K115:O115">
    <cfRule type="containsErrors" dxfId="148" priority="110">
      <formula>ISERROR(K115)</formula>
    </cfRule>
  </conditionalFormatting>
  <conditionalFormatting sqref="K116:O116">
    <cfRule type="containsErrors" dxfId="147" priority="225">
      <formula>ISERROR(K116)</formula>
    </cfRule>
  </conditionalFormatting>
  <conditionalFormatting sqref="P139">
    <cfRule type="containsErrors" dxfId="146" priority="107">
      <formula>ISERROR(P139)</formula>
    </cfRule>
  </conditionalFormatting>
  <conditionalFormatting sqref="P117:P139">
    <cfRule type="containsErrors" dxfId="145" priority="105">
      <formula>ISERROR(P117)</formula>
    </cfRule>
    <cfRule type="dataBar" priority="106">
      <dataBar showValue="0">
        <cfvo type="min"/>
        <cfvo type="max"/>
        <color theme="9"/>
      </dataBar>
      <extLst>
        <ext xmlns:x14="http://schemas.microsoft.com/office/spreadsheetml/2009/9/main" uri="{B025F937-C7B1-47D3-B67F-A62EFF666E3E}">
          <x14:id>{9B4FC7F5-DB7A-4987-B350-DE384486D858}</x14:id>
        </ext>
      </extLst>
    </cfRule>
  </conditionalFormatting>
  <conditionalFormatting sqref="U10:U31">
    <cfRule type="containsErrors" dxfId="144" priority="102">
      <formula>ISERROR(U10)</formula>
    </cfRule>
  </conditionalFormatting>
  <conditionalFormatting sqref="U32">
    <cfRule type="containsErrors" dxfId="143" priority="100">
      <formula>ISERROR(U32)</formula>
    </cfRule>
  </conditionalFormatting>
  <conditionalFormatting sqref="D33:U33">
    <cfRule type="containsErrors" dxfId="142" priority="99">
      <formula>ISERROR(D33)</formula>
    </cfRule>
  </conditionalFormatting>
  <conditionalFormatting sqref="U117:U138">
    <cfRule type="containsErrors" dxfId="141" priority="98">
      <formula>ISERROR(U117)</formula>
    </cfRule>
  </conditionalFormatting>
  <conditionalFormatting sqref="U139">
    <cfRule type="containsErrors" dxfId="140" priority="96">
      <formula>ISERROR(U139)</formula>
    </cfRule>
  </conditionalFormatting>
  <conditionalFormatting sqref="D140:U140">
    <cfRule type="containsErrors" dxfId="139" priority="95">
      <formula>ISERROR(D140)</formula>
    </cfRule>
  </conditionalFormatting>
  <conditionalFormatting sqref="AB295:AF295">
    <cfRule type="cellIs" dxfId="138" priority="89" stopIfTrue="1" operator="equal">
      <formula>0</formula>
    </cfRule>
  </conditionalFormatting>
  <conditionalFormatting sqref="B296:B317 B337:C352 D296:I317 Q296:Q317 K296:O317">
    <cfRule type="containsErrors" dxfId="137" priority="93">
      <formula>ISERROR(B296)</formula>
    </cfRule>
  </conditionalFormatting>
  <conditionalFormatting sqref="S296:T317">
    <cfRule type="containsErrors" dxfId="136" priority="88">
      <formula>ISERROR(S296)</formula>
    </cfRule>
  </conditionalFormatting>
  <conditionalFormatting sqref="A296:A317">
    <cfRule type="cellIs" dxfId="135" priority="87" operator="equal">
      <formula>0</formula>
    </cfRule>
  </conditionalFormatting>
  <conditionalFormatting sqref="A290:A323 A325:A356">
    <cfRule type="containsErrors" dxfId="134" priority="86">
      <formula>ISERROR(A290)</formula>
    </cfRule>
  </conditionalFormatting>
  <conditionalFormatting sqref="AG296:AH314">
    <cfRule type="containsErrors" dxfId="133" priority="85">
      <formula>ISERROR(AG296)</formula>
    </cfRule>
  </conditionalFormatting>
  <conditionalFormatting sqref="Q296:Q317">
    <cfRule type="containsErrors" dxfId="132" priority="91">
      <formula>ISERROR(Q296)</formula>
    </cfRule>
  </conditionalFormatting>
  <conditionalFormatting sqref="A324">
    <cfRule type="cellIs" dxfId="131" priority="81" operator="equal">
      <formula>0</formula>
    </cfRule>
    <cfRule type="containsErrors" dxfId="130" priority="82">
      <formula>ISERROR(A324)</formula>
    </cfRule>
  </conditionalFormatting>
  <conditionalFormatting sqref="A357">
    <cfRule type="cellIs" dxfId="129" priority="79" operator="equal">
      <formula>0</formula>
    </cfRule>
    <cfRule type="containsErrors" dxfId="128" priority="80">
      <formula>ISERROR(A357)</formula>
    </cfRule>
  </conditionalFormatting>
  <conditionalFormatting sqref="I296:I317">
    <cfRule type="containsErrors" dxfId="127" priority="78">
      <formula>ISERROR(I296)</formula>
    </cfRule>
  </conditionalFormatting>
  <conditionalFormatting sqref="D294:H294">
    <cfRule type="containsErrors" dxfId="126" priority="75">
      <formula>ISERROR(D294)</formula>
    </cfRule>
  </conditionalFormatting>
  <conditionalFormatting sqref="D295:H295">
    <cfRule type="containsErrors" dxfId="125" priority="77">
      <formula>ISERROR(D295)</formula>
    </cfRule>
  </conditionalFormatting>
  <conditionalFormatting sqref="K294:O294">
    <cfRule type="containsErrors" dxfId="124" priority="74">
      <formula>ISERROR(K294)</formula>
    </cfRule>
  </conditionalFormatting>
  <conditionalFormatting sqref="K295:O295">
    <cfRule type="containsErrors" dxfId="123" priority="222">
      <formula>ISERROR(K295)</formula>
    </cfRule>
  </conditionalFormatting>
  <conditionalFormatting sqref="P318">
    <cfRule type="containsErrors" dxfId="122" priority="71">
      <formula>ISERROR(P318)</formula>
    </cfRule>
  </conditionalFormatting>
  <conditionalFormatting sqref="P296:P318">
    <cfRule type="containsErrors" dxfId="121" priority="69">
      <formula>ISERROR(P296)</formula>
    </cfRule>
    <cfRule type="dataBar" priority="70">
      <dataBar showValue="0">
        <cfvo type="min"/>
        <cfvo type="max"/>
        <color theme="9"/>
      </dataBar>
      <extLst>
        <ext xmlns:x14="http://schemas.microsoft.com/office/spreadsheetml/2009/9/main" uri="{B025F937-C7B1-47D3-B67F-A62EFF666E3E}">
          <x14:id>{3D2247D4-B315-42E3-BD15-069B216CFCBD}</x14:id>
        </ext>
      </extLst>
    </cfRule>
  </conditionalFormatting>
  <conditionalFormatting sqref="U296:U317">
    <cfRule type="containsErrors" dxfId="120" priority="68">
      <formula>ISERROR(U296)</formula>
    </cfRule>
  </conditionalFormatting>
  <conditionalFormatting sqref="U318">
    <cfRule type="containsErrors" dxfId="119" priority="66">
      <formula>ISERROR(U318)</formula>
    </cfRule>
  </conditionalFormatting>
  <conditionalFormatting sqref="D319:U319">
    <cfRule type="containsErrors" dxfId="118" priority="65">
      <formula>ISERROR(D319)</formula>
    </cfRule>
  </conditionalFormatting>
  <conditionalFormatting sqref="AB9:AF9">
    <cfRule type="cellIs" dxfId="117" priority="64" stopIfTrue="1" operator="equal">
      <formula>0</formula>
    </cfRule>
  </conditionalFormatting>
  <conditionalFormatting sqref="A108:A110">
    <cfRule type="containsErrors" dxfId="116" priority="62">
      <formula>ISERROR(A108)</formula>
    </cfRule>
  </conditionalFormatting>
  <conditionalFormatting sqref="A287:A289">
    <cfRule type="containsErrors" dxfId="115" priority="57">
      <formula>ISERROR(A287)</formula>
    </cfRule>
  </conditionalFormatting>
  <conditionalFormatting sqref="Z76:AD76">
    <cfRule type="cellIs" dxfId="114" priority="51" stopIfTrue="1" operator="equal">
      <formula>0</formula>
    </cfRule>
  </conditionalFormatting>
  <conditionalFormatting sqref="AB116:AF116">
    <cfRule type="cellIs" dxfId="113" priority="50" stopIfTrue="1" operator="equal">
      <formula>0</formula>
    </cfRule>
  </conditionalFormatting>
  <conditionalFormatting sqref="AM147:AQ147">
    <cfRule type="cellIs" dxfId="112" priority="49" stopIfTrue="1" operator="equal">
      <formula>0</formula>
    </cfRule>
  </conditionalFormatting>
  <conditionalFormatting sqref="AS147:AW147">
    <cfRule type="cellIs" dxfId="111" priority="48" stopIfTrue="1" operator="equal">
      <formula>0</formula>
    </cfRule>
  </conditionalFormatting>
  <conditionalFormatting sqref="AE183:AI183">
    <cfRule type="cellIs" dxfId="110" priority="47" stopIfTrue="1" operator="equal">
      <formula>0</formula>
    </cfRule>
  </conditionalFormatting>
  <conditionalFormatting sqref="Z147:AD147">
    <cfRule type="cellIs" dxfId="109" priority="45" stopIfTrue="1" operator="equal">
      <formula>0</formula>
    </cfRule>
  </conditionalFormatting>
  <conditionalFormatting sqref="A220:A243">
    <cfRule type="cellIs" dxfId="108" priority="42" operator="equal">
      <formula>0</formula>
    </cfRule>
  </conditionalFormatting>
  <conditionalFormatting sqref="AX147:BB147">
    <cfRule type="cellIs" dxfId="107" priority="37" stopIfTrue="1" operator="equal">
      <formula>0</formula>
    </cfRule>
  </conditionalFormatting>
  <conditionalFormatting sqref="A256:A279">
    <cfRule type="cellIs" dxfId="106" priority="34" operator="equal">
      <formula>0</formula>
    </cfRule>
  </conditionalFormatting>
  <conditionalFormatting sqref="BC147:BG147">
    <cfRule type="cellIs" dxfId="105" priority="21" stopIfTrue="1" operator="equal">
      <formula>0</formula>
    </cfRule>
  </conditionalFormatting>
  <conditionalFormatting sqref="D77:H98">
    <cfRule type="containsErrors" dxfId="104" priority="20">
      <formula>ISERROR(D77)</formula>
    </cfRule>
  </conditionalFormatting>
  <conditionalFormatting sqref="D99:H99">
    <cfRule type="containsErrors" dxfId="103" priority="19">
      <formula>ISERROR(D99)</formula>
    </cfRule>
  </conditionalFormatting>
  <conditionalFormatting sqref="D207:H207">
    <cfRule type="containsErrors" dxfId="102" priority="17">
      <formula>ISERROR(D207)</formula>
    </cfRule>
  </conditionalFormatting>
  <conditionalFormatting sqref="D182:H182">
    <cfRule type="containsErrors" dxfId="101" priority="15">
      <formula>ISERROR(D182)</formula>
    </cfRule>
  </conditionalFormatting>
  <conditionalFormatting sqref="D183:H183">
    <cfRule type="containsErrors" dxfId="100" priority="16">
      <formula>ISERROR(D183)</formula>
    </cfRule>
  </conditionalFormatting>
  <conditionalFormatting sqref="D184:H205">
    <cfRule type="containsErrors" dxfId="99" priority="14">
      <formula>ISERROR(D184)</formula>
    </cfRule>
  </conditionalFormatting>
  <conditionalFormatting sqref="D206:H206">
    <cfRule type="containsErrors" dxfId="98" priority="13">
      <formula>ISERROR(D206)</formula>
    </cfRule>
  </conditionalFormatting>
  <conditionalFormatting sqref="D243:H243">
    <cfRule type="containsErrors" dxfId="97" priority="11">
      <formula>ISERROR(D243)</formula>
    </cfRule>
  </conditionalFormatting>
  <conditionalFormatting sqref="D218:H218">
    <cfRule type="containsErrors" dxfId="96" priority="9">
      <formula>ISERROR(D218)</formula>
    </cfRule>
  </conditionalFormatting>
  <conditionalFormatting sqref="D219:H219">
    <cfRule type="containsErrors" dxfId="95" priority="10">
      <formula>ISERROR(D219)</formula>
    </cfRule>
  </conditionalFormatting>
  <conditionalFormatting sqref="D220:H241">
    <cfRule type="containsErrors" dxfId="94" priority="8">
      <formula>ISERROR(D220)</formula>
    </cfRule>
  </conditionalFormatting>
  <conditionalFormatting sqref="D242:H242">
    <cfRule type="containsErrors" dxfId="93" priority="7">
      <formula>ISERROR(D242)</formula>
    </cfRule>
  </conditionalFormatting>
  <conditionalFormatting sqref="D279:H279">
    <cfRule type="containsErrors" dxfId="92" priority="5">
      <formula>ISERROR(D279)</formula>
    </cfRule>
  </conditionalFormatting>
  <conditionalFormatting sqref="D254:H254">
    <cfRule type="containsErrors" dxfId="91" priority="3">
      <formula>ISERROR(D254)</formula>
    </cfRule>
  </conditionalFormatting>
  <conditionalFormatting sqref="D255:H255">
    <cfRule type="containsErrors" dxfId="90" priority="4">
      <formula>ISERROR(D255)</formula>
    </cfRule>
  </conditionalFormatting>
  <conditionalFormatting sqref="D256:H277">
    <cfRule type="containsErrors" dxfId="89" priority="2">
      <formula>ISERROR(D256)</formula>
    </cfRule>
  </conditionalFormatting>
  <conditionalFormatting sqref="D278:H278">
    <cfRule type="containsErrors" dxfId="88" priority="1">
      <formula>ISERROR(D278)</formula>
    </cfRule>
  </conditionalFormatting>
  <hyperlinks>
    <hyperlink ref="B364:B365" location="Coverage!A1" display="Participating LA's" xr:uid="{AEE0439F-0462-4EA9-BECD-F00EB6B97D0B}"/>
    <hyperlink ref="B366:B367" location="IDACI!A1" display="IDACI" xr:uid="{A33E79DF-84AC-4BA7-94F5-930B54091B43}"/>
    <hyperlink ref="B394:B395" location="Adoption!A1" display="Adoption" xr:uid="{6D041548-6EA9-43E8-ABA0-65AA33AD2E4E}"/>
    <hyperlink ref="B388:B389" location="'Looked After Children'!A1" display="Looked After Children" xr:uid="{C050ECD8-F8B5-4A55-885C-CC841D691ED4}"/>
    <hyperlink ref="B386:B387" location="'Court Applications'!A1" display="Court Applications" xr:uid="{841A3C64-FBEE-46A7-B618-E1AE815D9A13}"/>
    <hyperlink ref="B384:B385" location="'Child Protection Plans'!A1" display="Child Protection Plans" xr:uid="{32043A42-0D89-47FD-B209-ABBEFD209338}"/>
    <hyperlink ref="B382:B383" location="'Initial CP Conferences'!A1" display="Initial Child Protection Conferences" xr:uid="{83D0FB92-6685-4556-95D6-7D6D20D76E40}"/>
    <hyperlink ref="B380:B381" location="'Section 47 Enquiries'!A1" display="Section 47 Enquiries" xr:uid="{AA5C90BC-BBD6-4555-928D-04173C47AE38}"/>
    <hyperlink ref="B378:B379" location="'Children in Need'!A1" display="Children in Need" xr:uid="{B8914E66-6D45-41E4-9E59-A5C8B5272C00}"/>
    <hyperlink ref="B376:B377" location="Assessments!A1" display="Assessments" xr:uid="{87774A96-7C1F-44BC-9E7D-6E7C98CEA742}"/>
    <hyperlink ref="B374:B375" location="'Re-referrals'!A1" display="Re-referrals" xr:uid="{98C2EC92-B23B-4264-BDEA-67A5C41F2346}"/>
    <hyperlink ref="B372:B373" location="Referral_Source!A1" display="Referral Source" xr:uid="{1C396DC5-D0D4-4BAC-924F-711F679A948B}"/>
    <hyperlink ref="B370:B371" location="Referrals!A1" display="Referrals" xr:uid="{FF398FA9-CEE2-470A-85EE-8E25D166EFD2}"/>
    <hyperlink ref="B368:B369" location="Population!A1" display="Population" xr:uid="{24B7A3B8-89F8-4045-BD0E-091B3BF4257B}"/>
    <hyperlink ref="B366:C367" location="IDACI!A1" display="IDACI" xr:uid="{AC7391A4-B2DE-4D04-9283-E7F545EA1BA5}"/>
    <hyperlink ref="B362:B363" location="Coverage!A1" display="Participating LA's" xr:uid="{12DCFF97-2F8F-4188-A574-64670CEB0FD4}"/>
    <hyperlink ref="B362:C363" location="Indicators!A1" display="Indicators" xr:uid="{03683715-2B87-4176-A68A-3B91AEC05CBB}"/>
    <hyperlink ref="B392:B393" location="'Looked After Children'!A1" display="Looked After Children" xr:uid="{C1447143-EEB0-4CA4-9C35-F5418DAED952}"/>
    <hyperlink ref="B390:B391" location="'Court Applications'!A1" display="Court Applications" xr:uid="{C06D2CF3-6CCD-4F40-AC71-97955EBFFE6C}"/>
    <hyperlink ref="B390:C391" location="New_Ceased_LAC!A1" display="New/ Ceased Looked After Children" xr:uid="{B21DD2C9-36D6-4512-866C-0173934D47B7}"/>
    <hyperlink ref="B392:C393" location="Care_Leavers!A1" display="Care Leavers" xr:uid="{B4A918AC-13E9-47C0-A8EA-5C4D36401A9F}"/>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8" max="21" man="1"/>
    <brk id="7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67940" r:id="rId4" name="Check Box 4">
              <controlPr defaultSize="0" autoFill="0" autoLine="0" autoPict="0" macro="[0]!CheckBox1_Click" altText="">
                <anchor>
                  <from>
                    <xdr:col>23</xdr:col>
                    <xdr:colOff>76200</xdr:colOff>
                    <xdr:row>42</xdr:row>
                    <xdr:rowOff>152400</xdr:rowOff>
                  </from>
                  <to>
                    <xdr:col>36</xdr:col>
                    <xdr:colOff>47625</xdr:colOff>
                    <xdr:row>44</xdr:row>
                    <xdr:rowOff>9525</xdr:rowOff>
                  </to>
                </anchor>
              </controlPr>
            </control>
          </mc:Choice>
        </mc:AlternateContent>
        <mc:AlternateContent xmlns:mc="http://schemas.openxmlformats.org/markup-compatibility/2006">
          <mc:Choice Requires="x14">
            <control shapeId="167941" r:id="rId5" name="Check Box 5">
              <controlPr defaultSize="0" autoFill="0" autoLine="0" autoPict="0" macro="[0]!CheckBox1_Click" altText="">
                <anchor>
                  <from>
                    <xdr:col>23</xdr:col>
                    <xdr:colOff>76200</xdr:colOff>
                    <xdr:row>43</xdr:row>
                    <xdr:rowOff>152400</xdr:rowOff>
                  </from>
                  <to>
                    <xdr:col>36</xdr:col>
                    <xdr:colOff>47625</xdr:colOff>
                    <xdr:row>45</xdr:row>
                    <xdr:rowOff>9525</xdr:rowOff>
                  </to>
                </anchor>
              </controlPr>
            </control>
          </mc:Choice>
        </mc:AlternateContent>
        <mc:AlternateContent xmlns:mc="http://schemas.openxmlformats.org/markup-compatibility/2006">
          <mc:Choice Requires="x14">
            <control shapeId="167942" r:id="rId6" name="Check Box 6">
              <controlPr defaultSize="0" autoFill="0" autoLine="0" autoPict="0" macro="[0]!CheckBox1_Click" altText="">
                <anchor>
                  <from>
                    <xdr:col>23</xdr:col>
                    <xdr:colOff>76200</xdr:colOff>
                    <xdr:row>44</xdr:row>
                    <xdr:rowOff>152400</xdr:rowOff>
                  </from>
                  <to>
                    <xdr:col>36</xdr:col>
                    <xdr:colOff>47625</xdr:colOff>
                    <xdr:row>46</xdr:row>
                    <xdr:rowOff>9525</xdr:rowOff>
                  </to>
                </anchor>
              </controlPr>
            </control>
          </mc:Choice>
        </mc:AlternateContent>
        <mc:AlternateContent xmlns:mc="http://schemas.openxmlformats.org/markup-compatibility/2006">
          <mc:Choice Requires="x14">
            <control shapeId="167943" r:id="rId7" name="Check Box 7">
              <controlPr defaultSize="0" autoFill="0" autoLine="0" autoPict="0" macro="[0]!CheckBox1_Click" altText="">
                <anchor>
                  <from>
                    <xdr:col>23</xdr:col>
                    <xdr:colOff>76200</xdr:colOff>
                    <xdr:row>45</xdr:row>
                    <xdr:rowOff>152400</xdr:rowOff>
                  </from>
                  <to>
                    <xdr:col>36</xdr:col>
                    <xdr:colOff>47625</xdr:colOff>
                    <xdr:row>47</xdr:row>
                    <xdr:rowOff>9525</xdr:rowOff>
                  </to>
                </anchor>
              </controlPr>
            </control>
          </mc:Choice>
        </mc:AlternateContent>
        <mc:AlternateContent xmlns:mc="http://schemas.openxmlformats.org/markup-compatibility/2006">
          <mc:Choice Requires="x14">
            <control shapeId="167944" r:id="rId8" name="Check Box 8">
              <controlPr defaultSize="0" autoFill="0" autoLine="0" autoPict="0" macro="[0]!CheckBox1_Click" altText="">
                <anchor>
                  <from>
                    <xdr:col>23</xdr:col>
                    <xdr:colOff>76200</xdr:colOff>
                    <xdr:row>46</xdr:row>
                    <xdr:rowOff>152400</xdr:rowOff>
                  </from>
                  <to>
                    <xdr:col>36</xdr:col>
                    <xdr:colOff>47625</xdr:colOff>
                    <xdr:row>48</xdr:row>
                    <xdr:rowOff>9525</xdr:rowOff>
                  </to>
                </anchor>
              </controlPr>
            </control>
          </mc:Choice>
        </mc:AlternateContent>
        <mc:AlternateContent xmlns:mc="http://schemas.openxmlformats.org/markup-compatibility/2006">
          <mc:Choice Requires="x14">
            <control shapeId="167945" r:id="rId9" name="Check Box 9">
              <controlPr defaultSize="0" autoFill="0" autoLine="0" autoPict="0" macro="[0]!CheckBox1_Click" altText="">
                <anchor>
                  <from>
                    <xdr:col>23</xdr:col>
                    <xdr:colOff>76200</xdr:colOff>
                    <xdr:row>47</xdr:row>
                    <xdr:rowOff>152400</xdr:rowOff>
                  </from>
                  <to>
                    <xdr:col>36</xdr:col>
                    <xdr:colOff>47625</xdr:colOff>
                    <xdr:row>49</xdr:row>
                    <xdr:rowOff>9525</xdr:rowOff>
                  </to>
                </anchor>
              </controlPr>
            </control>
          </mc:Choice>
        </mc:AlternateContent>
        <mc:AlternateContent xmlns:mc="http://schemas.openxmlformats.org/markup-compatibility/2006">
          <mc:Choice Requires="x14">
            <control shapeId="167946" r:id="rId10" name="Check Box 10">
              <controlPr defaultSize="0" autoFill="0" autoLine="0" autoPict="0" macro="[0]!CheckBox1_Click" altText="">
                <anchor>
                  <from>
                    <xdr:col>23</xdr:col>
                    <xdr:colOff>76200</xdr:colOff>
                    <xdr:row>48</xdr:row>
                    <xdr:rowOff>152400</xdr:rowOff>
                  </from>
                  <to>
                    <xdr:col>36</xdr:col>
                    <xdr:colOff>47625</xdr:colOff>
                    <xdr:row>50</xdr:row>
                    <xdr:rowOff>9525</xdr:rowOff>
                  </to>
                </anchor>
              </controlPr>
            </control>
          </mc:Choice>
        </mc:AlternateContent>
        <mc:AlternateContent xmlns:mc="http://schemas.openxmlformats.org/markup-compatibility/2006">
          <mc:Choice Requires="x14">
            <control shapeId="167947" r:id="rId11" name="Check Box 11">
              <controlPr defaultSize="0" autoFill="0" autoLine="0" autoPict="0" macro="[0]!CheckBox1_Click" altText="">
                <anchor>
                  <from>
                    <xdr:col>23</xdr:col>
                    <xdr:colOff>76200</xdr:colOff>
                    <xdr:row>49</xdr:row>
                    <xdr:rowOff>152400</xdr:rowOff>
                  </from>
                  <to>
                    <xdr:col>36</xdr:col>
                    <xdr:colOff>47625</xdr:colOff>
                    <xdr:row>51</xdr:row>
                    <xdr:rowOff>9525</xdr:rowOff>
                  </to>
                </anchor>
              </controlPr>
            </control>
          </mc:Choice>
        </mc:AlternateContent>
        <mc:AlternateContent xmlns:mc="http://schemas.openxmlformats.org/markup-compatibility/2006">
          <mc:Choice Requires="x14">
            <control shapeId="167948" r:id="rId12" name="Check Box 12">
              <controlPr defaultSize="0" autoFill="0" autoLine="0" autoPict="0" macro="[0]!CheckBox1_Click" altText="">
                <anchor>
                  <from>
                    <xdr:col>23</xdr:col>
                    <xdr:colOff>76200</xdr:colOff>
                    <xdr:row>50</xdr:row>
                    <xdr:rowOff>152400</xdr:rowOff>
                  </from>
                  <to>
                    <xdr:col>36</xdr:col>
                    <xdr:colOff>47625</xdr:colOff>
                    <xdr:row>52</xdr:row>
                    <xdr:rowOff>9525</xdr:rowOff>
                  </to>
                </anchor>
              </controlPr>
            </control>
          </mc:Choice>
        </mc:AlternateContent>
        <mc:AlternateContent xmlns:mc="http://schemas.openxmlformats.org/markup-compatibility/2006">
          <mc:Choice Requires="x14">
            <control shapeId="167949" r:id="rId13" name="Check Box 13">
              <controlPr defaultSize="0" autoFill="0" autoLine="0" autoPict="0" macro="[0]!CheckBox1_Click" altText="">
                <anchor>
                  <from>
                    <xdr:col>23</xdr:col>
                    <xdr:colOff>76200</xdr:colOff>
                    <xdr:row>51</xdr:row>
                    <xdr:rowOff>152400</xdr:rowOff>
                  </from>
                  <to>
                    <xdr:col>36</xdr:col>
                    <xdr:colOff>47625</xdr:colOff>
                    <xdr:row>53</xdr:row>
                    <xdr:rowOff>9525</xdr:rowOff>
                  </to>
                </anchor>
              </controlPr>
            </control>
          </mc:Choice>
        </mc:AlternateContent>
        <mc:AlternateContent xmlns:mc="http://schemas.openxmlformats.org/markup-compatibility/2006">
          <mc:Choice Requires="x14">
            <control shapeId="167950" r:id="rId14" name="Check Box 14">
              <controlPr defaultSize="0" autoFill="0" autoLine="0" autoPict="0" macro="[0]!CheckBox1_Click" altText="">
                <anchor>
                  <from>
                    <xdr:col>23</xdr:col>
                    <xdr:colOff>76200</xdr:colOff>
                    <xdr:row>52</xdr:row>
                    <xdr:rowOff>152400</xdr:rowOff>
                  </from>
                  <to>
                    <xdr:col>36</xdr:col>
                    <xdr:colOff>47625</xdr:colOff>
                    <xdr:row>54</xdr:row>
                    <xdr:rowOff>9525</xdr:rowOff>
                  </to>
                </anchor>
              </controlPr>
            </control>
          </mc:Choice>
        </mc:AlternateContent>
        <mc:AlternateContent xmlns:mc="http://schemas.openxmlformats.org/markup-compatibility/2006">
          <mc:Choice Requires="x14">
            <control shapeId="167951" r:id="rId15" name="Check Box 15">
              <controlPr defaultSize="0" autoFill="0" autoLine="0" autoPict="0" macro="[0]!CheckBox1_Click" altText="">
                <anchor>
                  <from>
                    <xdr:col>23</xdr:col>
                    <xdr:colOff>76200</xdr:colOff>
                    <xdr:row>53</xdr:row>
                    <xdr:rowOff>152400</xdr:rowOff>
                  </from>
                  <to>
                    <xdr:col>36</xdr:col>
                    <xdr:colOff>47625</xdr:colOff>
                    <xdr:row>55</xdr:row>
                    <xdr:rowOff>9525</xdr:rowOff>
                  </to>
                </anchor>
              </controlPr>
            </control>
          </mc:Choice>
        </mc:AlternateContent>
        <mc:AlternateContent xmlns:mc="http://schemas.openxmlformats.org/markup-compatibility/2006">
          <mc:Choice Requires="x14">
            <control shapeId="167952" r:id="rId16" name="Check Box 16">
              <controlPr defaultSize="0" autoFill="0" autoLine="0" autoPict="0" macro="[0]!CheckBox1_Click" altText="">
                <anchor>
                  <from>
                    <xdr:col>23</xdr:col>
                    <xdr:colOff>76200</xdr:colOff>
                    <xdr:row>54</xdr:row>
                    <xdr:rowOff>152400</xdr:rowOff>
                  </from>
                  <to>
                    <xdr:col>36</xdr:col>
                    <xdr:colOff>47625</xdr:colOff>
                    <xdr:row>56</xdr:row>
                    <xdr:rowOff>9525</xdr:rowOff>
                  </to>
                </anchor>
              </controlPr>
            </control>
          </mc:Choice>
        </mc:AlternateContent>
        <mc:AlternateContent xmlns:mc="http://schemas.openxmlformats.org/markup-compatibility/2006">
          <mc:Choice Requires="x14">
            <control shapeId="167953" r:id="rId17" name="Check Box 17">
              <controlPr defaultSize="0" autoFill="0" autoLine="0" autoPict="0" macro="[0]!CheckBox1_Click" altText="">
                <anchor>
                  <from>
                    <xdr:col>23</xdr:col>
                    <xdr:colOff>76200</xdr:colOff>
                    <xdr:row>57</xdr:row>
                    <xdr:rowOff>152400</xdr:rowOff>
                  </from>
                  <to>
                    <xdr:col>36</xdr:col>
                    <xdr:colOff>47625</xdr:colOff>
                    <xdr:row>59</xdr:row>
                    <xdr:rowOff>9525</xdr:rowOff>
                  </to>
                </anchor>
              </controlPr>
            </control>
          </mc:Choice>
        </mc:AlternateContent>
        <mc:AlternateContent xmlns:mc="http://schemas.openxmlformats.org/markup-compatibility/2006">
          <mc:Choice Requires="x14">
            <control shapeId="167954" r:id="rId18" name="Check Box 18">
              <controlPr defaultSize="0" autoFill="0" autoLine="0" autoPict="0" macro="[0]!CheckBox1_Click" altText="">
                <anchor>
                  <from>
                    <xdr:col>23</xdr:col>
                    <xdr:colOff>76200</xdr:colOff>
                    <xdr:row>58</xdr:row>
                    <xdr:rowOff>152400</xdr:rowOff>
                  </from>
                  <to>
                    <xdr:col>36</xdr:col>
                    <xdr:colOff>47625</xdr:colOff>
                    <xdr:row>60</xdr:row>
                    <xdr:rowOff>9525</xdr:rowOff>
                  </to>
                </anchor>
              </controlPr>
            </control>
          </mc:Choice>
        </mc:AlternateContent>
        <mc:AlternateContent xmlns:mc="http://schemas.openxmlformats.org/markup-compatibility/2006">
          <mc:Choice Requires="x14">
            <control shapeId="167955" r:id="rId19" name="Check Box 19">
              <controlPr defaultSize="0" autoFill="0" autoLine="0" autoPict="0" macro="[0]!CheckBox1_Click" altText="">
                <anchor>
                  <from>
                    <xdr:col>23</xdr:col>
                    <xdr:colOff>76200</xdr:colOff>
                    <xdr:row>59</xdr:row>
                    <xdr:rowOff>152400</xdr:rowOff>
                  </from>
                  <to>
                    <xdr:col>36</xdr:col>
                    <xdr:colOff>47625</xdr:colOff>
                    <xdr:row>61</xdr:row>
                    <xdr:rowOff>9525</xdr:rowOff>
                  </to>
                </anchor>
              </controlPr>
            </control>
          </mc:Choice>
        </mc:AlternateContent>
        <mc:AlternateContent xmlns:mc="http://schemas.openxmlformats.org/markup-compatibility/2006">
          <mc:Choice Requires="x14">
            <control shapeId="167956" r:id="rId20" name="Check Box 20">
              <controlPr defaultSize="0" autoFill="0" autoLine="0" autoPict="0" macro="[0]!CheckBox1_Click" altText="">
                <anchor>
                  <from>
                    <xdr:col>23</xdr:col>
                    <xdr:colOff>76200</xdr:colOff>
                    <xdr:row>60</xdr:row>
                    <xdr:rowOff>152400</xdr:rowOff>
                  </from>
                  <to>
                    <xdr:col>36</xdr:col>
                    <xdr:colOff>47625</xdr:colOff>
                    <xdr:row>62</xdr:row>
                    <xdr:rowOff>9525</xdr:rowOff>
                  </to>
                </anchor>
              </controlPr>
            </control>
          </mc:Choice>
        </mc:AlternateContent>
        <mc:AlternateContent xmlns:mc="http://schemas.openxmlformats.org/markup-compatibility/2006">
          <mc:Choice Requires="x14">
            <control shapeId="167957" r:id="rId21" name="Check Box 21">
              <controlPr defaultSize="0" autoFill="0" autoLine="0" autoPict="0" macro="[0]!CheckBox1_Click" altText="">
                <anchor>
                  <from>
                    <xdr:col>23</xdr:col>
                    <xdr:colOff>76200</xdr:colOff>
                    <xdr:row>61</xdr:row>
                    <xdr:rowOff>152400</xdr:rowOff>
                  </from>
                  <to>
                    <xdr:col>36</xdr:col>
                    <xdr:colOff>47625</xdr:colOff>
                    <xdr:row>63</xdr:row>
                    <xdr:rowOff>9525</xdr:rowOff>
                  </to>
                </anchor>
              </controlPr>
            </control>
          </mc:Choice>
        </mc:AlternateContent>
        <mc:AlternateContent xmlns:mc="http://schemas.openxmlformats.org/markup-compatibility/2006">
          <mc:Choice Requires="x14">
            <control shapeId="167958" r:id="rId22" name="Check Box 22">
              <controlPr defaultSize="0" autoFill="0" autoLine="0" autoPict="0" macro="[0]!CheckBox1_Click" altText="">
                <anchor>
                  <from>
                    <xdr:col>23</xdr:col>
                    <xdr:colOff>76200</xdr:colOff>
                    <xdr:row>55</xdr:row>
                    <xdr:rowOff>152400</xdr:rowOff>
                  </from>
                  <to>
                    <xdr:col>36</xdr:col>
                    <xdr:colOff>47625</xdr:colOff>
                    <xdr:row>57</xdr:row>
                    <xdr:rowOff>9525</xdr:rowOff>
                  </to>
                </anchor>
              </controlPr>
            </control>
          </mc:Choice>
        </mc:AlternateContent>
        <mc:AlternateContent xmlns:mc="http://schemas.openxmlformats.org/markup-compatibility/2006">
          <mc:Choice Requires="x14">
            <control shapeId="167959" r:id="rId23" name="Check Box 23">
              <controlPr defaultSize="0" autoFill="0" autoLine="0" autoPict="0" macro="[0]!CheckBox1_Click" altText="">
                <anchor>
                  <from>
                    <xdr:col>23</xdr:col>
                    <xdr:colOff>76200</xdr:colOff>
                    <xdr:row>56</xdr:row>
                    <xdr:rowOff>152400</xdr:rowOff>
                  </from>
                  <to>
                    <xdr:col>36</xdr:col>
                    <xdr:colOff>47625</xdr:colOff>
                    <xdr:row>58</xdr:row>
                    <xdr:rowOff>9525</xdr:rowOff>
                  </to>
                </anchor>
              </controlPr>
            </control>
          </mc:Choice>
        </mc:AlternateContent>
        <mc:AlternateContent xmlns:mc="http://schemas.openxmlformats.org/markup-compatibility/2006">
          <mc:Choice Requires="x14">
            <control shapeId="167960" r:id="rId24" name="Check Box 24">
              <controlPr defaultSize="0" autoFill="0" autoLine="0" autoPict="0" macro="[0]!CheckBox1_Click" altText="">
                <anchor>
                  <from>
                    <xdr:col>23</xdr:col>
                    <xdr:colOff>76200</xdr:colOff>
                    <xdr:row>62</xdr:row>
                    <xdr:rowOff>152400</xdr:rowOff>
                  </from>
                  <to>
                    <xdr:col>36</xdr:col>
                    <xdr:colOff>47625</xdr:colOff>
                    <xdr:row>64</xdr:row>
                    <xdr:rowOff>9525</xdr:rowOff>
                  </to>
                </anchor>
              </controlPr>
            </control>
          </mc:Choice>
        </mc:AlternateContent>
        <mc:AlternateContent xmlns:mc="http://schemas.openxmlformats.org/markup-compatibility/2006">
          <mc:Choice Requires="x14">
            <control shapeId="167937" r:id="rId25" name="Check Box 1">
              <controlPr defaultSize="0" autoFill="0" autoLine="0" autoPict="0" macro="[0]!CheckBox1_Click" altText="">
                <anchor>
                  <from>
                    <xdr:col>23</xdr:col>
                    <xdr:colOff>76200</xdr:colOff>
                    <xdr:row>39</xdr:row>
                    <xdr:rowOff>28575</xdr:rowOff>
                  </from>
                  <to>
                    <xdr:col>36</xdr:col>
                    <xdr:colOff>47625</xdr:colOff>
                    <xdr:row>41</xdr:row>
                    <xdr:rowOff>9525</xdr:rowOff>
                  </to>
                </anchor>
              </controlPr>
            </control>
          </mc:Choice>
        </mc:AlternateContent>
        <mc:AlternateContent xmlns:mc="http://schemas.openxmlformats.org/markup-compatibility/2006">
          <mc:Choice Requires="x14">
            <control shapeId="167938" r:id="rId26" name="Check Box 2">
              <controlPr defaultSize="0" autoFill="0" autoLine="0" autoPict="0" macro="[0]!CheckBox1_Click" altText="">
                <anchor>
                  <from>
                    <xdr:col>23</xdr:col>
                    <xdr:colOff>76200</xdr:colOff>
                    <xdr:row>40</xdr:row>
                    <xdr:rowOff>152400</xdr:rowOff>
                  </from>
                  <to>
                    <xdr:col>36</xdr:col>
                    <xdr:colOff>47625</xdr:colOff>
                    <xdr:row>42</xdr:row>
                    <xdr:rowOff>9525</xdr:rowOff>
                  </to>
                </anchor>
              </controlPr>
            </control>
          </mc:Choice>
        </mc:AlternateContent>
        <mc:AlternateContent xmlns:mc="http://schemas.openxmlformats.org/markup-compatibility/2006">
          <mc:Choice Requires="x14">
            <control shapeId="167939" r:id="rId27" name="Check Box 3">
              <controlPr defaultSize="0" autoFill="0" autoLine="0" autoPict="0" macro="[0]!CheckBox1_Click" altText="">
                <anchor>
                  <from>
                    <xdr:col>23</xdr:col>
                    <xdr:colOff>76200</xdr:colOff>
                    <xdr:row>41</xdr:row>
                    <xdr:rowOff>152400</xdr:rowOff>
                  </from>
                  <to>
                    <xdr:col>36</xdr:col>
                    <xdr:colOff>47625</xdr:colOff>
                    <xdr:row>43</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2403FCE7-E9CA-4BA9-A83D-360576285C10}">
            <x14:dataBar minLength="0" maxLength="100" gradient="0" negativeBarColorSameAsPositive="1">
              <x14:cfvo type="autoMin"/>
              <x14:cfvo type="autoMax"/>
              <x14:axisColor rgb="FF000000"/>
            </x14:dataBar>
          </x14:cfRule>
          <xm:sqref>P10:P32</xm:sqref>
        </x14:conditionalFormatting>
        <x14:conditionalFormatting xmlns:xm="http://schemas.microsoft.com/office/excel/2006/main">
          <x14:cfRule type="dataBar" id="{9B4FC7F5-DB7A-4987-B350-DE384486D858}">
            <x14:dataBar minLength="0" maxLength="100" gradient="0" negativeBarColorSameAsPositive="1">
              <x14:cfvo type="autoMin"/>
              <x14:cfvo type="autoMax"/>
              <x14:axisColor rgb="FF000000"/>
            </x14:dataBar>
          </x14:cfRule>
          <xm:sqref>P117:P139</xm:sqref>
        </x14:conditionalFormatting>
        <x14:conditionalFormatting xmlns:xm="http://schemas.microsoft.com/office/excel/2006/main">
          <x14:cfRule type="dataBar" id="{3D2247D4-B315-42E3-BD15-069B216CFCBD}">
            <x14:dataBar minLength="0" maxLength="100" gradient="0">
              <x14:cfvo type="autoMin"/>
              <x14:cfvo type="autoMax"/>
              <x14:negativeFillColor theme="6" tint="-0.249977111117893"/>
              <x14:axisColor rgb="FF000000"/>
            </x14:dataBar>
          </x14:cfRule>
          <xm:sqref>P296:P318</xm:sqref>
        </x14:conditionalFormatting>
      </x14:conditionalFormatting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tabColor rgb="FFFFC000"/>
  </sheetPr>
  <dimension ref="A1:BH347"/>
  <sheetViews>
    <sheetView showRowColHeaders="0" zoomScaleNormal="10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10" width="7.42578125" style="76" customWidth="1"/>
    <col min="11" max="11" width="1.42578125" style="90" customWidth="1"/>
    <col min="12" max="18" width="7.42578125" style="76" customWidth="1"/>
    <col min="19" max="19" width="1.42578125" style="76" customWidth="1"/>
    <col min="20" max="20" width="8" style="76" customWidth="1"/>
    <col min="21" max="21" width="2.140625" style="76" customWidth="1"/>
    <col min="22" max="22" width="6.42578125" style="82" customWidth="1"/>
    <col min="23" max="23" width="4.85546875" style="82" customWidth="1"/>
    <col min="24" max="24" width="17.85546875" style="83" hidden="1" customWidth="1"/>
    <col min="25" max="25" width="19.42578125" style="83" hidden="1" customWidth="1"/>
    <col min="26" max="26" width="19.85546875" style="83" hidden="1" customWidth="1"/>
    <col min="27" max="28" width="16.5703125" style="83" hidden="1" customWidth="1"/>
    <col min="29" max="29" width="8.5703125" style="83" hidden="1" customWidth="1"/>
    <col min="30" max="30" width="17" style="83" hidden="1" customWidth="1"/>
    <col min="31" max="31" width="8.5703125" style="83" hidden="1" customWidth="1"/>
    <col min="32" max="32" width="14.42578125" style="83" hidden="1" customWidth="1"/>
    <col min="33" max="33" width="6.5703125" style="83" hidden="1" customWidth="1"/>
    <col min="34" max="34" width="7.140625" style="83" hidden="1" customWidth="1"/>
    <col min="35" max="35" width="6.5703125" style="76" hidden="1" customWidth="1"/>
    <col min="36" max="36" width="31.5703125" style="179" customWidth="1"/>
    <col min="37" max="37" width="17" style="76" hidden="1" customWidth="1"/>
    <col min="38" max="42" width="13.5703125" style="76" hidden="1" customWidth="1"/>
    <col min="43" max="49" width="9.140625" style="76" hidden="1" customWidth="1"/>
    <col min="50" max="50" width="17" style="76" hidden="1" customWidth="1"/>
    <col min="51" max="60" width="9.140625" style="76" hidden="1" customWidth="1"/>
    <col min="61" max="68" width="9.140625" style="76" customWidth="1"/>
    <col min="69" max="16384" width="9.140625" style="76"/>
  </cols>
  <sheetData>
    <row r="1" spans="1:49" ht="18.75" customHeight="1" thickBot="1" x14ac:dyDescent="0.25">
      <c r="A1" s="114"/>
      <c r="B1" s="115"/>
      <c r="C1" s="115"/>
      <c r="D1" s="115"/>
      <c r="E1" s="115"/>
      <c r="F1" s="115"/>
      <c r="G1" s="115"/>
      <c r="H1" s="115"/>
      <c r="I1" s="115"/>
      <c r="J1" s="115"/>
      <c r="K1" s="116"/>
      <c r="L1" s="115"/>
      <c r="M1" s="115"/>
      <c r="N1" s="115"/>
      <c r="O1" s="115"/>
      <c r="P1" s="115"/>
      <c r="Q1" s="115"/>
      <c r="R1" s="115"/>
      <c r="S1" s="115"/>
      <c r="T1" s="115"/>
      <c r="U1" s="117"/>
      <c r="V1" s="268"/>
      <c r="W1" s="151"/>
      <c r="X1" s="175"/>
      <c r="Y1" s="891" t="str">
        <f>IF(Sheet1!$C$3="Annual"," the year ending 31st March"," the quarter")</f>
        <v xml:space="preserve"> the year ending 31st March</v>
      </c>
      <c r="Z1" s="175"/>
      <c r="AA1" s="175"/>
      <c r="AB1" s="175"/>
      <c r="AC1" s="175"/>
      <c r="AD1" s="175"/>
      <c r="AE1" s="175"/>
      <c r="AF1" s="175"/>
      <c r="AG1" s="175"/>
      <c r="AH1" s="175"/>
      <c r="AI1" s="176"/>
      <c r="AJ1" s="411"/>
    </row>
    <row r="2" spans="1:49" ht="18.75" customHeight="1" x14ac:dyDescent="0.2">
      <c r="A2" s="120"/>
      <c r="B2" s="130" t="s">
        <v>680</v>
      </c>
      <c r="C2" s="9"/>
      <c r="D2" s="9"/>
      <c r="E2" s="9"/>
      <c r="F2" s="9"/>
      <c r="G2" s="9"/>
      <c r="H2" s="9"/>
      <c r="I2" s="9"/>
      <c r="J2" s="9"/>
      <c r="K2" s="13"/>
      <c r="L2" s="9"/>
      <c r="M2" s="9"/>
      <c r="N2" s="9"/>
      <c r="O2" s="9"/>
      <c r="P2" s="9"/>
      <c r="Q2" s="9"/>
      <c r="R2" s="9"/>
      <c r="S2" s="9"/>
      <c r="T2" s="9"/>
      <c r="U2" s="119"/>
      <c r="V2" s="157"/>
      <c r="W2" s="147"/>
      <c r="X2" s="800">
        <f>IF(Sheet1!$C$3="Annual",1,4)</f>
        <v>1</v>
      </c>
      <c r="Y2" s="760" t="str">
        <f>IF(Sheet1!$C$3="Annual","",Sheet1!$D$26)</f>
        <v/>
      </c>
      <c r="Z2" s="761" t="str">
        <f>IF(Sheet1!$C$3="Annual","",Sheet1!$E$26)</f>
        <v/>
      </c>
      <c r="AA2" s="761" t="str">
        <f>IF(Sheet1!$C$3="Annual","",Sheet1!$F$26)</f>
        <v/>
      </c>
      <c r="AB2" s="761" t="str">
        <f>IF(Sheet1!$C$3="Annual","",Sheet1!$G$26)</f>
        <v/>
      </c>
      <c r="AC2" s="762" t="str">
        <f>IF(Sheet1!$C$3="Annual","",Sheet1!$H$26)</f>
        <v/>
      </c>
      <c r="AI2" s="179"/>
      <c r="AJ2" s="153"/>
    </row>
    <row r="3" spans="1:49" ht="18.75" customHeight="1" thickBot="1" x14ac:dyDescent="0.25">
      <c r="A3" s="126"/>
      <c r="B3" s="127"/>
      <c r="C3" s="127"/>
      <c r="D3" s="127"/>
      <c r="E3" s="127"/>
      <c r="F3" s="127"/>
      <c r="G3" s="127"/>
      <c r="H3" s="127"/>
      <c r="I3" s="528"/>
      <c r="J3" s="260"/>
      <c r="K3" s="128"/>
      <c r="L3" s="127"/>
      <c r="M3" s="127"/>
      <c r="N3" s="127"/>
      <c r="O3" s="127"/>
      <c r="P3" s="127"/>
      <c r="Q3" s="528"/>
      <c r="R3" s="127"/>
      <c r="S3" s="127"/>
      <c r="T3" s="127"/>
      <c r="U3" s="129"/>
      <c r="V3" s="157"/>
      <c r="W3" s="147"/>
      <c r="X3" s="763"/>
      <c r="Y3" s="763" t="str">
        <f>Sheet1!$D$25</f>
        <v>2014-15</v>
      </c>
      <c r="Z3" s="764" t="str">
        <f>Sheet1!$E$25</f>
        <v>2015-16</v>
      </c>
      <c r="AA3" s="764" t="str">
        <f>Sheet1!$F$25</f>
        <v>2016-17</v>
      </c>
      <c r="AB3" s="764" t="str">
        <f>Sheet1!$G$25</f>
        <v>2017-18</v>
      </c>
      <c r="AC3" s="765" t="str">
        <f>Sheet1!$H$25</f>
        <v>2018-19</v>
      </c>
      <c r="AI3" s="179"/>
      <c r="AJ3" s="153"/>
    </row>
    <row r="4" spans="1:49" ht="11.25" customHeight="1" x14ac:dyDescent="0.2">
      <c r="A4" s="114"/>
      <c r="B4" s="115"/>
      <c r="C4" s="115"/>
      <c r="D4" s="115"/>
      <c r="E4" s="115"/>
      <c r="F4" s="115"/>
      <c r="G4" s="115"/>
      <c r="H4" s="115"/>
      <c r="I4" s="115"/>
      <c r="J4" s="115"/>
      <c r="K4" s="116"/>
      <c r="L4" s="115"/>
      <c r="M4" s="115"/>
      <c r="N4" s="115"/>
      <c r="O4" s="115"/>
      <c r="P4" s="115"/>
      <c r="Q4" s="115"/>
      <c r="R4" s="115"/>
      <c r="S4" s="115"/>
      <c r="T4" s="115"/>
      <c r="U4" s="117"/>
      <c r="V4" s="138"/>
      <c r="W4" s="147"/>
      <c r="X4" s="181"/>
      <c r="Y4" s="181" t="str">
        <f>Home!$D$10</f>
        <v>(none)</v>
      </c>
      <c r="Z4" s="43" t="str">
        <f>"Selected LA- "&amp;Y4</f>
        <v>Selected LA- (none)</v>
      </c>
      <c r="AI4" s="179"/>
      <c r="AJ4" s="153"/>
    </row>
    <row r="5" spans="1:49" s="78" customFormat="1" ht="15" customHeight="1" x14ac:dyDescent="0.2">
      <c r="A5" s="121"/>
      <c r="B5" s="1547" t="s">
        <v>681</v>
      </c>
      <c r="C5" s="1547"/>
      <c r="D5" s="1547"/>
      <c r="E5" s="1547"/>
      <c r="F5" s="1547"/>
      <c r="G5" s="1547"/>
      <c r="H5" s="1547"/>
      <c r="I5" s="1547"/>
      <c r="J5" s="1547"/>
      <c r="K5" s="1547"/>
      <c r="L5" s="1547"/>
      <c r="M5" s="1547"/>
      <c r="N5" s="1547"/>
      <c r="O5" s="1547"/>
      <c r="P5" s="1547"/>
      <c r="Q5" s="1547"/>
      <c r="R5" s="1547"/>
      <c r="S5" s="1547"/>
      <c r="T5" s="1547"/>
      <c r="U5" s="122"/>
      <c r="V5" s="139"/>
      <c r="W5" s="148"/>
      <c r="X5" s="183"/>
      <c r="Y5" s="183"/>
      <c r="Z5" s="183"/>
      <c r="AA5" s="183"/>
      <c r="AB5" s="183"/>
      <c r="AC5" s="183"/>
      <c r="AD5" s="183"/>
      <c r="AE5" s="183"/>
      <c r="AF5" s="183"/>
      <c r="AG5" s="183"/>
      <c r="AH5" s="183"/>
      <c r="AI5" s="183"/>
      <c r="AJ5" s="154"/>
      <c r="AK5" s="183" t="str">
        <f>CONCATENATE($J$7,"in Number of "&amp;$B2)</f>
        <v>in Number of Care Leavers</v>
      </c>
      <c r="AQ5" s="76"/>
      <c r="AR5" s="76"/>
      <c r="AS5" s="76"/>
      <c r="AT5" s="76"/>
      <c r="AU5" s="76"/>
      <c r="AV5" s="76"/>
      <c r="AW5" s="76"/>
    </row>
    <row r="6" spans="1:49" ht="13.5" customHeight="1" x14ac:dyDescent="0.2">
      <c r="A6" s="120"/>
      <c r="B6" s="1547"/>
      <c r="C6" s="1547"/>
      <c r="D6" s="1547"/>
      <c r="E6" s="1547"/>
      <c r="F6" s="1547"/>
      <c r="G6" s="1547"/>
      <c r="H6" s="1547"/>
      <c r="I6" s="1547"/>
      <c r="J6" s="1547"/>
      <c r="K6" s="1547"/>
      <c r="L6" s="1547"/>
      <c r="M6" s="1547"/>
      <c r="N6" s="1547"/>
      <c r="O6" s="1547"/>
      <c r="P6" s="1547"/>
      <c r="Q6" s="1547"/>
      <c r="R6" s="1547"/>
      <c r="S6" s="1547"/>
      <c r="T6" s="1547"/>
      <c r="U6" s="119"/>
      <c r="V6" s="138"/>
      <c r="W6" s="147"/>
      <c r="Y6" s="185"/>
      <c r="AI6" s="179"/>
      <c r="AJ6" s="153"/>
    </row>
    <row r="7" spans="1:49" s="89" customFormat="1" ht="12.75" customHeight="1" x14ac:dyDescent="0.2">
      <c r="A7" s="123"/>
      <c r="B7" s="1449" t="s">
        <v>190</v>
      </c>
      <c r="C7" s="87"/>
      <c r="D7" s="1545" t="s">
        <v>88</v>
      </c>
      <c r="E7" s="1557"/>
      <c r="F7" s="1557"/>
      <c r="G7" s="1557"/>
      <c r="H7" s="1558"/>
      <c r="I7" s="1612" t="str">
        <f>"Average "&amp;Sheet1!C3&amp;" Change "</f>
        <v xml:space="preserve">Average Annual Change </v>
      </c>
      <c r="J7" s="1559"/>
      <c r="K7" s="98"/>
      <c r="L7" s="1562" t="s">
        <v>738</v>
      </c>
      <c r="M7" s="1563"/>
      <c r="N7" s="1563"/>
      <c r="O7" s="1563"/>
      <c r="P7" s="1563"/>
      <c r="Q7" s="1563"/>
      <c r="R7" s="1446" t="str">
        <f>IF(ISNA(P9),"SE Rank "&amp;P8,"SE Rank "&amp;P9)</f>
        <v>SE Rank 2018-19</v>
      </c>
      <c r="S7" s="69"/>
      <c r="T7" s="1407" t="s">
        <v>78</v>
      </c>
      <c r="U7" s="124"/>
      <c r="V7" s="140"/>
      <c r="W7" s="149"/>
      <c r="X7" s="199"/>
      <c r="Y7" s="1614" t="s">
        <v>781</v>
      </c>
      <c r="Z7" s="1615"/>
      <c r="AA7" s="1614" t="s">
        <v>79</v>
      </c>
      <c r="AB7" s="1616"/>
      <c r="AC7" s="1616"/>
      <c r="AD7" s="1616"/>
      <c r="AE7" s="1615"/>
      <c r="AF7" s="201" t="s">
        <v>92</v>
      </c>
      <c r="AG7" s="185"/>
      <c r="AH7" s="185"/>
      <c r="AI7" s="199"/>
      <c r="AJ7" s="156"/>
      <c r="AK7" s="550"/>
      <c r="AL7" s="550"/>
      <c r="AM7" s="550"/>
      <c r="AN7" s="550"/>
      <c r="AO7" s="550"/>
      <c r="AP7" s="76"/>
      <c r="AQ7" s="76"/>
      <c r="AR7" s="76"/>
      <c r="AS7" s="76"/>
      <c r="AT7" s="76"/>
      <c r="AU7" s="76"/>
      <c r="AV7" s="76"/>
    </row>
    <row r="8" spans="1:49" s="89" customFormat="1" ht="12.75" customHeight="1" x14ac:dyDescent="0.2">
      <c r="A8" s="286"/>
      <c r="B8" s="1449"/>
      <c r="C8" s="87"/>
      <c r="D8" s="755" t="str">
        <f>Sheet1!$D$25</f>
        <v>2014-15</v>
      </c>
      <c r="E8" s="756" t="str">
        <f>Sheet1!$E$25</f>
        <v>2015-16</v>
      </c>
      <c r="F8" s="756" t="str">
        <f>Sheet1!$F$25</f>
        <v>2016-17</v>
      </c>
      <c r="G8" s="756" t="str">
        <f>Sheet1!$G$25</f>
        <v>2017-18</v>
      </c>
      <c r="H8" s="757" t="str">
        <f>Sheet1!$H$25</f>
        <v>2018-19</v>
      </c>
      <c r="I8" s="1613"/>
      <c r="J8" s="1560"/>
      <c r="K8" s="98"/>
      <c r="L8" s="768" t="str">
        <f>Sheet1!$D$25</f>
        <v>2014-15</v>
      </c>
      <c r="M8" s="769" t="str">
        <f>Sheet1!$E$25</f>
        <v>2015-16</v>
      </c>
      <c r="N8" s="769" t="str">
        <f>Sheet1!$F$25</f>
        <v>2016-17</v>
      </c>
      <c r="O8" s="769" t="str">
        <f>Sheet1!$G$25</f>
        <v>2017-18</v>
      </c>
      <c r="P8" s="1457" t="str">
        <f>Sheet1!$H$25</f>
        <v>2018-19</v>
      </c>
      <c r="Q8" s="1458"/>
      <c r="R8" s="1447"/>
      <c r="S8" s="69"/>
      <c r="T8" s="1611"/>
      <c r="U8" s="124"/>
      <c r="V8" s="140"/>
      <c r="W8" s="149"/>
      <c r="X8" s="199"/>
      <c r="Y8" s="1423" t="s">
        <v>76</v>
      </c>
      <c r="Z8" s="1423" t="s">
        <v>77</v>
      </c>
      <c r="AA8" s="730" t="str">
        <f>Sheet1!$D$25</f>
        <v>2014-15</v>
      </c>
      <c r="AB8" s="730" t="str">
        <f>Sheet1!$E$25</f>
        <v>2015-16</v>
      </c>
      <c r="AC8" s="730" t="str">
        <f>Sheet1!$F$25</f>
        <v>2016-17</v>
      </c>
      <c r="AD8" s="730" t="str">
        <f>Sheet1!$G$25</f>
        <v>2017-18</v>
      </c>
      <c r="AE8" s="730" t="str">
        <f>Sheet1!$H$25</f>
        <v>2018-19</v>
      </c>
      <c r="AF8" s="201"/>
      <c r="AG8" s="185"/>
      <c r="AH8" s="185"/>
      <c r="AI8" s="199"/>
      <c r="AJ8" s="156"/>
      <c r="AK8" s="897"/>
      <c r="AL8" s="897"/>
      <c r="AM8" s="897"/>
      <c r="AN8" s="897"/>
      <c r="AO8" s="897"/>
      <c r="AQ8" s="76"/>
      <c r="AR8" s="76"/>
      <c r="AS8" s="76"/>
      <c r="AT8" s="76"/>
      <c r="AU8" s="76"/>
      <c r="AV8" s="76"/>
    </row>
    <row r="9" spans="1:49" s="89" customFormat="1" ht="12.75" customHeight="1" x14ac:dyDescent="0.2">
      <c r="A9" s="123"/>
      <c r="B9" s="1450"/>
      <c r="C9" s="87"/>
      <c r="D9" s="758" t="e">
        <f>Sheet1!$D$26</f>
        <v>#N/A</v>
      </c>
      <c r="E9" s="758" t="e">
        <f>Sheet1!$E$26</f>
        <v>#N/A</v>
      </c>
      <c r="F9" s="758" t="e">
        <f>Sheet1!$F$26</f>
        <v>#N/A</v>
      </c>
      <c r="G9" s="758" t="e">
        <f>Sheet1!$G$26</f>
        <v>#N/A</v>
      </c>
      <c r="H9" s="759" t="e">
        <f>Sheet1!$H$26</f>
        <v>#N/A</v>
      </c>
      <c r="I9" s="1613"/>
      <c r="J9" s="1561"/>
      <c r="K9" s="98"/>
      <c r="L9" s="758" t="e">
        <f>Sheet1!$D$26</f>
        <v>#N/A</v>
      </c>
      <c r="M9" s="758" t="e">
        <f>Sheet1!$E$26</f>
        <v>#N/A</v>
      </c>
      <c r="N9" s="758" t="e">
        <f>Sheet1!$F$26</f>
        <v>#N/A</v>
      </c>
      <c r="O9" s="758" t="e">
        <f>Sheet1!$G$26</f>
        <v>#N/A</v>
      </c>
      <c r="P9" s="1433" t="e">
        <f>Sheet1!$H$26</f>
        <v>#N/A</v>
      </c>
      <c r="Q9" s="1434"/>
      <c r="R9" s="1448"/>
      <c r="S9" s="69"/>
      <c r="T9" s="1408"/>
      <c r="U9" s="124"/>
      <c r="V9" s="140"/>
      <c r="W9" s="149"/>
      <c r="X9" s="199"/>
      <c r="Y9" s="1424"/>
      <c r="Z9" s="1424"/>
      <c r="AA9" s="730" t="e">
        <f>Sheet1!$D$26</f>
        <v>#N/A</v>
      </c>
      <c r="AB9" s="730" t="e">
        <f>Sheet1!$E$26</f>
        <v>#N/A</v>
      </c>
      <c r="AC9" s="730" t="e">
        <f>Sheet1!$F$26</f>
        <v>#N/A</v>
      </c>
      <c r="AD9" s="730" t="e">
        <f>Sheet1!$G$26</f>
        <v>#N/A</v>
      </c>
      <c r="AE9" s="730" t="e">
        <f>Sheet1!$H$26</f>
        <v>#N/A</v>
      </c>
      <c r="AF9" s="185"/>
      <c r="AG9" s="185">
        <v>15</v>
      </c>
      <c r="AH9" s="185"/>
      <c r="AI9" s="199"/>
      <c r="AJ9" s="156"/>
      <c r="AK9" s="899" t="s">
        <v>686</v>
      </c>
      <c r="AL9" s="899" t="s">
        <v>687</v>
      </c>
      <c r="AM9" s="899" t="s">
        <v>688</v>
      </c>
      <c r="AN9" s="899" t="s">
        <v>689</v>
      </c>
      <c r="AO9" s="899" t="s">
        <v>690</v>
      </c>
      <c r="AQ9" s="76"/>
      <c r="AR9" s="76"/>
      <c r="AS9" s="76"/>
      <c r="AT9" s="76"/>
      <c r="AU9" s="76"/>
      <c r="AV9" s="76"/>
    </row>
    <row r="10" spans="1:49" s="89" customFormat="1" ht="13.5" customHeight="1" x14ac:dyDescent="0.2">
      <c r="A10" s="462">
        <f>VLOOKUP(B10,Sheet1!$AQ$4:$AR$25,2,FALSE)</f>
        <v>0</v>
      </c>
      <c r="B10" s="95" t="str">
        <f>Sheet1!$K$4</f>
        <v>Bracknell Forest</v>
      </c>
      <c r="C10" s="87"/>
      <c r="D10" s="102">
        <f>IF(Year1_Bracknell_Forest Year1_Care_Leavers_at_end_of_period="","",Year1_Bracknell_Forest Year1_Care_Leavers_at_end_of_period)</f>
        <v>39</v>
      </c>
      <c r="E10" s="102">
        <f>IF(Year2_Bracknell_Forest Year2_Care_Leavers_at_end_of_period="","",Year2_Bracknell_Forest Year2_Care_Leavers_at_end_of_period)</f>
        <v>40</v>
      </c>
      <c r="F10" s="102">
        <f>IF(Year3_Bracknell_Forest Year3_Care_Leavers_at_end_of_period="","",Year3_Bracknell_Forest Year3_Care_Leavers_at_end_of_period)</f>
        <v>32</v>
      </c>
      <c r="G10" s="102">
        <f>IF(Year4_Bracknell_Forest Year4_Care_Leavers_at_end_of_period="","",Year4_Bracknell_Forest Year4_Care_Leavers_at_end_of_period)</f>
        <v>42</v>
      </c>
      <c r="H10" s="563">
        <f>IF(Year5_Bracknell_Forest Year5_Care_Leavers_at_end_of_period="","",Year5_Bracknell_Forest Year5_Care_Leavers_at_end_of_period)</f>
        <v>47</v>
      </c>
      <c r="I10" s="1008">
        <f t="shared" ref="I10:I32" si="0">AO10</f>
        <v>6.4297161172161166E-2</v>
      </c>
      <c r="J10" s="798">
        <f t="shared" ref="J10:J32" si="1">I10</f>
        <v>6.4297161172161166E-2</v>
      </c>
      <c r="K10" s="98"/>
      <c r="L10" s="99">
        <f>IF(ISNUMBER(D10),D10/Population!P10*10000,NA())</f>
        <v>121.875</v>
      </c>
      <c r="M10" s="99">
        <f>IF(ISNUMBER(E10),E10/Population!Q10*10000,NA())</f>
        <v>121.21212121212122</v>
      </c>
      <c r="N10" s="99">
        <f>IF(ISNUMBER(F10),F10/Population!R10*10000,NA())</f>
        <v>103.2258064516129</v>
      </c>
      <c r="O10" s="99">
        <f>IF(ISNUMBER(G10),G10/Population!S10*10000,NA())</f>
        <v>131.25</v>
      </c>
      <c r="P10" s="99">
        <f>IF(ISNUMBER(H10),H10/Population!T10*10000,NA())</f>
        <v>142.42424242424241</v>
      </c>
      <c r="Q10" s="101">
        <f>IF(ISNUMBER(P10),P10,"")</f>
        <v>142.42424242424241</v>
      </c>
      <c r="R10" s="770">
        <f>IF(ISNA(VLOOKUP(B10,$AF$10:$AH$28,3,FALSE)),"--",IF(ISNUMBER(H10),VLOOKUP(B10,$AF$10:$AH$28,3,FALSE),NA()))</f>
        <v>12</v>
      </c>
      <c r="S10" s="69"/>
      <c r="T10" s="725">
        <f>IDACI!C9</f>
        <v>8.9</v>
      </c>
      <c r="U10" s="124"/>
      <c r="V10" s="140"/>
      <c r="W10" s="149"/>
      <c r="X10" s="71" t="str">
        <f t="shared" ref="X10:X32" si="2">B10</f>
        <v>Bracknell Forest</v>
      </c>
      <c r="Y10" s="45">
        <f>IF(ISNUMBER(H10),IDACI!D9,0)</f>
        <v>24849</v>
      </c>
      <c r="Z10" s="45">
        <f>IF(ISNUMBER(H10),IDACI!E9,0)</f>
        <v>2211.5610000000001</v>
      </c>
      <c r="AA10" s="202">
        <f>IF(ISNUMBER(D10),Population!P10,"")</f>
        <v>3200</v>
      </c>
      <c r="AB10" s="202">
        <f>IF(ISNUMBER(E10),Population!Q10,"")</f>
        <v>3300</v>
      </c>
      <c r="AC10" s="202">
        <f>IF(ISNUMBER(F10),Population!R10,"")</f>
        <v>3100</v>
      </c>
      <c r="AD10" s="202">
        <f>IF(ISNUMBER(G10),Population!S10,"")</f>
        <v>3200</v>
      </c>
      <c r="AE10" s="202">
        <f>IF(ISNUMBER(H10),Population!T10,"")</f>
        <v>3300</v>
      </c>
      <c r="AF10" s="95" t="str">
        <f>B10</f>
        <v>Bracknell Forest</v>
      </c>
      <c r="AG10" s="225">
        <f>IFERROR(VLOOKUP(AF10,$B$10:$P$31,AG$9,FALSE),"")</f>
        <v>142.42424242424241</v>
      </c>
      <c r="AH10" s="203">
        <f>RANK(AG10,$AG$10:$AG$28,1)</f>
        <v>12</v>
      </c>
      <c r="AI10" s="199"/>
      <c r="AJ10" s="156"/>
      <c r="AK10" s="792">
        <f t="shared" ref="AK10:AK31" si="3">IF(ISERROR((E10-D10)/D10),"x",(E10-D10)/D10)</f>
        <v>2.564102564102564E-2</v>
      </c>
      <c r="AL10" s="792">
        <f t="shared" ref="AL10:AL31" si="4">IF(ISERROR((F10-E10)/E10),"x",(F10-E10)/E10)</f>
        <v>-0.2</v>
      </c>
      <c r="AM10" s="792">
        <f t="shared" ref="AM10:AM31" si="5">IF(ISERROR((G10-F10)/F10),"x",(G10-F10)/F10)</f>
        <v>0.3125</v>
      </c>
      <c r="AN10" s="792">
        <f t="shared" ref="AN10:AN31" si="6">IF(ISERROR((H10-G10)/G10),"x",(H10-G10)/G10)</f>
        <v>0.11904761904761904</v>
      </c>
      <c r="AO10" s="792">
        <f>AVERAGE(AK10:AN10)</f>
        <v>6.4297161172161166E-2</v>
      </c>
      <c r="AQ10" s="76"/>
      <c r="AR10" s="76"/>
      <c r="AS10" s="76"/>
      <c r="AT10" s="76"/>
      <c r="AU10" s="76"/>
      <c r="AV10" s="76"/>
    </row>
    <row r="11" spans="1:49" s="89" customFormat="1" ht="13.5" customHeight="1" x14ac:dyDescent="0.2">
      <c r="A11" s="462">
        <f>VLOOKUP(B11,Sheet1!$AQ$4:$AR$25,2,FALSE)</f>
        <v>0</v>
      </c>
      <c r="B11" s="95" t="str">
        <f>Sheet1!$K$5</f>
        <v>Brighton &amp; Hove</v>
      </c>
      <c r="C11" s="87"/>
      <c r="D11" s="102">
        <f>IF(Year1_Brighton_Hove Year1_Care_Leavers_at_end_of_period="","",Year1_Brighton_Hove Year1_Care_Leavers_at_end_of_period)</f>
        <v>176</v>
      </c>
      <c r="E11" s="102">
        <f>IF(Year2_Brighton_Hove Year2_Care_Leavers_at_end_of_period="","",Year2_Brighton_Hove Year2_Care_Leavers_at_end_of_period)</f>
        <v>161</v>
      </c>
      <c r="F11" s="102">
        <f>IF(Year3_Brighton_Hove Year3_Care_Leavers_at_end_of_period="","",Year3_Brighton_Hove Year3_Care_Leavers_at_end_of_period)</f>
        <v>174</v>
      </c>
      <c r="G11" s="102">
        <f>IF(Year4_Brighton_Hove Year4_Care_Leavers_at_end_of_period="","",Year4_Brighton_Hove Year4_Care_Leavers_at_end_of_period)</f>
        <v>195</v>
      </c>
      <c r="H11" s="563">
        <f>IF(Year5_Brighton_Hove Year5_Care_Leavers_at_end_of_period="","",Year5_Brighton_Hove Year5_Care_Leavers_at_end_of_period)</f>
        <v>219</v>
      </c>
      <c r="I11" s="1009">
        <f t="shared" si="0"/>
        <v>5.9821161784242752E-2</v>
      </c>
      <c r="J11" s="798">
        <f t="shared" si="1"/>
        <v>5.9821161784242752E-2</v>
      </c>
      <c r="K11" s="98"/>
      <c r="L11" s="99">
        <f>IF(ISNUMBER(D11),D11/Population!P11*10000,NA())</f>
        <v>98.876404494382015</v>
      </c>
      <c r="M11" s="99">
        <f>IF(ISNUMBER(E11),E11/Population!Q11*10000,NA())</f>
        <v>88.461538461538453</v>
      </c>
      <c r="N11" s="99">
        <f>IF(ISNUMBER(F11),F11/Population!R11*10000,NA())</f>
        <v>90.155440414507765</v>
      </c>
      <c r="O11" s="99">
        <f>IF(ISNUMBER(G11),G11/Population!S11*10000,NA())</f>
        <v>95.588235294117652</v>
      </c>
      <c r="P11" s="100">
        <f>IF(ISNUMBER(H11),H11/Population!T11*10000,NA())</f>
        <v>103.7914691943128</v>
      </c>
      <c r="Q11" s="101">
        <f t="shared" ref="Q11:Q32" si="7">IF(ISNUMBER(P11),P11,"")</f>
        <v>103.7914691943128</v>
      </c>
      <c r="R11" s="770">
        <f>IF(ISNA(VLOOKUP(B11,$AF$10:$AH$28,3,FALSE)),"--",IF(ISNUMBER(H11),VLOOKUP(B11,$AF$10:$AH$28,3,FALSE),NA()))</f>
        <v>5</v>
      </c>
      <c r="S11" s="69"/>
      <c r="T11" s="725">
        <f>IDACI!C10</f>
        <v>15.299999999999999</v>
      </c>
      <c r="U11" s="124"/>
      <c r="V11" s="140"/>
      <c r="W11" s="149"/>
      <c r="X11" s="71" t="str">
        <f t="shared" si="2"/>
        <v>Brighton &amp; Hove</v>
      </c>
      <c r="Y11" s="45">
        <f>IF(ISNUMBER(H11),IDACI!D10,0)</f>
        <v>45576</v>
      </c>
      <c r="Z11" s="45">
        <f>IF(ISNUMBER(H11),IDACI!E10,0)</f>
        <v>6973.1279999999997</v>
      </c>
      <c r="AA11" s="202">
        <f>IF(ISNUMBER(D11),Population!P11,"")</f>
        <v>17800</v>
      </c>
      <c r="AB11" s="202">
        <f>IF(ISNUMBER(E11),Population!Q11,"")</f>
        <v>18200</v>
      </c>
      <c r="AC11" s="202">
        <f>IF(ISNUMBER(F11),Population!R11,"")</f>
        <v>19300</v>
      </c>
      <c r="AD11" s="202">
        <f>IF(ISNUMBER(G11),Population!S11,"")</f>
        <v>20400</v>
      </c>
      <c r="AE11" s="202">
        <f>IF(ISNUMBER(H11),Population!T11,"")</f>
        <v>21100</v>
      </c>
      <c r="AF11" s="95" t="s">
        <v>31</v>
      </c>
      <c r="AG11" s="225">
        <f t="shared" ref="AG11:AG28" si="8">IFERROR(VLOOKUP(AF11,$B$10:$P$31,AG$9,FALSE),"")</f>
        <v>103.7914691943128</v>
      </c>
      <c r="AH11" s="203">
        <f t="shared" ref="AH11:AH28" si="9">RANK(AG11,$AG$10:$AG$28,1)</f>
        <v>5</v>
      </c>
      <c r="AI11" s="199"/>
      <c r="AJ11" s="156"/>
      <c r="AK11" s="792">
        <f t="shared" si="3"/>
        <v>-8.5227272727272721E-2</v>
      </c>
      <c r="AL11" s="792">
        <f t="shared" si="4"/>
        <v>8.0745341614906832E-2</v>
      </c>
      <c r="AM11" s="792">
        <f t="shared" si="5"/>
        <v>0.1206896551724138</v>
      </c>
      <c r="AN11" s="792">
        <f t="shared" si="6"/>
        <v>0.12307692307692308</v>
      </c>
      <c r="AO11" s="792">
        <f t="shared" ref="AO11:AO31" si="10">AVERAGE(AK11:AN11)</f>
        <v>5.9821161784242752E-2</v>
      </c>
      <c r="AQ11" s="76"/>
      <c r="AR11" s="76"/>
      <c r="AS11" s="76"/>
      <c r="AT11" s="76"/>
      <c r="AU11" s="76"/>
      <c r="AV11" s="76"/>
    </row>
    <row r="12" spans="1:49" s="89" customFormat="1" ht="13.5" customHeight="1" x14ac:dyDescent="0.2">
      <c r="A12" s="462">
        <f>VLOOKUP(B12,Sheet1!$AQ$4:$AR$25,2,FALSE)</f>
        <v>0</v>
      </c>
      <c r="B12" s="95" t="str">
        <f>Sheet1!$K$6</f>
        <v>Buckinghamshire</v>
      </c>
      <c r="C12" s="87"/>
      <c r="D12" s="102">
        <f>IF(Year1_Buckinghamshire Year1_Care_Leavers_at_end_of_period="","",Year1_Buckinghamshire Year1_Care_Leavers_at_end_of_period)</f>
        <v>125</v>
      </c>
      <c r="E12" s="102">
        <f>IF(Year2_Buckinghamshire Year2_Care_Leavers_at_end_of_period="","",Year2_Buckinghamshire Year2_Care_Leavers_at_end_of_period)</f>
        <v>151</v>
      </c>
      <c r="F12" s="102">
        <f>IF(Year3_Buckinghamshire Year3_Care_Leavers_at_end_of_period="","",Year3_Buckinghamshire Year3_Care_Leavers_at_end_of_period)</f>
        <v>170</v>
      </c>
      <c r="G12" s="102">
        <f>IF(Year4_Buckinghamshire Year4_Care_Leavers_at_end_of_period="","",Year4_Buckinghamshire Year4_Care_Leavers_at_end_of_period)</f>
        <v>199</v>
      </c>
      <c r="H12" s="563">
        <f>IF(Year5_Buckinghamshire Year5_Care_Leavers_at_end_of_period="","",Year5_Buckinghamshire Year5_Care_Leavers_at_end_of_period)</f>
        <v>186</v>
      </c>
      <c r="I12" s="1009">
        <f t="shared" si="0"/>
        <v>0.10977235417445623</v>
      </c>
      <c r="J12" s="798">
        <f t="shared" si="1"/>
        <v>0.10977235417445623</v>
      </c>
      <c r="K12" s="98"/>
      <c r="L12" s="99">
        <f>IF(ISNUMBER(D12),D12/Population!P12*10000,NA())</f>
        <v>83.892617449664428</v>
      </c>
      <c r="M12" s="99">
        <f>IF(ISNUMBER(E12),E12/Population!Q12*10000,NA())</f>
        <v>102.72108843537416</v>
      </c>
      <c r="N12" s="99">
        <f>IF(ISNUMBER(F12),F12/Population!R12*10000,NA())</f>
        <v>118.05555555555556</v>
      </c>
      <c r="O12" s="99">
        <f>IF(ISNUMBER(G12),G12/Population!S12*10000,NA())</f>
        <v>145.25547445255475</v>
      </c>
      <c r="P12" s="100">
        <f>IF(ISNUMBER(H12),H12/Population!T12*10000,NA())</f>
        <v>139.84962406015038</v>
      </c>
      <c r="Q12" s="101">
        <f t="shared" si="7"/>
        <v>139.84962406015038</v>
      </c>
      <c r="R12" s="770">
        <f t="shared" ref="R12:R32" si="11">IF(ISNA(VLOOKUP(B12,$AF$10:$AH$28,3,FALSE)),"--",IF(ISNUMBER(H12),VLOOKUP(B12,$AF$10:$AH$28,3,FALSE),NA()))</f>
        <v>11</v>
      </c>
      <c r="S12" s="69"/>
      <c r="T12" s="725">
        <f>IDACI!C11</f>
        <v>8.5</v>
      </c>
      <c r="U12" s="124"/>
      <c r="V12" s="140"/>
      <c r="W12" s="149"/>
      <c r="X12" s="71" t="str">
        <f t="shared" si="2"/>
        <v>Buckinghamshire</v>
      </c>
      <c r="Y12" s="45">
        <f>IF(ISNUMBER(H12),IDACI!D11,0)</f>
        <v>107385</v>
      </c>
      <c r="Z12" s="45">
        <f>IF(ISNUMBER(H12),IDACI!E11,0)</f>
        <v>9127.7250000000004</v>
      </c>
      <c r="AA12" s="202">
        <f>IF(ISNUMBER(D12),Population!P12,"")</f>
        <v>14900</v>
      </c>
      <c r="AB12" s="202">
        <f>IF(ISNUMBER(E12),Population!Q12,"")</f>
        <v>14700</v>
      </c>
      <c r="AC12" s="202">
        <f>IF(ISNUMBER(F12),Population!R12,"")</f>
        <v>14400</v>
      </c>
      <c r="AD12" s="202">
        <f>IF(ISNUMBER(G12),Population!S12,"")</f>
        <v>13700</v>
      </c>
      <c r="AE12" s="202">
        <f>IF(ISNUMBER(H12),Population!T12,"")</f>
        <v>13300</v>
      </c>
      <c r="AF12" s="95" t="s">
        <v>8</v>
      </c>
      <c r="AG12" s="225">
        <f t="shared" si="8"/>
        <v>139.84962406015038</v>
      </c>
      <c r="AH12" s="203">
        <f t="shared" si="9"/>
        <v>11</v>
      </c>
      <c r="AI12" s="199"/>
      <c r="AJ12" s="156"/>
      <c r="AK12" s="792">
        <f t="shared" si="3"/>
        <v>0.20799999999999999</v>
      </c>
      <c r="AL12" s="792">
        <f t="shared" si="4"/>
        <v>0.12582781456953643</v>
      </c>
      <c r="AM12" s="792">
        <f t="shared" si="5"/>
        <v>0.17058823529411765</v>
      </c>
      <c r="AN12" s="792">
        <f t="shared" si="6"/>
        <v>-6.5326633165829151E-2</v>
      </c>
      <c r="AO12" s="792">
        <f t="shared" si="10"/>
        <v>0.10977235417445623</v>
      </c>
      <c r="AQ12" s="76"/>
      <c r="AR12" s="76"/>
      <c r="AS12" s="76"/>
      <c r="AT12" s="76"/>
      <c r="AU12" s="76"/>
      <c r="AV12" s="76"/>
    </row>
    <row r="13" spans="1:49" s="89" customFormat="1" ht="13.5" customHeight="1" x14ac:dyDescent="0.2">
      <c r="A13" s="462">
        <f>VLOOKUP(B13,Sheet1!$AQ$4:$AR$25,2,FALSE)</f>
        <v>0</v>
      </c>
      <c r="B13" s="95" t="str">
        <f>Sheet1!$K$7</f>
        <v>East Sussex</v>
      </c>
      <c r="C13" s="87"/>
      <c r="D13" s="102">
        <f>IF(Year1_East_Sussex Year1_Care_Leavers_at_end_of_period="","",Year1_East_Sussex Year1_Care_Leavers_at_end_of_period)</f>
        <v>167</v>
      </c>
      <c r="E13" s="102">
        <f>IF(Year2_East_Sussex Year2_Care_Leavers_at_end_of_period="","",Year2_East_Sussex Year2_Care_Leavers_at_end_of_period)</f>
        <v>152</v>
      </c>
      <c r="F13" s="102">
        <f>IF(Year3_East_Sussex Year3_Care_Leavers_at_end_of_period="","",Year3_East_Sussex Year3_Care_Leavers_at_end_of_period)</f>
        <v>149</v>
      </c>
      <c r="G13" s="102">
        <f>IF(Year4_East_Sussex Year4_Care_Leavers_at_end_of_period="","",Year4_East_Sussex Year4_Care_Leavers_at_end_of_period)</f>
        <v>154</v>
      </c>
      <c r="H13" s="563">
        <f>IF(Year5_East_Sussex Year5_Care_Leavers_at_end_of_period="","",Year5_East_Sussex Year5_Care_Leavers_at_end_of_period)</f>
        <v>167</v>
      </c>
      <c r="I13" s="1009">
        <f t="shared" si="0"/>
        <v>2.1038575021874797E-3</v>
      </c>
      <c r="J13" s="798">
        <f t="shared" si="1"/>
        <v>2.1038575021874797E-3</v>
      </c>
      <c r="K13" s="98"/>
      <c r="L13" s="99">
        <f>IF(ISNUMBER(D13),D13/Population!P13*10000,NA())</f>
        <v>104.375</v>
      </c>
      <c r="M13" s="99">
        <f>IF(ISNUMBER(E13),E13/Population!Q13*10000,NA())</f>
        <v>95.59748427672956</v>
      </c>
      <c r="N13" s="99">
        <f>IF(ISNUMBER(F13),F13/Population!R13*10000,NA())</f>
        <v>94.904458598726109</v>
      </c>
      <c r="O13" s="99">
        <f>IF(ISNUMBER(G13),G13/Population!S13*10000,NA())</f>
        <v>99.354838709677423</v>
      </c>
      <c r="P13" s="100">
        <f>IF(ISNUMBER(H13),H13/Population!T13*10000,NA())</f>
        <v>109.86842105263158</v>
      </c>
      <c r="Q13" s="101">
        <f t="shared" si="7"/>
        <v>109.86842105263158</v>
      </c>
      <c r="R13" s="770">
        <f t="shared" si="11"/>
        <v>7</v>
      </c>
      <c r="S13" s="69"/>
      <c r="T13" s="725">
        <f>IDACI!C12</f>
        <v>16.100000000000001</v>
      </c>
      <c r="U13" s="124"/>
      <c r="V13" s="140"/>
      <c r="W13" s="149"/>
      <c r="X13" s="71" t="str">
        <f t="shared" si="2"/>
        <v>East Sussex</v>
      </c>
      <c r="Y13" s="45">
        <f>IF(ISNUMBER(H13),IDACI!D12,0)</f>
        <v>93130</v>
      </c>
      <c r="Z13" s="45">
        <f>IF(ISNUMBER(H13),IDACI!E12,0)</f>
        <v>14993.93</v>
      </c>
      <c r="AA13" s="202">
        <f>IF(ISNUMBER(D13),Population!P13,"")</f>
        <v>16000</v>
      </c>
      <c r="AB13" s="202">
        <f>IF(ISNUMBER(E13),Population!Q13,"")</f>
        <v>15900</v>
      </c>
      <c r="AC13" s="202">
        <f>IF(ISNUMBER(F13),Population!R13,"")</f>
        <v>15700</v>
      </c>
      <c r="AD13" s="202">
        <f>IF(ISNUMBER(G13),Population!S13,"")</f>
        <v>15500</v>
      </c>
      <c r="AE13" s="202">
        <f>IF(ISNUMBER(H13),Population!T13,"")</f>
        <v>15200</v>
      </c>
      <c r="AF13" s="95" t="s">
        <v>4</v>
      </c>
      <c r="AG13" s="225">
        <f t="shared" si="8"/>
        <v>109.86842105263158</v>
      </c>
      <c r="AH13" s="203">
        <f t="shared" si="9"/>
        <v>7</v>
      </c>
      <c r="AI13" s="199"/>
      <c r="AJ13" s="156"/>
      <c r="AK13" s="792">
        <f t="shared" si="3"/>
        <v>-8.9820359281437126E-2</v>
      </c>
      <c r="AL13" s="792">
        <f t="shared" si="4"/>
        <v>-1.9736842105263157E-2</v>
      </c>
      <c r="AM13" s="792">
        <f t="shared" si="5"/>
        <v>3.3557046979865772E-2</v>
      </c>
      <c r="AN13" s="792">
        <f t="shared" si="6"/>
        <v>8.4415584415584416E-2</v>
      </c>
      <c r="AO13" s="792">
        <f t="shared" si="10"/>
        <v>2.1038575021874797E-3</v>
      </c>
      <c r="AQ13" s="76"/>
      <c r="AR13" s="76"/>
      <c r="AS13" s="76"/>
      <c r="AT13" s="76"/>
      <c r="AU13" s="76"/>
      <c r="AV13" s="76"/>
    </row>
    <row r="14" spans="1:49" s="89" customFormat="1" ht="13.5" customHeight="1" x14ac:dyDescent="0.2">
      <c r="A14" s="462">
        <f>VLOOKUP(B14,Sheet1!$AQ$4:$AR$25,2,FALSE)</f>
        <v>0</v>
      </c>
      <c r="B14" s="95" t="str">
        <f>Sheet1!$K$8</f>
        <v>Hampshire</v>
      </c>
      <c r="C14" s="87"/>
      <c r="D14" s="102">
        <f>IF(Year1_Hampshire Year1_Care_Leavers_at_end_of_period="","",Year1_Hampshire Year1_Care_Leavers_at_end_of_period)</f>
        <v>447</v>
      </c>
      <c r="E14" s="102">
        <f>IF(Year2_Hampshire Year2_Care_Leavers_at_end_of_period="","",Year2_Hampshire Year2_Care_Leavers_at_end_of_period)</f>
        <v>498</v>
      </c>
      <c r="F14" s="572">
        <f>IF(Year3_Hampshire Year3_Care_Leavers_at_end_of_period="","",Year3_Hampshire Year3_Care_Leavers_at_end_of_period)</f>
        <v>505</v>
      </c>
      <c r="G14" s="572">
        <f>IF(Year4_Hampshire Year4_Care_Leavers_at_end_of_period="","",Year4_Hampshire Year4_Care_Leavers_at_end_of_period)</f>
        <v>530</v>
      </c>
      <c r="H14" s="563">
        <f>IF(Year5_Hampshire Year5_Care_Leavers_at_end_of_period="","",Year5_Hampshire Year5_Care_Leavers_at_end_of_period)</f>
        <v>514</v>
      </c>
      <c r="I14" s="1009">
        <f t="shared" si="0"/>
        <v>3.6866613970227127E-2</v>
      </c>
      <c r="J14" s="798">
        <f t="shared" si="1"/>
        <v>3.6866613970227127E-2</v>
      </c>
      <c r="K14" s="98"/>
      <c r="L14" s="99">
        <f>IF(ISNUMBER(D14),D14/Population!P14*10000,NA())</f>
        <v>109.82800982800983</v>
      </c>
      <c r="M14" s="99">
        <f>IF(ISNUMBER(E14),E14/Population!Q14*10000,NA())</f>
        <v>121.46341463414635</v>
      </c>
      <c r="N14" s="99">
        <f>IF(ISNUMBER(F14),F14/Population!R14*10000,NA())</f>
        <v>123.77450980392156</v>
      </c>
      <c r="O14" s="99">
        <f>IF(ISNUMBER(G14),G14/Population!S14*10000,NA())</f>
        <v>133.50125944584383</v>
      </c>
      <c r="P14" s="100">
        <f>IF(ISNUMBER(H14),H14/Population!T14*10000,NA())</f>
        <v>131.12244897959184</v>
      </c>
      <c r="Q14" s="101">
        <f t="shared" si="7"/>
        <v>131.12244897959184</v>
      </c>
      <c r="R14" s="770">
        <f t="shared" si="11"/>
        <v>10</v>
      </c>
      <c r="S14" s="69"/>
      <c r="T14" s="725">
        <f>IDACI!C13</f>
        <v>10.100000000000001</v>
      </c>
      <c r="U14" s="124"/>
      <c r="V14" s="140"/>
      <c r="W14" s="149"/>
      <c r="X14" s="71" t="str">
        <f t="shared" si="2"/>
        <v>Hampshire</v>
      </c>
      <c r="Y14" s="45">
        <f>IF(ISNUMBER(H14),IDACI!D13,0)</f>
        <v>249483</v>
      </c>
      <c r="Z14" s="45">
        <f>IF(ISNUMBER(H14),IDACI!E13,0)</f>
        <v>25197.783000000007</v>
      </c>
      <c r="AA14" s="202">
        <f>IF(ISNUMBER(D14),Population!P14,"")</f>
        <v>40700</v>
      </c>
      <c r="AB14" s="202">
        <f>IF(ISNUMBER(E14),Population!Q14,"")</f>
        <v>41000</v>
      </c>
      <c r="AC14" s="202">
        <f>IF(ISNUMBER(F14),Population!R14,"")</f>
        <v>40800</v>
      </c>
      <c r="AD14" s="202">
        <f>IF(ISNUMBER(G14),Population!S14,"")</f>
        <v>39700</v>
      </c>
      <c r="AE14" s="202">
        <f>IF(ISNUMBER(H14),Population!T14,"")</f>
        <v>39200</v>
      </c>
      <c r="AF14" s="95" t="s">
        <v>6</v>
      </c>
      <c r="AG14" s="225">
        <f t="shared" si="8"/>
        <v>131.12244897959184</v>
      </c>
      <c r="AH14" s="203">
        <f t="shared" si="9"/>
        <v>10</v>
      </c>
      <c r="AI14" s="199"/>
      <c r="AJ14" s="156"/>
      <c r="AK14" s="792">
        <f t="shared" si="3"/>
        <v>0.11409395973154363</v>
      </c>
      <c r="AL14" s="792">
        <f t="shared" si="4"/>
        <v>1.4056224899598393E-2</v>
      </c>
      <c r="AM14" s="792">
        <f t="shared" si="5"/>
        <v>4.9504950495049507E-2</v>
      </c>
      <c r="AN14" s="792">
        <f t="shared" si="6"/>
        <v>-3.0188679245283019E-2</v>
      </c>
      <c r="AO14" s="792">
        <f t="shared" si="10"/>
        <v>3.6866613970227127E-2</v>
      </c>
      <c r="AQ14" s="76"/>
      <c r="AR14" s="76"/>
      <c r="AS14" s="76"/>
      <c r="AT14" s="76"/>
      <c r="AU14" s="76"/>
      <c r="AV14" s="76"/>
    </row>
    <row r="15" spans="1:49" s="89" customFormat="1" ht="13.5" customHeight="1" x14ac:dyDescent="0.2">
      <c r="A15" s="462">
        <f>VLOOKUP(B15,Sheet1!$AQ$4:$AR$25,2,FALSE)</f>
        <v>0</v>
      </c>
      <c r="B15" s="95" t="str">
        <f>Sheet1!$K$9</f>
        <v>Isle of Wight</v>
      </c>
      <c r="C15" s="87"/>
      <c r="D15" s="102">
        <f>IF(Year1_Isle_of_Wight Year1_Care_Leavers_at_end_of_period="","",Year1_Isle_of_Wight Year1_Care_Leavers_at_end_of_period)</f>
        <v>86</v>
      </c>
      <c r="E15" s="102">
        <f>IF(Year2_Isle_of_Wight Year2_Care_Leavers_at_end_of_period="","",Year2_Isle_of_Wight Year2_Care_Leavers_at_end_of_period)</f>
        <v>90</v>
      </c>
      <c r="F15" s="102">
        <f>IF(Year3_Isle_of_Wight Year3_Care_Leavers_at_end_of_period="","",Year3_Isle_of_Wight Year3_Care_Leavers_at_end_of_period)</f>
        <v>94</v>
      </c>
      <c r="G15" s="102">
        <f>IF(Year4_Isle_of_Wight Year4_Care_Leavers_at_end_of_period="","",Year4_Isle_of_Wight Year4_Care_Leavers_at_end_of_period)</f>
        <v>89</v>
      </c>
      <c r="H15" s="563">
        <f>IF(Year5_Isle_of_Wight Year5_Care_Leavers_at_end_of_period="","",Year5_Isle_of_Wight Year5_Care_Leavers_at_end_of_period)</f>
        <v>89</v>
      </c>
      <c r="I15" s="1009">
        <f t="shared" si="0"/>
        <v>9.4411457474297671E-3</v>
      </c>
      <c r="J15" s="798">
        <f t="shared" si="1"/>
        <v>9.4411457474297671E-3</v>
      </c>
      <c r="K15" s="98"/>
      <c r="L15" s="99">
        <f>IF(ISNUMBER(D15),D15/Population!P15*10000,NA())</f>
        <v>214.99999999999997</v>
      </c>
      <c r="M15" s="99">
        <f>IF(ISNUMBER(E15),E15/Population!Q15*10000,NA())</f>
        <v>219.51219512195121</v>
      </c>
      <c r="N15" s="99">
        <f>IF(ISNUMBER(F15),F15/Population!R15*10000,NA())</f>
        <v>235</v>
      </c>
      <c r="O15" s="99">
        <f>IF(ISNUMBER(G15),G15/Population!S15*10000,NA())</f>
        <v>234.21052631578948</v>
      </c>
      <c r="P15" s="100">
        <f>IF(ISNUMBER(H15),H15/Population!T15*10000,NA())</f>
        <v>234.21052631578948</v>
      </c>
      <c r="Q15" s="101">
        <f t="shared" si="7"/>
        <v>234.21052631578948</v>
      </c>
      <c r="R15" s="770">
        <f t="shared" si="11"/>
        <v>17</v>
      </c>
      <c r="S15" s="69"/>
      <c r="T15" s="725">
        <f>IDACI!C14</f>
        <v>18</v>
      </c>
      <c r="U15" s="124"/>
      <c r="V15" s="140"/>
      <c r="W15" s="149"/>
      <c r="X15" s="71" t="str">
        <f t="shared" si="2"/>
        <v>Isle of Wight</v>
      </c>
      <c r="Y15" s="45">
        <f>IF(ISNUMBER(H15),IDACI!D14,0)</f>
        <v>22123</v>
      </c>
      <c r="Z15" s="45">
        <f>IF(ISNUMBER(H15),IDACI!E14,0)</f>
        <v>3982.14</v>
      </c>
      <c r="AA15" s="202">
        <f>IF(ISNUMBER(D15),Population!P15,"")</f>
        <v>4000</v>
      </c>
      <c r="AB15" s="202">
        <f>IF(ISNUMBER(E15),Population!Q15,"")</f>
        <v>4100</v>
      </c>
      <c r="AC15" s="202">
        <f>IF(ISNUMBER(F15),Population!R15,"")</f>
        <v>4000</v>
      </c>
      <c r="AD15" s="202">
        <f>IF(ISNUMBER(G15),Population!S15,"")</f>
        <v>3800</v>
      </c>
      <c r="AE15" s="202">
        <f>IF(ISNUMBER(H15),Population!T15,"")</f>
        <v>3800</v>
      </c>
      <c r="AF15" s="95" t="s">
        <v>1</v>
      </c>
      <c r="AG15" s="225">
        <f t="shared" si="8"/>
        <v>234.21052631578948</v>
      </c>
      <c r="AH15" s="203">
        <f t="shared" si="9"/>
        <v>17</v>
      </c>
      <c r="AI15" s="199"/>
      <c r="AJ15" s="156"/>
      <c r="AK15" s="792">
        <f t="shared" si="3"/>
        <v>4.6511627906976744E-2</v>
      </c>
      <c r="AL15" s="792">
        <f t="shared" si="4"/>
        <v>4.4444444444444446E-2</v>
      </c>
      <c r="AM15" s="792">
        <f t="shared" si="5"/>
        <v>-5.3191489361702128E-2</v>
      </c>
      <c r="AN15" s="792">
        <f t="shared" si="6"/>
        <v>0</v>
      </c>
      <c r="AO15" s="792">
        <f t="shared" si="10"/>
        <v>9.4411457474297671E-3</v>
      </c>
      <c r="AQ15" s="76"/>
      <c r="AR15" s="76"/>
      <c r="AS15" s="76"/>
      <c r="AT15" s="76"/>
      <c r="AU15" s="76"/>
      <c r="AV15" s="76"/>
    </row>
    <row r="16" spans="1:49" s="89" customFormat="1" ht="13.5" customHeight="1" x14ac:dyDescent="0.2">
      <c r="A16" s="462">
        <f>VLOOKUP(B16,Sheet1!$AQ$4:$AR$25,2,FALSE)</f>
        <v>0</v>
      </c>
      <c r="B16" s="95" t="str">
        <f>Sheet1!$K$10</f>
        <v>Kent</v>
      </c>
      <c r="C16" s="87"/>
      <c r="D16" s="102">
        <f>IF(Year1_Kent Year1_Care_Leavers_at_end_of_period="","",Year1_Kent Year1_Care_Leavers_at_end_of_period)</f>
        <v>953</v>
      </c>
      <c r="E16" s="102">
        <f>IF(Year2_Kent Year2_Care_Leavers_at_end_of_period="","",Year2_Kent Year2_Care_Leavers_at_end_of_period)</f>
        <v>945</v>
      </c>
      <c r="F16" s="102">
        <f>IF(Year3_Kent Year3_Care_Leavers_at_end_of_period="","",Year3_Kent Year3_Care_Leavers_at_end_of_period)</f>
        <v>1081</v>
      </c>
      <c r="G16" s="102">
        <f>IF(Year4_Kent Year4_Care_Leavers_at_end_of_period="","",Year4_Kent Year4_Care_Leavers_at_end_of_period)</f>
        <v>1349</v>
      </c>
      <c r="H16" s="563">
        <f>IF(Year5_Kent Year5_Care_Leavers_at_end_of_period="","",Year5_Kent Year5_Care_Leavers_at_end_of_period)</f>
        <v>1519</v>
      </c>
      <c r="I16" s="1009">
        <f t="shared" si="0"/>
        <v>0.12736466694978599</v>
      </c>
      <c r="J16" s="798">
        <f t="shared" si="1"/>
        <v>0.12736466694978599</v>
      </c>
      <c r="K16" s="98"/>
      <c r="L16" s="99">
        <f>IF(ISNUMBER(D16),D16/Population!P16*10000,NA())</f>
        <v>172.02166064981949</v>
      </c>
      <c r="M16" s="99">
        <f>IF(ISNUMBER(E16),E16/Population!Q16*10000,NA())</f>
        <v>174.35424354243543</v>
      </c>
      <c r="N16" s="99">
        <f>IF(ISNUMBER(F16),F16/Population!R16*10000,NA())</f>
        <v>202.43445692883896</v>
      </c>
      <c r="O16" s="99">
        <f>IF(ISNUMBER(G16),G16/Population!S16*10000,NA())</f>
        <v>255.49242424242425</v>
      </c>
      <c r="P16" s="100">
        <f>IF(ISNUMBER(H16),H16/Population!T16*10000,NA())</f>
        <v>290.43977055449329</v>
      </c>
      <c r="Q16" s="101">
        <f t="shared" si="7"/>
        <v>290.43977055449329</v>
      </c>
      <c r="R16" s="770">
        <f t="shared" si="11"/>
        <v>19</v>
      </c>
      <c r="S16" s="69"/>
      <c r="T16" s="725">
        <f>IDACI!C15</f>
        <v>15.8</v>
      </c>
      <c r="U16" s="124"/>
      <c r="V16" s="140"/>
      <c r="W16" s="149"/>
      <c r="X16" s="71" t="str">
        <f t="shared" si="2"/>
        <v>Kent</v>
      </c>
      <c r="Y16" s="45">
        <f>IF(ISNUMBER(H16),IDACI!D15,0)</f>
        <v>291866</v>
      </c>
      <c r="Z16" s="45">
        <f>IF(ISNUMBER(H16),IDACI!E15,0)</f>
        <v>46114.828000000001</v>
      </c>
      <c r="AA16" s="202">
        <f>IF(ISNUMBER(D16),Population!P16,"")</f>
        <v>55400</v>
      </c>
      <c r="AB16" s="202">
        <f>IF(ISNUMBER(E16),Population!Q16,"")</f>
        <v>54200</v>
      </c>
      <c r="AC16" s="202">
        <f>IF(ISNUMBER(F16),Population!R16,"")</f>
        <v>53400</v>
      </c>
      <c r="AD16" s="202">
        <f>IF(ISNUMBER(G16),Population!S16,"")</f>
        <v>52800</v>
      </c>
      <c r="AE16" s="202">
        <f>IF(ISNUMBER(H16),Population!T16,"")</f>
        <v>52300</v>
      </c>
      <c r="AF16" s="95" t="s">
        <v>9</v>
      </c>
      <c r="AG16" s="225">
        <f t="shared" si="8"/>
        <v>290.43977055449329</v>
      </c>
      <c r="AH16" s="203">
        <f t="shared" si="9"/>
        <v>19</v>
      </c>
      <c r="AI16" s="199"/>
      <c r="AJ16" s="156"/>
      <c r="AK16" s="792">
        <f t="shared" si="3"/>
        <v>-8.3945435466946487E-3</v>
      </c>
      <c r="AL16" s="792">
        <f t="shared" si="4"/>
        <v>0.14391534391534391</v>
      </c>
      <c r="AM16" s="792">
        <f t="shared" si="5"/>
        <v>0.2479185938945421</v>
      </c>
      <c r="AN16" s="792">
        <f t="shared" si="6"/>
        <v>0.12601927353595255</v>
      </c>
      <c r="AO16" s="792">
        <f t="shared" si="10"/>
        <v>0.12736466694978599</v>
      </c>
      <c r="AQ16" s="76"/>
      <c r="AR16" s="76"/>
      <c r="AS16" s="76"/>
      <c r="AT16" s="76"/>
      <c r="AU16" s="76"/>
      <c r="AV16" s="76"/>
    </row>
    <row r="17" spans="1:48" s="89" customFormat="1" ht="13.5" customHeight="1" x14ac:dyDescent="0.2">
      <c r="A17" s="462">
        <f>VLOOKUP(B17,Sheet1!$AQ$4:$AR$25,2,FALSE)</f>
        <v>0</v>
      </c>
      <c r="B17" s="95" t="str">
        <f>Sheet1!$K$11</f>
        <v>Medway</v>
      </c>
      <c r="C17" s="87"/>
      <c r="D17" s="102">
        <f>IF(Year1_Medway Year1_Care_Leavers_at_end_of_period="","",Year1_Medway Year1_Care_Leavers_at_end_of_period)</f>
        <v>188</v>
      </c>
      <c r="E17" s="102">
        <f>IF(Year2_Medway Year2_Care_Leavers_at_end_of_period="","",Year2_Medway Year2_Care_Leavers_at_end_of_period)</f>
        <v>156</v>
      </c>
      <c r="F17" s="102">
        <f>IF(Year3_Medway Year3_Care_Leavers_at_end_of_period="","",Year3_Medway Year3_Care_Leavers_at_end_of_period)</f>
        <v>117</v>
      </c>
      <c r="G17" s="102">
        <f>IF(Year4_Medway Year4_Care_Leavers_at_end_of_period="","",Year4_Medway Year4_Care_Leavers_at_end_of_period)</f>
        <v>112</v>
      </c>
      <c r="H17" s="563">
        <f>IF(Year5_Medway Year5_Care_Leavers_at_end_of_period="","",Year5_Medway Year5_Care_Leavers_at_end_of_period)</f>
        <v>119</v>
      </c>
      <c r="I17" s="1009">
        <f t="shared" si="0"/>
        <v>-0.1001119521731224</v>
      </c>
      <c r="J17" s="798">
        <f t="shared" si="1"/>
        <v>-0.1001119521731224</v>
      </c>
      <c r="K17" s="98"/>
      <c r="L17" s="99">
        <f>IF(ISNUMBER(D17),D17/Population!P17*10000,NA())</f>
        <v>170.90909090909091</v>
      </c>
      <c r="M17" s="99">
        <f>IF(ISNUMBER(E17),E17/Population!Q17*10000,NA())</f>
        <v>145.79439252336448</v>
      </c>
      <c r="N17" s="99">
        <f>IF(ISNUMBER(F17),F17/Population!R17*10000,NA())</f>
        <v>113.59223300970874</v>
      </c>
      <c r="O17" s="99">
        <f>IF(ISNUMBER(G17),G17/Population!S17*10000,NA())</f>
        <v>113.13131313131314</v>
      </c>
      <c r="P17" s="100">
        <f>IF(ISNUMBER(H17),H17/Population!T17*10000,NA())</f>
        <v>123.95833333333333</v>
      </c>
      <c r="Q17" s="101">
        <f t="shared" si="7"/>
        <v>123.95833333333333</v>
      </c>
      <c r="R17" s="770">
        <f t="shared" si="11"/>
        <v>8</v>
      </c>
      <c r="S17" s="69"/>
      <c r="T17" s="725">
        <f>IDACI!C16</f>
        <v>18.899999999999999</v>
      </c>
      <c r="U17" s="124"/>
      <c r="V17" s="140"/>
      <c r="W17" s="149"/>
      <c r="X17" s="71" t="str">
        <f t="shared" si="2"/>
        <v>Medway</v>
      </c>
      <c r="Y17" s="45">
        <f>IF(ISNUMBER(H17),IDACI!D16,0)</f>
        <v>55993</v>
      </c>
      <c r="Z17" s="45">
        <f>IF(ISNUMBER(H17),IDACI!E16,0)</f>
        <v>10582.676999999998</v>
      </c>
      <c r="AA17" s="202">
        <f>IF(ISNUMBER(D17),Population!P17,"")</f>
        <v>11000</v>
      </c>
      <c r="AB17" s="202">
        <f>IF(ISNUMBER(E17),Population!Q17,"")</f>
        <v>10700</v>
      </c>
      <c r="AC17" s="202">
        <f>IF(ISNUMBER(F17),Population!R17,"")</f>
        <v>10300</v>
      </c>
      <c r="AD17" s="202">
        <f>IF(ISNUMBER(G17),Population!S17,"")</f>
        <v>9900</v>
      </c>
      <c r="AE17" s="202">
        <f>IF(ISNUMBER(H17),Population!T17,"")</f>
        <v>9600</v>
      </c>
      <c r="AF17" s="95" t="s">
        <v>2</v>
      </c>
      <c r="AG17" s="225">
        <f t="shared" si="8"/>
        <v>123.95833333333333</v>
      </c>
      <c r="AH17" s="203">
        <f t="shared" si="9"/>
        <v>8</v>
      </c>
      <c r="AI17" s="199"/>
      <c r="AJ17" s="156"/>
      <c r="AK17" s="792">
        <f t="shared" si="3"/>
        <v>-0.1702127659574468</v>
      </c>
      <c r="AL17" s="792">
        <f t="shared" si="4"/>
        <v>-0.25</v>
      </c>
      <c r="AM17" s="792">
        <f t="shared" si="5"/>
        <v>-4.2735042735042736E-2</v>
      </c>
      <c r="AN17" s="792">
        <f t="shared" si="6"/>
        <v>6.25E-2</v>
      </c>
      <c r="AO17" s="792">
        <f t="shared" si="10"/>
        <v>-0.1001119521731224</v>
      </c>
      <c r="AQ17" s="76"/>
      <c r="AR17" s="76"/>
      <c r="AS17" s="76"/>
      <c r="AT17" s="76"/>
      <c r="AU17" s="76"/>
      <c r="AV17" s="76"/>
    </row>
    <row r="18" spans="1:48" s="89" customFormat="1" ht="13.5" customHeight="1" x14ac:dyDescent="0.2">
      <c r="A18" s="462">
        <f>VLOOKUP(B18,Sheet1!$AQ$4:$AR$25,2,FALSE)</f>
        <v>0</v>
      </c>
      <c r="B18" s="95" t="str">
        <f>Sheet1!$K$12</f>
        <v>Milton Keynes</v>
      </c>
      <c r="C18" s="87"/>
      <c r="D18" s="102">
        <f>IF(Year1_Milton_Keynes Year1_Care_Leavers_at_end_of_period="","",Year1_Milton_Keynes Year1_Care_Leavers_at_end_of_period)</f>
        <v>116</v>
      </c>
      <c r="E18" s="102">
        <f>IF(Year2_Milton_Keynes Year2_Care_Leavers_at_end_of_period="","",Year2_Milton_Keynes Year2_Care_Leavers_at_end_of_period)</f>
        <v>117</v>
      </c>
      <c r="F18" s="102">
        <f>IF(Year3_Milton_Keynes Year3_Care_Leavers_at_end_of_period="","",Year3_Milton_Keynes Year3_Care_Leavers_at_end_of_period)</f>
        <v>137</v>
      </c>
      <c r="G18" s="102">
        <f>IF(Year4_Milton_Keynes Year4_Care_Leavers_at_end_of_period="","",Year4_Milton_Keynes Year4_Care_Leavers_at_end_of_period)</f>
        <v>149</v>
      </c>
      <c r="H18" s="563">
        <f>IF(Year5_Milton_Keynes Year5_Care_Leavers_at_end_of_period="","",Year5_Milton_Keynes Year5_Care_Leavers_at_end_of_period)</f>
        <v>167</v>
      </c>
      <c r="I18" s="1009">
        <f t="shared" si="0"/>
        <v>9.698936764969314E-2</v>
      </c>
      <c r="J18" s="798">
        <f t="shared" si="1"/>
        <v>9.698936764969314E-2</v>
      </c>
      <c r="K18" s="98"/>
      <c r="L18" s="99">
        <f>IF(ISNUMBER(D18),D18/Population!P18*10000,NA())</f>
        <v>163.38028169014086</v>
      </c>
      <c r="M18" s="99">
        <f>IF(ISNUMBER(E18),E18/Population!Q18*10000,NA())</f>
        <v>164.78873239436621</v>
      </c>
      <c r="N18" s="99">
        <f>IF(ISNUMBER(F18),F18/Population!R18*10000,NA())</f>
        <v>204.47761194029849</v>
      </c>
      <c r="O18" s="99">
        <f>IF(ISNUMBER(G18),G18/Population!S18*10000,NA())</f>
        <v>222.38805970149252</v>
      </c>
      <c r="P18" s="100">
        <f>IF(ISNUMBER(H18),H18/Population!T18*10000,NA())</f>
        <v>256.92307692307691</v>
      </c>
      <c r="Q18" s="101">
        <f t="shared" si="7"/>
        <v>256.92307692307691</v>
      </c>
      <c r="R18" s="770">
        <f t="shared" si="11"/>
        <v>18</v>
      </c>
      <c r="S18" s="69"/>
      <c r="T18" s="725">
        <f>IDACI!C17</f>
        <v>15</v>
      </c>
      <c r="U18" s="124"/>
      <c r="V18" s="140"/>
      <c r="W18" s="149"/>
      <c r="X18" s="71" t="str">
        <f t="shared" si="2"/>
        <v>Milton Keynes</v>
      </c>
      <c r="Y18" s="45">
        <f>IF(ISNUMBER(H18),IDACI!D17,0)</f>
        <v>59903</v>
      </c>
      <c r="Z18" s="45">
        <f>IF(ISNUMBER(H18),IDACI!E17,0)</f>
        <v>8985.4499999999989</v>
      </c>
      <c r="AA18" s="202">
        <f>IF(ISNUMBER(D18),Population!P18,"")</f>
        <v>7100</v>
      </c>
      <c r="AB18" s="202">
        <f>IF(ISNUMBER(E18),Population!Q18,"")</f>
        <v>7100</v>
      </c>
      <c r="AC18" s="202">
        <f>IF(ISNUMBER(F18),Population!R18,"")</f>
        <v>6700</v>
      </c>
      <c r="AD18" s="202">
        <f>IF(ISNUMBER(G18),Population!S18,"")</f>
        <v>6700</v>
      </c>
      <c r="AE18" s="202">
        <f>IF(ISNUMBER(H18),Population!T18,"")</f>
        <v>6500</v>
      </c>
      <c r="AF18" s="95" t="s">
        <v>10</v>
      </c>
      <c r="AG18" s="225">
        <f t="shared" si="8"/>
        <v>256.92307692307691</v>
      </c>
      <c r="AH18" s="203">
        <f t="shared" si="9"/>
        <v>18</v>
      </c>
      <c r="AI18" s="199"/>
      <c r="AJ18" s="156"/>
      <c r="AK18" s="792">
        <f t="shared" si="3"/>
        <v>8.6206896551724137E-3</v>
      </c>
      <c r="AL18" s="792">
        <f t="shared" si="4"/>
        <v>0.17094017094017094</v>
      </c>
      <c r="AM18" s="792">
        <f t="shared" si="5"/>
        <v>8.7591240875912413E-2</v>
      </c>
      <c r="AN18" s="792">
        <f t="shared" si="6"/>
        <v>0.12080536912751678</v>
      </c>
      <c r="AO18" s="792">
        <f t="shared" si="10"/>
        <v>9.698936764969314E-2</v>
      </c>
      <c r="AQ18" s="76"/>
      <c r="AR18" s="76"/>
      <c r="AS18" s="76"/>
      <c r="AT18" s="76"/>
      <c r="AU18" s="76"/>
      <c r="AV18" s="76"/>
    </row>
    <row r="19" spans="1:48" s="89" customFormat="1" ht="13.5" customHeight="1" x14ac:dyDescent="0.2">
      <c r="A19" s="462">
        <f>VLOOKUP(B19,Sheet1!$AQ$4:$AR$25,2,FALSE)</f>
        <v>0</v>
      </c>
      <c r="B19" s="95" t="str">
        <f>Sheet1!$K$13</f>
        <v>Oxfordshire</v>
      </c>
      <c r="C19" s="87"/>
      <c r="D19" s="102">
        <f>IF(Year1_Oxfordshire Year1_Care_Leavers_at_end_of_period="","",Year1_Oxfordshire Year1_Care_Leavers_at_end_of_period)</f>
        <v>265</v>
      </c>
      <c r="E19" s="102">
        <f>IF(Year2_Oxfordshire Year2_Care_Leavers_at_end_of_period="","",Year2_Oxfordshire Year2_Care_Leavers_at_end_of_period)</f>
        <v>254</v>
      </c>
      <c r="F19" s="102">
        <f>IF(Year3_Oxfordshire Year3_Care_Leavers_at_end_of_period="","",Year3_Oxfordshire Year3_Care_Leavers_at_end_of_period)</f>
        <v>230</v>
      </c>
      <c r="G19" s="102">
        <f>IF(Year4_Oxfordshire Year4_Care_Leavers_at_end_of_period="","",Year4_Oxfordshire Year4_Care_Leavers_at_end_of_period)</f>
        <v>242</v>
      </c>
      <c r="H19" s="563">
        <f>IF(Year5_Oxfordshire Year5_Care_Leavers_at_end_of_period="","",Year5_Oxfordshire Year5_Care_Leavers_at_end_of_period)</f>
        <v>275</v>
      </c>
      <c r="I19" s="1009">
        <f t="shared" si="0"/>
        <v>1.3134981617118131E-2</v>
      </c>
      <c r="J19" s="798">
        <f t="shared" si="1"/>
        <v>1.3134981617118131E-2</v>
      </c>
      <c r="K19" s="98"/>
      <c r="L19" s="99">
        <f>IF(ISNUMBER(D19),D19/Population!P19*10000,NA())</f>
        <v>87.171052631578945</v>
      </c>
      <c r="M19" s="99">
        <f>IF(ISNUMBER(E19),E19/Population!Q19*10000,NA())</f>
        <v>83.828382838283829</v>
      </c>
      <c r="N19" s="99">
        <f>IF(ISNUMBER(F19),F19/Population!R19*10000,NA())</f>
        <v>75.65789473684211</v>
      </c>
      <c r="O19" s="99">
        <f>IF(ISNUMBER(G19),G19/Population!S19*10000,NA())</f>
        <v>80.936454849498318</v>
      </c>
      <c r="P19" s="100">
        <f>IF(ISNUMBER(H19),H19/Population!T19*10000,NA())</f>
        <v>91.973244147157203</v>
      </c>
      <c r="Q19" s="101">
        <f t="shared" si="7"/>
        <v>91.973244147157203</v>
      </c>
      <c r="R19" s="770">
        <f t="shared" si="11"/>
        <v>4</v>
      </c>
      <c r="S19" s="69"/>
      <c r="T19" s="725">
        <f>IDACI!C18</f>
        <v>10.100000000000001</v>
      </c>
      <c r="U19" s="124"/>
      <c r="V19" s="140"/>
      <c r="W19" s="149"/>
      <c r="X19" s="71" t="str">
        <f t="shared" si="2"/>
        <v>Oxfordshire</v>
      </c>
      <c r="Y19" s="45">
        <f>IF(ISNUMBER(H19),IDACI!D18,0)</f>
        <v>126119</v>
      </c>
      <c r="Z19" s="45">
        <f>IF(ISNUMBER(H19),IDACI!E18,0)</f>
        <v>12738.019000000002</v>
      </c>
      <c r="AA19" s="202">
        <f>IF(ISNUMBER(D19),Population!P19,"")</f>
        <v>30400</v>
      </c>
      <c r="AB19" s="202">
        <f>IF(ISNUMBER(E19),Population!Q19,"")</f>
        <v>30300</v>
      </c>
      <c r="AC19" s="202">
        <f>IF(ISNUMBER(F19),Population!R19,"")</f>
        <v>30400</v>
      </c>
      <c r="AD19" s="202">
        <f>IF(ISNUMBER(G19),Population!S19,"")</f>
        <v>29900</v>
      </c>
      <c r="AE19" s="202">
        <f>IF(ISNUMBER(H19),Population!T19,"")</f>
        <v>29900</v>
      </c>
      <c r="AF19" s="95" t="s">
        <v>11</v>
      </c>
      <c r="AG19" s="225">
        <f t="shared" si="8"/>
        <v>91.973244147157203</v>
      </c>
      <c r="AH19" s="203">
        <f t="shared" si="9"/>
        <v>4</v>
      </c>
      <c r="AI19" s="199"/>
      <c r="AJ19" s="156"/>
      <c r="AK19" s="792">
        <f t="shared" si="3"/>
        <v>-4.1509433962264149E-2</v>
      </c>
      <c r="AL19" s="792">
        <f t="shared" si="4"/>
        <v>-9.4488188976377951E-2</v>
      </c>
      <c r="AM19" s="792">
        <f t="shared" si="5"/>
        <v>5.2173913043478258E-2</v>
      </c>
      <c r="AN19" s="792">
        <f t="shared" si="6"/>
        <v>0.13636363636363635</v>
      </c>
      <c r="AO19" s="792">
        <f t="shared" si="10"/>
        <v>1.3134981617118131E-2</v>
      </c>
      <c r="AQ19" s="76"/>
      <c r="AR19" s="76"/>
      <c r="AS19" s="76"/>
      <c r="AT19" s="76"/>
      <c r="AU19" s="76"/>
      <c r="AV19" s="76"/>
    </row>
    <row r="20" spans="1:48" s="89" customFormat="1" ht="13.5" customHeight="1" x14ac:dyDescent="0.2">
      <c r="A20" s="462">
        <f>VLOOKUP(B20,Sheet1!$AQ$4:$AR$25,2,FALSE)</f>
        <v>0</v>
      </c>
      <c r="B20" s="95" t="str">
        <f>Sheet1!$K$14</f>
        <v>Portsmouth</v>
      </c>
      <c r="C20" s="87"/>
      <c r="D20" s="102">
        <f>IF(Year1_Portsmouth Year1_Care_Leavers_at_end_of_period="","",Year1_Portsmouth Year1_Care_Leavers_at_end_of_period)</f>
        <v>101</v>
      </c>
      <c r="E20" s="102">
        <f>IF(Year2_Portsmouth Year2_Care_Leavers_at_end_of_period="","",Year2_Portsmouth Year2_Care_Leavers_at_end_of_period)</f>
        <v>106</v>
      </c>
      <c r="F20" s="102">
        <f>IF(Year3_Portsmouth Year3_Care_Leavers_at_end_of_period="","",Year3_Portsmouth Year3_Care_Leavers_at_end_of_period)</f>
        <v>113</v>
      </c>
      <c r="G20" s="102">
        <f>IF(Year4_Portsmouth Year4_Care_Leavers_at_end_of_period="","",Year4_Portsmouth Year4_Care_Leavers_at_end_of_period)</f>
        <v>115</v>
      </c>
      <c r="H20" s="563">
        <f>IF(Year5_Portsmouth Year5_Care_Leavers_at_end_of_period="","",Year5_Portsmouth Year5_Care_Leavers_at_end_of_period)</f>
        <v>123</v>
      </c>
      <c r="I20" s="1009">
        <f t="shared" si="0"/>
        <v>5.0701754694914558E-2</v>
      </c>
      <c r="J20" s="798">
        <f t="shared" si="1"/>
        <v>5.0701754694914558E-2</v>
      </c>
      <c r="K20" s="98"/>
      <c r="L20" s="99">
        <f>IF(ISNUMBER(D20),D20/Population!P20*10000,NA())</f>
        <v>66.88741721854305</v>
      </c>
      <c r="M20" s="99">
        <f>IF(ISNUMBER(E20),E20/Population!Q20*10000,NA())</f>
        <v>69.736842105263165</v>
      </c>
      <c r="N20" s="99">
        <f>IF(ISNUMBER(F20),F20/Population!R20*10000,NA())</f>
        <v>72.903225806451616</v>
      </c>
      <c r="O20" s="99">
        <f>IF(ISNUMBER(G20),G20/Population!S20*10000,NA())</f>
        <v>70.987654320987659</v>
      </c>
      <c r="P20" s="100">
        <f>IF(ISNUMBER(H20),H20/Population!T20*10000,NA())</f>
        <v>75</v>
      </c>
      <c r="Q20" s="101">
        <f t="shared" si="7"/>
        <v>75</v>
      </c>
      <c r="R20" s="770">
        <f t="shared" si="11"/>
        <v>2</v>
      </c>
      <c r="S20" s="69"/>
      <c r="T20" s="725">
        <f>IDACI!C19</f>
        <v>20.200000000000003</v>
      </c>
      <c r="U20" s="124"/>
      <c r="V20" s="140"/>
      <c r="W20" s="149"/>
      <c r="X20" s="71" t="str">
        <f t="shared" si="2"/>
        <v>Portsmouth</v>
      </c>
      <c r="Y20" s="45">
        <f>IF(ISNUMBER(H20),IDACI!D19,0)</f>
        <v>39325</v>
      </c>
      <c r="Z20" s="45">
        <f>IF(ISNUMBER(H20),IDACI!E19,0)</f>
        <v>7943.6500000000015</v>
      </c>
      <c r="AA20" s="202">
        <f>IF(ISNUMBER(D20),Population!P20,"")</f>
        <v>15100</v>
      </c>
      <c r="AB20" s="202">
        <f>IF(ISNUMBER(E20),Population!Q20,"")</f>
        <v>15200</v>
      </c>
      <c r="AC20" s="202">
        <f>IF(ISNUMBER(F20),Population!R20,"")</f>
        <v>15500</v>
      </c>
      <c r="AD20" s="202">
        <f>IF(ISNUMBER(G20),Population!S20,"")</f>
        <v>16200</v>
      </c>
      <c r="AE20" s="202">
        <f>IF(ISNUMBER(H20),Population!T20,"")</f>
        <v>16400</v>
      </c>
      <c r="AF20" s="95" t="s">
        <v>12</v>
      </c>
      <c r="AG20" s="225">
        <f t="shared" si="8"/>
        <v>75</v>
      </c>
      <c r="AH20" s="203">
        <f t="shared" si="9"/>
        <v>2</v>
      </c>
      <c r="AI20" s="199"/>
      <c r="AJ20" s="156"/>
      <c r="AK20" s="792">
        <f t="shared" si="3"/>
        <v>4.9504950495049507E-2</v>
      </c>
      <c r="AL20" s="792">
        <f t="shared" si="4"/>
        <v>6.6037735849056603E-2</v>
      </c>
      <c r="AM20" s="792">
        <f t="shared" si="5"/>
        <v>1.7699115044247787E-2</v>
      </c>
      <c r="AN20" s="792">
        <f t="shared" si="6"/>
        <v>6.9565217391304349E-2</v>
      </c>
      <c r="AO20" s="792">
        <f t="shared" si="10"/>
        <v>5.0701754694914558E-2</v>
      </c>
      <c r="AQ20" s="76"/>
      <c r="AR20" s="76"/>
      <c r="AS20" s="76"/>
      <c r="AT20" s="76"/>
      <c r="AU20" s="76"/>
      <c r="AV20" s="76"/>
    </row>
    <row r="21" spans="1:48" s="89" customFormat="1" ht="13.5" customHeight="1" x14ac:dyDescent="0.2">
      <c r="A21" s="462">
        <f>VLOOKUP(B21,Sheet1!$AQ$4:$AR$25,2,FALSE)</f>
        <v>0</v>
      </c>
      <c r="B21" s="95" t="str">
        <f>Sheet1!$K$15</f>
        <v>Reading</v>
      </c>
      <c r="C21" s="87"/>
      <c r="D21" s="102">
        <f>IF(Year1_Reading Year1_Care_Leavers_at_end_of_period="","",Year1_Reading Year1_Care_Leavers_at_end_of_period)</f>
        <v>64</v>
      </c>
      <c r="E21" s="102">
        <f>IF(Year2_Reading Year2_Care_Leavers_at_end_of_period="","",Year2_Reading Year2_Care_Leavers_at_end_of_period)</f>
        <v>68</v>
      </c>
      <c r="F21" s="102">
        <f>IF(Year3_Reading Year3_Care_Leavers_at_end_of_period="","",Year3_Reading Year3_Care_Leavers_at_end_of_period)</f>
        <v>78</v>
      </c>
      <c r="G21" s="102">
        <f>IF(Year4_Reading Year4_Care_Leavers_at_end_of_period="","",Year4_Reading Year4_Care_Leavers_at_end_of_period)</f>
        <v>87</v>
      </c>
      <c r="H21" s="563">
        <f>IF(Year5_Reading Year5_Care_Leavers_at_end_of_period="","",Year5_Reading Year5_Care_Leavers_at_end_of_period)</f>
        <v>98</v>
      </c>
      <c r="I21" s="1009">
        <f t="shared" si="0"/>
        <v>0.11284505513080564</v>
      </c>
      <c r="J21" s="798">
        <f t="shared" si="1"/>
        <v>0.11284505513080564</v>
      </c>
      <c r="K21" s="98"/>
      <c r="L21" s="99">
        <f>IF(ISNUMBER(D21),D21/Population!P21*10000,NA())</f>
        <v>72.727272727272734</v>
      </c>
      <c r="M21" s="99">
        <f>IF(ISNUMBER(E21),E21/Population!Q21*10000,NA())</f>
        <v>77.27272727272728</v>
      </c>
      <c r="N21" s="99">
        <f>IF(ISNUMBER(F21),F21/Population!R21*10000,NA())</f>
        <v>88.63636363636364</v>
      </c>
      <c r="O21" s="99">
        <f>IF(ISNUMBER(G21),G21/Population!S21*10000,NA())</f>
        <v>95.604395604395592</v>
      </c>
      <c r="P21" s="100">
        <f>IF(ISNUMBER(H21),H21/Population!T21*10000,NA())</f>
        <v>104.25531914893618</v>
      </c>
      <c r="Q21" s="101">
        <f t="shared" si="7"/>
        <v>104.25531914893618</v>
      </c>
      <c r="R21" s="770">
        <f t="shared" si="11"/>
        <v>6</v>
      </c>
      <c r="S21" s="69"/>
      <c r="T21" s="725">
        <f>IDACI!C20</f>
        <v>16</v>
      </c>
      <c r="U21" s="124"/>
      <c r="V21" s="140"/>
      <c r="W21" s="149"/>
      <c r="X21" s="71" t="str">
        <f t="shared" si="2"/>
        <v>Reading</v>
      </c>
      <c r="Y21" s="45">
        <f>IF(ISNUMBER(H21),IDACI!D20,0)</f>
        <v>33203</v>
      </c>
      <c r="Z21" s="45">
        <f>IF(ISNUMBER(H21),IDACI!E20,0)</f>
        <v>5312.4800000000005</v>
      </c>
      <c r="AA21" s="202">
        <f>IF(ISNUMBER(D21),Population!P21,"")</f>
        <v>8800</v>
      </c>
      <c r="AB21" s="202">
        <f>IF(ISNUMBER(E21),Population!Q21,"")</f>
        <v>8800</v>
      </c>
      <c r="AC21" s="202">
        <f>IF(ISNUMBER(F21),Population!R21,"")</f>
        <v>8800</v>
      </c>
      <c r="AD21" s="202">
        <f>IF(ISNUMBER(G21),Population!S21,"")</f>
        <v>9100</v>
      </c>
      <c r="AE21" s="202">
        <f>IF(ISNUMBER(H21),Population!T21,"")</f>
        <v>9400</v>
      </c>
      <c r="AF21" s="95" t="s">
        <v>3</v>
      </c>
      <c r="AG21" s="225">
        <f t="shared" si="8"/>
        <v>104.25531914893618</v>
      </c>
      <c r="AH21" s="203">
        <f t="shared" si="9"/>
        <v>6</v>
      </c>
      <c r="AI21" s="199"/>
      <c r="AJ21" s="156"/>
      <c r="AK21" s="792">
        <f t="shared" si="3"/>
        <v>6.25E-2</v>
      </c>
      <c r="AL21" s="792">
        <f t="shared" si="4"/>
        <v>0.14705882352941177</v>
      </c>
      <c r="AM21" s="792">
        <f t="shared" si="5"/>
        <v>0.11538461538461539</v>
      </c>
      <c r="AN21" s="792">
        <f t="shared" si="6"/>
        <v>0.12643678160919541</v>
      </c>
      <c r="AO21" s="792">
        <f t="shared" si="10"/>
        <v>0.11284505513080564</v>
      </c>
      <c r="AQ21" s="76"/>
      <c r="AR21" s="76"/>
      <c r="AS21" s="76"/>
      <c r="AT21" s="76"/>
      <c r="AU21" s="76"/>
      <c r="AV21" s="76"/>
    </row>
    <row r="22" spans="1:48" s="89" customFormat="1" ht="13.5" customHeight="1" x14ac:dyDescent="0.2">
      <c r="A22" s="462">
        <f>VLOOKUP(B22,Sheet1!$AQ$4:$AR$25,2,FALSE)</f>
        <v>0</v>
      </c>
      <c r="B22" s="95" t="str">
        <f>Sheet1!$K$16</f>
        <v>Slough</v>
      </c>
      <c r="C22" s="87"/>
      <c r="D22" s="102">
        <f>IF(Year1_Slough Year1_Care_Leavers_at_end_of_period="","",Year1_Slough Year1_Care_Leavers_at_end_of_period)</f>
        <v>76</v>
      </c>
      <c r="E22" s="102">
        <f>IF(Year2_Slough Year2_Care_Leavers_at_end_of_period="","",Year2_Slough Year2_Care_Leavers_at_end_of_period)</f>
        <v>89</v>
      </c>
      <c r="F22" s="102">
        <f>IF(Year3_Slough Year3_Care_Leavers_at_end_of_period="","",Year3_Slough Year3_Care_Leavers_at_end_of_period)</f>
        <v>83</v>
      </c>
      <c r="G22" s="102">
        <f>IF(Year4_Slough Year4_Care_Leavers_at_end_of_period="","",Year4_Slough Year4_Care_Leavers_at_end_of_period)</f>
        <v>89</v>
      </c>
      <c r="H22" s="563">
        <f>IF(Year5_Slough Year5_Care_Leavers_at_end_of_period="","",Year5_Slough Year5_Care_Leavers_at_end_of_period)</f>
        <v>87</v>
      </c>
      <c r="I22" s="1009">
        <f t="shared" si="0"/>
        <v>3.8363536939003795E-2</v>
      </c>
      <c r="J22" s="798">
        <f t="shared" si="1"/>
        <v>3.8363536939003795E-2</v>
      </c>
      <c r="K22" s="98"/>
      <c r="L22" s="99">
        <f>IF(ISNUMBER(D22),D22/Population!P22*10000,NA())</f>
        <v>172.72727272727272</v>
      </c>
      <c r="M22" s="99">
        <f>IF(ISNUMBER(E22),E22/Population!Q22*10000,NA())</f>
        <v>197.77777777777777</v>
      </c>
      <c r="N22" s="99">
        <f>IF(ISNUMBER(F22),F22/Population!R22*10000,NA())</f>
        <v>188.63636363636363</v>
      </c>
      <c r="O22" s="99">
        <f>IF(ISNUMBER(G22),G22/Population!S22*10000,NA())</f>
        <v>206.97674418604649</v>
      </c>
      <c r="P22" s="100">
        <f>IF(ISNUMBER(H22),H22/Population!T22*10000,NA())</f>
        <v>207.14285714285714</v>
      </c>
      <c r="Q22" s="101">
        <f t="shared" si="7"/>
        <v>207.14285714285714</v>
      </c>
      <c r="R22" s="770">
        <f t="shared" si="11"/>
        <v>16</v>
      </c>
      <c r="S22" s="69"/>
      <c r="T22" s="725">
        <f>IDACI!C21</f>
        <v>14.7</v>
      </c>
      <c r="U22" s="124"/>
      <c r="V22" s="140"/>
      <c r="W22" s="149"/>
      <c r="X22" s="71" t="str">
        <f t="shared" si="2"/>
        <v>Slough</v>
      </c>
      <c r="Y22" s="45">
        <f>IF(ISNUMBER(H22),IDACI!D21,0)</f>
        <v>37031</v>
      </c>
      <c r="Z22" s="45">
        <f>IF(ISNUMBER(H22),IDACI!E21,0)</f>
        <v>5443.5569999999998</v>
      </c>
      <c r="AA22" s="202">
        <f>IF(ISNUMBER(D22),Population!P22,"")</f>
        <v>4400</v>
      </c>
      <c r="AB22" s="202">
        <f>IF(ISNUMBER(E22),Population!Q22,"")</f>
        <v>4500</v>
      </c>
      <c r="AC22" s="202">
        <f>IF(ISNUMBER(F22),Population!R22,"")</f>
        <v>4400</v>
      </c>
      <c r="AD22" s="202">
        <f>IF(ISNUMBER(G22),Population!S22,"")</f>
        <v>4300</v>
      </c>
      <c r="AE22" s="202">
        <f>IF(ISNUMBER(H22),Population!T22,"")</f>
        <v>4200</v>
      </c>
      <c r="AF22" s="95" t="s">
        <v>13</v>
      </c>
      <c r="AG22" s="225">
        <f t="shared" si="8"/>
        <v>207.14285714285714</v>
      </c>
      <c r="AH22" s="203">
        <f t="shared" si="9"/>
        <v>16</v>
      </c>
      <c r="AI22" s="199"/>
      <c r="AJ22" s="156"/>
      <c r="AK22" s="792">
        <f t="shared" si="3"/>
        <v>0.17105263157894737</v>
      </c>
      <c r="AL22" s="792">
        <f t="shared" si="4"/>
        <v>-6.741573033707865E-2</v>
      </c>
      <c r="AM22" s="792">
        <f t="shared" si="5"/>
        <v>7.2289156626506021E-2</v>
      </c>
      <c r="AN22" s="792">
        <f t="shared" si="6"/>
        <v>-2.247191011235955E-2</v>
      </c>
      <c r="AO22" s="792">
        <f t="shared" si="10"/>
        <v>3.8363536939003795E-2</v>
      </c>
      <c r="AQ22" s="76"/>
      <c r="AR22" s="76"/>
      <c r="AS22" s="76"/>
      <c r="AT22" s="76"/>
      <c r="AU22" s="76"/>
      <c r="AV22" s="76"/>
    </row>
    <row r="23" spans="1:48" s="89" customFormat="1" ht="13.5" customHeight="1" x14ac:dyDescent="0.2">
      <c r="A23" s="462">
        <f>VLOOKUP(B23,Sheet1!$AQ$4:$AR$25,2,FALSE)</f>
        <v>0</v>
      </c>
      <c r="B23" s="95" t="str">
        <f>Sheet1!$K$17</f>
        <v>Somerset</v>
      </c>
      <c r="C23" s="87"/>
      <c r="D23" s="102">
        <f>IF(Year1_Somerset Year1_Care_Leavers_at_end_of_period="","",Year1_Somerset Year1_Care_Leavers_at_end_of_period)</f>
        <v>269</v>
      </c>
      <c r="E23" s="102">
        <f>IF(Year2_Somerset Year2_Care_Leavers_at_end_of_period="","",Year2_Somerset Year2_Care_Leavers_at_end_of_period)</f>
        <v>260</v>
      </c>
      <c r="F23" s="102">
        <f>IF(Year3_Somerset Year3_Care_Leavers_at_end_of_period="","",Year3_Somerset Year3_Care_Leavers_at_end_of_period)</f>
        <v>220</v>
      </c>
      <c r="G23" s="102">
        <f>IF(Year4_Somerset Year4_Care_Leavers_at_end_of_period="","",Year4_Somerset Year4_Care_Leavers_at_end_of_period)</f>
        <v>201</v>
      </c>
      <c r="H23" s="563">
        <f>IF(Year5_Somerset Year5_Care_Leavers_at_end_of_period="","",Year5_Somerset Year5_Care_Leavers_at_end_of_period)</f>
        <v>181</v>
      </c>
      <c r="I23" s="1009">
        <f t="shared" si="0"/>
        <v>-9.3292381710652808E-2</v>
      </c>
      <c r="J23" s="798">
        <f t="shared" si="1"/>
        <v>-9.3292381710652808E-2</v>
      </c>
      <c r="K23" s="98"/>
      <c r="L23" s="99">
        <f>IF(ISNUMBER(D23),D23/Population!P23*10000,NA())</f>
        <v>173.54838709677418</v>
      </c>
      <c r="M23" s="99">
        <f>IF(ISNUMBER(E23),E23/Population!Q23*10000,NA())</f>
        <v>169.93464052287581</v>
      </c>
      <c r="N23" s="99">
        <f>IF(ISNUMBER(F23),F23/Population!R23*10000,NA())</f>
        <v>147.65100671140939</v>
      </c>
      <c r="O23" s="99">
        <f>IF(ISNUMBER(G23),G23/Population!S23*10000,NA())</f>
        <v>135.81081081081081</v>
      </c>
      <c r="P23" s="100">
        <f>IF(ISNUMBER(H23),H23/Population!T23*10000,NA())</f>
        <v>124.82758620689656</v>
      </c>
      <c r="Q23" s="101">
        <f t="shared" si="7"/>
        <v>124.82758620689656</v>
      </c>
      <c r="R23" s="766" t="str">
        <f t="shared" si="11"/>
        <v>--</v>
      </c>
      <c r="S23" s="69"/>
      <c r="T23" s="725">
        <f>IDACI!C22</f>
        <v>13.600000000000001</v>
      </c>
      <c r="U23" s="124"/>
      <c r="V23" s="140"/>
      <c r="W23" s="149"/>
      <c r="X23" s="71" t="str">
        <f t="shared" si="2"/>
        <v>Somerset</v>
      </c>
      <c r="Y23" s="45">
        <f>IF(ISNUMBER(H23),IDACI!D22,0)</f>
        <v>95875</v>
      </c>
      <c r="Z23" s="45">
        <f>IF(ISNUMBER(H23),IDACI!E22,0)</f>
        <v>13039.000000000002</v>
      </c>
      <c r="AA23" s="202">
        <f>IF(ISNUMBER(D23),Population!P23,"")</f>
        <v>15500</v>
      </c>
      <c r="AB23" s="202">
        <f>IF(ISNUMBER(E23),Population!Q23,"")</f>
        <v>15300</v>
      </c>
      <c r="AC23" s="202">
        <f>IF(ISNUMBER(F23),Population!R23,"")</f>
        <v>14900</v>
      </c>
      <c r="AD23" s="202">
        <f>IF(ISNUMBER(G23),Population!S23,"")</f>
        <v>14800</v>
      </c>
      <c r="AE23" s="202">
        <f>IF(ISNUMBER(H23),Population!T23,"")</f>
        <v>14500</v>
      </c>
      <c r="AF23" s="95" t="s">
        <v>14</v>
      </c>
      <c r="AG23" s="225">
        <f t="shared" si="8"/>
        <v>57.727272727272734</v>
      </c>
      <c r="AH23" s="203">
        <f t="shared" si="9"/>
        <v>1</v>
      </c>
      <c r="AI23" s="199"/>
      <c r="AJ23" s="156"/>
      <c r="AK23" s="792">
        <f t="shared" si="3"/>
        <v>-3.3457249070631967E-2</v>
      </c>
      <c r="AL23" s="792">
        <f t="shared" si="4"/>
        <v>-0.15384615384615385</v>
      </c>
      <c r="AM23" s="792">
        <f t="shared" si="5"/>
        <v>-8.6363636363636365E-2</v>
      </c>
      <c r="AN23" s="792">
        <f t="shared" si="6"/>
        <v>-9.950248756218906E-2</v>
      </c>
      <c r="AO23" s="792">
        <f t="shared" si="10"/>
        <v>-9.3292381710652808E-2</v>
      </c>
      <c r="AQ23" s="76"/>
      <c r="AR23" s="76"/>
      <c r="AS23" s="76"/>
      <c r="AT23" s="76"/>
      <c r="AU23" s="76"/>
      <c r="AV23" s="76"/>
    </row>
    <row r="24" spans="1:48" s="89" customFormat="1" ht="13.5" customHeight="1" x14ac:dyDescent="0.2">
      <c r="A24" s="462">
        <f>VLOOKUP(B24,Sheet1!$AQ$4:$AR$25,2,FALSE)</f>
        <v>0</v>
      </c>
      <c r="B24" s="95" t="str">
        <f>Sheet1!$K$18</f>
        <v>Southampton</v>
      </c>
      <c r="C24" s="87"/>
      <c r="D24" s="102">
        <f>IF(Year1_Southampton Year1_Care_Leavers_at_end_of_period="","",Year1_Southampton Year1_Care_Leavers_at_end_of_period)</f>
        <v>121</v>
      </c>
      <c r="E24" s="102">
        <f>IF(Year2_Southampton Year2_Care_Leavers_at_end_of_period="","",Year2_Southampton Year2_Care_Leavers_at_end_of_period)</f>
        <v>130</v>
      </c>
      <c r="F24" s="102">
        <f>IF(Year3_Southampton Year3_Care_Leavers_at_end_of_period="","",Year3_Southampton Year3_Care_Leavers_at_end_of_period)</f>
        <v>124</v>
      </c>
      <c r="G24" s="102">
        <f>IF(Year4_Southampton Year4_Care_Leavers_at_end_of_period="","",Year4_Southampton Year4_Care_Leavers_at_end_of_period)</f>
        <v>124</v>
      </c>
      <c r="H24" s="563">
        <f>IF(Year5_Southampton Year5_Care_Leavers_at_end_of_period="","",Year5_Southampton Year5_Care_Leavers_at_end_of_period)</f>
        <v>127</v>
      </c>
      <c r="I24" s="1009">
        <f t="shared" si="0"/>
        <v>1.3104966880626704E-2</v>
      </c>
      <c r="J24" s="798">
        <f t="shared" si="1"/>
        <v>1.3104966880626704E-2</v>
      </c>
      <c r="K24" s="98"/>
      <c r="L24" s="99">
        <f>IF(ISNUMBER(D24),D24/Population!P24*10000,NA())</f>
        <v>57.894736842105267</v>
      </c>
      <c r="M24" s="99">
        <f>IF(ISNUMBER(E24),E24/Population!Q24*10000,NA())</f>
        <v>62.5</v>
      </c>
      <c r="N24" s="99">
        <f>IF(ISNUMBER(F24),F24/Population!R24*10000,NA())</f>
        <v>56.88073394495413</v>
      </c>
      <c r="O24" s="99">
        <f>IF(ISNUMBER(G24),G24/Population!S24*10000,NA())</f>
        <v>56.108597285067873</v>
      </c>
      <c r="P24" s="100">
        <f>IF(ISNUMBER(H24),H24/Population!T24*10000,NA())</f>
        <v>57.727272727272734</v>
      </c>
      <c r="Q24" s="101">
        <f t="shared" si="7"/>
        <v>57.727272727272734</v>
      </c>
      <c r="R24" s="770">
        <f t="shared" si="11"/>
        <v>1</v>
      </c>
      <c r="S24" s="69"/>
      <c r="T24" s="725">
        <f>IDACI!C23</f>
        <v>20.5</v>
      </c>
      <c r="U24" s="124"/>
      <c r="V24" s="140"/>
      <c r="W24" s="149"/>
      <c r="X24" s="71" t="str">
        <f t="shared" si="2"/>
        <v>Southampton</v>
      </c>
      <c r="Y24" s="45">
        <f>IF(ISNUMBER(H24),IDACI!D23,0)</f>
        <v>44295</v>
      </c>
      <c r="Z24" s="45">
        <f>IF(ISNUMBER(H24),IDACI!E23,0)</f>
        <v>9080.4750000000004</v>
      </c>
      <c r="AA24" s="202">
        <f>IF(ISNUMBER(D24),Population!P24,"")</f>
        <v>20900</v>
      </c>
      <c r="AB24" s="202">
        <f>IF(ISNUMBER(E24),Population!Q24,"")</f>
        <v>20800</v>
      </c>
      <c r="AC24" s="202">
        <f>IF(ISNUMBER(F24),Population!R24,"")</f>
        <v>21800</v>
      </c>
      <c r="AD24" s="202">
        <f>IF(ISNUMBER(G24),Population!S24,"")</f>
        <v>22100</v>
      </c>
      <c r="AE24" s="202">
        <f>IF(ISNUMBER(H24),Population!T24,"")</f>
        <v>22000</v>
      </c>
      <c r="AF24" s="95" t="s">
        <v>7</v>
      </c>
      <c r="AG24" s="225">
        <f t="shared" si="8"/>
        <v>126.66666666666666</v>
      </c>
      <c r="AH24" s="203">
        <f t="shared" si="9"/>
        <v>9</v>
      </c>
      <c r="AI24" s="199"/>
      <c r="AJ24" s="156"/>
      <c r="AK24" s="792">
        <f t="shared" si="3"/>
        <v>7.43801652892562E-2</v>
      </c>
      <c r="AL24" s="792">
        <f t="shared" si="4"/>
        <v>-4.6153846153846156E-2</v>
      </c>
      <c r="AM24" s="792">
        <f t="shared" si="5"/>
        <v>0</v>
      </c>
      <c r="AN24" s="792">
        <f t="shared" si="6"/>
        <v>2.4193548387096774E-2</v>
      </c>
      <c r="AO24" s="792">
        <f t="shared" si="10"/>
        <v>1.3104966880626704E-2</v>
      </c>
      <c r="AQ24" s="76"/>
      <c r="AR24" s="76"/>
      <c r="AS24" s="76"/>
      <c r="AT24" s="76"/>
      <c r="AU24" s="76"/>
      <c r="AV24" s="76"/>
    </row>
    <row r="25" spans="1:48" s="89" customFormat="1" ht="13.5" customHeight="1" x14ac:dyDescent="0.2">
      <c r="A25" s="462">
        <f>VLOOKUP(B25,Sheet1!$AQ$4:$AR$25,2,FALSE)</f>
        <v>0</v>
      </c>
      <c r="B25" s="95" t="str">
        <f>Sheet1!$K$19</f>
        <v>Surrey</v>
      </c>
      <c r="C25" s="87"/>
      <c r="D25" s="102">
        <f>IF(Year1_Surrey Year1_Care_Leavers_at_end_of_period="","",Year1_Surrey Year1_Care_Leavers_at_end_of_period)</f>
        <v>357</v>
      </c>
      <c r="E25" s="102">
        <f>IF(Year2_Surrey Year2_Care_Leavers_at_end_of_period="","",Year2_Surrey Year2_Care_Leavers_at_end_of_period)</f>
        <v>363</v>
      </c>
      <c r="F25" s="102">
        <f>IF(Year3_Surrey Year3_Care_Leavers_at_end_of_period="","",Year3_Surrey Year3_Care_Leavers_at_end_of_period)</f>
        <v>380</v>
      </c>
      <c r="G25" s="102">
        <f>IF(Year4_Surrey Year4_Care_Leavers_at_end_of_period="","",Year4_Surrey Year4_Care_Leavers_at_end_of_period)</f>
        <v>418</v>
      </c>
      <c r="H25" s="563">
        <f>IF(Year5_Surrey Year5_Care_Leavers_at_end_of_period="","",Year5_Surrey Year5_Care_Leavers_at_end_of_period)</f>
        <v>475</v>
      </c>
      <c r="I25" s="1009">
        <f t="shared" si="0"/>
        <v>7.500057874389425E-2</v>
      </c>
      <c r="J25" s="798">
        <f t="shared" si="1"/>
        <v>7.500057874389425E-2</v>
      </c>
      <c r="K25" s="98"/>
      <c r="L25" s="99">
        <f>IF(ISNUMBER(D25),D25/Population!P25*10000,NA())</f>
        <v>99.442896935933149</v>
      </c>
      <c r="M25" s="99">
        <f>IF(ISNUMBER(E25),E25/Population!Q25*10000,NA())</f>
        <v>98.910081743869213</v>
      </c>
      <c r="N25" s="99">
        <f>IF(ISNUMBER(F25),F25/Population!R25*10000,NA())</f>
        <v>103.82513661202186</v>
      </c>
      <c r="O25" s="99">
        <f>IF(ISNUMBER(G25),G25/Population!S25*10000,NA())</f>
        <v>112.36559139784946</v>
      </c>
      <c r="P25" s="100">
        <f>IF(ISNUMBER(H25),H25/Population!T25*10000,NA())</f>
        <v>126.66666666666666</v>
      </c>
      <c r="Q25" s="101">
        <f t="shared" si="7"/>
        <v>126.66666666666666</v>
      </c>
      <c r="R25" s="770">
        <f t="shared" si="11"/>
        <v>9</v>
      </c>
      <c r="S25" s="69"/>
      <c r="T25" s="725">
        <f>IDACI!C24</f>
        <v>8.3000000000000007</v>
      </c>
      <c r="U25" s="124"/>
      <c r="V25" s="140"/>
      <c r="W25" s="149"/>
      <c r="X25" s="71" t="str">
        <f t="shared" si="2"/>
        <v>Surrey</v>
      </c>
      <c r="Y25" s="45">
        <f>IF(ISNUMBER(H25),IDACI!D24,0)</f>
        <v>228466</v>
      </c>
      <c r="Z25" s="45">
        <f>IF(ISNUMBER(H25),IDACI!E24,0)</f>
        <v>18962.678</v>
      </c>
      <c r="AA25" s="202">
        <f>IF(ISNUMBER(D25),Population!P25,"")</f>
        <v>35900</v>
      </c>
      <c r="AB25" s="202">
        <f>IF(ISNUMBER(E25),Population!Q25,"")</f>
        <v>36700</v>
      </c>
      <c r="AC25" s="202">
        <f>IF(ISNUMBER(F25),Population!R25,"")</f>
        <v>36600</v>
      </c>
      <c r="AD25" s="202">
        <f>IF(ISNUMBER(G25),Population!S25,"")</f>
        <v>37200</v>
      </c>
      <c r="AE25" s="202">
        <f>IF(ISNUMBER(H25),Population!T25,"")</f>
        <v>37500</v>
      </c>
      <c r="AF25" s="95" t="s">
        <v>15</v>
      </c>
      <c r="AG25" s="225">
        <f t="shared" si="8"/>
        <v>200</v>
      </c>
      <c r="AH25" s="203">
        <f t="shared" si="9"/>
        <v>15</v>
      </c>
      <c r="AI25" s="199"/>
      <c r="AJ25" s="156"/>
      <c r="AK25" s="792">
        <f t="shared" si="3"/>
        <v>1.680672268907563E-2</v>
      </c>
      <c r="AL25" s="792">
        <f t="shared" si="4"/>
        <v>4.6831955922865015E-2</v>
      </c>
      <c r="AM25" s="792">
        <f t="shared" si="5"/>
        <v>0.1</v>
      </c>
      <c r="AN25" s="792">
        <f t="shared" si="6"/>
        <v>0.13636363636363635</v>
      </c>
      <c r="AO25" s="792">
        <f t="shared" si="10"/>
        <v>7.500057874389425E-2</v>
      </c>
      <c r="AQ25" s="76"/>
      <c r="AR25" s="76"/>
      <c r="AS25" s="76"/>
      <c r="AT25" s="76"/>
      <c r="AU25" s="76"/>
      <c r="AV25" s="76"/>
    </row>
    <row r="26" spans="1:48" s="89" customFormat="1" ht="13.5" customHeight="1" x14ac:dyDescent="0.2">
      <c r="A26" s="462">
        <f>VLOOKUP(B26,Sheet1!$AQ$4:$AR$25,2,FALSE)</f>
        <v>0</v>
      </c>
      <c r="B26" s="95" t="str">
        <f>Sheet1!$K$20</f>
        <v>Swindon</v>
      </c>
      <c r="C26" s="87"/>
      <c r="D26" s="102">
        <f>IF(Year1_Swindon Year1_Care_Leavers_at_end_of_period="","",Year1_Swindon Year1_Care_Leavers_at_end_of_period)</f>
        <v>139</v>
      </c>
      <c r="E26" s="102">
        <f>IF(Year2_Swindon Year2_Care_Leavers_at_end_of_period="","",Year2_Swindon Year2_Care_Leavers_at_end_of_period)</f>
        <v>142</v>
      </c>
      <c r="F26" s="102">
        <f>IF(Year3_Swindon Year3_Care_Leavers_at_end_of_period="","",Year3_Swindon Year3_Care_Leavers_at_end_of_period)</f>
        <v>127</v>
      </c>
      <c r="G26" s="102">
        <f>IF(Year4_Swindon Year4_Care_Leavers_at_end_of_period="","",Year4_Swindon Year4_Care_Leavers_at_end_of_period)</f>
        <v>124</v>
      </c>
      <c r="H26" s="563">
        <f>IF(Year5_Swindon Year5_Care_Leavers_at_end_of_period="","",Year5_Swindon Year5_Care_Leavers_at_end_of_period)</f>
        <v>135</v>
      </c>
      <c r="I26" s="1009">
        <f t="shared" si="0"/>
        <v>-4.7408597071728516E-3</v>
      </c>
      <c r="J26" s="798">
        <f t="shared" si="1"/>
        <v>-4.7408597071728516E-3</v>
      </c>
      <c r="K26" s="98"/>
      <c r="L26" s="99">
        <f>IF(ISNUMBER(D26),D26/Population!P26*10000,NA())</f>
        <v>213.84615384615384</v>
      </c>
      <c r="M26" s="99">
        <f>IF(ISNUMBER(E26),E26/Population!Q26*10000,NA())</f>
        <v>218.46153846153845</v>
      </c>
      <c r="N26" s="99">
        <f>IF(ISNUMBER(F26),F26/Population!R26*10000,NA())</f>
        <v>201.58730158730157</v>
      </c>
      <c r="O26" s="99">
        <f>IF(ISNUMBER(G26),G26/Population!S26*10000,NA())</f>
        <v>196.82539682539684</v>
      </c>
      <c r="P26" s="100">
        <f>IF(ISNUMBER(H26),H26/Population!T26*10000,NA())</f>
        <v>214.28571428571428</v>
      </c>
      <c r="Q26" s="101">
        <f t="shared" si="7"/>
        <v>214.28571428571428</v>
      </c>
      <c r="R26" s="766" t="str">
        <f t="shared" si="11"/>
        <v>--</v>
      </c>
      <c r="S26" s="69"/>
      <c r="T26" s="725">
        <f>IDACI!C25</f>
        <v>14.899999999999999</v>
      </c>
      <c r="U26" s="124"/>
      <c r="V26" s="140"/>
      <c r="W26" s="149"/>
      <c r="X26" s="71" t="str">
        <f t="shared" si="2"/>
        <v>Swindon</v>
      </c>
      <c r="Y26" s="45">
        <f>IF(ISNUMBER(H26),IDACI!D25,0)</f>
        <v>43899</v>
      </c>
      <c r="Z26" s="45">
        <f>IF(ISNUMBER(H26),IDACI!E25,0)</f>
        <v>6540.951</v>
      </c>
      <c r="AA26" s="202">
        <f>IF(ISNUMBER(D26),Population!P26,"")</f>
        <v>6500</v>
      </c>
      <c r="AB26" s="202">
        <f>IF(ISNUMBER(E26),Population!Q26,"")</f>
        <v>6500</v>
      </c>
      <c r="AC26" s="202">
        <f>IF(ISNUMBER(F26),Population!R26,"")</f>
        <v>6300</v>
      </c>
      <c r="AD26" s="202">
        <f>IF(ISNUMBER(G26),Population!S26,"")</f>
        <v>6300</v>
      </c>
      <c r="AE26" s="202">
        <f>IF(ISNUMBER(H26),Population!T26,"")</f>
        <v>6300</v>
      </c>
      <c r="AF26" s="95" t="s">
        <v>5</v>
      </c>
      <c r="AG26" s="225">
        <f t="shared" si="8"/>
        <v>161.33333333333331</v>
      </c>
      <c r="AH26" s="203">
        <f t="shared" si="9"/>
        <v>13</v>
      </c>
      <c r="AI26" s="199"/>
      <c r="AJ26" s="156"/>
      <c r="AK26" s="792">
        <f t="shared" si="3"/>
        <v>2.1582733812949641E-2</v>
      </c>
      <c r="AL26" s="792">
        <f t="shared" si="4"/>
        <v>-0.10563380281690141</v>
      </c>
      <c r="AM26" s="792">
        <f t="shared" si="5"/>
        <v>-2.3622047244094488E-2</v>
      </c>
      <c r="AN26" s="792">
        <f t="shared" si="6"/>
        <v>8.8709677419354843E-2</v>
      </c>
      <c r="AO26" s="792">
        <f t="shared" si="10"/>
        <v>-4.7408597071728516E-3</v>
      </c>
      <c r="AQ26" s="76"/>
      <c r="AR26" s="76"/>
      <c r="AS26" s="76"/>
      <c r="AT26" s="76"/>
      <c r="AU26" s="76"/>
      <c r="AV26" s="76"/>
    </row>
    <row r="27" spans="1:48" s="89" customFormat="1" ht="13.5" customHeight="1" x14ac:dyDescent="0.2">
      <c r="A27" s="462">
        <f>VLOOKUP(B27,Sheet1!$AQ$4:$AR$25,2,FALSE)</f>
        <v>0</v>
      </c>
      <c r="B27" s="95" t="str">
        <f>Sheet1!$K$21</f>
        <v>Torbay</v>
      </c>
      <c r="C27" s="87"/>
      <c r="D27" s="102">
        <f>IF(Year1_Torbay Year1_Care_Leavers_at_end_of_period="","",Year1_Torbay Year1_Care_Leavers_at_end_of_period)</f>
        <v>105</v>
      </c>
      <c r="E27" s="102">
        <f>IF(Year2_Torbay Year2_Care_Leavers_at_end_of_period="","",Year2_Torbay Year2_Care_Leavers_at_end_of_period)</f>
        <v>96</v>
      </c>
      <c r="F27" s="102">
        <f>IF(Year3_Torbay Year3_Care_Leavers_at_end_of_period="","",Year3_Torbay Year3_Care_Leavers_at_end_of_period)</f>
        <v>94</v>
      </c>
      <c r="G27" s="102">
        <f>IF(Year4_Torbay Year4_Care_Leavers_at_end_of_period="","",Year4_Torbay Year4_Care_Leavers_at_end_of_period)</f>
        <v>107</v>
      </c>
      <c r="H27" s="563">
        <f>IF(Year5_Torbay Year5_Care_Leavers_at_end_of_period="","",Year5_Torbay Year5_Care_Leavers_at_end_of_period)</f>
        <v>104</v>
      </c>
      <c r="I27" s="1009">
        <f t="shared" si="0"/>
        <v>9.2821752880910009E-4</v>
      </c>
      <c r="J27" s="798">
        <f t="shared" si="1"/>
        <v>9.2821752880910009E-4</v>
      </c>
      <c r="K27" s="98"/>
      <c r="L27" s="99">
        <f>IF(ISNUMBER(D27),D27/Population!P27*10000,NA())</f>
        <v>269.23076923076923</v>
      </c>
      <c r="M27" s="99">
        <f>IF(ISNUMBER(E27),E27/Population!Q27*10000,NA())</f>
        <v>252.63157894736841</v>
      </c>
      <c r="N27" s="99">
        <f>IF(ISNUMBER(F27),F27/Population!R27*10000,NA())</f>
        <v>254.05405405405406</v>
      </c>
      <c r="O27" s="99">
        <f>IF(ISNUMBER(G27),G27/Population!S27*10000,NA())</f>
        <v>297.22222222222223</v>
      </c>
      <c r="P27" s="100">
        <f>IF(ISNUMBER(H27),H27/Population!T27*10000,NA())</f>
        <v>297.14285714285717</v>
      </c>
      <c r="Q27" s="101">
        <f t="shared" si="7"/>
        <v>297.14285714285717</v>
      </c>
      <c r="R27" s="766" t="str">
        <f t="shared" si="11"/>
        <v>--</v>
      </c>
      <c r="S27" s="69"/>
      <c r="T27" s="725">
        <f>IDACI!C26</f>
        <v>21.9</v>
      </c>
      <c r="U27" s="124"/>
      <c r="V27" s="140"/>
      <c r="W27" s="149"/>
      <c r="X27" s="71" t="str">
        <f t="shared" si="2"/>
        <v>Torbay</v>
      </c>
      <c r="Y27" s="45">
        <f>IF(ISNUMBER(H27),IDACI!D26,0)</f>
        <v>22257</v>
      </c>
      <c r="Z27" s="45">
        <f>IF(ISNUMBER(H27),IDACI!E26,0)</f>
        <v>4874.2829999999994</v>
      </c>
      <c r="AA27" s="202">
        <f>IF(ISNUMBER(D27),Population!P27,"")</f>
        <v>3900</v>
      </c>
      <c r="AB27" s="202">
        <f>IF(ISNUMBER(E27),Population!Q27,"")</f>
        <v>3800</v>
      </c>
      <c r="AC27" s="202">
        <f>IF(ISNUMBER(F27),Population!R27,"")</f>
        <v>3700</v>
      </c>
      <c r="AD27" s="202">
        <f>IF(ISNUMBER(G27),Population!S27,"")</f>
        <v>3600</v>
      </c>
      <c r="AE27" s="202">
        <f>IF(ISNUMBER(H27),Population!T27,"")</f>
        <v>3500</v>
      </c>
      <c r="AF27" s="95" t="s">
        <v>30</v>
      </c>
      <c r="AG27" s="225">
        <f t="shared" si="8"/>
        <v>175.00000000000003</v>
      </c>
      <c r="AH27" s="203">
        <f t="shared" si="9"/>
        <v>14</v>
      </c>
      <c r="AI27" s="199"/>
      <c r="AJ27" s="156"/>
      <c r="AK27" s="792">
        <f t="shared" si="3"/>
        <v>-8.5714285714285715E-2</v>
      </c>
      <c r="AL27" s="792">
        <f t="shared" si="4"/>
        <v>-2.0833333333333332E-2</v>
      </c>
      <c r="AM27" s="792">
        <f t="shared" si="5"/>
        <v>0.13829787234042554</v>
      </c>
      <c r="AN27" s="792">
        <f t="shared" si="6"/>
        <v>-2.8037383177570093E-2</v>
      </c>
      <c r="AO27" s="792">
        <f t="shared" si="10"/>
        <v>9.2821752880910009E-4</v>
      </c>
      <c r="AQ27" s="76"/>
      <c r="AR27" s="76"/>
      <c r="AS27" s="76"/>
      <c r="AT27" s="76"/>
      <c r="AU27" s="76"/>
      <c r="AV27" s="76"/>
    </row>
    <row r="28" spans="1:48" s="89" customFormat="1" ht="13.5" customHeight="1" x14ac:dyDescent="0.2">
      <c r="A28" s="462">
        <f>VLOOKUP(B28,Sheet1!$AQ$4:$AR$25,2,FALSE)</f>
        <v>0</v>
      </c>
      <c r="B28" s="95" t="str">
        <f>Sheet1!$K$22</f>
        <v>West Berkshire</v>
      </c>
      <c r="C28" s="87"/>
      <c r="D28" s="102">
        <f>IF(Year1_West_Berkshire Year1_Care_Leavers_at_end_of_period="","",Year1_West_Berkshire Year1_Care_Leavers_at_end_of_period)</f>
        <v>56</v>
      </c>
      <c r="E28" s="102">
        <f>IF(Year2_West_Berkshire Year2_Care_Leavers_at_end_of_period="","",Year2_West_Berkshire Year2_Care_Leavers_at_end_of_period)</f>
        <v>55</v>
      </c>
      <c r="F28" s="102">
        <f>IF(Year3_West_Berkshire Year3_Care_Leavers_at_end_of_period="","",Year3_West_Berkshire Year3_Care_Leavers_at_end_of_period)</f>
        <v>56</v>
      </c>
      <c r="G28" s="102">
        <f>IF(Year4_West_Berkshire Year4_Care_Leavers_at_end_of_period="","",Year4_West_Berkshire Year4_Care_Leavers_at_end_of_period)</f>
        <v>78</v>
      </c>
      <c r="H28" s="563">
        <f>IF(Year5_West_Berkshire Year5_Care_Leavers_at_end_of_period="","",Year5_West_Berkshire Year5_Care_Leavers_at_end_of_period)</f>
        <v>76</v>
      </c>
      <c r="I28" s="1009">
        <f t="shared" si="0"/>
        <v>9.1885198135198132E-2</v>
      </c>
      <c r="J28" s="798">
        <f t="shared" si="1"/>
        <v>9.1885198135198132E-2</v>
      </c>
      <c r="K28" s="98"/>
      <c r="L28" s="99">
        <f>IF(ISNUMBER(D28),D28/Population!P28*10000,NA())</f>
        <v>143.58974358974359</v>
      </c>
      <c r="M28" s="99">
        <f>IF(ISNUMBER(E28),E28/Population!Q28*10000,NA())</f>
        <v>144.73684210526315</v>
      </c>
      <c r="N28" s="99">
        <f>IF(ISNUMBER(F28),F28/Population!R28*10000,NA())</f>
        <v>143.58974358974359</v>
      </c>
      <c r="O28" s="99">
        <f>IF(ISNUMBER(G28),G28/Population!S28*10000,NA())</f>
        <v>205.26315789473685</v>
      </c>
      <c r="P28" s="100">
        <f>IF(ISNUMBER(H28),H28/Population!T28*10000,NA())</f>
        <v>200</v>
      </c>
      <c r="Q28" s="101">
        <f t="shared" si="7"/>
        <v>200</v>
      </c>
      <c r="R28" s="770">
        <f t="shared" si="11"/>
        <v>15</v>
      </c>
      <c r="S28" s="69"/>
      <c r="T28" s="725">
        <f>IDACI!C27</f>
        <v>8.6999999999999993</v>
      </c>
      <c r="U28" s="124"/>
      <c r="V28" s="140"/>
      <c r="W28" s="149"/>
      <c r="X28" s="71" t="str">
        <f t="shared" si="2"/>
        <v>West Berkshire</v>
      </c>
      <c r="Y28" s="45">
        <f>IF(ISNUMBER(H28),IDACI!D27,0)</f>
        <v>31625</v>
      </c>
      <c r="Z28" s="45">
        <f>IF(ISNUMBER(H28),IDACI!E27,0)</f>
        <v>2751.375</v>
      </c>
      <c r="AA28" s="202">
        <f>IF(ISNUMBER(D28),Population!P28,"")</f>
        <v>3900</v>
      </c>
      <c r="AB28" s="202">
        <f>IF(ISNUMBER(E28),Population!Q28,"")</f>
        <v>3800</v>
      </c>
      <c r="AC28" s="202">
        <f>IF(ISNUMBER(F28),Population!R28,"")</f>
        <v>3900</v>
      </c>
      <c r="AD28" s="202">
        <f>IF(ISNUMBER(G28),Population!S28,"")</f>
        <v>3800</v>
      </c>
      <c r="AE28" s="202">
        <f>IF(ISNUMBER(H28),Population!T28,"")</f>
        <v>3800</v>
      </c>
      <c r="AF28" s="95" t="s">
        <v>16</v>
      </c>
      <c r="AG28" s="225">
        <f t="shared" si="8"/>
        <v>86.36363636363636</v>
      </c>
      <c r="AH28" s="203">
        <f t="shared" si="9"/>
        <v>3</v>
      </c>
      <c r="AI28" s="199"/>
      <c r="AJ28" s="156"/>
      <c r="AK28" s="792">
        <f t="shared" si="3"/>
        <v>-1.7857142857142856E-2</v>
      </c>
      <c r="AL28" s="792">
        <f t="shared" si="4"/>
        <v>1.8181818181818181E-2</v>
      </c>
      <c r="AM28" s="792">
        <f t="shared" si="5"/>
        <v>0.39285714285714285</v>
      </c>
      <c r="AN28" s="792">
        <f t="shared" si="6"/>
        <v>-2.564102564102564E-2</v>
      </c>
      <c r="AO28" s="792">
        <f t="shared" si="10"/>
        <v>9.1885198135198132E-2</v>
      </c>
      <c r="AQ28" s="76"/>
      <c r="AR28" s="76"/>
      <c r="AS28" s="76"/>
      <c r="AT28" s="76"/>
      <c r="AU28" s="76"/>
      <c r="AV28" s="76"/>
    </row>
    <row r="29" spans="1:48" s="89" customFormat="1" ht="13.5" customHeight="1" x14ac:dyDescent="0.2">
      <c r="A29" s="462">
        <f>VLOOKUP(B29,Sheet1!$AQ$4:$AR$25,2,FALSE)</f>
        <v>0</v>
      </c>
      <c r="B29" s="95" t="str">
        <f>Sheet1!$K$23</f>
        <v>West Sussex</v>
      </c>
      <c r="C29" s="87"/>
      <c r="D29" s="102">
        <f>IF(Year1_West_Sussex Year1_Care_Leavers_at_end_of_period="","",Year1_West_Sussex Year1_Care_Leavers_at_end_of_period)</f>
        <v>321</v>
      </c>
      <c r="E29" s="102">
        <f>IF(Year2_West_Sussex Year2_Care_Leavers_at_end_of_period="","",Year2_West_Sussex Year2_Care_Leavers_at_end_of_period)</f>
        <v>305</v>
      </c>
      <c r="F29" s="102">
        <f>IF(Year3_West_Sussex Year3_Care_Leavers_at_end_of_period="","",Year3_West_Sussex Year3_Care_Leavers_at_end_of_period)</f>
        <v>321</v>
      </c>
      <c r="G29" s="102">
        <f>IF(Year4_West_Sussex Year4_Care_Leavers_at_end_of_period="","",Year4_West_Sussex Year4_Care_Leavers_at_end_of_period)</f>
        <v>348</v>
      </c>
      <c r="H29" s="563">
        <f>IF(Year5_West_Sussex Year5_Care_Leavers_at_end_of_period="","",Year5_West_Sussex Year5_Care_Leavers_at_end_of_period)</f>
        <v>363</v>
      </c>
      <c r="I29" s="1009">
        <f t="shared" si="0"/>
        <v>3.2457594360472589E-2</v>
      </c>
      <c r="J29" s="798">
        <f t="shared" si="1"/>
        <v>3.2457594360472589E-2</v>
      </c>
      <c r="K29" s="98"/>
      <c r="L29" s="99">
        <f>IF(ISNUMBER(D29),D29/Population!P29*10000,NA())</f>
        <v>137.76824034334763</v>
      </c>
      <c r="M29" s="99">
        <f>IF(ISNUMBER(E29),E29/Population!Q29*10000,NA())</f>
        <v>129.78723404255319</v>
      </c>
      <c r="N29" s="99">
        <f>IF(ISNUMBER(F29),F29/Population!R29*10000,NA())</f>
        <v>138.96103896103895</v>
      </c>
      <c r="O29" s="99">
        <f>IF(ISNUMBER(G29),G29/Population!S29*10000,NA())</f>
        <v>152.63157894736841</v>
      </c>
      <c r="P29" s="100">
        <f>IF(ISNUMBER(H29),H29/Population!T29*10000,NA())</f>
        <v>161.33333333333331</v>
      </c>
      <c r="Q29" s="101">
        <f t="shared" si="7"/>
        <v>161.33333333333331</v>
      </c>
      <c r="R29" s="770">
        <f t="shared" si="11"/>
        <v>13</v>
      </c>
      <c r="S29" s="69"/>
      <c r="T29" s="725">
        <f>IDACI!C28</f>
        <v>11</v>
      </c>
      <c r="U29" s="124"/>
      <c r="V29" s="140"/>
      <c r="W29" s="149"/>
      <c r="X29" s="71" t="str">
        <f t="shared" si="2"/>
        <v>West Sussex</v>
      </c>
      <c r="Y29" s="45">
        <f>IF(ISNUMBER(H29),IDACI!D28,0)</f>
        <v>151487</v>
      </c>
      <c r="Z29" s="45">
        <f>IF(ISNUMBER(H29),IDACI!E28,0)</f>
        <v>16663.57</v>
      </c>
      <c r="AA29" s="202">
        <f>IF(ISNUMBER(D29),Population!P29,"")</f>
        <v>23300</v>
      </c>
      <c r="AB29" s="202">
        <f>IF(ISNUMBER(E29),Population!Q29,"")</f>
        <v>23500</v>
      </c>
      <c r="AC29" s="202">
        <f>IF(ISNUMBER(F29),Population!R29,"")</f>
        <v>23100</v>
      </c>
      <c r="AD29" s="202">
        <f>IF(ISNUMBER(G29),Population!S29,"")</f>
        <v>22800</v>
      </c>
      <c r="AE29" s="202">
        <f>IF(ISNUMBER(H29),Population!T29,"")</f>
        <v>22500</v>
      </c>
      <c r="AF29" s="199"/>
      <c r="AG29" s="199"/>
      <c r="AH29" s="185"/>
      <c r="AI29" s="199"/>
      <c r="AJ29" s="156"/>
      <c r="AK29" s="792">
        <f t="shared" si="3"/>
        <v>-4.9844236760124609E-2</v>
      </c>
      <c r="AL29" s="792">
        <f t="shared" si="4"/>
        <v>5.2459016393442623E-2</v>
      </c>
      <c r="AM29" s="792">
        <f t="shared" si="5"/>
        <v>8.4112149532710276E-2</v>
      </c>
      <c r="AN29" s="792">
        <f t="shared" si="6"/>
        <v>4.3103448275862072E-2</v>
      </c>
      <c r="AO29" s="792">
        <f t="shared" si="10"/>
        <v>3.2457594360472589E-2</v>
      </c>
      <c r="AQ29" s="76"/>
      <c r="AR29" s="76"/>
      <c r="AS29" s="76"/>
      <c r="AT29" s="76"/>
      <c r="AU29" s="76"/>
      <c r="AV29" s="76"/>
    </row>
    <row r="30" spans="1:48" s="89" customFormat="1" ht="13.5" customHeight="1" x14ac:dyDescent="0.2">
      <c r="A30" s="462">
        <f>VLOOKUP(B30,Sheet1!$AQ$4:$AR$25,2,FALSE)</f>
        <v>0</v>
      </c>
      <c r="B30" s="95" t="str">
        <f>Sheet1!$K$24</f>
        <v>Windsor &amp; Maidenhead</v>
      </c>
      <c r="C30" s="87"/>
      <c r="D30" s="102">
        <f>IF(Year1_Windsor_Maidenhead Year1_Care_Leavers_at_end_of_period="","",Year1_Windsor_Maidenhead Year1_Care_Leavers_at_end_of_period)</f>
        <v>49</v>
      </c>
      <c r="E30" s="102">
        <f>IF(Year2_Windsor_Maidenhead Year2_Care_Leavers_at_end_of_period="","",Year2_Windsor_Maidenhead Year2_Care_Leavers_at_end_of_period)</f>
        <v>42</v>
      </c>
      <c r="F30" s="102">
        <f>IF(Year3_Windsor_Maidenhead Year3_Care_Leavers_at_end_of_period="","",Year3_Windsor_Maidenhead Year3_Care_Leavers_at_end_of_period)</f>
        <v>45</v>
      </c>
      <c r="G30" s="102">
        <f>IF(Year4_Windsor_Maidenhead Year4_Care_Leavers_at_end_of_period="","",Year4_Windsor_Maidenhead Year4_Care_Leavers_at_end_of_period)</f>
        <v>48</v>
      </c>
      <c r="H30" s="563">
        <f>IF(Year5_Windsor_Maidenhead Year5_Care_Leavers_at_end_of_period="","",Year5_Windsor_Maidenhead Year5_Care_Leavers_at_end_of_period)</f>
        <v>56</v>
      </c>
      <c r="I30" s="1009">
        <f t="shared" si="0"/>
        <v>4.0476190476190471E-2</v>
      </c>
      <c r="J30" s="798">
        <f t="shared" si="1"/>
        <v>4.0476190476190471E-2</v>
      </c>
      <c r="K30" s="98"/>
      <c r="L30" s="99">
        <f>IF(ISNUMBER(D30),D30/Population!P30*10000,NA())</f>
        <v>153.125</v>
      </c>
      <c r="M30" s="99">
        <f>IF(ISNUMBER(E30),E30/Population!Q30*10000,NA())</f>
        <v>135.48387096774192</v>
      </c>
      <c r="N30" s="99">
        <f>IF(ISNUMBER(F30),F30/Population!R30*10000,NA())</f>
        <v>145.16129032258064</v>
      </c>
      <c r="O30" s="99">
        <f>IF(ISNUMBER(G30),G30/Population!S30*10000,NA())</f>
        <v>154.83870967741936</v>
      </c>
      <c r="P30" s="100">
        <f>IF(ISNUMBER(H30),H30/Population!T30*10000,NA())</f>
        <v>175.00000000000003</v>
      </c>
      <c r="Q30" s="101">
        <f t="shared" si="7"/>
        <v>175.00000000000003</v>
      </c>
      <c r="R30" s="770">
        <f t="shared" si="11"/>
        <v>14</v>
      </c>
      <c r="S30" s="69"/>
      <c r="T30" s="725">
        <f>IDACI!C29</f>
        <v>6.7</v>
      </c>
      <c r="U30" s="124"/>
      <c r="V30" s="140"/>
      <c r="W30" s="149"/>
      <c r="X30" s="71" t="str">
        <f t="shared" si="2"/>
        <v>Windsor &amp; Maidenhead</v>
      </c>
      <c r="Y30" s="45">
        <f>IF(ISNUMBER(H30),IDACI!D29,0)</f>
        <v>29792</v>
      </c>
      <c r="Z30" s="45">
        <f>IF(ISNUMBER(H30),IDACI!E29,0)</f>
        <v>1996.0640000000001</v>
      </c>
      <c r="AA30" s="202">
        <f>IF(ISNUMBER(D30),Population!P30,"")</f>
        <v>3200</v>
      </c>
      <c r="AB30" s="202">
        <f>IF(ISNUMBER(E30),Population!Q30,"")</f>
        <v>3100</v>
      </c>
      <c r="AC30" s="202">
        <f>IF(ISNUMBER(F30),Population!R30,"")</f>
        <v>3100</v>
      </c>
      <c r="AD30" s="202">
        <f>IF(ISNUMBER(G30),Population!S30,"")</f>
        <v>3100</v>
      </c>
      <c r="AE30" s="202">
        <f>IF(ISNUMBER(H30),Population!T30,"")</f>
        <v>3200</v>
      </c>
      <c r="AF30" s="199"/>
      <c r="AG30" s="199"/>
      <c r="AH30" s="185"/>
      <c r="AI30" s="199"/>
      <c r="AJ30" s="156"/>
      <c r="AK30" s="792">
        <f t="shared" si="3"/>
        <v>-0.14285714285714285</v>
      </c>
      <c r="AL30" s="792">
        <f t="shared" si="4"/>
        <v>7.1428571428571425E-2</v>
      </c>
      <c r="AM30" s="792">
        <f t="shared" si="5"/>
        <v>6.6666666666666666E-2</v>
      </c>
      <c r="AN30" s="792">
        <f t="shared" si="6"/>
        <v>0.16666666666666666</v>
      </c>
      <c r="AO30" s="792">
        <f t="shared" si="10"/>
        <v>4.0476190476190471E-2</v>
      </c>
      <c r="AQ30" s="76"/>
      <c r="AR30" s="76"/>
      <c r="AS30" s="76"/>
      <c r="AT30" s="76"/>
      <c r="AU30" s="76"/>
      <c r="AV30" s="76"/>
    </row>
    <row r="31" spans="1:48" s="89" customFormat="1" ht="13.5" customHeight="1" x14ac:dyDescent="0.2">
      <c r="A31" s="462">
        <f>VLOOKUP(B31,Sheet1!$AQ$4:$AR$25,2,FALSE)</f>
        <v>0</v>
      </c>
      <c r="B31" s="95" t="str">
        <f>Sheet1!$K$25</f>
        <v>Wokingham</v>
      </c>
      <c r="C31" s="87"/>
      <c r="D31" s="102">
        <f>IF(Year1_Wokingham Year1_Care_Leavers_at_end_of_period="","",Year1_Wokingham Year1_Care_Leavers_at_end_of_period)</f>
        <v>39</v>
      </c>
      <c r="E31" s="102">
        <f>IF(Year2_Wokingham Year2_Care_Leavers_at_end_of_period="","",Year2_Wokingham Year2_Care_Leavers_at_end_of_period)</f>
        <v>31</v>
      </c>
      <c r="F31" s="102">
        <f>IF(Year3_Wokingham Year3_Care_Leavers_at_end_of_period="","",Year3_Wokingham Year3_Care_Leavers_at_end_of_period)</f>
        <v>32</v>
      </c>
      <c r="G31" s="102">
        <f>IF(Year4_Wokingham Year4_Care_Leavers_at_end_of_period="","",Year4_Wokingham Year4_Care_Leavers_at_end_of_period)</f>
        <v>28</v>
      </c>
      <c r="H31" s="563">
        <f>IF(Year5_Wokingham Year5_Care_Leavers_at_end_of_period="","",Year5_Wokingham Year5_Care_Leavers_at_end_of_period)</f>
        <v>38</v>
      </c>
      <c r="I31" s="1009">
        <f t="shared" si="0"/>
        <v>1.4818179132695272E-2</v>
      </c>
      <c r="J31" s="798">
        <f t="shared" si="1"/>
        <v>1.4818179132695272E-2</v>
      </c>
      <c r="K31" s="98"/>
      <c r="L31" s="99">
        <f>IF(ISNUMBER(D31),D31/Population!P31*10000,NA())</f>
        <v>88.63636363636364</v>
      </c>
      <c r="M31" s="99">
        <f>IF(ISNUMBER(E31),E31/Population!Q31*10000,NA())</f>
        <v>70.454545454545453</v>
      </c>
      <c r="N31" s="99">
        <f>IF(ISNUMBER(F31),F31/Population!R31*10000,NA())</f>
        <v>74.418604651162795</v>
      </c>
      <c r="O31" s="99">
        <f>IF(ISNUMBER(G31),G31/Population!S31*10000,NA())</f>
        <v>63.63636363636364</v>
      </c>
      <c r="P31" s="100">
        <f>IF(ISNUMBER(H31),H31/Population!T31*10000,NA())</f>
        <v>86.36363636363636</v>
      </c>
      <c r="Q31" s="101">
        <f t="shared" si="7"/>
        <v>86.36363636363636</v>
      </c>
      <c r="R31" s="770">
        <f t="shared" si="11"/>
        <v>3</v>
      </c>
      <c r="S31" s="69"/>
      <c r="T31" s="725">
        <f>IDACI!C30</f>
        <v>5.6000000000000005</v>
      </c>
      <c r="U31" s="124"/>
      <c r="V31" s="140"/>
      <c r="W31" s="149"/>
      <c r="X31" s="71" t="str">
        <f t="shared" si="2"/>
        <v>Wokingham</v>
      </c>
      <c r="Y31" s="45">
        <f>IF(ISNUMBER(H31),IDACI!D30,0)</f>
        <v>33327</v>
      </c>
      <c r="Z31" s="45">
        <f>IF(ISNUMBER(H31),IDACI!E30,0)</f>
        <v>1866.3120000000004</v>
      </c>
      <c r="AA31" s="202">
        <f>IF(ISNUMBER(D31),Population!P31,"")</f>
        <v>4400</v>
      </c>
      <c r="AB31" s="202">
        <f>IF(ISNUMBER(E31),Population!Q31,"")</f>
        <v>4400</v>
      </c>
      <c r="AC31" s="202">
        <f>IF(ISNUMBER(F31),Population!R31,"")</f>
        <v>4300</v>
      </c>
      <c r="AD31" s="202">
        <f>IF(ISNUMBER(G31),Population!S31,"")</f>
        <v>4400</v>
      </c>
      <c r="AE31" s="202">
        <f>IF(ISNUMBER(H31),Population!T31,"")</f>
        <v>4400</v>
      </c>
      <c r="AF31" s="199"/>
      <c r="AG31" s="199"/>
      <c r="AH31" s="185"/>
      <c r="AI31" s="199"/>
      <c r="AJ31" s="156"/>
      <c r="AK31" s="792">
        <f t="shared" si="3"/>
        <v>-0.20512820512820512</v>
      </c>
      <c r="AL31" s="792">
        <f t="shared" si="4"/>
        <v>3.2258064516129031E-2</v>
      </c>
      <c r="AM31" s="792">
        <f t="shared" si="5"/>
        <v>-0.125</v>
      </c>
      <c r="AN31" s="792">
        <f t="shared" si="6"/>
        <v>0.35714285714285715</v>
      </c>
      <c r="AO31" s="792">
        <f t="shared" si="10"/>
        <v>1.4818179132695272E-2</v>
      </c>
      <c r="AQ31" s="76"/>
      <c r="AR31" s="76"/>
      <c r="AS31" s="76"/>
      <c r="AT31" s="76"/>
      <c r="AU31" s="76"/>
      <c r="AV31" s="76"/>
    </row>
    <row r="32" spans="1:48" s="89" customFormat="1" ht="13.5" customHeight="1" x14ac:dyDescent="0.2">
      <c r="A32" s="123"/>
      <c r="B32" s="131" t="str">
        <f>Sheet1!$K$26</f>
        <v>South East</v>
      </c>
      <c r="C32" s="87"/>
      <c r="D32" s="132">
        <f>IF(Year1_SouthEast Year1_Care_Leavers_at_end_of_period="","",Year1_SouthEast Year1_Care_Leavers_at_end_of_period)</f>
        <v>3750</v>
      </c>
      <c r="E32" s="132">
        <f>IF(Year2_SouthEast Year2_Care_Leavers_at_end_of_period="","",Year2_SouthEast Year2_Care_Leavers_at_end_of_period)</f>
        <v>3750</v>
      </c>
      <c r="F32" s="132">
        <f>IF(Year3_SouthEast Year3_Care_Leavers_at_end_of_period="","",Year3_SouthEast Year3_Care_Leavers_at_end_of_period)</f>
        <v>3920</v>
      </c>
      <c r="G32" s="132">
        <f>IF(Year4_SouthEast Year4_Care_Leavers_at_end_of_period="","",Year4_SouthEast Year4_Care_Leavers_at_end_of_period)</f>
        <v>4400</v>
      </c>
      <c r="H32" s="133">
        <f>IF(Year5_SouthEast Year5_Care_Leavers_at_end_of_period="","",Year5_SouthEast Year5_Care_Leavers_at_end_of_period)</f>
        <v>4750</v>
      </c>
      <c r="I32" s="797">
        <f t="shared" si="0"/>
        <v>6.4212910605151025E-2</v>
      </c>
      <c r="J32" s="798">
        <f t="shared" si="1"/>
        <v>6.4212910605151025E-2</v>
      </c>
      <c r="K32" s="98"/>
      <c r="L32" s="134">
        <f t="shared" ref="L32:P33" si="12">IF(ISNUMBER(D32),D32/AA32*10000,NA())</f>
        <v>117.04119850187267</v>
      </c>
      <c r="M32" s="134">
        <f t="shared" si="12"/>
        <v>117.07773961910709</v>
      </c>
      <c r="N32" s="134">
        <f t="shared" si="12"/>
        <v>122.65331664580727</v>
      </c>
      <c r="O32" s="134">
        <f t="shared" si="12"/>
        <v>138.10420590081608</v>
      </c>
      <c r="P32" s="134">
        <f t="shared" si="12"/>
        <v>149.55919395465995</v>
      </c>
      <c r="Q32" s="101">
        <f t="shared" si="7"/>
        <v>149.55919395465995</v>
      </c>
      <c r="R32" s="136" t="str">
        <f t="shared" si="11"/>
        <v>--</v>
      </c>
      <c r="S32" s="69"/>
      <c r="T32" s="726">
        <f>Z32/Y32*100</f>
        <v>12.371268250968637</v>
      </c>
      <c r="U32" s="124"/>
      <c r="V32" s="140"/>
      <c r="W32" s="149"/>
      <c r="X32" s="71" t="str">
        <f t="shared" si="2"/>
        <v>South East</v>
      </c>
      <c r="Y32" s="45">
        <f>SUM(Y24:Y25,Y10:Y22,Y28:Y31)</f>
        <v>1704978</v>
      </c>
      <c r="Z32" s="45">
        <f>SUM(Z24:Z25,Z10:Z22,Z28:Z31)</f>
        <v>210927.40200000003</v>
      </c>
      <c r="AA32" s="202">
        <f>SUM(AA10:AA22,AA24:AA25,AA28:AA31)</f>
        <v>320400</v>
      </c>
      <c r="AB32" s="202">
        <f>SUM(AB10:AB22,AB24:AB25,AB28:AB31)</f>
        <v>320300</v>
      </c>
      <c r="AC32" s="202">
        <f>SUM(AC10:AC22,AC24:AC25,AC28:AC31)</f>
        <v>319600</v>
      </c>
      <c r="AD32" s="202">
        <f>SUM(AD10:AD22,AD24:AD25,AD28:AD31)</f>
        <v>318600</v>
      </c>
      <c r="AE32" s="202">
        <f>SUM(AE10:AE22,AE24:AE25,AE28:AE31)</f>
        <v>317600</v>
      </c>
      <c r="AF32" s="199"/>
      <c r="AG32" s="199"/>
      <c r="AH32" s="185"/>
      <c r="AI32" s="199"/>
      <c r="AJ32" s="156"/>
      <c r="AK32" s="974">
        <f t="shared" ref="AK32:AN33" si="13">IF(ISERROR((M32-L32)/L32),"x",(M32-L32)/L32)</f>
        <v>3.1220730565089294E-4</v>
      </c>
      <c r="AL32" s="974">
        <f t="shared" si="13"/>
        <v>4.762286191072175E-2</v>
      </c>
      <c r="AM32" s="974">
        <f t="shared" si="13"/>
        <v>0.12597204606889842</v>
      </c>
      <c r="AN32" s="974">
        <f t="shared" si="13"/>
        <v>8.2944527135333054E-2</v>
      </c>
      <c r="AO32" s="792">
        <f>AVERAGE(AK32:AN32)</f>
        <v>6.4212910605151025E-2</v>
      </c>
      <c r="AQ32" s="76"/>
      <c r="AR32" s="76"/>
      <c r="AS32" s="76"/>
      <c r="AT32" s="76"/>
      <c r="AU32" s="76"/>
      <c r="AV32" s="76"/>
    </row>
    <row r="33" spans="1:58" s="89" customFormat="1" ht="13.5" customHeight="1" x14ac:dyDescent="0.2">
      <c r="A33" s="123"/>
      <c r="B33" s="318" t="s">
        <v>126</v>
      </c>
      <c r="C33" s="87"/>
      <c r="D33" s="319">
        <f>IF(Year1_England Year1_Care_Leavers_at_end_of_period="","",Year1_England Year1_Care_Leavers_at_end_of_period)</f>
        <v>26330</v>
      </c>
      <c r="E33" s="319">
        <f>IF(Year2_England Year2_Care_Leavers_at_end_of_period="","",Year2_England Year2_Care_Leavers_at_end_of_period)</f>
        <v>26340</v>
      </c>
      <c r="F33" s="319">
        <f>IF(Year3_England Year3_Care_Leavers_at_end_of_period="","",Year3_England Year3_Care_Leavers_at_end_of_period)</f>
        <v>27010</v>
      </c>
      <c r="G33" s="319">
        <f>IF(Year4_England Year4_Care_Leavers_at_end_of_period="","",Year4_England Year4_Care_Leavers_at_end_of_period)</f>
        <v>28510</v>
      </c>
      <c r="H33" s="320">
        <f>IF(Year5_England Year5_Care_Leavers_at_end_of_period="","",Year5_England Year5_Care_Leavers_at_end_of_period)</f>
        <v>29930</v>
      </c>
      <c r="I33" s="1312">
        <f t="shared" ref="I33" si="14">AO33</f>
        <v>3.5914388090005522E-2</v>
      </c>
      <c r="J33" s="798">
        <f t="shared" ref="J33" si="15">I33</f>
        <v>3.5914388090005522E-2</v>
      </c>
      <c r="K33" s="98"/>
      <c r="L33" s="321">
        <f t="shared" si="12"/>
        <v>128.76564945226917</v>
      </c>
      <c r="M33" s="321">
        <f t="shared" si="12"/>
        <v>128.97223718356756</v>
      </c>
      <c r="N33" s="321">
        <f t="shared" si="12"/>
        <v>132.47339251557213</v>
      </c>
      <c r="O33" s="321">
        <f t="shared" si="12"/>
        <v>140.46410799625562</v>
      </c>
      <c r="P33" s="321">
        <f t="shared" si="12"/>
        <v>148.13165058153922</v>
      </c>
      <c r="Q33" s="101">
        <f t="shared" ref="Q33" si="16">IF(ISNUMBER(P33),P33,"")</f>
        <v>148.13165058153922</v>
      </c>
      <c r="R33" s="796" t="str">
        <f t="shared" ref="R33" si="17">IF(ISNA(VLOOKUP(B33,$AF$10:$AH$28,3,FALSE)),"--",IF(ISNUMBER(H33),VLOOKUP(B33,$AF$10:$AH$28,3,FALSE),NA()))</f>
        <v>--</v>
      </c>
      <c r="S33" s="69"/>
      <c r="T33" s="727">
        <f>IDACI!C32</f>
        <v>17.084413405029373</v>
      </c>
      <c r="U33" s="124"/>
      <c r="V33" s="140"/>
      <c r="W33" s="149"/>
      <c r="X33" s="71" t="str">
        <f t="shared" ref="X33" si="18">B33</f>
        <v>England</v>
      </c>
      <c r="Y33" s="45"/>
      <c r="Z33" s="45"/>
      <c r="AA33" s="202">
        <f>IF(ISNUMBER(D33),Population!P33,"")</f>
        <v>2044800</v>
      </c>
      <c r="AB33" s="202">
        <f>IF(ISNUMBER(E33),Population!Q33,"")</f>
        <v>2042300</v>
      </c>
      <c r="AC33" s="202">
        <f>IF(ISNUMBER(F33),Population!R33,"")</f>
        <v>2038900</v>
      </c>
      <c r="AD33" s="202">
        <f>IF(ISNUMBER(G33),Population!S33,"")</f>
        <v>2029700</v>
      </c>
      <c r="AE33" s="202">
        <f>IF(ISNUMBER(H33),Population!T33,"")</f>
        <v>2020500</v>
      </c>
      <c r="AF33" s="199"/>
      <c r="AG33" s="199"/>
      <c r="AH33" s="185"/>
      <c r="AI33" s="199"/>
      <c r="AJ33" s="156"/>
      <c r="AK33" s="974">
        <f t="shared" si="13"/>
        <v>1.6043698935014673E-3</v>
      </c>
      <c r="AL33" s="974">
        <f t="shared" si="13"/>
        <v>2.7146581376434841E-2</v>
      </c>
      <c r="AM33" s="974">
        <f t="shared" si="13"/>
        <v>6.0319399457851051E-2</v>
      </c>
      <c r="AN33" s="974">
        <f t="shared" si="13"/>
        <v>5.4587201632234718E-2</v>
      </c>
      <c r="AO33" s="792">
        <f>AVERAGE(AK33:AN33)</f>
        <v>3.5914388090005522E-2</v>
      </c>
      <c r="AQ33" s="76"/>
      <c r="AR33" s="76"/>
      <c r="AS33" s="76"/>
      <c r="AT33" s="76"/>
      <c r="AU33" s="76"/>
      <c r="AV33" s="76"/>
    </row>
    <row r="34" spans="1:58" s="83" customFormat="1" ht="13.5" customHeight="1" x14ac:dyDescent="0.2">
      <c r="A34" s="120"/>
      <c r="B34" s="125" t="s">
        <v>90</v>
      </c>
      <c r="C34" s="63"/>
      <c r="D34" s="63"/>
      <c r="E34" s="63"/>
      <c r="F34" s="63"/>
      <c r="G34" s="63"/>
      <c r="H34" s="63"/>
      <c r="I34" s="63"/>
      <c r="J34" s="63"/>
      <c r="K34" s="63"/>
      <c r="L34" s="63"/>
      <c r="M34" s="63"/>
      <c r="N34" s="63"/>
      <c r="O34" s="63"/>
      <c r="P34" s="63"/>
      <c r="Q34" s="63"/>
      <c r="R34" s="137" t="s">
        <v>109</v>
      </c>
      <c r="T34" s="63"/>
      <c r="U34" s="119"/>
      <c r="V34" s="138"/>
      <c r="W34" s="147"/>
      <c r="X34" s="82"/>
      <c r="Y34" s="179"/>
      <c r="Z34" s="179"/>
      <c r="AA34" s="179"/>
      <c r="AB34" s="179"/>
      <c r="AC34" s="179"/>
      <c r="AD34" s="179"/>
      <c r="AE34" s="179"/>
      <c r="AF34" s="179"/>
      <c r="AG34" s="179"/>
      <c r="AI34" s="179"/>
      <c r="AJ34" s="157"/>
    </row>
    <row r="35" spans="1:58" s="83" customFormat="1" ht="26.25" customHeight="1" x14ac:dyDescent="0.2">
      <c r="A35" s="120"/>
      <c r="B35" s="1580"/>
      <c r="C35" s="1581"/>
      <c r="D35" s="1581"/>
      <c r="E35" s="1581"/>
      <c r="F35" s="1581"/>
      <c r="G35" s="1581"/>
      <c r="H35" s="1581"/>
      <c r="I35" s="1581"/>
      <c r="J35" s="1581"/>
      <c r="K35" s="1581"/>
      <c r="L35" s="1581"/>
      <c r="M35" s="1581"/>
      <c r="N35" s="1581"/>
      <c r="O35" s="1581"/>
      <c r="P35" s="1581"/>
      <c r="Q35" s="1581"/>
      <c r="R35" s="1581"/>
      <c r="S35" s="1581"/>
      <c r="T35" s="1582"/>
      <c r="U35" s="119"/>
      <c r="V35" s="138"/>
      <c r="W35" s="147"/>
      <c r="X35" s="82"/>
      <c r="Y35" s="179"/>
      <c r="Z35" s="179"/>
      <c r="AA35" s="179"/>
      <c r="AB35" s="179"/>
      <c r="AC35" s="179"/>
      <c r="AD35" s="179"/>
      <c r="AE35" s="179"/>
      <c r="AF35" s="179"/>
      <c r="AG35" s="179"/>
      <c r="AI35" s="179"/>
      <c r="AJ35" s="153"/>
      <c r="AK35" s="76"/>
      <c r="AL35" s="76"/>
      <c r="AM35" s="76"/>
      <c r="AN35" s="76"/>
      <c r="AO35" s="76"/>
      <c r="AP35" s="76"/>
      <c r="AQ35" s="76"/>
    </row>
    <row r="36" spans="1:58" s="83" customFormat="1" ht="7.5" customHeight="1" x14ac:dyDescent="0.2">
      <c r="A36" s="120"/>
      <c r="B36" s="18"/>
      <c r="C36" s="18"/>
      <c r="D36" s="17"/>
      <c r="E36" s="17"/>
      <c r="F36" s="17"/>
      <c r="G36" s="17"/>
      <c r="H36" s="17"/>
      <c r="I36" s="17"/>
      <c r="J36" s="17"/>
      <c r="K36" s="13"/>
      <c r="L36" s="19"/>
      <c r="M36" s="19"/>
      <c r="N36" s="19"/>
      <c r="O36" s="19"/>
      <c r="P36" s="19"/>
      <c r="Q36" s="19"/>
      <c r="R36" s="19"/>
      <c r="S36" s="19"/>
      <c r="T36" s="19"/>
      <c r="U36" s="119"/>
      <c r="V36" s="138"/>
      <c r="W36" s="147"/>
      <c r="Y36" s="185"/>
      <c r="AI36" s="179"/>
      <c r="AJ36" s="153"/>
      <c r="AK36" s="76"/>
      <c r="AL36" s="76"/>
      <c r="AM36" s="76"/>
      <c r="AN36" s="76"/>
      <c r="AO36" s="76"/>
      <c r="AP36" s="76"/>
      <c r="AQ36" s="76"/>
    </row>
    <row r="37" spans="1:58" s="83" customFormat="1" ht="15" customHeight="1" x14ac:dyDescent="0.2">
      <c r="A37" s="1399"/>
      <c r="B37" s="1421"/>
      <c r="C37" s="1421"/>
      <c r="D37" s="1421"/>
      <c r="E37" s="1421"/>
      <c r="F37" s="1421"/>
      <c r="G37" s="1421"/>
      <c r="H37" s="1421"/>
      <c r="I37" s="1421"/>
      <c r="J37" s="1421"/>
      <c r="K37" s="1421"/>
      <c r="L37" s="1421"/>
      <c r="M37" s="1421"/>
      <c r="N37" s="1421"/>
      <c r="O37" s="1421"/>
      <c r="P37" s="1421"/>
      <c r="Q37" s="1421"/>
      <c r="R37" s="1421"/>
      <c r="S37" s="1421"/>
      <c r="T37" s="1421"/>
      <c r="U37" s="1422"/>
      <c r="V37" s="138"/>
      <c r="W37" s="147"/>
      <c r="Y37" s="185"/>
      <c r="AJ37" s="157"/>
      <c r="AL37" s="729">
        <v>11</v>
      </c>
      <c r="AM37" s="729">
        <v>12</v>
      </c>
      <c r="AN37" s="729">
        <v>13</v>
      </c>
      <c r="AO37" s="729">
        <v>14</v>
      </c>
      <c r="AP37" s="729">
        <v>15</v>
      </c>
      <c r="AQ37" s="729">
        <v>19</v>
      </c>
      <c r="AR37" s="729">
        <v>3</v>
      </c>
      <c r="AS37" s="1023">
        <v>4</v>
      </c>
      <c r="AT37" s="1023">
        <v>5</v>
      </c>
      <c r="AU37" s="1023">
        <v>6</v>
      </c>
      <c r="AV37" s="1024">
        <v>7</v>
      </c>
      <c r="AW37" s="729">
        <v>3</v>
      </c>
      <c r="AX37" s="1023">
        <v>4</v>
      </c>
      <c r="AY37" s="1023">
        <v>5</v>
      </c>
      <c r="AZ37" s="1023">
        <v>6</v>
      </c>
      <c r="BA37" s="1024">
        <v>7</v>
      </c>
      <c r="BB37" s="729">
        <v>3</v>
      </c>
      <c r="BC37" s="1023">
        <v>4</v>
      </c>
      <c r="BD37" s="1023">
        <v>5</v>
      </c>
      <c r="BE37" s="1023">
        <v>6</v>
      </c>
      <c r="BF37" s="1024">
        <v>7</v>
      </c>
    </row>
    <row r="38" spans="1:58" s="83" customFormat="1" ht="11.25" customHeight="1" x14ac:dyDescent="0.2">
      <c r="A38" s="1428" t="str">
        <f>Home!$A$40</f>
        <v>LA's provide quarterly data on the condition that it is used by the benchmarking group for internal reporting only. Please DO NOT share other LA's data with any external partners or the public</v>
      </c>
      <c r="B38" s="1429"/>
      <c r="C38" s="1429"/>
      <c r="D38" s="1429"/>
      <c r="E38" s="1429"/>
      <c r="F38" s="1429"/>
      <c r="G38" s="1429"/>
      <c r="H38" s="1429"/>
      <c r="I38" s="1431"/>
      <c r="J38" s="1430"/>
      <c r="K38" s="1429"/>
      <c r="L38" s="1429"/>
      <c r="M38" s="1429"/>
      <c r="N38" s="1429"/>
      <c r="O38" s="1429"/>
      <c r="P38" s="1429"/>
      <c r="Q38" s="1431"/>
      <c r="R38" s="1429"/>
      <c r="S38" s="1429"/>
      <c r="T38" s="1429"/>
      <c r="U38" s="1432"/>
      <c r="V38" s="138"/>
      <c r="W38" s="147"/>
      <c r="Y38" s="185"/>
      <c r="AI38" s="179"/>
      <c r="AJ38" s="156"/>
      <c r="AK38" s="89"/>
      <c r="AL38" s="1025" t="s">
        <v>89</v>
      </c>
      <c r="AM38" s="1026"/>
      <c r="AN38" s="1026"/>
      <c r="AO38" s="1026"/>
      <c r="AP38" s="1026"/>
      <c r="AQ38" s="1618" t="s">
        <v>95</v>
      </c>
      <c r="AR38" s="1617" t="s">
        <v>767</v>
      </c>
      <c r="AS38" s="1617"/>
      <c r="AT38" s="1617"/>
      <c r="AU38" s="1617"/>
      <c r="AV38" s="1617"/>
      <c r="AW38" s="1617" t="s">
        <v>768</v>
      </c>
      <c r="AX38" s="1617"/>
      <c r="AY38" s="1617"/>
      <c r="AZ38" s="1617"/>
      <c r="BA38" s="1617"/>
      <c r="BB38" s="1617" t="s">
        <v>769</v>
      </c>
      <c r="BC38" s="1617"/>
      <c r="BD38" s="1617"/>
      <c r="BE38" s="1617"/>
      <c r="BF38" s="1617"/>
    </row>
    <row r="39" spans="1:58" s="83" customFormat="1" ht="11.25" customHeight="1" x14ac:dyDescent="0.2">
      <c r="A39" s="114"/>
      <c r="B39" s="115"/>
      <c r="C39" s="115"/>
      <c r="D39" s="115"/>
      <c r="E39" s="115"/>
      <c r="F39" s="115"/>
      <c r="G39" s="115"/>
      <c r="H39" s="115"/>
      <c r="I39" s="115"/>
      <c r="J39" s="115"/>
      <c r="K39" s="116"/>
      <c r="L39" s="115"/>
      <c r="M39" s="115"/>
      <c r="N39" s="115"/>
      <c r="O39" s="115"/>
      <c r="P39" s="115"/>
      <c r="Q39" s="115"/>
      <c r="R39" s="115"/>
      <c r="S39" s="115"/>
      <c r="T39" s="115"/>
      <c r="U39" s="117"/>
      <c r="V39" s="138"/>
      <c r="W39" s="146" t="s">
        <v>102</v>
      </c>
      <c r="Y39" s="185"/>
      <c r="AB39" s="192"/>
      <c r="AI39" s="179"/>
      <c r="AJ39" s="156"/>
      <c r="AK39" s="89"/>
      <c r="AL39" s="730" t="str">
        <f>Sheet1!$D$25</f>
        <v>2014-15</v>
      </c>
      <c r="AM39" s="730" t="str">
        <f>Sheet1!$E$25</f>
        <v>2015-16</v>
      </c>
      <c r="AN39" s="730" t="str">
        <f>Sheet1!$F$25</f>
        <v>2016-17</v>
      </c>
      <c r="AO39" s="730" t="str">
        <f>Sheet1!$G$25</f>
        <v>2017-18</v>
      </c>
      <c r="AP39" s="730" t="str">
        <f>Sheet1!$H$25</f>
        <v>2018-19</v>
      </c>
      <c r="AQ39" s="1618"/>
      <c r="AR39" s="730" t="str">
        <f>Sheet1!$D$25</f>
        <v>2014-15</v>
      </c>
      <c r="AS39" s="730" t="str">
        <f>Sheet1!$E$25</f>
        <v>2015-16</v>
      </c>
      <c r="AT39" s="730" t="str">
        <f>Sheet1!$F$25</f>
        <v>2016-17</v>
      </c>
      <c r="AU39" s="730" t="str">
        <f>Sheet1!$G$25</f>
        <v>2017-18</v>
      </c>
      <c r="AV39" s="730" t="str">
        <f>Sheet1!$H$25</f>
        <v>2018-19</v>
      </c>
      <c r="AW39" s="730" t="str">
        <f>Sheet1!$D$25</f>
        <v>2014-15</v>
      </c>
      <c r="AX39" s="730" t="str">
        <f>Sheet1!$E$25</f>
        <v>2015-16</v>
      </c>
      <c r="AY39" s="730" t="str">
        <f>Sheet1!$F$25</f>
        <v>2016-17</v>
      </c>
      <c r="AZ39" s="730" t="str">
        <f>Sheet1!$G$25</f>
        <v>2017-18</v>
      </c>
      <c r="BA39" s="730" t="str">
        <f>Sheet1!$H$25</f>
        <v>2018-19</v>
      </c>
      <c r="BB39" s="730" t="str">
        <f>Sheet1!$D$25</f>
        <v>2014-15</v>
      </c>
      <c r="BC39" s="730" t="str">
        <f>Sheet1!$E$25</f>
        <v>2015-16</v>
      </c>
      <c r="BD39" s="730" t="str">
        <f>Sheet1!$F$25</f>
        <v>2016-17</v>
      </c>
      <c r="BE39" s="730" t="str">
        <f>Sheet1!$G$25</f>
        <v>2017-18</v>
      </c>
      <c r="BF39" s="730" t="str">
        <f>Sheet1!$H$25</f>
        <v>2018-19</v>
      </c>
    </row>
    <row r="40" spans="1:58" s="83" customFormat="1" ht="3.75" customHeight="1" x14ac:dyDescent="0.25">
      <c r="A40" s="118"/>
      <c r="B40" s="9"/>
      <c r="C40" s="9"/>
      <c r="D40" s="9"/>
      <c r="E40" s="9"/>
      <c r="F40" s="9"/>
      <c r="G40" s="9"/>
      <c r="H40" s="9"/>
      <c r="I40" s="9"/>
      <c r="J40" s="9"/>
      <c r="K40" s="13"/>
      <c r="L40" s="9"/>
      <c r="M40" s="9"/>
      <c r="N40" s="9"/>
      <c r="O40" s="9"/>
      <c r="P40" s="9"/>
      <c r="Q40" s="9"/>
      <c r="R40" s="9"/>
      <c r="S40" s="9"/>
      <c r="T40" s="9"/>
      <c r="U40" s="119"/>
      <c r="V40" s="138"/>
      <c r="W40" s="288"/>
      <c r="AC40" s="1188" t="s">
        <v>1002</v>
      </c>
      <c r="AJ40" s="156"/>
      <c r="AK40" s="89"/>
      <c r="AL40" s="730" t="e">
        <f>Sheet1!$D$26</f>
        <v>#N/A</v>
      </c>
      <c r="AM40" s="730" t="e">
        <f>Sheet1!$E$26</f>
        <v>#N/A</v>
      </c>
      <c r="AN40" s="730" t="e">
        <f>Sheet1!$F$26</f>
        <v>#N/A</v>
      </c>
      <c r="AO40" s="730" t="e">
        <f>Sheet1!$G$26</f>
        <v>#N/A</v>
      </c>
      <c r="AP40" s="730" t="e">
        <f>Sheet1!$H$26</f>
        <v>#N/A</v>
      </c>
      <c r="AQ40" s="1618"/>
      <c r="AR40" s="730" t="e">
        <f>Sheet1!$D$26</f>
        <v>#N/A</v>
      </c>
      <c r="AS40" s="730" t="e">
        <f>Sheet1!$E$26</f>
        <v>#N/A</v>
      </c>
      <c r="AT40" s="730" t="e">
        <f>Sheet1!$F$26</f>
        <v>#N/A</v>
      </c>
      <c r="AU40" s="730" t="e">
        <f>Sheet1!$G$26</f>
        <v>#N/A</v>
      </c>
      <c r="AV40" s="730" t="e">
        <f>Sheet1!$H$26</f>
        <v>#N/A</v>
      </c>
      <c r="AW40" s="730" t="e">
        <f>Sheet1!$D$26</f>
        <v>#N/A</v>
      </c>
      <c r="AX40" s="730" t="e">
        <f>Sheet1!$E$26</f>
        <v>#N/A</v>
      </c>
      <c r="AY40" s="730" t="e">
        <f>Sheet1!$F$26</f>
        <v>#N/A</v>
      </c>
      <c r="AZ40" s="730" t="e">
        <f>Sheet1!$G$26</f>
        <v>#N/A</v>
      </c>
      <c r="BA40" s="730" t="e">
        <f>Sheet1!$H$26</f>
        <v>#N/A</v>
      </c>
      <c r="BB40" s="730" t="e">
        <f>Sheet1!$D$26</f>
        <v>#N/A</v>
      </c>
      <c r="BC40" s="730" t="e">
        <f>Sheet1!$E$26</f>
        <v>#N/A</v>
      </c>
      <c r="BD40" s="730" t="e">
        <f>Sheet1!$F$26</f>
        <v>#N/A</v>
      </c>
      <c r="BE40" s="730" t="e">
        <f>Sheet1!$G$26</f>
        <v>#N/A</v>
      </c>
      <c r="BF40" s="730" t="e">
        <f>Sheet1!$H$26</f>
        <v>#N/A</v>
      </c>
    </row>
    <row r="41" spans="1:58" s="83" customFormat="1" ht="14.25" customHeight="1" x14ac:dyDescent="0.2">
      <c r="A41" s="120"/>
      <c r="B41" s="9"/>
      <c r="C41" s="9"/>
      <c r="D41" s="9"/>
      <c r="E41" s="9"/>
      <c r="F41" s="9"/>
      <c r="G41" s="9"/>
      <c r="H41" s="9"/>
      <c r="I41" s="9"/>
      <c r="J41" s="9"/>
      <c r="K41" s="13"/>
      <c r="L41" s="9"/>
      <c r="M41" s="9"/>
      <c r="N41" s="9"/>
      <c r="O41" s="9"/>
      <c r="P41" s="9"/>
      <c r="Q41" s="9"/>
      <c r="R41" s="9"/>
      <c r="S41" s="9"/>
      <c r="T41" s="9"/>
      <c r="U41" s="119"/>
      <c r="V41" s="138"/>
      <c r="W41" s="288"/>
      <c r="X41" s="44" t="s">
        <v>72</v>
      </c>
      <c r="Y41" s="44" t="s">
        <v>70</v>
      </c>
      <c r="Z41" s="44" t="s">
        <v>71</v>
      </c>
      <c r="AA41" s="1061">
        <v>5</v>
      </c>
      <c r="AB41" s="212">
        <f>(AA41*Y42)+Z42</f>
        <v>151.16542925178422</v>
      </c>
      <c r="AC41" s="203">
        <f>ROUND(ChartLabels!$AA20,3)</f>
        <v>1E-3</v>
      </c>
      <c r="AI41" s="560" t="b">
        <v>1</v>
      </c>
      <c r="AJ41" s="156" t="s">
        <v>0</v>
      </c>
      <c r="AK41" s="89" t="str">
        <f t="shared" ref="AK41:AK63" si="19">IF(AI41=TRUE,B10,"")</f>
        <v>Bracknell Forest</v>
      </c>
      <c r="AL41" s="1027">
        <f t="shared" ref="AL41:AP50" si="20">VLOOKUP($AK41,$B$10:$P$32,AL$37,FALSE)</f>
        <v>121.875</v>
      </c>
      <c r="AM41" s="1027">
        <f t="shared" si="20"/>
        <v>121.21212121212122</v>
      </c>
      <c r="AN41" s="1027">
        <f t="shared" si="20"/>
        <v>103.2258064516129</v>
      </c>
      <c r="AO41" s="1027">
        <f t="shared" si="20"/>
        <v>131.25</v>
      </c>
      <c r="AP41" s="1027">
        <f t="shared" si="20"/>
        <v>142.42424242424241</v>
      </c>
      <c r="AQ41" s="1028">
        <f t="shared" ref="AQ41:AQ63" si="21">VLOOKUP(AK41,$B$10:$T$32,AQ$37,FALSE)</f>
        <v>8.9</v>
      </c>
      <c r="AR41" s="1029" t="e">
        <f t="shared" ref="AR41:AV50" si="22">VLOOKUP($AK41,$B$77:$H$99,AR$37,FALSE)</f>
        <v>#N/A</v>
      </c>
      <c r="AS41" s="1029" t="e">
        <f t="shared" si="22"/>
        <v>#N/A</v>
      </c>
      <c r="AT41" s="1029">
        <f t="shared" si="22"/>
        <v>1</v>
      </c>
      <c r="AU41" s="1029">
        <f t="shared" si="22"/>
        <v>1</v>
      </c>
      <c r="AV41" s="1029">
        <f t="shared" si="22"/>
        <v>0.53191489361702127</v>
      </c>
      <c r="AW41" s="1029">
        <f t="shared" ref="AW41:BA50" si="23">VLOOKUP($AK41,$B$113:$H$135,AW$37,FALSE)</f>
        <v>0.94871794871794868</v>
      </c>
      <c r="AX41" s="1029">
        <f t="shared" si="23"/>
        <v>0.9</v>
      </c>
      <c r="AY41" s="1029">
        <f t="shared" si="23"/>
        <v>0.96875</v>
      </c>
      <c r="AZ41" s="1029">
        <f t="shared" si="23"/>
        <v>1</v>
      </c>
      <c r="BA41" s="1029" t="e">
        <f t="shared" si="23"/>
        <v>#N/A</v>
      </c>
      <c r="BB41" s="1029" t="e">
        <f t="shared" ref="BB41:BF50" si="24">VLOOKUP($AK41,$B$149:$H$171,BB$37,FALSE)</f>
        <v>#N/A</v>
      </c>
      <c r="BC41" s="1029" t="e">
        <f t="shared" si="24"/>
        <v>#N/A</v>
      </c>
      <c r="BD41" s="1029" t="e">
        <f t="shared" si="24"/>
        <v>#N/A</v>
      </c>
      <c r="BE41" s="1029">
        <f t="shared" si="24"/>
        <v>0.66666666666666663</v>
      </c>
      <c r="BF41" s="1029">
        <f t="shared" si="24"/>
        <v>0.53191489361702127</v>
      </c>
    </row>
    <row r="42" spans="1:58" s="83" customFormat="1" ht="14.25" customHeight="1" x14ac:dyDescent="0.2">
      <c r="A42" s="120"/>
      <c r="B42" s="9"/>
      <c r="C42" s="9"/>
      <c r="D42" s="9"/>
      <c r="E42" s="9"/>
      <c r="F42" s="9"/>
      <c r="G42" s="9"/>
      <c r="H42" s="9"/>
      <c r="I42" s="9"/>
      <c r="J42" s="9"/>
      <c r="K42" s="13"/>
      <c r="L42" s="9"/>
      <c r="M42" s="9"/>
      <c r="N42" s="9"/>
      <c r="O42" s="9"/>
      <c r="P42" s="9"/>
      <c r="Q42" s="9"/>
      <c r="R42" s="9"/>
      <c r="S42" s="9"/>
      <c r="T42" s="9"/>
      <c r="U42" s="119"/>
      <c r="V42" s="138"/>
      <c r="W42" s="288"/>
      <c r="X42" s="208" t="str">
        <f>"Y= "&amp;Y42&amp;"x + "&amp;Z42</f>
        <v>Y= -0.352626554213941x + 152.928562022854</v>
      </c>
      <c r="Y42" s="712">
        <f>ChartLabels!$Y20</f>
        <v>-0.35262655421394073</v>
      </c>
      <c r="Z42" s="712">
        <f>ChartLabels!$Z20</f>
        <v>152.92856202285392</v>
      </c>
      <c r="AA42" s="211">
        <v>35</v>
      </c>
      <c r="AB42" s="212">
        <f>(AA42*Y42)+Z42</f>
        <v>140.58663262536601</v>
      </c>
      <c r="AC42" s="1187" t="str">
        <f>AC40&amp;" = "&amp;AC41</f>
        <v>r² = 0.001</v>
      </c>
      <c r="AI42" s="560" t="b">
        <v>1</v>
      </c>
      <c r="AJ42" s="156" t="s">
        <v>31</v>
      </c>
      <c r="AK42" s="89" t="str">
        <f t="shared" si="19"/>
        <v>Brighton &amp; Hove</v>
      </c>
      <c r="AL42" s="1027">
        <f t="shared" si="20"/>
        <v>98.876404494382015</v>
      </c>
      <c r="AM42" s="1027">
        <f t="shared" si="20"/>
        <v>88.461538461538453</v>
      </c>
      <c r="AN42" s="1027">
        <f t="shared" si="20"/>
        <v>90.155440414507765</v>
      </c>
      <c r="AO42" s="1027">
        <f t="shared" si="20"/>
        <v>95.588235294117652</v>
      </c>
      <c r="AP42" s="1027">
        <f t="shared" si="20"/>
        <v>103.7914691943128</v>
      </c>
      <c r="AQ42" s="1028">
        <f t="shared" si="21"/>
        <v>15.299999999999999</v>
      </c>
      <c r="AR42" s="1029" t="e">
        <f t="shared" si="22"/>
        <v>#N/A</v>
      </c>
      <c r="AS42" s="1029" t="e">
        <f t="shared" si="22"/>
        <v>#N/A</v>
      </c>
      <c r="AT42" s="1029" t="e">
        <f t="shared" si="22"/>
        <v>#N/A</v>
      </c>
      <c r="AU42" s="1029" t="e">
        <f t="shared" si="22"/>
        <v>#N/A</v>
      </c>
      <c r="AV42" s="1029">
        <f t="shared" si="22"/>
        <v>0.9634703196347032</v>
      </c>
      <c r="AW42" s="1029">
        <f t="shared" si="23"/>
        <v>0.94318181818181823</v>
      </c>
      <c r="AX42" s="1029">
        <f t="shared" si="23"/>
        <v>0.95652173913043481</v>
      </c>
      <c r="AY42" s="1029">
        <f t="shared" si="23"/>
        <v>0.94252873563218387</v>
      </c>
      <c r="AZ42" s="1029">
        <f t="shared" si="23"/>
        <v>0.9128205128205128</v>
      </c>
      <c r="BA42" s="1029">
        <f t="shared" si="23"/>
        <v>0.90410958904109584</v>
      </c>
      <c r="BB42" s="1029" t="e">
        <f t="shared" si="24"/>
        <v>#N/A</v>
      </c>
      <c r="BC42" s="1029" t="e">
        <f t="shared" si="24"/>
        <v>#N/A</v>
      </c>
      <c r="BD42" s="1029" t="e">
        <f t="shared" si="24"/>
        <v>#N/A</v>
      </c>
      <c r="BE42" s="1029">
        <f t="shared" si="24"/>
        <v>0.69230769230769229</v>
      </c>
      <c r="BF42" s="1029">
        <f t="shared" si="24"/>
        <v>0.69406392694063923</v>
      </c>
    </row>
    <row r="43" spans="1:58" ht="14.25" customHeight="1" x14ac:dyDescent="0.2">
      <c r="A43" s="120"/>
      <c r="B43" s="9"/>
      <c r="C43" s="9"/>
      <c r="D43" s="9"/>
      <c r="E43" s="9"/>
      <c r="F43" s="9"/>
      <c r="G43" s="9"/>
      <c r="H43" s="9"/>
      <c r="I43" s="9"/>
      <c r="J43" s="9"/>
      <c r="K43" s="13"/>
      <c r="L43" s="9"/>
      <c r="M43" s="9"/>
      <c r="N43" s="9"/>
      <c r="O43" s="9"/>
      <c r="P43" s="9"/>
      <c r="Q43" s="9"/>
      <c r="R43" s="9"/>
      <c r="S43" s="9"/>
      <c r="T43" s="9"/>
      <c r="U43" s="119"/>
      <c r="V43" s="138"/>
      <c r="W43" s="288"/>
      <c r="X43" s="44" t="str">
        <f>"National Trend "&amp;Sheet1!$B$8</f>
        <v>National Trend 2019</v>
      </c>
      <c r="Y43" s="44" t="s">
        <v>70</v>
      </c>
      <c r="Z43" s="44" t="s">
        <v>71</v>
      </c>
      <c r="AA43" s="1061">
        <v>5</v>
      </c>
      <c r="AB43" s="212">
        <f>(AA43*Y44)+Z44</f>
        <v>18.848167550055919</v>
      </c>
      <c r="AC43" s="203" t="str">
        <f>AC40&amp;" = "&amp;ROUND(AC44,3)</f>
        <v>r² = 0.101</v>
      </c>
      <c r="AI43" s="560" t="b">
        <v>1</v>
      </c>
      <c r="AJ43" s="156" t="s">
        <v>8</v>
      </c>
      <c r="AK43" s="89" t="str">
        <f t="shared" si="19"/>
        <v>Buckinghamshire</v>
      </c>
      <c r="AL43" s="1027">
        <f t="shared" si="20"/>
        <v>83.892617449664428</v>
      </c>
      <c r="AM43" s="1027">
        <f t="shared" si="20"/>
        <v>102.72108843537416</v>
      </c>
      <c r="AN43" s="1027">
        <f t="shared" si="20"/>
        <v>118.05555555555556</v>
      </c>
      <c r="AO43" s="1027">
        <f t="shared" si="20"/>
        <v>145.25547445255475</v>
      </c>
      <c r="AP43" s="1027">
        <f t="shared" si="20"/>
        <v>139.84962406015038</v>
      </c>
      <c r="AQ43" s="1028">
        <f t="shared" si="21"/>
        <v>8.5</v>
      </c>
      <c r="AR43" s="1029" t="e">
        <f t="shared" si="22"/>
        <v>#N/A</v>
      </c>
      <c r="AS43" s="1029" t="e">
        <f t="shared" si="22"/>
        <v>#N/A</v>
      </c>
      <c r="AT43" s="1029">
        <f t="shared" si="22"/>
        <v>0.73529411764705888</v>
      </c>
      <c r="AU43" s="1029">
        <f t="shared" si="22"/>
        <v>0.78894472361809043</v>
      </c>
      <c r="AV43" s="1029">
        <f t="shared" si="22"/>
        <v>0.956989247311828</v>
      </c>
      <c r="AW43" s="1029">
        <f t="shared" si="23"/>
        <v>0.8</v>
      </c>
      <c r="AX43" s="1029">
        <f t="shared" si="23"/>
        <v>0.79470198675496684</v>
      </c>
      <c r="AY43" s="1029">
        <f t="shared" si="23"/>
        <v>0.68823529411764706</v>
      </c>
      <c r="AZ43" s="1029">
        <f t="shared" si="23"/>
        <v>0.76884422110552764</v>
      </c>
      <c r="BA43" s="1029">
        <f t="shared" si="23"/>
        <v>0.89247311827956988</v>
      </c>
      <c r="BB43" s="1029" t="e">
        <f t="shared" si="24"/>
        <v>#N/A</v>
      </c>
      <c r="BC43" s="1029" t="e">
        <f t="shared" si="24"/>
        <v>#N/A</v>
      </c>
      <c r="BD43" s="1029" t="e">
        <f t="shared" si="24"/>
        <v>#N/A</v>
      </c>
      <c r="BE43" s="1029">
        <f t="shared" si="24"/>
        <v>0.51256281407035176</v>
      </c>
      <c r="BF43" s="1029">
        <f t="shared" si="24"/>
        <v>0.55913978494623651</v>
      </c>
    </row>
    <row r="44" spans="1:58" ht="14.25" customHeight="1" x14ac:dyDescent="0.2">
      <c r="A44" s="120"/>
      <c r="B44" s="9"/>
      <c r="C44" s="9"/>
      <c r="D44" s="9"/>
      <c r="E44" s="9"/>
      <c r="F44" s="9"/>
      <c r="G44" s="9"/>
      <c r="H44" s="9"/>
      <c r="I44" s="9"/>
      <c r="J44" s="9"/>
      <c r="K44" s="13"/>
      <c r="L44" s="14"/>
      <c r="M44" s="14"/>
      <c r="N44" s="14"/>
      <c r="O44" s="14"/>
      <c r="P44" s="15"/>
      <c r="Q44" s="15"/>
      <c r="R44" s="15"/>
      <c r="S44" s="15"/>
      <c r="T44" s="15"/>
      <c r="U44" s="119"/>
      <c r="V44" s="138"/>
      <c r="W44" s="288"/>
      <c r="X44" s="208" t="str">
        <f>"Y= "&amp;Y44&amp;"x + "&amp;Z44</f>
        <v>Y= 0.596587166536595x + 15.8652317173729</v>
      </c>
      <c r="Y44" s="712">
        <f>Sheet1!F15</f>
        <v>0.59658716653659505</v>
      </c>
      <c r="Z44" s="712">
        <f>Sheet1!F16</f>
        <v>15.865231717372945</v>
      </c>
      <c r="AA44" s="211">
        <v>35</v>
      </c>
      <c r="AB44" s="212">
        <f>(AA44*Y44)+Z44</f>
        <v>36.745782546153769</v>
      </c>
      <c r="AC44" s="1187">
        <f>Sheet1!F17</f>
        <v>0.10074447134481042</v>
      </c>
      <c r="AI44" s="560" t="b">
        <v>1</v>
      </c>
      <c r="AJ44" s="156" t="s">
        <v>4</v>
      </c>
      <c r="AK44" s="89" t="str">
        <f t="shared" si="19"/>
        <v>East Sussex</v>
      </c>
      <c r="AL44" s="1027">
        <f t="shared" si="20"/>
        <v>104.375</v>
      </c>
      <c r="AM44" s="1027">
        <f t="shared" si="20"/>
        <v>95.59748427672956</v>
      </c>
      <c r="AN44" s="1027">
        <f t="shared" si="20"/>
        <v>94.904458598726109</v>
      </c>
      <c r="AO44" s="1027">
        <f t="shared" si="20"/>
        <v>99.354838709677423</v>
      </c>
      <c r="AP44" s="1027">
        <f t="shared" si="20"/>
        <v>109.86842105263158</v>
      </c>
      <c r="AQ44" s="1028">
        <f t="shared" si="21"/>
        <v>16.100000000000001</v>
      </c>
      <c r="AR44" s="1029" t="e">
        <f t="shared" si="22"/>
        <v>#N/A</v>
      </c>
      <c r="AS44" s="1029" t="e">
        <f t="shared" si="22"/>
        <v>#N/A</v>
      </c>
      <c r="AT44" s="1029">
        <f t="shared" si="22"/>
        <v>0.8523489932885906</v>
      </c>
      <c r="AU44" s="1029">
        <f t="shared" si="22"/>
        <v>0.79220779220779225</v>
      </c>
      <c r="AV44" s="1029">
        <f t="shared" si="22"/>
        <v>0.85029940119760483</v>
      </c>
      <c r="AW44" s="1029">
        <f t="shared" si="23"/>
        <v>0.77844311377245512</v>
      </c>
      <c r="AX44" s="1029">
        <f t="shared" si="23"/>
        <v>0.81578947368421051</v>
      </c>
      <c r="AY44" s="1029">
        <f t="shared" si="23"/>
        <v>0.7651006711409396</v>
      </c>
      <c r="AZ44" s="1029">
        <f t="shared" si="23"/>
        <v>0.77272727272727271</v>
      </c>
      <c r="BA44" s="1029">
        <f t="shared" si="23"/>
        <v>0.78443113772455086</v>
      </c>
      <c r="BB44" s="1029" t="e">
        <f t="shared" si="24"/>
        <v>#N/A</v>
      </c>
      <c r="BC44" s="1029" t="e">
        <f t="shared" si="24"/>
        <v>#N/A</v>
      </c>
      <c r="BD44" s="1029" t="e">
        <f t="shared" si="24"/>
        <v>#N/A</v>
      </c>
      <c r="BE44" s="1029">
        <f t="shared" si="24"/>
        <v>0.51948051948051943</v>
      </c>
      <c r="BF44" s="1029">
        <f t="shared" si="24"/>
        <v>0.52095808383233533</v>
      </c>
    </row>
    <row r="45" spans="1:58" s="78" customFormat="1" ht="14.25" customHeight="1" x14ac:dyDescent="0.2">
      <c r="A45" s="121"/>
      <c r="B45" s="220"/>
      <c r="C45" s="220"/>
      <c r="D45" s="221"/>
      <c r="E45" s="221"/>
      <c r="F45" s="221"/>
      <c r="G45" s="221"/>
      <c r="H45" s="221"/>
      <c r="I45" s="221"/>
      <c r="J45" s="221"/>
      <c r="K45" s="16"/>
      <c r="L45" s="9"/>
      <c r="M45" s="9"/>
      <c r="N45" s="9"/>
      <c r="O45" s="9"/>
      <c r="P45" s="9"/>
      <c r="Q45" s="9"/>
      <c r="R45" s="9"/>
      <c r="S45" s="9"/>
      <c r="T45" s="9"/>
      <c r="U45" s="122"/>
      <c r="V45" s="139"/>
      <c r="W45" s="289"/>
      <c r="X45" s="83"/>
      <c r="Y45" s="185"/>
      <c r="Z45" s="83"/>
      <c r="AA45" s="83"/>
      <c r="AC45" s="83"/>
      <c r="AD45" s="83"/>
      <c r="AE45" s="83"/>
      <c r="AF45" s="83"/>
      <c r="AG45" s="83"/>
      <c r="AH45" s="83"/>
      <c r="AI45" s="560" t="b">
        <v>1</v>
      </c>
      <c r="AJ45" s="156" t="s">
        <v>6</v>
      </c>
      <c r="AK45" s="89" t="str">
        <f t="shared" si="19"/>
        <v>Hampshire</v>
      </c>
      <c r="AL45" s="1027">
        <f t="shared" si="20"/>
        <v>109.82800982800983</v>
      </c>
      <c r="AM45" s="1027">
        <f t="shared" si="20"/>
        <v>121.46341463414635</v>
      </c>
      <c r="AN45" s="1027">
        <f t="shared" si="20"/>
        <v>123.77450980392156</v>
      </c>
      <c r="AO45" s="1027">
        <f t="shared" si="20"/>
        <v>133.50125944584383</v>
      </c>
      <c r="AP45" s="1027">
        <f t="shared" si="20"/>
        <v>131.12244897959184</v>
      </c>
      <c r="AQ45" s="1028">
        <f t="shared" si="21"/>
        <v>10.100000000000001</v>
      </c>
      <c r="AR45" s="1029" t="e">
        <f t="shared" si="22"/>
        <v>#N/A</v>
      </c>
      <c r="AS45" s="1029" t="e">
        <f t="shared" si="22"/>
        <v>#N/A</v>
      </c>
      <c r="AT45" s="1029">
        <f t="shared" si="22"/>
        <v>0.81980198019801975</v>
      </c>
      <c r="AU45" s="1029">
        <f t="shared" si="22"/>
        <v>0.80188679245283023</v>
      </c>
      <c r="AV45" s="1029">
        <f t="shared" si="22"/>
        <v>0.72957198443579763</v>
      </c>
      <c r="AW45" s="1029">
        <f t="shared" si="23"/>
        <v>0.73601789709172261</v>
      </c>
      <c r="AX45" s="1029">
        <f t="shared" si="23"/>
        <v>0.71084337349397586</v>
      </c>
      <c r="AY45" s="1029">
        <f t="shared" si="23"/>
        <v>0.75445544554455446</v>
      </c>
      <c r="AZ45" s="1029">
        <f t="shared" si="23"/>
        <v>0.70754716981132071</v>
      </c>
      <c r="BA45" s="1029">
        <f t="shared" si="23"/>
        <v>0.65758754863813229</v>
      </c>
      <c r="BB45" s="1029" t="e">
        <f t="shared" si="24"/>
        <v>#N/A</v>
      </c>
      <c r="BC45" s="1029" t="e">
        <f t="shared" si="24"/>
        <v>#N/A</v>
      </c>
      <c r="BD45" s="1029" t="e">
        <f t="shared" si="24"/>
        <v>#N/A</v>
      </c>
      <c r="BE45" s="1029">
        <f t="shared" si="24"/>
        <v>0.44905660377358492</v>
      </c>
      <c r="BF45" s="1029">
        <f t="shared" si="24"/>
        <v>0.44941634241245138</v>
      </c>
    </row>
    <row r="46" spans="1:58" ht="14.25" customHeight="1" x14ac:dyDescent="0.2">
      <c r="A46" s="120"/>
      <c r="B46" s="221"/>
      <c r="C46" s="221"/>
      <c r="D46" s="221"/>
      <c r="E46" s="221"/>
      <c r="F46" s="221"/>
      <c r="G46" s="221"/>
      <c r="H46" s="221"/>
      <c r="I46" s="221"/>
      <c r="J46" s="221"/>
      <c r="K46" s="13"/>
      <c r="L46" s="15"/>
      <c r="M46" s="15"/>
      <c r="N46" s="15"/>
      <c r="O46" s="15"/>
      <c r="P46" s="9"/>
      <c r="Q46" s="9"/>
      <c r="R46" s="9"/>
      <c r="S46" s="9"/>
      <c r="T46" s="9"/>
      <c r="U46" s="119"/>
      <c r="V46" s="138"/>
      <c r="W46" s="288"/>
      <c r="Y46" s="185"/>
      <c r="AI46" s="560" t="b">
        <v>1</v>
      </c>
      <c r="AJ46" s="156" t="s">
        <v>1</v>
      </c>
      <c r="AK46" s="89" t="str">
        <f t="shared" si="19"/>
        <v>Isle of Wight</v>
      </c>
      <c r="AL46" s="1027">
        <f t="shared" si="20"/>
        <v>214.99999999999997</v>
      </c>
      <c r="AM46" s="1027">
        <f t="shared" si="20"/>
        <v>219.51219512195121</v>
      </c>
      <c r="AN46" s="1027">
        <f t="shared" si="20"/>
        <v>235</v>
      </c>
      <c r="AO46" s="1027">
        <f t="shared" si="20"/>
        <v>234.21052631578948</v>
      </c>
      <c r="AP46" s="1027">
        <f t="shared" si="20"/>
        <v>234.21052631578948</v>
      </c>
      <c r="AQ46" s="1028">
        <f t="shared" si="21"/>
        <v>18</v>
      </c>
      <c r="AR46" s="1029" t="e">
        <f t="shared" si="22"/>
        <v>#N/A</v>
      </c>
      <c r="AS46" s="1029" t="e">
        <f t="shared" si="22"/>
        <v>#N/A</v>
      </c>
      <c r="AT46" s="1029">
        <f t="shared" si="22"/>
        <v>0.82978723404255317</v>
      </c>
      <c r="AU46" s="1029" t="e">
        <f t="shared" si="22"/>
        <v>#N/A</v>
      </c>
      <c r="AV46" s="1029">
        <f t="shared" si="22"/>
        <v>1</v>
      </c>
      <c r="AW46" s="1029">
        <f t="shared" si="23"/>
        <v>0.93023255813953487</v>
      </c>
      <c r="AX46" s="1029">
        <f t="shared" si="23"/>
        <v>0.91111111111111109</v>
      </c>
      <c r="AY46" s="1029">
        <f t="shared" si="23"/>
        <v>0.71276595744680848</v>
      </c>
      <c r="AZ46" s="1029" t="e">
        <f t="shared" si="23"/>
        <v>#N/A</v>
      </c>
      <c r="BA46" s="1029">
        <f t="shared" si="23"/>
        <v>0.88764044943820219</v>
      </c>
      <c r="BB46" s="1029" t="e">
        <f t="shared" si="24"/>
        <v>#N/A</v>
      </c>
      <c r="BC46" s="1029" t="e">
        <f t="shared" si="24"/>
        <v>#N/A</v>
      </c>
      <c r="BD46" s="1029" t="e">
        <f t="shared" si="24"/>
        <v>#N/A</v>
      </c>
      <c r="BE46" s="1029">
        <f t="shared" si="24"/>
        <v>0.5280898876404494</v>
      </c>
      <c r="BF46" s="1029">
        <f t="shared" si="24"/>
        <v>0.5955056179775281</v>
      </c>
    </row>
    <row r="47" spans="1:58" ht="14.25" customHeight="1" x14ac:dyDescent="0.2">
      <c r="A47" s="120"/>
      <c r="B47" s="221"/>
      <c r="C47" s="221"/>
      <c r="D47" s="221"/>
      <c r="E47" s="221"/>
      <c r="F47" s="221"/>
      <c r="G47" s="221"/>
      <c r="H47" s="221"/>
      <c r="I47" s="221"/>
      <c r="J47" s="221"/>
      <c r="K47" s="13"/>
      <c r="L47" s="15"/>
      <c r="M47" s="15"/>
      <c r="N47" s="15"/>
      <c r="O47" s="15"/>
      <c r="P47" s="9"/>
      <c r="Q47" s="9"/>
      <c r="R47" s="9"/>
      <c r="S47" s="9"/>
      <c r="T47" s="9"/>
      <c r="U47" s="119"/>
      <c r="V47" s="138"/>
      <c r="W47" s="288"/>
      <c r="Y47" s="185"/>
      <c r="AC47" s="204"/>
      <c r="AI47" s="560" t="b">
        <v>1</v>
      </c>
      <c r="AJ47" s="156" t="s">
        <v>9</v>
      </c>
      <c r="AK47" s="89" t="str">
        <f t="shared" si="19"/>
        <v>Kent</v>
      </c>
      <c r="AL47" s="1027">
        <f t="shared" si="20"/>
        <v>172.02166064981949</v>
      </c>
      <c r="AM47" s="1027">
        <f t="shared" si="20"/>
        <v>174.35424354243543</v>
      </c>
      <c r="AN47" s="1027">
        <f t="shared" si="20"/>
        <v>202.43445692883896</v>
      </c>
      <c r="AO47" s="1027">
        <f t="shared" si="20"/>
        <v>255.49242424242425</v>
      </c>
      <c r="AP47" s="1027">
        <f t="shared" si="20"/>
        <v>290.43977055449329</v>
      </c>
      <c r="AQ47" s="1028">
        <f t="shared" si="21"/>
        <v>15.8</v>
      </c>
      <c r="AR47" s="1029" t="e">
        <f t="shared" si="22"/>
        <v>#N/A</v>
      </c>
      <c r="AS47" s="1029" t="e">
        <f t="shared" si="22"/>
        <v>#N/A</v>
      </c>
      <c r="AT47" s="1029">
        <f t="shared" si="22"/>
        <v>0.81128584643848289</v>
      </c>
      <c r="AU47" s="1029">
        <f t="shared" si="22"/>
        <v>0.81541882876204597</v>
      </c>
      <c r="AV47" s="1029">
        <f t="shared" si="22"/>
        <v>0.82949308755760365</v>
      </c>
      <c r="AW47" s="1029">
        <f t="shared" si="23"/>
        <v>0.64533053515215111</v>
      </c>
      <c r="AX47" s="1029">
        <f t="shared" si="23"/>
        <v>0.67513227513227514</v>
      </c>
      <c r="AY47" s="1029">
        <f t="shared" si="23"/>
        <v>0.76133209990749307</v>
      </c>
      <c r="AZ47" s="1029">
        <f t="shared" si="23"/>
        <v>0.76278724981467749</v>
      </c>
      <c r="BA47" s="1029">
        <f t="shared" si="23"/>
        <v>0.7695852534562212</v>
      </c>
      <c r="BB47" s="1029" t="e">
        <f t="shared" si="24"/>
        <v>#N/A</v>
      </c>
      <c r="BC47" s="1029" t="e">
        <f t="shared" si="24"/>
        <v>#N/A</v>
      </c>
      <c r="BD47" s="1029" t="e">
        <f t="shared" si="24"/>
        <v>#N/A</v>
      </c>
      <c r="BE47" s="1029">
        <f t="shared" si="24"/>
        <v>0.52038547071905117</v>
      </c>
      <c r="BF47" s="1029">
        <f t="shared" si="24"/>
        <v>0.54838709677419351</v>
      </c>
    </row>
    <row r="48" spans="1:58" ht="14.25" customHeight="1" x14ac:dyDescent="0.2">
      <c r="A48" s="120"/>
      <c r="B48" s="58"/>
      <c r="C48" s="58"/>
      <c r="D48" s="58"/>
      <c r="E48" s="58"/>
      <c r="F48" s="58"/>
      <c r="G48" s="58"/>
      <c r="H48" s="58"/>
      <c r="I48" s="58"/>
      <c r="J48" s="58"/>
      <c r="K48" s="13"/>
      <c r="L48" s="15"/>
      <c r="M48" s="15"/>
      <c r="N48" s="15"/>
      <c r="O48" s="15"/>
      <c r="P48" s="9"/>
      <c r="Q48" s="9"/>
      <c r="R48" s="9"/>
      <c r="S48" s="9"/>
      <c r="T48" s="9"/>
      <c r="U48" s="119"/>
      <c r="V48" s="138"/>
      <c r="W48" s="288"/>
      <c r="Y48" s="185"/>
      <c r="AC48" s="179"/>
      <c r="AI48" s="560" t="b">
        <v>1</v>
      </c>
      <c r="AJ48" s="156" t="s">
        <v>2</v>
      </c>
      <c r="AK48" s="89" t="str">
        <f t="shared" si="19"/>
        <v>Medway</v>
      </c>
      <c r="AL48" s="1027">
        <f t="shared" si="20"/>
        <v>170.90909090909091</v>
      </c>
      <c r="AM48" s="1027">
        <f t="shared" si="20"/>
        <v>145.79439252336448</v>
      </c>
      <c r="AN48" s="1027">
        <f t="shared" si="20"/>
        <v>113.59223300970874</v>
      </c>
      <c r="AO48" s="1027">
        <f t="shared" si="20"/>
        <v>113.13131313131314</v>
      </c>
      <c r="AP48" s="1027">
        <f t="shared" si="20"/>
        <v>123.95833333333333</v>
      </c>
      <c r="AQ48" s="1028">
        <f t="shared" si="21"/>
        <v>18.899999999999999</v>
      </c>
      <c r="AR48" s="1029" t="e">
        <f t="shared" si="22"/>
        <v>#N/A</v>
      </c>
      <c r="AS48" s="1029" t="e">
        <f t="shared" si="22"/>
        <v>#N/A</v>
      </c>
      <c r="AT48" s="1029" t="e">
        <f t="shared" si="22"/>
        <v>#N/A</v>
      </c>
      <c r="AU48" s="1029" t="e">
        <f t="shared" si="22"/>
        <v>#N/A</v>
      </c>
      <c r="AV48" s="1029">
        <f t="shared" si="22"/>
        <v>0.49579831932773111</v>
      </c>
      <c r="AW48" s="1029">
        <f t="shared" si="23"/>
        <v>0.86170212765957444</v>
      </c>
      <c r="AX48" s="1029">
        <f t="shared" si="23"/>
        <v>0.89743589743589747</v>
      </c>
      <c r="AY48" s="1029">
        <f t="shared" si="23"/>
        <v>0.88034188034188032</v>
      </c>
      <c r="AZ48" s="1029">
        <f t="shared" si="23"/>
        <v>0.9285714285714286</v>
      </c>
      <c r="BA48" s="1029">
        <f t="shared" si="23"/>
        <v>0.90756302521008403</v>
      </c>
      <c r="BB48" s="1029" t="e">
        <f t="shared" si="24"/>
        <v>#N/A</v>
      </c>
      <c r="BC48" s="1029" t="e">
        <f t="shared" si="24"/>
        <v>#N/A</v>
      </c>
      <c r="BD48" s="1029" t="e">
        <f t="shared" si="24"/>
        <v>#N/A</v>
      </c>
      <c r="BE48" s="1029" t="e">
        <f t="shared" si="24"/>
        <v>#N/A</v>
      </c>
      <c r="BF48" s="1029" t="e">
        <f t="shared" si="24"/>
        <v>#N/A</v>
      </c>
    </row>
    <row r="49" spans="1:58" ht="14.25" customHeight="1" x14ac:dyDescent="0.2">
      <c r="A49" s="120"/>
      <c r="B49" s="58"/>
      <c r="C49" s="58"/>
      <c r="D49" s="68"/>
      <c r="E49" s="69"/>
      <c r="F49" s="68"/>
      <c r="G49" s="69"/>
      <c r="H49" s="69"/>
      <c r="I49" s="69"/>
      <c r="J49" s="69"/>
      <c r="K49" s="13"/>
      <c r="L49" s="15"/>
      <c r="M49" s="15"/>
      <c r="N49" s="15"/>
      <c r="O49" s="15"/>
      <c r="P49" s="9"/>
      <c r="Q49" s="9"/>
      <c r="R49" s="9"/>
      <c r="S49" s="9"/>
      <c r="T49" s="9"/>
      <c r="U49" s="119"/>
      <c r="V49" s="138"/>
      <c r="W49" s="288"/>
      <c r="Y49" s="185"/>
      <c r="AI49" s="560" t="b">
        <v>1</v>
      </c>
      <c r="AJ49" s="156" t="s">
        <v>10</v>
      </c>
      <c r="AK49" s="89" t="str">
        <f t="shared" si="19"/>
        <v>Milton Keynes</v>
      </c>
      <c r="AL49" s="1027">
        <f t="shared" si="20"/>
        <v>163.38028169014086</v>
      </c>
      <c r="AM49" s="1027">
        <f t="shared" si="20"/>
        <v>164.78873239436621</v>
      </c>
      <c r="AN49" s="1027">
        <f t="shared" si="20"/>
        <v>204.47761194029849</v>
      </c>
      <c r="AO49" s="1027">
        <f t="shared" si="20"/>
        <v>222.38805970149252</v>
      </c>
      <c r="AP49" s="1027">
        <f t="shared" si="20"/>
        <v>256.92307692307691</v>
      </c>
      <c r="AQ49" s="1028">
        <f t="shared" si="21"/>
        <v>15</v>
      </c>
      <c r="AR49" s="1029" t="e">
        <f t="shared" si="22"/>
        <v>#N/A</v>
      </c>
      <c r="AS49" s="1029" t="e">
        <f t="shared" si="22"/>
        <v>#N/A</v>
      </c>
      <c r="AT49" s="1029">
        <f t="shared" si="22"/>
        <v>0.82481751824817517</v>
      </c>
      <c r="AU49" s="1029">
        <f t="shared" si="22"/>
        <v>0.86577181208053688</v>
      </c>
      <c r="AV49" s="1029">
        <f t="shared" si="22"/>
        <v>0.91017964071856283</v>
      </c>
      <c r="AW49" s="1029">
        <f t="shared" si="23"/>
        <v>0.73275862068965514</v>
      </c>
      <c r="AX49" s="1029">
        <f t="shared" si="23"/>
        <v>0.77777777777777779</v>
      </c>
      <c r="AY49" s="1029">
        <f t="shared" si="23"/>
        <v>0.82481751824817517</v>
      </c>
      <c r="AZ49" s="1029">
        <f t="shared" si="23"/>
        <v>0.79865771812080533</v>
      </c>
      <c r="BA49" s="1029">
        <f t="shared" si="23"/>
        <v>0.81437125748502992</v>
      </c>
      <c r="BB49" s="1029" t="e">
        <f t="shared" si="24"/>
        <v>#N/A</v>
      </c>
      <c r="BC49" s="1029" t="e">
        <f t="shared" si="24"/>
        <v>#N/A</v>
      </c>
      <c r="BD49" s="1029" t="e">
        <f t="shared" si="24"/>
        <v>#N/A</v>
      </c>
      <c r="BE49" s="1029">
        <f t="shared" si="24"/>
        <v>0.4563758389261745</v>
      </c>
      <c r="BF49" s="1029">
        <f t="shared" si="24"/>
        <v>0.40119760479041916</v>
      </c>
    </row>
    <row r="50" spans="1:58" ht="14.25" customHeight="1" x14ac:dyDescent="0.2">
      <c r="A50" s="120"/>
      <c r="B50" s="58"/>
      <c r="C50" s="58"/>
      <c r="D50" s="61"/>
      <c r="E50" s="61"/>
      <c r="F50" s="61"/>
      <c r="G50" s="61"/>
      <c r="H50" s="61"/>
      <c r="I50" s="61"/>
      <c r="J50" s="61"/>
      <c r="K50" s="13"/>
      <c r="L50" s="15"/>
      <c r="M50" s="15"/>
      <c r="N50" s="15"/>
      <c r="O50" s="15"/>
      <c r="P50" s="9"/>
      <c r="Q50" s="9"/>
      <c r="R50" s="9"/>
      <c r="S50" s="9"/>
      <c r="T50" s="9"/>
      <c r="U50" s="119"/>
      <c r="V50" s="138"/>
      <c r="W50" s="288"/>
      <c r="Y50" s="185"/>
      <c r="AI50" s="560" t="b">
        <v>1</v>
      </c>
      <c r="AJ50" s="156" t="s">
        <v>11</v>
      </c>
      <c r="AK50" s="89" t="str">
        <f t="shared" si="19"/>
        <v>Oxfordshire</v>
      </c>
      <c r="AL50" s="1027">
        <f t="shared" si="20"/>
        <v>87.171052631578945</v>
      </c>
      <c r="AM50" s="1027">
        <f t="shared" si="20"/>
        <v>83.828382838283829</v>
      </c>
      <c r="AN50" s="1027">
        <f t="shared" si="20"/>
        <v>75.65789473684211</v>
      </c>
      <c r="AO50" s="1027">
        <f t="shared" si="20"/>
        <v>80.936454849498318</v>
      </c>
      <c r="AP50" s="1027">
        <f t="shared" si="20"/>
        <v>91.973244147157203</v>
      </c>
      <c r="AQ50" s="1028">
        <f t="shared" si="21"/>
        <v>10.100000000000001</v>
      </c>
      <c r="AR50" s="1029" t="e">
        <f t="shared" si="22"/>
        <v>#N/A</v>
      </c>
      <c r="AS50" s="1029" t="e">
        <f t="shared" si="22"/>
        <v>#N/A</v>
      </c>
      <c r="AT50" s="1029">
        <f t="shared" si="22"/>
        <v>0.86086956521739133</v>
      </c>
      <c r="AU50" s="1029">
        <f t="shared" si="22"/>
        <v>0.81818181818181823</v>
      </c>
      <c r="AV50" s="1029">
        <f t="shared" si="22"/>
        <v>0.81818181818181823</v>
      </c>
      <c r="AW50" s="1029">
        <f t="shared" si="23"/>
        <v>0.73207547169811316</v>
      </c>
      <c r="AX50" s="1029">
        <f t="shared" si="23"/>
        <v>0.70472440944881887</v>
      </c>
      <c r="AY50" s="1029">
        <f t="shared" si="23"/>
        <v>0.80869565217391304</v>
      </c>
      <c r="AZ50" s="1029">
        <f t="shared" si="23"/>
        <v>0.77272727272727271</v>
      </c>
      <c r="BA50" s="1029">
        <f t="shared" si="23"/>
        <v>0.74545454545454548</v>
      </c>
      <c r="BB50" s="1029" t="e">
        <f t="shared" si="24"/>
        <v>#N/A</v>
      </c>
      <c r="BC50" s="1029" t="e">
        <f t="shared" si="24"/>
        <v>#N/A</v>
      </c>
      <c r="BD50" s="1029" t="e">
        <f t="shared" si="24"/>
        <v>#N/A</v>
      </c>
      <c r="BE50" s="1029">
        <f t="shared" si="24"/>
        <v>0.48347107438016529</v>
      </c>
      <c r="BF50" s="1029">
        <f t="shared" si="24"/>
        <v>0.49454545454545457</v>
      </c>
    </row>
    <row r="51" spans="1:58" ht="14.25" customHeight="1" x14ac:dyDescent="0.2">
      <c r="A51" s="120"/>
      <c r="B51" s="412"/>
      <c r="C51" s="412"/>
      <c r="D51" s="58"/>
      <c r="E51" s="58"/>
      <c r="F51" s="58"/>
      <c r="G51" s="58"/>
      <c r="H51" s="58"/>
      <c r="I51" s="58"/>
      <c r="J51" s="58"/>
      <c r="K51" s="13"/>
      <c r="L51" s="15"/>
      <c r="M51" s="15"/>
      <c r="N51" s="15"/>
      <c r="O51" s="15"/>
      <c r="P51" s="9"/>
      <c r="Q51" s="9"/>
      <c r="R51" s="9"/>
      <c r="S51" s="9"/>
      <c r="T51" s="9"/>
      <c r="U51" s="119"/>
      <c r="V51" s="138"/>
      <c r="W51" s="288"/>
      <c r="Y51" s="185"/>
      <c r="AI51" s="560" t="b">
        <v>1</v>
      </c>
      <c r="AJ51" s="156" t="s">
        <v>12</v>
      </c>
      <c r="AK51" s="89" t="str">
        <f t="shared" si="19"/>
        <v>Portsmouth</v>
      </c>
      <c r="AL51" s="1027">
        <f t="shared" ref="AL51:AP63" si="25">VLOOKUP($AK51,$B$10:$P$32,AL$37,FALSE)</f>
        <v>66.88741721854305</v>
      </c>
      <c r="AM51" s="1027">
        <f t="shared" si="25"/>
        <v>69.736842105263165</v>
      </c>
      <c r="AN51" s="1027">
        <f t="shared" si="25"/>
        <v>72.903225806451616</v>
      </c>
      <c r="AO51" s="1027">
        <f t="shared" si="25"/>
        <v>70.987654320987659</v>
      </c>
      <c r="AP51" s="1027">
        <f t="shared" si="25"/>
        <v>75</v>
      </c>
      <c r="AQ51" s="1028">
        <f t="shared" si="21"/>
        <v>20.200000000000003</v>
      </c>
      <c r="AR51" s="1029" t="e">
        <f t="shared" ref="AR51:AV63" si="26">VLOOKUP($AK51,$B$77:$H$99,AR$37,FALSE)</f>
        <v>#N/A</v>
      </c>
      <c r="AS51" s="1029" t="e">
        <f t="shared" si="26"/>
        <v>#N/A</v>
      </c>
      <c r="AT51" s="1029">
        <f t="shared" si="26"/>
        <v>0.79646017699115046</v>
      </c>
      <c r="AU51" s="1029">
        <f t="shared" si="26"/>
        <v>0.76521739130434785</v>
      </c>
      <c r="AV51" s="1029">
        <f t="shared" si="26"/>
        <v>0.77235772357723576</v>
      </c>
      <c r="AW51" s="1029">
        <f t="shared" ref="AW51:BA63" si="27">VLOOKUP($AK51,$B$113:$H$135,AW$37,FALSE)</f>
        <v>0.71287128712871284</v>
      </c>
      <c r="AX51" s="1029">
        <f t="shared" si="27"/>
        <v>0.63207547169811318</v>
      </c>
      <c r="AY51" s="1029">
        <f t="shared" si="27"/>
        <v>0.65486725663716816</v>
      </c>
      <c r="AZ51" s="1029">
        <f t="shared" si="27"/>
        <v>0.69565217391304346</v>
      </c>
      <c r="BA51" s="1029">
        <f t="shared" si="27"/>
        <v>0.68292682926829273</v>
      </c>
      <c r="BB51" s="1029" t="e">
        <f t="shared" ref="BB51:BF63" si="28">VLOOKUP($AK51,$B$149:$H$171,BB$37,FALSE)</f>
        <v>#N/A</v>
      </c>
      <c r="BC51" s="1029" t="e">
        <f t="shared" si="28"/>
        <v>#N/A</v>
      </c>
      <c r="BD51" s="1029" t="e">
        <f t="shared" si="28"/>
        <v>#N/A</v>
      </c>
      <c r="BE51" s="1029">
        <f t="shared" si="28"/>
        <v>0.37391304347826088</v>
      </c>
      <c r="BF51" s="1029">
        <f t="shared" si="28"/>
        <v>0.44715447154471544</v>
      </c>
    </row>
    <row r="52" spans="1:58" ht="14.25" customHeight="1" x14ac:dyDescent="0.2">
      <c r="A52" s="120"/>
      <c r="B52" s="412"/>
      <c r="C52" s="412"/>
      <c r="D52" s="58"/>
      <c r="E52" s="58"/>
      <c r="F52" s="58"/>
      <c r="G52" s="58"/>
      <c r="H52" s="58"/>
      <c r="I52" s="58"/>
      <c r="J52" s="58"/>
      <c r="K52" s="13"/>
      <c r="L52" s="15"/>
      <c r="M52" s="15"/>
      <c r="N52" s="15"/>
      <c r="O52" s="15"/>
      <c r="P52" s="9"/>
      <c r="Q52" s="9"/>
      <c r="R52" s="9"/>
      <c r="S52" s="9"/>
      <c r="T52" s="9"/>
      <c r="U52" s="119"/>
      <c r="V52" s="138"/>
      <c r="W52" s="288"/>
      <c r="Y52" s="185"/>
      <c r="AI52" s="560" t="b">
        <v>1</v>
      </c>
      <c r="AJ52" s="156" t="s">
        <v>3</v>
      </c>
      <c r="AK52" s="89" t="str">
        <f t="shared" si="19"/>
        <v>Reading</v>
      </c>
      <c r="AL52" s="1027">
        <f t="shared" si="25"/>
        <v>72.727272727272734</v>
      </c>
      <c r="AM52" s="1027">
        <f t="shared" si="25"/>
        <v>77.27272727272728</v>
      </c>
      <c r="AN52" s="1027">
        <f t="shared" si="25"/>
        <v>88.63636363636364</v>
      </c>
      <c r="AO52" s="1027">
        <f t="shared" si="25"/>
        <v>95.604395604395592</v>
      </c>
      <c r="AP52" s="1027">
        <f t="shared" si="25"/>
        <v>104.25531914893618</v>
      </c>
      <c r="AQ52" s="1028">
        <f t="shared" si="21"/>
        <v>16</v>
      </c>
      <c r="AR52" s="1029" t="e">
        <f t="shared" si="26"/>
        <v>#N/A</v>
      </c>
      <c r="AS52" s="1029" t="e">
        <f t="shared" si="26"/>
        <v>#N/A</v>
      </c>
      <c r="AT52" s="1029">
        <f t="shared" si="26"/>
        <v>0.91025641025641024</v>
      </c>
      <c r="AU52" s="1029">
        <f t="shared" si="26"/>
        <v>0.83908045977011492</v>
      </c>
      <c r="AV52" s="1029">
        <f t="shared" si="26"/>
        <v>0.48979591836734693</v>
      </c>
      <c r="AW52" s="1029">
        <f t="shared" si="27"/>
        <v>0.828125</v>
      </c>
      <c r="AX52" s="1029">
        <f t="shared" si="27"/>
        <v>0.8970588235294118</v>
      </c>
      <c r="AY52" s="1029">
        <f t="shared" si="27"/>
        <v>0.88461538461538458</v>
      </c>
      <c r="AZ52" s="1029">
        <f t="shared" si="27"/>
        <v>0.7816091954022989</v>
      </c>
      <c r="BA52" s="1029">
        <f t="shared" si="27"/>
        <v>0.87755102040816324</v>
      </c>
      <c r="BB52" s="1029" t="e">
        <f t="shared" si="28"/>
        <v>#N/A</v>
      </c>
      <c r="BC52" s="1029" t="e">
        <f t="shared" si="28"/>
        <v>#N/A</v>
      </c>
      <c r="BD52" s="1029" t="e">
        <f t="shared" si="28"/>
        <v>#N/A</v>
      </c>
      <c r="BE52" s="1029">
        <f t="shared" si="28"/>
        <v>0.42528735632183906</v>
      </c>
      <c r="BF52" s="1029" t="e">
        <f t="shared" si="28"/>
        <v>#N/A</v>
      </c>
    </row>
    <row r="53" spans="1:58" ht="14.25" customHeight="1" x14ac:dyDescent="0.2">
      <c r="A53" s="120"/>
      <c r="B53" s="412"/>
      <c r="C53" s="412"/>
      <c r="D53" s="58"/>
      <c r="E53" s="58"/>
      <c r="F53" s="58"/>
      <c r="G53" s="58"/>
      <c r="H53" s="58"/>
      <c r="I53" s="58"/>
      <c r="J53" s="58"/>
      <c r="K53" s="13"/>
      <c r="L53" s="15"/>
      <c r="M53" s="15"/>
      <c r="N53" s="15"/>
      <c r="O53" s="15"/>
      <c r="P53" s="9"/>
      <c r="Q53" s="9"/>
      <c r="R53" s="9"/>
      <c r="S53" s="9"/>
      <c r="T53" s="9"/>
      <c r="U53" s="119"/>
      <c r="V53" s="138"/>
      <c r="W53" s="288"/>
      <c r="Y53" s="185"/>
      <c r="AI53" s="560" t="b">
        <v>1</v>
      </c>
      <c r="AJ53" s="156" t="s">
        <v>13</v>
      </c>
      <c r="AK53" s="89" t="str">
        <f t="shared" si="19"/>
        <v>Slough</v>
      </c>
      <c r="AL53" s="1027">
        <f t="shared" si="25"/>
        <v>172.72727272727272</v>
      </c>
      <c r="AM53" s="1027">
        <f t="shared" si="25"/>
        <v>197.77777777777777</v>
      </c>
      <c r="AN53" s="1027">
        <f t="shared" si="25"/>
        <v>188.63636363636363</v>
      </c>
      <c r="AO53" s="1027">
        <f t="shared" si="25"/>
        <v>206.97674418604649</v>
      </c>
      <c r="AP53" s="1027">
        <f t="shared" si="25"/>
        <v>207.14285714285714</v>
      </c>
      <c r="AQ53" s="1028">
        <f t="shared" si="21"/>
        <v>14.7</v>
      </c>
      <c r="AR53" s="1029" t="e">
        <f t="shared" si="26"/>
        <v>#N/A</v>
      </c>
      <c r="AS53" s="1029" t="e">
        <f t="shared" si="26"/>
        <v>#N/A</v>
      </c>
      <c r="AT53" s="1029">
        <f t="shared" si="26"/>
        <v>0.77108433734939763</v>
      </c>
      <c r="AU53" s="1029">
        <f t="shared" si="26"/>
        <v>0.8314606741573034</v>
      </c>
      <c r="AV53" s="1029">
        <f t="shared" si="26"/>
        <v>0.90804597701149425</v>
      </c>
      <c r="AW53" s="1029">
        <f t="shared" si="27"/>
        <v>0.84210526315789469</v>
      </c>
      <c r="AX53" s="1029">
        <f t="shared" si="27"/>
        <v>0.6741573033707865</v>
      </c>
      <c r="AY53" s="1029">
        <f t="shared" si="27"/>
        <v>0.68674698795180722</v>
      </c>
      <c r="AZ53" s="1029">
        <f t="shared" si="27"/>
        <v>0.6741573033707865</v>
      </c>
      <c r="BA53" s="1029">
        <f t="shared" si="27"/>
        <v>0.7931034482758621</v>
      </c>
      <c r="BB53" s="1029" t="e">
        <f t="shared" si="28"/>
        <v>#N/A</v>
      </c>
      <c r="BC53" s="1029" t="e">
        <f t="shared" si="28"/>
        <v>#N/A</v>
      </c>
      <c r="BD53" s="1029" t="e">
        <f t="shared" si="28"/>
        <v>#N/A</v>
      </c>
      <c r="BE53" s="1029">
        <f t="shared" si="28"/>
        <v>0.38202247191011235</v>
      </c>
      <c r="BF53" s="1029">
        <f t="shared" si="28"/>
        <v>0.58620689655172409</v>
      </c>
    </row>
    <row r="54" spans="1:58" ht="14.25" customHeight="1" x14ac:dyDescent="0.2">
      <c r="A54" s="120"/>
      <c r="B54" s="412"/>
      <c r="C54" s="412"/>
      <c r="D54" s="58"/>
      <c r="E54" s="58"/>
      <c r="F54" s="58"/>
      <c r="G54" s="58"/>
      <c r="H54" s="58"/>
      <c r="I54" s="58"/>
      <c r="J54" s="58"/>
      <c r="K54" s="13"/>
      <c r="L54" s="15"/>
      <c r="M54" s="15"/>
      <c r="N54" s="15"/>
      <c r="O54" s="15"/>
      <c r="P54" s="9"/>
      <c r="Q54" s="9"/>
      <c r="R54" s="9"/>
      <c r="S54" s="9"/>
      <c r="T54" s="9"/>
      <c r="U54" s="119"/>
      <c r="V54" s="138"/>
      <c r="W54" s="288"/>
      <c r="Y54" s="185"/>
      <c r="AI54" s="560" t="b">
        <v>1</v>
      </c>
      <c r="AJ54" s="156" t="s">
        <v>93</v>
      </c>
      <c r="AK54" s="89" t="str">
        <f t="shared" si="19"/>
        <v>Somerset</v>
      </c>
      <c r="AL54" s="1027">
        <f t="shared" si="25"/>
        <v>173.54838709677418</v>
      </c>
      <c r="AM54" s="1027">
        <f t="shared" si="25"/>
        <v>169.93464052287581</v>
      </c>
      <c r="AN54" s="1027">
        <f t="shared" si="25"/>
        <v>147.65100671140939</v>
      </c>
      <c r="AO54" s="1027">
        <f t="shared" si="25"/>
        <v>135.81081081081081</v>
      </c>
      <c r="AP54" s="1027">
        <f t="shared" si="25"/>
        <v>124.82758620689656</v>
      </c>
      <c r="AQ54" s="1028">
        <f t="shared" si="21"/>
        <v>13.600000000000001</v>
      </c>
      <c r="AR54" s="1029" t="e">
        <f t="shared" si="26"/>
        <v>#N/A</v>
      </c>
      <c r="AS54" s="1029" t="e">
        <f t="shared" si="26"/>
        <v>#N/A</v>
      </c>
      <c r="AT54" s="1029">
        <f t="shared" si="26"/>
        <v>0.97272727272727277</v>
      </c>
      <c r="AU54" s="1029" t="e">
        <f t="shared" si="26"/>
        <v>#N/A</v>
      </c>
      <c r="AV54" s="1029">
        <f t="shared" si="26"/>
        <v>0.574585635359116</v>
      </c>
      <c r="AW54" s="1029">
        <f t="shared" si="27"/>
        <v>0.86617100371747213</v>
      </c>
      <c r="AX54" s="1029">
        <f t="shared" si="27"/>
        <v>0.88846153846153841</v>
      </c>
      <c r="AY54" s="1029">
        <f t="shared" si="27"/>
        <v>0.92272727272727273</v>
      </c>
      <c r="AZ54" s="1029">
        <f t="shared" si="27"/>
        <v>0.93034825870646765</v>
      </c>
      <c r="BA54" s="1029" t="e">
        <f t="shared" si="27"/>
        <v>#N/A</v>
      </c>
      <c r="BB54" s="1029" t="e">
        <f t="shared" si="28"/>
        <v>#N/A</v>
      </c>
      <c r="BC54" s="1029" t="e">
        <f t="shared" si="28"/>
        <v>#N/A</v>
      </c>
      <c r="BD54" s="1029" t="e">
        <f t="shared" si="28"/>
        <v>#N/A</v>
      </c>
      <c r="BE54" s="1029">
        <f t="shared" si="28"/>
        <v>0.57711442786069655</v>
      </c>
      <c r="BF54" s="1029">
        <f t="shared" si="28"/>
        <v>0.574585635359116</v>
      </c>
    </row>
    <row r="55" spans="1:58" ht="14.25" customHeight="1" x14ac:dyDescent="0.2">
      <c r="A55" s="120"/>
      <c r="B55" s="412"/>
      <c r="C55" s="412"/>
      <c r="D55" s="58"/>
      <c r="E55" s="58"/>
      <c r="F55" s="58"/>
      <c r="G55" s="58"/>
      <c r="H55" s="58"/>
      <c r="I55" s="58"/>
      <c r="J55" s="58"/>
      <c r="K55" s="13"/>
      <c r="L55" s="15"/>
      <c r="M55" s="15"/>
      <c r="N55" s="15"/>
      <c r="O55" s="15"/>
      <c r="P55" s="9"/>
      <c r="Q55" s="9"/>
      <c r="R55" s="9"/>
      <c r="S55" s="9"/>
      <c r="T55" s="9"/>
      <c r="U55" s="119"/>
      <c r="V55" s="138"/>
      <c r="W55" s="288"/>
      <c r="Y55" s="185"/>
      <c r="AI55" s="560" t="b">
        <v>1</v>
      </c>
      <c r="AJ55" s="156" t="s">
        <v>14</v>
      </c>
      <c r="AK55" s="89" t="str">
        <f t="shared" si="19"/>
        <v>Southampton</v>
      </c>
      <c r="AL55" s="1027">
        <f t="shared" si="25"/>
        <v>57.894736842105267</v>
      </c>
      <c r="AM55" s="1027">
        <f t="shared" si="25"/>
        <v>62.5</v>
      </c>
      <c r="AN55" s="1027">
        <f t="shared" si="25"/>
        <v>56.88073394495413</v>
      </c>
      <c r="AO55" s="1027">
        <f t="shared" si="25"/>
        <v>56.108597285067873</v>
      </c>
      <c r="AP55" s="1027">
        <f t="shared" si="25"/>
        <v>57.727272727272734</v>
      </c>
      <c r="AQ55" s="1028">
        <f t="shared" si="21"/>
        <v>20.5</v>
      </c>
      <c r="AR55" s="1029" t="e">
        <f t="shared" si="26"/>
        <v>#N/A</v>
      </c>
      <c r="AS55" s="1029" t="e">
        <f t="shared" si="26"/>
        <v>#N/A</v>
      </c>
      <c r="AT55" s="1029">
        <f t="shared" si="26"/>
        <v>0.87096774193548387</v>
      </c>
      <c r="AU55" s="1029">
        <f t="shared" si="26"/>
        <v>0.86290322580645162</v>
      </c>
      <c r="AV55" s="1029">
        <f t="shared" si="26"/>
        <v>0.93700787401574803</v>
      </c>
      <c r="AW55" s="1029">
        <f t="shared" si="27"/>
        <v>0.74380165289256195</v>
      </c>
      <c r="AX55" s="1029">
        <f t="shared" si="27"/>
        <v>0.63076923076923075</v>
      </c>
      <c r="AY55" s="1029">
        <f t="shared" si="27"/>
        <v>0.77419354838709675</v>
      </c>
      <c r="AZ55" s="1029">
        <f t="shared" si="27"/>
        <v>0.79838709677419351</v>
      </c>
      <c r="BA55" s="1029">
        <f t="shared" si="27"/>
        <v>0.83464566929133854</v>
      </c>
      <c r="BB55" s="1029" t="e">
        <f t="shared" si="28"/>
        <v>#N/A</v>
      </c>
      <c r="BC55" s="1029" t="e">
        <f t="shared" si="28"/>
        <v>#N/A</v>
      </c>
      <c r="BD55" s="1029" t="e">
        <f t="shared" si="28"/>
        <v>#N/A</v>
      </c>
      <c r="BE55" s="1029">
        <f t="shared" si="28"/>
        <v>0.41129032258064518</v>
      </c>
      <c r="BF55" s="1029">
        <f t="shared" si="28"/>
        <v>0.44881889763779526</v>
      </c>
    </row>
    <row r="56" spans="1:58" ht="14.25" customHeight="1" x14ac:dyDescent="0.2">
      <c r="A56" s="120"/>
      <c r="B56" s="412"/>
      <c r="C56" s="412"/>
      <c r="D56" s="58"/>
      <c r="E56" s="58"/>
      <c r="F56" s="58"/>
      <c r="G56" s="58"/>
      <c r="H56" s="58"/>
      <c r="I56" s="58"/>
      <c r="J56" s="58"/>
      <c r="K56" s="13"/>
      <c r="L56" s="15"/>
      <c r="M56" s="15"/>
      <c r="N56" s="15"/>
      <c r="O56" s="15"/>
      <c r="P56" s="9"/>
      <c r="Q56" s="9"/>
      <c r="R56" s="9"/>
      <c r="S56" s="9"/>
      <c r="T56" s="9"/>
      <c r="U56" s="119"/>
      <c r="V56" s="138"/>
      <c r="W56" s="288"/>
      <c r="Y56" s="185"/>
      <c r="AI56" s="560" t="b">
        <v>1</v>
      </c>
      <c r="AJ56" s="156" t="s">
        <v>7</v>
      </c>
      <c r="AK56" s="89" t="str">
        <f t="shared" si="19"/>
        <v>Surrey</v>
      </c>
      <c r="AL56" s="1027">
        <f t="shared" si="25"/>
        <v>99.442896935933149</v>
      </c>
      <c r="AM56" s="1027">
        <f t="shared" si="25"/>
        <v>98.910081743869213</v>
      </c>
      <c r="AN56" s="1027">
        <f t="shared" si="25"/>
        <v>103.82513661202186</v>
      </c>
      <c r="AO56" s="1027">
        <f t="shared" si="25"/>
        <v>112.36559139784946</v>
      </c>
      <c r="AP56" s="1027">
        <f t="shared" si="25"/>
        <v>126.66666666666666</v>
      </c>
      <c r="AQ56" s="1028">
        <f t="shared" si="21"/>
        <v>8.3000000000000007</v>
      </c>
      <c r="AR56" s="1029" t="e">
        <f t="shared" si="26"/>
        <v>#N/A</v>
      </c>
      <c r="AS56" s="1029" t="e">
        <f t="shared" si="26"/>
        <v>#N/A</v>
      </c>
      <c r="AT56" s="1029">
        <f t="shared" si="26"/>
        <v>0.86578947368421055</v>
      </c>
      <c r="AU56" s="1029">
        <f t="shared" si="26"/>
        <v>0.83971291866028708</v>
      </c>
      <c r="AV56" s="1029">
        <f t="shared" si="26"/>
        <v>0.91157894736842104</v>
      </c>
      <c r="AW56" s="1029">
        <f t="shared" si="27"/>
        <v>0.80672268907563027</v>
      </c>
      <c r="AX56" s="1029">
        <f t="shared" si="27"/>
        <v>0.84297520661157022</v>
      </c>
      <c r="AY56" s="1029">
        <f t="shared" si="27"/>
        <v>0.83421052631578951</v>
      </c>
      <c r="AZ56" s="1029">
        <f t="shared" si="27"/>
        <v>0.81578947368421051</v>
      </c>
      <c r="BA56" s="1029">
        <f t="shared" si="27"/>
        <v>0.84842105263157896</v>
      </c>
      <c r="BB56" s="1029" t="e">
        <f t="shared" si="28"/>
        <v>#N/A</v>
      </c>
      <c r="BC56" s="1029" t="e">
        <f t="shared" si="28"/>
        <v>#N/A</v>
      </c>
      <c r="BD56" s="1029" t="e">
        <f t="shared" si="28"/>
        <v>#N/A</v>
      </c>
      <c r="BE56" s="1029">
        <f t="shared" si="28"/>
        <v>0.56220095693779903</v>
      </c>
      <c r="BF56" s="1029">
        <f t="shared" si="28"/>
        <v>0.57894736842105265</v>
      </c>
    </row>
    <row r="57" spans="1:58" ht="14.25" customHeight="1" x14ac:dyDescent="0.2">
      <c r="A57" s="271"/>
      <c r="B57" s="412"/>
      <c r="C57" s="412"/>
      <c r="D57" s="58"/>
      <c r="E57" s="58"/>
      <c r="F57" s="58"/>
      <c r="G57" s="58"/>
      <c r="H57" s="58"/>
      <c r="I57" s="58"/>
      <c r="J57" s="58"/>
      <c r="K57" s="13"/>
      <c r="L57" s="15"/>
      <c r="M57" s="15"/>
      <c r="N57" s="15"/>
      <c r="O57" s="15"/>
      <c r="P57" s="9"/>
      <c r="Q57" s="9"/>
      <c r="R57" s="9"/>
      <c r="S57" s="9"/>
      <c r="T57" s="9"/>
      <c r="U57" s="119"/>
      <c r="V57" s="138"/>
      <c r="W57" s="288"/>
      <c r="Y57" s="185"/>
      <c r="AI57" s="560" t="b">
        <v>1</v>
      </c>
      <c r="AJ57" s="156" t="s">
        <v>114</v>
      </c>
      <c r="AK57" s="89" t="str">
        <f t="shared" si="19"/>
        <v>Swindon</v>
      </c>
      <c r="AL57" s="1027">
        <f t="shared" si="25"/>
        <v>213.84615384615384</v>
      </c>
      <c r="AM57" s="1027">
        <f t="shared" si="25"/>
        <v>218.46153846153845</v>
      </c>
      <c r="AN57" s="1027">
        <f t="shared" si="25"/>
        <v>201.58730158730157</v>
      </c>
      <c r="AO57" s="1027">
        <f t="shared" si="25"/>
        <v>196.82539682539684</v>
      </c>
      <c r="AP57" s="1027">
        <f t="shared" si="25"/>
        <v>214.28571428571428</v>
      </c>
      <c r="AQ57" s="1028">
        <f t="shared" si="21"/>
        <v>14.899999999999999</v>
      </c>
      <c r="AR57" s="1029" t="e">
        <f t="shared" si="26"/>
        <v>#N/A</v>
      </c>
      <c r="AS57" s="1029" t="e">
        <f t="shared" si="26"/>
        <v>#N/A</v>
      </c>
      <c r="AT57" s="1029" t="e">
        <f t="shared" si="26"/>
        <v>#N/A</v>
      </c>
      <c r="AU57" s="1029">
        <f t="shared" si="26"/>
        <v>1</v>
      </c>
      <c r="AV57" s="1029">
        <f t="shared" si="26"/>
        <v>0.94814814814814818</v>
      </c>
      <c r="AW57" s="1029">
        <f t="shared" si="27"/>
        <v>0.75539568345323738</v>
      </c>
      <c r="AX57" s="1029">
        <f t="shared" si="27"/>
        <v>0.84507042253521125</v>
      </c>
      <c r="AY57" s="1029">
        <f t="shared" si="27"/>
        <v>0.83464566929133854</v>
      </c>
      <c r="AZ57" s="1029">
        <f t="shared" si="27"/>
        <v>0.88709677419354838</v>
      </c>
      <c r="BA57" s="1029">
        <f t="shared" si="27"/>
        <v>0.82222222222222219</v>
      </c>
      <c r="BB57" s="1029" t="e">
        <f t="shared" si="28"/>
        <v>#N/A</v>
      </c>
      <c r="BC57" s="1029" t="e">
        <f t="shared" si="28"/>
        <v>#N/A</v>
      </c>
      <c r="BD57" s="1029" t="e">
        <f t="shared" si="28"/>
        <v>#N/A</v>
      </c>
      <c r="BE57" s="1029">
        <f t="shared" si="28"/>
        <v>0.59677419354838712</v>
      </c>
      <c r="BF57" s="1029">
        <f t="shared" si="28"/>
        <v>0.51851851851851849</v>
      </c>
    </row>
    <row r="58" spans="1:58" ht="14.25" customHeight="1" x14ac:dyDescent="0.2">
      <c r="A58" s="271"/>
      <c r="B58" s="412"/>
      <c r="C58" s="412"/>
      <c r="D58" s="58"/>
      <c r="E58" s="58"/>
      <c r="F58" s="58"/>
      <c r="G58" s="58"/>
      <c r="H58" s="58"/>
      <c r="I58" s="58"/>
      <c r="J58" s="58"/>
      <c r="K58" s="13"/>
      <c r="L58" s="15"/>
      <c r="M58" s="15"/>
      <c r="N58" s="15"/>
      <c r="O58" s="15"/>
      <c r="P58" s="9"/>
      <c r="Q58" s="9"/>
      <c r="R58" s="9"/>
      <c r="S58" s="9"/>
      <c r="T58" s="9"/>
      <c r="U58" s="119"/>
      <c r="V58" s="138"/>
      <c r="W58" s="288"/>
      <c r="Y58" s="185"/>
      <c r="AI58" s="560" t="b">
        <v>1</v>
      </c>
      <c r="AJ58" s="156" t="s">
        <v>115</v>
      </c>
      <c r="AK58" s="89" t="str">
        <f t="shared" si="19"/>
        <v>Torbay</v>
      </c>
      <c r="AL58" s="1027">
        <f t="shared" si="25"/>
        <v>269.23076923076923</v>
      </c>
      <c r="AM58" s="1027">
        <f t="shared" si="25"/>
        <v>252.63157894736841</v>
      </c>
      <c r="AN58" s="1027">
        <f t="shared" si="25"/>
        <v>254.05405405405406</v>
      </c>
      <c r="AO58" s="1027">
        <f t="shared" si="25"/>
        <v>297.22222222222223</v>
      </c>
      <c r="AP58" s="1027">
        <f t="shared" si="25"/>
        <v>297.14285714285717</v>
      </c>
      <c r="AQ58" s="1028">
        <f t="shared" si="21"/>
        <v>21.9</v>
      </c>
      <c r="AR58" s="1029" t="e">
        <f t="shared" si="26"/>
        <v>#N/A</v>
      </c>
      <c r="AS58" s="1029" t="e">
        <f t="shared" si="26"/>
        <v>#N/A</v>
      </c>
      <c r="AT58" s="1029">
        <f t="shared" si="26"/>
        <v>0.88297872340425532</v>
      </c>
      <c r="AU58" s="1029" t="e">
        <f t="shared" si="26"/>
        <v>#N/A</v>
      </c>
      <c r="AV58" s="1029">
        <f t="shared" si="26"/>
        <v>0.55769230769230771</v>
      </c>
      <c r="AW58" s="1029">
        <f t="shared" si="27"/>
        <v>0.97142857142857142</v>
      </c>
      <c r="AX58" s="1029">
        <f t="shared" si="27"/>
        <v>0.9375</v>
      </c>
      <c r="AY58" s="1029">
        <f t="shared" si="27"/>
        <v>0.94680851063829785</v>
      </c>
      <c r="AZ58" s="1029" t="e">
        <f t="shared" si="27"/>
        <v>#N/A</v>
      </c>
      <c r="BA58" s="1029">
        <f t="shared" si="27"/>
        <v>0.91346153846153844</v>
      </c>
      <c r="BB58" s="1029" t="e">
        <f t="shared" si="28"/>
        <v>#N/A</v>
      </c>
      <c r="BC58" s="1029" t="e">
        <f t="shared" si="28"/>
        <v>#N/A</v>
      </c>
      <c r="BD58" s="1029" t="e">
        <f t="shared" si="28"/>
        <v>#N/A</v>
      </c>
      <c r="BE58" s="1029" t="e">
        <f t="shared" si="28"/>
        <v>#N/A</v>
      </c>
      <c r="BF58" s="1029">
        <f t="shared" si="28"/>
        <v>0.55769230769230771</v>
      </c>
    </row>
    <row r="59" spans="1:58" ht="14.25" customHeight="1" x14ac:dyDescent="0.2">
      <c r="A59" s="120"/>
      <c r="B59" s="412"/>
      <c r="C59" s="412"/>
      <c r="D59" s="58"/>
      <c r="E59" s="58"/>
      <c r="F59" s="58"/>
      <c r="G59" s="58"/>
      <c r="H59" s="58"/>
      <c r="I59" s="58"/>
      <c r="J59" s="58"/>
      <c r="K59" s="13"/>
      <c r="L59" s="15"/>
      <c r="M59" s="15"/>
      <c r="N59" s="15"/>
      <c r="O59" s="15"/>
      <c r="P59" s="9"/>
      <c r="Q59" s="9"/>
      <c r="R59" s="9"/>
      <c r="S59" s="9"/>
      <c r="T59" s="9"/>
      <c r="U59" s="119"/>
      <c r="V59" s="138"/>
      <c r="W59" s="288"/>
      <c r="Y59" s="185"/>
      <c r="AI59" s="560" t="b">
        <v>1</v>
      </c>
      <c r="AJ59" s="156" t="s">
        <v>15</v>
      </c>
      <c r="AK59" s="89" t="str">
        <f t="shared" si="19"/>
        <v>West Berkshire</v>
      </c>
      <c r="AL59" s="1027">
        <f t="shared" si="25"/>
        <v>143.58974358974359</v>
      </c>
      <c r="AM59" s="1027">
        <f t="shared" si="25"/>
        <v>144.73684210526315</v>
      </c>
      <c r="AN59" s="1027">
        <f t="shared" si="25"/>
        <v>143.58974358974359</v>
      </c>
      <c r="AO59" s="1027">
        <f t="shared" si="25"/>
        <v>205.26315789473685</v>
      </c>
      <c r="AP59" s="1027">
        <f t="shared" si="25"/>
        <v>200</v>
      </c>
      <c r="AQ59" s="1028">
        <f t="shared" si="21"/>
        <v>8.6999999999999993</v>
      </c>
      <c r="AR59" s="1029" t="e">
        <f t="shared" si="26"/>
        <v>#N/A</v>
      </c>
      <c r="AS59" s="1029" t="e">
        <f t="shared" si="26"/>
        <v>#N/A</v>
      </c>
      <c r="AT59" s="1029">
        <f t="shared" si="26"/>
        <v>0.6428571428571429</v>
      </c>
      <c r="AU59" s="1029">
        <f t="shared" si="26"/>
        <v>0.74358974358974361</v>
      </c>
      <c r="AV59" s="1029">
        <f t="shared" si="26"/>
        <v>0.88157894736842102</v>
      </c>
      <c r="AW59" s="1029">
        <f t="shared" si="27"/>
        <v>0.8035714285714286</v>
      </c>
      <c r="AX59" s="1029">
        <f t="shared" si="27"/>
        <v>0.69090909090909092</v>
      </c>
      <c r="AY59" s="1029">
        <f t="shared" si="27"/>
        <v>0.6428571428571429</v>
      </c>
      <c r="AZ59" s="1029">
        <f t="shared" si="27"/>
        <v>0.70512820512820518</v>
      </c>
      <c r="BA59" s="1029" t="e">
        <f t="shared" si="27"/>
        <v>#N/A</v>
      </c>
      <c r="BB59" s="1029" t="e">
        <f t="shared" si="28"/>
        <v>#N/A</v>
      </c>
      <c r="BC59" s="1029" t="e">
        <f t="shared" si="28"/>
        <v>#N/A</v>
      </c>
      <c r="BD59" s="1029" t="e">
        <f t="shared" si="28"/>
        <v>#N/A</v>
      </c>
      <c r="BE59" s="1029">
        <f t="shared" si="28"/>
        <v>0.48717948717948717</v>
      </c>
      <c r="BF59" s="1029">
        <f t="shared" si="28"/>
        <v>0.46052631578947367</v>
      </c>
    </row>
    <row r="60" spans="1:58" ht="14.25" customHeight="1" x14ac:dyDescent="0.2">
      <c r="A60" s="120"/>
      <c r="B60" s="412"/>
      <c r="C60" s="412"/>
      <c r="D60" s="58"/>
      <c r="E60" s="58"/>
      <c r="F60" s="58"/>
      <c r="G60" s="58"/>
      <c r="H60" s="58"/>
      <c r="I60" s="58"/>
      <c r="J60" s="58"/>
      <c r="K60" s="13"/>
      <c r="L60" s="15"/>
      <c r="M60" s="15"/>
      <c r="N60" s="15"/>
      <c r="O60" s="15"/>
      <c r="P60" s="9"/>
      <c r="Q60" s="9"/>
      <c r="R60" s="9"/>
      <c r="S60" s="9"/>
      <c r="T60" s="9"/>
      <c r="U60" s="119"/>
      <c r="V60" s="138"/>
      <c r="W60" s="288"/>
      <c r="Y60" s="185"/>
      <c r="AI60" s="560" t="b">
        <v>1</v>
      </c>
      <c r="AJ60" s="156" t="s">
        <v>5</v>
      </c>
      <c r="AK60" s="89" t="str">
        <f t="shared" si="19"/>
        <v>West Sussex</v>
      </c>
      <c r="AL60" s="1027">
        <f t="shared" si="25"/>
        <v>137.76824034334763</v>
      </c>
      <c r="AM60" s="1027">
        <f t="shared" si="25"/>
        <v>129.78723404255319</v>
      </c>
      <c r="AN60" s="1027">
        <f t="shared" si="25"/>
        <v>138.96103896103895</v>
      </c>
      <c r="AO60" s="1027">
        <f t="shared" si="25"/>
        <v>152.63157894736841</v>
      </c>
      <c r="AP60" s="1027">
        <f t="shared" si="25"/>
        <v>161.33333333333331</v>
      </c>
      <c r="AQ60" s="1028">
        <f t="shared" si="21"/>
        <v>11</v>
      </c>
      <c r="AR60" s="1029" t="e">
        <f t="shared" si="26"/>
        <v>#N/A</v>
      </c>
      <c r="AS60" s="1029" t="e">
        <f t="shared" si="26"/>
        <v>#N/A</v>
      </c>
      <c r="AT60" s="1029">
        <f t="shared" si="26"/>
        <v>0.96261682242990654</v>
      </c>
      <c r="AU60" s="1029">
        <f t="shared" si="26"/>
        <v>0.92816091954022983</v>
      </c>
      <c r="AV60" s="1029">
        <f t="shared" si="26"/>
        <v>0.92011019283746553</v>
      </c>
      <c r="AW60" s="1029">
        <f t="shared" si="27"/>
        <v>0.80685358255451711</v>
      </c>
      <c r="AX60" s="1029">
        <f t="shared" si="27"/>
        <v>0.84918032786885245</v>
      </c>
      <c r="AY60" s="1029">
        <f t="shared" si="27"/>
        <v>0.90342679127725856</v>
      </c>
      <c r="AZ60" s="1029">
        <f t="shared" si="27"/>
        <v>0.91379310344827591</v>
      </c>
      <c r="BA60" s="1029">
        <f t="shared" si="27"/>
        <v>0.87603305785123964</v>
      </c>
      <c r="BB60" s="1029" t="e">
        <f t="shared" si="28"/>
        <v>#N/A</v>
      </c>
      <c r="BC60" s="1029" t="e">
        <f t="shared" si="28"/>
        <v>#N/A</v>
      </c>
      <c r="BD60" s="1029" t="e">
        <f t="shared" si="28"/>
        <v>#N/A</v>
      </c>
      <c r="BE60" s="1029">
        <f t="shared" si="28"/>
        <v>0.71551724137931039</v>
      </c>
      <c r="BF60" s="1029">
        <f t="shared" si="28"/>
        <v>0.6584022038567493</v>
      </c>
    </row>
    <row r="61" spans="1:58" s="83" customFormat="1" ht="14.25" customHeight="1" x14ac:dyDescent="0.2">
      <c r="A61" s="120"/>
      <c r="B61" s="412"/>
      <c r="C61" s="412"/>
      <c r="D61" s="58"/>
      <c r="E61" s="58"/>
      <c r="F61" s="58"/>
      <c r="G61" s="58"/>
      <c r="H61" s="58"/>
      <c r="I61" s="58"/>
      <c r="J61" s="58"/>
      <c r="K61" s="13"/>
      <c r="L61" s="15"/>
      <c r="M61" s="15"/>
      <c r="N61" s="15"/>
      <c r="O61" s="15"/>
      <c r="P61" s="9"/>
      <c r="Q61" s="9"/>
      <c r="R61" s="9"/>
      <c r="S61" s="9"/>
      <c r="T61" s="9"/>
      <c r="U61" s="119"/>
      <c r="V61" s="138"/>
      <c r="W61" s="288"/>
      <c r="Y61" s="185"/>
      <c r="AI61" s="560" t="b">
        <v>1</v>
      </c>
      <c r="AJ61" s="156" t="s">
        <v>30</v>
      </c>
      <c r="AK61" s="89" t="str">
        <f t="shared" si="19"/>
        <v>Windsor &amp; Maidenhead</v>
      </c>
      <c r="AL61" s="1027">
        <f t="shared" si="25"/>
        <v>153.125</v>
      </c>
      <c r="AM61" s="1027">
        <f t="shared" si="25"/>
        <v>135.48387096774192</v>
      </c>
      <c r="AN61" s="1027">
        <f t="shared" si="25"/>
        <v>145.16129032258064</v>
      </c>
      <c r="AO61" s="1027">
        <f t="shared" si="25"/>
        <v>154.83870967741936</v>
      </c>
      <c r="AP61" s="1027">
        <f t="shared" si="25"/>
        <v>175.00000000000003</v>
      </c>
      <c r="AQ61" s="1028">
        <f t="shared" si="21"/>
        <v>6.7</v>
      </c>
      <c r="AR61" s="1029" t="e">
        <f t="shared" si="26"/>
        <v>#N/A</v>
      </c>
      <c r="AS61" s="1029" t="e">
        <f t="shared" si="26"/>
        <v>#N/A</v>
      </c>
      <c r="AT61" s="1029">
        <f t="shared" si="26"/>
        <v>0.8666666666666667</v>
      </c>
      <c r="AU61" s="1029">
        <f t="shared" si="26"/>
        <v>0.83333333333333337</v>
      </c>
      <c r="AV61" s="1029">
        <f t="shared" si="26"/>
        <v>0.875</v>
      </c>
      <c r="AW61" s="1029">
        <f t="shared" si="27"/>
        <v>0.69387755102040816</v>
      </c>
      <c r="AX61" s="1029">
        <f t="shared" si="27"/>
        <v>0.69047619047619047</v>
      </c>
      <c r="AY61" s="1029">
        <f t="shared" si="27"/>
        <v>0.77777777777777779</v>
      </c>
      <c r="AZ61" s="1029">
        <f t="shared" si="27"/>
        <v>0.6875</v>
      </c>
      <c r="BA61" s="1029">
        <f t="shared" si="27"/>
        <v>0.875</v>
      </c>
      <c r="BB61" s="1029" t="e">
        <f t="shared" si="28"/>
        <v>#N/A</v>
      </c>
      <c r="BC61" s="1029" t="e">
        <f t="shared" si="28"/>
        <v>#N/A</v>
      </c>
      <c r="BD61" s="1029" t="e">
        <f t="shared" si="28"/>
        <v>#N/A</v>
      </c>
      <c r="BE61" s="1029">
        <f t="shared" si="28"/>
        <v>0.52083333333333337</v>
      </c>
      <c r="BF61" s="1029">
        <f t="shared" si="28"/>
        <v>0.5535714285714286</v>
      </c>
    </row>
    <row r="62" spans="1:58" s="83" customFormat="1" ht="14.25" customHeight="1" x14ac:dyDescent="0.2">
      <c r="A62" s="120"/>
      <c r="B62" s="412"/>
      <c r="C62" s="412"/>
      <c r="D62" s="58"/>
      <c r="E62" s="58"/>
      <c r="F62" s="58"/>
      <c r="G62" s="58"/>
      <c r="H62" s="58"/>
      <c r="I62" s="58"/>
      <c r="J62" s="58"/>
      <c r="K62" s="13"/>
      <c r="L62" s="15"/>
      <c r="M62" s="15"/>
      <c r="N62" s="15"/>
      <c r="O62" s="15"/>
      <c r="P62" s="9"/>
      <c r="Q62" s="9"/>
      <c r="R62" s="9"/>
      <c r="S62" s="9"/>
      <c r="T62" s="9"/>
      <c r="U62" s="119"/>
      <c r="V62" s="138"/>
      <c r="W62" s="288"/>
      <c r="Y62" s="185"/>
      <c r="AI62" s="560" t="b">
        <v>1</v>
      </c>
      <c r="AJ62" s="156" t="s">
        <v>16</v>
      </c>
      <c r="AK62" s="89" t="str">
        <f t="shared" si="19"/>
        <v>Wokingham</v>
      </c>
      <c r="AL62" s="1027">
        <f t="shared" si="25"/>
        <v>88.63636363636364</v>
      </c>
      <c r="AM62" s="1027">
        <f t="shared" si="25"/>
        <v>70.454545454545453</v>
      </c>
      <c r="AN62" s="1027">
        <f t="shared" si="25"/>
        <v>74.418604651162795</v>
      </c>
      <c r="AO62" s="1027">
        <f t="shared" si="25"/>
        <v>63.63636363636364</v>
      </c>
      <c r="AP62" s="1027">
        <f t="shared" si="25"/>
        <v>86.36363636363636</v>
      </c>
      <c r="AQ62" s="1028">
        <f t="shared" si="21"/>
        <v>5.6000000000000005</v>
      </c>
      <c r="AR62" s="1029" t="e">
        <f t="shared" si="26"/>
        <v>#N/A</v>
      </c>
      <c r="AS62" s="1029" t="e">
        <f t="shared" si="26"/>
        <v>#N/A</v>
      </c>
      <c r="AT62" s="1029" t="e">
        <f t="shared" si="26"/>
        <v>#N/A</v>
      </c>
      <c r="AU62" s="1029" t="e">
        <f t="shared" si="26"/>
        <v>#N/A</v>
      </c>
      <c r="AV62" s="1029">
        <f t="shared" si="26"/>
        <v>1</v>
      </c>
      <c r="AW62" s="1029">
        <f t="shared" si="27"/>
        <v>0.92307692307692313</v>
      </c>
      <c r="AX62" s="1029">
        <f t="shared" si="27"/>
        <v>0.77419354838709675</v>
      </c>
      <c r="AY62" s="1029">
        <f t="shared" si="27"/>
        <v>0.84375</v>
      </c>
      <c r="AZ62" s="1029" t="e">
        <f t="shared" si="27"/>
        <v>#N/A</v>
      </c>
      <c r="BA62" s="1029" t="e">
        <f t="shared" si="27"/>
        <v>#N/A</v>
      </c>
      <c r="BB62" s="1029" t="e">
        <f t="shared" si="28"/>
        <v>#N/A</v>
      </c>
      <c r="BC62" s="1029" t="e">
        <f t="shared" si="28"/>
        <v>#N/A</v>
      </c>
      <c r="BD62" s="1029" t="e">
        <f t="shared" si="28"/>
        <v>#N/A</v>
      </c>
      <c r="BE62" s="1029">
        <f t="shared" si="28"/>
        <v>0.6071428571428571</v>
      </c>
      <c r="BF62" s="1029">
        <f t="shared" si="28"/>
        <v>0.55263157894736847</v>
      </c>
    </row>
    <row r="63" spans="1:58" s="83" customFormat="1" ht="14.25" customHeight="1" x14ac:dyDescent="0.2">
      <c r="A63" s="120"/>
      <c r="B63" s="412"/>
      <c r="C63" s="412"/>
      <c r="D63" s="58"/>
      <c r="E63" s="58"/>
      <c r="F63" s="58"/>
      <c r="G63" s="58"/>
      <c r="H63" s="58"/>
      <c r="I63" s="58"/>
      <c r="J63" s="58"/>
      <c r="K63" s="13"/>
      <c r="L63" s="15"/>
      <c r="M63" s="15"/>
      <c r="N63" s="15"/>
      <c r="O63" s="15"/>
      <c r="P63" s="9"/>
      <c r="Q63" s="9"/>
      <c r="R63" s="9"/>
      <c r="S63" s="9"/>
      <c r="T63" s="9"/>
      <c r="U63" s="119"/>
      <c r="V63" s="138"/>
      <c r="W63" s="288"/>
      <c r="Y63" s="185"/>
      <c r="AI63" s="560" t="b">
        <v>1</v>
      </c>
      <c r="AJ63" s="156" t="s">
        <v>74</v>
      </c>
      <c r="AK63" s="89" t="str">
        <f t="shared" si="19"/>
        <v>South East</v>
      </c>
      <c r="AL63" s="1027">
        <f t="shared" si="25"/>
        <v>117.04119850187267</v>
      </c>
      <c r="AM63" s="1027">
        <f t="shared" si="25"/>
        <v>117.07773961910709</v>
      </c>
      <c r="AN63" s="1027">
        <f t="shared" si="25"/>
        <v>122.65331664580727</v>
      </c>
      <c r="AO63" s="1027">
        <f t="shared" si="25"/>
        <v>138.10420590081608</v>
      </c>
      <c r="AP63" s="1027">
        <f t="shared" si="25"/>
        <v>149.55919395465995</v>
      </c>
      <c r="AQ63" s="1028">
        <f t="shared" si="21"/>
        <v>12.371268250968637</v>
      </c>
      <c r="AR63" s="1029" t="e">
        <f t="shared" si="26"/>
        <v>#N/A</v>
      </c>
      <c r="AS63" s="1029" t="e">
        <f t="shared" si="26"/>
        <v>#N/A</v>
      </c>
      <c r="AT63" s="1029">
        <f t="shared" si="26"/>
        <v>0.84948979591836737</v>
      </c>
      <c r="AU63" s="1029">
        <f t="shared" si="26"/>
        <v>0.84090909090909094</v>
      </c>
      <c r="AV63" s="1029">
        <f t="shared" si="26"/>
        <v>0.86526315789473685</v>
      </c>
      <c r="AW63" s="1029">
        <f t="shared" si="27"/>
        <v>0.7573333333333333</v>
      </c>
      <c r="AX63" s="1029">
        <f t="shared" si="27"/>
        <v>0.7573333333333333</v>
      </c>
      <c r="AY63" s="1029">
        <f t="shared" si="27"/>
        <v>0.79081632653061229</v>
      </c>
      <c r="AZ63" s="1029">
        <f t="shared" si="27"/>
        <v>0.78863636363636369</v>
      </c>
      <c r="BA63" s="1029">
        <f t="shared" si="27"/>
        <v>0.79789473684210521</v>
      </c>
      <c r="BB63" s="1029" t="e">
        <f t="shared" si="28"/>
        <v>#N/A</v>
      </c>
      <c r="BC63" s="1029" t="e">
        <f t="shared" si="28"/>
        <v>#N/A</v>
      </c>
      <c r="BD63" s="1029" t="e">
        <f t="shared" si="28"/>
        <v>#N/A</v>
      </c>
      <c r="BE63" s="1029">
        <f t="shared" si="28"/>
        <v>0.52272727272727271</v>
      </c>
      <c r="BF63" s="1029">
        <f t="shared" si="28"/>
        <v>0.53894736842105262</v>
      </c>
    </row>
    <row r="64" spans="1:58" s="83" customFormat="1" ht="14.25" customHeight="1" x14ac:dyDescent="0.2">
      <c r="A64" s="120"/>
      <c r="B64" s="412"/>
      <c r="C64" s="412"/>
      <c r="D64" s="58"/>
      <c r="E64" s="58"/>
      <c r="F64" s="58"/>
      <c r="G64" s="58"/>
      <c r="H64" s="58"/>
      <c r="I64" s="58"/>
      <c r="J64" s="58"/>
      <c r="K64" s="13"/>
      <c r="L64" s="112"/>
      <c r="M64" s="1609" t="s">
        <v>72</v>
      </c>
      <c r="N64" s="1609"/>
      <c r="O64" s="1609"/>
      <c r="P64" s="963"/>
      <c r="Q64" s="1610" t="s">
        <v>101</v>
      </c>
      <c r="R64" s="1610"/>
      <c r="S64" s="1610"/>
      <c r="T64" s="1610"/>
      <c r="U64" s="119"/>
      <c r="V64" s="138"/>
      <c r="W64" s="288"/>
      <c r="Y64" s="185"/>
      <c r="AI64" s="560"/>
      <c r="AJ64" s="1193"/>
      <c r="AK64" s="76" t="str">
        <f>Z4</f>
        <v>Selected LA- (none)</v>
      </c>
      <c r="AL64" s="1030" t="e">
        <f>VLOOKUP($Y4,$B$10:$P$32,AL$37,FALSE)</f>
        <v>#N/A</v>
      </c>
      <c r="AM64" s="1030" t="e">
        <f>VLOOKUP($Y4,$B$10:$P$32,AM$37,FALSE)</f>
        <v>#N/A</v>
      </c>
      <c r="AN64" s="1030" t="e">
        <f>VLOOKUP($Y4,$B$10:$P$32,AN$37,FALSE)</f>
        <v>#N/A</v>
      </c>
      <c r="AO64" s="1030" t="e">
        <f>VLOOKUP($Y4,$B$10:$P$32,AO$37,FALSE)</f>
        <v>#N/A</v>
      </c>
      <c r="AP64" s="1030" t="e">
        <f>VLOOKUP($Y4,$B$10:$P$32,AP$37,FALSE)</f>
        <v>#N/A</v>
      </c>
      <c r="AQ64" s="1028" t="e">
        <f>VLOOKUP(Y4,$B$10:$T$32,AQ$37,FALSE)</f>
        <v>#N/A</v>
      </c>
      <c r="AR64" s="1031" t="e">
        <f>VLOOKUP($Y$4,$B$77:$H$99,AR$37,FALSE)</f>
        <v>#N/A</v>
      </c>
      <c r="AS64" s="1031" t="e">
        <f>VLOOKUP($Y$4,$B$77:$H$99,AS$37,FALSE)</f>
        <v>#N/A</v>
      </c>
      <c r="AT64" s="1031" t="e">
        <f>VLOOKUP($Y$4,$B$77:$H$99,AT$37,FALSE)</f>
        <v>#N/A</v>
      </c>
      <c r="AU64" s="1031" t="e">
        <f>VLOOKUP($Y$4,$B$77:$H$99,AU$37,FALSE)</f>
        <v>#N/A</v>
      </c>
      <c r="AV64" s="1031" t="e">
        <f>VLOOKUP($Y$4,$B$77:$H$99,AV$37,FALSE)</f>
        <v>#N/A</v>
      </c>
      <c r="AW64" s="1031" t="e">
        <f>VLOOKUP($Y$4,$B$113:$H$135,AW$37,FALSE)</f>
        <v>#N/A</v>
      </c>
      <c r="AX64" s="1031" t="e">
        <f>VLOOKUP($Y$4,$B$113:$H$135,AX$37,FALSE)</f>
        <v>#N/A</v>
      </c>
      <c r="AY64" s="1031" t="e">
        <f>VLOOKUP($Y$4,$B$113:$H$135,AY$37,FALSE)</f>
        <v>#N/A</v>
      </c>
      <c r="AZ64" s="1031" t="e">
        <f>VLOOKUP($Y$4,$B$113:$H$135,AZ$37,FALSE)</f>
        <v>#N/A</v>
      </c>
      <c r="BA64" s="1031" t="e">
        <f>VLOOKUP($Y$4,$B$113:$H$135,BA$37,FALSE)</f>
        <v>#N/A</v>
      </c>
      <c r="BB64" s="1031" t="e">
        <f>VLOOKUP($Y$4,$B$149:$H$171,BB$37,FALSE)</f>
        <v>#N/A</v>
      </c>
      <c r="BC64" s="1031" t="e">
        <f>VLOOKUP($Y$4,$B$149:$H$171,BC$37,FALSE)</f>
        <v>#N/A</v>
      </c>
      <c r="BD64" s="1031" t="e">
        <f>VLOOKUP($Y$4,$B$149:$H$171,BD$37,FALSE)</f>
        <v>#N/A</v>
      </c>
      <c r="BE64" s="1031" t="e">
        <f>VLOOKUP($Y$4,$B$149:$H$171,BE$37,FALSE)</f>
        <v>#N/A</v>
      </c>
      <c r="BF64" s="1031" t="e">
        <f>VLOOKUP($Y$4,$B$149:$H$171,BF$37,FALSE)</f>
        <v>#N/A</v>
      </c>
    </row>
    <row r="65" spans="1:36" s="83" customFormat="1" ht="14.25" customHeight="1" x14ac:dyDescent="0.2">
      <c r="A65" s="120"/>
      <c r="B65" s="412"/>
      <c r="C65" s="412"/>
      <c r="D65" s="58"/>
      <c r="E65" s="58"/>
      <c r="F65" s="58"/>
      <c r="G65" s="58"/>
      <c r="H65" s="58"/>
      <c r="I65" s="58"/>
      <c r="J65" s="58"/>
      <c r="K65" s="13"/>
      <c r="L65" s="113"/>
      <c r="M65" s="1610" t="str">
        <f>Z4</f>
        <v>Selected LA- (none)</v>
      </c>
      <c r="N65" s="1610"/>
      <c r="O65" s="1610"/>
      <c r="P65" s="1610"/>
      <c r="Q65" s="1610"/>
      <c r="R65" s="1610"/>
      <c r="S65" s="1610"/>
      <c r="T65" s="1610"/>
      <c r="U65" s="119"/>
      <c r="V65" s="138"/>
      <c r="W65" s="147"/>
      <c r="Y65" s="185"/>
      <c r="AJ65" s="300"/>
    </row>
    <row r="66" spans="1:36" s="83" customFormat="1" ht="41.25" customHeight="1" x14ac:dyDescent="0.2">
      <c r="A66" s="120"/>
      <c r="B66" s="412"/>
      <c r="C66" s="412"/>
      <c r="D66" s="58"/>
      <c r="E66" s="58"/>
      <c r="F66" s="58"/>
      <c r="G66" s="58"/>
      <c r="H66" s="58"/>
      <c r="I66" s="58"/>
      <c r="J66" s="58"/>
      <c r="K66" s="13"/>
      <c r="L66" s="9"/>
      <c r="M66" s="9"/>
      <c r="N66" s="9"/>
      <c r="O66" s="9"/>
      <c r="P66" s="9"/>
      <c r="Q66" s="9"/>
      <c r="R66" s="9"/>
      <c r="S66" s="9"/>
      <c r="T66" s="9"/>
      <c r="U66" s="119"/>
      <c r="V66" s="138"/>
      <c r="W66" s="147"/>
      <c r="Y66" s="185"/>
      <c r="AJ66" s="157"/>
    </row>
    <row r="67" spans="1:36" s="89" customFormat="1" ht="42.75" customHeight="1" x14ac:dyDescent="0.2">
      <c r="A67" s="123"/>
      <c r="B67" s="111"/>
      <c r="C67" s="111"/>
      <c r="D67" s="111"/>
      <c r="E67" s="111"/>
      <c r="F67" s="111"/>
      <c r="G67" s="111"/>
      <c r="H67" s="111"/>
      <c r="I67" s="111"/>
      <c r="J67" s="111"/>
      <c r="K67" s="98"/>
      <c r="L67" s="87"/>
      <c r="M67" s="87"/>
      <c r="N67" s="87"/>
      <c r="O67" s="87"/>
      <c r="P67" s="87"/>
      <c r="Q67" s="87"/>
      <c r="R67" s="87"/>
      <c r="S67" s="87"/>
      <c r="T67" s="87"/>
      <c r="U67" s="124"/>
      <c r="V67" s="140"/>
      <c r="W67" s="149"/>
      <c r="X67" s="83"/>
      <c r="Y67" s="185"/>
      <c r="Z67" s="83"/>
      <c r="AA67" s="83"/>
      <c r="AB67" s="83"/>
      <c r="AC67" s="83"/>
      <c r="AD67" s="185"/>
      <c r="AE67" s="185"/>
      <c r="AF67" s="185"/>
      <c r="AG67" s="185"/>
      <c r="AH67" s="185"/>
      <c r="AI67" s="199"/>
      <c r="AJ67" s="156"/>
    </row>
    <row r="68" spans="1:36" s="89" customFormat="1" ht="42" customHeight="1" x14ac:dyDescent="0.2">
      <c r="A68" s="123"/>
      <c r="B68" s="111"/>
      <c r="C68" s="111"/>
      <c r="D68" s="111"/>
      <c r="E68" s="111"/>
      <c r="F68" s="111"/>
      <c r="G68" s="111"/>
      <c r="H68" s="111"/>
      <c r="I68" s="111"/>
      <c r="J68" s="111"/>
      <c r="K68" s="98"/>
      <c r="L68" s="87"/>
      <c r="M68" s="87"/>
      <c r="N68" s="87"/>
      <c r="O68" s="87"/>
      <c r="P68" s="87"/>
      <c r="Q68" s="87"/>
      <c r="R68" s="87"/>
      <c r="S68" s="87"/>
      <c r="T68" s="87"/>
      <c r="U68" s="124"/>
      <c r="V68" s="140"/>
      <c r="W68" s="149"/>
      <c r="X68" s="83"/>
      <c r="Y68" s="185"/>
      <c r="Z68" s="83"/>
      <c r="AA68" s="83"/>
      <c r="AB68" s="83"/>
      <c r="AC68" s="83"/>
      <c r="AD68" s="185"/>
      <c r="AE68" s="185"/>
      <c r="AF68" s="185"/>
      <c r="AG68" s="185"/>
      <c r="AH68" s="185"/>
      <c r="AI68" s="199"/>
      <c r="AJ68" s="156"/>
    </row>
    <row r="69" spans="1:36" ht="7.5" customHeight="1" x14ac:dyDescent="0.2">
      <c r="A69" s="120"/>
      <c r="B69" s="18"/>
      <c r="C69" s="18"/>
      <c r="D69" s="17"/>
      <c r="E69" s="17"/>
      <c r="F69" s="17"/>
      <c r="G69" s="17"/>
      <c r="H69" s="17"/>
      <c r="I69" s="17"/>
      <c r="J69" s="17"/>
      <c r="K69" s="13"/>
      <c r="L69" s="19"/>
      <c r="M69" s="19"/>
      <c r="N69" s="19"/>
      <c r="O69" s="19"/>
      <c r="P69" s="19"/>
      <c r="Q69" s="19"/>
      <c r="R69" s="19"/>
      <c r="S69" s="19"/>
      <c r="T69" s="19"/>
      <c r="U69" s="119"/>
      <c r="V69" s="138"/>
      <c r="W69" s="147"/>
      <c r="Y69" s="185"/>
      <c r="AI69" s="179"/>
      <c r="AJ69" s="153"/>
    </row>
    <row r="70" spans="1:36" ht="15" customHeight="1" x14ac:dyDescent="0.2">
      <c r="A70" s="1399"/>
      <c r="B70" s="1421"/>
      <c r="C70" s="1421"/>
      <c r="D70" s="1421"/>
      <c r="E70" s="1421"/>
      <c r="F70" s="1421"/>
      <c r="G70" s="1421"/>
      <c r="H70" s="1421"/>
      <c r="I70" s="1421"/>
      <c r="J70" s="1421"/>
      <c r="K70" s="1421"/>
      <c r="L70" s="1421"/>
      <c r="M70" s="1421"/>
      <c r="N70" s="1421"/>
      <c r="O70" s="1421"/>
      <c r="P70" s="1421"/>
      <c r="Q70" s="1421"/>
      <c r="R70" s="1421"/>
      <c r="S70" s="1421"/>
      <c r="T70" s="1421"/>
      <c r="U70" s="1422"/>
      <c r="V70" s="138"/>
      <c r="W70" s="147"/>
      <c r="Y70" s="185"/>
      <c r="AI70" s="179"/>
      <c r="AJ70" s="153"/>
    </row>
    <row r="71" spans="1:36" ht="11.25" customHeight="1" x14ac:dyDescent="0.2">
      <c r="A71" s="1428" t="str">
        <f>Home!$A$40</f>
        <v>LA's provide quarterly data on the condition that it is used by the benchmarking group for internal reporting only. Please DO NOT share other LA's data with any external partners or the public</v>
      </c>
      <c r="B71" s="1429"/>
      <c r="C71" s="1429"/>
      <c r="D71" s="1429"/>
      <c r="E71" s="1429"/>
      <c r="F71" s="1429"/>
      <c r="G71" s="1429"/>
      <c r="H71" s="1429"/>
      <c r="I71" s="1431"/>
      <c r="J71" s="1430"/>
      <c r="K71" s="1429"/>
      <c r="L71" s="1429"/>
      <c r="M71" s="1429"/>
      <c r="N71" s="1429"/>
      <c r="O71" s="1429"/>
      <c r="P71" s="1429"/>
      <c r="Q71" s="1431"/>
      <c r="R71" s="1429"/>
      <c r="S71" s="1429"/>
      <c r="T71" s="1429"/>
      <c r="U71" s="1432"/>
      <c r="V71" s="138"/>
      <c r="W71" s="147"/>
      <c r="Y71" s="185"/>
      <c r="AI71" s="179"/>
      <c r="AJ71" s="153"/>
    </row>
    <row r="72" spans="1:36" ht="11.25" customHeight="1" x14ac:dyDescent="0.2">
      <c r="A72" s="423"/>
      <c r="B72" s="214"/>
      <c r="C72" s="214"/>
      <c r="D72" s="214"/>
      <c r="E72" s="214"/>
      <c r="F72" s="214"/>
      <c r="G72" s="214"/>
      <c r="H72" s="214"/>
      <c r="I72" s="214"/>
      <c r="J72" s="214"/>
      <c r="K72" s="215"/>
      <c r="L72" s="214"/>
      <c r="M72" s="214"/>
      <c r="N72" s="214"/>
      <c r="O72" s="214"/>
      <c r="P72" s="214"/>
      <c r="Q72" s="214"/>
      <c r="R72" s="214"/>
      <c r="S72" s="214"/>
      <c r="T72" s="214"/>
      <c r="U72" s="216"/>
      <c r="V72" s="990"/>
      <c r="W72" s="147"/>
      <c r="Y72" s="185"/>
      <c r="AI72" s="179"/>
      <c r="AJ72" s="153"/>
    </row>
    <row r="73" spans="1:36" s="78" customFormat="1" ht="15" customHeight="1" x14ac:dyDescent="0.2">
      <c r="A73" s="121"/>
      <c r="B73" s="1442" t="s">
        <v>682</v>
      </c>
      <c r="C73" s="1442"/>
      <c r="D73" s="1442"/>
      <c r="E73" s="1442"/>
      <c r="F73" s="1442"/>
      <c r="G73" s="1442"/>
      <c r="H73" s="1442"/>
      <c r="I73" s="1442"/>
      <c r="J73" s="220"/>
      <c r="K73" s="69"/>
      <c r="L73" s="69"/>
      <c r="M73" s="69"/>
      <c r="N73" s="69"/>
      <c r="O73" s="771"/>
      <c r="P73" s="69"/>
      <c r="Q73" s="69"/>
      <c r="R73" s="69"/>
      <c r="S73" s="69"/>
      <c r="T73" s="69"/>
      <c r="U73" s="122"/>
      <c r="V73" s="139"/>
      <c r="W73" s="148"/>
      <c r="X73" s="577" t="s">
        <v>766</v>
      </c>
      <c r="Y73" s="577"/>
      <c r="Z73" s="577"/>
      <c r="AA73" s="577"/>
      <c r="AB73" s="577"/>
      <c r="AC73" s="577"/>
      <c r="AD73" s="565"/>
      <c r="AE73" s="578"/>
      <c r="AF73" s="579"/>
      <c r="AG73" s="565"/>
      <c r="AH73" s="376"/>
      <c r="AI73" s="565"/>
      <c r="AJ73" s="154"/>
    </row>
    <row r="74" spans="1:36" ht="20.25" customHeight="1" x14ac:dyDescent="0.2">
      <c r="A74" s="120"/>
      <c r="B74" s="1442"/>
      <c r="C74" s="1442"/>
      <c r="D74" s="1442"/>
      <c r="E74" s="1442"/>
      <c r="F74" s="1442"/>
      <c r="G74" s="1442"/>
      <c r="H74" s="1442"/>
      <c r="I74" s="1442"/>
      <c r="J74" s="220"/>
      <c r="K74" s="69"/>
      <c r="L74" s="69"/>
      <c r="M74" s="69"/>
      <c r="N74" s="69"/>
      <c r="O74" s="771"/>
      <c r="P74" s="69"/>
      <c r="Q74" s="69"/>
      <c r="R74" s="69"/>
      <c r="S74" s="10"/>
      <c r="T74" s="69"/>
      <c r="U74" s="119"/>
      <c r="V74" s="138"/>
      <c r="W74" s="147"/>
      <c r="X74" s="376"/>
      <c r="Y74" s="375"/>
      <c r="Z74" s="376"/>
      <c r="AA74" s="376"/>
      <c r="AB74" s="376"/>
      <c r="AC74" s="565"/>
      <c r="AD74" s="376"/>
      <c r="AE74" s="375"/>
      <c r="AF74" s="376"/>
      <c r="AG74" s="376"/>
      <c r="AH74" s="376"/>
      <c r="AI74" s="565"/>
      <c r="AJ74" s="153"/>
    </row>
    <row r="75" spans="1:36" s="89" customFormat="1" ht="13.5" customHeight="1" x14ac:dyDescent="0.2">
      <c r="A75" s="123"/>
      <c r="B75" s="1419" t="s">
        <v>190</v>
      </c>
      <c r="C75" s="959"/>
      <c r="D75" s="755" t="str">
        <f>Sheet1!$D$25</f>
        <v>2014-15</v>
      </c>
      <c r="E75" s="756" t="str">
        <f>Sheet1!$E$25</f>
        <v>2015-16</v>
      </c>
      <c r="F75" s="756" t="str">
        <f>Sheet1!$F$25</f>
        <v>2016-17</v>
      </c>
      <c r="G75" s="756" t="str">
        <f>Sheet1!$G$25</f>
        <v>2017-18</v>
      </c>
      <c r="H75" s="757" t="str">
        <f>Sheet1!$H$25</f>
        <v>2018-19</v>
      </c>
      <c r="I75" s="61"/>
      <c r="J75" s="98"/>
      <c r="K75" s="98"/>
      <c r="L75" s="61"/>
      <c r="M75" s="61"/>
      <c r="N75" s="61"/>
      <c r="O75" s="61"/>
      <c r="P75" s="61"/>
      <c r="Q75" s="61"/>
      <c r="R75" s="774"/>
      <c r="S75" s="774"/>
      <c r="T75" s="155"/>
      <c r="U75" s="124"/>
      <c r="V75" s="140"/>
      <c r="W75" s="149"/>
      <c r="X75" s="552"/>
      <c r="Y75" s="556" t="str">
        <f>IF(Sheet1!$C$3="Annual","",Sheet1!$D$26)</f>
        <v/>
      </c>
      <c r="Z75" s="463" t="str">
        <f>IF(Sheet1!$C$3="Annual","",Sheet1!$E$26)</f>
        <v/>
      </c>
      <c r="AA75" s="463" t="str">
        <f>IF(Sheet1!$C$3="Annual","",Sheet1!$F$26)</f>
        <v/>
      </c>
      <c r="AB75" s="463" t="str">
        <f>IF(Sheet1!$C$3="Annual","",Sheet1!$G$26)</f>
        <v/>
      </c>
      <c r="AC75" s="463" t="str">
        <f>IF(Sheet1!$C$3="Annual","",Sheet1!$H$26)</f>
        <v/>
      </c>
      <c r="AD75" s="582"/>
      <c r="AE75" s="987"/>
      <c r="AF75" s="987"/>
      <c r="AG75" s="987"/>
      <c r="AH75" s="987"/>
      <c r="AI75" s="987"/>
      <c r="AJ75" s="156"/>
    </row>
    <row r="76" spans="1:36" s="89" customFormat="1" ht="13.5" customHeight="1" x14ac:dyDescent="0.2">
      <c r="A76" s="286"/>
      <c r="B76" s="1420"/>
      <c r="C76" s="87"/>
      <c r="D76" s="758" t="e">
        <f>Sheet1!$D$26</f>
        <v>#N/A</v>
      </c>
      <c r="E76" s="758" t="e">
        <f>Sheet1!$E$26</f>
        <v>#N/A</v>
      </c>
      <c r="F76" s="758" t="e">
        <f>Sheet1!$F$26</f>
        <v>#N/A</v>
      </c>
      <c r="G76" s="758" t="e">
        <f>Sheet1!$G$26</f>
        <v>#N/A</v>
      </c>
      <c r="H76" s="759" t="e">
        <f>Sheet1!$H$26</f>
        <v>#N/A</v>
      </c>
      <c r="I76" s="61"/>
      <c r="J76" s="98"/>
      <c r="K76" s="98"/>
      <c r="L76" s="61"/>
      <c r="M76" s="61"/>
      <c r="N76" s="61"/>
      <c r="O76" s="61"/>
      <c r="P76" s="61"/>
      <c r="Q76" s="61"/>
      <c r="R76" s="961"/>
      <c r="S76" s="961"/>
      <c r="T76" s="155"/>
      <c r="U76" s="124"/>
      <c r="V76" s="140"/>
      <c r="W76" s="149"/>
      <c r="X76" s="552"/>
      <c r="Y76" s="556" t="str">
        <f>Sheet1!$D$25</f>
        <v>2014-15</v>
      </c>
      <c r="Z76" s="463" t="str">
        <f>Sheet1!$E$25</f>
        <v>2015-16</v>
      </c>
      <c r="AA76" s="463" t="str">
        <f>Sheet1!$F$25</f>
        <v>2016-17</v>
      </c>
      <c r="AB76" s="463" t="str">
        <f>Sheet1!$G$25</f>
        <v>2017-18</v>
      </c>
      <c r="AC76" s="463" t="str">
        <f>Sheet1!$H$25</f>
        <v>2018-19</v>
      </c>
      <c r="AD76" s="582"/>
      <c r="AE76" s="987"/>
      <c r="AF76" s="987"/>
      <c r="AG76" s="987"/>
      <c r="AH76" s="987"/>
      <c r="AI76" s="987"/>
      <c r="AJ76" s="156"/>
    </row>
    <row r="77" spans="1:36" s="89" customFormat="1" ht="12.75" customHeight="1" x14ac:dyDescent="0.2">
      <c r="A77" s="462">
        <f>VLOOKUP(B77,Sheet1!$AQ$4:$AR$25,2,FALSE)</f>
        <v>0</v>
      </c>
      <c r="B77" s="95" t="str">
        <f t="shared" ref="B77:B100" si="29">B10</f>
        <v>Bracknell Forest</v>
      </c>
      <c r="C77" s="87"/>
      <c r="D77" s="158" t="e">
        <f t="shared" ref="D77:D100" si="30">IF(AND(ISNUMBER(D10),ISNUMBER(Y77)),Y77/D10,NA())</f>
        <v>#N/A</v>
      </c>
      <c r="E77" s="158" t="e">
        <f t="shared" ref="E77:H77" si="31">IF(AND(ISNUMBER(E10),ISNUMBER(Z77)),Z77/E10,NA())</f>
        <v>#N/A</v>
      </c>
      <c r="F77" s="158">
        <f t="shared" si="31"/>
        <v>1</v>
      </c>
      <c r="G77" s="158">
        <f t="shared" si="31"/>
        <v>1</v>
      </c>
      <c r="H77" s="160">
        <f t="shared" si="31"/>
        <v>0.53191489361702127</v>
      </c>
      <c r="I77" s="425"/>
      <c r="J77" s="98"/>
      <c r="K77" s="98"/>
      <c r="L77" s="162"/>
      <c r="M77" s="162"/>
      <c r="N77" s="162"/>
      <c r="O77" s="162"/>
      <c r="P77" s="162"/>
      <c r="Q77" s="162"/>
      <c r="R77" s="162"/>
      <c r="S77" s="163"/>
      <c r="T77" s="155"/>
      <c r="U77" s="124"/>
      <c r="V77" s="140"/>
      <c r="W77" s="149"/>
      <c r="X77" s="552" t="str">
        <f t="shared" ref="X77:X100" si="32">B77</f>
        <v>Bracknell Forest</v>
      </c>
      <c r="Y77" s="556" t="str">
        <f>IF(Year1_Bracknell_Forest Year1_Care_Leavers_in_touch="","",Year1_Bracknell_Forest Year1_Care_Leavers_in_touch)</f>
        <v/>
      </c>
      <c r="Z77" s="365" t="str">
        <f>IF(Year2_Bracknell_Forest Year2_Care_Leavers_in_touch="","",Year2_Bracknell_Forest Year2_Care_Leavers_in_touch)</f>
        <v/>
      </c>
      <c r="AA77" s="365">
        <f>IF(Year3_Bracknell_Forest Year3_Care_Leavers_in_touch="","",Year3_Bracknell_Forest Year3_Care_Leavers_in_touch)</f>
        <v>32</v>
      </c>
      <c r="AB77" s="365">
        <f>IF(Year4_Bracknell_Forest Year4_Care_Leavers_in_touch="","",Year4_Bracknell_Forest Year4_Care_Leavers_in_touch)</f>
        <v>42</v>
      </c>
      <c r="AC77" s="365">
        <f>IF(Year5_Bracknell_Forest Year5_Care_Leavers_in_touch="","",Year5_Bracknell_Forest Year5_Care_Leavers_in_touch)</f>
        <v>25</v>
      </c>
      <c r="AD77" s="582"/>
      <c r="AE77" s="987"/>
      <c r="AF77" s="582"/>
      <c r="AG77" s="582"/>
      <c r="AH77" s="582"/>
      <c r="AI77" s="582"/>
      <c r="AJ77" s="156"/>
    </row>
    <row r="78" spans="1:36" s="89" customFormat="1" ht="12.75" customHeight="1" x14ac:dyDescent="0.2">
      <c r="A78" s="462">
        <f>VLOOKUP(B78,Sheet1!$AQ$4:$AR$25,2,FALSE)</f>
        <v>0</v>
      </c>
      <c r="B78" s="95" t="str">
        <f t="shared" si="29"/>
        <v>Brighton &amp; Hove</v>
      </c>
      <c r="C78" s="87"/>
      <c r="D78" s="158" t="e">
        <f t="shared" si="30"/>
        <v>#N/A</v>
      </c>
      <c r="E78" s="158" t="e">
        <f t="shared" ref="E78:E100" si="33">IF(AND(ISNUMBER(E11),ISNUMBER(Z78)),Z78/E11,NA())</f>
        <v>#N/A</v>
      </c>
      <c r="F78" s="158" t="e">
        <f t="shared" ref="F78:F100" si="34">IF(AND(ISNUMBER(F11),ISNUMBER(AA78)),AA78/F11,NA())</f>
        <v>#N/A</v>
      </c>
      <c r="G78" s="158" t="e">
        <f t="shared" ref="G78:G100" si="35">IF(AND(ISNUMBER(G11),ISNUMBER(AB78)),AB78/G11,NA())</f>
        <v>#N/A</v>
      </c>
      <c r="H78" s="160">
        <f t="shared" ref="H78:H100" si="36">IF(AND(ISNUMBER(H11),ISNUMBER(AC78)),AC78/H11,NA())</f>
        <v>0.9634703196347032</v>
      </c>
      <c r="I78" s="425"/>
      <c r="J78" s="98"/>
      <c r="K78" s="98"/>
      <c r="L78" s="162"/>
      <c r="M78" s="162"/>
      <c r="N78" s="162"/>
      <c r="O78" s="162"/>
      <c r="P78" s="162"/>
      <c r="Q78" s="162"/>
      <c r="R78" s="162"/>
      <c r="S78" s="163"/>
      <c r="T78" s="155"/>
      <c r="U78" s="124"/>
      <c r="V78" s="140"/>
      <c r="W78" s="149"/>
      <c r="X78" s="552" t="str">
        <f t="shared" si="32"/>
        <v>Brighton &amp; Hove</v>
      </c>
      <c r="Y78" s="556" t="str">
        <f>IF(Year1_Brighton_Hove Year1_Care_Leavers_in_touch="","",Year1_Brighton_Hove Year1_Care_Leavers_in_touch)</f>
        <v/>
      </c>
      <c r="Z78" s="365" t="str">
        <f>IF(Year2_Brighton_Hove Year2_Care_Leavers_in_touch="","",Year2_Brighton_Hove Year2_Care_Leavers_in_touch)</f>
        <v/>
      </c>
      <c r="AA78" s="365" t="str">
        <f>IF(Year3_Brighton_Hove Year3_Care_Leavers_in_touch="","",Year3_Brighton_Hove Year3_Care_Leavers_in_touch)</f>
        <v>x</v>
      </c>
      <c r="AB78" s="365" t="str">
        <f>IF(Year4_Brighton_Hove Year4_Care_Leavers_in_touch="","",Year4_Brighton_Hove Year4_Care_Leavers_in_touch)</f>
        <v>x</v>
      </c>
      <c r="AC78" s="365">
        <f>IF(Year5_Brighton_Hove Year5_Care_Leavers_in_touch="","",Year5_Brighton_Hove Year5_Care_Leavers_in_touch)</f>
        <v>211</v>
      </c>
      <c r="AD78" s="582"/>
      <c r="AE78" s="987"/>
      <c r="AF78" s="582"/>
      <c r="AG78" s="582"/>
      <c r="AH78" s="582"/>
      <c r="AI78" s="582"/>
      <c r="AJ78" s="156"/>
    </row>
    <row r="79" spans="1:36" s="89" customFormat="1" ht="12.75" customHeight="1" x14ac:dyDescent="0.2">
      <c r="A79" s="462">
        <f>VLOOKUP(B79,Sheet1!$AQ$4:$AR$25,2,FALSE)</f>
        <v>0</v>
      </c>
      <c r="B79" s="95" t="str">
        <f t="shared" si="29"/>
        <v>Buckinghamshire</v>
      </c>
      <c r="C79" s="87"/>
      <c r="D79" s="158" t="e">
        <f t="shared" si="30"/>
        <v>#N/A</v>
      </c>
      <c r="E79" s="158" t="e">
        <f t="shared" si="33"/>
        <v>#N/A</v>
      </c>
      <c r="F79" s="158">
        <f t="shared" si="34"/>
        <v>0.73529411764705888</v>
      </c>
      <c r="G79" s="158">
        <f t="shared" si="35"/>
        <v>0.78894472361809043</v>
      </c>
      <c r="H79" s="160">
        <f t="shared" si="36"/>
        <v>0.956989247311828</v>
      </c>
      <c r="I79" s="425"/>
      <c r="J79" s="98"/>
      <c r="K79" s="98"/>
      <c r="L79" s="162"/>
      <c r="M79" s="162"/>
      <c r="N79" s="162"/>
      <c r="O79" s="162"/>
      <c r="P79" s="162"/>
      <c r="Q79" s="162"/>
      <c r="R79" s="162"/>
      <c r="S79" s="163"/>
      <c r="T79" s="155"/>
      <c r="U79" s="124"/>
      <c r="V79" s="140"/>
      <c r="W79" s="149"/>
      <c r="X79" s="552" t="str">
        <f t="shared" si="32"/>
        <v>Buckinghamshire</v>
      </c>
      <c r="Y79" s="556" t="str">
        <f>IF(Year1_Buckinghamshire Year1_Care_Leavers_in_touch="","",Year1_Buckinghamshire Year1_Care_Leavers_in_touch)</f>
        <v/>
      </c>
      <c r="Z79" s="365" t="str">
        <f>IF(Year2_Buckinghamshire Year2_Care_Leavers_in_touch="","",Year2_Buckinghamshire Year2_Care_Leavers_in_touch)</f>
        <v/>
      </c>
      <c r="AA79" s="365">
        <f>IF(Year3_Buckinghamshire Year3_Care_Leavers_in_touch="","",Year3_Buckinghamshire Year3_Care_Leavers_in_touch)</f>
        <v>125</v>
      </c>
      <c r="AB79" s="365">
        <f>IF(Year4_Buckinghamshire Year4_Care_Leavers_in_touch="","",Year4_Buckinghamshire Year4_Care_Leavers_in_touch)</f>
        <v>157</v>
      </c>
      <c r="AC79" s="365">
        <f>IF(Year5_Buckinghamshire Year5_Care_Leavers_in_touch="","",Year5_Buckinghamshire Year5_Care_Leavers_in_touch)</f>
        <v>178</v>
      </c>
      <c r="AD79" s="582"/>
      <c r="AE79" s="987"/>
      <c r="AF79" s="582"/>
      <c r="AG79" s="582"/>
      <c r="AH79" s="582"/>
      <c r="AI79" s="582"/>
      <c r="AJ79" s="156"/>
    </row>
    <row r="80" spans="1:36" s="89" customFormat="1" ht="12.75" customHeight="1" x14ac:dyDescent="0.2">
      <c r="A80" s="462">
        <f>VLOOKUP(B80,Sheet1!$AQ$4:$AR$25,2,FALSE)</f>
        <v>0</v>
      </c>
      <c r="B80" s="95" t="str">
        <f t="shared" si="29"/>
        <v>East Sussex</v>
      </c>
      <c r="C80" s="87"/>
      <c r="D80" s="158" t="e">
        <f t="shared" si="30"/>
        <v>#N/A</v>
      </c>
      <c r="E80" s="158" t="e">
        <f t="shared" si="33"/>
        <v>#N/A</v>
      </c>
      <c r="F80" s="158">
        <f t="shared" si="34"/>
        <v>0.8523489932885906</v>
      </c>
      <c r="G80" s="158">
        <f t="shared" si="35"/>
        <v>0.79220779220779225</v>
      </c>
      <c r="H80" s="160">
        <f t="shared" si="36"/>
        <v>0.85029940119760483</v>
      </c>
      <c r="I80" s="425"/>
      <c r="J80" s="98"/>
      <c r="K80" s="98"/>
      <c r="L80" s="162"/>
      <c r="M80" s="162"/>
      <c r="N80" s="162"/>
      <c r="O80" s="162"/>
      <c r="P80" s="162"/>
      <c r="Q80" s="162"/>
      <c r="R80" s="162"/>
      <c r="S80" s="163"/>
      <c r="T80" s="155"/>
      <c r="U80" s="124"/>
      <c r="V80" s="140"/>
      <c r="W80" s="149"/>
      <c r="X80" s="552" t="str">
        <f t="shared" si="32"/>
        <v>East Sussex</v>
      </c>
      <c r="Y80" s="556" t="str">
        <f>IF(Year1_East_Sussex Year1_Care_Leavers_in_touch="","",Year1_East_Sussex Year1_Care_Leavers_in_touch)</f>
        <v/>
      </c>
      <c r="Z80" s="365" t="str">
        <f>IF(Year2_East_Sussex Year2_Care_Leavers_in_touch="","",Year2_East_Sussex Year2_Care_Leavers_in_touch)</f>
        <v/>
      </c>
      <c r="AA80" s="365">
        <f>IF(Year3_East_Sussex Year3_Care_Leavers_in_touch="","",Year3_East_Sussex Year3_Care_Leavers_in_touch)</f>
        <v>127</v>
      </c>
      <c r="AB80" s="365">
        <f>IF(Year4_East_Sussex Year4_Care_Leavers_in_touch="","",Year4_East_Sussex Year4_Care_Leavers_in_touch)</f>
        <v>122</v>
      </c>
      <c r="AC80" s="365">
        <f>IF(Year5_East_Sussex Year5_Care_Leavers_in_touch="","",Year5_East_Sussex Year5_Care_Leavers_in_touch)</f>
        <v>142</v>
      </c>
      <c r="AD80" s="582"/>
      <c r="AE80" s="987"/>
      <c r="AF80" s="582"/>
      <c r="AG80" s="582"/>
      <c r="AH80" s="582"/>
      <c r="AI80" s="582"/>
      <c r="AJ80" s="156"/>
    </row>
    <row r="81" spans="1:44" s="89" customFormat="1" ht="12.75" customHeight="1" x14ac:dyDescent="0.2">
      <c r="A81" s="462">
        <f>VLOOKUP(B81,Sheet1!$AQ$4:$AR$25,2,FALSE)</f>
        <v>0</v>
      </c>
      <c r="B81" s="95" t="str">
        <f t="shared" si="29"/>
        <v>Hampshire</v>
      </c>
      <c r="C81" s="87"/>
      <c r="D81" s="158" t="e">
        <f t="shared" si="30"/>
        <v>#N/A</v>
      </c>
      <c r="E81" s="158" t="e">
        <f t="shared" si="33"/>
        <v>#N/A</v>
      </c>
      <c r="F81" s="158">
        <f t="shared" si="34"/>
        <v>0.81980198019801975</v>
      </c>
      <c r="G81" s="158">
        <f t="shared" si="35"/>
        <v>0.80188679245283023</v>
      </c>
      <c r="H81" s="160">
        <f t="shared" si="36"/>
        <v>0.72957198443579763</v>
      </c>
      <c r="I81" s="425"/>
      <c r="J81" s="98"/>
      <c r="K81" s="98"/>
      <c r="L81" s="162"/>
      <c r="M81" s="162"/>
      <c r="N81" s="162"/>
      <c r="O81" s="162"/>
      <c r="P81" s="162"/>
      <c r="Q81" s="162"/>
      <c r="R81" s="162"/>
      <c r="S81" s="163"/>
      <c r="T81" s="155"/>
      <c r="U81" s="124"/>
      <c r="V81" s="140"/>
      <c r="W81" s="149"/>
      <c r="X81" s="552" t="str">
        <f t="shared" si="32"/>
        <v>Hampshire</v>
      </c>
      <c r="Y81" s="556" t="str">
        <f>IF(Year1_Hampshire Year1_Care_Leavers_in_touch="","",Year1_Hampshire Year1_Care_Leavers_in_touch)</f>
        <v/>
      </c>
      <c r="Z81" s="365" t="str">
        <f>IF(Year2_Hampshire Year2_Care_Leavers_in_touch="","",Year2_Hampshire Year2_Care_Leavers_in_touch)</f>
        <v/>
      </c>
      <c r="AA81" s="365">
        <f>IF(Year3_Hampshire Year3_Care_Leavers_in_touch="","",Year3_Hampshire Year3_Care_Leavers_in_touch)</f>
        <v>414</v>
      </c>
      <c r="AB81" s="365">
        <f>IF(Year4_Hampshire Year4_Care_Leavers_in_touch="","",Year4_Hampshire Year4_Care_Leavers_in_touch)</f>
        <v>425</v>
      </c>
      <c r="AC81" s="365">
        <f>IF(Year5_Hampshire Year5_Care_Leavers_in_touch="","",Year5_Hampshire Year5_Care_Leavers_in_touch)</f>
        <v>375</v>
      </c>
      <c r="AD81" s="582"/>
      <c r="AE81" s="987"/>
      <c r="AF81" s="582"/>
      <c r="AG81" s="582"/>
      <c r="AH81" s="582"/>
      <c r="AI81" s="582"/>
      <c r="AJ81" s="156"/>
    </row>
    <row r="82" spans="1:44" s="89" customFormat="1" ht="12.75" customHeight="1" x14ac:dyDescent="0.2">
      <c r="A82" s="462">
        <f>VLOOKUP(B82,Sheet1!$AQ$4:$AR$25,2,FALSE)</f>
        <v>0</v>
      </c>
      <c r="B82" s="95" t="str">
        <f t="shared" si="29"/>
        <v>Isle of Wight</v>
      </c>
      <c r="C82" s="87"/>
      <c r="D82" s="158" t="e">
        <f t="shared" si="30"/>
        <v>#N/A</v>
      </c>
      <c r="E82" s="158" t="e">
        <f t="shared" si="33"/>
        <v>#N/A</v>
      </c>
      <c r="F82" s="158">
        <f t="shared" si="34"/>
        <v>0.82978723404255317</v>
      </c>
      <c r="G82" s="158" t="e">
        <f t="shared" si="35"/>
        <v>#N/A</v>
      </c>
      <c r="H82" s="160">
        <f t="shared" si="36"/>
        <v>1</v>
      </c>
      <c r="I82" s="425"/>
      <c r="J82" s="98"/>
      <c r="K82" s="98"/>
      <c r="L82" s="162"/>
      <c r="M82" s="162"/>
      <c r="N82" s="162"/>
      <c r="O82" s="162"/>
      <c r="P82" s="162"/>
      <c r="Q82" s="162"/>
      <c r="R82" s="162"/>
      <c r="S82" s="163"/>
      <c r="T82" s="155"/>
      <c r="U82" s="124"/>
      <c r="V82" s="140"/>
      <c r="W82" s="149"/>
      <c r="X82" s="552" t="str">
        <f t="shared" si="32"/>
        <v>Isle of Wight</v>
      </c>
      <c r="Y82" s="556" t="str">
        <f>IF(Year1_Isle_of_Wight Year1_Care_Leavers_in_touch="","",Year1_Isle_of_Wight Year1_Care_Leavers_in_touch)</f>
        <v/>
      </c>
      <c r="Z82" s="365" t="str">
        <f>IF(Year2_Isle_of_Wight Year2_Care_Leavers_in_touch="","",Year2_Isle_of_Wight Year2_Care_Leavers_in_touch)</f>
        <v/>
      </c>
      <c r="AA82" s="365">
        <f>IF(Year3_Isle_of_Wight Year3_Care_Leavers_in_touch="","",Year3_Isle_of_Wight Year3_Care_Leavers_in_touch)</f>
        <v>78</v>
      </c>
      <c r="AB82" s="365" t="str">
        <f>IF(Year4_Isle_of_Wight Year4_Care_Leavers_in_touch="","",Year4_Isle_of_Wight Year4_Care_Leavers_in_touch)</f>
        <v>x</v>
      </c>
      <c r="AC82" s="365">
        <f>IF(Year5_Isle_of_Wight Year5_Care_Leavers_in_touch="","",Year5_Isle_of_Wight Year5_Care_Leavers_in_touch)</f>
        <v>89</v>
      </c>
      <c r="AD82" s="582"/>
      <c r="AE82" s="987"/>
      <c r="AF82" s="582"/>
      <c r="AG82" s="582"/>
      <c r="AH82" s="582"/>
      <c r="AI82" s="582"/>
      <c r="AJ82" s="156"/>
      <c r="AR82" s="89" t="s">
        <v>103</v>
      </c>
    </row>
    <row r="83" spans="1:44" s="89" customFormat="1" ht="12.75" customHeight="1" x14ac:dyDescent="0.2">
      <c r="A83" s="462">
        <f>VLOOKUP(B83,Sheet1!$AQ$4:$AR$25,2,FALSE)</f>
        <v>0</v>
      </c>
      <c r="B83" s="95" t="str">
        <f t="shared" si="29"/>
        <v>Kent</v>
      </c>
      <c r="C83" s="87"/>
      <c r="D83" s="158" t="e">
        <f t="shared" si="30"/>
        <v>#N/A</v>
      </c>
      <c r="E83" s="158" t="e">
        <f t="shared" si="33"/>
        <v>#N/A</v>
      </c>
      <c r="F83" s="158">
        <f t="shared" si="34"/>
        <v>0.81128584643848289</v>
      </c>
      <c r="G83" s="158">
        <f t="shared" si="35"/>
        <v>0.81541882876204597</v>
      </c>
      <c r="H83" s="160">
        <f t="shared" si="36"/>
        <v>0.82949308755760365</v>
      </c>
      <c r="I83" s="425"/>
      <c r="J83" s="98"/>
      <c r="K83" s="98"/>
      <c r="L83" s="162"/>
      <c r="M83" s="162"/>
      <c r="N83" s="162"/>
      <c r="O83" s="162"/>
      <c r="P83" s="162"/>
      <c r="Q83" s="162"/>
      <c r="R83" s="162"/>
      <c r="S83" s="163"/>
      <c r="T83" s="155"/>
      <c r="U83" s="124"/>
      <c r="V83" s="140"/>
      <c r="W83" s="149"/>
      <c r="X83" s="552" t="str">
        <f t="shared" si="32"/>
        <v>Kent</v>
      </c>
      <c r="Y83" s="556" t="str">
        <f>IF(Year1_Kent Year1_Care_Leavers_in_touch="","",Year1_Kent Year1_Care_Leavers_in_touch)</f>
        <v/>
      </c>
      <c r="Z83" s="365" t="str">
        <f>IF(Year2_Kent Year2_Care_Leavers_in_touch="","",Year2_Kent Year2_Care_Leavers_in_touch)</f>
        <v/>
      </c>
      <c r="AA83" s="365">
        <f>IF(Year3_Kent Year3_Care_Leavers_in_touch="","",Year3_Kent Year3_Care_Leavers_in_touch)</f>
        <v>877</v>
      </c>
      <c r="AB83" s="365">
        <f>IF(Year4_Kent Year4_Care_Leavers_in_touch="","",Year4_Kent Year4_Care_Leavers_in_touch)</f>
        <v>1100</v>
      </c>
      <c r="AC83" s="365">
        <f>IF(Year5_Kent Year5_Care_Leavers_in_touch="","",Year5_Kent Year5_Care_Leavers_in_touch)</f>
        <v>1260</v>
      </c>
      <c r="AD83" s="582"/>
      <c r="AE83" s="987"/>
      <c r="AF83" s="582"/>
      <c r="AG83" s="582"/>
      <c r="AH83" s="582"/>
      <c r="AI83" s="582"/>
      <c r="AJ83" s="156"/>
    </row>
    <row r="84" spans="1:44" s="89" customFormat="1" ht="12.75" customHeight="1" x14ac:dyDescent="0.2">
      <c r="A84" s="462">
        <f>VLOOKUP(B84,Sheet1!$AQ$4:$AR$25,2,FALSE)</f>
        <v>0</v>
      </c>
      <c r="B84" s="95" t="str">
        <f t="shared" si="29"/>
        <v>Medway</v>
      </c>
      <c r="C84" s="87"/>
      <c r="D84" s="158" t="e">
        <f t="shared" si="30"/>
        <v>#N/A</v>
      </c>
      <c r="E84" s="158" t="e">
        <f t="shared" si="33"/>
        <v>#N/A</v>
      </c>
      <c r="F84" s="158" t="e">
        <f t="shared" si="34"/>
        <v>#N/A</v>
      </c>
      <c r="G84" s="158" t="e">
        <f t="shared" si="35"/>
        <v>#N/A</v>
      </c>
      <c r="H84" s="160">
        <f t="shared" si="36"/>
        <v>0.49579831932773111</v>
      </c>
      <c r="I84" s="425"/>
      <c r="J84" s="98"/>
      <c r="K84" s="98"/>
      <c r="L84" s="162"/>
      <c r="M84" s="162"/>
      <c r="N84" s="162"/>
      <c r="O84" s="162"/>
      <c r="P84" s="162"/>
      <c r="Q84" s="162"/>
      <c r="R84" s="162"/>
      <c r="S84" s="163"/>
      <c r="T84" s="155"/>
      <c r="U84" s="124"/>
      <c r="V84" s="140"/>
      <c r="W84" s="149"/>
      <c r="X84" s="552" t="str">
        <f t="shared" si="32"/>
        <v>Medway</v>
      </c>
      <c r="Y84" s="556" t="str">
        <f>IF(Year1_Medway Year1_Care_Leavers_in_touch="","",Year1_Medway Year1_Care_Leavers_in_touch)</f>
        <v/>
      </c>
      <c r="Z84" s="365" t="str">
        <f>IF(Year2_Medway Year2_Care_Leavers_in_touch="","",Year2_Medway Year2_Care_Leavers_in_touch)</f>
        <v/>
      </c>
      <c r="AA84" s="365" t="str">
        <f>IF(Year3_Medway Year3_Care_Leavers_in_touch="","",Year3_Medway Year3_Care_Leavers_in_touch)</f>
        <v>x</v>
      </c>
      <c r="AB84" s="365" t="str">
        <f>IF(Year4_Medway Year4_Care_Leavers_in_touch="","",Year4_Medway Year4_Care_Leavers_in_touch)</f>
        <v>x</v>
      </c>
      <c r="AC84" s="365">
        <f>IF(Year5_Medway Year5_Care_Leavers_in_touch="","",Year5_Medway Year5_Care_Leavers_in_touch)</f>
        <v>59</v>
      </c>
      <c r="AD84" s="582"/>
      <c r="AE84" s="987"/>
      <c r="AF84" s="582"/>
      <c r="AG84" s="582"/>
      <c r="AH84" s="582"/>
      <c r="AI84" s="582"/>
      <c r="AJ84" s="156"/>
    </row>
    <row r="85" spans="1:44" s="89" customFormat="1" ht="12.75" customHeight="1" x14ac:dyDescent="0.2">
      <c r="A85" s="462">
        <f>VLOOKUP(B85,Sheet1!$AQ$4:$AR$25,2,FALSE)</f>
        <v>0</v>
      </c>
      <c r="B85" s="95" t="str">
        <f t="shared" si="29"/>
        <v>Milton Keynes</v>
      </c>
      <c r="C85" s="87"/>
      <c r="D85" s="158" t="e">
        <f t="shared" si="30"/>
        <v>#N/A</v>
      </c>
      <c r="E85" s="158" t="e">
        <f t="shared" si="33"/>
        <v>#N/A</v>
      </c>
      <c r="F85" s="158">
        <f t="shared" si="34"/>
        <v>0.82481751824817517</v>
      </c>
      <c r="G85" s="158">
        <f t="shared" si="35"/>
        <v>0.86577181208053688</v>
      </c>
      <c r="H85" s="160">
        <f t="shared" si="36"/>
        <v>0.91017964071856283</v>
      </c>
      <c r="I85" s="425"/>
      <c r="J85" s="98"/>
      <c r="K85" s="98"/>
      <c r="L85" s="162"/>
      <c r="M85" s="162"/>
      <c r="N85" s="162"/>
      <c r="O85" s="162"/>
      <c r="P85" s="162"/>
      <c r="Q85" s="162"/>
      <c r="R85" s="162"/>
      <c r="S85" s="163"/>
      <c r="T85" s="155"/>
      <c r="U85" s="124"/>
      <c r="V85" s="140"/>
      <c r="W85" s="149"/>
      <c r="X85" s="552" t="str">
        <f t="shared" si="32"/>
        <v>Milton Keynes</v>
      </c>
      <c r="Y85" s="556" t="str">
        <f>IF(Year1_Milton_Keynes Year1_Care_Leavers_in_touch="","",Year1_Milton_Keynes Year1_Care_Leavers_in_touch)</f>
        <v/>
      </c>
      <c r="Z85" s="365" t="str">
        <f>IF(Year2_Milton_Keynes Year2_Care_Leavers_in_touch="","",Year2_Milton_Keynes Year2_Care_Leavers_in_touch)</f>
        <v/>
      </c>
      <c r="AA85" s="365">
        <f>IF(Year3_Milton_Keynes Year3_Care_Leavers_in_touch="","",Year3_Milton_Keynes Year3_Care_Leavers_in_touch)</f>
        <v>113</v>
      </c>
      <c r="AB85" s="365">
        <f>IF(Year4_Milton_Keynes Year4_Care_Leavers_in_touch="","",Year4_Milton_Keynes Year4_Care_Leavers_in_touch)</f>
        <v>129</v>
      </c>
      <c r="AC85" s="365">
        <f>IF(Year5_Milton_Keynes Year5_Care_Leavers_in_touch="","",Year5_Milton_Keynes Year5_Care_Leavers_in_touch)</f>
        <v>152</v>
      </c>
      <c r="AD85" s="582"/>
      <c r="AE85" s="987"/>
      <c r="AF85" s="582"/>
      <c r="AG85" s="582"/>
      <c r="AH85" s="582"/>
      <c r="AI85" s="582"/>
      <c r="AJ85" s="156"/>
    </row>
    <row r="86" spans="1:44" s="89" customFormat="1" ht="12.75" customHeight="1" x14ac:dyDescent="0.2">
      <c r="A86" s="462">
        <f>VLOOKUP(B86,Sheet1!$AQ$4:$AR$25,2,FALSE)</f>
        <v>0</v>
      </c>
      <c r="B86" s="95" t="str">
        <f t="shared" si="29"/>
        <v>Oxfordshire</v>
      </c>
      <c r="C86" s="87"/>
      <c r="D86" s="158" t="e">
        <f t="shared" si="30"/>
        <v>#N/A</v>
      </c>
      <c r="E86" s="158" t="e">
        <f t="shared" si="33"/>
        <v>#N/A</v>
      </c>
      <c r="F86" s="158">
        <f t="shared" si="34"/>
        <v>0.86086956521739133</v>
      </c>
      <c r="G86" s="158">
        <f t="shared" si="35"/>
        <v>0.81818181818181823</v>
      </c>
      <c r="H86" s="160">
        <f t="shared" si="36"/>
        <v>0.81818181818181823</v>
      </c>
      <c r="I86" s="425"/>
      <c r="J86" s="98"/>
      <c r="K86" s="98"/>
      <c r="L86" s="162"/>
      <c r="M86" s="162"/>
      <c r="N86" s="162"/>
      <c r="O86" s="162"/>
      <c r="P86" s="162"/>
      <c r="Q86" s="162"/>
      <c r="R86" s="162"/>
      <c r="S86" s="163"/>
      <c r="T86" s="155"/>
      <c r="U86" s="124"/>
      <c r="V86" s="140"/>
      <c r="W86" s="149"/>
      <c r="X86" s="552" t="str">
        <f t="shared" si="32"/>
        <v>Oxfordshire</v>
      </c>
      <c r="Y86" s="556" t="str">
        <f>IF(Year1_Oxfordshire Year1_Care_Leavers_in_touch="","",Year1_Oxfordshire Year1_Care_Leavers_in_touch)</f>
        <v/>
      </c>
      <c r="Z86" s="365" t="str">
        <f>IF(Year2_Oxfordshire Year2_Care_Leavers_in_touch="","",Year2_Oxfordshire Year2_Care_Leavers_in_touch)</f>
        <v/>
      </c>
      <c r="AA86" s="365">
        <f>IF(Year3_Oxfordshire Year3_Care_Leavers_in_touch="","",Year3_Oxfordshire Year3_Care_Leavers_in_touch)</f>
        <v>198</v>
      </c>
      <c r="AB86" s="365">
        <f>IF(Year4_Oxfordshire Year4_Care_Leavers_in_touch="","",Year4_Oxfordshire Year4_Care_Leavers_in_touch)</f>
        <v>198</v>
      </c>
      <c r="AC86" s="365">
        <f>IF(Year5_Oxfordshire Year5_Care_Leavers_in_touch="","",Year5_Oxfordshire Year5_Care_Leavers_in_touch)</f>
        <v>225</v>
      </c>
      <c r="AD86" s="582"/>
      <c r="AE86" s="987"/>
      <c r="AF86" s="582"/>
      <c r="AG86" s="582"/>
      <c r="AH86" s="582"/>
      <c r="AI86" s="582"/>
      <c r="AJ86" s="156"/>
    </row>
    <row r="87" spans="1:44" s="89" customFormat="1" ht="12.75" customHeight="1" x14ac:dyDescent="0.2">
      <c r="A87" s="462">
        <f>VLOOKUP(B87,Sheet1!$AQ$4:$AR$25,2,FALSE)</f>
        <v>0</v>
      </c>
      <c r="B87" s="95" t="str">
        <f t="shared" si="29"/>
        <v>Portsmouth</v>
      </c>
      <c r="C87" s="87"/>
      <c r="D87" s="158" t="e">
        <f t="shared" si="30"/>
        <v>#N/A</v>
      </c>
      <c r="E87" s="158" t="e">
        <f t="shared" si="33"/>
        <v>#N/A</v>
      </c>
      <c r="F87" s="158">
        <f t="shared" si="34"/>
        <v>0.79646017699115046</v>
      </c>
      <c r="G87" s="158">
        <f t="shared" si="35"/>
        <v>0.76521739130434785</v>
      </c>
      <c r="H87" s="160">
        <f t="shared" si="36"/>
        <v>0.77235772357723576</v>
      </c>
      <c r="I87" s="425"/>
      <c r="J87" s="98"/>
      <c r="K87" s="98"/>
      <c r="L87" s="162"/>
      <c r="M87" s="162"/>
      <c r="N87" s="162"/>
      <c r="O87" s="162"/>
      <c r="P87" s="162"/>
      <c r="Q87" s="162"/>
      <c r="R87" s="162"/>
      <c r="S87" s="163"/>
      <c r="T87" s="155"/>
      <c r="U87" s="124"/>
      <c r="V87" s="140"/>
      <c r="W87" s="149"/>
      <c r="X87" s="552" t="str">
        <f t="shared" si="32"/>
        <v>Portsmouth</v>
      </c>
      <c r="Y87" s="556" t="str">
        <f>IF(Year1_Portsmouth Year1_Care_Leavers_in_touch="","",Year1_Portsmouth Year1_Care_Leavers_in_touch)</f>
        <v/>
      </c>
      <c r="Z87" s="365" t="str">
        <f>IF(Year2_Portsmouth Year2_Care_Leavers_in_touch="","",Year2_Portsmouth Year2_Care_Leavers_in_touch)</f>
        <v/>
      </c>
      <c r="AA87" s="365">
        <f>IF(Year3_Portsmouth Year3_Care_Leavers_in_touch="","",Year3_Portsmouth Year3_Care_Leavers_in_touch)</f>
        <v>90</v>
      </c>
      <c r="AB87" s="365">
        <f>IF(Year4_Portsmouth Year4_Care_Leavers_in_touch="","",Year4_Portsmouth Year4_Care_Leavers_in_touch)</f>
        <v>88</v>
      </c>
      <c r="AC87" s="365">
        <f>IF(Year5_Portsmouth Year5_Care_Leavers_in_touch="","",Year5_Portsmouth Year5_Care_Leavers_in_touch)</f>
        <v>95</v>
      </c>
      <c r="AD87" s="582"/>
      <c r="AE87" s="987"/>
      <c r="AF87" s="582"/>
      <c r="AG87" s="582"/>
      <c r="AH87" s="582"/>
      <c r="AI87" s="582"/>
      <c r="AJ87" s="156"/>
    </row>
    <row r="88" spans="1:44" s="89" customFormat="1" ht="12.75" customHeight="1" x14ac:dyDescent="0.2">
      <c r="A88" s="462">
        <f>VLOOKUP(B88,Sheet1!$AQ$4:$AR$25,2,FALSE)</f>
        <v>0</v>
      </c>
      <c r="B88" s="95" t="str">
        <f t="shared" si="29"/>
        <v>Reading</v>
      </c>
      <c r="C88" s="87"/>
      <c r="D88" s="158" t="e">
        <f t="shared" si="30"/>
        <v>#N/A</v>
      </c>
      <c r="E88" s="158" t="e">
        <f t="shared" si="33"/>
        <v>#N/A</v>
      </c>
      <c r="F88" s="158">
        <f t="shared" si="34"/>
        <v>0.91025641025641024</v>
      </c>
      <c r="G88" s="158">
        <f t="shared" si="35"/>
        <v>0.83908045977011492</v>
      </c>
      <c r="H88" s="160">
        <f t="shared" si="36"/>
        <v>0.48979591836734693</v>
      </c>
      <c r="I88" s="425"/>
      <c r="J88" s="98"/>
      <c r="K88" s="98"/>
      <c r="L88" s="162"/>
      <c r="M88" s="162"/>
      <c r="N88" s="162"/>
      <c r="O88" s="162"/>
      <c r="P88" s="162"/>
      <c r="Q88" s="162"/>
      <c r="R88" s="162"/>
      <c r="S88" s="163"/>
      <c r="T88" s="155"/>
      <c r="U88" s="124"/>
      <c r="V88" s="140"/>
      <c r="W88" s="149"/>
      <c r="X88" s="552" t="str">
        <f t="shared" si="32"/>
        <v>Reading</v>
      </c>
      <c r="Y88" s="556" t="str">
        <f>IF(Year1_Reading Year1_Care_Leavers_in_touch="","",Year1_Reading Year1_Care_Leavers_in_touch)</f>
        <v/>
      </c>
      <c r="Z88" s="365" t="str">
        <f>IF(Year2_Reading Year2_Care_Leavers_in_touch="","",Year2_Reading Year2_Care_Leavers_in_touch)</f>
        <v/>
      </c>
      <c r="AA88" s="365">
        <f>IF(Year3_Reading Year3_Care_Leavers_in_touch="","",Year3_Reading Year3_Care_Leavers_in_touch)</f>
        <v>71</v>
      </c>
      <c r="AB88" s="365">
        <f>IF(Year4_Reading Year4_Care_Leavers_in_touch="","",Year4_Reading Year4_Care_Leavers_in_touch)</f>
        <v>73</v>
      </c>
      <c r="AC88" s="365">
        <f>IF(Year5_Reading Year5_Care_Leavers_in_touch="","",Year5_Reading Year5_Care_Leavers_in_touch)</f>
        <v>48</v>
      </c>
      <c r="AD88" s="582"/>
      <c r="AE88" s="987"/>
      <c r="AF88" s="582"/>
      <c r="AG88" s="582"/>
      <c r="AH88" s="582"/>
      <c r="AI88" s="582"/>
      <c r="AJ88" s="156"/>
    </row>
    <row r="89" spans="1:44" s="89" customFormat="1" ht="12.75" customHeight="1" x14ac:dyDescent="0.2">
      <c r="A89" s="462">
        <f>VLOOKUP(B89,Sheet1!$AQ$4:$AR$25,2,FALSE)</f>
        <v>0</v>
      </c>
      <c r="B89" s="95" t="str">
        <f t="shared" si="29"/>
        <v>Slough</v>
      </c>
      <c r="C89" s="87"/>
      <c r="D89" s="158" t="e">
        <f t="shared" si="30"/>
        <v>#N/A</v>
      </c>
      <c r="E89" s="158" t="e">
        <f t="shared" si="33"/>
        <v>#N/A</v>
      </c>
      <c r="F89" s="158">
        <f t="shared" si="34"/>
        <v>0.77108433734939763</v>
      </c>
      <c r="G89" s="158">
        <f t="shared" si="35"/>
        <v>0.8314606741573034</v>
      </c>
      <c r="H89" s="160">
        <f t="shared" si="36"/>
        <v>0.90804597701149425</v>
      </c>
      <c r="I89" s="425"/>
      <c r="J89" s="98"/>
      <c r="K89" s="98"/>
      <c r="L89" s="162"/>
      <c r="M89" s="162"/>
      <c r="N89" s="162"/>
      <c r="O89" s="162"/>
      <c r="P89" s="162"/>
      <c r="Q89" s="162"/>
      <c r="R89" s="162"/>
      <c r="S89" s="163"/>
      <c r="T89" s="155"/>
      <c r="U89" s="124"/>
      <c r="V89" s="140"/>
      <c r="W89" s="149"/>
      <c r="X89" s="552" t="str">
        <f t="shared" si="32"/>
        <v>Slough</v>
      </c>
      <c r="Y89" s="556" t="str">
        <f>IF(Year1_Slough Year1_Care_Leavers_in_touch="","",Year1_Slough Year1_Care_Leavers_in_touch)</f>
        <v/>
      </c>
      <c r="Z89" s="365" t="str">
        <f>IF(Year2_Slough Year2_Care_Leavers_in_touch="","",Year2_Slough Year2_Care_Leavers_in_touch)</f>
        <v/>
      </c>
      <c r="AA89" s="365">
        <f>IF(Year3_Slough Year3_Care_Leavers_in_touch="","",Year3_Slough Year3_Care_Leavers_in_touch)</f>
        <v>64</v>
      </c>
      <c r="AB89" s="365">
        <f>IF(Year4_Slough Year4_Care_Leavers_in_touch="","",Year4_Slough Year4_Care_Leavers_in_touch)</f>
        <v>74</v>
      </c>
      <c r="AC89" s="365">
        <f>IF(Year5_Slough Year5_Care_Leavers_in_touch="","",Year5_Slough Year5_Care_Leavers_in_touch)</f>
        <v>79</v>
      </c>
      <c r="AD89" s="582"/>
      <c r="AE89" s="987"/>
      <c r="AF89" s="582"/>
      <c r="AG89" s="582"/>
      <c r="AH89" s="582"/>
      <c r="AI89" s="582"/>
      <c r="AJ89" s="156"/>
    </row>
    <row r="90" spans="1:44" s="89" customFormat="1" ht="12.75" customHeight="1" x14ac:dyDescent="0.2">
      <c r="A90" s="462">
        <f>VLOOKUP(B90,Sheet1!$AQ$4:$AR$25,2,FALSE)</f>
        <v>0</v>
      </c>
      <c r="B90" s="95" t="str">
        <f t="shared" si="29"/>
        <v>Somerset</v>
      </c>
      <c r="C90" s="87"/>
      <c r="D90" s="158" t="e">
        <f t="shared" si="30"/>
        <v>#N/A</v>
      </c>
      <c r="E90" s="158" t="e">
        <f t="shared" si="33"/>
        <v>#N/A</v>
      </c>
      <c r="F90" s="158">
        <f t="shared" si="34"/>
        <v>0.97272727272727277</v>
      </c>
      <c r="G90" s="158" t="e">
        <f t="shared" si="35"/>
        <v>#N/A</v>
      </c>
      <c r="H90" s="160">
        <f t="shared" si="36"/>
        <v>0.574585635359116</v>
      </c>
      <c r="I90" s="425"/>
      <c r="J90" s="98"/>
      <c r="K90" s="98"/>
      <c r="L90" s="162"/>
      <c r="M90" s="162"/>
      <c r="N90" s="162"/>
      <c r="O90" s="162"/>
      <c r="P90" s="162"/>
      <c r="Q90" s="162"/>
      <c r="R90" s="162"/>
      <c r="S90" s="163"/>
      <c r="T90" s="155"/>
      <c r="U90" s="124"/>
      <c r="V90" s="140"/>
      <c r="W90" s="149"/>
      <c r="X90" s="552" t="str">
        <f t="shared" si="32"/>
        <v>Somerset</v>
      </c>
      <c r="Y90" s="556" t="str">
        <f>IF(Year1_Somerset Year1_Care_Leavers_in_touch="","",Year1_Somerset Year1_Care_Leavers_in_touch)</f>
        <v/>
      </c>
      <c r="Z90" s="365" t="str">
        <f>IF(Year2_Somerset Year2_Care_Leavers_in_touch="","",Year2_Somerset Year2_Care_Leavers_in_touch)</f>
        <v/>
      </c>
      <c r="AA90" s="365">
        <f>IF(Year3_Somerset Year3_Care_Leavers_in_touch="","",Year3_Somerset Year3_Care_Leavers_in_touch)</f>
        <v>214</v>
      </c>
      <c r="AB90" s="365" t="str">
        <f>IF(Year4_Somerset Year4_Care_Leavers_in_touch="","",Year4_Somerset Year4_Care_Leavers_in_touch)</f>
        <v>x</v>
      </c>
      <c r="AC90" s="365">
        <f>IF(Year5_Somerset Year5_Care_Leavers_in_touch="","",Year5_Somerset Year5_Care_Leavers_in_touch)</f>
        <v>104</v>
      </c>
      <c r="AD90" s="582"/>
      <c r="AE90" s="987"/>
      <c r="AF90" s="582"/>
      <c r="AG90" s="582"/>
      <c r="AH90" s="582"/>
      <c r="AI90" s="582"/>
      <c r="AJ90" s="156"/>
    </row>
    <row r="91" spans="1:44" s="89" customFormat="1" ht="12.75" customHeight="1" x14ac:dyDescent="0.2">
      <c r="A91" s="462">
        <f>VLOOKUP(B91,Sheet1!$AQ$4:$AR$25,2,FALSE)</f>
        <v>0</v>
      </c>
      <c r="B91" s="95" t="str">
        <f t="shared" si="29"/>
        <v>Southampton</v>
      </c>
      <c r="C91" s="87"/>
      <c r="D91" s="158" t="e">
        <f t="shared" si="30"/>
        <v>#N/A</v>
      </c>
      <c r="E91" s="158" t="e">
        <f t="shared" si="33"/>
        <v>#N/A</v>
      </c>
      <c r="F91" s="158">
        <f t="shared" si="34"/>
        <v>0.87096774193548387</v>
      </c>
      <c r="G91" s="158">
        <f t="shared" si="35"/>
        <v>0.86290322580645162</v>
      </c>
      <c r="H91" s="160">
        <f t="shared" si="36"/>
        <v>0.93700787401574803</v>
      </c>
      <c r="I91" s="425"/>
      <c r="J91" s="98"/>
      <c r="K91" s="98"/>
      <c r="L91" s="162"/>
      <c r="M91" s="162"/>
      <c r="N91" s="162"/>
      <c r="O91" s="162"/>
      <c r="P91" s="162"/>
      <c r="Q91" s="162"/>
      <c r="R91" s="162"/>
      <c r="S91" s="163"/>
      <c r="T91" s="155"/>
      <c r="U91" s="124"/>
      <c r="V91" s="140"/>
      <c r="W91" s="149"/>
      <c r="X91" s="552" t="str">
        <f t="shared" si="32"/>
        <v>Southampton</v>
      </c>
      <c r="Y91" s="556" t="str">
        <f>IF(Year1_Southampton Year1_Care_Leavers_in_touch="","",Year1_Southampton Year1_Care_Leavers_in_touch)</f>
        <v/>
      </c>
      <c r="Z91" s="365" t="str">
        <f>IF(Year2_Southampton Year2_Care_Leavers_in_touch="","",Year2_Southampton Year2_Care_Leavers_in_touch)</f>
        <v/>
      </c>
      <c r="AA91" s="365">
        <f>IF(Year3_Southampton Year3_Care_Leavers_in_touch="","",Year3_Southampton Year3_Care_Leavers_in_touch)</f>
        <v>108</v>
      </c>
      <c r="AB91" s="365">
        <f>IF(Year4_Southampton Year4_Care_Leavers_in_touch="","",Year4_Southampton Year4_Care_Leavers_in_touch)</f>
        <v>107</v>
      </c>
      <c r="AC91" s="365">
        <f>IF(Year5_Southampton Year5_Care_Leavers_in_touch="","",Year5_Southampton Year5_Care_Leavers_in_touch)</f>
        <v>119</v>
      </c>
      <c r="AD91" s="582"/>
      <c r="AE91" s="987"/>
      <c r="AF91" s="582"/>
      <c r="AG91" s="582"/>
      <c r="AH91" s="582"/>
      <c r="AI91" s="582"/>
      <c r="AJ91" s="156"/>
    </row>
    <row r="92" spans="1:44" s="89" customFormat="1" ht="12.75" customHeight="1" x14ac:dyDescent="0.2">
      <c r="A92" s="462">
        <f>VLOOKUP(B92,Sheet1!$AQ$4:$AR$25,2,FALSE)</f>
        <v>0</v>
      </c>
      <c r="B92" s="95" t="str">
        <f t="shared" si="29"/>
        <v>Surrey</v>
      </c>
      <c r="C92" s="87"/>
      <c r="D92" s="158" t="e">
        <f t="shared" si="30"/>
        <v>#N/A</v>
      </c>
      <c r="E92" s="158" t="e">
        <f t="shared" si="33"/>
        <v>#N/A</v>
      </c>
      <c r="F92" s="158">
        <f t="shared" si="34"/>
        <v>0.86578947368421055</v>
      </c>
      <c r="G92" s="158">
        <f t="shared" si="35"/>
        <v>0.83971291866028708</v>
      </c>
      <c r="H92" s="160">
        <f t="shared" si="36"/>
        <v>0.91157894736842104</v>
      </c>
      <c r="I92" s="425"/>
      <c r="J92" s="98"/>
      <c r="K92" s="98"/>
      <c r="L92" s="162"/>
      <c r="M92" s="162"/>
      <c r="N92" s="162"/>
      <c r="O92" s="162"/>
      <c r="P92" s="162"/>
      <c r="Q92" s="162"/>
      <c r="R92" s="162"/>
      <c r="S92" s="163"/>
      <c r="T92" s="155"/>
      <c r="U92" s="124"/>
      <c r="V92" s="140"/>
      <c r="W92" s="149"/>
      <c r="X92" s="552" t="str">
        <f t="shared" si="32"/>
        <v>Surrey</v>
      </c>
      <c r="Y92" s="556" t="str">
        <f>IF(Year1_Surrey Year1_Care_Leavers_in_touch="","",Year1_Surrey Year1_Care_Leavers_in_touch)</f>
        <v/>
      </c>
      <c r="Z92" s="365" t="str">
        <f>IF(Year2_Surrey Year2_Care_Leavers_in_touch="","",Year2_Surrey Year2_Care_Leavers_in_touch)</f>
        <v/>
      </c>
      <c r="AA92" s="365">
        <f>IF(Year3_Surrey Year3_Care_Leavers_in_touch="","",Year3_Surrey Year3_Care_Leavers_in_touch)</f>
        <v>329</v>
      </c>
      <c r="AB92" s="365">
        <f>IF(Year4_Surrey Year4_Care_Leavers_in_touch="","",Year4_Surrey Year4_Care_Leavers_in_touch)</f>
        <v>351</v>
      </c>
      <c r="AC92" s="365">
        <f>IF(Year5_Surrey Year5_Care_Leavers_in_touch="","",Year5_Surrey Year5_Care_Leavers_in_touch)</f>
        <v>433</v>
      </c>
      <c r="AD92" s="582"/>
      <c r="AE92" s="987"/>
      <c r="AF92" s="582"/>
      <c r="AG92" s="582"/>
      <c r="AH92" s="582"/>
      <c r="AI92" s="582"/>
      <c r="AJ92" s="156"/>
    </row>
    <row r="93" spans="1:44" s="89" customFormat="1" ht="12.75" customHeight="1" x14ac:dyDescent="0.2">
      <c r="A93" s="462">
        <f>VLOOKUP(B93,Sheet1!$AQ$4:$AR$25,2,FALSE)</f>
        <v>0</v>
      </c>
      <c r="B93" s="95" t="str">
        <f t="shared" si="29"/>
        <v>Swindon</v>
      </c>
      <c r="C93" s="87"/>
      <c r="D93" s="158" t="e">
        <f t="shared" si="30"/>
        <v>#N/A</v>
      </c>
      <c r="E93" s="158" t="e">
        <f t="shared" si="33"/>
        <v>#N/A</v>
      </c>
      <c r="F93" s="158" t="e">
        <f t="shared" si="34"/>
        <v>#N/A</v>
      </c>
      <c r="G93" s="158">
        <f t="shared" si="35"/>
        <v>1</v>
      </c>
      <c r="H93" s="160">
        <f t="shared" si="36"/>
        <v>0.94814814814814818</v>
      </c>
      <c r="I93" s="425"/>
      <c r="J93" s="98"/>
      <c r="K93" s="98"/>
      <c r="L93" s="162"/>
      <c r="M93" s="162"/>
      <c r="N93" s="162"/>
      <c r="O93" s="162"/>
      <c r="P93" s="162"/>
      <c r="Q93" s="162"/>
      <c r="R93" s="162"/>
      <c r="S93" s="163"/>
      <c r="T93" s="155"/>
      <c r="U93" s="124"/>
      <c r="V93" s="140"/>
      <c r="W93" s="149"/>
      <c r="X93" s="552" t="str">
        <f t="shared" si="32"/>
        <v>Swindon</v>
      </c>
      <c r="Y93" s="556" t="str">
        <f>IF(Year1_Swindon Year1_Care_Leavers_in_touch="","",Year1_Swindon Year1_Care_Leavers_in_touch)</f>
        <v/>
      </c>
      <c r="Z93" s="365" t="str">
        <f>IF(Year2_Swindon Year2_Care_Leavers_in_touch="","",Year2_Swindon Year2_Care_Leavers_in_touch)</f>
        <v/>
      </c>
      <c r="AA93" s="365" t="str">
        <f>IF(Year3_Swindon Year3_Care_Leavers_in_touch="","",Year3_Swindon Year3_Care_Leavers_in_touch)</f>
        <v>x</v>
      </c>
      <c r="AB93" s="555">
        <f>IF(Year4_Swindon Year4_Care_Leavers_in_touch="","",Year4_Swindon Year4_Care_Leavers_in_touch)</f>
        <v>124</v>
      </c>
      <c r="AC93" s="574">
        <f>IF(Year5_Swindon Year5_Care_Leavers_in_touch="","",Year5_Swindon Year5_Care_Leavers_in_touch)</f>
        <v>128</v>
      </c>
      <c r="AD93" s="582"/>
      <c r="AE93" s="987"/>
      <c r="AF93" s="582"/>
      <c r="AG93" s="582"/>
      <c r="AH93" s="988"/>
      <c r="AI93" s="989"/>
      <c r="AJ93" s="156"/>
    </row>
    <row r="94" spans="1:44" s="89" customFormat="1" ht="12.75" customHeight="1" x14ac:dyDescent="0.2">
      <c r="A94" s="462">
        <f>VLOOKUP(B94,Sheet1!$AQ$4:$AR$25,2,FALSE)</f>
        <v>0</v>
      </c>
      <c r="B94" s="95" t="str">
        <f t="shared" si="29"/>
        <v>Torbay</v>
      </c>
      <c r="C94" s="87"/>
      <c r="D94" s="158" t="e">
        <f t="shared" si="30"/>
        <v>#N/A</v>
      </c>
      <c r="E94" s="158" t="e">
        <f t="shared" si="33"/>
        <v>#N/A</v>
      </c>
      <c r="F94" s="158">
        <f t="shared" si="34"/>
        <v>0.88297872340425532</v>
      </c>
      <c r="G94" s="158" t="e">
        <f t="shared" si="35"/>
        <v>#N/A</v>
      </c>
      <c r="H94" s="160">
        <f t="shared" si="36"/>
        <v>0.55769230769230771</v>
      </c>
      <c r="I94" s="425"/>
      <c r="J94" s="98"/>
      <c r="K94" s="98"/>
      <c r="L94" s="162"/>
      <c r="M94" s="162"/>
      <c r="N94" s="162"/>
      <c r="O94" s="162"/>
      <c r="P94" s="162"/>
      <c r="Q94" s="162"/>
      <c r="R94" s="162"/>
      <c r="S94" s="163"/>
      <c r="T94" s="155"/>
      <c r="U94" s="124"/>
      <c r="V94" s="140"/>
      <c r="W94" s="149"/>
      <c r="X94" s="552" t="str">
        <f t="shared" si="32"/>
        <v>Torbay</v>
      </c>
      <c r="Y94" s="556" t="str">
        <f>IF(Year1_Torbay Year1_Care_Leavers_in_touch="","",Year1_Torbay Year1_Care_Leavers_in_touch)</f>
        <v/>
      </c>
      <c r="Z94" s="365" t="str">
        <f>IF(Year2_Torbay Year2_Care_Leavers_in_touch="","",Year2_Torbay Year2_Care_Leavers_in_touch)</f>
        <v/>
      </c>
      <c r="AA94" s="365">
        <f>IF(Year3_Torbay Year3_Care_Leavers_in_touch="","",Year3_Torbay Year3_Care_Leavers_in_touch)</f>
        <v>83</v>
      </c>
      <c r="AB94" s="555" t="str">
        <f>IF(Year4_Torbay Year4_Care_Leavers_in_touch="","",Year4_Torbay Year4_Care_Leavers_in_touch)</f>
        <v>x</v>
      </c>
      <c r="AC94" s="574">
        <f>IF(Year5_Torbay Year5_Care_Leavers_in_touch="","",Year5_Torbay Year5_Care_Leavers_in_touch)</f>
        <v>58</v>
      </c>
      <c r="AD94" s="582"/>
      <c r="AE94" s="987"/>
      <c r="AF94" s="582"/>
      <c r="AG94" s="582"/>
      <c r="AH94" s="988"/>
      <c r="AI94" s="989"/>
      <c r="AJ94" s="156"/>
    </row>
    <row r="95" spans="1:44" s="89" customFormat="1" ht="12.75" customHeight="1" x14ac:dyDescent="0.2">
      <c r="A95" s="462">
        <f>VLOOKUP(B95,Sheet1!$AQ$4:$AR$25,2,FALSE)</f>
        <v>0</v>
      </c>
      <c r="B95" s="95" t="str">
        <f t="shared" si="29"/>
        <v>West Berkshire</v>
      </c>
      <c r="C95" s="87"/>
      <c r="D95" s="158" t="e">
        <f t="shared" si="30"/>
        <v>#N/A</v>
      </c>
      <c r="E95" s="158" t="e">
        <f t="shared" si="33"/>
        <v>#N/A</v>
      </c>
      <c r="F95" s="158">
        <f t="shared" si="34"/>
        <v>0.6428571428571429</v>
      </c>
      <c r="G95" s="158">
        <f t="shared" si="35"/>
        <v>0.74358974358974361</v>
      </c>
      <c r="H95" s="160">
        <f t="shared" si="36"/>
        <v>0.88157894736842102</v>
      </c>
      <c r="I95" s="425"/>
      <c r="J95" s="98"/>
      <c r="K95" s="98"/>
      <c r="L95" s="162"/>
      <c r="M95" s="162"/>
      <c r="N95" s="162"/>
      <c r="O95" s="162"/>
      <c r="P95" s="162"/>
      <c r="Q95" s="162"/>
      <c r="R95" s="162"/>
      <c r="S95" s="163"/>
      <c r="T95" s="155"/>
      <c r="U95" s="124"/>
      <c r="V95" s="140"/>
      <c r="W95" s="149"/>
      <c r="X95" s="552" t="str">
        <f t="shared" si="32"/>
        <v>West Berkshire</v>
      </c>
      <c r="Y95" s="556" t="str">
        <f>IF(Year1_West_Berkshire Year1_Care_Leavers_in_touch="","",Year1_West_Berkshire Year1_Care_Leavers_in_touch)</f>
        <v/>
      </c>
      <c r="Z95" s="365" t="str">
        <f>IF(Year2_West_Berkshire Year2_Care_Leavers_in_touch="","",Year2_West_Berkshire Year2_Care_Leavers_in_touch)</f>
        <v/>
      </c>
      <c r="AA95" s="365">
        <f>IF(Year3_West_Berkshire Year3_Care_Leavers_in_touch="","",Year3_West_Berkshire Year3_Care_Leavers_in_touch)</f>
        <v>36</v>
      </c>
      <c r="AB95" s="365">
        <f>IF(Year4_West_Berkshire Year4_Care_Leavers_in_touch="","",Year4_West_Berkshire Year4_Care_Leavers_in_touch)</f>
        <v>58</v>
      </c>
      <c r="AC95" s="365">
        <f>IF(Year5_West_Berkshire Year5_Care_Leavers_in_touch="","",Year5_West_Berkshire Year5_Care_Leavers_in_touch)</f>
        <v>67</v>
      </c>
      <c r="AD95" s="582"/>
      <c r="AE95" s="987"/>
      <c r="AF95" s="582"/>
      <c r="AG95" s="582"/>
      <c r="AH95" s="582"/>
      <c r="AI95" s="582"/>
      <c r="AJ95" s="156"/>
    </row>
    <row r="96" spans="1:44" s="89" customFormat="1" ht="12.75" customHeight="1" x14ac:dyDescent="0.2">
      <c r="A96" s="462">
        <f>VLOOKUP(B96,Sheet1!$AQ$4:$AR$25,2,FALSE)</f>
        <v>0</v>
      </c>
      <c r="B96" s="95" t="str">
        <f t="shared" si="29"/>
        <v>West Sussex</v>
      </c>
      <c r="C96" s="87"/>
      <c r="D96" s="158" t="e">
        <f t="shared" si="30"/>
        <v>#N/A</v>
      </c>
      <c r="E96" s="158" t="e">
        <f t="shared" si="33"/>
        <v>#N/A</v>
      </c>
      <c r="F96" s="158">
        <f t="shared" si="34"/>
        <v>0.96261682242990654</v>
      </c>
      <c r="G96" s="158">
        <f t="shared" si="35"/>
        <v>0.92816091954022983</v>
      </c>
      <c r="H96" s="160">
        <f t="shared" si="36"/>
        <v>0.92011019283746553</v>
      </c>
      <c r="I96" s="425"/>
      <c r="J96" s="98"/>
      <c r="K96" s="98"/>
      <c r="L96" s="162"/>
      <c r="M96" s="162"/>
      <c r="N96" s="162"/>
      <c r="O96" s="162"/>
      <c r="P96" s="162"/>
      <c r="Q96" s="162"/>
      <c r="R96" s="162"/>
      <c r="S96" s="163"/>
      <c r="T96" s="155"/>
      <c r="U96" s="124"/>
      <c r="V96" s="140"/>
      <c r="W96" s="149"/>
      <c r="X96" s="552" t="str">
        <f t="shared" si="32"/>
        <v>West Sussex</v>
      </c>
      <c r="Y96" s="556" t="str">
        <f>IF(Year1_West_Sussex Year1_Care_Leavers_in_touch="","",Year1_West_Sussex Year1_Care_Leavers_in_touch)</f>
        <v/>
      </c>
      <c r="Z96" s="365" t="str">
        <f>IF(Year2_West_Sussex Year2_Care_Leavers_in_touch="","",Year2_West_Sussex Year2_Care_Leavers_in_touch)</f>
        <v/>
      </c>
      <c r="AA96" s="365">
        <f>IF(Year3_West_Sussex Year3_Care_Leavers_in_touch="","",Year3_West_Sussex Year3_Care_Leavers_in_touch)</f>
        <v>309</v>
      </c>
      <c r="AB96" s="365">
        <f>IF(Year4_West_Sussex Year4_Care_Leavers_in_touch="","",Year4_West_Sussex Year4_Care_Leavers_in_touch)</f>
        <v>323</v>
      </c>
      <c r="AC96" s="365">
        <f>IF(Year5_West_Sussex Year5_Care_Leavers_in_touch="","",Year5_West_Sussex Year5_Care_Leavers_in_touch)</f>
        <v>334</v>
      </c>
      <c r="AD96" s="582"/>
      <c r="AE96" s="987"/>
      <c r="AF96" s="582"/>
      <c r="AG96" s="582"/>
      <c r="AH96" s="582"/>
      <c r="AI96" s="582"/>
      <c r="AJ96" s="156"/>
    </row>
    <row r="97" spans="1:45" s="89" customFormat="1" ht="12.75" customHeight="1" x14ac:dyDescent="0.2">
      <c r="A97" s="462">
        <f>VLOOKUP(B97,Sheet1!$AQ$4:$AR$25,2,FALSE)</f>
        <v>0</v>
      </c>
      <c r="B97" s="95" t="str">
        <f t="shared" si="29"/>
        <v>Windsor &amp; Maidenhead</v>
      </c>
      <c r="C97" s="87"/>
      <c r="D97" s="158" t="e">
        <f t="shared" si="30"/>
        <v>#N/A</v>
      </c>
      <c r="E97" s="158" t="e">
        <f t="shared" si="33"/>
        <v>#N/A</v>
      </c>
      <c r="F97" s="158">
        <f t="shared" si="34"/>
        <v>0.8666666666666667</v>
      </c>
      <c r="G97" s="158">
        <f t="shared" si="35"/>
        <v>0.83333333333333337</v>
      </c>
      <c r="H97" s="160">
        <f t="shared" si="36"/>
        <v>0.875</v>
      </c>
      <c r="I97" s="425"/>
      <c r="J97" s="98"/>
      <c r="K97" s="98"/>
      <c r="L97" s="162"/>
      <c r="M97" s="162"/>
      <c r="N97" s="162"/>
      <c r="O97" s="162"/>
      <c r="P97" s="162"/>
      <c r="Q97" s="162"/>
      <c r="R97" s="162"/>
      <c r="S97" s="163"/>
      <c r="T97" s="155"/>
      <c r="U97" s="124"/>
      <c r="V97" s="140"/>
      <c r="W97" s="149"/>
      <c r="X97" s="552" t="str">
        <f t="shared" si="32"/>
        <v>Windsor &amp; Maidenhead</v>
      </c>
      <c r="Y97" s="556" t="str">
        <f>IF(Year1_Windsor_Maidenhead Year1_Care_Leavers_in_touch="","",Year1_Windsor_Maidenhead Year1_Care_Leavers_in_touch)</f>
        <v/>
      </c>
      <c r="Z97" s="365" t="str">
        <f>IF(Year2_Windsor_Maidenhead Year2_Care_Leavers_in_touch="","",Year2_Windsor_Maidenhead Year2_Care_Leavers_in_touch)</f>
        <v/>
      </c>
      <c r="AA97" s="365">
        <f>IF(Year3_Windsor_Maidenhead Year3_Care_Leavers_in_touch="","",Year3_Windsor_Maidenhead Year3_Care_Leavers_in_touch)</f>
        <v>39</v>
      </c>
      <c r="AB97" s="365">
        <f>IF(Year4_Windsor_Maidenhead Year4_Care_Leavers_in_touch="","",Year4_Windsor_Maidenhead Year4_Care_Leavers_in_touch)</f>
        <v>40</v>
      </c>
      <c r="AC97" s="365">
        <f>IF(Year5_Windsor_Maidenhead Year5_Care_Leavers_in_touch="","",Year5_Windsor_Maidenhead Year5_Care_Leavers_in_touch)</f>
        <v>49</v>
      </c>
      <c r="AD97" s="582"/>
      <c r="AE97" s="987"/>
      <c r="AF97" s="582"/>
      <c r="AG97" s="582"/>
      <c r="AH97" s="582"/>
      <c r="AI97" s="582"/>
      <c r="AJ97" s="156"/>
    </row>
    <row r="98" spans="1:45" s="89" customFormat="1" ht="12.75" customHeight="1" x14ac:dyDescent="0.2">
      <c r="A98" s="462">
        <f>VLOOKUP(B98,Sheet1!$AQ$4:$AR$25,2,FALSE)</f>
        <v>0</v>
      </c>
      <c r="B98" s="95" t="str">
        <f t="shared" si="29"/>
        <v>Wokingham</v>
      </c>
      <c r="C98" s="87"/>
      <c r="D98" s="158" t="e">
        <f t="shared" si="30"/>
        <v>#N/A</v>
      </c>
      <c r="E98" s="158" t="e">
        <f t="shared" si="33"/>
        <v>#N/A</v>
      </c>
      <c r="F98" s="158" t="e">
        <f t="shared" si="34"/>
        <v>#N/A</v>
      </c>
      <c r="G98" s="158" t="e">
        <f t="shared" si="35"/>
        <v>#N/A</v>
      </c>
      <c r="H98" s="160">
        <f t="shared" si="36"/>
        <v>1</v>
      </c>
      <c r="I98" s="425"/>
      <c r="J98" s="98"/>
      <c r="K98" s="98"/>
      <c r="L98" s="162"/>
      <c r="M98" s="162"/>
      <c r="N98" s="162"/>
      <c r="O98" s="162"/>
      <c r="P98" s="162"/>
      <c r="Q98" s="162"/>
      <c r="R98" s="162"/>
      <c r="S98" s="163"/>
      <c r="T98" s="155"/>
      <c r="U98" s="124"/>
      <c r="V98" s="140"/>
      <c r="W98" s="149"/>
      <c r="X98" s="552" t="str">
        <f t="shared" si="32"/>
        <v>Wokingham</v>
      </c>
      <c r="Y98" s="556" t="str">
        <f>IF(Year1_Wokingham Year1_Care_Leavers_in_touch="","",Year1_Wokingham Year1_Care_Leavers_in_touch)</f>
        <v/>
      </c>
      <c r="Z98" s="365" t="str">
        <f>IF(Year2_Wokingham Year2_Care_Leavers_in_touch="","",Year2_Wokingham Year2_Care_Leavers_in_touch)</f>
        <v/>
      </c>
      <c r="AA98" s="365" t="str">
        <f>IF(Year3_Wokingham Year3_Care_Leavers_in_touch="","",Year3_Wokingham Year3_Care_Leavers_in_touch)</f>
        <v>x</v>
      </c>
      <c r="AB98" s="365" t="str">
        <f>IF(Year4_Wokingham Year4_Care_Leavers_in_touch="","",Year4_Wokingham Year4_Care_Leavers_in_touch)</f>
        <v>x</v>
      </c>
      <c r="AC98" s="365">
        <f>IF(Year5_Wokingham Year5_Care_Leavers_in_touch="","",Year5_Wokingham Year5_Care_Leavers_in_touch)</f>
        <v>38</v>
      </c>
      <c r="AD98" s="582"/>
      <c r="AE98" s="987"/>
      <c r="AF98" s="582"/>
      <c r="AG98" s="582"/>
      <c r="AH98" s="582"/>
      <c r="AI98" s="582"/>
      <c r="AJ98" s="156"/>
    </row>
    <row r="99" spans="1:45" s="89" customFormat="1" ht="12.75" customHeight="1" x14ac:dyDescent="0.2">
      <c r="A99" s="123"/>
      <c r="B99" s="131" t="str">
        <f t="shared" si="29"/>
        <v>South East</v>
      </c>
      <c r="C99" s="87"/>
      <c r="D99" s="159" t="e">
        <f t="shared" si="30"/>
        <v>#N/A</v>
      </c>
      <c r="E99" s="159" t="e">
        <f t="shared" si="33"/>
        <v>#N/A</v>
      </c>
      <c r="F99" s="159">
        <f t="shared" si="34"/>
        <v>0.84948979591836737</v>
      </c>
      <c r="G99" s="159">
        <f t="shared" si="35"/>
        <v>0.84090909090909094</v>
      </c>
      <c r="H99" s="161">
        <f t="shared" si="36"/>
        <v>0.86526315789473685</v>
      </c>
      <c r="I99" s="425"/>
      <c r="J99" s="98"/>
      <c r="K99" s="98"/>
      <c r="L99" s="164"/>
      <c r="M99" s="164"/>
      <c r="N99" s="164"/>
      <c r="O99" s="164"/>
      <c r="P99" s="164"/>
      <c r="Q99" s="164"/>
      <c r="R99" s="164"/>
      <c r="S99" s="165"/>
      <c r="T99" s="155"/>
      <c r="U99" s="124"/>
      <c r="V99" s="140"/>
      <c r="W99" s="149"/>
      <c r="X99" s="552" t="str">
        <f t="shared" si="32"/>
        <v>South East</v>
      </c>
      <c r="Y99" s="575" t="str">
        <f>IF(Year1_SouthEast Year1_Care_Leavers_in_touch="","",Year1_SouthEast Year1_Care_Leavers_in_touch)</f>
        <v/>
      </c>
      <c r="Z99" s="576" t="str">
        <f>IF(Year2_SouthEast Year2_Care_Leavers_in_touch="","",Year2_SouthEast Year2_Care_Leavers_in_touch)</f>
        <v/>
      </c>
      <c r="AA99" s="576">
        <f>IF(Year3_SouthEast Year3_Care_Leavers_in_touch="","",Year3_SouthEast Year3_Care_Leavers_in_touch)</f>
        <v>3330</v>
      </c>
      <c r="AB99" s="365">
        <f>IF(Year4_SouthEast Year4_Care_Leavers_in_touch="","",Year4_SouthEast Year4_Care_Leavers_in_touch)</f>
        <v>3700</v>
      </c>
      <c r="AC99" s="365">
        <f>IF(Year5_SouthEast Year5_Care_Leavers_in_touch="","",Year5_SouthEast Year5_Care_Leavers_in_touch)</f>
        <v>4110</v>
      </c>
      <c r="AD99" s="582"/>
      <c r="AE99" s="988"/>
      <c r="AF99" s="988"/>
      <c r="AG99" s="988"/>
      <c r="AH99" s="988"/>
      <c r="AI99" s="988"/>
      <c r="AJ99" s="156"/>
    </row>
    <row r="100" spans="1:45" s="89" customFormat="1" ht="12.75" customHeight="1" x14ac:dyDescent="0.2">
      <c r="A100" s="286"/>
      <c r="B100" s="318" t="str">
        <f t="shared" si="29"/>
        <v>England</v>
      </c>
      <c r="C100" s="87"/>
      <c r="D100" s="344" t="e">
        <f t="shared" si="30"/>
        <v>#N/A</v>
      </c>
      <c r="E100" s="344" t="e">
        <f t="shared" si="33"/>
        <v>#N/A</v>
      </c>
      <c r="F100" s="344">
        <f t="shared" si="34"/>
        <v>0.88041466123657908</v>
      </c>
      <c r="G100" s="344">
        <f t="shared" si="35"/>
        <v>0.881445106980007</v>
      </c>
      <c r="H100" s="345">
        <f t="shared" si="36"/>
        <v>0.90878717006348142</v>
      </c>
      <c r="I100" s="425"/>
      <c r="J100" s="98"/>
      <c r="K100" s="98"/>
      <c r="L100" s="164"/>
      <c r="M100" s="164"/>
      <c r="N100" s="164"/>
      <c r="O100" s="164"/>
      <c r="P100" s="164"/>
      <c r="Q100" s="164"/>
      <c r="R100" s="164"/>
      <c r="S100" s="165"/>
      <c r="T100" s="155"/>
      <c r="U100" s="124"/>
      <c r="V100" s="140"/>
      <c r="W100" s="149"/>
      <c r="X100" s="365" t="str">
        <f t="shared" si="32"/>
        <v>England</v>
      </c>
      <c r="Y100" s="556" t="str">
        <f>IF(Year1_England Year1_Care_Leavers_in_touch="","",Year1_England Year1_Care_Leavers_in_touch)</f>
        <v/>
      </c>
      <c r="Z100" s="365" t="str">
        <f>IF(Year2_England Year2_Care_Leavers_in_touch="","",Year2_England Year2_Care_Leavers_in_touch)</f>
        <v/>
      </c>
      <c r="AA100" s="365">
        <f>IF(Year3_England Year3_Care_Leavers_in_touch="","",Year3_England Year3_Care_Leavers_in_touch)</f>
        <v>23780</v>
      </c>
      <c r="AB100" s="365">
        <f>IF(Year4_England Year4_Care_Leavers_in_touch="","",Year4_England Year4_Care_Leavers_in_touch)</f>
        <v>25130</v>
      </c>
      <c r="AC100" s="365">
        <f>IF(Year5_England Year5_Care_Leavers_in_touch="","",Year5_England Year5_Care_Leavers_in_touch)</f>
        <v>27200</v>
      </c>
      <c r="AD100" s="582"/>
      <c r="AE100" s="988"/>
      <c r="AF100" s="988"/>
      <c r="AG100" s="988"/>
      <c r="AH100" s="988"/>
      <c r="AI100" s="988"/>
      <c r="AJ100" s="156"/>
    </row>
    <row r="101" spans="1:45" s="89" customFormat="1" ht="7.5" customHeight="1" x14ac:dyDescent="0.2">
      <c r="A101" s="286"/>
      <c r="B101" s="98"/>
      <c r="C101" s="98"/>
      <c r="D101" s="98"/>
      <c r="E101" s="98"/>
      <c r="F101" s="98"/>
      <c r="G101" s="98"/>
      <c r="H101" s="98"/>
      <c r="I101" s="98"/>
      <c r="J101" s="98"/>
      <c r="K101" s="98"/>
      <c r="L101" s="164"/>
      <c r="M101" s="164"/>
      <c r="N101" s="164"/>
      <c r="O101" s="164"/>
      <c r="P101" s="164"/>
      <c r="Q101" s="164"/>
      <c r="R101" s="164"/>
      <c r="S101" s="165"/>
      <c r="T101" s="155"/>
      <c r="U101" s="124"/>
      <c r="V101" s="140"/>
      <c r="W101" s="149"/>
      <c r="X101" s="183"/>
      <c r="Y101" s="183"/>
      <c r="Z101" s="83"/>
      <c r="AA101" s="83"/>
      <c r="AB101" s="83"/>
      <c r="AC101" s="83"/>
      <c r="AD101" s="83"/>
      <c r="AE101" s="199"/>
      <c r="AF101" s="199"/>
      <c r="AG101" s="199"/>
      <c r="AH101" s="185"/>
      <c r="AI101" s="199"/>
      <c r="AJ101" s="156"/>
    </row>
    <row r="102" spans="1:45" s="83" customFormat="1" ht="41.25" customHeight="1" x14ac:dyDescent="0.2">
      <c r="A102" s="213"/>
      <c r="B102" s="385"/>
      <c r="C102" s="385"/>
      <c r="D102" s="385"/>
      <c r="E102" s="385"/>
      <c r="F102" s="385"/>
      <c r="G102" s="385"/>
      <c r="H102" s="385"/>
      <c r="I102" s="385"/>
      <c r="J102" s="385"/>
      <c r="K102" s="168"/>
      <c r="L102" s="168"/>
      <c r="M102" s="168"/>
      <c r="N102" s="168"/>
      <c r="O102" s="168"/>
      <c r="P102" s="168"/>
      <c r="Q102" s="168"/>
      <c r="R102" s="168"/>
      <c r="S102" s="137"/>
      <c r="T102" s="168"/>
      <c r="U102" s="119"/>
      <c r="V102" s="138"/>
      <c r="W102" s="147"/>
      <c r="AC102" s="192"/>
      <c r="AD102" s="194"/>
      <c r="AE102" s="179"/>
      <c r="AF102" s="179"/>
      <c r="AG102" s="179"/>
      <c r="AI102" s="179"/>
      <c r="AJ102" s="157"/>
    </row>
    <row r="103" spans="1:45" s="83" customFormat="1" ht="41.25" customHeight="1" x14ac:dyDescent="0.2">
      <c r="A103" s="213"/>
      <c r="B103" s="385"/>
      <c r="C103" s="385"/>
      <c r="D103" s="385"/>
      <c r="E103" s="385"/>
      <c r="F103" s="385"/>
      <c r="G103" s="385"/>
      <c r="H103" s="385"/>
      <c r="I103" s="385"/>
      <c r="J103" s="385"/>
      <c r="K103" s="168"/>
      <c r="L103" s="168"/>
      <c r="M103" s="168"/>
      <c r="N103" s="168"/>
      <c r="O103" s="168"/>
      <c r="P103" s="168"/>
      <c r="Q103" s="168"/>
      <c r="R103" s="168"/>
      <c r="S103" s="137"/>
      <c r="T103" s="168"/>
      <c r="U103" s="119"/>
      <c r="V103" s="138"/>
      <c r="W103" s="147"/>
      <c r="AD103" s="194"/>
      <c r="AE103" s="179"/>
      <c r="AF103" s="179"/>
      <c r="AG103" s="179"/>
      <c r="AI103" s="179"/>
      <c r="AJ103" s="157"/>
    </row>
    <row r="104" spans="1:45" s="83" customFormat="1" ht="27.75" customHeight="1" x14ac:dyDescent="0.2">
      <c r="A104" s="213"/>
      <c r="B104" s="385"/>
      <c r="C104" s="385"/>
      <c r="D104" s="385"/>
      <c r="E104" s="385"/>
      <c r="F104" s="385"/>
      <c r="G104" s="385"/>
      <c r="H104" s="385"/>
      <c r="I104" s="385"/>
      <c r="J104" s="385"/>
      <c r="K104" s="168"/>
      <c r="L104" s="168"/>
      <c r="M104" s="168"/>
      <c r="N104" s="168"/>
      <c r="O104" s="168"/>
      <c r="P104" s="168"/>
      <c r="Q104" s="168"/>
      <c r="R104" s="168"/>
      <c r="S104" s="137"/>
      <c r="T104" s="168"/>
      <c r="U104" s="119"/>
      <c r="V104" s="138"/>
      <c r="W104" s="147"/>
      <c r="AD104" s="194"/>
      <c r="AE104" s="179"/>
      <c r="AF104" s="179"/>
      <c r="AG104" s="179"/>
      <c r="AI104" s="179"/>
      <c r="AJ104" s="157"/>
    </row>
    <row r="105" spans="1:45" s="83" customFormat="1" ht="7.5" customHeight="1" x14ac:dyDescent="0.2">
      <c r="A105" s="120"/>
      <c r="B105" s="18"/>
      <c r="C105" s="18"/>
      <c r="D105" s="17"/>
      <c r="E105" s="17"/>
      <c r="F105" s="17"/>
      <c r="G105" s="17"/>
      <c r="H105" s="17"/>
      <c r="I105" s="17"/>
      <c r="J105" s="17"/>
      <c r="K105" s="13"/>
      <c r="L105" s="19"/>
      <c r="M105" s="19"/>
      <c r="N105" s="19"/>
      <c r="O105" s="19"/>
      <c r="P105" s="19"/>
      <c r="Q105" s="19"/>
      <c r="R105" s="19"/>
      <c r="S105" s="19"/>
      <c r="T105" s="19"/>
      <c r="U105" s="119"/>
      <c r="V105" s="138"/>
      <c r="W105" s="147"/>
      <c r="Y105" s="185"/>
      <c r="AI105" s="179"/>
      <c r="AJ105" s="153"/>
      <c r="AK105" s="76"/>
      <c r="AL105" s="76"/>
      <c r="AM105" s="76"/>
      <c r="AN105" s="76"/>
      <c r="AO105" s="76"/>
      <c r="AP105" s="76"/>
      <c r="AQ105" s="76"/>
    </row>
    <row r="106" spans="1:45" s="83" customFormat="1" ht="15" customHeight="1" x14ac:dyDescent="0.2">
      <c r="A106" s="1399"/>
      <c r="B106" s="1421"/>
      <c r="C106" s="1421"/>
      <c r="D106" s="1421"/>
      <c r="E106" s="1421"/>
      <c r="F106" s="1421"/>
      <c r="G106" s="1421"/>
      <c r="H106" s="1421"/>
      <c r="I106" s="1421"/>
      <c r="J106" s="1421"/>
      <c r="K106" s="1421"/>
      <c r="L106" s="1421"/>
      <c r="M106" s="1421"/>
      <c r="N106" s="1421"/>
      <c r="O106" s="1421"/>
      <c r="P106" s="1421"/>
      <c r="Q106" s="1421"/>
      <c r="R106" s="1421"/>
      <c r="S106" s="1421"/>
      <c r="T106" s="1421"/>
      <c r="U106" s="1422"/>
      <c r="V106" s="138"/>
      <c r="W106" s="147"/>
      <c r="AJ106" s="157"/>
      <c r="AS106" s="76"/>
    </row>
    <row r="107" spans="1:45" s="83" customFormat="1" ht="11.25" customHeight="1" x14ac:dyDescent="0.2">
      <c r="A107" s="1428" t="str">
        <f>Home!$A$40</f>
        <v>LA's provide quarterly data on the condition that it is used by the benchmarking group for internal reporting only. Please DO NOT share other LA's data with any external partners or the public</v>
      </c>
      <c r="B107" s="1429"/>
      <c r="C107" s="1429"/>
      <c r="D107" s="1429"/>
      <c r="E107" s="1429"/>
      <c r="F107" s="1429"/>
      <c r="G107" s="1429"/>
      <c r="H107" s="1429"/>
      <c r="I107" s="1431"/>
      <c r="J107" s="1430"/>
      <c r="K107" s="1429"/>
      <c r="L107" s="1429"/>
      <c r="M107" s="1429"/>
      <c r="N107" s="1429"/>
      <c r="O107" s="1429"/>
      <c r="P107" s="1429"/>
      <c r="Q107" s="1431"/>
      <c r="R107" s="1429"/>
      <c r="S107" s="1429"/>
      <c r="T107" s="1429"/>
      <c r="U107" s="1432"/>
      <c r="V107" s="138"/>
      <c r="W107" s="147"/>
      <c r="AI107" s="179"/>
      <c r="AJ107" s="156"/>
      <c r="AK107" s="89"/>
      <c r="AS107" s="76"/>
    </row>
    <row r="108" spans="1:45" ht="11.25" customHeight="1" x14ac:dyDescent="0.2">
      <c r="A108" s="114"/>
      <c r="B108" s="115"/>
      <c r="C108" s="115"/>
      <c r="D108" s="115"/>
      <c r="E108" s="115"/>
      <c r="F108" s="115"/>
      <c r="G108" s="115"/>
      <c r="H108" s="115"/>
      <c r="I108" s="115"/>
      <c r="J108" s="115"/>
      <c r="K108" s="116"/>
      <c r="L108" s="115"/>
      <c r="M108" s="115"/>
      <c r="N108" s="115"/>
      <c r="O108" s="115"/>
      <c r="P108" s="115"/>
      <c r="Q108" s="115"/>
      <c r="R108" s="115"/>
      <c r="S108" s="115"/>
      <c r="T108" s="115"/>
      <c r="U108" s="117"/>
      <c r="V108" s="138"/>
      <c r="W108" s="147"/>
      <c r="X108" s="76"/>
      <c r="Y108" s="577"/>
      <c r="Z108" s="577"/>
      <c r="AA108" s="577"/>
      <c r="AB108" s="577"/>
      <c r="AC108" s="577"/>
      <c r="AI108" s="179"/>
      <c r="AJ108" s="157"/>
    </row>
    <row r="109" spans="1:45" s="78" customFormat="1" ht="15" customHeight="1" x14ac:dyDescent="0.2">
      <c r="A109" s="121"/>
      <c r="B109" s="1442" t="s">
        <v>683</v>
      </c>
      <c r="C109" s="1442"/>
      <c r="D109" s="1442"/>
      <c r="E109" s="1442"/>
      <c r="F109" s="1442"/>
      <c r="G109" s="1442"/>
      <c r="H109" s="1442"/>
      <c r="I109" s="1442"/>
      <c r="J109" s="220"/>
      <c r="K109" s="69"/>
      <c r="L109" s="69"/>
      <c r="M109" s="69"/>
      <c r="N109" s="69"/>
      <c r="O109" s="771"/>
      <c r="P109" s="69"/>
      <c r="Q109" s="69"/>
      <c r="R109" s="69"/>
      <c r="S109" s="69"/>
      <c r="T109" s="69"/>
      <c r="U109" s="122"/>
      <c r="V109" s="139"/>
      <c r="W109" s="148"/>
      <c r="X109" s="577" t="s">
        <v>770</v>
      </c>
      <c r="Y109" s="375"/>
      <c r="Z109" s="376"/>
      <c r="AA109" s="376"/>
      <c r="AB109" s="376"/>
      <c r="AC109" s="565"/>
      <c r="AD109" s="374"/>
      <c r="AE109" s="375"/>
      <c r="AF109" s="376"/>
      <c r="AG109" s="376"/>
      <c r="AH109" s="376"/>
      <c r="AI109" s="565"/>
      <c r="AJ109" s="156"/>
    </row>
    <row r="110" spans="1:45" ht="20.25" customHeight="1" x14ac:dyDescent="0.2">
      <c r="A110" s="120"/>
      <c r="B110" s="1442"/>
      <c r="C110" s="1442"/>
      <c r="D110" s="1442"/>
      <c r="E110" s="1442"/>
      <c r="F110" s="1442"/>
      <c r="G110" s="1442"/>
      <c r="H110" s="1442"/>
      <c r="I110" s="1442"/>
      <c r="J110" s="220"/>
      <c r="K110" s="69"/>
      <c r="L110" s="69"/>
      <c r="M110" s="69"/>
      <c r="N110" s="69"/>
      <c r="O110" s="771"/>
      <c r="P110" s="69"/>
      <c r="Q110" s="69"/>
      <c r="R110" s="69"/>
      <c r="S110" s="10"/>
      <c r="T110" s="69"/>
      <c r="U110" s="119"/>
      <c r="V110" s="138"/>
      <c r="W110" s="147"/>
      <c r="X110" s="76"/>
      <c r="Y110" s="76"/>
      <c r="Z110" s="76"/>
      <c r="AA110" s="76"/>
      <c r="AB110" s="76"/>
      <c r="AC110" s="76"/>
      <c r="AD110" s="374"/>
      <c r="AE110" s="375"/>
      <c r="AF110" s="376"/>
      <c r="AG110" s="376"/>
      <c r="AH110" s="376"/>
      <c r="AI110" s="565"/>
      <c r="AJ110" s="157"/>
    </row>
    <row r="111" spans="1:45" s="89" customFormat="1" ht="13.5" customHeight="1" x14ac:dyDescent="0.2">
      <c r="A111" s="123"/>
      <c r="B111" s="1419" t="s">
        <v>190</v>
      </c>
      <c r="C111" s="959"/>
      <c r="D111" s="755" t="str">
        <f>Sheet1!$D$25</f>
        <v>2014-15</v>
      </c>
      <c r="E111" s="756" t="str">
        <f>Sheet1!$E$25</f>
        <v>2015-16</v>
      </c>
      <c r="F111" s="756" t="str">
        <f>Sheet1!$F$25</f>
        <v>2016-17</v>
      </c>
      <c r="G111" s="756" t="str">
        <f>Sheet1!$G$25</f>
        <v>2017-18</v>
      </c>
      <c r="H111" s="757" t="str">
        <f>Sheet1!$H$25</f>
        <v>2018-19</v>
      </c>
      <c r="I111" s="61"/>
      <c r="J111" s="98"/>
      <c r="K111" s="98"/>
      <c r="L111" s="61"/>
      <c r="M111" s="61"/>
      <c r="N111" s="61"/>
      <c r="O111" s="61"/>
      <c r="P111" s="61"/>
      <c r="Q111" s="61"/>
      <c r="R111" s="774"/>
      <c r="S111" s="774"/>
      <c r="T111" s="155"/>
      <c r="U111" s="124"/>
      <c r="V111" s="140"/>
      <c r="W111" s="149"/>
      <c r="X111" s="552"/>
      <c r="Y111" s="556" t="str">
        <f>IF(Sheet1!$C$3="Annual","",Sheet1!$D$26)</f>
        <v/>
      </c>
      <c r="Z111" s="463" t="str">
        <f>IF(Sheet1!$C$3="Annual","",Sheet1!$E$26)</f>
        <v/>
      </c>
      <c r="AA111" s="463" t="str">
        <f>IF(Sheet1!$C$3="Annual","",Sheet1!$F$26)</f>
        <v/>
      </c>
      <c r="AB111" s="463" t="str">
        <f>IF(Sheet1!$C$3="Annual","",Sheet1!$G$26)</f>
        <v/>
      </c>
      <c r="AC111" s="463" t="str">
        <f>IF(Sheet1!$C$3="Annual","",Sheet1!$H$26)</f>
        <v/>
      </c>
      <c r="AD111" s="374"/>
      <c r="AE111" s="375"/>
      <c r="AF111" s="376"/>
      <c r="AG111" s="376"/>
      <c r="AH111" s="376"/>
      <c r="AI111" s="565"/>
      <c r="AJ111" s="156"/>
    </row>
    <row r="112" spans="1:45" s="89" customFormat="1" ht="13.5" customHeight="1" x14ac:dyDescent="0.2">
      <c r="A112" s="286"/>
      <c r="B112" s="1420"/>
      <c r="C112" s="87"/>
      <c r="D112" s="758" t="e">
        <f>Sheet1!$D$26</f>
        <v>#N/A</v>
      </c>
      <c r="E112" s="758" t="e">
        <f>Sheet1!$E$26</f>
        <v>#N/A</v>
      </c>
      <c r="F112" s="758" t="e">
        <f>Sheet1!$F$26</f>
        <v>#N/A</v>
      </c>
      <c r="G112" s="758" t="e">
        <f>Sheet1!$G$26</f>
        <v>#N/A</v>
      </c>
      <c r="H112" s="759" t="e">
        <f>Sheet1!$H$26</f>
        <v>#N/A</v>
      </c>
      <c r="I112" s="61"/>
      <c r="J112" s="98"/>
      <c r="K112" s="98"/>
      <c r="L112" s="61"/>
      <c r="M112" s="61"/>
      <c r="N112" s="61"/>
      <c r="O112" s="61"/>
      <c r="P112" s="61"/>
      <c r="Q112" s="61"/>
      <c r="R112" s="961"/>
      <c r="S112" s="961"/>
      <c r="T112" s="155"/>
      <c r="U112" s="124"/>
      <c r="V112" s="140"/>
      <c r="W112" s="149"/>
      <c r="X112" s="552"/>
      <c r="Y112" s="556" t="str">
        <f>Sheet1!$D$25</f>
        <v>2014-15</v>
      </c>
      <c r="Z112" s="463" t="str">
        <f>Sheet1!$E$25</f>
        <v>2015-16</v>
      </c>
      <c r="AA112" s="463" t="str">
        <f>Sheet1!$F$25</f>
        <v>2016-17</v>
      </c>
      <c r="AB112" s="463" t="str">
        <f>Sheet1!$G$25</f>
        <v>2017-18</v>
      </c>
      <c r="AC112" s="463" t="str">
        <f>Sheet1!$H$25</f>
        <v>2018-19</v>
      </c>
      <c r="AD112" s="374"/>
      <c r="AE112" s="375"/>
      <c r="AF112" s="376"/>
      <c r="AG112" s="376"/>
      <c r="AH112" s="376"/>
      <c r="AI112" s="565"/>
      <c r="AJ112" s="156"/>
    </row>
    <row r="113" spans="1:44" s="89" customFormat="1" ht="12.75" customHeight="1" x14ac:dyDescent="0.2">
      <c r="A113" s="462">
        <f>VLOOKUP(B113,Sheet1!$AQ$4:$AR$25,2,FALSE)</f>
        <v>0</v>
      </c>
      <c r="B113" s="95" t="str">
        <f t="shared" ref="B113:B136" si="37">B10</f>
        <v>Bracknell Forest</v>
      </c>
      <c r="C113" s="87"/>
      <c r="D113" s="158">
        <f t="shared" ref="D113:D136" si="38">IF(AND(ISNUMBER(Y113),ISNUMBER(D10)),Y113/D10,NA())</f>
        <v>0.94871794871794868</v>
      </c>
      <c r="E113" s="158">
        <f t="shared" ref="E113:H113" si="39">IF(AND(ISNUMBER(Z113),ISNUMBER(E10)),Z113/E10,NA())</f>
        <v>0.9</v>
      </c>
      <c r="F113" s="158">
        <f t="shared" si="39"/>
        <v>0.96875</v>
      </c>
      <c r="G113" s="158">
        <f t="shared" si="39"/>
        <v>1</v>
      </c>
      <c r="H113" s="160" t="e">
        <f t="shared" si="39"/>
        <v>#N/A</v>
      </c>
      <c r="I113" s="425"/>
      <c r="J113" s="98"/>
      <c r="K113" s="98"/>
      <c r="L113" s="162"/>
      <c r="M113" s="162"/>
      <c r="N113" s="162"/>
      <c r="O113" s="162"/>
      <c r="P113" s="162"/>
      <c r="Q113" s="162"/>
      <c r="R113" s="162"/>
      <c r="S113" s="163"/>
      <c r="T113" s="155"/>
      <c r="U113" s="124"/>
      <c r="V113" s="140"/>
      <c r="W113" s="149"/>
      <c r="X113" s="365" t="str">
        <f t="shared" ref="X113:X135" si="40">B113</f>
        <v>Bracknell Forest</v>
      </c>
      <c r="Y113" s="463">
        <f>IF(Year1_Bracknell_Forest Year1_Care_Leavers_in_suitable_accommodation="","",Year1_Bracknell_Forest Year1_Care_Leavers_in_suitable_accommodation)</f>
        <v>37</v>
      </c>
      <c r="Z113" s="365">
        <f>IF(Year2_Bracknell_Forest Year2_Care_Leavers_in_suitable_accommodation="","",Year2_Bracknell_Forest Year2_Care_Leavers_in_suitable_accommodation)</f>
        <v>36</v>
      </c>
      <c r="AA113" s="365">
        <f>IF(Year3_Bracknell_Forest Year3_Care_Leavers_in_suitable_accommodation="","",Year3_Bracknell_Forest Year3_Care_Leavers_in_suitable_accommodation)</f>
        <v>31</v>
      </c>
      <c r="AB113" s="365">
        <f>IF(Year4_Bracknell_Forest Year4_Care_Leavers_in_suitable_accommodation="","",Year4_Bracknell_Forest Year4_Care_Leavers_in_suitable_accommodation)</f>
        <v>42</v>
      </c>
      <c r="AC113" s="365" t="str">
        <f>IF(Year5_Bracknell_Forest Year5_Care_Leavers_in_suitable_accommodation="","",Year5_Bracknell_Forest Year5_Care_Leavers_in_suitable_accommodation)</f>
        <v>x</v>
      </c>
      <c r="AD113" s="374"/>
      <c r="AE113" s="375"/>
      <c r="AF113" s="376"/>
      <c r="AG113" s="376"/>
      <c r="AH113" s="376"/>
      <c r="AI113" s="565"/>
      <c r="AJ113" s="157"/>
    </row>
    <row r="114" spans="1:44" s="89" customFormat="1" ht="12.75" customHeight="1" x14ac:dyDescent="0.2">
      <c r="A114" s="462">
        <f>VLOOKUP(B114,Sheet1!$AQ$4:$AR$25,2,FALSE)</f>
        <v>0</v>
      </c>
      <c r="B114" s="95" t="str">
        <f t="shared" si="37"/>
        <v>Brighton &amp; Hove</v>
      </c>
      <c r="C114" s="87"/>
      <c r="D114" s="158">
        <f t="shared" si="38"/>
        <v>0.94318181818181823</v>
      </c>
      <c r="E114" s="158">
        <f t="shared" ref="E114:E136" si="41">IF(AND(ISNUMBER(Z114),ISNUMBER(E11)),Z114/E11,NA())</f>
        <v>0.95652173913043481</v>
      </c>
      <c r="F114" s="158">
        <f t="shared" ref="F114:F136" si="42">IF(AND(ISNUMBER(AA114),ISNUMBER(F11)),AA114/F11,NA())</f>
        <v>0.94252873563218387</v>
      </c>
      <c r="G114" s="158">
        <f t="shared" ref="G114:G136" si="43">IF(AND(ISNUMBER(AB114),ISNUMBER(G11)),AB114/G11,NA())</f>
        <v>0.9128205128205128</v>
      </c>
      <c r="H114" s="160">
        <f t="shared" ref="H114:H136" si="44">IF(AND(ISNUMBER(AC114),ISNUMBER(H11)),AC114/H11,NA())</f>
        <v>0.90410958904109584</v>
      </c>
      <c r="I114" s="425"/>
      <c r="J114" s="98"/>
      <c r="K114" s="98"/>
      <c r="L114" s="162"/>
      <c r="M114" s="162"/>
      <c r="N114" s="162"/>
      <c r="O114" s="162"/>
      <c r="P114" s="162"/>
      <c r="Q114" s="162"/>
      <c r="R114" s="162"/>
      <c r="S114" s="163"/>
      <c r="T114" s="155"/>
      <c r="U114" s="124"/>
      <c r="V114" s="140"/>
      <c r="W114" s="149"/>
      <c r="X114" s="365" t="str">
        <f t="shared" si="40"/>
        <v>Brighton &amp; Hove</v>
      </c>
      <c r="Y114" s="463">
        <f>IF(Year1_Brighton_Hove Year1_Care_Leavers_in_suitable_accommodation="","",Year1_Brighton_Hove Year1_Care_Leavers_in_suitable_accommodation)</f>
        <v>166</v>
      </c>
      <c r="Z114" s="365">
        <f>IF(Year2_Brighton_Hove Year2_Care_Leavers_in_suitable_accommodation="","",Year2_Brighton_Hove Year2_Care_Leavers_in_suitable_accommodation)</f>
        <v>154</v>
      </c>
      <c r="AA114" s="365">
        <f>IF(Year3_Brighton_Hove Year3_Care_Leavers_in_suitable_accommodation="","",Year3_Brighton_Hove Year3_Care_Leavers_in_suitable_accommodation)</f>
        <v>164</v>
      </c>
      <c r="AB114" s="365">
        <f>IF(Year4_Brighton_Hove Year4_Care_Leavers_in_suitable_accommodation="","",Year4_Brighton_Hove Year4_Care_Leavers_in_suitable_accommodation)</f>
        <v>178</v>
      </c>
      <c r="AC114" s="365">
        <f>IF(Year5_Brighton_Hove Year5_Care_Leavers_in_suitable_accommodation="","",Year5_Brighton_Hove Year5_Care_Leavers_in_suitable_accommodation)</f>
        <v>198</v>
      </c>
      <c r="AD114" s="374"/>
      <c r="AE114" s="580"/>
      <c r="AF114" s="376"/>
      <c r="AG114" s="376"/>
      <c r="AH114" s="376"/>
      <c r="AI114" s="565"/>
      <c r="AJ114" s="156"/>
    </row>
    <row r="115" spans="1:44" s="89" customFormat="1" ht="12.75" customHeight="1" x14ac:dyDescent="0.2">
      <c r="A115" s="462">
        <f>VLOOKUP(B115,Sheet1!$AQ$4:$AR$25,2,FALSE)</f>
        <v>0</v>
      </c>
      <c r="B115" s="95" t="str">
        <f t="shared" si="37"/>
        <v>Buckinghamshire</v>
      </c>
      <c r="C115" s="87"/>
      <c r="D115" s="158">
        <f t="shared" si="38"/>
        <v>0.8</v>
      </c>
      <c r="E115" s="158">
        <f t="shared" si="41"/>
        <v>0.79470198675496684</v>
      </c>
      <c r="F115" s="158">
        <f t="shared" si="42"/>
        <v>0.68823529411764706</v>
      </c>
      <c r="G115" s="158">
        <f t="shared" si="43"/>
        <v>0.76884422110552764</v>
      </c>
      <c r="H115" s="160">
        <f t="shared" si="44"/>
        <v>0.89247311827956988</v>
      </c>
      <c r="I115" s="425"/>
      <c r="J115" s="98"/>
      <c r="K115" s="98"/>
      <c r="L115" s="162"/>
      <c r="M115" s="162"/>
      <c r="N115" s="162"/>
      <c r="O115" s="162"/>
      <c r="P115" s="162"/>
      <c r="Q115" s="162"/>
      <c r="R115" s="162"/>
      <c r="S115" s="163"/>
      <c r="T115" s="155"/>
      <c r="U115" s="124"/>
      <c r="V115" s="140"/>
      <c r="W115" s="149"/>
      <c r="X115" s="365" t="str">
        <f t="shared" si="40"/>
        <v>Buckinghamshire</v>
      </c>
      <c r="Y115" s="463">
        <f>IF(Year1_Buckinghamshire Year1_Care_Leavers_in_suitable_accommodation="","",Year1_Buckinghamshire Year1_Care_Leavers_in_suitable_accommodation)</f>
        <v>100</v>
      </c>
      <c r="Z115" s="365">
        <f>IF(Year2_Buckinghamshire Year2_Care_Leavers_in_suitable_accommodation="","",Year2_Buckinghamshire Year2_Care_Leavers_in_suitable_accommodation)</f>
        <v>120</v>
      </c>
      <c r="AA115" s="365">
        <f>IF(Year3_Buckinghamshire Year3_Care_Leavers_in_suitable_accommodation="","",Year3_Buckinghamshire Year3_Care_Leavers_in_suitable_accommodation)</f>
        <v>117</v>
      </c>
      <c r="AB115" s="365">
        <f>IF(Year4_Buckinghamshire Year4_Care_Leavers_in_suitable_accommodation="","",Year4_Buckinghamshire Year4_Care_Leavers_in_suitable_accommodation)</f>
        <v>153</v>
      </c>
      <c r="AC115" s="365">
        <f>IF(Year5_Buckinghamshire Year5_Care_Leavers_in_suitable_accommodation="","",Year5_Buckinghamshire Year5_Care_Leavers_in_suitable_accommodation)</f>
        <v>166</v>
      </c>
      <c r="AD115" s="374"/>
      <c r="AE115" s="580"/>
      <c r="AF115" s="376"/>
      <c r="AG115" s="376"/>
      <c r="AH115" s="376"/>
      <c r="AI115" s="565"/>
      <c r="AJ115" s="157"/>
    </row>
    <row r="116" spans="1:44" s="89" customFormat="1" ht="12.75" customHeight="1" x14ac:dyDescent="0.2">
      <c r="A116" s="462">
        <f>VLOOKUP(B116,Sheet1!$AQ$4:$AR$25,2,FALSE)</f>
        <v>0</v>
      </c>
      <c r="B116" s="95" t="str">
        <f t="shared" si="37"/>
        <v>East Sussex</v>
      </c>
      <c r="C116" s="87"/>
      <c r="D116" s="158">
        <f t="shared" si="38"/>
        <v>0.77844311377245512</v>
      </c>
      <c r="E116" s="158">
        <f t="shared" si="41"/>
        <v>0.81578947368421051</v>
      </c>
      <c r="F116" s="158">
        <f t="shared" si="42"/>
        <v>0.7651006711409396</v>
      </c>
      <c r="G116" s="158">
        <f t="shared" si="43"/>
        <v>0.77272727272727271</v>
      </c>
      <c r="H116" s="160">
        <f t="shared" si="44"/>
        <v>0.78443113772455086</v>
      </c>
      <c r="I116" s="425"/>
      <c r="J116" s="98"/>
      <c r="K116" s="98"/>
      <c r="L116" s="162"/>
      <c r="M116" s="162"/>
      <c r="N116" s="162"/>
      <c r="O116" s="162"/>
      <c r="P116" s="162"/>
      <c r="Q116" s="162"/>
      <c r="R116" s="162"/>
      <c r="S116" s="163"/>
      <c r="T116" s="155"/>
      <c r="U116" s="124"/>
      <c r="V116" s="140"/>
      <c r="W116" s="149"/>
      <c r="X116" s="365" t="str">
        <f t="shared" si="40"/>
        <v>East Sussex</v>
      </c>
      <c r="Y116" s="463">
        <f>IF(Year1_East_Sussex Year1_Care_Leavers_in_suitable_accommodation="","",Year1_East_Sussex Year1_Care_Leavers_in_suitable_accommodation)</f>
        <v>130</v>
      </c>
      <c r="Z116" s="365">
        <f>IF(Year2_East_Sussex Year2_Care_Leavers_in_suitable_accommodation="","",Year2_East_Sussex Year2_Care_Leavers_in_suitable_accommodation)</f>
        <v>124</v>
      </c>
      <c r="AA116" s="365">
        <f>IF(Year3_East_Sussex Year3_Care_Leavers_in_suitable_accommodation="","",Year3_East_Sussex Year3_Care_Leavers_in_suitable_accommodation)</f>
        <v>114</v>
      </c>
      <c r="AB116" s="365">
        <f>IF(Year4_East_Sussex Year4_Care_Leavers_in_suitable_accommodation="","",Year4_East_Sussex Year4_Care_Leavers_in_suitable_accommodation)</f>
        <v>119</v>
      </c>
      <c r="AC116" s="365">
        <f>IF(Year5_East_Sussex Year5_Care_Leavers_in_suitable_accommodation="","",Year5_East_Sussex Year5_Care_Leavers_in_suitable_accommodation)</f>
        <v>131</v>
      </c>
      <c r="AD116" s="374"/>
      <c r="AE116" s="580"/>
      <c r="AF116" s="376"/>
      <c r="AG116" s="376"/>
      <c r="AH116" s="376"/>
      <c r="AI116" s="565"/>
      <c r="AJ116" s="156"/>
    </row>
    <row r="117" spans="1:44" s="89" customFormat="1" ht="12.75" customHeight="1" x14ac:dyDescent="0.2">
      <c r="A117" s="462">
        <f>VLOOKUP(B117,Sheet1!$AQ$4:$AR$25,2,FALSE)</f>
        <v>0</v>
      </c>
      <c r="B117" s="95" t="str">
        <f t="shared" si="37"/>
        <v>Hampshire</v>
      </c>
      <c r="C117" s="87"/>
      <c r="D117" s="158">
        <f t="shared" si="38"/>
        <v>0.73601789709172261</v>
      </c>
      <c r="E117" s="158">
        <f t="shared" si="41"/>
        <v>0.71084337349397586</v>
      </c>
      <c r="F117" s="158">
        <f t="shared" si="42"/>
        <v>0.75445544554455446</v>
      </c>
      <c r="G117" s="158">
        <f t="shared" si="43"/>
        <v>0.70754716981132071</v>
      </c>
      <c r="H117" s="160">
        <f t="shared" si="44"/>
        <v>0.65758754863813229</v>
      </c>
      <c r="I117" s="425"/>
      <c r="J117" s="98"/>
      <c r="K117" s="98"/>
      <c r="L117" s="162"/>
      <c r="M117" s="162"/>
      <c r="N117" s="162"/>
      <c r="O117" s="162"/>
      <c r="P117" s="162"/>
      <c r="Q117" s="162"/>
      <c r="R117" s="162"/>
      <c r="S117" s="163"/>
      <c r="T117" s="155"/>
      <c r="U117" s="124"/>
      <c r="V117" s="140"/>
      <c r="W117" s="149"/>
      <c r="X117" s="365" t="str">
        <f t="shared" si="40"/>
        <v>Hampshire</v>
      </c>
      <c r="Y117" s="463">
        <f>IF(Year1_Hampshire Year1_Care_Leavers_in_suitable_accommodation="","",Year1_Hampshire Year1_Care_Leavers_in_suitable_accommodation)</f>
        <v>329</v>
      </c>
      <c r="Z117" s="365">
        <f>IF(Year2_Hampshire Year2_Care_Leavers_in_suitable_accommodation="","",Year2_Hampshire Year2_Care_Leavers_in_suitable_accommodation)</f>
        <v>354</v>
      </c>
      <c r="AA117" s="365">
        <f>IF(Year3_Hampshire Year3_Care_Leavers_in_suitable_accommodation="","",Year3_Hampshire Year3_Care_Leavers_in_suitable_accommodation)</f>
        <v>381</v>
      </c>
      <c r="AB117" s="365">
        <f>IF(Year4_Hampshire Year4_Care_Leavers_in_suitable_accommodation="","",Year4_Hampshire Year4_Care_Leavers_in_suitable_accommodation)</f>
        <v>375</v>
      </c>
      <c r="AC117" s="365">
        <f>IF(Year5_Hampshire Year5_Care_Leavers_in_suitable_accommodation="","",Year5_Hampshire Year5_Care_Leavers_in_suitable_accommodation)</f>
        <v>338</v>
      </c>
      <c r="AD117" s="374"/>
      <c r="AE117" s="580"/>
      <c r="AF117" s="376"/>
      <c r="AG117" s="376"/>
      <c r="AH117" s="376"/>
      <c r="AI117" s="565"/>
      <c r="AJ117" s="157"/>
    </row>
    <row r="118" spans="1:44" s="89" customFormat="1" ht="12.75" customHeight="1" x14ac:dyDescent="0.2">
      <c r="A118" s="462">
        <f>VLOOKUP(B118,Sheet1!$AQ$4:$AR$25,2,FALSE)</f>
        <v>0</v>
      </c>
      <c r="B118" s="95" t="str">
        <f t="shared" si="37"/>
        <v>Isle of Wight</v>
      </c>
      <c r="C118" s="87"/>
      <c r="D118" s="158">
        <f t="shared" si="38"/>
        <v>0.93023255813953487</v>
      </c>
      <c r="E118" s="158">
        <f t="shared" si="41"/>
        <v>0.91111111111111109</v>
      </c>
      <c r="F118" s="158">
        <f t="shared" si="42"/>
        <v>0.71276595744680848</v>
      </c>
      <c r="G118" s="158" t="e">
        <f t="shared" si="43"/>
        <v>#N/A</v>
      </c>
      <c r="H118" s="160">
        <f t="shared" si="44"/>
        <v>0.88764044943820219</v>
      </c>
      <c r="I118" s="425"/>
      <c r="J118" s="98"/>
      <c r="K118" s="98"/>
      <c r="L118" s="162"/>
      <c r="M118" s="162"/>
      <c r="N118" s="162"/>
      <c r="O118" s="162"/>
      <c r="P118" s="162"/>
      <c r="Q118" s="162"/>
      <c r="R118" s="162"/>
      <c r="S118" s="163"/>
      <c r="T118" s="155"/>
      <c r="U118" s="124"/>
      <c r="V118" s="140"/>
      <c r="W118" s="149"/>
      <c r="X118" s="365" t="str">
        <f t="shared" si="40"/>
        <v>Isle of Wight</v>
      </c>
      <c r="Y118" s="463">
        <f>IF(Year1_Isle_of_Wight Year1_Care_Leavers_in_suitable_accommodation="","",Year1_Isle_of_Wight Year1_Care_Leavers_in_suitable_accommodation)</f>
        <v>80</v>
      </c>
      <c r="Z118" s="365">
        <f>IF(Year2_Isle_of_Wight Year2_Care_Leavers_in_suitable_accommodation="","",Year2_Isle_of_Wight Year2_Care_Leavers_in_suitable_accommodation)</f>
        <v>82</v>
      </c>
      <c r="AA118" s="365">
        <f>IF(Year3_Isle_of_Wight Year3_Care_Leavers_in_suitable_accommodation="","",Year3_Isle_of_Wight Year3_Care_Leavers_in_suitable_accommodation)</f>
        <v>67</v>
      </c>
      <c r="AB118" s="365" t="str">
        <f>IF(Year4_Isle_of_Wight Year4_Care_Leavers_in_suitable_accommodation="","",Year4_Isle_of_Wight Year4_Care_Leavers_in_suitable_accommodation)</f>
        <v>x</v>
      </c>
      <c r="AC118" s="365">
        <f>IF(Year5_Isle_of_Wight Year5_Care_Leavers_in_suitable_accommodation="","",Year5_Isle_of_Wight Year5_Care_Leavers_in_suitable_accommodation)</f>
        <v>79</v>
      </c>
      <c r="AD118" s="374"/>
      <c r="AE118" s="580"/>
      <c r="AF118" s="376"/>
      <c r="AG118" s="376"/>
      <c r="AH118" s="376"/>
      <c r="AI118" s="565"/>
      <c r="AJ118" s="156"/>
      <c r="AR118" s="89" t="s">
        <v>103</v>
      </c>
    </row>
    <row r="119" spans="1:44" s="89" customFormat="1" ht="12.75" customHeight="1" x14ac:dyDescent="0.2">
      <c r="A119" s="462">
        <f>VLOOKUP(B119,Sheet1!$AQ$4:$AR$25,2,FALSE)</f>
        <v>0</v>
      </c>
      <c r="B119" s="95" t="str">
        <f t="shared" si="37"/>
        <v>Kent</v>
      </c>
      <c r="C119" s="87"/>
      <c r="D119" s="158">
        <f t="shared" si="38"/>
        <v>0.64533053515215111</v>
      </c>
      <c r="E119" s="158">
        <f t="shared" si="41"/>
        <v>0.67513227513227514</v>
      </c>
      <c r="F119" s="158">
        <f t="shared" si="42"/>
        <v>0.76133209990749307</v>
      </c>
      <c r="G119" s="158">
        <f t="shared" si="43"/>
        <v>0.76278724981467749</v>
      </c>
      <c r="H119" s="160">
        <f t="shared" si="44"/>
        <v>0.7695852534562212</v>
      </c>
      <c r="I119" s="425"/>
      <c r="J119" s="98"/>
      <c r="K119" s="98"/>
      <c r="L119" s="162"/>
      <c r="M119" s="162"/>
      <c r="N119" s="162"/>
      <c r="O119" s="162"/>
      <c r="P119" s="162"/>
      <c r="Q119" s="162"/>
      <c r="R119" s="162"/>
      <c r="S119" s="163"/>
      <c r="T119" s="155"/>
      <c r="U119" s="124"/>
      <c r="V119" s="140"/>
      <c r="W119" s="149"/>
      <c r="X119" s="365" t="str">
        <f t="shared" si="40"/>
        <v>Kent</v>
      </c>
      <c r="Y119" s="463">
        <f>IF(Year1_Kent Year1_Care_Leavers_in_suitable_accommodation="","",Year1_Kent Year1_Care_Leavers_in_suitable_accommodation)</f>
        <v>615</v>
      </c>
      <c r="Z119" s="365">
        <f>IF(Year2_Kent Year2_Care_Leavers_in_suitable_accommodation="","",Year2_Kent Year2_Care_Leavers_in_suitable_accommodation)</f>
        <v>638</v>
      </c>
      <c r="AA119" s="365">
        <f>IF(Year3_Kent Year3_Care_Leavers_in_suitable_accommodation="","",Year3_Kent Year3_Care_Leavers_in_suitable_accommodation)</f>
        <v>823</v>
      </c>
      <c r="AB119" s="365">
        <f>IF(Year4_Kent Year4_Care_Leavers_in_suitable_accommodation="","",Year4_Kent Year4_Care_Leavers_in_suitable_accommodation)</f>
        <v>1029</v>
      </c>
      <c r="AC119" s="365">
        <f>IF(Year5_Kent Year5_Care_Leavers_in_suitable_accommodation="","",Year5_Kent Year5_Care_Leavers_in_suitable_accommodation)</f>
        <v>1169</v>
      </c>
      <c r="AD119" s="374"/>
      <c r="AE119" s="375"/>
      <c r="AF119" s="376"/>
      <c r="AG119" s="376"/>
      <c r="AH119" s="376"/>
      <c r="AI119" s="565"/>
      <c r="AJ119" s="157"/>
    </row>
    <row r="120" spans="1:44" s="89" customFormat="1" ht="12.75" customHeight="1" x14ac:dyDescent="0.2">
      <c r="A120" s="462">
        <f>VLOOKUP(B120,Sheet1!$AQ$4:$AR$25,2,FALSE)</f>
        <v>0</v>
      </c>
      <c r="B120" s="95" t="str">
        <f t="shared" si="37"/>
        <v>Medway</v>
      </c>
      <c r="C120" s="87"/>
      <c r="D120" s="158">
        <f t="shared" si="38"/>
        <v>0.86170212765957444</v>
      </c>
      <c r="E120" s="158">
        <f t="shared" si="41"/>
        <v>0.89743589743589747</v>
      </c>
      <c r="F120" s="158">
        <f t="shared" si="42"/>
        <v>0.88034188034188032</v>
      </c>
      <c r="G120" s="158">
        <f t="shared" si="43"/>
        <v>0.9285714285714286</v>
      </c>
      <c r="H120" s="160">
        <f t="shared" si="44"/>
        <v>0.90756302521008403</v>
      </c>
      <c r="I120" s="425"/>
      <c r="J120" s="98"/>
      <c r="K120" s="98"/>
      <c r="L120" s="162"/>
      <c r="M120" s="162"/>
      <c r="N120" s="162"/>
      <c r="O120" s="162"/>
      <c r="P120" s="162"/>
      <c r="Q120" s="162"/>
      <c r="R120" s="162"/>
      <c r="S120" s="163"/>
      <c r="T120" s="155"/>
      <c r="U120" s="124"/>
      <c r="V120" s="140"/>
      <c r="W120" s="149"/>
      <c r="X120" s="365" t="str">
        <f t="shared" si="40"/>
        <v>Medway</v>
      </c>
      <c r="Y120" s="463">
        <f>IF(Year1_Medway Year1_Care_Leavers_in_suitable_accommodation="","",Year1_Medway Year1_Care_Leavers_in_suitable_accommodation)</f>
        <v>162</v>
      </c>
      <c r="Z120" s="365">
        <f>IF(Year2_Medway Year2_Care_Leavers_in_suitable_accommodation="","",Year2_Medway Year2_Care_Leavers_in_suitable_accommodation)</f>
        <v>140</v>
      </c>
      <c r="AA120" s="365">
        <f>IF(Year3_Medway Year3_Care_Leavers_in_suitable_accommodation="","",Year3_Medway Year3_Care_Leavers_in_suitable_accommodation)</f>
        <v>103</v>
      </c>
      <c r="AB120" s="365">
        <f>IF(Year4_Medway Year4_Care_Leavers_in_suitable_accommodation="","",Year4_Medway Year4_Care_Leavers_in_suitable_accommodation)</f>
        <v>104</v>
      </c>
      <c r="AC120" s="365">
        <f>IF(Year5_Medway Year5_Care_Leavers_in_suitable_accommodation="","",Year5_Medway Year5_Care_Leavers_in_suitable_accommodation)</f>
        <v>108</v>
      </c>
      <c r="AD120" s="374"/>
      <c r="AE120" s="375"/>
      <c r="AF120" s="376"/>
      <c r="AG120" s="376"/>
      <c r="AH120" s="376"/>
      <c r="AI120" s="565"/>
      <c r="AJ120" s="156"/>
    </row>
    <row r="121" spans="1:44" s="89" customFormat="1" ht="12.75" customHeight="1" x14ac:dyDescent="0.2">
      <c r="A121" s="462">
        <f>VLOOKUP(B121,Sheet1!$AQ$4:$AR$25,2,FALSE)</f>
        <v>0</v>
      </c>
      <c r="B121" s="95" t="str">
        <f t="shared" si="37"/>
        <v>Milton Keynes</v>
      </c>
      <c r="C121" s="87"/>
      <c r="D121" s="158">
        <f t="shared" si="38"/>
        <v>0.73275862068965514</v>
      </c>
      <c r="E121" s="158">
        <f t="shared" si="41"/>
        <v>0.77777777777777779</v>
      </c>
      <c r="F121" s="158">
        <f t="shared" si="42"/>
        <v>0.82481751824817517</v>
      </c>
      <c r="G121" s="158">
        <f t="shared" si="43"/>
        <v>0.79865771812080533</v>
      </c>
      <c r="H121" s="160">
        <f t="shared" si="44"/>
        <v>0.81437125748502992</v>
      </c>
      <c r="I121" s="425"/>
      <c r="J121" s="98"/>
      <c r="K121" s="98"/>
      <c r="L121" s="162"/>
      <c r="M121" s="162"/>
      <c r="N121" s="162"/>
      <c r="O121" s="162"/>
      <c r="P121" s="162"/>
      <c r="Q121" s="162"/>
      <c r="R121" s="162"/>
      <c r="S121" s="163"/>
      <c r="T121" s="155"/>
      <c r="U121" s="124"/>
      <c r="V121" s="140"/>
      <c r="W121" s="149"/>
      <c r="X121" s="365" t="str">
        <f t="shared" si="40"/>
        <v>Milton Keynes</v>
      </c>
      <c r="Y121" s="463">
        <f>IF(Year1_Milton_Keynes Year1_Care_Leavers_in_suitable_accommodation="","",Year1_Milton_Keynes Year1_Care_Leavers_in_suitable_accommodation)</f>
        <v>85</v>
      </c>
      <c r="Z121" s="365">
        <f>IF(Year2_Milton_Keynes Year2_Care_Leavers_in_suitable_accommodation="","",Year2_Milton_Keynes Year2_Care_Leavers_in_suitable_accommodation)</f>
        <v>91</v>
      </c>
      <c r="AA121" s="365">
        <f>IF(Year3_Milton_Keynes Year3_Care_Leavers_in_suitable_accommodation="","",Year3_Milton_Keynes Year3_Care_Leavers_in_suitable_accommodation)</f>
        <v>113</v>
      </c>
      <c r="AB121" s="365">
        <f>IF(Year4_Milton_Keynes Year4_Care_Leavers_in_suitable_accommodation="","",Year4_Milton_Keynes Year4_Care_Leavers_in_suitable_accommodation)</f>
        <v>119</v>
      </c>
      <c r="AC121" s="365">
        <f>IF(Year5_Milton_Keynes Year5_Care_Leavers_in_suitable_accommodation="","",Year5_Milton_Keynes Year5_Care_Leavers_in_suitable_accommodation)</f>
        <v>136</v>
      </c>
      <c r="AD121" s="374"/>
      <c r="AE121" s="375"/>
      <c r="AF121" s="376"/>
      <c r="AG121" s="376"/>
      <c r="AH121" s="376"/>
      <c r="AI121" s="565"/>
      <c r="AJ121" s="157"/>
    </row>
    <row r="122" spans="1:44" s="89" customFormat="1" ht="12.75" customHeight="1" x14ac:dyDescent="0.2">
      <c r="A122" s="462">
        <f>VLOOKUP(B122,Sheet1!$AQ$4:$AR$25,2,FALSE)</f>
        <v>0</v>
      </c>
      <c r="B122" s="95" t="str">
        <f t="shared" si="37"/>
        <v>Oxfordshire</v>
      </c>
      <c r="C122" s="87"/>
      <c r="D122" s="158">
        <f t="shared" si="38"/>
        <v>0.73207547169811316</v>
      </c>
      <c r="E122" s="158">
        <f t="shared" si="41"/>
        <v>0.70472440944881887</v>
      </c>
      <c r="F122" s="158">
        <f t="shared" si="42"/>
        <v>0.80869565217391304</v>
      </c>
      <c r="G122" s="158">
        <f t="shared" si="43"/>
        <v>0.77272727272727271</v>
      </c>
      <c r="H122" s="160">
        <f t="shared" si="44"/>
        <v>0.74545454545454548</v>
      </c>
      <c r="I122" s="425"/>
      <c r="J122" s="98"/>
      <c r="K122" s="98"/>
      <c r="L122" s="162"/>
      <c r="M122" s="162"/>
      <c r="N122" s="162"/>
      <c r="O122" s="162"/>
      <c r="P122" s="162"/>
      <c r="Q122" s="162"/>
      <c r="R122" s="162"/>
      <c r="S122" s="163"/>
      <c r="T122" s="155"/>
      <c r="U122" s="124"/>
      <c r="V122" s="140"/>
      <c r="W122" s="149"/>
      <c r="X122" s="365" t="str">
        <f t="shared" si="40"/>
        <v>Oxfordshire</v>
      </c>
      <c r="Y122" s="463">
        <f>IF(Year1_Oxfordshire Year1_Care_Leavers_in_suitable_accommodation="","",Year1_Oxfordshire Year1_Care_Leavers_in_suitable_accommodation)</f>
        <v>194</v>
      </c>
      <c r="Z122" s="365">
        <f>IF(Year2_Oxfordshire Year2_Care_Leavers_in_suitable_accommodation="","",Year2_Oxfordshire Year2_Care_Leavers_in_suitable_accommodation)</f>
        <v>179</v>
      </c>
      <c r="AA122" s="365">
        <f>IF(Year3_Oxfordshire Year3_Care_Leavers_in_suitable_accommodation="","",Year3_Oxfordshire Year3_Care_Leavers_in_suitable_accommodation)</f>
        <v>186</v>
      </c>
      <c r="AB122" s="365">
        <f>IF(Year4_Oxfordshire Year4_Care_Leavers_in_suitable_accommodation="","",Year4_Oxfordshire Year4_Care_Leavers_in_suitable_accommodation)</f>
        <v>187</v>
      </c>
      <c r="AC122" s="365">
        <f>IF(Year5_Oxfordshire Year5_Care_Leavers_in_suitable_accommodation="","",Year5_Oxfordshire Year5_Care_Leavers_in_suitable_accommodation)</f>
        <v>205</v>
      </c>
      <c r="AD122" s="374"/>
      <c r="AE122" s="375"/>
      <c r="AF122" s="376"/>
      <c r="AG122" s="376"/>
      <c r="AH122" s="376"/>
      <c r="AI122" s="565"/>
      <c r="AJ122" s="156"/>
    </row>
    <row r="123" spans="1:44" s="89" customFormat="1" ht="12.75" customHeight="1" x14ac:dyDescent="0.2">
      <c r="A123" s="462">
        <f>VLOOKUP(B123,Sheet1!$AQ$4:$AR$25,2,FALSE)</f>
        <v>0</v>
      </c>
      <c r="B123" s="95" t="str">
        <f t="shared" si="37"/>
        <v>Portsmouth</v>
      </c>
      <c r="C123" s="87"/>
      <c r="D123" s="158">
        <f t="shared" si="38"/>
        <v>0.71287128712871284</v>
      </c>
      <c r="E123" s="158">
        <f t="shared" si="41"/>
        <v>0.63207547169811318</v>
      </c>
      <c r="F123" s="158">
        <f t="shared" si="42"/>
        <v>0.65486725663716816</v>
      </c>
      <c r="G123" s="158">
        <f t="shared" si="43"/>
        <v>0.69565217391304346</v>
      </c>
      <c r="H123" s="160">
        <f t="shared" si="44"/>
        <v>0.68292682926829273</v>
      </c>
      <c r="I123" s="425"/>
      <c r="J123" s="98"/>
      <c r="K123" s="98"/>
      <c r="L123" s="162"/>
      <c r="M123" s="162"/>
      <c r="N123" s="162"/>
      <c r="O123" s="162"/>
      <c r="P123" s="162"/>
      <c r="Q123" s="162"/>
      <c r="R123" s="162"/>
      <c r="S123" s="163"/>
      <c r="T123" s="155"/>
      <c r="U123" s="124"/>
      <c r="V123" s="140"/>
      <c r="W123" s="149"/>
      <c r="X123" s="365" t="str">
        <f t="shared" si="40"/>
        <v>Portsmouth</v>
      </c>
      <c r="Y123" s="463">
        <f>IF(Year1_Portsmouth Year1_Care_Leavers_in_suitable_accommodation="","",Year1_Portsmouth Year1_Care_Leavers_in_suitable_accommodation)</f>
        <v>72</v>
      </c>
      <c r="Z123" s="365">
        <f>IF(Year2_Portsmouth Year2_Care_Leavers_in_suitable_accommodation="","",Year2_Portsmouth Year2_Care_Leavers_in_suitable_accommodation)</f>
        <v>67</v>
      </c>
      <c r="AA123" s="365">
        <f>IF(Year3_Portsmouth Year3_Care_Leavers_in_suitable_accommodation="","",Year3_Portsmouth Year3_Care_Leavers_in_suitable_accommodation)</f>
        <v>74</v>
      </c>
      <c r="AB123" s="365">
        <f>IF(Year4_Portsmouth Year4_Care_Leavers_in_suitable_accommodation="","",Year4_Portsmouth Year4_Care_Leavers_in_suitable_accommodation)</f>
        <v>80</v>
      </c>
      <c r="AC123" s="365">
        <f>IF(Year5_Portsmouth Year5_Care_Leavers_in_suitable_accommodation="","",Year5_Portsmouth Year5_Care_Leavers_in_suitable_accommodation)</f>
        <v>84</v>
      </c>
      <c r="AD123" s="374"/>
      <c r="AE123" s="375"/>
      <c r="AF123" s="376"/>
      <c r="AG123" s="376"/>
      <c r="AH123" s="376"/>
      <c r="AI123" s="565"/>
      <c r="AJ123" s="157"/>
    </row>
    <row r="124" spans="1:44" s="89" customFormat="1" ht="12.75" customHeight="1" x14ac:dyDescent="0.2">
      <c r="A124" s="462">
        <f>VLOOKUP(B124,Sheet1!$AQ$4:$AR$25,2,FALSE)</f>
        <v>0</v>
      </c>
      <c r="B124" s="95" t="str">
        <f t="shared" si="37"/>
        <v>Reading</v>
      </c>
      <c r="C124" s="87"/>
      <c r="D124" s="158">
        <f t="shared" si="38"/>
        <v>0.828125</v>
      </c>
      <c r="E124" s="158">
        <f t="shared" si="41"/>
        <v>0.8970588235294118</v>
      </c>
      <c r="F124" s="158">
        <f t="shared" si="42"/>
        <v>0.88461538461538458</v>
      </c>
      <c r="G124" s="158">
        <f t="shared" si="43"/>
        <v>0.7816091954022989</v>
      </c>
      <c r="H124" s="160">
        <f t="shared" si="44"/>
        <v>0.87755102040816324</v>
      </c>
      <c r="I124" s="425"/>
      <c r="J124" s="98"/>
      <c r="K124" s="98"/>
      <c r="L124" s="162"/>
      <c r="M124" s="162"/>
      <c r="N124" s="162"/>
      <c r="O124" s="162"/>
      <c r="P124" s="162"/>
      <c r="Q124" s="162"/>
      <c r="R124" s="162"/>
      <c r="S124" s="163"/>
      <c r="T124" s="155"/>
      <c r="U124" s="124"/>
      <c r="V124" s="140"/>
      <c r="W124" s="149"/>
      <c r="X124" s="365" t="str">
        <f t="shared" si="40"/>
        <v>Reading</v>
      </c>
      <c r="Y124" s="463">
        <f>IF(Year1_Reading Year1_Care_Leavers_in_suitable_accommodation="","",Year1_Reading Year1_Care_Leavers_in_suitable_accommodation)</f>
        <v>53</v>
      </c>
      <c r="Z124" s="365">
        <f>IF(Year2_Reading Year2_Care_Leavers_in_suitable_accommodation="","",Year2_Reading Year2_Care_Leavers_in_suitable_accommodation)</f>
        <v>61</v>
      </c>
      <c r="AA124" s="365">
        <f>IF(Year3_Reading Year3_Care_Leavers_in_suitable_accommodation="","",Year3_Reading Year3_Care_Leavers_in_suitable_accommodation)</f>
        <v>69</v>
      </c>
      <c r="AB124" s="365">
        <f>IF(Year4_Reading Year4_Care_Leavers_in_suitable_accommodation="","",Year4_Reading Year4_Care_Leavers_in_suitable_accommodation)</f>
        <v>68</v>
      </c>
      <c r="AC124" s="365">
        <f>IF(Year5_Reading Year5_Care_Leavers_in_suitable_accommodation="","",Year5_Reading Year5_Care_Leavers_in_suitable_accommodation)</f>
        <v>86</v>
      </c>
      <c r="AD124" s="374"/>
      <c r="AE124" s="375"/>
      <c r="AF124" s="376"/>
      <c r="AG124" s="376"/>
      <c r="AH124" s="376"/>
      <c r="AI124" s="565"/>
      <c r="AJ124" s="156"/>
    </row>
    <row r="125" spans="1:44" s="89" customFormat="1" ht="12.75" customHeight="1" x14ac:dyDescent="0.2">
      <c r="A125" s="462">
        <f>VLOOKUP(B125,Sheet1!$AQ$4:$AR$25,2,FALSE)</f>
        <v>0</v>
      </c>
      <c r="B125" s="95" t="str">
        <f t="shared" si="37"/>
        <v>Slough</v>
      </c>
      <c r="C125" s="87"/>
      <c r="D125" s="158">
        <f t="shared" si="38"/>
        <v>0.84210526315789469</v>
      </c>
      <c r="E125" s="158">
        <f t="shared" si="41"/>
        <v>0.6741573033707865</v>
      </c>
      <c r="F125" s="158">
        <f t="shared" si="42"/>
        <v>0.68674698795180722</v>
      </c>
      <c r="G125" s="158">
        <f t="shared" si="43"/>
        <v>0.6741573033707865</v>
      </c>
      <c r="H125" s="160">
        <f t="shared" si="44"/>
        <v>0.7931034482758621</v>
      </c>
      <c r="I125" s="425"/>
      <c r="J125" s="98"/>
      <c r="K125" s="98"/>
      <c r="L125" s="162"/>
      <c r="M125" s="162"/>
      <c r="N125" s="162"/>
      <c r="O125" s="162"/>
      <c r="P125" s="162"/>
      <c r="Q125" s="162"/>
      <c r="R125" s="162"/>
      <c r="S125" s="163"/>
      <c r="T125" s="155"/>
      <c r="U125" s="124"/>
      <c r="V125" s="140"/>
      <c r="W125" s="149"/>
      <c r="X125" s="365" t="str">
        <f t="shared" si="40"/>
        <v>Slough</v>
      </c>
      <c r="Y125" s="463">
        <f>IF(Year1_Slough Year1_Care_Leavers_in_suitable_accommodation="","",Year1_Slough Year1_Care_Leavers_in_suitable_accommodation)</f>
        <v>64</v>
      </c>
      <c r="Z125" s="365">
        <f>IF(Year2_Slough Year2_Care_Leavers_in_suitable_accommodation="","",Year2_Slough Year2_Care_Leavers_in_suitable_accommodation)</f>
        <v>60</v>
      </c>
      <c r="AA125" s="365">
        <f>IF(Year3_Slough Year3_Care_Leavers_in_suitable_accommodation="","",Year3_Slough Year3_Care_Leavers_in_suitable_accommodation)</f>
        <v>57</v>
      </c>
      <c r="AB125" s="365">
        <f>IF(Year4_Slough Year4_Care_Leavers_in_suitable_accommodation="","",Year4_Slough Year4_Care_Leavers_in_suitable_accommodation)</f>
        <v>60</v>
      </c>
      <c r="AC125" s="365">
        <f>IF(Year5_Slough Year5_Care_Leavers_in_suitable_accommodation="","",Year5_Slough Year5_Care_Leavers_in_suitable_accommodation)</f>
        <v>69</v>
      </c>
      <c r="AD125" s="374"/>
      <c r="AE125" s="375"/>
      <c r="AF125" s="376"/>
      <c r="AG125" s="376"/>
      <c r="AH125" s="376"/>
      <c r="AI125" s="565"/>
      <c r="AJ125" s="157"/>
    </row>
    <row r="126" spans="1:44" s="89" customFormat="1" ht="12.75" customHeight="1" x14ac:dyDescent="0.2">
      <c r="A126" s="462">
        <f>VLOOKUP(B126,Sheet1!$AQ$4:$AR$25,2,FALSE)</f>
        <v>0</v>
      </c>
      <c r="B126" s="95" t="str">
        <f t="shared" si="37"/>
        <v>Somerset</v>
      </c>
      <c r="C126" s="87"/>
      <c r="D126" s="158">
        <f t="shared" si="38"/>
        <v>0.86617100371747213</v>
      </c>
      <c r="E126" s="158">
        <f t="shared" si="41"/>
        <v>0.88846153846153841</v>
      </c>
      <c r="F126" s="158">
        <f t="shared" si="42"/>
        <v>0.92272727272727273</v>
      </c>
      <c r="G126" s="158">
        <f t="shared" si="43"/>
        <v>0.93034825870646765</v>
      </c>
      <c r="H126" s="160" t="e">
        <f t="shared" si="44"/>
        <v>#N/A</v>
      </c>
      <c r="I126" s="425"/>
      <c r="J126" s="98"/>
      <c r="K126" s="98"/>
      <c r="L126" s="162"/>
      <c r="M126" s="162"/>
      <c r="N126" s="162"/>
      <c r="O126" s="162"/>
      <c r="P126" s="162"/>
      <c r="Q126" s="162"/>
      <c r="R126" s="162"/>
      <c r="S126" s="163"/>
      <c r="T126" s="155"/>
      <c r="U126" s="124"/>
      <c r="V126" s="140"/>
      <c r="W126" s="149"/>
      <c r="X126" s="365" t="str">
        <f t="shared" si="40"/>
        <v>Somerset</v>
      </c>
      <c r="Y126" s="463">
        <f>IF(Year1_Somerset Year1_Care_Leavers_in_suitable_accommodation="","",Year1_Somerset Year1_Care_Leavers_in_suitable_accommodation)</f>
        <v>233</v>
      </c>
      <c r="Z126" s="365">
        <f>IF(Year2_Somerset Year2_Care_Leavers_in_suitable_accommodation="","",Year2_Somerset Year2_Care_Leavers_in_suitable_accommodation)</f>
        <v>231</v>
      </c>
      <c r="AA126" s="365">
        <f>IF(Year3_Somerset Year3_Care_Leavers_in_suitable_accommodation="","",Year3_Somerset Year3_Care_Leavers_in_suitable_accommodation)</f>
        <v>203</v>
      </c>
      <c r="AB126" s="365">
        <f>IF(Year4_Somerset Year4_Care_Leavers_in_suitable_accommodation="","",Year4_Somerset Year4_Care_Leavers_in_suitable_accommodation)</f>
        <v>187</v>
      </c>
      <c r="AC126" s="365" t="str">
        <f>IF(Year5_Somerset Year5_Care_Leavers_in_suitable_accommodation="","",Year5_Somerset Year5_Care_Leavers_in_suitable_accommodation)</f>
        <v>x</v>
      </c>
      <c r="AD126" s="374"/>
      <c r="AE126" s="375"/>
      <c r="AF126" s="376"/>
      <c r="AG126" s="376"/>
      <c r="AH126" s="376"/>
      <c r="AI126" s="565"/>
      <c r="AJ126" s="156"/>
    </row>
    <row r="127" spans="1:44" s="89" customFormat="1" ht="12.75" customHeight="1" x14ac:dyDescent="0.2">
      <c r="A127" s="462">
        <f>VLOOKUP(B127,Sheet1!$AQ$4:$AR$25,2,FALSE)</f>
        <v>0</v>
      </c>
      <c r="B127" s="95" t="str">
        <f t="shared" si="37"/>
        <v>Southampton</v>
      </c>
      <c r="C127" s="87"/>
      <c r="D127" s="158">
        <f t="shared" si="38"/>
        <v>0.74380165289256195</v>
      </c>
      <c r="E127" s="158">
        <f t="shared" si="41"/>
        <v>0.63076923076923075</v>
      </c>
      <c r="F127" s="158">
        <f t="shared" si="42"/>
        <v>0.77419354838709675</v>
      </c>
      <c r="G127" s="158">
        <f t="shared" si="43"/>
        <v>0.79838709677419351</v>
      </c>
      <c r="H127" s="160">
        <f t="shared" si="44"/>
        <v>0.83464566929133854</v>
      </c>
      <c r="I127" s="425"/>
      <c r="J127" s="98"/>
      <c r="K127" s="98"/>
      <c r="L127" s="162"/>
      <c r="M127" s="162"/>
      <c r="N127" s="162"/>
      <c r="O127" s="162"/>
      <c r="P127" s="162"/>
      <c r="Q127" s="162"/>
      <c r="R127" s="162"/>
      <c r="S127" s="163"/>
      <c r="T127" s="155"/>
      <c r="U127" s="124"/>
      <c r="V127" s="140"/>
      <c r="W127" s="149"/>
      <c r="X127" s="365" t="str">
        <f t="shared" si="40"/>
        <v>Southampton</v>
      </c>
      <c r="Y127" s="463">
        <f>IF(Year1_Southampton Year1_Care_Leavers_in_suitable_accommodation="","",Year1_Southampton Year1_Care_Leavers_in_suitable_accommodation)</f>
        <v>90</v>
      </c>
      <c r="Z127" s="365">
        <f>IF(Year2_Southampton Year2_Care_Leavers_in_suitable_accommodation="","",Year2_Southampton Year2_Care_Leavers_in_suitable_accommodation)</f>
        <v>82</v>
      </c>
      <c r="AA127" s="365">
        <f>IF(Year3_Southampton Year3_Care_Leavers_in_suitable_accommodation="","",Year3_Southampton Year3_Care_Leavers_in_suitable_accommodation)</f>
        <v>96</v>
      </c>
      <c r="AB127" s="365">
        <f>IF(Year4_Southampton Year4_Care_Leavers_in_suitable_accommodation="","",Year4_Southampton Year4_Care_Leavers_in_suitable_accommodation)</f>
        <v>99</v>
      </c>
      <c r="AC127" s="365">
        <f>IF(Year5_Southampton Year5_Care_Leavers_in_suitable_accommodation="","",Year5_Southampton Year5_Care_Leavers_in_suitable_accommodation)</f>
        <v>106</v>
      </c>
      <c r="AD127" s="374"/>
      <c r="AE127" s="375"/>
      <c r="AF127" s="376"/>
      <c r="AG127" s="376"/>
      <c r="AH127" s="376"/>
      <c r="AI127" s="565"/>
      <c r="AJ127" s="157"/>
    </row>
    <row r="128" spans="1:44" s="89" customFormat="1" ht="12.75" customHeight="1" x14ac:dyDescent="0.2">
      <c r="A128" s="462">
        <f>VLOOKUP(B128,Sheet1!$AQ$4:$AR$25,2,FALSE)</f>
        <v>0</v>
      </c>
      <c r="B128" s="95" t="str">
        <f t="shared" si="37"/>
        <v>Surrey</v>
      </c>
      <c r="C128" s="87"/>
      <c r="D128" s="158">
        <f t="shared" si="38"/>
        <v>0.80672268907563027</v>
      </c>
      <c r="E128" s="158">
        <f t="shared" si="41"/>
        <v>0.84297520661157022</v>
      </c>
      <c r="F128" s="158">
        <f t="shared" si="42"/>
        <v>0.83421052631578951</v>
      </c>
      <c r="G128" s="158">
        <f t="shared" si="43"/>
        <v>0.81578947368421051</v>
      </c>
      <c r="H128" s="160">
        <f t="shared" si="44"/>
        <v>0.84842105263157896</v>
      </c>
      <c r="I128" s="425"/>
      <c r="J128" s="98"/>
      <c r="K128" s="98"/>
      <c r="L128" s="162"/>
      <c r="M128" s="162"/>
      <c r="N128" s="162"/>
      <c r="O128" s="162"/>
      <c r="P128" s="162"/>
      <c r="Q128" s="162"/>
      <c r="R128" s="162"/>
      <c r="S128" s="163"/>
      <c r="T128" s="155"/>
      <c r="U128" s="124"/>
      <c r="V128" s="140"/>
      <c r="W128" s="149"/>
      <c r="X128" s="365" t="str">
        <f t="shared" si="40"/>
        <v>Surrey</v>
      </c>
      <c r="Y128" s="463">
        <f>IF(Year1_Surrey Year1_Care_Leavers_in_suitable_accommodation="","",Year1_Surrey Year1_Care_Leavers_in_suitable_accommodation)</f>
        <v>288</v>
      </c>
      <c r="Z128" s="365">
        <f>IF(Year2_Surrey Year2_Care_Leavers_in_suitable_accommodation="","",Year2_Surrey Year2_Care_Leavers_in_suitable_accommodation)</f>
        <v>306</v>
      </c>
      <c r="AA128" s="365">
        <f>IF(Year3_Surrey Year3_Care_Leavers_in_suitable_accommodation="","",Year3_Surrey Year3_Care_Leavers_in_suitable_accommodation)</f>
        <v>317</v>
      </c>
      <c r="AB128" s="365">
        <f>IF(Year4_Surrey Year4_Care_Leavers_in_suitable_accommodation="","",Year4_Surrey Year4_Care_Leavers_in_suitable_accommodation)</f>
        <v>341</v>
      </c>
      <c r="AC128" s="365">
        <f>IF(Year5_Surrey Year5_Care_Leavers_in_suitable_accommodation="","",Year5_Surrey Year5_Care_Leavers_in_suitable_accommodation)</f>
        <v>403</v>
      </c>
      <c r="AD128" s="374"/>
      <c r="AE128" s="375"/>
      <c r="AF128" s="376"/>
      <c r="AG128" s="376"/>
      <c r="AH128" s="376"/>
      <c r="AI128" s="565"/>
      <c r="AJ128" s="156"/>
    </row>
    <row r="129" spans="1:45" s="89" customFormat="1" ht="12.75" customHeight="1" x14ac:dyDescent="0.2">
      <c r="A129" s="462">
        <f>VLOOKUP(B129,Sheet1!$AQ$4:$AR$25,2,FALSE)</f>
        <v>0</v>
      </c>
      <c r="B129" s="95" t="str">
        <f t="shared" si="37"/>
        <v>Swindon</v>
      </c>
      <c r="C129" s="87"/>
      <c r="D129" s="158">
        <f t="shared" si="38"/>
        <v>0.75539568345323738</v>
      </c>
      <c r="E129" s="158">
        <f t="shared" si="41"/>
        <v>0.84507042253521125</v>
      </c>
      <c r="F129" s="158">
        <f t="shared" si="42"/>
        <v>0.83464566929133854</v>
      </c>
      <c r="G129" s="158">
        <f t="shared" si="43"/>
        <v>0.88709677419354838</v>
      </c>
      <c r="H129" s="160">
        <f t="shared" si="44"/>
        <v>0.82222222222222219</v>
      </c>
      <c r="I129" s="425"/>
      <c r="J129" s="98"/>
      <c r="K129" s="98"/>
      <c r="L129" s="162"/>
      <c r="M129" s="162"/>
      <c r="N129" s="162"/>
      <c r="O129" s="162"/>
      <c r="P129" s="162"/>
      <c r="Q129" s="162"/>
      <c r="R129" s="162"/>
      <c r="S129" s="163"/>
      <c r="T129" s="155"/>
      <c r="U129" s="124"/>
      <c r="V129" s="140"/>
      <c r="W129" s="149"/>
      <c r="X129" s="365" t="str">
        <f t="shared" si="40"/>
        <v>Swindon</v>
      </c>
      <c r="Y129" s="463">
        <f>IF(Year1_Swindon Year1_Care_Leavers_in_suitable_accommodation="","",Year1_Swindon Year1_Care_Leavers_in_suitable_accommodation)</f>
        <v>105</v>
      </c>
      <c r="Z129" s="365">
        <f>IF(Year2_Swindon Year2_Care_Leavers_in_suitable_accommodation="","",Year2_Swindon Year2_Care_Leavers_in_suitable_accommodation)</f>
        <v>120</v>
      </c>
      <c r="AA129" s="365">
        <f>IF(Year3_Swindon Year3_Care_Leavers_in_suitable_accommodation="","",Year3_Swindon Year3_Care_Leavers_in_suitable_accommodation)</f>
        <v>106</v>
      </c>
      <c r="AB129" s="365">
        <f>IF(Year4_Swindon Year4_Care_Leavers_in_suitable_accommodation="","",Year4_Swindon Year4_Care_Leavers_in_suitable_accommodation)</f>
        <v>110</v>
      </c>
      <c r="AC129" s="365">
        <f>IF(Year5_Swindon Year5_Care_Leavers_in_suitable_accommodation="","",Year5_Swindon Year5_Care_Leavers_in_suitable_accommodation)</f>
        <v>111</v>
      </c>
      <c r="AD129" s="374"/>
      <c r="AE129" s="375"/>
      <c r="AF129" s="376"/>
      <c r="AG129" s="376"/>
      <c r="AH129" s="376"/>
      <c r="AI129" s="565"/>
      <c r="AJ129" s="157"/>
    </row>
    <row r="130" spans="1:45" s="89" customFormat="1" ht="12.75" customHeight="1" x14ac:dyDescent="0.2">
      <c r="A130" s="462">
        <f>VLOOKUP(B130,Sheet1!$AQ$4:$AR$25,2,FALSE)</f>
        <v>0</v>
      </c>
      <c r="B130" s="95" t="str">
        <f t="shared" si="37"/>
        <v>Torbay</v>
      </c>
      <c r="C130" s="87"/>
      <c r="D130" s="158">
        <f t="shared" si="38"/>
        <v>0.97142857142857142</v>
      </c>
      <c r="E130" s="158">
        <f t="shared" si="41"/>
        <v>0.9375</v>
      </c>
      <c r="F130" s="158">
        <f t="shared" si="42"/>
        <v>0.94680851063829785</v>
      </c>
      <c r="G130" s="158" t="e">
        <f t="shared" si="43"/>
        <v>#N/A</v>
      </c>
      <c r="H130" s="160">
        <f t="shared" si="44"/>
        <v>0.91346153846153844</v>
      </c>
      <c r="I130" s="425"/>
      <c r="J130" s="98"/>
      <c r="K130" s="98"/>
      <c r="L130" s="162"/>
      <c r="M130" s="162"/>
      <c r="N130" s="162"/>
      <c r="O130" s="162"/>
      <c r="P130" s="162"/>
      <c r="Q130" s="162"/>
      <c r="R130" s="162"/>
      <c r="S130" s="163"/>
      <c r="T130" s="155"/>
      <c r="U130" s="124"/>
      <c r="V130" s="140"/>
      <c r="W130" s="149"/>
      <c r="X130" s="365" t="str">
        <f t="shared" si="40"/>
        <v>Torbay</v>
      </c>
      <c r="Y130" s="463">
        <f>IF(Year1_Torbay Year1_Care_Leavers_in_suitable_accommodation="","",Year1_Torbay Year1_Care_Leavers_in_suitable_accommodation)</f>
        <v>102</v>
      </c>
      <c r="Z130" s="365">
        <f>IF(Year2_Torbay Year2_Care_Leavers_in_suitable_accommodation="","",Year2_Torbay Year2_Care_Leavers_in_suitable_accommodation)</f>
        <v>90</v>
      </c>
      <c r="AA130" s="365">
        <f>IF(Year3_Torbay Year3_Care_Leavers_in_suitable_accommodation="","",Year3_Torbay Year3_Care_Leavers_in_suitable_accommodation)</f>
        <v>89</v>
      </c>
      <c r="AB130" s="365" t="str">
        <f>IF(Year4_Torbay Year4_Care_Leavers_in_suitable_accommodation="","",Year4_Torbay Year4_Care_Leavers_in_suitable_accommodation)</f>
        <v>x</v>
      </c>
      <c r="AC130" s="365">
        <f>IF(Year5_Torbay Year5_Care_Leavers_in_suitable_accommodation="","",Year5_Torbay Year5_Care_Leavers_in_suitable_accommodation)</f>
        <v>95</v>
      </c>
      <c r="AD130" s="374"/>
      <c r="AE130" s="375"/>
      <c r="AF130" s="376"/>
      <c r="AG130" s="376"/>
      <c r="AH130" s="376"/>
      <c r="AI130" s="565"/>
      <c r="AJ130" s="156"/>
    </row>
    <row r="131" spans="1:45" s="89" customFormat="1" ht="12.75" customHeight="1" x14ac:dyDescent="0.2">
      <c r="A131" s="462">
        <f>VLOOKUP(B131,Sheet1!$AQ$4:$AR$25,2,FALSE)</f>
        <v>0</v>
      </c>
      <c r="B131" s="95" t="str">
        <f t="shared" si="37"/>
        <v>West Berkshire</v>
      </c>
      <c r="C131" s="87"/>
      <c r="D131" s="158">
        <f t="shared" si="38"/>
        <v>0.8035714285714286</v>
      </c>
      <c r="E131" s="158">
        <f t="shared" si="41"/>
        <v>0.69090909090909092</v>
      </c>
      <c r="F131" s="158">
        <f t="shared" si="42"/>
        <v>0.6428571428571429</v>
      </c>
      <c r="G131" s="158">
        <f t="shared" si="43"/>
        <v>0.70512820512820518</v>
      </c>
      <c r="H131" s="160" t="e">
        <f t="shared" si="44"/>
        <v>#N/A</v>
      </c>
      <c r="I131" s="425"/>
      <c r="J131" s="98"/>
      <c r="K131" s="98"/>
      <c r="L131" s="162"/>
      <c r="M131" s="162"/>
      <c r="N131" s="162"/>
      <c r="O131" s="162"/>
      <c r="P131" s="162"/>
      <c r="Q131" s="162"/>
      <c r="R131" s="162"/>
      <c r="S131" s="163"/>
      <c r="T131" s="155"/>
      <c r="U131" s="124"/>
      <c r="V131" s="140"/>
      <c r="W131" s="149"/>
      <c r="X131" s="365" t="str">
        <f t="shared" si="40"/>
        <v>West Berkshire</v>
      </c>
      <c r="Y131" s="463">
        <f>IF(Year1_West_Berkshire Year1_Care_Leavers_in_suitable_accommodation="","",Year1_West_Berkshire Year1_Care_Leavers_in_suitable_accommodation)</f>
        <v>45</v>
      </c>
      <c r="Z131" s="365">
        <f>IF(Year2_West_Berkshire Year2_Care_Leavers_in_suitable_accommodation="","",Year2_West_Berkshire Year2_Care_Leavers_in_suitable_accommodation)</f>
        <v>38</v>
      </c>
      <c r="AA131" s="365">
        <f>IF(Year3_West_Berkshire Year3_Care_Leavers_in_suitable_accommodation="","",Year3_West_Berkshire Year3_Care_Leavers_in_suitable_accommodation)</f>
        <v>36</v>
      </c>
      <c r="AB131" s="365">
        <f>IF(Year4_West_Berkshire Year4_Care_Leavers_in_suitable_accommodation="","",Year4_West_Berkshire Year4_Care_Leavers_in_suitable_accommodation)</f>
        <v>55</v>
      </c>
      <c r="AC131" s="555" t="str">
        <f>IF(Year5_West_Berkshire Year5_Care_Leavers_in_suitable_accommodation="","",Year5_West_Berkshire Year5_Care_Leavers_in_suitable_accommodation)</f>
        <v>x</v>
      </c>
      <c r="AD131" s="374"/>
      <c r="AE131" s="375"/>
      <c r="AF131" s="376"/>
      <c r="AG131" s="376"/>
      <c r="AH131" s="376"/>
      <c r="AI131" s="565"/>
      <c r="AJ131" s="157"/>
    </row>
    <row r="132" spans="1:45" s="89" customFormat="1" ht="12.75" customHeight="1" x14ac:dyDescent="0.2">
      <c r="A132" s="462">
        <f>VLOOKUP(B132,Sheet1!$AQ$4:$AR$25,2,FALSE)</f>
        <v>0</v>
      </c>
      <c r="B132" s="95" t="str">
        <f t="shared" si="37"/>
        <v>West Sussex</v>
      </c>
      <c r="C132" s="87"/>
      <c r="D132" s="158">
        <f t="shared" si="38"/>
        <v>0.80685358255451711</v>
      </c>
      <c r="E132" s="158">
        <f t="shared" si="41"/>
        <v>0.84918032786885245</v>
      </c>
      <c r="F132" s="158">
        <f t="shared" si="42"/>
        <v>0.90342679127725856</v>
      </c>
      <c r="G132" s="158">
        <f t="shared" si="43"/>
        <v>0.91379310344827591</v>
      </c>
      <c r="H132" s="160">
        <f t="shared" si="44"/>
        <v>0.87603305785123964</v>
      </c>
      <c r="I132" s="425"/>
      <c r="J132" s="98"/>
      <c r="K132" s="98"/>
      <c r="L132" s="162"/>
      <c r="M132" s="162"/>
      <c r="N132" s="162"/>
      <c r="O132" s="162"/>
      <c r="P132" s="162"/>
      <c r="Q132" s="162"/>
      <c r="R132" s="162"/>
      <c r="S132" s="163"/>
      <c r="T132" s="155"/>
      <c r="U132" s="124"/>
      <c r="V132" s="140"/>
      <c r="W132" s="149"/>
      <c r="X132" s="365" t="str">
        <f t="shared" si="40"/>
        <v>West Sussex</v>
      </c>
      <c r="Y132" s="463">
        <f>IF(Year1_West_Sussex Year1_Care_Leavers_in_suitable_accommodation="","",Year1_West_Sussex Year1_Care_Leavers_in_suitable_accommodation)</f>
        <v>259</v>
      </c>
      <c r="Z132" s="365">
        <f>IF(Year2_West_Sussex Year2_Care_Leavers_in_suitable_accommodation="","",Year2_West_Sussex Year2_Care_Leavers_in_suitable_accommodation)</f>
        <v>259</v>
      </c>
      <c r="AA132" s="365">
        <f>IF(Year3_West_Sussex Year3_Care_Leavers_in_suitable_accommodation="","",Year3_West_Sussex Year3_Care_Leavers_in_suitable_accommodation)</f>
        <v>290</v>
      </c>
      <c r="AB132" s="365">
        <f>IF(Year4_West_Sussex Year4_Care_Leavers_in_suitable_accommodation="","",Year4_West_Sussex Year4_Care_Leavers_in_suitable_accommodation)</f>
        <v>318</v>
      </c>
      <c r="AC132" s="555">
        <f>IF(Year5_West_Sussex Year5_Care_Leavers_in_suitable_accommodation="","",Year5_West_Sussex Year5_Care_Leavers_in_suitable_accommodation)</f>
        <v>318</v>
      </c>
      <c r="AD132" s="374"/>
      <c r="AE132" s="375"/>
      <c r="AF132" s="376"/>
      <c r="AG132" s="376"/>
      <c r="AH132" s="376"/>
      <c r="AI132" s="565"/>
      <c r="AJ132" s="156"/>
    </row>
    <row r="133" spans="1:45" s="89" customFormat="1" ht="12.75" customHeight="1" x14ac:dyDescent="0.2">
      <c r="A133" s="462">
        <f>VLOOKUP(B133,Sheet1!$AQ$4:$AR$25,2,FALSE)</f>
        <v>0</v>
      </c>
      <c r="B133" s="95" t="str">
        <f t="shared" si="37"/>
        <v>Windsor &amp; Maidenhead</v>
      </c>
      <c r="C133" s="87"/>
      <c r="D133" s="158">
        <f t="shared" si="38"/>
        <v>0.69387755102040816</v>
      </c>
      <c r="E133" s="158">
        <f t="shared" si="41"/>
        <v>0.69047619047619047</v>
      </c>
      <c r="F133" s="158">
        <f t="shared" si="42"/>
        <v>0.77777777777777779</v>
      </c>
      <c r="G133" s="158">
        <f t="shared" si="43"/>
        <v>0.6875</v>
      </c>
      <c r="H133" s="160">
        <f t="shared" si="44"/>
        <v>0.875</v>
      </c>
      <c r="I133" s="425"/>
      <c r="J133" s="98"/>
      <c r="K133" s="98"/>
      <c r="L133" s="162"/>
      <c r="M133" s="162"/>
      <c r="N133" s="162"/>
      <c r="O133" s="162"/>
      <c r="P133" s="162"/>
      <c r="Q133" s="162"/>
      <c r="R133" s="162"/>
      <c r="S133" s="163"/>
      <c r="T133" s="155"/>
      <c r="U133" s="124"/>
      <c r="V133" s="140"/>
      <c r="W133" s="149"/>
      <c r="X133" s="365" t="str">
        <f t="shared" si="40"/>
        <v>Windsor &amp; Maidenhead</v>
      </c>
      <c r="Y133" s="463">
        <f>IF(Year1_Windsor_Maidenhead Year1_Care_Leavers_in_suitable_accommodation="","",Year1_Windsor_Maidenhead Year1_Care_Leavers_in_suitable_accommodation)</f>
        <v>34</v>
      </c>
      <c r="Z133" s="365">
        <f>IF(Year2_Windsor_Maidenhead Year2_Care_Leavers_in_suitable_accommodation="","",Year2_Windsor_Maidenhead Year2_Care_Leavers_in_suitable_accommodation)</f>
        <v>29</v>
      </c>
      <c r="AA133" s="365">
        <f>IF(Year3_Windsor_Maidenhead Year3_Care_Leavers_in_suitable_accommodation="","",Year3_Windsor_Maidenhead Year3_Care_Leavers_in_suitable_accommodation)</f>
        <v>35</v>
      </c>
      <c r="AB133" s="365">
        <f>IF(Year4_Windsor_Maidenhead Year4_Care_Leavers_in_suitable_accommodation="","",Year4_Windsor_Maidenhead Year4_Care_Leavers_in_suitable_accommodation)</f>
        <v>33</v>
      </c>
      <c r="AC133" s="555">
        <f>IF(Year5_Windsor_Maidenhead Year5_Care_Leavers_in_suitable_accommodation="","",Year5_Windsor_Maidenhead Year5_Care_Leavers_in_suitable_accommodation)</f>
        <v>49</v>
      </c>
      <c r="AD133" s="374"/>
      <c r="AE133" s="375"/>
      <c r="AF133" s="376"/>
      <c r="AG133" s="376"/>
      <c r="AH133" s="376"/>
      <c r="AI133" s="565"/>
      <c r="AJ133" s="157"/>
    </row>
    <row r="134" spans="1:45" s="89" customFormat="1" ht="12.75" customHeight="1" x14ac:dyDescent="0.2">
      <c r="A134" s="462">
        <f>VLOOKUP(B134,Sheet1!$AQ$4:$AR$25,2,FALSE)</f>
        <v>0</v>
      </c>
      <c r="B134" s="95" t="str">
        <f t="shared" si="37"/>
        <v>Wokingham</v>
      </c>
      <c r="C134" s="87"/>
      <c r="D134" s="158">
        <f t="shared" si="38"/>
        <v>0.92307692307692313</v>
      </c>
      <c r="E134" s="158">
        <f t="shared" si="41"/>
        <v>0.77419354838709675</v>
      </c>
      <c r="F134" s="158">
        <f t="shared" si="42"/>
        <v>0.84375</v>
      </c>
      <c r="G134" s="158" t="e">
        <f t="shared" si="43"/>
        <v>#N/A</v>
      </c>
      <c r="H134" s="160" t="e">
        <f t="shared" si="44"/>
        <v>#N/A</v>
      </c>
      <c r="I134" s="425"/>
      <c r="J134" s="98"/>
      <c r="K134" s="98"/>
      <c r="L134" s="162"/>
      <c r="M134" s="162"/>
      <c r="N134" s="162"/>
      <c r="O134" s="162"/>
      <c r="P134" s="162"/>
      <c r="Q134" s="162"/>
      <c r="R134" s="162"/>
      <c r="S134" s="163"/>
      <c r="T134" s="155"/>
      <c r="U134" s="124"/>
      <c r="V134" s="140"/>
      <c r="W134" s="149"/>
      <c r="X134" s="365" t="str">
        <f t="shared" si="40"/>
        <v>Wokingham</v>
      </c>
      <c r="Y134" s="463">
        <f>IF(Year1_Wokingham Year1_Care_Leavers_in_suitable_accommodation="","",Year1_Wokingham Year1_Care_Leavers_in_suitable_accommodation)</f>
        <v>36</v>
      </c>
      <c r="Z134" s="365">
        <f>IF(Year2_Wokingham Year2_Care_Leavers_in_suitable_accommodation="","",Year2_Wokingham Year2_Care_Leavers_in_suitable_accommodation)</f>
        <v>24</v>
      </c>
      <c r="AA134" s="365">
        <f>IF(Year3_Wokingham Year3_Care_Leavers_in_suitable_accommodation="","",Year3_Wokingham Year3_Care_Leavers_in_suitable_accommodation)</f>
        <v>27</v>
      </c>
      <c r="AB134" s="365" t="str">
        <f>IF(Year4_Wokingham Year4_Care_Leavers_in_suitable_accommodation="","",Year4_Wokingham Year4_Care_Leavers_in_suitable_accommodation)</f>
        <v>x</v>
      </c>
      <c r="AC134" s="555" t="str">
        <f>IF(Year5_Wokingham Year5_Care_Leavers_in_suitable_accommodation="","",Year5_Wokingham Year5_Care_Leavers_in_suitable_accommodation)</f>
        <v>x</v>
      </c>
      <c r="AD134" s="374"/>
      <c r="AE134" s="375"/>
      <c r="AF134" s="376"/>
      <c r="AG134" s="376"/>
      <c r="AH134" s="376"/>
      <c r="AI134" s="565"/>
      <c r="AJ134" s="156"/>
    </row>
    <row r="135" spans="1:45" s="89" customFormat="1" ht="12.75" customHeight="1" x14ac:dyDescent="0.2">
      <c r="A135" s="123"/>
      <c r="B135" s="131" t="str">
        <f t="shared" si="37"/>
        <v>South East</v>
      </c>
      <c r="C135" s="87"/>
      <c r="D135" s="159">
        <f t="shared" si="38"/>
        <v>0.7573333333333333</v>
      </c>
      <c r="E135" s="159">
        <f t="shared" si="41"/>
        <v>0.7573333333333333</v>
      </c>
      <c r="F135" s="159">
        <f t="shared" si="42"/>
        <v>0.79081632653061229</v>
      </c>
      <c r="G135" s="159">
        <f t="shared" si="43"/>
        <v>0.78863636363636369</v>
      </c>
      <c r="H135" s="161">
        <f t="shared" si="44"/>
        <v>0.79789473684210521</v>
      </c>
      <c r="I135" s="425"/>
      <c r="J135" s="98"/>
      <c r="K135" s="98"/>
      <c r="L135" s="164"/>
      <c r="M135" s="164"/>
      <c r="N135" s="164"/>
      <c r="O135" s="164"/>
      <c r="P135" s="164"/>
      <c r="Q135" s="164"/>
      <c r="R135" s="164"/>
      <c r="S135" s="165"/>
      <c r="T135" s="155"/>
      <c r="U135" s="124"/>
      <c r="V135" s="140"/>
      <c r="W135" s="149"/>
      <c r="X135" s="365" t="str">
        <f t="shared" si="40"/>
        <v>South East</v>
      </c>
      <c r="Y135" s="365">
        <f>IF(Year1_SouthEast Year1_Care_Leavers_in_suitable_accommodation="","",Year1_SouthEast Year1_Care_Leavers_in_suitable_accommodation)</f>
        <v>2840</v>
      </c>
      <c r="Z135" s="365">
        <f>IF(Year2_SouthEast Year2_Care_Leavers_in_suitable_accommodation="","",Year2_SouthEast Year2_Care_Leavers_in_suitable_accommodation)</f>
        <v>2840</v>
      </c>
      <c r="AA135" s="365">
        <f>IF(Year3_SouthEast Year3_Care_Leavers_in_suitable_accommodation="","",Year3_SouthEast Year3_Care_Leavers_in_suitable_accommodation)</f>
        <v>3100</v>
      </c>
      <c r="AB135" s="365">
        <f>IF(Year4_SouthEast Year4_Care_Leavers_in_suitable_accommodation="","",Year4_SouthEast Year4_Care_Leavers_in_suitable_accommodation)</f>
        <v>3470</v>
      </c>
      <c r="AC135" s="365">
        <f>IF(Year5_SouthEast Year5_Care_Leavers_in_suitable_accommodation="","",Year5_SouthEast Year5_Care_Leavers_in_suitable_accommodation)</f>
        <v>3790</v>
      </c>
      <c r="AD135" s="374"/>
      <c r="AE135" s="375"/>
      <c r="AF135" s="376"/>
      <c r="AG135" s="376"/>
      <c r="AH135" s="376"/>
      <c r="AI135" s="565"/>
      <c r="AJ135" s="157"/>
    </row>
    <row r="136" spans="1:45" s="89" customFormat="1" ht="12.75" customHeight="1" x14ac:dyDescent="0.2">
      <c r="A136" s="286"/>
      <c r="B136" s="318" t="str">
        <f t="shared" si="37"/>
        <v>England</v>
      </c>
      <c r="C136" s="87"/>
      <c r="D136" s="344">
        <f t="shared" si="38"/>
        <v>0.7979491074819598</v>
      </c>
      <c r="E136" s="344">
        <f t="shared" si="41"/>
        <v>0.81624905087319666</v>
      </c>
      <c r="F136" s="344">
        <f t="shared" si="42"/>
        <v>0.82117734172528689</v>
      </c>
      <c r="G136" s="344">
        <f t="shared" si="43"/>
        <v>0.82462293931953701</v>
      </c>
      <c r="H136" s="345">
        <f t="shared" si="44"/>
        <v>0.83695289007684592</v>
      </c>
      <c r="I136" s="425"/>
      <c r="J136" s="98"/>
      <c r="K136" s="98"/>
      <c r="L136" s="164"/>
      <c r="M136" s="164"/>
      <c r="N136" s="164"/>
      <c r="O136" s="164"/>
      <c r="P136" s="164"/>
      <c r="Q136" s="164"/>
      <c r="R136" s="164"/>
      <c r="S136" s="165"/>
      <c r="T136" s="155"/>
      <c r="U136" s="124"/>
      <c r="V136" s="140"/>
      <c r="W136" s="149"/>
      <c r="X136" s="365" t="str">
        <f t="shared" ref="X136" si="45">B136</f>
        <v>England</v>
      </c>
      <c r="Y136" s="463">
        <f>IF(Year1_England Year1_Care_Leavers_in_suitable_accommodation="","",Year1_England Year1_Care_Leavers_in_suitable_accommodation)</f>
        <v>21010</v>
      </c>
      <c r="Z136" s="365">
        <f>IF(Year2_England Year2_Care_Leavers_in_suitable_accommodation="","",Year2_England Year2_Care_Leavers_in_suitable_accommodation)</f>
        <v>21500</v>
      </c>
      <c r="AA136" s="365">
        <f>IF(Year3_England Year3_Care_Leavers_in_suitable_accommodation="","",Year3_England Year3_Care_Leavers_in_suitable_accommodation)</f>
        <v>22180</v>
      </c>
      <c r="AB136" s="365">
        <f>IF(Year4_England Year4_Care_Leavers_in_suitable_accommodation="","",Year4_England Year4_Care_Leavers_in_suitable_accommodation)</f>
        <v>23510</v>
      </c>
      <c r="AC136" s="555">
        <f>IF(Year5_England Year5_Care_Leavers_in_suitable_accommodation="","",Year5_England Year5_Care_Leavers_in_suitable_accommodation)</f>
        <v>25050</v>
      </c>
      <c r="AD136" s="374"/>
      <c r="AE136" s="375"/>
      <c r="AF136" s="376"/>
      <c r="AG136" s="376"/>
      <c r="AH136" s="376"/>
      <c r="AI136" s="565"/>
      <c r="AJ136" s="157"/>
    </row>
    <row r="137" spans="1:45" s="89" customFormat="1" ht="7.5" customHeight="1" x14ac:dyDescent="0.2">
      <c r="A137" s="286"/>
      <c r="B137" s="98"/>
      <c r="C137" s="98"/>
      <c r="D137" s="98"/>
      <c r="E137" s="98"/>
      <c r="F137" s="98"/>
      <c r="G137" s="98"/>
      <c r="H137" s="98"/>
      <c r="I137" s="98"/>
      <c r="J137" s="98"/>
      <c r="K137" s="98"/>
      <c r="L137" s="164"/>
      <c r="M137" s="164"/>
      <c r="N137" s="164"/>
      <c r="O137" s="164"/>
      <c r="P137" s="164"/>
      <c r="Q137" s="164"/>
      <c r="R137" s="164"/>
      <c r="S137" s="165"/>
      <c r="T137" s="155"/>
      <c r="U137" s="124"/>
      <c r="V137" s="140"/>
      <c r="W137" s="149"/>
      <c r="X137" s="83"/>
      <c r="Y137" s="83"/>
      <c r="Z137" s="191"/>
      <c r="AA137" s="191"/>
      <c r="AB137" s="192"/>
      <c r="AC137" s="192"/>
      <c r="AD137" s="194"/>
      <c r="AE137" s="199"/>
      <c r="AF137" s="199"/>
      <c r="AG137" s="199"/>
      <c r="AH137" s="185"/>
      <c r="AI137" s="199"/>
      <c r="AJ137" s="156"/>
    </row>
    <row r="138" spans="1:45" s="83" customFormat="1" ht="40.5" customHeight="1" x14ac:dyDescent="0.2">
      <c r="A138" s="213"/>
      <c r="B138" s="385"/>
      <c r="C138" s="385"/>
      <c r="D138" s="385"/>
      <c r="E138" s="385"/>
      <c r="F138" s="385"/>
      <c r="G138" s="385"/>
      <c r="H138" s="385"/>
      <c r="I138" s="385"/>
      <c r="J138" s="385"/>
      <c r="K138" s="168"/>
      <c r="L138" s="168"/>
      <c r="M138" s="168"/>
      <c r="N138" s="168"/>
      <c r="O138" s="168"/>
      <c r="P138" s="168"/>
      <c r="Q138" s="168"/>
      <c r="R138" s="168"/>
      <c r="S138" s="137"/>
      <c r="T138" s="168"/>
      <c r="U138" s="119"/>
      <c r="V138" s="138"/>
      <c r="W138" s="147"/>
      <c r="AC138" s="192"/>
      <c r="AD138" s="194"/>
      <c r="AE138" s="179"/>
      <c r="AF138" s="179"/>
      <c r="AG138" s="179"/>
      <c r="AI138" s="179"/>
      <c r="AJ138" s="157"/>
    </row>
    <row r="139" spans="1:45" s="83" customFormat="1" ht="41.25" customHeight="1" x14ac:dyDescent="0.2">
      <c r="A139" s="213"/>
      <c r="B139" s="385"/>
      <c r="C139" s="385"/>
      <c r="D139" s="385"/>
      <c r="E139" s="385"/>
      <c r="F139" s="385"/>
      <c r="G139" s="385"/>
      <c r="H139" s="385"/>
      <c r="I139" s="385"/>
      <c r="J139" s="385"/>
      <c r="K139" s="168"/>
      <c r="L139" s="168"/>
      <c r="M139" s="168"/>
      <c r="N139" s="168"/>
      <c r="O139" s="168"/>
      <c r="P139" s="168"/>
      <c r="Q139" s="168"/>
      <c r="R139" s="168"/>
      <c r="S139" s="137"/>
      <c r="T139" s="168"/>
      <c r="U139" s="119"/>
      <c r="V139" s="138"/>
      <c r="W139" s="147"/>
      <c r="Y139" s="185"/>
      <c r="AD139" s="194"/>
      <c r="AE139" s="179"/>
      <c r="AF139" s="179"/>
      <c r="AG139" s="179"/>
      <c r="AI139" s="179"/>
      <c r="AJ139" s="157"/>
    </row>
    <row r="140" spans="1:45" s="83" customFormat="1" ht="28.5" customHeight="1" x14ac:dyDescent="0.2">
      <c r="A140" s="213"/>
      <c r="B140" s="385"/>
      <c r="C140" s="385"/>
      <c r="D140" s="385"/>
      <c r="E140" s="385"/>
      <c r="F140" s="385"/>
      <c r="G140" s="385"/>
      <c r="H140" s="385"/>
      <c r="I140" s="385"/>
      <c r="J140" s="385"/>
      <c r="K140" s="168"/>
      <c r="L140" s="168"/>
      <c r="M140" s="168"/>
      <c r="N140" s="168"/>
      <c r="O140" s="168"/>
      <c r="P140" s="168"/>
      <c r="Q140" s="168"/>
      <c r="R140" s="168"/>
      <c r="S140" s="137"/>
      <c r="T140" s="168"/>
      <c r="U140" s="119"/>
      <c r="V140" s="138"/>
      <c r="W140" s="147"/>
      <c r="Y140" s="185"/>
      <c r="AD140" s="194"/>
      <c r="AE140" s="179"/>
      <c r="AF140" s="179"/>
      <c r="AG140" s="179"/>
      <c r="AI140" s="179"/>
      <c r="AJ140" s="157"/>
    </row>
    <row r="141" spans="1:45" s="83" customFormat="1" ht="7.5" customHeight="1" x14ac:dyDescent="0.2">
      <c r="A141" s="120"/>
      <c r="B141" s="18"/>
      <c r="C141" s="18"/>
      <c r="D141" s="17"/>
      <c r="E141" s="17"/>
      <c r="F141" s="17"/>
      <c r="G141" s="17"/>
      <c r="H141" s="17"/>
      <c r="I141" s="17"/>
      <c r="J141" s="17"/>
      <c r="K141" s="13"/>
      <c r="L141" s="19"/>
      <c r="M141" s="19"/>
      <c r="N141" s="19"/>
      <c r="O141" s="19"/>
      <c r="P141" s="19"/>
      <c r="Q141" s="19"/>
      <c r="R141" s="19"/>
      <c r="S141" s="19"/>
      <c r="T141" s="19"/>
      <c r="U141" s="119"/>
      <c r="V141" s="138"/>
      <c r="W141" s="147"/>
      <c r="Y141" s="185"/>
      <c r="AI141" s="179"/>
      <c r="AJ141" s="153"/>
      <c r="AK141" s="76"/>
      <c r="AL141" s="76"/>
      <c r="AM141" s="76"/>
      <c r="AN141" s="76"/>
      <c r="AO141" s="76"/>
      <c r="AP141" s="76"/>
      <c r="AQ141" s="76"/>
    </row>
    <row r="142" spans="1:45" s="83" customFormat="1" ht="15" customHeight="1" x14ac:dyDescent="0.2">
      <c r="A142" s="1399"/>
      <c r="B142" s="1421"/>
      <c r="C142" s="1421"/>
      <c r="D142" s="1421"/>
      <c r="E142" s="1421"/>
      <c r="F142" s="1421"/>
      <c r="G142" s="1421"/>
      <c r="H142" s="1421"/>
      <c r="I142" s="1421"/>
      <c r="J142" s="1421"/>
      <c r="K142" s="1421"/>
      <c r="L142" s="1421"/>
      <c r="M142" s="1421"/>
      <c r="N142" s="1421"/>
      <c r="O142" s="1421"/>
      <c r="P142" s="1421"/>
      <c r="Q142" s="1421"/>
      <c r="R142" s="1421"/>
      <c r="S142" s="1421"/>
      <c r="T142" s="1421"/>
      <c r="U142" s="1422"/>
      <c r="V142" s="138"/>
      <c r="W142" s="147"/>
      <c r="AJ142" s="157"/>
      <c r="AS142" s="76"/>
    </row>
    <row r="143" spans="1:45" s="83" customFormat="1" ht="11.25" customHeight="1" x14ac:dyDescent="0.2">
      <c r="A143" s="1428" t="str">
        <f>Home!$A$40</f>
        <v>LA's provide quarterly data on the condition that it is used by the benchmarking group for internal reporting only. Please DO NOT share other LA's data with any external partners or the public</v>
      </c>
      <c r="B143" s="1429"/>
      <c r="C143" s="1429"/>
      <c r="D143" s="1429"/>
      <c r="E143" s="1429"/>
      <c r="F143" s="1429"/>
      <c r="G143" s="1429"/>
      <c r="H143" s="1429"/>
      <c r="I143" s="1431"/>
      <c r="J143" s="1430"/>
      <c r="K143" s="1429"/>
      <c r="L143" s="1429"/>
      <c r="M143" s="1429"/>
      <c r="N143" s="1429"/>
      <c r="O143" s="1429"/>
      <c r="P143" s="1429"/>
      <c r="Q143" s="1431"/>
      <c r="R143" s="1429"/>
      <c r="S143" s="1429"/>
      <c r="T143" s="1429"/>
      <c r="U143" s="1432"/>
      <c r="V143" s="138"/>
      <c r="W143" s="147"/>
      <c r="AI143" s="179"/>
      <c r="AJ143" s="156"/>
      <c r="AK143" s="89"/>
      <c r="AS143" s="76"/>
    </row>
    <row r="144" spans="1:45" ht="11.25" customHeight="1" x14ac:dyDescent="0.2">
      <c r="A144" s="114"/>
      <c r="B144" s="115"/>
      <c r="C144" s="115"/>
      <c r="D144" s="115"/>
      <c r="E144" s="115"/>
      <c r="F144" s="115"/>
      <c r="G144" s="115"/>
      <c r="H144" s="115"/>
      <c r="I144" s="115"/>
      <c r="J144" s="115"/>
      <c r="K144" s="116"/>
      <c r="L144" s="115"/>
      <c r="M144" s="115"/>
      <c r="N144" s="115"/>
      <c r="O144" s="115"/>
      <c r="P144" s="115"/>
      <c r="Q144" s="115"/>
      <c r="R144" s="115"/>
      <c r="S144" s="115"/>
      <c r="T144" s="115"/>
      <c r="U144" s="117"/>
      <c r="V144" s="138"/>
      <c r="W144" s="147"/>
      <c r="X144" s="193"/>
      <c r="Y144" s="191"/>
      <c r="Z144" s="183"/>
      <c r="AI144" s="179"/>
      <c r="AJ144" s="156"/>
    </row>
    <row r="145" spans="1:44" s="78" customFormat="1" ht="15" customHeight="1" x14ac:dyDescent="0.2">
      <c r="A145" s="121"/>
      <c r="B145" s="1442" t="s">
        <v>771</v>
      </c>
      <c r="C145" s="1442"/>
      <c r="D145" s="1442"/>
      <c r="E145" s="1442"/>
      <c r="F145" s="1442"/>
      <c r="G145" s="1442"/>
      <c r="H145" s="1442"/>
      <c r="I145" s="1442"/>
      <c r="J145" s="220"/>
      <c r="K145" s="69"/>
      <c r="L145" s="69"/>
      <c r="M145" s="69"/>
      <c r="N145" s="69"/>
      <c r="O145" s="771"/>
      <c r="P145" s="69"/>
      <c r="Q145" s="69"/>
      <c r="R145" s="69"/>
      <c r="S145" s="69"/>
      <c r="T145" s="69"/>
      <c r="U145" s="122"/>
      <c r="V145" s="139"/>
      <c r="W145" s="148"/>
      <c r="X145" s="577" t="s">
        <v>772</v>
      </c>
      <c r="Y145" s="375"/>
      <c r="Z145" s="376"/>
      <c r="AA145" s="376"/>
      <c r="AB145" s="376"/>
      <c r="AC145" s="565"/>
      <c r="AD145" s="83"/>
      <c r="AE145" s="83"/>
      <c r="AF145" s="83"/>
      <c r="AG145" s="83"/>
      <c r="AH145" s="83"/>
      <c r="AI145" s="179"/>
      <c r="AJ145" s="156"/>
    </row>
    <row r="146" spans="1:44" ht="20.25" customHeight="1" x14ac:dyDescent="0.2">
      <c r="A146" s="120"/>
      <c r="B146" s="1442"/>
      <c r="C146" s="1442"/>
      <c r="D146" s="1442"/>
      <c r="E146" s="1442"/>
      <c r="F146" s="1442"/>
      <c r="G146" s="1442"/>
      <c r="H146" s="1442"/>
      <c r="I146" s="1442"/>
      <c r="J146" s="220"/>
      <c r="K146" s="69"/>
      <c r="L146" s="69"/>
      <c r="M146" s="69"/>
      <c r="N146" s="69"/>
      <c r="O146" s="771"/>
      <c r="P146" s="69"/>
      <c r="Q146" s="69"/>
      <c r="R146" s="69"/>
      <c r="S146" s="10"/>
      <c r="T146" s="69"/>
      <c r="U146" s="119"/>
      <c r="V146" s="138"/>
      <c r="W146" s="147"/>
      <c r="X146" s="76"/>
      <c r="Y146" s="76"/>
      <c r="Z146" s="76"/>
      <c r="AA146" s="76"/>
      <c r="AB146" s="76"/>
      <c r="AC146" s="76"/>
      <c r="AI146" s="179"/>
      <c r="AJ146" s="156"/>
    </row>
    <row r="147" spans="1:44" s="89" customFormat="1" ht="13.5" customHeight="1" x14ac:dyDescent="0.2">
      <c r="A147" s="123"/>
      <c r="B147" s="1419" t="s">
        <v>190</v>
      </c>
      <c r="C147" s="959"/>
      <c r="D147" s="755" t="str">
        <f>Sheet1!$D$25</f>
        <v>2014-15</v>
      </c>
      <c r="E147" s="756" t="str">
        <f>Sheet1!$E$25</f>
        <v>2015-16</v>
      </c>
      <c r="F147" s="756" t="str">
        <f>Sheet1!$F$25</f>
        <v>2016-17</v>
      </c>
      <c r="G147" s="756" t="str">
        <f>Sheet1!$G$25</f>
        <v>2017-18</v>
      </c>
      <c r="H147" s="757" t="str">
        <f>Sheet1!$H$25</f>
        <v>2018-19</v>
      </c>
      <c r="I147" s="61"/>
      <c r="J147" s="98"/>
      <c r="K147" s="98"/>
      <c r="L147" s="61"/>
      <c r="M147" s="61"/>
      <c r="N147" s="61"/>
      <c r="O147" s="61"/>
      <c r="P147" s="61"/>
      <c r="Q147" s="61"/>
      <c r="R147" s="774"/>
      <c r="S147" s="774"/>
      <c r="T147" s="155"/>
      <c r="U147" s="124"/>
      <c r="V147" s="140"/>
      <c r="W147" s="149"/>
      <c r="X147" s="365"/>
      <c r="Y147" s="463" t="str">
        <f>IF(Sheet1!$C$3="Annual","",Sheet1!$D$26)</f>
        <v/>
      </c>
      <c r="Z147" s="463" t="str">
        <f>IF(Sheet1!$C$3="Annual","",Sheet1!$E$26)</f>
        <v/>
      </c>
      <c r="AA147" s="463" t="str">
        <f>IF(Sheet1!$C$3="Annual","",Sheet1!$F$26)</f>
        <v/>
      </c>
      <c r="AB147" s="463" t="str">
        <f>IF(Sheet1!$C$3="Annual","",Sheet1!$G$26)</f>
        <v/>
      </c>
      <c r="AC147" s="463" t="str">
        <f>IF(Sheet1!$C$3="Annual","",Sheet1!$H$26)</f>
        <v/>
      </c>
      <c r="AD147" s="83"/>
      <c r="AE147" s="83"/>
      <c r="AF147" s="83"/>
      <c r="AG147" s="83"/>
      <c r="AH147" s="83"/>
      <c r="AI147" s="179"/>
      <c r="AJ147" s="156"/>
    </row>
    <row r="148" spans="1:44" s="89" customFormat="1" ht="13.5" customHeight="1" x14ac:dyDescent="0.2">
      <c r="A148" s="286"/>
      <c r="B148" s="1420"/>
      <c r="C148" s="87"/>
      <c r="D148" s="758" t="e">
        <f>Sheet1!$D$26</f>
        <v>#N/A</v>
      </c>
      <c r="E148" s="758" t="e">
        <f>Sheet1!$E$26</f>
        <v>#N/A</v>
      </c>
      <c r="F148" s="758" t="e">
        <f>Sheet1!$F$26</f>
        <v>#N/A</v>
      </c>
      <c r="G148" s="758" t="e">
        <f>Sheet1!$G$26</f>
        <v>#N/A</v>
      </c>
      <c r="H148" s="759" t="e">
        <f>Sheet1!$H$26</f>
        <v>#N/A</v>
      </c>
      <c r="I148" s="61"/>
      <c r="J148" s="98"/>
      <c r="K148" s="98"/>
      <c r="L148" s="61"/>
      <c r="M148" s="61"/>
      <c r="N148" s="61"/>
      <c r="O148" s="61"/>
      <c r="P148" s="61"/>
      <c r="Q148" s="61"/>
      <c r="R148" s="961"/>
      <c r="S148" s="961"/>
      <c r="T148" s="155"/>
      <c r="U148" s="124"/>
      <c r="V148" s="140"/>
      <c r="W148" s="149"/>
      <c r="X148" s="365"/>
      <c r="Y148" s="463" t="str">
        <f>Sheet1!$D$25</f>
        <v>2014-15</v>
      </c>
      <c r="Z148" s="463" t="str">
        <f>Sheet1!$E$25</f>
        <v>2015-16</v>
      </c>
      <c r="AA148" s="463" t="str">
        <f>Sheet1!$F$25</f>
        <v>2016-17</v>
      </c>
      <c r="AB148" s="463" t="str">
        <f>Sheet1!$G$25</f>
        <v>2017-18</v>
      </c>
      <c r="AC148" s="463" t="str">
        <f>Sheet1!$H$25</f>
        <v>2018-19</v>
      </c>
      <c r="AD148" s="83"/>
      <c r="AE148" s="83"/>
      <c r="AF148" s="83"/>
      <c r="AG148" s="83"/>
      <c r="AH148" s="83"/>
      <c r="AI148" s="179"/>
      <c r="AJ148" s="156"/>
    </row>
    <row r="149" spans="1:44" s="89" customFormat="1" ht="12.75" customHeight="1" x14ac:dyDescent="0.2">
      <c r="A149" s="462">
        <f>VLOOKUP(B149,Sheet1!$AQ$4:$AR$25,2,FALSE)</f>
        <v>0</v>
      </c>
      <c r="B149" s="95" t="str">
        <f t="shared" ref="B149:B171" si="46">B113</f>
        <v>Bracknell Forest</v>
      </c>
      <c r="C149" s="87"/>
      <c r="D149" s="158" t="e">
        <f t="shared" ref="D149:D172" si="47">IF(AND(ISNUMBER(D10),ISNUMBER(Y149)),Y149/D10,NA())</f>
        <v>#N/A</v>
      </c>
      <c r="E149" s="158" t="e">
        <f t="shared" ref="E149:E172" si="48">IF(AND(ISNUMBER(E10),ISNUMBER(Z149)),Z149/E10,NA())</f>
        <v>#N/A</v>
      </c>
      <c r="F149" s="158" t="e">
        <f t="shared" ref="F149:F172" si="49">IF(AND(ISNUMBER(F10),ISNUMBER(AA149)),AA149/F10,NA())</f>
        <v>#N/A</v>
      </c>
      <c r="G149" s="158">
        <f t="shared" ref="G149:G172" si="50">IF(AND(ISNUMBER(G10),ISNUMBER(AB149)),AB149/G10,NA())</f>
        <v>0.66666666666666663</v>
      </c>
      <c r="H149" s="160">
        <f t="shared" ref="H149:H172" si="51">IF(AND(ISNUMBER(H10),ISNUMBER(AC149)),AC149/H10,NA())</f>
        <v>0.53191489361702127</v>
      </c>
      <c r="I149" s="425"/>
      <c r="J149" s="98"/>
      <c r="K149" s="98"/>
      <c r="L149" s="162"/>
      <c r="M149" s="162"/>
      <c r="N149" s="162"/>
      <c r="O149" s="162"/>
      <c r="P149" s="162"/>
      <c r="Q149" s="162"/>
      <c r="R149" s="162"/>
      <c r="S149" s="163"/>
      <c r="T149" s="155"/>
      <c r="U149" s="124"/>
      <c r="V149" s="140"/>
      <c r="W149" s="149"/>
      <c r="X149" s="365" t="str">
        <f>B149</f>
        <v>Bracknell Forest</v>
      </c>
      <c r="Y149" s="463" t="str">
        <f>IF(Year1_Bracknell_Forest Year1_Care_Leavers_in_EET="","",Year1_Bracknell_Forest Year1_Care_Leavers_in_EET)</f>
        <v/>
      </c>
      <c r="Z149" s="365" t="str">
        <f>IF(Year2_Bracknell_Forest Year2_Care_Leavers_in_EET="","",Year2_Bracknell_Forest Year2_Care_Leavers_in_EET)</f>
        <v/>
      </c>
      <c r="AA149" s="365" t="str">
        <f>IF(Year3_Bracknell_Forest Year3_Care_Leavers_in_EET="","",Year3_Bracknell_Forest Year3_Care_Leavers_in_EET)</f>
        <v/>
      </c>
      <c r="AB149" s="365">
        <f>IF(Year4_Bracknell_Forest Year4_Care_Leavers_in_EET="","",Year4_Bracknell_Forest Year4_Care_Leavers_in_EET)</f>
        <v>28</v>
      </c>
      <c r="AC149" s="552">
        <f>IF(Year5_Bracknell_Forest Year5_Care_Leavers_in_EET="","",Year5_Bracknell_Forest Year5_Care_Leavers_in_EET)</f>
        <v>25</v>
      </c>
      <c r="AD149" s="83"/>
      <c r="AE149" s="83"/>
      <c r="AF149" s="83"/>
      <c r="AG149" s="83"/>
      <c r="AH149" s="83"/>
      <c r="AI149" s="179"/>
      <c r="AJ149" s="156"/>
    </row>
    <row r="150" spans="1:44" s="89" customFormat="1" ht="12.75" customHeight="1" x14ac:dyDescent="0.2">
      <c r="A150" s="462">
        <f>VLOOKUP(B150,Sheet1!$AQ$4:$AR$25,2,FALSE)</f>
        <v>0</v>
      </c>
      <c r="B150" s="95" t="str">
        <f t="shared" si="46"/>
        <v>Brighton &amp; Hove</v>
      </c>
      <c r="C150" s="87"/>
      <c r="D150" s="158" t="e">
        <f t="shared" si="47"/>
        <v>#N/A</v>
      </c>
      <c r="E150" s="158" t="e">
        <f t="shared" si="48"/>
        <v>#N/A</v>
      </c>
      <c r="F150" s="158" t="e">
        <f t="shared" si="49"/>
        <v>#N/A</v>
      </c>
      <c r="G150" s="158">
        <f t="shared" si="50"/>
        <v>0.69230769230769229</v>
      </c>
      <c r="H150" s="160">
        <f t="shared" si="51"/>
        <v>0.69406392694063923</v>
      </c>
      <c r="I150" s="425"/>
      <c r="J150" s="98"/>
      <c r="K150" s="98"/>
      <c r="L150" s="162"/>
      <c r="M150" s="162"/>
      <c r="N150" s="162"/>
      <c r="O150" s="162"/>
      <c r="P150" s="162"/>
      <c r="Q150" s="162"/>
      <c r="R150" s="162"/>
      <c r="S150" s="163"/>
      <c r="T150" s="155"/>
      <c r="U150" s="124"/>
      <c r="V150" s="140"/>
      <c r="W150" s="149"/>
      <c r="X150" s="365" t="str">
        <f t="shared" ref="X150:X171" si="52">B150</f>
        <v>Brighton &amp; Hove</v>
      </c>
      <c r="Y150" s="463" t="str">
        <f>IF(Year1_Brighton_Hove Year1_Care_Leavers_in_EET="","",Year1_Brighton_Hove Year1_Care_Leavers_in_EET)</f>
        <v/>
      </c>
      <c r="Z150" s="365" t="str">
        <f>IF(Year2_Brighton_Hove Year2_Care_Leavers_in_EET="","",Year2_Brighton_Hove Year2_Care_Leavers_in_EET)</f>
        <v/>
      </c>
      <c r="AA150" s="365" t="str">
        <f>IF(Year3_Brighton_Hove Year3_Care_Leavers_in_EET="","",Year3_Brighton_Hove Year3_Care_Leavers_in_EET)</f>
        <v/>
      </c>
      <c r="AB150" s="365">
        <f>IF(Year4_Brighton_Hove Year4_Care_Leavers_in_EET="","",Year4_Brighton_Hove Year4_Care_Leavers_in_EET)</f>
        <v>135</v>
      </c>
      <c r="AC150" s="552">
        <f>IF(Year5_Brighton_Hove Year5_Care_Leavers_in_EET="","",Year5_Brighton_Hove Year5_Care_Leavers_in_EET)</f>
        <v>152</v>
      </c>
      <c r="AD150" s="83"/>
      <c r="AE150" s="83"/>
      <c r="AF150" s="83"/>
      <c r="AG150" s="83"/>
      <c r="AH150" s="83"/>
      <c r="AI150" s="179"/>
      <c r="AJ150" s="156"/>
    </row>
    <row r="151" spans="1:44" s="89" customFormat="1" ht="12.75" customHeight="1" x14ac:dyDescent="0.2">
      <c r="A151" s="462">
        <f>VLOOKUP(B151,Sheet1!$AQ$4:$AR$25,2,FALSE)</f>
        <v>0</v>
      </c>
      <c r="B151" s="95" t="str">
        <f t="shared" si="46"/>
        <v>Buckinghamshire</v>
      </c>
      <c r="C151" s="87"/>
      <c r="D151" s="158" t="e">
        <f t="shared" si="47"/>
        <v>#N/A</v>
      </c>
      <c r="E151" s="158" t="e">
        <f t="shared" si="48"/>
        <v>#N/A</v>
      </c>
      <c r="F151" s="158" t="e">
        <f t="shared" si="49"/>
        <v>#N/A</v>
      </c>
      <c r="G151" s="158">
        <f t="shared" si="50"/>
        <v>0.51256281407035176</v>
      </c>
      <c r="H151" s="160">
        <f t="shared" si="51"/>
        <v>0.55913978494623651</v>
      </c>
      <c r="I151" s="425"/>
      <c r="J151" s="98"/>
      <c r="K151" s="98"/>
      <c r="L151" s="162"/>
      <c r="M151" s="162"/>
      <c r="N151" s="162"/>
      <c r="O151" s="162"/>
      <c r="P151" s="162"/>
      <c r="Q151" s="162"/>
      <c r="R151" s="162"/>
      <c r="S151" s="163"/>
      <c r="T151" s="155"/>
      <c r="U151" s="124"/>
      <c r="V151" s="140"/>
      <c r="W151" s="149"/>
      <c r="X151" s="365" t="str">
        <f t="shared" si="52"/>
        <v>Buckinghamshire</v>
      </c>
      <c r="Y151" s="463" t="str">
        <f>IF(Year1_Buckinghamshire Year1_Care_Leavers_in_EET="","",Year1_Buckinghamshire Year1_Care_Leavers_in_EET)</f>
        <v/>
      </c>
      <c r="Z151" s="365" t="str">
        <f>IF(Year2_Buckinghamshire Year2_Care_Leavers_in_EET="","",Year2_Buckinghamshire Year2_Care_Leavers_in_EET)</f>
        <v/>
      </c>
      <c r="AA151" s="365" t="str">
        <f>IF(Year3_Buckinghamshire Year3_Care_Leavers_in_EET="","",Year3_Buckinghamshire Year3_Care_Leavers_in_EET)</f>
        <v/>
      </c>
      <c r="AB151" s="365">
        <f>IF(Year4_Buckinghamshire Year4_Care_Leavers_in_EET="","",Year4_Buckinghamshire Year4_Care_Leavers_in_EET)</f>
        <v>102</v>
      </c>
      <c r="AC151" s="552">
        <f>IF(Year5_Buckinghamshire Year5_Care_Leavers_in_EET="","",Year5_Buckinghamshire Year5_Care_Leavers_in_EET)</f>
        <v>104</v>
      </c>
      <c r="AD151" s="83"/>
      <c r="AE151" s="83"/>
      <c r="AF151" s="83"/>
      <c r="AG151" s="83"/>
      <c r="AH151" s="83"/>
      <c r="AI151" s="179"/>
      <c r="AJ151" s="156"/>
    </row>
    <row r="152" spans="1:44" s="89" customFormat="1" ht="12.75" customHeight="1" x14ac:dyDescent="0.2">
      <c r="A152" s="462">
        <f>VLOOKUP(B152,Sheet1!$AQ$4:$AR$25,2,FALSE)</f>
        <v>0</v>
      </c>
      <c r="B152" s="95" t="str">
        <f t="shared" si="46"/>
        <v>East Sussex</v>
      </c>
      <c r="C152" s="87"/>
      <c r="D152" s="158" t="e">
        <f t="shared" si="47"/>
        <v>#N/A</v>
      </c>
      <c r="E152" s="158" t="e">
        <f t="shared" si="48"/>
        <v>#N/A</v>
      </c>
      <c r="F152" s="158" t="e">
        <f t="shared" si="49"/>
        <v>#N/A</v>
      </c>
      <c r="G152" s="158">
        <f t="shared" si="50"/>
        <v>0.51948051948051943</v>
      </c>
      <c r="H152" s="160">
        <f t="shared" si="51"/>
        <v>0.52095808383233533</v>
      </c>
      <c r="I152" s="425"/>
      <c r="J152" s="98"/>
      <c r="K152" s="98"/>
      <c r="L152" s="162"/>
      <c r="M152" s="162"/>
      <c r="N152" s="162"/>
      <c r="O152" s="162"/>
      <c r="P152" s="162"/>
      <c r="Q152" s="162"/>
      <c r="R152" s="162"/>
      <c r="S152" s="163"/>
      <c r="T152" s="155"/>
      <c r="U152" s="124"/>
      <c r="V152" s="140"/>
      <c r="W152" s="149"/>
      <c r="X152" s="365" t="str">
        <f t="shared" si="52"/>
        <v>East Sussex</v>
      </c>
      <c r="Y152" s="463" t="str">
        <f>IF(Year1_East_Sussex Year1_Care_Leavers_in_EET="","",Year1_East_Sussex Year1_Care_Leavers_in_EET)</f>
        <v/>
      </c>
      <c r="Z152" s="365" t="str">
        <f>IF(Year2_East_Sussex Year2_Care_Leavers_in_EET="","",Year2_East_Sussex Year2_Care_Leavers_in_EET)</f>
        <v/>
      </c>
      <c r="AA152" s="365" t="str">
        <f>IF(Year3_East_Sussex Year3_Care_Leavers_in_EET="","",Year3_East_Sussex Year3_Care_Leavers_in_EET)</f>
        <v/>
      </c>
      <c r="AB152" s="365">
        <f>IF(Year4_East_Sussex Year4_Care_Leavers_in_EET="","",Year4_East_Sussex Year4_Care_Leavers_in_EET)</f>
        <v>80</v>
      </c>
      <c r="AC152" s="552">
        <f>IF(Year5_East_Sussex Year5_Care_Leavers_in_EET="","",Year5_East_Sussex Year5_Care_Leavers_in_EET)</f>
        <v>87</v>
      </c>
      <c r="AD152" s="83"/>
      <c r="AE152" s="83"/>
      <c r="AF152" s="83"/>
      <c r="AG152" s="83"/>
      <c r="AH152" s="83"/>
      <c r="AI152" s="179"/>
      <c r="AJ152" s="156"/>
    </row>
    <row r="153" spans="1:44" s="89" customFormat="1" ht="12.75" customHeight="1" x14ac:dyDescent="0.2">
      <c r="A153" s="462">
        <f>VLOOKUP(B153,Sheet1!$AQ$4:$AR$25,2,FALSE)</f>
        <v>0</v>
      </c>
      <c r="B153" s="95" t="str">
        <f t="shared" si="46"/>
        <v>Hampshire</v>
      </c>
      <c r="C153" s="87"/>
      <c r="D153" s="158" t="e">
        <f t="shared" si="47"/>
        <v>#N/A</v>
      </c>
      <c r="E153" s="158" t="e">
        <f t="shared" si="48"/>
        <v>#N/A</v>
      </c>
      <c r="F153" s="158" t="e">
        <f t="shared" si="49"/>
        <v>#N/A</v>
      </c>
      <c r="G153" s="158">
        <f t="shared" si="50"/>
        <v>0.44905660377358492</v>
      </c>
      <c r="H153" s="160">
        <f t="shared" si="51"/>
        <v>0.44941634241245138</v>
      </c>
      <c r="I153" s="425"/>
      <c r="J153" s="98"/>
      <c r="K153" s="98"/>
      <c r="L153" s="162"/>
      <c r="M153" s="162"/>
      <c r="N153" s="162"/>
      <c r="O153" s="162"/>
      <c r="P153" s="162"/>
      <c r="Q153" s="162"/>
      <c r="R153" s="162"/>
      <c r="S153" s="163"/>
      <c r="T153" s="155"/>
      <c r="U153" s="124"/>
      <c r="V153" s="140"/>
      <c r="W153" s="149"/>
      <c r="X153" s="365" t="str">
        <f t="shared" si="52"/>
        <v>Hampshire</v>
      </c>
      <c r="Y153" s="463" t="str">
        <f>IF(Year1_Hampshire Year1_Care_Leavers_in_EET="","",Year1_Hampshire Year1_Care_Leavers_in_EET)</f>
        <v/>
      </c>
      <c r="Z153" s="365" t="str">
        <f>IF(Year2_Hampshire Year2_Care_Leavers_in_EET="","",Year2_Hampshire Year2_Care_Leavers_in_EET)</f>
        <v/>
      </c>
      <c r="AA153" s="365" t="str">
        <f>IF(Year3_Hampshire Year3_Care_Leavers_in_EET="","",Year3_Hampshire Year3_Care_Leavers_in_EET)</f>
        <v/>
      </c>
      <c r="AB153" s="365">
        <f>IF(Year4_Hampshire Year4_Care_Leavers_in_EET="","",Year4_Hampshire Year4_Care_Leavers_in_EET)</f>
        <v>238</v>
      </c>
      <c r="AC153" s="552">
        <f>IF(Year5_Hampshire Year5_Care_Leavers_in_EET="","",Year5_Hampshire Year5_Care_Leavers_in_EET)</f>
        <v>231</v>
      </c>
      <c r="AD153" s="83"/>
      <c r="AE153" s="83"/>
      <c r="AF153" s="83"/>
      <c r="AG153" s="83"/>
      <c r="AH153" s="83"/>
      <c r="AI153" s="179"/>
      <c r="AJ153" s="156"/>
    </row>
    <row r="154" spans="1:44" s="89" customFormat="1" ht="12.75" customHeight="1" x14ac:dyDescent="0.2">
      <c r="A154" s="462">
        <f>VLOOKUP(B154,Sheet1!$AQ$4:$AR$25,2,FALSE)</f>
        <v>0</v>
      </c>
      <c r="B154" s="95" t="str">
        <f t="shared" si="46"/>
        <v>Isle of Wight</v>
      </c>
      <c r="C154" s="87"/>
      <c r="D154" s="158" t="e">
        <f t="shared" si="47"/>
        <v>#N/A</v>
      </c>
      <c r="E154" s="158" t="e">
        <f t="shared" si="48"/>
        <v>#N/A</v>
      </c>
      <c r="F154" s="158" t="e">
        <f t="shared" si="49"/>
        <v>#N/A</v>
      </c>
      <c r="G154" s="158">
        <f t="shared" si="50"/>
        <v>0.5280898876404494</v>
      </c>
      <c r="H154" s="160">
        <f t="shared" si="51"/>
        <v>0.5955056179775281</v>
      </c>
      <c r="I154" s="425"/>
      <c r="J154" s="98"/>
      <c r="K154" s="98"/>
      <c r="L154" s="162"/>
      <c r="M154" s="162"/>
      <c r="N154" s="162"/>
      <c r="O154" s="162"/>
      <c r="P154" s="162"/>
      <c r="Q154" s="162"/>
      <c r="R154" s="162"/>
      <c r="S154" s="163"/>
      <c r="T154" s="155"/>
      <c r="U154" s="124"/>
      <c r="V154" s="140"/>
      <c r="W154" s="149"/>
      <c r="X154" s="365" t="str">
        <f t="shared" si="52"/>
        <v>Isle of Wight</v>
      </c>
      <c r="Y154" s="463" t="str">
        <f>IF(Year1_Isle_of_Wight Year1_Care_Leavers_in_EET="","",Year1_Isle_of_Wight Year1_Care_Leavers_in_EET)</f>
        <v/>
      </c>
      <c r="Z154" s="365" t="str">
        <f>IF(Year2_Isle_of_Wight Year2_Care_Leavers_in_EET="","",Year2_Isle_of_Wight Year2_Care_Leavers_in_EET)</f>
        <v/>
      </c>
      <c r="AA154" s="365" t="str">
        <f>IF(Year3_Isle_of_Wight Year3_Care_Leavers_in_EET="","",Year3_Isle_of_Wight Year3_Care_Leavers_in_EET)</f>
        <v/>
      </c>
      <c r="AB154" s="365">
        <f>IF(Year4_Isle_of_Wight Year4_Care_Leavers_in_EET="","",Year4_Isle_of_Wight Year4_Care_Leavers_in_EET)</f>
        <v>47</v>
      </c>
      <c r="AC154" s="552">
        <f>IF(Year5_Isle_of_Wight Year5_Care_Leavers_in_EET="","",Year5_Isle_of_Wight Year5_Care_Leavers_in_EET)</f>
        <v>53</v>
      </c>
      <c r="AD154" s="83"/>
      <c r="AE154" s="83"/>
      <c r="AF154" s="83"/>
      <c r="AG154" s="83"/>
      <c r="AH154" s="83"/>
      <c r="AI154" s="179"/>
      <c r="AJ154" s="156"/>
      <c r="AR154" s="89" t="s">
        <v>103</v>
      </c>
    </row>
    <row r="155" spans="1:44" s="89" customFormat="1" ht="12.75" customHeight="1" x14ac:dyDescent="0.2">
      <c r="A155" s="462">
        <f>VLOOKUP(B155,Sheet1!$AQ$4:$AR$25,2,FALSE)</f>
        <v>0</v>
      </c>
      <c r="B155" s="95" t="str">
        <f t="shared" si="46"/>
        <v>Kent</v>
      </c>
      <c r="C155" s="87"/>
      <c r="D155" s="158" t="e">
        <f t="shared" si="47"/>
        <v>#N/A</v>
      </c>
      <c r="E155" s="158" t="e">
        <f t="shared" si="48"/>
        <v>#N/A</v>
      </c>
      <c r="F155" s="158" t="e">
        <f t="shared" si="49"/>
        <v>#N/A</v>
      </c>
      <c r="G155" s="158">
        <f t="shared" si="50"/>
        <v>0.52038547071905117</v>
      </c>
      <c r="H155" s="160">
        <f t="shared" si="51"/>
        <v>0.54838709677419351</v>
      </c>
      <c r="I155" s="425"/>
      <c r="J155" s="98"/>
      <c r="K155" s="98"/>
      <c r="L155" s="162"/>
      <c r="M155" s="162"/>
      <c r="N155" s="162"/>
      <c r="O155" s="162"/>
      <c r="P155" s="162"/>
      <c r="Q155" s="162"/>
      <c r="R155" s="162"/>
      <c r="S155" s="163"/>
      <c r="T155" s="155"/>
      <c r="U155" s="124"/>
      <c r="V155" s="140"/>
      <c r="W155" s="149"/>
      <c r="X155" s="365" t="str">
        <f t="shared" si="52"/>
        <v>Kent</v>
      </c>
      <c r="Y155" s="463" t="str">
        <f>IF(Year1_Kent Year1_Care_Leavers_in_EET="","",Year1_Kent Year1_Care_Leavers_in_EET)</f>
        <v/>
      </c>
      <c r="Z155" s="365" t="str">
        <f>IF(Year2_Kent Year2_Care_Leavers_in_EET="","",Year2_Kent Year2_Care_Leavers_in_EET)</f>
        <v/>
      </c>
      <c r="AA155" s="365" t="str">
        <f>IF(Year3_Kent Year3_Care_Leavers_in_EET="","",Year3_Kent Year3_Care_Leavers_in_EET)</f>
        <v/>
      </c>
      <c r="AB155" s="365">
        <f>IF(Year4_Kent Year4_Care_Leavers_in_EET="","",Year4_Kent Year4_Care_Leavers_in_EET)</f>
        <v>702</v>
      </c>
      <c r="AC155" s="552">
        <f>IF(Year5_Kent Year5_Care_Leavers_in_EET="","",Year5_Kent Year5_Care_Leavers_in_EET)</f>
        <v>833</v>
      </c>
      <c r="AD155" s="83"/>
      <c r="AE155" s="83"/>
      <c r="AF155" s="83"/>
      <c r="AG155" s="83"/>
      <c r="AH155" s="83"/>
      <c r="AI155" s="179"/>
      <c r="AJ155" s="156"/>
    </row>
    <row r="156" spans="1:44" s="89" customFormat="1" ht="12.75" customHeight="1" x14ac:dyDescent="0.2">
      <c r="A156" s="462">
        <f>VLOOKUP(B156,Sheet1!$AQ$4:$AR$25,2,FALSE)</f>
        <v>0</v>
      </c>
      <c r="B156" s="95" t="str">
        <f t="shared" si="46"/>
        <v>Medway</v>
      </c>
      <c r="C156" s="87"/>
      <c r="D156" s="158" t="e">
        <f t="shared" si="47"/>
        <v>#N/A</v>
      </c>
      <c r="E156" s="158" t="e">
        <f t="shared" si="48"/>
        <v>#N/A</v>
      </c>
      <c r="F156" s="158" t="e">
        <f t="shared" si="49"/>
        <v>#N/A</v>
      </c>
      <c r="G156" s="158" t="e">
        <f t="shared" si="50"/>
        <v>#N/A</v>
      </c>
      <c r="H156" s="160" t="e">
        <f t="shared" si="51"/>
        <v>#N/A</v>
      </c>
      <c r="I156" s="425"/>
      <c r="J156" s="98"/>
      <c r="K156" s="98"/>
      <c r="L156" s="162"/>
      <c r="M156" s="162"/>
      <c r="N156" s="162"/>
      <c r="O156" s="162"/>
      <c r="P156" s="162"/>
      <c r="Q156" s="162"/>
      <c r="R156" s="162"/>
      <c r="S156" s="163"/>
      <c r="T156" s="155"/>
      <c r="U156" s="124"/>
      <c r="V156" s="140"/>
      <c r="W156" s="149"/>
      <c r="X156" s="365" t="str">
        <f t="shared" si="52"/>
        <v>Medway</v>
      </c>
      <c r="Y156" s="463" t="str">
        <f>IF(Year1_Medway Year1_Care_Leavers_in_EET="","",Year1_Medway Year1_Care_Leavers_in_EET)</f>
        <v/>
      </c>
      <c r="Z156" s="365" t="str">
        <f>IF(Year2_Medway Year2_Care_Leavers_in_EET="","",Year2_Medway Year2_Care_Leavers_in_EET)</f>
        <v/>
      </c>
      <c r="AA156" s="365" t="str">
        <f>IF(Year3_Medway Year3_Care_Leavers_in_EET="","",Year3_Medway Year3_Care_Leavers_in_EET)</f>
        <v/>
      </c>
      <c r="AB156" s="365" t="str">
        <f>IF(Year4_Medway Year4_Care_Leavers_in_EET="","",Year4_Medway Year4_Care_Leavers_in_EET)</f>
        <v>x</v>
      </c>
      <c r="AC156" s="552" t="str">
        <f>IF(Year5_Medway Year5_Care_Leavers_in_EET="","",Year5_Medway Year5_Care_Leavers_in_EET)</f>
        <v>x</v>
      </c>
      <c r="AD156" s="83"/>
      <c r="AE156" s="83"/>
      <c r="AF156" s="83"/>
      <c r="AG156" s="83"/>
      <c r="AH156" s="83"/>
      <c r="AI156" s="179"/>
      <c r="AJ156" s="156"/>
    </row>
    <row r="157" spans="1:44" s="89" customFormat="1" ht="12.75" customHeight="1" x14ac:dyDescent="0.2">
      <c r="A157" s="462">
        <f>VLOOKUP(B157,Sheet1!$AQ$4:$AR$25,2,FALSE)</f>
        <v>0</v>
      </c>
      <c r="B157" s="95" t="str">
        <f t="shared" si="46"/>
        <v>Milton Keynes</v>
      </c>
      <c r="C157" s="87"/>
      <c r="D157" s="158" t="e">
        <f t="shared" si="47"/>
        <v>#N/A</v>
      </c>
      <c r="E157" s="158" t="e">
        <f t="shared" si="48"/>
        <v>#N/A</v>
      </c>
      <c r="F157" s="158" t="e">
        <f t="shared" si="49"/>
        <v>#N/A</v>
      </c>
      <c r="G157" s="158">
        <f t="shared" si="50"/>
        <v>0.4563758389261745</v>
      </c>
      <c r="H157" s="160">
        <f t="shared" si="51"/>
        <v>0.40119760479041916</v>
      </c>
      <c r="I157" s="425"/>
      <c r="J157" s="98"/>
      <c r="K157" s="98"/>
      <c r="L157" s="162"/>
      <c r="M157" s="162"/>
      <c r="N157" s="162"/>
      <c r="O157" s="162"/>
      <c r="P157" s="162"/>
      <c r="Q157" s="162"/>
      <c r="R157" s="162"/>
      <c r="S157" s="163"/>
      <c r="T157" s="155"/>
      <c r="U157" s="124"/>
      <c r="V157" s="140"/>
      <c r="W157" s="149"/>
      <c r="X157" s="365" t="str">
        <f t="shared" si="52"/>
        <v>Milton Keynes</v>
      </c>
      <c r="Y157" s="463" t="str">
        <f>IF(Year1_Milton_Keynes Year1_Care_Leavers_in_EET="","",Year1_Milton_Keynes Year1_Care_Leavers_in_EET)</f>
        <v/>
      </c>
      <c r="Z157" s="365" t="str">
        <f>IF(Year2_Milton_Keynes Year2_Care_Leavers_in_EET="","",Year2_Milton_Keynes Year2_Care_Leavers_in_EET)</f>
        <v/>
      </c>
      <c r="AA157" s="365" t="str">
        <f>IF(Year3_Milton_Keynes Year3_Care_Leavers_in_EET="","",Year3_Milton_Keynes Year3_Care_Leavers_in_EET)</f>
        <v/>
      </c>
      <c r="AB157" s="365">
        <f>IF(Year4_Milton_Keynes Year4_Care_Leavers_in_EET="","",Year4_Milton_Keynes Year4_Care_Leavers_in_EET)</f>
        <v>68</v>
      </c>
      <c r="AC157" s="552">
        <f>IF(Year5_Milton_Keynes Year5_Care_Leavers_in_EET="","",Year5_Milton_Keynes Year5_Care_Leavers_in_EET)</f>
        <v>67</v>
      </c>
      <c r="AD157" s="83"/>
      <c r="AE157" s="83"/>
      <c r="AF157" s="83"/>
      <c r="AG157" s="83"/>
      <c r="AH157" s="83"/>
      <c r="AI157" s="179"/>
      <c r="AJ157" s="156"/>
    </row>
    <row r="158" spans="1:44" s="89" customFormat="1" ht="12.75" customHeight="1" x14ac:dyDescent="0.2">
      <c r="A158" s="462">
        <f>VLOOKUP(B158,Sheet1!$AQ$4:$AR$25,2,FALSE)</f>
        <v>0</v>
      </c>
      <c r="B158" s="95" t="str">
        <f t="shared" si="46"/>
        <v>Oxfordshire</v>
      </c>
      <c r="C158" s="87"/>
      <c r="D158" s="158" t="e">
        <f t="shared" si="47"/>
        <v>#N/A</v>
      </c>
      <c r="E158" s="158" t="e">
        <f t="shared" si="48"/>
        <v>#N/A</v>
      </c>
      <c r="F158" s="158" t="e">
        <f t="shared" si="49"/>
        <v>#N/A</v>
      </c>
      <c r="G158" s="158">
        <f t="shared" si="50"/>
        <v>0.48347107438016529</v>
      </c>
      <c r="H158" s="160">
        <f t="shared" si="51"/>
        <v>0.49454545454545457</v>
      </c>
      <c r="I158" s="425"/>
      <c r="J158" s="98"/>
      <c r="K158" s="98"/>
      <c r="L158" s="162"/>
      <c r="M158" s="162"/>
      <c r="N158" s="162"/>
      <c r="O158" s="162"/>
      <c r="P158" s="162"/>
      <c r="Q158" s="162"/>
      <c r="R158" s="162"/>
      <c r="S158" s="163"/>
      <c r="T158" s="155"/>
      <c r="U158" s="124"/>
      <c r="V158" s="140"/>
      <c r="W158" s="149"/>
      <c r="X158" s="365" t="str">
        <f t="shared" si="52"/>
        <v>Oxfordshire</v>
      </c>
      <c r="Y158" s="463" t="str">
        <f>IF(Year1_Oxfordshire Year1_Care_Leavers_in_EET="","",Year1_Oxfordshire Year1_Care_Leavers_in_EET)</f>
        <v/>
      </c>
      <c r="Z158" s="365" t="str">
        <f>IF(Year2_Oxfordshire Year2_Care_Leavers_in_EET="","",Year2_Oxfordshire Year2_Care_Leavers_in_EET)</f>
        <v/>
      </c>
      <c r="AA158" s="365" t="str">
        <f>IF(Year3_Oxfordshire Year3_Care_Leavers_in_EET="","",Year3_Oxfordshire Year3_Care_Leavers_in_EET)</f>
        <v/>
      </c>
      <c r="AB158" s="365">
        <f>IF(Year4_Oxfordshire Year4_Care_Leavers_in_EET="","",Year4_Oxfordshire Year4_Care_Leavers_in_EET)</f>
        <v>117</v>
      </c>
      <c r="AC158" s="552">
        <f>IF(Year5_Oxfordshire Year5_Care_Leavers_in_EET="","",Year5_Oxfordshire Year5_Care_Leavers_in_EET)</f>
        <v>136</v>
      </c>
      <c r="AD158" s="83"/>
      <c r="AE158" s="83"/>
      <c r="AF158" s="83"/>
      <c r="AG158" s="83"/>
      <c r="AH158" s="83"/>
      <c r="AI158" s="179"/>
      <c r="AJ158" s="156"/>
    </row>
    <row r="159" spans="1:44" s="89" customFormat="1" ht="12.75" customHeight="1" x14ac:dyDescent="0.2">
      <c r="A159" s="462">
        <f>VLOOKUP(B159,Sheet1!$AQ$4:$AR$25,2,FALSE)</f>
        <v>0</v>
      </c>
      <c r="B159" s="95" t="str">
        <f t="shared" si="46"/>
        <v>Portsmouth</v>
      </c>
      <c r="C159" s="87"/>
      <c r="D159" s="158" t="e">
        <f t="shared" si="47"/>
        <v>#N/A</v>
      </c>
      <c r="E159" s="158" t="e">
        <f t="shared" si="48"/>
        <v>#N/A</v>
      </c>
      <c r="F159" s="158" t="e">
        <f t="shared" si="49"/>
        <v>#N/A</v>
      </c>
      <c r="G159" s="158">
        <f t="shared" si="50"/>
        <v>0.37391304347826088</v>
      </c>
      <c r="H159" s="160">
        <f t="shared" si="51"/>
        <v>0.44715447154471544</v>
      </c>
      <c r="I159" s="425"/>
      <c r="J159" s="98"/>
      <c r="K159" s="98"/>
      <c r="L159" s="162"/>
      <c r="M159" s="162"/>
      <c r="N159" s="162"/>
      <c r="O159" s="162"/>
      <c r="P159" s="162"/>
      <c r="Q159" s="162"/>
      <c r="R159" s="162"/>
      <c r="S159" s="163"/>
      <c r="T159" s="155"/>
      <c r="U159" s="124"/>
      <c r="V159" s="140"/>
      <c r="W159" s="149"/>
      <c r="X159" s="365" t="str">
        <f t="shared" si="52"/>
        <v>Portsmouth</v>
      </c>
      <c r="Y159" s="463" t="str">
        <f>IF(Year1_Portsmouth Year1_Care_Leavers_in_EET="","",Year1_Portsmouth Year1_Care_Leavers_in_EET)</f>
        <v/>
      </c>
      <c r="Z159" s="365" t="str">
        <f>IF(Year2_Portsmouth Year2_Care_Leavers_in_EET="","",Year2_Portsmouth Year2_Care_Leavers_in_EET)</f>
        <v/>
      </c>
      <c r="AA159" s="365" t="str">
        <f>IF(Year3_Portsmouth Year3_Care_Leavers_in_EET="","",Year3_Portsmouth Year3_Care_Leavers_in_EET)</f>
        <v/>
      </c>
      <c r="AB159" s="365">
        <f>IF(Year4_Portsmouth Year4_Care_Leavers_in_EET="","",Year4_Portsmouth Year4_Care_Leavers_in_EET)</f>
        <v>43</v>
      </c>
      <c r="AC159" s="552">
        <f>IF(Year5_Portsmouth Year5_Care_Leavers_in_EET="","",Year5_Portsmouth Year5_Care_Leavers_in_EET)</f>
        <v>55</v>
      </c>
      <c r="AD159" s="83"/>
      <c r="AE159" s="83"/>
      <c r="AF159" s="83"/>
      <c r="AG159" s="83"/>
      <c r="AH159" s="83"/>
      <c r="AI159" s="179"/>
      <c r="AJ159" s="156"/>
    </row>
    <row r="160" spans="1:44" s="89" customFormat="1" ht="12.75" customHeight="1" x14ac:dyDescent="0.2">
      <c r="A160" s="462">
        <f>VLOOKUP(B160,Sheet1!$AQ$4:$AR$25,2,FALSE)</f>
        <v>0</v>
      </c>
      <c r="B160" s="95" t="str">
        <f t="shared" si="46"/>
        <v>Reading</v>
      </c>
      <c r="C160" s="87"/>
      <c r="D160" s="158" t="e">
        <f t="shared" si="47"/>
        <v>#N/A</v>
      </c>
      <c r="E160" s="158" t="e">
        <f t="shared" si="48"/>
        <v>#N/A</v>
      </c>
      <c r="F160" s="158" t="e">
        <f t="shared" si="49"/>
        <v>#N/A</v>
      </c>
      <c r="G160" s="158">
        <f t="shared" si="50"/>
        <v>0.42528735632183906</v>
      </c>
      <c r="H160" s="160" t="e">
        <f t="shared" si="51"/>
        <v>#N/A</v>
      </c>
      <c r="I160" s="425"/>
      <c r="J160" s="98"/>
      <c r="K160" s="98"/>
      <c r="L160" s="162"/>
      <c r="M160" s="162"/>
      <c r="N160" s="162"/>
      <c r="O160" s="162"/>
      <c r="P160" s="162"/>
      <c r="Q160" s="162"/>
      <c r="R160" s="162"/>
      <c r="S160" s="163"/>
      <c r="T160" s="155"/>
      <c r="U160" s="124"/>
      <c r="V160" s="140"/>
      <c r="W160" s="149"/>
      <c r="X160" s="365" t="str">
        <f t="shared" si="52"/>
        <v>Reading</v>
      </c>
      <c r="Y160" s="463" t="str">
        <f>IF(Year1_Reading Year1_Care_Leavers_in_EET="","",Year1_Reading Year1_Care_Leavers_in_EET)</f>
        <v/>
      </c>
      <c r="Z160" s="365" t="str">
        <f>IF(Year2_Reading Year2_Care_Leavers_in_EET="","",Year2_Reading Year2_Care_Leavers_in_EET)</f>
        <v/>
      </c>
      <c r="AA160" s="365" t="str">
        <f>IF(Year3_Reading Year3_Care_Leavers_in_EET="","",Year3_Reading Year3_Care_Leavers_in_EET)</f>
        <v/>
      </c>
      <c r="AB160" s="365">
        <f>IF(Year4_Reading Year4_Care_Leavers_in_EET="","",Year4_Reading Year4_Care_Leavers_in_EET)</f>
        <v>37</v>
      </c>
      <c r="AC160" s="552" t="str">
        <f>IF(Year5_Reading Year5_Care_Leavers_in_EET="","",Year5_Reading Year5_Care_Leavers_in_EET)</f>
        <v>x</v>
      </c>
      <c r="AD160" s="83"/>
      <c r="AE160" s="83"/>
      <c r="AF160" s="83"/>
      <c r="AG160" s="83"/>
      <c r="AH160" s="83"/>
      <c r="AI160" s="179"/>
      <c r="AJ160" s="156"/>
    </row>
    <row r="161" spans="1:36" s="89" customFormat="1" ht="12.75" customHeight="1" x14ac:dyDescent="0.2">
      <c r="A161" s="462">
        <f>VLOOKUP(B161,Sheet1!$AQ$4:$AR$25,2,FALSE)</f>
        <v>0</v>
      </c>
      <c r="B161" s="95" t="str">
        <f t="shared" si="46"/>
        <v>Slough</v>
      </c>
      <c r="C161" s="87"/>
      <c r="D161" s="158" t="e">
        <f t="shared" si="47"/>
        <v>#N/A</v>
      </c>
      <c r="E161" s="158" t="e">
        <f t="shared" si="48"/>
        <v>#N/A</v>
      </c>
      <c r="F161" s="158" t="e">
        <f t="shared" si="49"/>
        <v>#N/A</v>
      </c>
      <c r="G161" s="158">
        <f t="shared" si="50"/>
        <v>0.38202247191011235</v>
      </c>
      <c r="H161" s="160">
        <f t="shared" si="51"/>
        <v>0.58620689655172409</v>
      </c>
      <c r="I161" s="425"/>
      <c r="J161" s="98"/>
      <c r="K161" s="98"/>
      <c r="L161" s="162"/>
      <c r="M161" s="162"/>
      <c r="N161" s="162"/>
      <c r="O161" s="162"/>
      <c r="P161" s="162"/>
      <c r="Q161" s="162"/>
      <c r="R161" s="162"/>
      <c r="S161" s="163"/>
      <c r="T161" s="155"/>
      <c r="U161" s="124"/>
      <c r="V161" s="140"/>
      <c r="W161" s="149"/>
      <c r="X161" s="365" t="str">
        <f t="shared" si="52"/>
        <v>Slough</v>
      </c>
      <c r="Y161" s="463" t="str">
        <f>IF(Year1_Slough Year1_Care_Leavers_in_EET="","",Year1_Slough Year1_Care_Leavers_in_EET)</f>
        <v/>
      </c>
      <c r="Z161" s="365" t="str">
        <f>IF(Year2_Slough Year2_Care_Leavers_in_EET="","",Year2_Slough Year2_Care_Leavers_in_EET)</f>
        <v/>
      </c>
      <c r="AA161" s="365" t="str">
        <f>IF(Year3_Slough Year3_Care_Leavers_in_EET="","",Year3_Slough Year3_Care_Leavers_in_EET)</f>
        <v/>
      </c>
      <c r="AB161" s="365">
        <f>IF(Year4_Slough Year4_Care_Leavers_in_EET="","",Year4_Slough Year4_Care_Leavers_in_EET)</f>
        <v>34</v>
      </c>
      <c r="AC161" s="552">
        <f>IF(Year5_Slough Year5_Care_Leavers_in_EET="","",Year5_Slough Year5_Care_Leavers_in_EET)</f>
        <v>51</v>
      </c>
      <c r="AD161" s="83"/>
      <c r="AE161" s="83"/>
      <c r="AF161" s="83"/>
      <c r="AG161" s="83"/>
      <c r="AH161" s="83"/>
      <c r="AI161" s="179"/>
      <c r="AJ161" s="156"/>
    </row>
    <row r="162" spans="1:36" s="89" customFormat="1" ht="12.75" customHeight="1" x14ac:dyDescent="0.2">
      <c r="A162" s="462">
        <f>VLOOKUP(B162,Sheet1!$AQ$4:$AR$25,2,FALSE)</f>
        <v>0</v>
      </c>
      <c r="B162" s="95" t="str">
        <f t="shared" si="46"/>
        <v>Somerset</v>
      </c>
      <c r="C162" s="87"/>
      <c r="D162" s="158" t="e">
        <f t="shared" si="47"/>
        <v>#N/A</v>
      </c>
      <c r="E162" s="158" t="e">
        <f t="shared" si="48"/>
        <v>#N/A</v>
      </c>
      <c r="F162" s="158" t="e">
        <f t="shared" si="49"/>
        <v>#N/A</v>
      </c>
      <c r="G162" s="158">
        <f t="shared" si="50"/>
        <v>0.57711442786069655</v>
      </c>
      <c r="H162" s="160">
        <f t="shared" si="51"/>
        <v>0.574585635359116</v>
      </c>
      <c r="I162" s="425"/>
      <c r="J162" s="98"/>
      <c r="K162" s="98"/>
      <c r="L162" s="162"/>
      <c r="M162" s="162"/>
      <c r="N162" s="162"/>
      <c r="O162" s="162"/>
      <c r="P162" s="162"/>
      <c r="Q162" s="162"/>
      <c r="R162" s="162"/>
      <c r="S162" s="163"/>
      <c r="T162" s="155"/>
      <c r="U162" s="124"/>
      <c r="V162" s="140"/>
      <c r="W162" s="149"/>
      <c r="X162" s="365" t="str">
        <f t="shared" si="52"/>
        <v>Somerset</v>
      </c>
      <c r="Y162" s="463" t="str">
        <f>IF(Year1_Somerset Year1_Care_Leavers_in_EET="","",Year1_Somerset Year1_Care_Leavers_in_EET)</f>
        <v/>
      </c>
      <c r="Z162" s="365" t="str">
        <f>IF(Year2_Somerset Year2_Care_Leavers_in_EET="","",Year2_Somerset Year2_Care_Leavers_in_EET)</f>
        <v/>
      </c>
      <c r="AA162" s="365" t="str">
        <f>IF(Year3_Somerset Year3_Care_Leavers_in_EET="","",Year3_Somerset Year3_Care_Leavers_in_EET)</f>
        <v/>
      </c>
      <c r="AB162" s="365">
        <f>IF(Year4_Somerset Year4_Care_Leavers_in_EET="","",Year4_Somerset Year4_Care_Leavers_in_EET)</f>
        <v>116</v>
      </c>
      <c r="AC162" s="552">
        <f>IF(Year5_Somerset Year5_Care_Leavers_in_EET="","",Year5_Somerset Year5_Care_Leavers_in_EET)</f>
        <v>104</v>
      </c>
      <c r="AD162" s="83"/>
      <c r="AE162" s="83"/>
      <c r="AF162" s="83"/>
      <c r="AG162" s="83"/>
      <c r="AH162" s="83"/>
      <c r="AI162" s="179"/>
      <c r="AJ162" s="156"/>
    </row>
    <row r="163" spans="1:36" s="89" customFormat="1" ht="12.75" customHeight="1" x14ac:dyDescent="0.2">
      <c r="A163" s="462">
        <f>VLOOKUP(B163,Sheet1!$AQ$4:$AR$25,2,FALSE)</f>
        <v>0</v>
      </c>
      <c r="B163" s="95" t="str">
        <f t="shared" si="46"/>
        <v>Southampton</v>
      </c>
      <c r="C163" s="87"/>
      <c r="D163" s="158" t="e">
        <f t="shared" si="47"/>
        <v>#N/A</v>
      </c>
      <c r="E163" s="158" t="e">
        <f t="shared" si="48"/>
        <v>#N/A</v>
      </c>
      <c r="F163" s="158" t="e">
        <f t="shared" si="49"/>
        <v>#N/A</v>
      </c>
      <c r="G163" s="158">
        <f t="shared" si="50"/>
        <v>0.41129032258064518</v>
      </c>
      <c r="H163" s="160">
        <f t="shared" si="51"/>
        <v>0.44881889763779526</v>
      </c>
      <c r="I163" s="425"/>
      <c r="J163" s="98"/>
      <c r="K163" s="98"/>
      <c r="L163" s="162"/>
      <c r="M163" s="162"/>
      <c r="N163" s="162"/>
      <c r="O163" s="162"/>
      <c r="P163" s="162"/>
      <c r="Q163" s="162"/>
      <c r="R163" s="162"/>
      <c r="S163" s="163"/>
      <c r="T163" s="155"/>
      <c r="U163" s="124"/>
      <c r="V163" s="140"/>
      <c r="W163" s="149"/>
      <c r="X163" s="365" t="str">
        <f t="shared" si="52"/>
        <v>Southampton</v>
      </c>
      <c r="Y163" s="463" t="str">
        <f>IF(Year1_Southampton Year1_Care_Leavers_in_EET="","",Year1_Southampton Year1_Care_Leavers_in_EET)</f>
        <v/>
      </c>
      <c r="Z163" s="365" t="str">
        <f>IF(Year2_Southampton Year2_Care_Leavers_in_EET="","",Year2_Southampton Year2_Care_Leavers_in_EET)</f>
        <v/>
      </c>
      <c r="AA163" s="365" t="str">
        <f>IF(Year3_Southampton Year3_Care_Leavers_in_EET="","",Year3_Southampton Year3_Care_Leavers_in_EET)</f>
        <v/>
      </c>
      <c r="AB163" s="365">
        <f>IF(Year4_Southampton Year4_Care_Leavers_in_EET="","",Year4_Southampton Year4_Care_Leavers_in_EET)</f>
        <v>51</v>
      </c>
      <c r="AC163" s="552">
        <f>IF(Year5_Southampton Year5_Care_Leavers_in_EET="","",Year5_Southampton Year5_Care_Leavers_in_EET)</f>
        <v>57</v>
      </c>
      <c r="AD163" s="83"/>
      <c r="AE163" s="83"/>
      <c r="AF163" s="83"/>
      <c r="AG163" s="83"/>
      <c r="AH163" s="83"/>
      <c r="AI163" s="179"/>
      <c r="AJ163" s="156"/>
    </row>
    <row r="164" spans="1:36" s="89" customFormat="1" ht="12.75" customHeight="1" x14ac:dyDescent="0.2">
      <c r="A164" s="462">
        <f>VLOOKUP(B164,Sheet1!$AQ$4:$AR$25,2,FALSE)</f>
        <v>0</v>
      </c>
      <c r="B164" s="95" t="str">
        <f t="shared" si="46"/>
        <v>Surrey</v>
      </c>
      <c r="C164" s="87"/>
      <c r="D164" s="158" t="e">
        <f t="shared" si="47"/>
        <v>#N/A</v>
      </c>
      <c r="E164" s="158" t="e">
        <f t="shared" si="48"/>
        <v>#N/A</v>
      </c>
      <c r="F164" s="158" t="e">
        <f t="shared" si="49"/>
        <v>#N/A</v>
      </c>
      <c r="G164" s="158">
        <f t="shared" si="50"/>
        <v>0.56220095693779903</v>
      </c>
      <c r="H164" s="160">
        <f t="shared" si="51"/>
        <v>0.57894736842105265</v>
      </c>
      <c r="I164" s="425"/>
      <c r="J164" s="98"/>
      <c r="K164" s="98"/>
      <c r="L164" s="162"/>
      <c r="M164" s="162"/>
      <c r="N164" s="162"/>
      <c r="O164" s="162"/>
      <c r="P164" s="162"/>
      <c r="Q164" s="162"/>
      <c r="R164" s="162"/>
      <c r="S164" s="163"/>
      <c r="T164" s="155"/>
      <c r="U164" s="124"/>
      <c r="V164" s="140"/>
      <c r="W164" s="149"/>
      <c r="X164" s="365" t="str">
        <f t="shared" si="52"/>
        <v>Surrey</v>
      </c>
      <c r="Y164" s="463" t="str">
        <f>IF(Year1_Surrey Year1_Care_Leavers_in_EET="","",Year1_Surrey Year1_Care_Leavers_in_EET)</f>
        <v/>
      </c>
      <c r="Z164" s="365" t="str">
        <f>IF(Year2_Surrey Year2_Care_Leavers_in_EET="","",Year2_Surrey Year2_Care_Leavers_in_EET)</f>
        <v/>
      </c>
      <c r="AA164" s="365" t="str">
        <f>IF(Year3_Surrey Year3_Care_Leavers_in_EET="","",Year3_Surrey Year3_Care_Leavers_in_EET)</f>
        <v/>
      </c>
      <c r="AB164" s="365">
        <f>IF(Year4_Surrey Year4_Care_Leavers_in_EET="","",Year4_Surrey Year4_Care_Leavers_in_EET)</f>
        <v>235</v>
      </c>
      <c r="AC164" s="552">
        <f>IF(Year5_Surrey Year5_Care_Leavers_in_EET="","",Year5_Surrey Year5_Care_Leavers_in_EET)</f>
        <v>275</v>
      </c>
      <c r="AD164" s="83"/>
      <c r="AE164" s="83"/>
      <c r="AF164" s="83"/>
      <c r="AG164" s="83"/>
      <c r="AH164" s="83"/>
      <c r="AI164" s="179"/>
      <c r="AJ164" s="156"/>
    </row>
    <row r="165" spans="1:36" s="89" customFormat="1" ht="12.75" customHeight="1" x14ac:dyDescent="0.2">
      <c r="A165" s="462">
        <f>VLOOKUP(B165,Sheet1!$AQ$4:$AR$25,2,FALSE)</f>
        <v>0</v>
      </c>
      <c r="B165" s="95" t="str">
        <f t="shared" si="46"/>
        <v>Swindon</v>
      </c>
      <c r="C165" s="87"/>
      <c r="D165" s="158" t="e">
        <f t="shared" si="47"/>
        <v>#N/A</v>
      </c>
      <c r="E165" s="158" t="e">
        <f t="shared" si="48"/>
        <v>#N/A</v>
      </c>
      <c r="F165" s="158" t="e">
        <f t="shared" si="49"/>
        <v>#N/A</v>
      </c>
      <c r="G165" s="158">
        <f t="shared" si="50"/>
        <v>0.59677419354838712</v>
      </c>
      <c r="H165" s="160">
        <f t="shared" si="51"/>
        <v>0.51851851851851849</v>
      </c>
      <c r="I165" s="425"/>
      <c r="J165" s="98"/>
      <c r="K165" s="98"/>
      <c r="L165" s="162"/>
      <c r="M165" s="162"/>
      <c r="N165" s="162"/>
      <c r="O165" s="162"/>
      <c r="P165" s="162"/>
      <c r="Q165" s="162"/>
      <c r="R165" s="162"/>
      <c r="S165" s="163"/>
      <c r="T165" s="155"/>
      <c r="U165" s="124"/>
      <c r="V165" s="140"/>
      <c r="W165" s="149"/>
      <c r="X165" s="365" t="str">
        <f t="shared" si="52"/>
        <v>Swindon</v>
      </c>
      <c r="Y165" s="463" t="str">
        <f>IF(Year1_Swindon Year1_Care_Leavers_in_EET="","",Year1_Swindon Year1_Care_Leavers_in_EET)</f>
        <v/>
      </c>
      <c r="Z165" s="365" t="str">
        <f>IF(Year2_Swindon Year2_Care_Leavers_in_EET="","",Year2_Swindon Year2_Care_Leavers_in_EET)</f>
        <v/>
      </c>
      <c r="AA165" s="365" t="str">
        <f>IF(Year3_Swindon Year3_Care_Leavers_in_EET="","",Year3_Swindon Year3_Care_Leavers_in_EET)</f>
        <v/>
      </c>
      <c r="AB165" s="555">
        <f>IF(Year4_Swindon Year4_Care_Leavers_in_EET="","",Year4_Swindon Year4_Care_Leavers_in_EET)</f>
        <v>74</v>
      </c>
      <c r="AC165" s="573">
        <f>IF(Year5_Swindon Year5_Care_Leavers_in_EET="","",Year5_Swindon Year5_Care_Leavers_in_EET)</f>
        <v>70</v>
      </c>
      <c r="AD165" s="83"/>
      <c r="AE165" s="83"/>
      <c r="AF165" s="83"/>
      <c r="AG165" s="83"/>
      <c r="AH165" s="83"/>
      <c r="AI165" s="179"/>
      <c r="AJ165" s="156"/>
    </row>
    <row r="166" spans="1:36" s="89" customFormat="1" ht="12.75" customHeight="1" x14ac:dyDescent="0.2">
      <c r="A166" s="462">
        <f>VLOOKUP(B166,Sheet1!$AQ$4:$AR$25,2,FALSE)</f>
        <v>0</v>
      </c>
      <c r="B166" s="95" t="str">
        <f t="shared" si="46"/>
        <v>Torbay</v>
      </c>
      <c r="C166" s="87"/>
      <c r="D166" s="158" t="e">
        <f t="shared" si="47"/>
        <v>#N/A</v>
      </c>
      <c r="E166" s="158" t="e">
        <f t="shared" si="48"/>
        <v>#N/A</v>
      </c>
      <c r="F166" s="158" t="e">
        <f t="shared" si="49"/>
        <v>#N/A</v>
      </c>
      <c r="G166" s="158" t="e">
        <f t="shared" si="50"/>
        <v>#N/A</v>
      </c>
      <c r="H166" s="160">
        <f t="shared" si="51"/>
        <v>0.55769230769230771</v>
      </c>
      <c r="I166" s="425"/>
      <c r="J166" s="98"/>
      <c r="K166" s="98"/>
      <c r="L166" s="162"/>
      <c r="M166" s="162"/>
      <c r="N166" s="162"/>
      <c r="O166" s="162"/>
      <c r="P166" s="162"/>
      <c r="Q166" s="162"/>
      <c r="R166" s="162"/>
      <c r="S166" s="163"/>
      <c r="T166" s="155"/>
      <c r="U166" s="124"/>
      <c r="V166" s="140"/>
      <c r="W166" s="149"/>
      <c r="X166" s="365" t="str">
        <f t="shared" si="52"/>
        <v>Torbay</v>
      </c>
      <c r="Y166" s="463" t="str">
        <f>IF(Year1_Torbay Year1_Care_Leavers_in_EET="","",Year1_Torbay Year1_Care_Leavers_in_EET)</f>
        <v/>
      </c>
      <c r="Z166" s="365" t="str">
        <f>IF(Year2_Torbay Year2_Care_Leavers_in_EET="","",Year2_Torbay Year2_Care_Leavers_in_EET)</f>
        <v/>
      </c>
      <c r="AA166" s="365" t="str">
        <f>IF(Year3_Torbay Year3_Care_Leavers_in_EET="","",Year3_Torbay Year3_Care_Leavers_in_EET)</f>
        <v/>
      </c>
      <c r="AB166" s="555" t="str">
        <f>IF(Year4_Torbay Year4_Care_Leavers_in_EET="","",Year4_Torbay Year4_Care_Leavers_in_EET)</f>
        <v>x</v>
      </c>
      <c r="AC166" s="573">
        <f>IF(Year5_Torbay Year5_Care_Leavers_in_EET="","",Year5_Torbay Year5_Care_Leavers_in_EET)</f>
        <v>58</v>
      </c>
      <c r="AD166" s="83"/>
      <c r="AE166" s="83"/>
      <c r="AF166" s="83"/>
      <c r="AG166" s="83"/>
      <c r="AH166" s="83"/>
      <c r="AI166" s="179"/>
      <c r="AJ166" s="156"/>
    </row>
    <row r="167" spans="1:36" s="89" customFormat="1" ht="12.75" customHeight="1" x14ac:dyDescent="0.2">
      <c r="A167" s="462">
        <f>VLOOKUP(B167,Sheet1!$AQ$4:$AR$25,2,FALSE)</f>
        <v>0</v>
      </c>
      <c r="B167" s="95" t="str">
        <f t="shared" si="46"/>
        <v>West Berkshire</v>
      </c>
      <c r="C167" s="87"/>
      <c r="D167" s="158" t="e">
        <f t="shared" si="47"/>
        <v>#N/A</v>
      </c>
      <c r="E167" s="158" t="e">
        <f t="shared" si="48"/>
        <v>#N/A</v>
      </c>
      <c r="F167" s="158" t="e">
        <f t="shared" si="49"/>
        <v>#N/A</v>
      </c>
      <c r="G167" s="158">
        <f t="shared" si="50"/>
        <v>0.48717948717948717</v>
      </c>
      <c r="H167" s="160">
        <f t="shared" si="51"/>
        <v>0.46052631578947367</v>
      </c>
      <c r="I167" s="425"/>
      <c r="J167" s="98"/>
      <c r="K167" s="98"/>
      <c r="L167" s="162"/>
      <c r="M167" s="162"/>
      <c r="N167" s="162"/>
      <c r="O167" s="162"/>
      <c r="P167" s="162"/>
      <c r="Q167" s="162"/>
      <c r="R167" s="162"/>
      <c r="S167" s="163"/>
      <c r="T167" s="155"/>
      <c r="U167" s="124"/>
      <c r="V167" s="140"/>
      <c r="W167" s="149"/>
      <c r="X167" s="365" t="str">
        <f t="shared" si="52"/>
        <v>West Berkshire</v>
      </c>
      <c r="Y167" s="463" t="str">
        <f>IF(Year1_West_Berkshire Year1_Care_Leavers_in_EET="","",Year1_West_Berkshire Year1_Care_Leavers_in_EET)</f>
        <v/>
      </c>
      <c r="Z167" s="365" t="str">
        <f>IF(Year2_West_Berkshire Year2_Care_Leavers_in_EET="","",Year2_West_Berkshire Year2_Care_Leavers_in_EET)</f>
        <v/>
      </c>
      <c r="AA167" s="365" t="str">
        <f>IF(Year3_West_Berkshire Year3_Care_Leavers_in_EET="","",Year3_West_Berkshire Year3_Care_Leavers_in_EET)</f>
        <v/>
      </c>
      <c r="AB167" s="365">
        <f>IF(Year4_West_Berkshire Year4_Care_Leavers_in_EET="","",Year4_West_Berkshire Year4_Care_Leavers_in_EET)</f>
        <v>38</v>
      </c>
      <c r="AC167" s="552">
        <f>IF(Year5_West_Berkshire Year5_Care_Leavers_in_EET="","",Year5_West_Berkshire Year5_Care_Leavers_in_EET)</f>
        <v>35</v>
      </c>
      <c r="AD167" s="83"/>
      <c r="AE167" s="83"/>
      <c r="AF167" s="83"/>
      <c r="AG167" s="83"/>
      <c r="AH167" s="83"/>
      <c r="AI167" s="179"/>
      <c r="AJ167" s="156"/>
    </row>
    <row r="168" spans="1:36" s="89" customFormat="1" ht="12.75" customHeight="1" x14ac:dyDescent="0.2">
      <c r="A168" s="462">
        <f>VLOOKUP(B168,Sheet1!$AQ$4:$AR$25,2,FALSE)</f>
        <v>0</v>
      </c>
      <c r="B168" s="95" t="str">
        <f t="shared" si="46"/>
        <v>West Sussex</v>
      </c>
      <c r="C168" s="87"/>
      <c r="D168" s="158" t="e">
        <f t="shared" si="47"/>
        <v>#N/A</v>
      </c>
      <c r="E168" s="158" t="e">
        <f t="shared" si="48"/>
        <v>#N/A</v>
      </c>
      <c r="F168" s="158" t="e">
        <f t="shared" si="49"/>
        <v>#N/A</v>
      </c>
      <c r="G168" s="158">
        <f t="shared" si="50"/>
        <v>0.71551724137931039</v>
      </c>
      <c r="H168" s="160">
        <f t="shared" si="51"/>
        <v>0.6584022038567493</v>
      </c>
      <c r="I168" s="425"/>
      <c r="J168" s="98"/>
      <c r="K168" s="98"/>
      <c r="L168" s="162"/>
      <c r="M168" s="162"/>
      <c r="N168" s="162"/>
      <c r="O168" s="162"/>
      <c r="P168" s="162"/>
      <c r="Q168" s="162"/>
      <c r="R168" s="162"/>
      <c r="S168" s="163"/>
      <c r="T168" s="155"/>
      <c r="U168" s="124"/>
      <c r="V168" s="140"/>
      <c r="W168" s="149"/>
      <c r="X168" s="365" t="str">
        <f t="shared" si="52"/>
        <v>West Sussex</v>
      </c>
      <c r="Y168" s="463" t="str">
        <f>IF(Year1_West_Sussex Year1_Care_Leavers_in_EET="","",Year1_West_Sussex Year1_Care_Leavers_in_EET)</f>
        <v/>
      </c>
      <c r="Z168" s="365" t="str">
        <f>IF(Year2_West_Sussex Year2_Care_Leavers_in_EET="","",Year2_West_Sussex Year2_Care_Leavers_in_EET)</f>
        <v/>
      </c>
      <c r="AA168" s="365" t="str">
        <f>IF(Year3_West_Sussex Year3_Care_Leavers_in_EET="","",Year3_West_Sussex Year3_Care_Leavers_in_EET)</f>
        <v/>
      </c>
      <c r="AB168" s="365">
        <f>IF(Year4_West_Sussex Year4_Care_Leavers_in_EET="","",Year4_West_Sussex Year4_Care_Leavers_in_EET)</f>
        <v>249</v>
      </c>
      <c r="AC168" s="552">
        <f>IF(Year5_West_Sussex Year5_Care_Leavers_in_EET="","",Year5_West_Sussex Year5_Care_Leavers_in_EET)</f>
        <v>239</v>
      </c>
      <c r="AD168" s="83"/>
      <c r="AE168" s="83"/>
      <c r="AF168" s="83"/>
      <c r="AG168" s="83"/>
      <c r="AH168" s="83"/>
      <c r="AI168" s="179"/>
      <c r="AJ168" s="156"/>
    </row>
    <row r="169" spans="1:36" s="89" customFormat="1" ht="12.75" customHeight="1" x14ac:dyDescent="0.2">
      <c r="A169" s="462">
        <f>VLOOKUP(B169,Sheet1!$AQ$4:$AR$25,2,FALSE)</f>
        <v>0</v>
      </c>
      <c r="B169" s="95" t="str">
        <f t="shared" si="46"/>
        <v>Windsor &amp; Maidenhead</v>
      </c>
      <c r="C169" s="87"/>
      <c r="D169" s="158" t="e">
        <f t="shared" si="47"/>
        <v>#N/A</v>
      </c>
      <c r="E169" s="158" t="e">
        <f t="shared" si="48"/>
        <v>#N/A</v>
      </c>
      <c r="F169" s="158" t="e">
        <f t="shared" si="49"/>
        <v>#N/A</v>
      </c>
      <c r="G169" s="158">
        <f t="shared" si="50"/>
        <v>0.52083333333333337</v>
      </c>
      <c r="H169" s="160">
        <f t="shared" si="51"/>
        <v>0.5535714285714286</v>
      </c>
      <c r="I169" s="425"/>
      <c r="J169" s="98"/>
      <c r="K169" s="98"/>
      <c r="L169" s="162"/>
      <c r="M169" s="162"/>
      <c r="N169" s="162"/>
      <c r="O169" s="162"/>
      <c r="P169" s="162"/>
      <c r="Q169" s="162"/>
      <c r="R169" s="162"/>
      <c r="S169" s="163"/>
      <c r="T169" s="155"/>
      <c r="U169" s="124"/>
      <c r="V169" s="140"/>
      <c r="W169" s="149"/>
      <c r="X169" s="365" t="str">
        <f t="shared" si="52"/>
        <v>Windsor &amp; Maidenhead</v>
      </c>
      <c r="Y169" s="463" t="str">
        <f>IF(Year1_Windsor_Maidenhead Year1_Care_Leavers_in_EET="","",Year1_Windsor_Maidenhead Year1_Care_Leavers_in_EET)</f>
        <v/>
      </c>
      <c r="Z169" s="365" t="str">
        <f>IF(Year2_Windsor_Maidenhead Year2_Care_Leavers_in_EET="","",Year2_Windsor_Maidenhead Year2_Care_Leavers_in_EET)</f>
        <v/>
      </c>
      <c r="AA169" s="365" t="str">
        <f>IF(Year3_Windsor_Maidenhead Year3_Care_Leavers_in_EET="","",Year3_Windsor_Maidenhead Year3_Care_Leavers_in_EET)</f>
        <v/>
      </c>
      <c r="AB169" s="365">
        <f>IF(Year4_Windsor_Maidenhead Year4_Care_Leavers_in_EET="","",Year4_Windsor_Maidenhead Year4_Care_Leavers_in_EET)</f>
        <v>25</v>
      </c>
      <c r="AC169" s="552">
        <f>IF(Year5_Windsor_Maidenhead Year5_Care_Leavers_in_EET="","",Year5_Windsor_Maidenhead Year5_Care_Leavers_in_EET)</f>
        <v>31</v>
      </c>
      <c r="AD169" s="83"/>
      <c r="AE169" s="83"/>
      <c r="AF169" s="83"/>
      <c r="AG169" s="83"/>
      <c r="AH169" s="83"/>
      <c r="AI169" s="179"/>
      <c r="AJ169" s="156"/>
    </row>
    <row r="170" spans="1:36" s="89" customFormat="1" ht="12.75" customHeight="1" x14ac:dyDescent="0.2">
      <c r="A170" s="462">
        <f>VLOOKUP(B170,Sheet1!$AQ$4:$AR$25,2,FALSE)</f>
        <v>0</v>
      </c>
      <c r="B170" s="95" t="str">
        <f t="shared" si="46"/>
        <v>Wokingham</v>
      </c>
      <c r="C170" s="87"/>
      <c r="D170" s="158" t="e">
        <f t="shared" si="47"/>
        <v>#N/A</v>
      </c>
      <c r="E170" s="158" t="e">
        <f t="shared" si="48"/>
        <v>#N/A</v>
      </c>
      <c r="F170" s="158" t="e">
        <f t="shared" si="49"/>
        <v>#N/A</v>
      </c>
      <c r="G170" s="158">
        <f t="shared" si="50"/>
        <v>0.6071428571428571</v>
      </c>
      <c r="H170" s="160">
        <f t="shared" si="51"/>
        <v>0.55263157894736847</v>
      </c>
      <c r="I170" s="425"/>
      <c r="J170" s="98"/>
      <c r="K170" s="98"/>
      <c r="L170" s="162"/>
      <c r="M170" s="162"/>
      <c r="N170" s="162"/>
      <c r="O170" s="162"/>
      <c r="P170" s="162"/>
      <c r="Q170" s="162"/>
      <c r="R170" s="162"/>
      <c r="S170" s="163"/>
      <c r="T170" s="155"/>
      <c r="U170" s="124"/>
      <c r="V170" s="140"/>
      <c r="W170" s="149"/>
      <c r="X170" s="365" t="str">
        <f t="shared" si="52"/>
        <v>Wokingham</v>
      </c>
      <c r="Y170" s="463" t="str">
        <f>IF(Year1_Wokingham Year1_Care_Leavers_in_EET="","",Year1_Wokingham Year1_Care_Leavers_in_EET)</f>
        <v/>
      </c>
      <c r="Z170" s="365" t="str">
        <f>IF(Year2_Wokingham Year2_Care_Leavers_in_EET="","",Year2_Wokingham Year2_Care_Leavers_in_EET)</f>
        <v/>
      </c>
      <c r="AA170" s="365" t="str">
        <f>IF(Year3_Wokingham Year3_Care_Leavers_in_EET="","",Year3_Wokingham Year3_Care_Leavers_in_EET)</f>
        <v/>
      </c>
      <c r="AB170" s="365">
        <f>IF(Year4_Wokingham Year4_Care_Leavers_in_EET="","",Year4_Wokingham Year4_Care_Leavers_in_EET)</f>
        <v>17</v>
      </c>
      <c r="AC170" s="552">
        <f>IF(Year5_Wokingham Year5_Care_Leavers_in_EET="","",Year5_Wokingham Year5_Care_Leavers_in_EET)</f>
        <v>21</v>
      </c>
      <c r="AD170" s="83"/>
      <c r="AE170" s="83"/>
      <c r="AF170" s="83"/>
      <c r="AG170" s="83"/>
      <c r="AH170" s="83"/>
      <c r="AI170" s="179"/>
      <c r="AJ170" s="156"/>
    </row>
    <row r="171" spans="1:36" s="89" customFormat="1" ht="12.75" customHeight="1" x14ac:dyDescent="0.2">
      <c r="A171" s="123"/>
      <c r="B171" s="131" t="str">
        <f t="shared" si="46"/>
        <v>South East</v>
      </c>
      <c r="C171" s="87"/>
      <c r="D171" s="159" t="e">
        <f t="shared" si="47"/>
        <v>#N/A</v>
      </c>
      <c r="E171" s="159" t="e">
        <f t="shared" si="48"/>
        <v>#N/A</v>
      </c>
      <c r="F171" s="159" t="e">
        <f t="shared" si="49"/>
        <v>#N/A</v>
      </c>
      <c r="G171" s="159">
        <f t="shared" si="50"/>
        <v>0.52272727272727271</v>
      </c>
      <c r="H171" s="161">
        <f t="shared" si="51"/>
        <v>0.53894736842105262</v>
      </c>
      <c r="I171" s="425"/>
      <c r="J171" s="98"/>
      <c r="K171" s="98"/>
      <c r="L171" s="164"/>
      <c r="M171" s="164"/>
      <c r="N171" s="164"/>
      <c r="O171" s="164"/>
      <c r="P171" s="164"/>
      <c r="Q171" s="164"/>
      <c r="R171" s="164"/>
      <c r="S171" s="165"/>
      <c r="T171" s="155"/>
      <c r="U171" s="124"/>
      <c r="V171" s="140"/>
      <c r="W171" s="149"/>
      <c r="X171" s="365" t="str">
        <f t="shared" si="52"/>
        <v>South East</v>
      </c>
      <c r="Y171" s="576" t="str">
        <f>IF(Year1_SouthEast Year1_Care_Leavers_in_EET="","",Year1_SouthEast Year1_Care_Leavers_in_EET)</f>
        <v/>
      </c>
      <c r="Z171" s="576" t="str">
        <f>IF(Year2_SouthEast Year2_Care_Leavers_in_EET="","",Year2_SouthEast Year2_Care_Leavers_in_EET)</f>
        <v/>
      </c>
      <c r="AA171" s="576" t="str">
        <f>IF(Year3_SouthEast Year3_Care_Leavers_in_EET="","",Year3_SouthEast Year3_Care_Leavers_in_EET)</f>
        <v/>
      </c>
      <c r="AB171" s="365">
        <f>IF(Year4_SouthEast Year4_Care_Leavers_in_EET="","",Year4_SouthEast Year4_Care_Leavers_in_EET)</f>
        <v>2300</v>
      </c>
      <c r="AC171" s="552">
        <f>IF(Year5_SouthEast Year5_Care_Leavers_in_EET="","",Year5_SouthEast Year5_Care_Leavers_in_EET)</f>
        <v>2560</v>
      </c>
      <c r="AD171" s="83"/>
      <c r="AE171" s="83"/>
      <c r="AF171" s="83"/>
      <c r="AG171" s="83"/>
      <c r="AH171" s="83"/>
      <c r="AI171" s="179"/>
      <c r="AJ171" s="156"/>
    </row>
    <row r="172" spans="1:36" s="89" customFormat="1" ht="12.75" customHeight="1" x14ac:dyDescent="0.2">
      <c r="A172" s="286"/>
      <c r="B172" s="318" t="s">
        <v>126</v>
      </c>
      <c r="C172" s="87"/>
      <c r="D172" s="344" t="e">
        <f t="shared" si="47"/>
        <v>#N/A</v>
      </c>
      <c r="E172" s="344" t="e">
        <f t="shared" si="48"/>
        <v>#N/A</v>
      </c>
      <c r="F172" s="344" t="e">
        <f t="shared" si="49"/>
        <v>#N/A</v>
      </c>
      <c r="G172" s="344">
        <f t="shared" si="50"/>
        <v>0.51350403367239561</v>
      </c>
      <c r="H172" s="345">
        <f t="shared" si="51"/>
        <v>0.52255262278650183</v>
      </c>
      <c r="I172" s="425"/>
      <c r="J172" s="98"/>
      <c r="K172" s="98"/>
      <c r="L172" s="164"/>
      <c r="M172" s="164"/>
      <c r="N172" s="164"/>
      <c r="O172" s="164"/>
      <c r="P172" s="164"/>
      <c r="Q172" s="164"/>
      <c r="R172" s="164"/>
      <c r="S172" s="165"/>
      <c r="T172" s="155"/>
      <c r="U172" s="124"/>
      <c r="V172" s="140"/>
      <c r="W172" s="149"/>
      <c r="X172" s="365" t="str">
        <f t="shared" ref="X172" si="53">B172</f>
        <v>England</v>
      </c>
      <c r="Y172" s="463" t="str">
        <f>IF(Year1_England Year1_Care_Leavers_in_EET="","",Year1_England Year1_Care_Leavers_in_EET)</f>
        <v/>
      </c>
      <c r="Z172" s="365" t="str">
        <f>IF(Year2_England Year2_Care_Leavers_in_EET="","",Year2_England Year2_Care_Leavers_in_EET)</f>
        <v/>
      </c>
      <c r="AA172" s="365" t="str">
        <f>IF(Year3_England Year3_Care_Leavers_in_EET="","",Year3_England Year3_Care_Leavers_in_EET)</f>
        <v/>
      </c>
      <c r="AB172" s="365">
        <f>IF(Year4_England Year4_Care_Leavers_in_EET="","",Year4_England Year4_Care_Leavers_in_EET)</f>
        <v>14640</v>
      </c>
      <c r="AC172" s="552">
        <f>IF(Year5_England Year5_Care_Leavers_in_EET="","",Year5_England Year5_Care_Leavers_in_EET)</f>
        <v>15640</v>
      </c>
      <c r="AD172" s="83"/>
      <c r="AE172" s="83"/>
      <c r="AF172" s="83"/>
      <c r="AG172" s="83"/>
      <c r="AH172" s="83"/>
      <c r="AI172" s="179"/>
      <c r="AJ172" s="156"/>
    </row>
    <row r="173" spans="1:36" s="89" customFormat="1" ht="7.5" customHeight="1" x14ac:dyDescent="0.2">
      <c r="A173" s="286"/>
      <c r="B173" s="98"/>
      <c r="C173" s="98"/>
      <c r="D173" s="98"/>
      <c r="E173" s="98"/>
      <c r="F173" s="98"/>
      <c r="G173" s="98"/>
      <c r="H173" s="98"/>
      <c r="I173" s="98"/>
      <c r="J173" s="98"/>
      <c r="K173" s="98"/>
      <c r="L173" s="164"/>
      <c r="M173" s="164"/>
      <c r="N173" s="164"/>
      <c r="O173" s="164"/>
      <c r="P173" s="164"/>
      <c r="Q173" s="164"/>
      <c r="R173" s="164"/>
      <c r="S173" s="165"/>
      <c r="T173" s="155"/>
      <c r="U173" s="124"/>
      <c r="V173" s="140"/>
      <c r="W173" s="149"/>
      <c r="X173" s="83"/>
      <c r="Y173" s="83"/>
      <c r="Z173" s="191"/>
      <c r="AA173" s="191"/>
      <c r="AB173" s="192"/>
      <c r="AC173" s="83"/>
      <c r="AD173" s="83"/>
      <c r="AE173" s="83"/>
      <c r="AF173" s="83"/>
      <c r="AG173" s="83"/>
      <c r="AH173" s="83"/>
      <c r="AI173" s="179"/>
      <c r="AJ173" s="156"/>
    </row>
    <row r="174" spans="1:36" s="83" customFormat="1" ht="41.25" customHeight="1" x14ac:dyDescent="0.2">
      <c r="A174" s="213"/>
      <c r="B174" s="385"/>
      <c r="C174" s="385"/>
      <c r="D174" s="385"/>
      <c r="E174" s="385"/>
      <c r="F174" s="385"/>
      <c r="G174" s="385"/>
      <c r="H174" s="385"/>
      <c r="I174" s="385"/>
      <c r="J174" s="385"/>
      <c r="K174" s="168"/>
      <c r="L174" s="168"/>
      <c r="M174" s="168"/>
      <c r="N174" s="168"/>
      <c r="O174" s="168"/>
      <c r="P174" s="168"/>
      <c r="Q174" s="168"/>
      <c r="R174" s="168"/>
      <c r="S174" s="137"/>
      <c r="T174" s="168"/>
      <c r="U174" s="119"/>
      <c r="V174" s="138"/>
      <c r="W174" s="147"/>
      <c r="AC174" s="192"/>
      <c r="AD174" s="194"/>
      <c r="AE174" s="179"/>
      <c r="AF174" s="179"/>
      <c r="AG174" s="179"/>
      <c r="AI174" s="179"/>
      <c r="AJ174" s="157"/>
    </row>
    <row r="175" spans="1:36" s="83" customFormat="1" ht="41.25" customHeight="1" x14ac:dyDescent="0.2">
      <c r="A175" s="213"/>
      <c r="B175" s="385"/>
      <c r="C175" s="385"/>
      <c r="D175" s="385"/>
      <c r="E175" s="385"/>
      <c r="F175" s="385"/>
      <c r="G175" s="385"/>
      <c r="H175" s="385"/>
      <c r="I175" s="385"/>
      <c r="J175" s="385"/>
      <c r="K175" s="168"/>
      <c r="L175" s="168"/>
      <c r="M175" s="168"/>
      <c r="N175" s="168"/>
      <c r="O175" s="168"/>
      <c r="P175" s="168"/>
      <c r="Q175" s="168"/>
      <c r="R175" s="168"/>
      <c r="S175" s="137"/>
      <c r="T175" s="168"/>
      <c r="U175" s="119"/>
      <c r="V175" s="138"/>
      <c r="W175" s="147"/>
      <c r="Y175" s="185"/>
      <c r="AD175" s="194"/>
      <c r="AE175" s="179"/>
      <c r="AF175" s="179"/>
      <c r="AG175" s="179"/>
      <c r="AI175" s="179"/>
      <c r="AJ175" s="157"/>
    </row>
    <row r="176" spans="1:36" s="83" customFormat="1" ht="27.75" customHeight="1" x14ac:dyDescent="0.2">
      <c r="A176" s="213"/>
      <c r="B176" s="385"/>
      <c r="C176" s="385"/>
      <c r="D176" s="385"/>
      <c r="E176" s="385"/>
      <c r="F176" s="385"/>
      <c r="G176" s="385"/>
      <c r="H176" s="385"/>
      <c r="I176" s="385"/>
      <c r="J176" s="385"/>
      <c r="K176" s="168"/>
      <c r="L176" s="168"/>
      <c r="M176" s="168"/>
      <c r="N176" s="168"/>
      <c r="O176" s="168"/>
      <c r="P176" s="168"/>
      <c r="Q176" s="168"/>
      <c r="R176" s="168"/>
      <c r="S176" s="137"/>
      <c r="T176" s="168"/>
      <c r="U176" s="119"/>
      <c r="V176" s="138"/>
      <c r="W176" s="147"/>
      <c r="Y176" s="185"/>
      <c r="AD176" s="194"/>
      <c r="AE176" s="179"/>
      <c r="AF176" s="179"/>
      <c r="AG176" s="179"/>
      <c r="AI176" s="179"/>
      <c r="AJ176" s="157"/>
    </row>
    <row r="177" spans="1:58" s="83" customFormat="1" ht="7.5" customHeight="1" x14ac:dyDescent="0.2">
      <c r="A177" s="120"/>
      <c r="B177" s="18"/>
      <c r="C177" s="18"/>
      <c r="D177" s="17"/>
      <c r="E177" s="17"/>
      <c r="F177" s="17"/>
      <c r="G177" s="17"/>
      <c r="H177" s="17"/>
      <c r="I177" s="17"/>
      <c r="J177" s="17"/>
      <c r="K177" s="13"/>
      <c r="L177" s="19"/>
      <c r="M177" s="19"/>
      <c r="N177" s="19"/>
      <c r="O177" s="19"/>
      <c r="P177" s="19"/>
      <c r="Q177" s="19"/>
      <c r="R177" s="19"/>
      <c r="S177" s="19"/>
      <c r="T177" s="19"/>
      <c r="U177" s="119"/>
      <c r="V177" s="138"/>
      <c r="W177" s="147"/>
      <c r="Y177" s="185"/>
      <c r="AI177" s="179"/>
      <c r="AJ177" s="153"/>
      <c r="AK177" s="76"/>
      <c r="AL177" s="76"/>
      <c r="AM177" s="76"/>
      <c r="AN177" s="76"/>
      <c r="AO177" s="76"/>
      <c r="AP177" s="76"/>
      <c r="AQ177" s="76"/>
    </row>
    <row r="178" spans="1:58" s="83" customFormat="1" ht="15" customHeight="1" x14ac:dyDescent="0.2">
      <c r="A178" s="1399"/>
      <c r="B178" s="1421"/>
      <c r="C178" s="1421"/>
      <c r="D178" s="1421"/>
      <c r="E178" s="1421"/>
      <c r="F178" s="1421"/>
      <c r="G178" s="1421"/>
      <c r="H178" s="1421"/>
      <c r="I178" s="1421"/>
      <c r="J178" s="1421"/>
      <c r="K178" s="1421"/>
      <c r="L178" s="1421"/>
      <c r="M178" s="1421"/>
      <c r="N178" s="1421"/>
      <c r="O178" s="1421"/>
      <c r="P178" s="1421"/>
      <c r="Q178" s="1421"/>
      <c r="R178" s="1421"/>
      <c r="S178" s="1421"/>
      <c r="T178" s="1421"/>
      <c r="U178" s="1422"/>
      <c r="V178" s="138"/>
      <c r="W178" s="147"/>
      <c r="AJ178" s="157"/>
      <c r="AS178" s="76"/>
    </row>
    <row r="179" spans="1:58" s="83" customFormat="1" ht="11.25" customHeight="1" x14ac:dyDescent="0.2">
      <c r="A179" s="1428" t="str">
        <f>Home!$A$40</f>
        <v>LA's provide quarterly data on the condition that it is used by the benchmarking group for internal reporting only. Please DO NOT share other LA's data with any external partners or the public</v>
      </c>
      <c r="B179" s="1429"/>
      <c r="C179" s="1429"/>
      <c r="D179" s="1429"/>
      <c r="E179" s="1429"/>
      <c r="F179" s="1429"/>
      <c r="G179" s="1429"/>
      <c r="H179" s="1429"/>
      <c r="I179" s="1431"/>
      <c r="J179" s="1430"/>
      <c r="K179" s="1429"/>
      <c r="L179" s="1429"/>
      <c r="M179" s="1429"/>
      <c r="N179" s="1429"/>
      <c r="O179" s="1429"/>
      <c r="P179" s="1429"/>
      <c r="Q179" s="1431"/>
      <c r="R179" s="1429"/>
      <c r="S179" s="1429"/>
      <c r="T179" s="1429"/>
      <c r="U179" s="1432"/>
      <c r="V179" s="138"/>
      <c r="W179" s="147"/>
      <c r="AI179" s="179"/>
      <c r="AJ179" s="156"/>
      <c r="AK179" s="89"/>
      <c r="AS179" s="76"/>
    </row>
    <row r="180" spans="1:58" ht="11.25" customHeight="1" x14ac:dyDescent="0.2">
      <c r="A180" s="141"/>
      <c r="B180" s="1109"/>
      <c r="C180" s="9"/>
      <c r="D180" s="9"/>
      <c r="E180" s="9"/>
      <c r="F180" s="9"/>
      <c r="G180" s="9"/>
      <c r="H180" s="9"/>
      <c r="I180" s="9"/>
      <c r="J180" s="13"/>
      <c r="K180" s="9"/>
      <c r="L180" s="9"/>
      <c r="M180" s="9"/>
      <c r="N180" s="9"/>
      <c r="O180" s="9"/>
      <c r="P180" s="9"/>
      <c r="Q180" s="9"/>
      <c r="R180" s="9"/>
      <c r="S180" s="9"/>
      <c r="T180" s="9"/>
      <c r="U180" s="11"/>
      <c r="V180" s="1311"/>
      <c r="W180" s="11"/>
      <c r="X180" s="12"/>
      <c r="Y180" s="12"/>
      <c r="Z180" s="12"/>
      <c r="AA180" s="12"/>
      <c r="AB180" s="12"/>
      <c r="AC180" s="241"/>
      <c r="AE180" s="84"/>
      <c r="AH180" s="179"/>
      <c r="AI180" s="179"/>
      <c r="AJ180" s="153"/>
      <c r="AR180" s="83"/>
      <c r="AS180" s="83"/>
      <c r="AT180" s="83"/>
      <c r="AU180" s="83"/>
      <c r="AV180" s="83"/>
      <c r="AW180" s="83"/>
      <c r="AX180" s="83"/>
      <c r="AY180" s="83"/>
      <c r="AZ180" s="83"/>
      <c r="BA180" s="83"/>
      <c r="BB180" s="83"/>
      <c r="BC180" s="83"/>
      <c r="BD180" s="83"/>
      <c r="BE180" s="83"/>
      <c r="BF180" s="83"/>
    </row>
    <row r="181" spans="1:58" ht="11.25" customHeight="1" x14ac:dyDescent="0.2">
      <c r="A181" s="141"/>
      <c r="B181" s="1109"/>
      <c r="C181" s="9"/>
      <c r="D181" s="9"/>
      <c r="E181" s="9"/>
      <c r="F181" s="9"/>
      <c r="G181" s="9"/>
      <c r="H181" s="9"/>
      <c r="I181" s="9"/>
      <c r="J181" s="13"/>
      <c r="K181" s="9"/>
      <c r="L181" s="9"/>
      <c r="M181" s="9"/>
      <c r="N181" s="9"/>
      <c r="O181" s="9"/>
      <c r="P181" s="9"/>
      <c r="Q181" s="9"/>
      <c r="R181" s="9"/>
      <c r="S181" s="9"/>
      <c r="T181" s="9"/>
      <c r="U181" s="11"/>
      <c r="V181" s="11"/>
      <c r="W181" s="11"/>
      <c r="X181" s="12"/>
      <c r="Y181" s="12"/>
      <c r="Z181" s="12"/>
      <c r="AA181" s="12"/>
      <c r="AB181" s="12"/>
      <c r="AC181" s="241"/>
      <c r="AE181" s="84"/>
      <c r="AH181" s="179"/>
      <c r="AI181" s="179"/>
      <c r="AJ181" s="153"/>
      <c r="AL181" s="83"/>
      <c r="AM181" s="83"/>
      <c r="AN181" s="83"/>
      <c r="AO181" s="83"/>
      <c r="AP181" s="83"/>
      <c r="AQ181" s="83"/>
    </row>
    <row r="182" spans="1:58" ht="11.25" customHeight="1" x14ac:dyDescent="0.2">
      <c r="A182" s="141"/>
      <c r="B182" s="1367" t="s">
        <v>82</v>
      </c>
      <c r="C182" s="15"/>
      <c r="D182" s="1306"/>
      <c r="E182" s="1306"/>
      <c r="F182" s="9"/>
      <c r="G182" s="9"/>
      <c r="H182" s="9"/>
      <c r="I182" s="9"/>
      <c r="J182" s="13"/>
      <c r="K182" s="9"/>
      <c r="L182" s="9"/>
      <c r="M182" s="9"/>
      <c r="N182" s="9"/>
      <c r="O182" s="9"/>
      <c r="P182" s="9"/>
      <c r="Q182" s="9"/>
      <c r="R182" s="9"/>
      <c r="S182" s="9"/>
      <c r="T182" s="9"/>
      <c r="U182" s="11"/>
      <c r="V182" s="11"/>
      <c r="W182" s="11"/>
      <c r="X182" s="12"/>
      <c r="Y182" s="12"/>
      <c r="Z182" s="12"/>
      <c r="AA182" s="12"/>
      <c r="AB182" s="12"/>
      <c r="AC182" s="241"/>
      <c r="AE182" s="84"/>
      <c r="AH182" s="179"/>
      <c r="AI182" s="179"/>
      <c r="AJ182" s="153"/>
      <c r="AL182" s="83"/>
      <c r="AM182" s="83"/>
      <c r="AN182" s="83"/>
      <c r="AO182" s="83"/>
      <c r="AP182" s="83"/>
      <c r="AQ182" s="83"/>
    </row>
    <row r="183" spans="1:58" ht="11.25" customHeight="1" x14ac:dyDescent="0.2">
      <c r="A183" s="141"/>
      <c r="B183" s="1368"/>
      <c r="C183" s="9"/>
      <c r="D183" s="1306"/>
      <c r="E183" s="1306"/>
      <c r="F183" s="9"/>
      <c r="G183" s="9"/>
      <c r="H183" s="9"/>
      <c r="I183" s="9"/>
      <c r="J183" s="13"/>
      <c r="K183" s="9"/>
      <c r="L183" s="9"/>
      <c r="M183" s="9"/>
      <c r="N183" s="9"/>
      <c r="O183" s="9"/>
      <c r="P183" s="9"/>
      <c r="Q183" s="9"/>
      <c r="R183" s="9"/>
      <c r="S183" s="9"/>
      <c r="T183" s="9"/>
      <c r="U183" s="11"/>
      <c r="V183" s="11"/>
      <c r="W183" s="11"/>
      <c r="X183" s="12"/>
      <c r="Y183" s="12"/>
      <c r="Z183" s="12"/>
      <c r="AA183" s="12"/>
      <c r="AB183" s="12"/>
      <c r="AC183" s="241"/>
      <c r="AE183" s="84"/>
      <c r="AH183" s="179"/>
      <c r="AI183" s="179"/>
      <c r="AJ183" s="153"/>
    </row>
    <row r="184" spans="1:58" ht="11.25" customHeight="1" x14ac:dyDescent="0.2">
      <c r="A184" s="141"/>
      <c r="B184" s="1366" t="s">
        <v>806</v>
      </c>
      <c r="C184" s="1366"/>
      <c r="D184" s="1366"/>
      <c r="E184" s="1366"/>
      <c r="F184" s="9"/>
      <c r="G184" s="9"/>
      <c r="H184" s="9"/>
      <c r="I184" s="9"/>
      <c r="J184" s="13"/>
      <c r="K184" s="9"/>
      <c r="L184" s="9"/>
      <c r="M184" s="9"/>
      <c r="N184" s="9"/>
      <c r="O184" s="9"/>
      <c r="P184" s="9"/>
      <c r="Q184" s="9"/>
      <c r="R184" s="9"/>
      <c r="S184" s="9"/>
      <c r="T184" s="9"/>
      <c r="U184" s="11"/>
      <c r="V184" s="11"/>
      <c r="W184" s="11"/>
      <c r="X184" s="12"/>
      <c r="Y184" s="12"/>
      <c r="Z184" s="12"/>
      <c r="AA184" s="12"/>
      <c r="AB184" s="12"/>
      <c r="AC184" s="241"/>
      <c r="AE184" s="84"/>
      <c r="AH184" s="179"/>
      <c r="AI184" s="179"/>
      <c r="AJ184" s="153"/>
    </row>
    <row r="185" spans="1:58" ht="11.25" customHeight="1" x14ac:dyDescent="0.2">
      <c r="A185" s="141"/>
      <c r="B185" s="1366"/>
      <c r="C185" s="1366"/>
      <c r="D185" s="1366"/>
      <c r="E185" s="1366"/>
      <c r="F185" s="9"/>
      <c r="G185" s="9"/>
      <c r="H185" s="9"/>
      <c r="I185" s="9"/>
      <c r="J185" s="13"/>
      <c r="K185" s="9"/>
      <c r="L185" s="9"/>
      <c r="M185" s="9"/>
      <c r="N185" s="9"/>
      <c r="O185" s="9"/>
      <c r="P185" s="9"/>
      <c r="Q185" s="9"/>
      <c r="R185" s="9"/>
      <c r="S185" s="9"/>
      <c r="T185" s="9"/>
      <c r="U185" s="11"/>
      <c r="V185" s="11"/>
      <c r="W185" s="11"/>
      <c r="X185" s="12"/>
      <c r="Y185" s="12"/>
      <c r="Z185" s="12"/>
      <c r="AA185" s="12"/>
      <c r="AB185" s="12"/>
      <c r="AC185" s="241"/>
      <c r="AE185" s="84"/>
      <c r="AH185" s="183"/>
      <c r="AI185" s="183"/>
      <c r="AJ185" s="154"/>
    </row>
    <row r="186" spans="1:58" s="78" customFormat="1" ht="11.25" customHeight="1" x14ac:dyDescent="0.2">
      <c r="A186" s="141"/>
      <c r="B186" s="1366" t="s">
        <v>81</v>
      </c>
      <c r="C186" s="1366"/>
      <c r="D186" s="1366"/>
      <c r="E186" s="1366"/>
      <c r="F186" s="9"/>
      <c r="G186" s="9"/>
      <c r="H186" s="9"/>
      <c r="I186" s="9"/>
      <c r="J186" s="13"/>
      <c r="K186" s="9"/>
      <c r="L186" s="9"/>
      <c r="M186" s="9"/>
      <c r="N186" s="9"/>
      <c r="O186" s="9"/>
      <c r="P186" s="9"/>
      <c r="Q186" s="9"/>
      <c r="R186" s="9"/>
      <c r="S186" s="9"/>
      <c r="T186" s="9"/>
      <c r="U186" s="11"/>
      <c r="V186" s="11"/>
      <c r="W186" s="11"/>
      <c r="X186" s="12"/>
      <c r="Y186" s="12"/>
      <c r="Z186" s="12"/>
      <c r="AA186" s="12"/>
      <c r="AB186" s="12"/>
      <c r="AC186" s="241"/>
      <c r="AD186" s="83"/>
      <c r="AE186" s="84"/>
      <c r="AF186" s="83"/>
      <c r="AG186" s="83"/>
      <c r="AH186" s="179"/>
      <c r="AI186" s="179"/>
      <c r="AJ186" s="153"/>
    </row>
    <row r="187" spans="1:58" ht="11.25" customHeight="1" x14ac:dyDescent="0.2">
      <c r="A187" s="141"/>
      <c r="B187" s="1366"/>
      <c r="C187" s="1366"/>
      <c r="D187" s="1366"/>
      <c r="E187" s="1366"/>
      <c r="F187" s="9"/>
      <c r="G187" s="9"/>
      <c r="H187" s="9"/>
      <c r="I187" s="9"/>
      <c r="J187" s="13"/>
      <c r="K187" s="9"/>
      <c r="L187" s="9"/>
      <c r="M187" s="9"/>
      <c r="N187" s="9"/>
      <c r="O187" s="9"/>
      <c r="P187" s="9"/>
      <c r="Q187" s="9"/>
      <c r="R187" s="9"/>
      <c r="S187" s="9"/>
      <c r="T187" s="9"/>
      <c r="U187" s="11"/>
      <c r="V187" s="11"/>
      <c r="W187" s="11"/>
      <c r="X187" s="12"/>
      <c r="Y187" s="12"/>
      <c r="Z187" s="12"/>
      <c r="AA187" s="12"/>
      <c r="AB187" s="12"/>
      <c r="AC187" s="241"/>
      <c r="AE187" s="84"/>
      <c r="AH187" s="179"/>
      <c r="AI187" s="179"/>
      <c r="AJ187" s="153"/>
    </row>
    <row r="188" spans="1:58" ht="11.25" customHeight="1" x14ac:dyDescent="0.2">
      <c r="A188" s="141"/>
      <c r="B188" s="1366" t="s">
        <v>78</v>
      </c>
      <c r="C188" s="1366"/>
      <c r="D188" s="1366"/>
      <c r="E188" s="1366"/>
      <c r="F188" s="9"/>
      <c r="G188" s="9"/>
      <c r="H188" s="9"/>
      <c r="I188" s="9"/>
      <c r="J188" s="13"/>
      <c r="K188" s="9"/>
      <c r="L188" s="9"/>
      <c r="M188" s="9"/>
      <c r="N188" s="9"/>
      <c r="O188" s="9"/>
      <c r="P188" s="9"/>
      <c r="Q188" s="9"/>
      <c r="R188" s="9"/>
      <c r="S188" s="9"/>
      <c r="T188" s="9"/>
      <c r="U188" s="11"/>
      <c r="V188" s="11"/>
      <c r="W188" s="11"/>
      <c r="X188" s="12"/>
      <c r="Y188" s="12"/>
      <c r="Z188" s="12"/>
      <c r="AA188" s="12"/>
      <c r="AB188" s="12"/>
      <c r="AC188" s="241"/>
      <c r="AE188" s="84"/>
      <c r="AH188" s="179"/>
      <c r="AI188" s="179"/>
      <c r="AJ188" s="153"/>
      <c r="AK188" s="78"/>
      <c r="AL188" s="78"/>
    </row>
    <row r="189" spans="1:58" ht="11.25" customHeight="1" x14ac:dyDescent="0.2">
      <c r="A189" s="141"/>
      <c r="B189" s="1366"/>
      <c r="C189" s="1366"/>
      <c r="D189" s="1366"/>
      <c r="E189" s="1366"/>
      <c r="F189" s="9"/>
      <c r="G189" s="9"/>
      <c r="H189" s="9"/>
      <c r="I189" s="9"/>
      <c r="J189" s="13"/>
      <c r="K189" s="9"/>
      <c r="L189" s="9"/>
      <c r="M189" s="9"/>
      <c r="N189" s="9"/>
      <c r="O189" s="9"/>
      <c r="P189" s="9"/>
      <c r="Q189" s="9"/>
      <c r="R189" s="9"/>
      <c r="S189" s="9"/>
      <c r="T189" s="9"/>
      <c r="U189" s="11"/>
      <c r="V189" s="11"/>
      <c r="W189" s="11"/>
      <c r="X189" s="12"/>
      <c r="Y189" s="12"/>
      <c r="Z189" s="12"/>
      <c r="AA189" s="12"/>
      <c r="AB189" s="12"/>
      <c r="AC189" s="241"/>
      <c r="AE189" s="84"/>
      <c r="AH189" s="179"/>
      <c r="AI189" s="179"/>
      <c r="AJ189" s="153"/>
    </row>
    <row r="190" spans="1:58" ht="11.25" customHeight="1" x14ac:dyDescent="0.2">
      <c r="A190" s="141"/>
      <c r="B190" s="1366" t="s">
        <v>17</v>
      </c>
      <c r="C190" s="1366"/>
      <c r="D190" s="1366"/>
      <c r="E190" s="1366"/>
      <c r="F190" s="9"/>
      <c r="G190" s="9"/>
      <c r="H190" s="9"/>
      <c r="I190" s="9"/>
      <c r="J190" s="13"/>
      <c r="K190" s="9"/>
      <c r="L190" s="9"/>
      <c r="M190" s="9"/>
      <c r="N190" s="9"/>
      <c r="O190" s="9"/>
      <c r="P190" s="9"/>
      <c r="Q190" s="9"/>
      <c r="R190" s="9"/>
      <c r="S190" s="9"/>
      <c r="T190" s="9"/>
      <c r="U190" s="11"/>
      <c r="V190" s="11"/>
      <c r="W190" s="11"/>
      <c r="X190" s="12"/>
      <c r="Y190" s="12"/>
      <c r="Z190" s="12"/>
      <c r="AA190" s="12"/>
      <c r="AB190" s="12"/>
      <c r="AC190" s="241"/>
      <c r="AE190" s="84"/>
      <c r="AH190" s="179"/>
      <c r="AI190" s="179"/>
      <c r="AJ190" s="153"/>
      <c r="AK190" s="78"/>
      <c r="AL190" s="78"/>
    </row>
    <row r="191" spans="1:58" ht="11.25" customHeight="1" x14ac:dyDescent="0.2">
      <c r="A191" s="141"/>
      <c r="B191" s="1366"/>
      <c r="C191" s="1366"/>
      <c r="D191" s="1366"/>
      <c r="E191" s="1366"/>
      <c r="F191" s="9"/>
      <c r="G191" s="9"/>
      <c r="H191" s="9"/>
      <c r="I191" s="9"/>
      <c r="J191" s="13"/>
      <c r="K191" s="9"/>
      <c r="L191" s="9"/>
      <c r="M191" s="9"/>
      <c r="N191" s="9"/>
      <c r="O191" s="9"/>
      <c r="P191" s="9"/>
      <c r="Q191" s="9"/>
      <c r="R191" s="9"/>
      <c r="S191" s="9"/>
      <c r="T191" s="9"/>
      <c r="U191" s="11"/>
      <c r="V191" s="11"/>
      <c r="W191" s="11"/>
      <c r="X191" s="12"/>
      <c r="Y191" s="12"/>
      <c r="Z191" s="12"/>
      <c r="AA191" s="12"/>
      <c r="AB191" s="12"/>
      <c r="AC191" s="241"/>
      <c r="AE191" s="84"/>
      <c r="AH191" s="179"/>
      <c r="AI191" s="179"/>
      <c r="AJ191" s="153"/>
    </row>
    <row r="192" spans="1:58" ht="11.25" customHeight="1" x14ac:dyDescent="0.2">
      <c r="A192" s="141"/>
      <c r="B192" s="1366" t="s">
        <v>80</v>
      </c>
      <c r="C192" s="1366"/>
      <c r="D192" s="1366"/>
      <c r="E192" s="1366"/>
      <c r="F192" s="9"/>
      <c r="G192" s="9"/>
      <c r="H192" s="9"/>
      <c r="I192" s="9"/>
      <c r="J192" s="13"/>
      <c r="K192" s="9"/>
      <c r="L192" s="9"/>
      <c r="M192" s="9"/>
      <c r="N192" s="9"/>
      <c r="O192" s="9"/>
      <c r="P192" s="9"/>
      <c r="Q192" s="9"/>
      <c r="R192" s="9"/>
      <c r="S192" s="9"/>
      <c r="T192" s="9"/>
      <c r="U192" s="11"/>
      <c r="V192" s="11"/>
      <c r="W192" s="11"/>
      <c r="X192" s="12"/>
      <c r="Y192" s="12"/>
      <c r="Z192" s="12"/>
      <c r="AA192" s="12"/>
      <c r="AB192" s="12"/>
      <c r="AC192" s="241"/>
      <c r="AE192" s="84"/>
      <c r="AH192" s="179"/>
      <c r="AI192" s="179"/>
      <c r="AJ192" s="153"/>
      <c r="AK192" s="78"/>
      <c r="AL192" s="78"/>
    </row>
    <row r="193" spans="1:38" ht="11.25" customHeight="1" x14ac:dyDescent="0.2">
      <c r="A193" s="141"/>
      <c r="B193" s="1366"/>
      <c r="C193" s="1366"/>
      <c r="D193" s="1366"/>
      <c r="E193" s="1366"/>
      <c r="F193" s="9"/>
      <c r="G193" s="9"/>
      <c r="H193" s="9"/>
      <c r="I193" s="9"/>
      <c r="J193" s="13"/>
      <c r="K193" s="9"/>
      <c r="L193" s="9"/>
      <c r="M193" s="9"/>
      <c r="N193" s="9"/>
      <c r="O193" s="9"/>
      <c r="P193" s="9"/>
      <c r="Q193" s="9"/>
      <c r="R193" s="9"/>
      <c r="S193" s="9"/>
      <c r="T193" s="9"/>
      <c r="U193" s="11"/>
      <c r="V193" s="11"/>
      <c r="W193" s="11"/>
      <c r="X193" s="12"/>
      <c r="Y193" s="12"/>
      <c r="Z193" s="12"/>
      <c r="AA193" s="12"/>
      <c r="AB193" s="12"/>
      <c r="AC193" s="241"/>
      <c r="AE193" s="84"/>
      <c r="AH193" s="179"/>
      <c r="AI193" s="179"/>
      <c r="AJ193" s="153"/>
    </row>
    <row r="194" spans="1:38" ht="11.25" customHeight="1" x14ac:dyDescent="0.2">
      <c r="A194" s="141"/>
      <c r="B194" s="1366" t="s">
        <v>69</v>
      </c>
      <c r="C194" s="1366"/>
      <c r="D194" s="1366"/>
      <c r="E194" s="1366"/>
      <c r="F194" s="9"/>
      <c r="G194" s="9"/>
      <c r="H194" s="9"/>
      <c r="I194" s="9"/>
      <c r="J194" s="13"/>
      <c r="K194" s="9"/>
      <c r="L194" s="9"/>
      <c r="M194" s="9"/>
      <c r="N194" s="9"/>
      <c r="O194" s="9"/>
      <c r="P194" s="9"/>
      <c r="Q194" s="9"/>
      <c r="R194" s="9"/>
      <c r="S194" s="9"/>
      <c r="T194" s="9"/>
      <c r="U194" s="11"/>
      <c r="V194" s="11"/>
      <c r="W194" s="11"/>
      <c r="X194" s="12"/>
      <c r="Y194" s="12"/>
      <c r="Z194" s="12"/>
      <c r="AA194" s="12"/>
      <c r="AB194" s="12"/>
      <c r="AC194" s="241"/>
      <c r="AE194" s="84"/>
      <c r="AH194" s="179"/>
      <c r="AI194" s="179"/>
      <c r="AJ194" s="153"/>
      <c r="AK194" s="78"/>
      <c r="AL194" s="78"/>
    </row>
    <row r="195" spans="1:38" ht="11.25" customHeight="1" x14ac:dyDescent="0.2">
      <c r="A195" s="141"/>
      <c r="B195" s="1366"/>
      <c r="C195" s="1366"/>
      <c r="D195" s="1366"/>
      <c r="E195" s="1366"/>
      <c r="F195" s="9"/>
      <c r="G195" s="9"/>
      <c r="H195" s="9"/>
      <c r="I195" s="9"/>
      <c r="J195" s="13"/>
      <c r="K195" s="9"/>
      <c r="L195" s="9"/>
      <c r="M195" s="9"/>
      <c r="N195" s="9"/>
      <c r="O195" s="9"/>
      <c r="P195" s="9"/>
      <c r="Q195" s="9"/>
      <c r="R195" s="9"/>
      <c r="S195" s="9"/>
      <c r="T195" s="9"/>
      <c r="U195" s="11"/>
      <c r="V195" s="11"/>
      <c r="W195" s="11"/>
      <c r="X195" s="12"/>
      <c r="Y195" s="12"/>
      <c r="Z195" s="12"/>
      <c r="AA195" s="12"/>
      <c r="AB195" s="12"/>
      <c r="AC195" s="241"/>
      <c r="AE195" s="84"/>
      <c r="AH195" s="179"/>
      <c r="AI195" s="179"/>
      <c r="AJ195" s="153"/>
    </row>
    <row r="196" spans="1:38" ht="11.25" customHeight="1" x14ac:dyDescent="0.2">
      <c r="A196" s="141"/>
      <c r="B196" s="1366" t="s">
        <v>24</v>
      </c>
      <c r="C196" s="1366"/>
      <c r="D196" s="1366"/>
      <c r="E196" s="1366"/>
      <c r="F196" s="9"/>
      <c r="G196" s="9"/>
      <c r="H196" s="9"/>
      <c r="I196" s="9"/>
      <c r="J196" s="13"/>
      <c r="K196" s="9"/>
      <c r="L196" s="9"/>
      <c r="M196" s="9"/>
      <c r="N196" s="9"/>
      <c r="O196" s="9"/>
      <c r="P196" s="9"/>
      <c r="Q196" s="9"/>
      <c r="R196" s="9"/>
      <c r="S196" s="9"/>
      <c r="T196" s="9"/>
      <c r="U196" s="11"/>
      <c r="V196" s="11"/>
      <c r="W196" s="11"/>
      <c r="X196" s="12"/>
      <c r="Y196" s="12"/>
      <c r="Z196" s="12"/>
      <c r="AA196" s="12"/>
      <c r="AB196" s="12"/>
      <c r="AC196" s="241"/>
      <c r="AE196" s="84"/>
      <c r="AH196" s="179"/>
      <c r="AI196" s="179"/>
      <c r="AJ196" s="153"/>
      <c r="AK196" s="78"/>
      <c r="AL196" s="78"/>
    </row>
    <row r="197" spans="1:38" ht="11.25" customHeight="1" x14ac:dyDescent="0.2">
      <c r="A197" s="141"/>
      <c r="B197" s="1366"/>
      <c r="C197" s="1366"/>
      <c r="D197" s="1366"/>
      <c r="E197" s="1366"/>
      <c r="F197" s="9"/>
      <c r="G197" s="9"/>
      <c r="H197" s="9"/>
      <c r="I197" s="9"/>
      <c r="J197" s="13"/>
      <c r="K197" s="9"/>
      <c r="L197" s="9"/>
      <c r="M197" s="9"/>
      <c r="N197" s="9"/>
      <c r="O197" s="9"/>
      <c r="P197" s="9"/>
      <c r="Q197" s="9"/>
      <c r="R197" s="9"/>
      <c r="S197" s="9"/>
      <c r="T197" s="9"/>
      <c r="U197" s="11"/>
      <c r="V197" s="11"/>
      <c r="W197" s="11"/>
      <c r="X197" s="12"/>
      <c r="Y197" s="12"/>
      <c r="Z197" s="12"/>
      <c r="AA197" s="12"/>
      <c r="AB197" s="12"/>
      <c r="AC197" s="241"/>
      <c r="AE197" s="84"/>
      <c r="AH197" s="179"/>
      <c r="AI197" s="179"/>
      <c r="AJ197" s="153"/>
    </row>
    <row r="198" spans="1:38" ht="11.25" customHeight="1" x14ac:dyDescent="0.2">
      <c r="A198" s="141"/>
      <c r="B198" s="1366" t="s">
        <v>22</v>
      </c>
      <c r="C198" s="1366"/>
      <c r="D198" s="1366"/>
      <c r="E198" s="1366"/>
      <c r="F198" s="9"/>
      <c r="G198" s="9"/>
      <c r="H198" s="9"/>
      <c r="I198" s="9"/>
      <c r="J198" s="13"/>
      <c r="K198" s="9"/>
      <c r="L198" s="9"/>
      <c r="M198" s="9"/>
      <c r="N198" s="9"/>
      <c r="O198" s="9"/>
      <c r="P198" s="9"/>
      <c r="Q198" s="9"/>
      <c r="R198" s="9"/>
      <c r="S198" s="9"/>
      <c r="T198" s="9"/>
      <c r="U198" s="11"/>
      <c r="V198" s="11"/>
      <c r="W198" s="11"/>
      <c r="X198" s="12"/>
      <c r="Y198" s="12"/>
      <c r="Z198" s="12"/>
      <c r="AA198" s="12"/>
      <c r="AB198" s="12"/>
      <c r="AC198" s="241"/>
      <c r="AE198" s="84"/>
      <c r="AH198" s="179"/>
      <c r="AI198" s="179"/>
      <c r="AJ198" s="153"/>
      <c r="AK198" s="78"/>
      <c r="AL198" s="78"/>
    </row>
    <row r="199" spans="1:38" ht="11.25" customHeight="1" x14ac:dyDescent="0.2">
      <c r="A199" s="141"/>
      <c r="B199" s="1366"/>
      <c r="C199" s="1366"/>
      <c r="D199" s="1366"/>
      <c r="E199" s="1366"/>
      <c r="F199" s="9"/>
      <c r="G199" s="9"/>
      <c r="H199" s="9"/>
      <c r="I199" s="9"/>
      <c r="J199" s="13"/>
      <c r="K199" s="9"/>
      <c r="L199" s="9"/>
      <c r="M199" s="9"/>
      <c r="N199" s="9"/>
      <c r="O199" s="9"/>
      <c r="P199" s="9"/>
      <c r="Q199" s="9"/>
      <c r="R199" s="9"/>
      <c r="S199" s="9"/>
      <c r="T199" s="9"/>
      <c r="U199" s="11"/>
      <c r="V199" s="11"/>
      <c r="W199" s="11"/>
      <c r="X199" s="12"/>
      <c r="Y199" s="12"/>
      <c r="Z199" s="12"/>
      <c r="AA199" s="12"/>
      <c r="AB199" s="12"/>
      <c r="AC199" s="241"/>
      <c r="AE199" s="84"/>
      <c r="AH199" s="179"/>
      <c r="AI199" s="179"/>
      <c r="AJ199" s="153"/>
    </row>
    <row r="200" spans="1:38" ht="11.25" customHeight="1" x14ac:dyDescent="0.2">
      <c r="A200" s="141"/>
      <c r="B200" s="1366" t="s">
        <v>25</v>
      </c>
      <c r="C200" s="1366"/>
      <c r="D200" s="1366"/>
      <c r="E200" s="1366"/>
      <c r="F200" s="9"/>
      <c r="G200" s="9"/>
      <c r="H200" s="9"/>
      <c r="I200" s="9"/>
      <c r="J200" s="13"/>
      <c r="K200" s="9"/>
      <c r="L200" s="9"/>
      <c r="M200" s="9"/>
      <c r="N200" s="9"/>
      <c r="O200" s="9"/>
      <c r="P200" s="9"/>
      <c r="Q200" s="9"/>
      <c r="R200" s="9"/>
      <c r="S200" s="9"/>
      <c r="T200" s="9"/>
      <c r="U200" s="11"/>
      <c r="V200" s="11"/>
      <c r="W200" s="11"/>
      <c r="X200" s="12"/>
      <c r="Y200" s="12"/>
      <c r="Z200" s="12"/>
      <c r="AA200" s="12"/>
      <c r="AB200" s="12"/>
      <c r="AC200" s="241"/>
      <c r="AE200" s="84"/>
      <c r="AH200" s="179"/>
      <c r="AI200" s="179"/>
      <c r="AJ200" s="153"/>
      <c r="AK200" s="78"/>
      <c r="AL200" s="78"/>
    </row>
    <row r="201" spans="1:38" ht="11.25" customHeight="1" x14ac:dyDescent="0.2">
      <c r="A201" s="141"/>
      <c r="B201" s="1366"/>
      <c r="C201" s="1366"/>
      <c r="D201" s="1366"/>
      <c r="E201" s="1366"/>
      <c r="F201" s="9"/>
      <c r="G201" s="9"/>
      <c r="H201" s="9"/>
      <c r="I201" s="9"/>
      <c r="J201" s="13"/>
      <c r="K201" s="9"/>
      <c r="L201" s="9"/>
      <c r="M201" s="9"/>
      <c r="N201" s="9"/>
      <c r="O201" s="9"/>
      <c r="P201" s="9"/>
      <c r="Q201" s="9"/>
      <c r="R201" s="9"/>
      <c r="S201" s="9"/>
      <c r="T201" s="9"/>
      <c r="U201" s="11"/>
      <c r="V201" s="11"/>
      <c r="W201" s="11"/>
      <c r="X201" s="12"/>
      <c r="Y201" s="12"/>
      <c r="Z201" s="12"/>
      <c r="AA201" s="12"/>
      <c r="AB201" s="12"/>
      <c r="AC201" s="241"/>
      <c r="AE201" s="84"/>
      <c r="AH201" s="179"/>
      <c r="AI201" s="179"/>
      <c r="AJ201" s="153"/>
    </row>
    <row r="202" spans="1:38" ht="11.25" customHeight="1" x14ac:dyDescent="0.2">
      <c r="A202" s="141"/>
      <c r="B202" s="1366" t="s">
        <v>18</v>
      </c>
      <c r="C202" s="1366"/>
      <c r="D202" s="1366"/>
      <c r="E202" s="1366"/>
      <c r="F202" s="9"/>
      <c r="G202" s="9"/>
      <c r="H202" s="9"/>
      <c r="I202" s="9"/>
      <c r="J202" s="13"/>
      <c r="K202" s="9"/>
      <c r="L202" s="9"/>
      <c r="M202" s="9"/>
      <c r="N202" s="9"/>
      <c r="O202" s="9"/>
      <c r="P202" s="9"/>
      <c r="Q202" s="9"/>
      <c r="R202" s="9"/>
      <c r="S202" s="9"/>
      <c r="T202" s="9"/>
      <c r="U202" s="11"/>
      <c r="V202" s="11"/>
      <c r="W202" s="11"/>
      <c r="X202" s="12"/>
      <c r="Y202" s="12"/>
      <c r="Z202" s="12"/>
      <c r="AA202" s="12"/>
      <c r="AB202" s="12"/>
      <c r="AC202" s="241"/>
      <c r="AE202" s="84"/>
      <c r="AH202" s="179"/>
      <c r="AI202" s="179"/>
      <c r="AJ202" s="153"/>
    </row>
    <row r="203" spans="1:38" ht="11.25" customHeight="1" x14ac:dyDescent="0.2">
      <c r="A203" s="141"/>
      <c r="B203" s="1366"/>
      <c r="C203" s="1366"/>
      <c r="D203" s="1366"/>
      <c r="E203" s="1366"/>
      <c r="F203" s="9"/>
      <c r="G203" s="9"/>
      <c r="H203" s="9"/>
      <c r="I203" s="9"/>
      <c r="J203" s="13"/>
      <c r="K203" s="9"/>
      <c r="L203" s="9"/>
      <c r="M203" s="9"/>
      <c r="N203" s="9"/>
      <c r="O203" s="9"/>
      <c r="P203" s="9"/>
      <c r="Q203" s="9"/>
      <c r="R203" s="9"/>
      <c r="S203" s="9"/>
      <c r="T203" s="9"/>
      <c r="U203" s="11"/>
      <c r="V203" s="11"/>
      <c r="W203" s="11"/>
      <c r="X203" s="12"/>
      <c r="Y203" s="12"/>
      <c r="Z203" s="12"/>
      <c r="AA203" s="12"/>
      <c r="AB203" s="12"/>
      <c r="AC203" s="241"/>
      <c r="AE203" s="84"/>
      <c r="AH203" s="179"/>
      <c r="AI203" s="179"/>
      <c r="AJ203" s="153"/>
    </row>
    <row r="204" spans="1:38" ht="11.25" customHeight="1" x14ac:dyDescent="0.2">
      <c r="A204" s="141"/>
      <c r="B204" s="1366" t="s">
        <v>19</v>
      </c>
      <c r="C204" s="1366"/>
      <c r="D204" s="1366"/>
      <c r="E204" s="1366"/>
      <c r="F204" s="9"/>
      <c r="G204" s="9"/>
      <c r="H204" s="9"/>
      <c r="I204" s="9"/>
      <c r="J204" s="13"/>
      <c r="K204" s="9"/>
      <c r="L204" s="9"/>
      <c r="M204" s="9"/>
      <c r="N204" s="9"/>
      <c r="O204" s="9"/>
      <c r="P204" s="9"/>
      <c r="Q204" s="9"/>
      <c r="R204" s="9"/>
      <c r="S204" s="9"/>
      <c r="T204" s="9"/>
      <c r="U204" s="11"/>
      <c r="V204" s="11"/>
      <c r="W204" s="11"/>
      <c r="X204" s="12"/>
      <c r="Y204" s="12"/>
      <c r="Z204" s="12"/>
      <c r="AA204" s="12"/>
      <c r="AB204" s="12"/>
      <c r="AC204" s="241"/>
      <c r="AE204" s="84"/>
      <c r="AH204" s="179"/>
      <c r="AI204" s="179"/>
      <c r="AJ204" s="153"/>
    </row>
    <row r="205" spans="1:38" ht="11.25" customHeight="1" x14ac:dyDescent="0.2">
      <c r="A205" s="141"/>
      <c r="B205" s="1366"/>
      <c r="C205" s="1366"/>
      <c r="D205" s="1366"/>
      <c r="E205" s="1366"/>
      <c r="F205" s="9"/>
      <c r="G205" s="9"/>
      <c r="H205" s="9"/>
      <c r="I205" s="9"/>
      <c r="J205" s="13"/>
      <c r="K205" s="9"/>
      <c r="L205" s="9"/>
      <c r="M205" s="9"/>
      <c r="N205" s="9"/>
      <c r="O205" s="9"/>
      <c r="P205" s="9"/>
      <c r="Q205" s="9"/>
      <c r="R205" s="9"/>
      <c r="S205" s="9"/>
      <c r="T205" s="9"/>
      <c r="U205" s="11"/>
      <c r="V205" s="11"/>
      <c r="W205" s="11"/>
      <c r="X205" s="12"/>
      <c r="Y205" s="12"/>
      <c r="Z205" s="12"/>
      <c r="AA205" s="12"/>
      <c r="AB205" s="12"/>
      <c r="AC205" s="241"/>
      <c r="AE205" s="84"/>
      <c r="AH205" s="179"/>
      <c r="AI205" s="179"/>
      <c r="AJ205" s="153"/>
    </row>
    <row r="206" spans="1:38" ht="11.25" customHeight="1" x14ac:dyDescent="0.2">
      <c r="A206" s="141"/>
      <c r="B206" s="1366" t="s">
        <v>20</v>
      </c>
      <c r="C206" s="1366"/>
      <c r="D206" s="1366"/>
      <c r="E206" s="1366"/>
      <c r="F206" s="9"/>
      <c r="G206" s="9"/>
      <c r="H206" s="9"/>
      <c r="I206" s="9"/>
      <c r="J206" s="13"/>
      <c r="K206" s="9"/>
      <c r="L206" s="9"/>
      <c r="M206" s="9"/>
      <c r="N206" s="9"/>
      <c r="O206" s="9"/>
      <c r="P206" s="9"/>
      <c r="Q206" s="9"/>
      <c r="R206" s="9"/>
      <c r="S206" s="9"/>
      <c r="T206" s="9"/>
      <c r="U206" s="11"/>
      <c r="V206" s="11"/>
      <c r="W206" s="11"/>
      <c r="X206" s="12"/>
      <c r="Y206" s="12"/>
      <c r="Z206" s="12"/>
      <c r="AA206" s="12"/>
      <c r="AB206" s="12"/>
      <c r="AC206" s="241"/>
      <c r="AE206" s="84"/>
      <c r="AH206" s="179"/>
      <c r="AI206" s="179"/>
      <c r="AJ206" s="153"/>
    </row>
    <row r="207" spans="1:38" ht="11.25" customHeight="1" x14ac:dyDescent="0.2">
      <c r="A207" s="141"/>
      <c r="B207" s="1366"/>
      <c r="C207" s="1366"/>
      <c r="D207" s="1366"/>
      <c r="E207" s="1366"/>
      <c r="F207" s="9"/>
      <c r="G207" s="9"/>
      <c r="H207" s="9"/>
      <c r="I207" s="9"/>
      <c r="J207" s="13"/>
      <c r="K207" s="9"/>
      <c r="L207" s="9"/>
      <c r="M207" s="9"/>
      <c r="N207" s="9"/>
      <c r="O207" s="9"/>
      <c r="P207" s="9"/>
      <c r="Q207" s="9"/>
      <c r="R207" s="9"/>
      <c r="S207" s="9"/>
      <c r="T207" s="9"/>
      <c r="U207" s="11"/>
      <c r="V207" s="11"/>
      <c r="W207" s="11"/>
      <c r="X207" s="12"/>
      <c r="Y207" s="12"/>
      <c r="Z207" s="12"/>
      <c r="AA207" s="12"/>
      <c r="AB207" s="12"/>
      <c r="AC207" s="241"/>
      <c r="AE207" s="84"/>
      <c r="AH207" s="179"/>
      <c r="AI207" s="179"/>
      <c r="AJ207" s="153"/>
    </row>
    <row r="208" spans="1:38" ht="11.25" customHeight="1" x14ac:dyDescent="0.2">
      <c r="A208" s="141"/>
      <c r="B208" s="1366" t="s">
        <v>26</v>
      </c>
      <c r="C208" s="1366"/>
      <c r="D208" s="1366"/>
      <c r="E208" s="1366"/>
      <c r="F208" s="9"/>
      <c r="G208" s="9"/>
      <c r="H208" s="9"/>
      <c r="I208" s="9"/>
      <c r="J208" s="13"/>
      <c r="K208" s="9"/>
      <c r="L208" s="9"/>
      <c r="M208" s="9"/>
      <c r="N208" s="9"/>
      <c r="O208" s="9"/>
      <c r="P208" s="9"/>
      <c r="Q208" s="9"/>
      <c r="R208" s="9"/>
      <c r="S208" s="9"/>
      <c r="T208" s="9"/>
      <c r="U208" s="11"/>
      <c r="V208" s="11"/>
      <c r="W208" s="11"/>
      <c r="X208" s="12"/>
      <c r="Y208" s="12"/>
      <c r="Z208" s="12"/>
      <c r="AA208" s="12"/>
      <c r="AB208" s="12"/>
      <c r="AC208" s="241"/>
      <c r="AE208" s="84"/>
      <c r="AH208" s="179"/>
      <c r="AI208" s="179"/>
      <c r="AJ208" s="153"/>
    </row>
    <row r="209" spans="1:60" ht="11.25" customHeight="1" x14ac:dyDescent="0.2">
      <c r="A209" s="141"/>
      <c r="B209" s="1366"/>
      <c r="C209" s="1366"/>
      <c r="D209" s="1366"/>
      <c r="E209" s="1366"/>
      <c r="F209" s="9"/>
      <c r="G209" s="9"/>
      <c r="H209" s="9"/>
      <c r="I209" s="9"/>
      <c r="J209" s="13"/>
      <c r="K209" s="9"/>
      <c r="L209" s="9"/>
      <c r="M209" s="9"/>
      <c r="N209" s="9"/>
      <c r="O209" s="9"/>
      <c r="P209" s="9"/>
      <c r="Q209" s="9"/>
      <c r="R209" s="9"/>
      <c r="S209" s="9"/>
      <c r="T209" s="9"/>
      <c r="U209" s="11"/>
      <c r="V209" s="11"/>
      <c r="W209" s="11"/>
      <c r="X209" s="12"/>
      <c r="Y209" s="12"/>
      <c r="Z209" s="12"/>
      <c r="AA209" s="12"/>
      <c r="AB209" s="12"/>
      <c r="AC209" s="241"/>
      <c r="AE209" s="84"/>
      <c r="AH209" s="179"/>
      <c r="AI209" s="179"/>
      <c r="AJ209" s="153"/>
    </row>
    <row r="210" spans="1:60" ht="11.25" customHeight="1" x14ac:dyDescent="0.2">
      <c r="A210" s="141"/>
      <c r="B210" s="1366" t="s">
        <v>21</v>
      </c>
      <c r="C210" s="1366"/>
      <c r="D210" s="1366"/>
      <c r="E210" s="1366"/>
      <c r="F210" s="9"/>
      <c r="G210" s="9"/>
      <c r="H210" s="9"/>
      <c r="I210" s="9"/>
      <c r="J210" s="13"/>
      <c r="K210" s="9"/>
      <c r="L210" s="9"/>
      <c r="M210" s="9"/>
      <c r="N210" s="9"/>
      <c r="O210" s="9"/>
      <c r="P210" s="9"/>
      <c r="Q210" s="9"/>
      <c r="R210" s="9"/>
      <c r="S210" s="9"/>
      <c r="T210" s="9"/>
      <c r="U210" s="11"/>
      <c r="V210" s="11"/>
      <c r="W210" s="11"/>
      <c r="X210" s="12"/>
      <c r="Y210" s="12"/>
      <c r="Z210" s="12"/>
      <c r="AA210" s="12"/>
      <c r="AB210" s="12"/>
      <c r="AC210" s="241"/>
      <c r="AE210" s="84"/>
      <c r="AH210" s="179"/>
      <c r="AI210" s="179"/>
      <c r="AJ210" s="153"/>
    </row>
    <row r="211" spans="1:60" ht="11.25" customHeight="1" x14ac:dyDescent="0.2">
      <c r="A211" s="141"/>
      <c r="B211" s="1366"/>
      <c r="C211" s="1366"/>
      <c r="D211" s="1366"/>
      <c r="E211" s="1366"/>
      <c r="F211" s="9"/>
      <c r="G211" s="9"/>
      <c r="H211" s="9"/>
      <c r="I211" s="9"/>
      <c r="J211" s="13"/>
      <c r="K211" s="9"/>
      <c r="L211" s="9"/>
      <c r="M211" s="9"/>
      <c r="N211" s="9"/>
      <c r="O211" s="9"/>
      <c r="P211" s="9"/>
      <c r="Q211" s="9"/>
      <c r="R211" s="9"/>
      <c r="S211" s="9"/>
      <c r="T211" s="9"/>
      <c r="U211" s="11"/>
      <c r="V211" s="11"/>
      <c r="W211" s="11"/>
      <c r="X211" s="12"/>
      <c r="Y211" s="12"/>
      <c r="Z211" s="12"/>
      <c r="AA211" s="12"/>
      <c r="AB211" s="12"/>
      <c r="AC211" s="241"/>
      <c r="AE211" s="84"/>
      <c r="AH211" s="179"/>
      <c r="AI211" s="179"/>
      <c r="AJ211" s="153"/>
    </row>
    <row r="212" spans="1:60" ht="11.25" customHeight="1" x14ac:dyDescent="0.2">
      <c r="A212" s="141"/>
      <c r="B212" s="1366" t="s">
        <v>930</v>
      </c>
      <c r="C212" s="1366"/>
      <c r="D212" s="1366"/>
      <c r="E212" s="1366"/>
      <c r="F212" s="9"/>
      <c r="G212" s="9"/>
      <c r="H212" s="9"/>
      <c r="I212" s="9"/>
      <c r="J212" s="13"/>
      <c r="K212" s="9"/>
      <c r="L212" s="9"/>
      <c r="M212" s="9"/>
      <c r="N212" s="9"/>
      <c r="O212" s="9"/>
      <c r="P212" s="9"/>
      <c r="Q212" s="9"/>
      <c r="R212" s="9"/>
      <c r="S212" s="9"/>
      <c r="T212" s="9"/>
      <c r="U212" s="11"/>
      <c r="V212" s="11"/>
      <c r="W212" s="11"/>
      <c r="X212" s="12"/>
      <c r="Y212" s="12"/>
      <c r="Z212" s="12"/>
      <c r="AA212" s="12"/>
      <c r="AB212" s="12"/>
      <c r="AC212" s="241"/>
      <c r="AE212" s="84"/>
      <c r="AH212" s="179"/>
      <c r="AI212" s="179"/>
      <c r="AJ212" s="153"/>
    </row>
    <row r="213" spans="1:60" ht="11.25" customHeight="1" x14ac:dyDescent="0.2">
      <c r="A213" s="141"/>
      <c r="B213" s="1366"/>
      <c r="C213" s="1366"/>
      <c r="D213" s="1366"/>
      <c r="E213" s="1366"/>
      <c r="F213" s="9"/>
      <c r="G213" s="9"/>
      <c r="H213" s="9"/>
      <c r="I213" s="9"/>
      <c r="J213" s="13"/>
      <c r="K213" s="9"/>
      <c r="L213" s="9"/>
      <c r="M213" s="9"/>
      <c r="N213" s="9"/>
      <c r="O213" s="9"/>
      <c r="P213" s="9"/>
      <c r="Q213" s="9"/>
      <c r="R213" s="9"/>
      <c r="S213" s="9"/>
      <c r="T213" s="9"/>
      <c r="U213" s="11"/>
      <c r="V213" s="11"/>
      <c r="W213" s="11"/>
      <c r="X213" s="12"/>
      <c r="Y213" s="12"/>
      <c r="Z213" s="12"/>
      <c r="AA213" s="12"/>
      <c r="AB213" s="12"/>
      <c r="AC213" s="241"/>
      <c r="AE213" s="84"/>
      <c r="AH213" s="179"/>
      <c r="AI213" s="179"/>
      <c r="AJ213" s="153"/>
    </row>
    <row r="214" spans="1:60" ht="11.25" customHeight="1" x14ac:dyDescent="0.2">
      <c r="A214" s="141"/>
      <c r="B214" s="1366" t="s">
        <v>680</v>
      </c>
      <c r="C214" s="1366"/>
      <c r="D214" s="1366"/>
      <c r="E214" s="1366"/>
      <c r="F214" s="9"/>
      <c r="G214" s="9"/>
      <c r="H214" s="9"/>
      <c r="I214" s="9"/>
      <c r="J214" s="13"/>
      <c r="K214" s="9"/>
      <c r="L214" s="9"/>
      <c r="M214" s="9"/>
      <c r="N214" s="9"/>
      <c r="O214" s="9"/>
      <c r="P214" s="9"/>
      <c r="Q214" s="9"/>
      <c r="R214" s="9"/>
      <c r="S214" s="9"/>
      <c r="T214" s="9"/>
      <c r="U214" s="11"/>
      <c r="V214" s="11"/>
      <c r="W214" s="11"/>
      <c r="X214" s="12"/>
      <c r="Y214" s="12"/>
      <c r="Z214" s="12"/>
      <c r="AA214" s="12"/>
      <c r="AB214" s="12"/>
      <c r="AC214" s="241"/>
      <c r="AE214" s="84"/>
      <c r="AH214" s="179"/>
      <c r="AI214" s="179"/>
      <c r="AJ214" s="153"/>
    </row>
    <row r="215" spans="1:60" ht="11.25" customHeight="1" x14ac:dyDescent="0.2">
      <c r="A215" s="141"/>
      <c r="B215" s="1366"/>
      <c r="C215" s="1366"/>
      <c r="D215" s="1366"/>
      <c r="E215" s="1366"/>
      <c r="F215" s="9"/>
      <c r="G215" s="9"/>
      <c r="H215" s="9"/>
      <c r="I215" s="9"/>
      <c r="J215" s="13"/>
      <c r="K215" s="9"/>
      <c r="L215" s="9"/>
      <c r="M215" s="9"/>
      <c r="N215" s="9"/>
      <c r="O215" s="9"/>
      <c r="P215" s="9"/>
      <c r="Q215" s="9"/>
      <c r="R215" s="9"/>
      <c r="S215" s="9"/>
      <c r="T215" s="9"/>
      <c r="U215" s="11"/>
      <c r="V215" s="11"/>
      <c r="W215" s="11"/>
      <c r="X215" s="12"/>
      <c r="Y215" s="12"/>
      <c r="Z215" s="12"/>
      <c r="AA215" s="12"/>
      <c r="AB215" s="12"/>
      <c r="AC215" s="241"/>
      <c r="AE215" s="84"/>
      <c r="AH215" s="179"/>
      <c r="AI215" s="179"/>
      <c r="AJ215" s="153"/>
    </row>
    <row r="216" spans="1:60" ht="11.25" customHeight="1" x14ac:dyDescent="0.2">
      <c r="A216" s="141"/>
      <c r="B216" s="1366" t="s">
        <v>32</v>
      </c>
      <c r="C216" s="1366"/>
      <c r="D216" s="1366"/>
      <c r="E216" s="1366"/>
      <c r="F216" s="9"/>
      <c r="G216" s="9"/>
      <c r="H216" s="9"/>
      <c r="I216" s="9"/>
      <c r="J216" s="13"/>
      <c r="K216" s="9"/>
      <c r="L216" s="9"/>
      <c r="M216" s="9"/>
      <c r="N216" s="9"/>
      <c r="O216" s="9"/>
      <c r="P216" s="9"/>
      <c r="Q216" s="9"/>
      <c r="R216" s="9"/>
      <c r="S216" s="9"/>
      <c r="T216" s="9"/>
      <c r="U216" s="11"/>
      <c r="V216" s="11"/>
      <c r="W216" s="11"/>
      <c r="X216" s="12"/>
      <c r="Y216" s="12"/>
      <c r="Z216" s="12"/>
      <c r="AA216" s="12"/>
      <c r="AB216" s="12"/>
      <c r="AC216" s="241"/>
      <c r="AE216" s="84"/>
      <c r="AH216" s="179"/>
      <c r="AI216" s="179"/>
      <c r="AJ216" s="153"/>
    </row>
    <row r="217" spans="1:60" ht="11.25" customHeight="1" x14ac:dyDescent="0.2">
      <c r="A217" s="141"/>
      <c r="B217" s="1366"/>
      <c r="C217" s="1366"/>
      <c r="D217" s="1366"/>
      <c r="E217" s="1366"/>
      <c r="F217" s="9"/>
      <c r="G217" s="9"/>
      <c r="H217" s="9"/>
      <c r="I217" s="9"/>
      <c r="J217" s="13"/>
      <c r="K217" s="9"/>
      <c r="L217" s="9"/>
      <c r="M217" s="9"/>
      <c r="N217" s="9"/>
      <c r="O217" s="9"/>
      <c r="P217" s="9"/>
      <c r="Q217" s="9"/>
      <c r="R217" s="9"/>
      <c r="S217" s="9"/>
      <c r="T217" s="9"/>
      <c r="U217" s="11"/>
      <c r="V217" s="11"/>
      <c r="W217" s="11"/>
      <c r="X217" s="12"/>
      <c r="Y217" s="12"/>
      <c r="Z217" s="12"/>
      <c r="AA217" s="12"/>
      <c r="AB217" s="12"/>
      <c r="AC217" s="241"/>
      <c r="AE217" s="84"/>
      <c r="AH217" s="179"/>
      <c r="AI217" s="179"/>
      <c r="AJ217" s="153"/>
    </row>
    <row r="218" spans="1:60" ht="11.25" customHeight="1" x14ac:dyDescent="0.2">
      <c r="A218" s="248"/>
      <c r="B218" s="1110"/>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1307"/>
      <c r="AE218" s="84"/>
      <c r="AH218" s="179"/>
      <c r="AI218" s="179"/>
      <c r="AJ218" s="242"/>
    </row>
    <row r="219" spans="1:60" ht="11.25" customHeight="1" x14ac:dyDescent="0.2">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E219" s="84"/>
      <c r="AH219" s="179"/>
      <c r="AI219" s="179"/>
    </row>
    <row r="220" spans="1:60" ht="18.75" customHeight="1" x14ac:dyDescent="0.2">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E220" s="84"/>
      <c r="AH220" s="179"/>
      <c r="AI220" s="179"/>
    </row>
    <row r="221" spans="1:60" s="82" customFormat="1" ht="11.25" customHeight="1" x14ac:dyDescent="0.2">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83"/>
      <c r="AE221" s="84"/>
      <c r="AF221" s="83"/>
      <c r="AG221" s="83"/>
      <c r="AH221" s="179"/>
      <c r="AI221" s="179"/>
      <c r="AK221" s="76"/>
      <c r="AL221" s="76"/>
      <c r="AM221" s="76"/>
      <c r="AN221" s="76"/>
      <c r="AO221" s="76"/>
      <c r="AP221" s="76"/>
      <c r="AQ221" s="76"/>
      <c r="AR221" s="76"/>
      <c r="AS221" s="76"/>
      <c r="AT221" s="76"/>
      <c r="AU221" s="76"/>
      <c r="AV221" s="76"/>
      <c r="AW221" s="76"/>
      <c r="AX221" s="76"/>
      <c r="AY221" s="76"/>
      <c r="AZ221" s="76"/>
      <c r="BA221" s="76"/>
      <c r="BB221" s="76"/>
      <c r="BC221" s="76"/>
      <c r="BD221" s="76"/>
      <c r="BE221" s="76"/>
      <c r="BF221" s="76"/>
      <c r="BG221" s="76"/>
      <c r="BH221" s="76"/>
    </row>
    <row r="222" spans="1:60" ht="11.25" customHeight="1" x14ac:dyDescent="0.2">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E222" s="84"/>
      <c r="AH222" s="179"/>
      <c r="AI222" s="179"/>
    </row>
    <row r="223" spans="1:60" ht="11.25" customHeight="1" x14ac:dyDescent="0.2">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E223" s="84"/>
      <c r="AH223" s="179"/>
      <c r="AI223" s="179"/>
    </row>
    <row r="224" spans="1:60" ht="11.25" customHeight="1" x14ac:dyDescent="0.2">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E224" s="84"/>
      <c r="AH224" s="179"/>
      <c r="AI224" s="179"/>
    </row>
    <row r="225" spans="1:35" ht="11.25" customHeight="1" x14ac:dyDescent="0.2">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E225" s="84"/>
      <c r="AH225" s="179"/>
      <c r="AI225" s="179"/>
    </row>
    <row r="226" spans="1:35" ht="11.25" customHeight="1" x14ac:dyDescent="0.2">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E226" s="84"/>
      <c r="AH226" s="179"/>
      <c r="AI226" s="179"/>
    </row>
    <row r="227" spans="1:35" ht="11.25" customHeight="1" x14ac:dyDescent="0.2">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E227" s="84"/>
      <c r="AH227" s="179"/>
      <c r="AI227" s="179"/>
    </row>
    <row r="228" spans="1:35" ht="11.25" customHeight="1" x14ac:dyDescent="0.2">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E228" s="84"/>
      <c r="AH228" s="179"/>
      <c r="AI228" s="179"/>
    </row>
    <row r="229" spans="1:35" ht="11.25" customHeight="1" x14ac:dyDescent="0.2">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E229" s="84"/>
      <c r="AH229" s="179"/>
      <c r="AI229" s="179"/>
    </row>
    <row r="230" spans="1:35" ht="11.25" customHeight="1" x14ac:dyDescent="0.2">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E230" s="84"/>
      <c r="AH230" s="179"/>
      <c r="AI230" s="179"/>
    </row>
    <row r="231" spans="1:35" ht="11.25" customHeight="1" x14ac:dyDescent="0.2">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E231" s="84"/>
      <c r="AH231" s="179"/>
      <c r="AI231" s="179"/>
    </row>
    <row r="232" spans="1:35" ht="11.25" customHeight="1" x14ac:dyDescent="0.2">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E232" s="84"/>
      <c r="AH232" s="179"/>
      <c r="AI232" s="179"/>
    </row>
    <row r="233" spans="1:35" ht="11.25" customHeight="1" x14ac:dyDescent="0.2">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E233" s="84"/>
      <c r="AH233" s="179"/>
      <c r="AI233" s="179"/>
    </row>
    <row r="234" spans="1:35" ht="11.25" customHeight="1" x14ac:dyDescent="0.2">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E234" s="84"/>
      <c r="AH234" s="179"/>
      <c r="AI234" s="179"/>
    </row>
    <row r="235" spans="1:35" ht="11.25" customHeight="1" x14ac:dyDescent="0.2">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E235" s="84"/>
      <c r="AH235" s="179"/>
      <c r="AI235" s="179"/>
    </row>
    <row r="236" spans="1:35" ht="11.25" customHeight="1" x14ac:dyDescent="0.2">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441"/>
      <c r="AE236" s="1131"/>
      <c r="AF236" s="441"/>
      <c r="AG236" s="441"/>
      <c r="AH236" s="562"/>
      <c r="AI236" s="562"/>
    </row>
    <row r="347" spans="37:37" ht="11.25" customHeight="1" x14ac:dyDescent="0.2">
      <c r="AK347" s="76" t="b">
        <v>1</v>
      </c>
    </row>
  </sheetData>
  <sheetProtection sheet="1" objects="1" scenarios="1"/>
  <mergeCells count="55">
    <mergeCell ref="Y7:Z7"/>
    <mergeCell ref="AA7:AE7"/>
    <mergeCell ref="BB38:BF38"/>
    <mergeCell ref="AW38:BA38"/>
    <mergeCell ref="AR38:AV38"/>
    <mergeCell ref="AQ38:AQ40"/>
    <mergeCell ref="B5:T6"/>
    <mergeCell ref="B7:B9"/>
    <mergeCell ref="D7:H7"/>
    <mergeCell ref="R7:R9"/>
    <mergeCell ref="L7:Q7"/>
    <mergeCell ref="P8:Q8"/>
    <mergeCell ref="P9:Q9"/>
    <mergeCell ref="T7:T9"/>
    <mergeCell ref="I7:J9"/>
    <mergeCell ref="A70:U70"/>
    <mergeCell ref="A71:U71"/>
    <mergeCell ref="Z8:Z9"/>
    <mergeCell ref="B35:T35"/>
    <mergeCell ref="A37:U37"/>
    <mergeCell ref="A38:U38"/>
    <mergeCell ref="A143:U143"/>
    <mergeCell ref="A179:U179"/>
    <mergeCell ref="A178:U178"/>
    <mergeCell ref="Y8:Y9"/>
    <mergeCell ref="B75:B76"/>
    <mergeCell ref="B73:I74"/>
    <mergeCell ref="B111:B112"/>
    <mergeCell ref="B109:I110"/>
    <mergeCell ref="B145:I146"/>
    <mergeCell ref="M64:O64"/>
    <mergeCell ref="Q64:T64"/>
    <mergeCell ref="M65:T65"/>
    <mergeCell ref="A106:U106"/>
    <mergeCell ref="A107:U107"/>
    <mergeCell ref="A142:U142"/>
    <mergeCell ref="B147:B148"/>
    <mergeCell ref="B182:B183"/>
    <mergeCell ref="B184:E185"/>
    <mergeCell ref="B186:E187"/>
    <mergeCell ref="B188:E189"/>
    <mergeCell ref="B190:E191"/>
    <mergeCell ref="B212:E213"/>
    <mergeCell ref="B214:E215"/>
    <mergeCell ref="B216:E217"/>
    <mergeCell ref="B192:E193"/>
    <mergeCell ref="B194:E195"/>
    <mergeCell ref="B196:E197"/>
    <mergeCell ref="B198:E199"/>
    <mergeCell ref="B200:E201"/>
    <mergeCell ref="B202:E203"/>
    <mergeCell ref="B204:E205"/>
    <mergeCell ref="B206:E207"/>
    <mergeCell ref="B208:E209"/>
    <mergeCell ref="B210:E211"/>
  </mergeCells>
  <conditionalFormatting sqref="B10:B31 B51:C66 B113:B134 D10:H31 D113:H134 L10:P31 A1:A32 A72:A106 A108:A142 A144:A178 R10:R31 A34:A37">
    <cfRule type="containsErrors" dxfId="87" priority="106">
      <formula>ISERROR(A1)</formula>
    </cfRule>
  </conditionalFormatting>
  <conditionalFormatting sqref="T10:T31">
    <cfRule type="containsErrors" dxfId="86" priority="86">
      <formula>ISERROR(T10)</formula>
    </cfRule>
  </conditionalFormatting>
  <conditionalFormatting sqref="A10:A31">
    <cfRule type="cellIs" dxfId="85" priority="84" operator="equal">
      <formula>0</formula>
    </cfRule>
  </conditionalFormatting>
  <conditionalFormatting sqref="A77:A98">
    <cfRule type="cellIs" dxfId="84" priority="83" operator="equal">
      <formula>0</formula>
    </cfRule>
  </conditionalFormatting>
  <conditionalFormatting sqref="A113:A134">
    <cfRule type="cellIs" dxfId="83" priority="82" operator="equal">
      <formula>0</formula>
    </cfRule>
  </conditionalFormatting>
  <conditionalFormatting sqref="A149:A170">
    <cfRule type="cellIs" dxfId="82" priority="81" operator="equal">
      <formula>0</formula>
    </cfRule>
  </conditionalFormatting>
  <conditionalFormatting sqref="A39:A70 A237:A1048576">
    <cfRule type="containsErrors" dxfId="81" priority="76">
      <formula>ISERROR(A39)</formula>
    </cfRule>
  </conditionalFormatting>
  <conditionalFormatting sqref="AF10:AG28">
    <cfRule type="containsErrors" dxfId="80" priority="75">
      <formula>ISERROR(AF10)</formula>
    </cfRule>
  </conditionalFormatting>
  <conditionalFormatting sqref="AF10:AG21 AG11:AG28">
    <cfRule type="expression" dxfId="79" priority="74">
      <formula>$B10=$W$4</formula>
    </cfRule>
  </conditionalFormatting>
  <conditionalFormatting sqref="R10:R31">
    <cfRule type="containsErrors" dxfId="78" priority="104">
      <formula>ISERROR(R10)</formula>
    </cfRule>
  </conditionalFormatting>
  <conditionalFormatting sqref="A38">
    <cfRule type="cellIs" dxfId="77" priority="66" operator="equal">
      <formula>0</formula>
    </cfRule>
    <cfRule type="containsErrors" dxfId="76" priority="67">
      <formula>ISERROR(A38)</formula>
    </cfRule>
  </conditionalFormatting>
  <conditionalFormatting sqref="A71">
    <cfRule type="cellIs" dxfId="75" priority="64" operator="equal">
      <formula>0</formula>
    </cfRule>
    <cfRule type="containsErrors" dxfId="74" priority="65">
      <formula>ISERROR(A71)</formula>
    </cfRule>
  </conditionalFormatting>
  <conditionalFormatting sqref="A107">
    <cfRule type="cellIs" dxfId="73" priority="60" operator="equal">
      <formula>0</formula>
    </cfRule>
    <cfRule type="containsErrors" dxfId="72" priority="61">
      <formula>ISERROR(A107)</formula>
    </cfRule>
  </conditionalFormatting>
  <conditionalFormatting sqref="A143">
    <cfRule type="cellIs" dxfId="71" priority="58" operator="equal">
      <formula>0</formula>
    </cfRule>
    <cfRule type="containsErrors" dxfId="70" priority="59">
      <formula>ISERROR(A143)</formula>
    </cfRule>
  </conditionalFormatting>
  <conditionalFormatting sqref="A179">
    <cfRule type="cellIs" dxfId="69" priority="56" operator="equal">
      <formula>0</formula>
    </cfRule>
    <cfRule type="containsErrors" dxfId="68" priority="57">
      <formula>ISERROR(A179)</formula>
    </cfRule>
  </conditionalFormatting>
  <conditionalFormatting sqref="D8:H8">
    <cfRule type="containsErrors" dxfId="67" priority="45">
      <formula>ISERROR(D8)</formula>
    </cfRule>
  </conditionalFormatting>
  <conditionalFormatting sqref="D9:H9">
    <cfRule type="containsErrors" dxfId="66" priority="47">
      <formula>ISERROR(D9)</formula>
    </cfRule>
  </conditionalFormatting>
  <conditionalFormatting sqref="L8:P8">
    <cfRule type="containsErrors" dxfId="65" priority="44">
      <formula>ISERROR(L8)</formula>
    </cfRule>
  </conditionalFormatting>
  <conditionalFormatting sqref="L9:P9">
    <cfRule type="containsErrors" dxfId="64" priority="1257">
      <formula>ISERROR(L9)</formula>
    </cfRule>
  </conditionalFormatting>
  <conditionalFormatting sqref="Q32">
    <cfRule type="containsErrors" dxfId="63" priority="41">
      <formula>ISERROR(Q32)</formula>
    </cfRule>
  </conditionalFormatting>
  <conditionalFormatting sqref="Q10:Q32">
    <cfRule type="containsErrors" dxfId="62" priority="39">
      <formula>ISERROR(Q10)</formula>
    </cfRule>
    <cfRule type="dataBar" priority="40">
      <dataBar showValue="0">
        <cfvo type="min"/>
        <cfvo type="max"/>
        <color theme="9"/>
      </dataBar>
      <extLst>
        <ext xmlns:x14="http://schemas.microsoft.com/office/spreadsheetml/2009/9/main" uri="{B025F937-C7B1-47D3-B67F-A62EFF666E3E}">
          <x14:id>{6E339818-BE0E-4C9B-8126-03E9EC6F1A0C}</x14:id>
        </ext>
      </extLst>
    </cfRule>
  </conditionalFormatting>
  <conditionalFormatting sqref="Y3:AC3">
    <cfRule type="containsErrors" dxfId="61" priority="36">
      <formula>ISERROR(Y3)</formula>
    </cfRule>
  </conditionalFormatting>
  <conditionalFormatting sqref="Y2:AC2">
    <cfRule type="containsErrors" dxfId="60" priority="35">
      <formula>ISERROR(Y2)</formula>
    </cfRule>
  </conditionalFormatting>
  <conditionalFormatting sqref="X2">
    <cfRule type="containsErrors" dxfId="59" priority="33">
      <formula>ISERROR(X2)</formula>
    </cfRule>
  </conditionalFormatting>
  <conditionalFormatting sqref="X3">
    <cfRule type="containsErrors" dxfId="58" priority="34">
      <formula>ISERROR(X3)</formula>
    </cfRule>
  </conditionalFormatting>
  <conditionalFormatting sqref="AA9:AE9">
    <cfRule type="cellIs" dxfId="57" priority="32" stopIfTrue="1" operator="equal">
      <formula>0</formula>
    </cfRule>
  </conditionalFormatting>
  <conditionalFormatting sqref="B77:B98 D77:H98 B149:B170 D149:H170">
    <cfRule type="expression" dxfId="56" priority="1248">
      <formula>$B77=$Y$4</formula>
    </cfRule>
    <cfRule type="containsErrors" dxfId="55" priority="1249">
      <formula>ISERROR(B77)</formula>
    </cfRule>
  </conditionalFormatting>
  <conditionalFormatting sqref="B10:B31 T10:T31 D10:H31 L10:P31 Q10:Q32 J10:J32 R10:R31 B51:C66 B113:B134 D113:H134">
    <cfRule type="expression" dxfId="54" priority="1256">
      <formula>$B10=$Y$4</formula>
    </cfRule>
  </conditionalFormatting>
  <conditionalFormatting sqref="J10:J32">
    <cfRule type="containsErrors" dxfId="53" priority="30">
      <formula>ISERROR(J10)</formula>
    </cfRule>
  </conditionalFormatting>
  <conditionalFormatting sqref="J32">
    <cfRule type="containsErrors" dxfId="52" priority="28">
      <formula>ISERROR(J32)</formula>
    </cfRule>
  </conditionalFormatting>
  <conditionalFormatting sqref="J10:J32">
    <cfRule type="dataBar" priority="31">
      <dataBar showValue="0">
        <cfvo type="min"/>
        <cfvo type="max"/>
        <color theme="9"/>
      </dataBar>
      <extLst>
        <ext xmlns:x14="http://schemas.microsoft.com/office/spreadsheetml/2009/9/main" uri="{B025F937-C7B1-47D3-B67F-A62EFF666E3E}">
          <x14:id>{EB6EBBD3-3B0C-4DCE-97F7-215EED3E924E}</x14:id>
        </ext>
      </extLst>
    </cfRule>
  </conditionalFormatting>
  <conditionalFormatting sqref="I10:I31">
    <cfRule type="containsErrors" dxfId="51" priority="18">
      <formula>ISERROR(I10)</formula>
    </cfRule>
    <cfRule type="expression" dxfId="50" priority="27">
      <formula>$B10=$Y$4</formula>
    </cfRule>
  </conditionalFormatting>
  <conditionalFormatting sqref="I10:I31">
    <cfRule type="containsErrors" dxfId="49" priority="26">
      <formula>ISERROR(I10)</formula>
    </cfRule>
  </conditionalFormatting>
  <conditionalFormatting sqref="I32">
    <cfRule type="containsErrors" dxfId="48" priority="25">
      <formula>ISERROR(I32)</formula>
    </cfRule>
  </conditionalFormatting>
  <conditionalFormatting sqref="D75:H75">
    <cfRule type="containsErrors" dxfId="47" priority="23">
      <formula>ISERROR(D75)</formula>
    </cfRule>
  </conditionalFormatting>
  <conditionalFormatting sqref="D76:H76">
    <cfRule type="containsErrors" dxfId="46" priority="24">
      <formula>ISERROR(D76)</formula>
    </cfRule>
  </conditionalFormatting>
  <conditionalFormatting sqref="D111:H111">
    <cfRule type="containsErrors" dxfId="45" priority="21">
      <formula>ISERROR(D111)</formula>
    </cfRule>
  </conditionalFormatting>
  <conditionalFormatting sqref="D112:H112">
    <cfRule type="containsErrors" dxfId="44" priority="22">
      <formula>ISERROR(D112)</formula>
    </cfRule>
  </conditionalFormatting>
  <conditionalFormatting sqref="D147:H147">
    <cfRule type="containsErrors" dxfId="43" priority="19">
      <formula>ISERROR(D147)</formula>
    </cfRule>
  </conditionalFormatting>
  <conditionalFormatting sqref="D148:H148">
    <cfRule type="containsErrors" dxfId="42" priority="20">
      <formula>ISERROR(D148)</formula>
    </cfRule>
  </conditionalFormatting>
  <conditionalFormatting sqref="AL40:AP40">
    <cfRule type="cellIs" dxfId="41" priority="17" stopIfTrue="1" operator="equal">
      <formula>0</formula>
    </cfRule>
  </conditionalFormatting>
  <conditionalFormatting sqref="AR40:AV40">
    <cfRule type="cellIs" dxfId="40" priority="16" stopIfTrue="1" operator="equal">
      <formula>0</formula>
    </cfRule>
  </conditionalFormatting>
  <conditionalFormatting sqref="AW40:BA40">
    <cfRule type="cellIs" dxfId="39" priority="15" stopIfTrue="1" operator="equal">
      <formula>0</formula>
    </cfRule>
  </conditionalFormatting>
  <conditionalFormatting sqref="BB40:BF40">
    <cfRule type="cellIs" dxfId="38" priority="14" stopIfTrue="1" operator="equal">
      <formula>0</formula>
    </cfRule>
  </conditionalFormatting>
  <conditionalFormatting sqref="A33">
    <cfRule type="containsErrors" dxfId="37" priority="12">
      <formula>ISERROR(A33)</formula>
    </cfRule>
  </conditionalFormatting>
  <conditionalFormatting sqref="Q33">
    <cfRule type="containsErrors" dxfId="36" priority="11">
      <formula>ISERROR(Q33)</formula>
    </cfRule>
  </conditionalFormatting>
  <conditionalFormatting sqref="Q33">
    <cfRule type="containsErrors" dxfId="35" priority="9">
      <formula>ISERROR(Q33)</formula>
    </cfRule>
    <cfRule type="dataBar" priority="10">
      <dataBar showValue="0">
        <cfvo type="min"/>
        <cfvo type="max"/>
        <color theme="9"/>
      </dataBar>
      <extLst>
        <ext xmlns:x14="http://schemas.microsoft.com/office/spreadsheetml/2009/9/main" uri="{B025F937-C7B1-47D3-B67F-A62EFF666E3E}">
          <x14:id>{B735C984-B1A8-4FF5-9ED4-31AC7C7496E7}</x14:id>
        </ext>
      </extLst>
    </cfRule>
  </conditionalFormatting>
  <conditionalFormatting sqref="Q33 J33">
    <cfRule type="expression" dxfId="34" priority="13">
      <formula>$B33=$Y$4</formula>
    </cfRule>
  </conditionalFormatting>
  <conditionalFormatting sqref="J33">
    <cfRule type="containsErrors" dxfId="33" priority="7">
      <formula>ISERROR(J33)</formula>
    </cfRule>
  </conditionalFormatting>
  <conditionalFormatting sqref="J33">
    <cfRule type="containsErrors" dxfId="32" priority="6">
      <formula>ISERROR(J33)</formula>
    </cfRule>
  </conditionalFormatting>
  <conditionalFormatting sqref="J33">
    <cfRule type="dataBar" priority="8">
      <dataBar showValue="0">
        <cfvo type="min"/>
        <cfvo type="max"/>
        <color theme="9"/>
      </dataBar>
      <extLst>
        <ext xmlns:x14="http://schemas.microsoft.com/office/spreadsheetml/2009/9/main" uri="{B025F937-C7B1-47D3-B67F-A62EFF666E3E}">
          <x14:id>{6F7FB5E2-34F5-4943-9482-49AA647677F8}</x14:id>
        </ext>
      </extLst>
    </cfRule>
  </conditionalFormatting>
  <conditionalFormatting sqref="I33">
    <cfRule type="containsErrors" dxfId="31" priority="5">
      <formula>ISERROR(I33)</formula>
    </cfRule>
  </conditionalFormatting>
  <hyperlinks>
    <hyperlink ref="B186:B187" location="Coverage!A1" display="Participating LA's" xr:uid="{0EA2BACD-F1CC-43BD-879F-B7F4C1CAFC14}"/>
    <hyperlink ref="B188:B189" location="IDACI!A1" display="IDACI" xr:uid="{1048AD4D-9CC4-4344-9F0F-C2135FC4A408}"/>
    <hyperlink ref="B216:B217" location="Adoption!A1" display="Adoption" xr:uid="{D8D23A66-C344-433A-ABFC-F0F8278369B9}"/>
    <hyperlink ref="B210:B211" location="'Looked After Children'!A1" display="Looked After Children" xr:uid="{03083D62-337A-494C-B6A0-2E8D01CA21D2}"/>
    <hyperlink ref="B208:B209" location="'Court Applications'!A1" display="Court Applications" xr:uid="{E114C905-4FB7-4545-968B-1A6D2593ECF5}"/>
    <hyperlink ref="B206:B207" location="'Child Protection Plans'!A1" display="Child Protection Plans" xr:uid="{DCF222E6-9F51-4071-9E26-8FC5A67E8DEC}"/>
    <hyperlink ref="B204:B205" location="'Initial CP Conferences'!A1" display="Initial Child Protection Conferences" xr:uid="{1E3E884B-A238-485A-912B-88FE5B1A6547}"/>
    <hyperlink ref="B202:B203" location="'Section 47 Enquiries'!A1" display="Section 47 Enquiries" xr:uid="{1C21E3A3-6C6A-4557-884C-3BD3CD3FE518}"/>
    <hyperlink ref="B200:B201" location="'Children in Need'!A1" display="Children in Need" xr:uid="{2FABF21B-EA60-4A5B-ABFE-C3A3053938A1}"/>
    <hyperlink ref="B198:B199" location="Assessments!A1" display="Assessments" xr:uid="{DC715E5E-7E35-4949-AB40-8231BF79832C}"/>
    <hyperlink ref="B196:B197" location="'Re-referrals'!A1" display="Re-referrals" xr:uid="{38ED8CAD-0FD6-46F9-B091-0997D0958728}"/>
    <hyperlink ref="B194:B195" location="Referral_Source!A1" display="Referral Source" xr:uid="{9E9A8033-CD85-46A0-A838-B2B82C74CA68}"/>
    <hyperlink ref="B192:B193" location="Referrals!A1" display="Referrals" xr:uid="{0F480D02-F5BB-4299-ABA5-17B0A6D6A141}"/>
    <hyperlink ref="B190:B191" location="Population!A1" display="Population" xr:uid="{0BAB3841-0537-4E7A-8E9B-A9E5B555F7A0}"/>
    <hyperlink ref="B188:C189" location="IDACI!A1" display="IDACI" xr:uid="{615709FA-0E3A-4948-A568-05F153BC9E02}"/>
    <hyperlink ref="B184:B185" location="Coverage!A1" display="Participating LA's" xr:uid="{0B3D833F-18D0-4034-BEF4-3D535440108A}"/>
    <hyperlink ref="B184:C185" location="Indicators!A1" display="Indicators" xr:uid="{8C79B3A2-82C0-4629-9385-FB8E1C69ABC5}"/>
    <hyperlink ref="B214:B215" location="'Looked After Children'!A1" display="Looked After Children" xr:uid="{5283AA06-A3E8-40F8-AC26-9760FD25B438}"/>
    <hyperlink ref="B212:B213" location="'Court Applications'!A1" display="Court Applications" xr:uid="{95849A21-D44C-426C-885C-4200D26E8AE0}"/>
    <hyperlink ref="B212:C213" location="New_Ceased_LAC!A1" display="New/ Ceased Looked After Children" xr:uid="{37689D93-40CD-4C60-AAF6-DD900A27D9C5}"/>
    <hyperlink ref="B214:C215" location="Care_Leavers!A1" display="Care Leavers" xr:uid="{79A43EA1-C818-4FC5-AAF8-3BC36DCD5FE1}"/>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4" manualBreakCount="4">
    <brk id="38" max="20" man="1"/>
    <brk id="71" max="20" man="1"/>
    <brk id="107" max="20" man="1"/>
    <brk id="143"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macro="[0]!CheckBox1_Click" altText="">
                <anchor>
                  <from>
                    <xdr:col>22</xdr:col>
                    <xdr:colOff>95250</xdr:colOff>
                    <xdr:row>39</xdr:row>
                    <xdr:rowOff>19050</xdr:rowOff>
                  </from>
                  <to>
                    <xdr:col>35</xdr:col>
                    <xdr:colOff>66675</xdr:colOff>
                    <xdr:row>41</xdr:row>
                    <xdr:rowOff>9525</xdr:rowOff>
                  </to>
                </anchor>
              </controlPr>
            </control>
          </mc:Choice>
        </mc:AlternateContent>
        <mc:AlternateContent xmlns:mc="http://schemas.openxmlformats.org/markup-compatibility/2006">
          <mc:Choice Requires="x14">
            <control shapeId="168962" r:id="rId5" name="Check Box 2">
              <controlPr defaultSize="0" autoFill="0" autoLine="0" autoPict="0" macro="[0]!CheckBox1_Click" altText="">
                <anchor>
                  <from>
                    <xdr:col>22</xdr:col>
                    <xdr:colOff>95250</xdr:colOff>
                    <xdr:row>40</xdr:row>
                    <xdr:rowOff>142875</xdr:rowOff>
                  </from>
                  <to>
                    <xdr:col>35</xdr:col>
                    <xdr:colOff>66675</xdr:colOff>
                    <xdr:row>42</xdr:row>
                    <xdr:rowOff>9525</xdr:rowOff>
                  </to>
                </anchor>
              </controlPr>
            </control>
          </mc:Choice>
        </mc:AlternateContent>
        <mc:AlternateContent xmlns:mc="http://schemas.openxmlformats.org/markup-compatibility/2006">
          <mc:Choice Requires="x14">
            <control shapeId="168963" r:id="rId6" name="Check Box 3">
              <controlPr defaultSize="0" autoFill="0" autoLine="0" autoPict="0" macro="[0]!CheckBox1_Click" altText="">
                <anchor>
                  <from>
                    <xdr:col>22</xdr:col>
                    <xdr:colOff>95250</xdr:colOff>
                    <xdr:row>41</xdr:row>
                    <xdr:rowOff>142875</xdr:rowOff>
                  </from>
                  <to>
                    <xdr:col>35</xdr:col>
                    <xdr:colOff>66675</xdr:colOff>
                    <xdr:row>43</xdr:row>
                    <xdr:rowOff>9525</xdr:rowOff>
                  </to>
                </anchor>
              </controlPr>
            </control>
          </mc:Choice>
        </mc:AlternateContent>
        <mc:AlternateContent xmlns:mc="http://schemas.openxmlformats.org/markup-compatibility/2006">
          <mc:Choice Requires="x14">
            <control shapeId="168964" r:id="rId7" name="Check Box 4">
              <controlPr defaultSize="0" autoFill="0" autoLine="0" autoPict="0" macro="[0]!CheckBox1_Click" altText="">
                <anchor>
                  <from>
                    <xdr:col>22</xdr:col>
                    <xdr:colOff>95250</xdr:colOff>
                    <xdr:row>42</xdr:row>
                    <xdr:rowOff>142875</xdr:rowOff>
                  </from>
                  <to>
                    <xdr:col>35</xdr:col>
                    <xdr:colOff>66675</xdr:colOff>
                    <xdr:row>44</xdr:row>
                    <xdr:rowOff>9525</xdr:rowOff>
                  </to>
                </anchor>
              </controlPr>
            </control>
          </mc:Choice>
        </mc:AlternateContent>
        <mc:AlternateContent xmlns:mc="http://schemas.openxmlformats.org/markup-compatibility/2006">
          <mc:Choice Requires="x14">
            <control shapeId="168965" r:id="rId8" name="Check Box 5">
              <controlPr defaultSize="0" autoFill="0" autoLine="0" autoPict="0" macro="[0]!CheckBox1_Click" altText="">
                <anchor>
                  <from>
                    <xdr:col>22</xdr:col>
                    <xdr:colOff>95250</xdr:colOff>
                    <xdr:row>43</xdr:row>
                    <xdr:rowOff>142875</xdr:rowOff>
                  </from>
                  <to>
                    <xdr:col>35</xdr:col>
                    <xdr:colOff>66675</xdr:colOff>
                    <xdr:row>45</xdr:row>
                    <xdr:rowOff>9525</xdr:rowOff>
                  </to>
                </anchor>
              </controlPr>
            </control>
          </mc:Choice>
        </mc:AlternateContent>
        <mc:AlternateContent xmlns:mc="http://schemas.openxmlformats.org/markup-compatibility/2006">
          <mc:Choice Requires="x14">
            <control shapeId="168966" r:id="rId9" name="Check Box 6">
              <controlPr defaultSize="0" autoFill="0" autoLine="0" autoPict="0" macro="[0]!CheckBox1_Click" altText="">
                <anchor>
                  <from>
                    <xdr:col>22</xdr:col>
                    <xdr:colOff>95250</xdr:colOff>
                    <xdr:row>44</xdr:row>
                    <xdr:rowOff>142875</xdr:rowOff>
                  </from>
                  <to>
                    <xdr:col>35</xdr:col>
                    <xdr:colOff>66675</xdr:colOff>
                    <xdr:row>46</xdr:row>
                    <xdr:rowOff>9525</xdr:rowOff>
                  </to>
                </anchor>
              </controlPr>
            </control>
          </mc:Choice>
        </mc:AlternateContent>
        <mc:AlternateContent xmlns:mc="http://schemas.openxmlformats.org/markup-compatibility/2006">
          <mc:Choice Requires="x14">
            <control shapeId="168967" r:id="rId10" name="Check Box 7">
              <controlPr defaultSize="0" autoFill="0" autoLine="0" autoPict="0" macro="[0]!CheckBox1_Click" altText="">
                <anchor>
                  <from>
                    <xdr:col>22</xdr:col>
                    <xdr:colOff>95250</xdr:colOff>
                    <xdr:row>45</xdr:row>
                    <xdr:rowOff>142875</xdr:rowOff>
                  </from>
                  <to>
                    <xdr:col>35</xdr:col>
                    <xdr:colOff>66675</xdr:colOff>
                    <xdr:row>47</xdr:row>
                    <xdr:rowOff>9525</xdr:rowOff>
                  </to>
                </anchor>
              </controlPr>
            </control>
          </mc:Choice>
        </mc:AlternateContent>
        <mc:AlternateContent xmlns:mc="http://schemas.openxmlformats.org/markup-compatibility/2006">
          <mc:Choice Requires="x14">
            <control shapeId="168968" r:id="rId11" name="Check Box 8">
              <controlPr defaultSize="0" autoFill="0" autoLine="0" autoPict="0" macro="[0]!CheckBox1_Click" altText="">
                <anchor>
                  <from>
                    <xdr:col>22</xdr:col>
                    <xdr:colOff>95250</xdr:colOff>
                    <xdr:row>46</xdr:row>
                    <xdr:rowOff>142875</xdr:rowOff>
                  </from>
                  <to>
                    <xdr:col>35</xdr:col>
                    <xdr:colOff>66675</xdr:colOff>
                    <xdr:row>48</xdr:row>
                    <xdr:rowOff>9525</xdr:rowOff>
                  </to>
                </anchor>
              </controlPr>
            </control>
          </mc:Choice>
        </mc:AlternateContent>
        <mc:AlternateContent xmlns:mc="http://schemas.openxmlformats.org/markup-compatibility/2006">
          <mc:Choice Requires="x14">
            <control shapeId="168969" r:id="rId12" name="Check Box 9">
              <controlPr defaultSize="0" autoFill="0" autoLine="0" autoPict="0" macro="[0]!CheckBox1_Click" altText="">
                <anchor>
                  <from>
                    <xdr:col>22</xdr:col>
                    <xdr:colOff>95250</xdr:colOff>
                    <xdr:row>47</xdr:row>
                    <xdr:rowOff>142875</xdr:rowOff>
                  </from>
                  <to>
                    <xdr:col>35</xdr:col>
                    <xdr:colOff>66675</xdr:colOff>
                    <xdr:row>49</xdr:row>
                    <xdr:rowOff>9525</xdr:rowOff>
                  </to>
                </anchor>
              </controlPr>
            </control>
          </mc:Choice>
        </mc:AlternateContent>
        <mc:AlternateContent xmlns:mc="http://schemas.openxmlformats.org/markup-compatibility/2006">
          <mc:Choice Requires="x14">
            <control shapeId="168970" r:id="rId13" name="Check Box 10">
              <controlPr defaultSize="0" autoFill="0" autoLine="0" autoPict="0" macro="[0]!CheckBox1_Click" altText="">
                <anchor>
                  <from>
                    <xdr:col>22</xdr:col>
                    <xdr:colOff>95250</xdr:colOff>
                    <xdr:row>48</xdr:row>
                    <xdr:rowOff>142875</xdr:rowOff>
                  </from>
                  <to>
                    <xdr:col>35</xdr:col>
                    <xdr:colOff>66675</xdr:colOff>
                    <xdr:row>50</xdr:row>
                    <xdr:rowOff>9525</xdr:rowOff>
                  </to>
                </anchor>
              </controlPr>
            </control>
          </mc:Choice>
        </mc:AlternateContent>
        <mc:AlternateContent xmlns:mc="http://schemas.openxmlformats.org/markup-compatibility/2006">
          <mc:Choice Requires="x14">
            <control shapeId="168971" r:id="rId14" name="Check Box 11">
              <controlPr defaultSize="0" autoFill="0" autoLine="0" autoPict="0" macro="[0]!CheckBox1_Click" altText="">
                <anchor>
                  <from>
                    <xdr:col>22</xdr:col>
                    <xdr:colOff>95250</xdr:colOff>
                    <xdr:row>49</xdr:row>
                    <xdr:rowOff>142875</xdr:rowOff>
                  </from>
                  <to>
                    <xdr:col>35</xdr:col>
                    <xdr:colOff>66675</xdr:colOff>
                    <xdr:row>51</xdr:row>
                    <xdr:rowOff>9525</xdr:rowOff>
                  </to>
                </anchor>
              </controlPr>
            </control>
          </mc:Choice>
        </mc:AlternateContent>
        <mc:AlternateContent xmlns:mc="http://schemas.openxmlformats.org/markup-compatibility/2006">
          <mc:Choice Requires="x14">
            <control shapeId="168972" r:id="rId15" name="Check Box 12">
              <controlPr defaultSize="0" autoFill="0" autoLine="0" autoPict="0" macro="[0]!CheckBox1_Click" altText="">
                <anchor>
                  <from>
                    <xdr:col>22</xdr:col>
                    <xdr:colOff>95250</xdr:colOff>
                    <xdr:row>50</xdr:row>
                    <xdr:rowOff>142875</xdr:rowOff>
                  </from>
                  <to>
                    <xdr:col>35</xdr:col>
                    <xdr:colOff>66675</xdr:colOff>
                    <xdr:row>52</xdr:row>
                    <xdr:rowOff>9525</xdr:rowOff>
                  </to>
                </anchor>
              </controlPr>
            </control>
          </mc:Choice>
        </mc:AlternateContent>
        <mc:AlternateContent xmlns:mc="http://schemas.openxmlformats.org/markup-compatibility/2006">
          <mc:Choice Requires="x14">
            <control shapeId="168973" r:id="rId16" name="Check Box 13">
              <controlPr defaultSize="0" autoFill="0" autoLine="0" autoPict="0" macro="[0]!CheckBox1_Click" altText="">
                <anchor>
                  <from>
                    <xdr:col>22</xdr:col>
                    <xdr:colOff>95250</xdr:colOff>
                    <xdr:row>51</xdr:row>
                    <xdr:rowOff>142875</xdr:rowOff>
                  </from>
                  <to>
                    <xdr:col>35</xdr:col>
                    <xdr:colOff>66675</xdr:colOff>
                    <xdr:row>53</xdr:row>
                    <xdr:rowOff>9525</xdr:rowOff>
                  </to>
                </anchor>
              </controlPr>
            </control>
          </mc:Choice>
        </mc:AlternateContent>
        <mc:AlternateContent xmlns:mc="http://schemas.openxmlformats.org/markup-compatibility/2006">
          <mc:Choice Requires="x14">
            <control shapeId="168974" r:id="rId17" name="Check Box 14">
              <controlPr defaultSize="0" autoFill="0" autoLine="0" autoPict="0" macro="[0]!CheckBox1_Click" altText="">
                <anchor>
                  <from>
                    <xdr:col>22</xdr:col>
                    <xdr:colOff>95250</xdr:colOff>
                    <xdr:row>52</xdr:row>
                    <xdr:rowOff>142875</xdr:rowOff>
                  </from>
                  <to>
                    <xdr:col>35</xdr:col>
                    <xdr:colOff>66675</xdr:colOff>
                    <xdr:row>54</xdr:row>
                    <xdr:rowOff>9525</xdr:rowOff>
                  </to>
                </anchor>
              </controlPr>
            </control>
          </mc:Choice>
        </mc:AlternateContent>
        <mc:AlternateContent xmlns:mc="http://schemas.openxmlformats.org/markup-compatibility/2006">
          <mc:Choice Requires="x14">
            <control shapeId="168975" r:id="rId18" name="Check Box 15">
              <controlPr defaultSize="0" autoFill="0" autoLine="0" autoPict="0" macro="[0]!CheckBox1_Click" altText="">
                <anchor>
                  <from>
                    <xdr:col>22</xdr:col>
                    <xdr:colOff>95250</xdr:colOff>
                    <xdr:row>53</xdr:row>
                    <xdr:rowOff>142875</xdr:rowOff>
                  </from>
                  <to>
                    <xdr:col>35</xdr:col>
                    <xdr:colOff>66675</xdr:colOff>
                    <xdr:row>55</xdr:row>
                    <xdr:rowOff>9525</xdr:rowOff>
                  </to>
                </anchor>
              </controlPr>
            </control>
          </mc:Choice>
        </mc:AlternateContent>
        <mc:AlternateContent xmlns:mc="http://schemas.openxmlformats.org/markup-compatibility/2006">
          <mc:Choice Requires="x14">
            <control shapeId="168976" r:id="rId19" name="Check Box 16">
              <controlPr defaultSize="0" autoFill="0" autoLine="0" autoPict="0" macro="[0]!CheckBox1_Click" altText="">
                <anchor>
                  <from>
                    <xdr:col>22</xdr:col>
                    <xdr:colOff>95250</xdr:colOff>
                    <xdr:row>54</xdr:row>
                    <xdr:rowOff>142875</xdr:rowOff>
                  </from>
                  <to>
                    <xdr:col>35</xdr:col>
                    <xdr:colOff>66675</xdr:colOff>
                    <xdr:row>56</xdr:row>
                    <xdr:rowOff>9525</xdr:rowOff>
                  </to>
                </anchor>
              </controlPr>
            </control>
          </mc:Choice>
        </mc:AlternateContent>
        <mc:AlternateContent xmlns:mc="http://schemas.openxmlformats.org/markup-compatibility/2006">
          <mc:Choice Requires="x14">
            <control shapeId="168977" r:id="rId20" name="Check Box 17">
              <controlPr defaultSize="0" autoFill="0" autoLine="0" autoPict="0" macro="[0]!CheckBox1_Click" altText="">
                <anchor>
                  <from>
                    <xdr:col>22</xdr:col>
                    <xdr:colOff>95250</xdr:colOff>
                    <xdr:row>57</xdr:row>
                    <xdr:rowOff>142875</xdr:rowOff>
                  </from>
                  <to>
                    <xdr:col>35</xdr:col>
                    <xdr:colOff>66675</xdr:colOff>
                    <xdr:row>59</xdr:row>
                    <xdr:rowOff>9525</xdr:rowOff>
                  </to>
                </anchor>
              </controlPr>
            </control>
          </mc:Choice>
        </mc:AlternateContent>
        <mc:AlternateContent xmlns:mc="http://schemas.openxmlformats.org/markup-compatibility/2006">
          <mc:Choice Requires="x14">
            <control shapeId="168978" r:id="rId21" name="Check Box 18">
              <controlPr defaultSize="0" autoFill="0" autoLine="0" autoPict="0" macro="[0]!CheckBox1_Click" altText="">
                <anchor>
                  <from>
                    <xdr:col>22</xdr:col>
                    <xdr:colOff>95250</xdr:colOff>
                    <xdr:row>58</xdr:row>
                    <xdr:rowOff>142875</xdr:rowOff>
                  </from>
                  <to>
                    <xdr:col>35</xdr:col>
                    <xdr:colOff>66675</xdr:colOff>
                    <xdr:row>60</xdr:row>
                    <xdr:rowOff>9525</xdr:rowOff>
                  </to>
                </anchor>
              </controlPr>
            </control>
          </mc:Choice>
        </mc:AlternateContent>
        <mc:AlternateContent xmlns:mc="http://schemas.openxmlformats.org/markup-compatibility/2006">
          <mc:Choice Requires="x14">
            <control shapeId="168979" r:id="rId22" name="Check Box 19">
              <controlPr defaultSize="0" autoFill="0" autoLine="0" autoPict="0" macro="[0]!CheckBox1_Click" altText="">
                <anchor>
                  <from>
                    <xdr:col>22</xdr:col>
                    <xdr:colOff>95250</xdr:colOff>
                    <xdr:row>59</xdr:row>
                    <xdr:rowOff>142875</xdr:rowOff>
                  </from>
                  <to>
                    <xdr:col>35</xdr:col>
                    <xdr:colOff>66675</xdr:colOff>
                    <xdr:row>61</xdr:row>
                    <xdr:rowOff>9525</xdr:rowOff>
                  </to>
                </anchor>
              </controlPr>
            </control>
          </mc:Choice>
        </mc:AlternateContent>
        <mc:AlternateContent xmlns:mc="http://schemas.openxmlformats.org/markup-compatibility/2006">
          <mc:Choice Requires="x14">
            <control shapeId="168980" r:id="rId23" name="Check Box 20">
              <controlPr defaultSize="0" autoFill="0" autoLine="0" autoPict="0" macro="[0]!CheckBox1_Click" altText="">
                <anchor>
                  <from>
                    <xdr:col>22</xdr:col>
                    <xdr:colOff>95250</xdr:colOff>
                    <xdr:row>60</xdr:row>
                    <xdr:rowOff>142875</xdr:rowOff>
                  </from>
                  <to>
                    <xdr:col>35</xdr:col>
                    <xdr:colOff>66675</xdr:colOff>
                    <xdr:row>62</xdr:row>
                    <xdr:rowOff>9525</xdr:rowOff>
                  </to>
                </anchor>
              </controlPr>
            </control>
          </mc:Choice>
        </mc:AlternateContent>
        <mc:AlternateContent xmlns:mc="http://schemas.openxmlformats.org/markup-compatibility/2006">
          <mc:Choice Requires="x14">
            <control shapeId="168981" r:id="rId24" name="Check Box 21">
              <controlPr defaultSize="0" autoFill="0" autoLine="0" autoPict="0" macro="[0]!CheckBox1_Click" altText="">
                <anchor>
                  <from>
                    <xdr:col>22</xdr:col>
                    <xdr:colOff>95250</xdr:colOff>
                    <xdr:row>61</xdr:row>
                    <xdr:rowOff>142875</xdr:rowOff>
                  </from>
                  <to>
                    <xdr:col>35</xdr:col>
                    <xdr:colOff>66675</xdr:colOff>
                    <xdr:row>63</xdr:row>
                    <xdr:rowOff>9525</xdr:rowOff>
                  </to>
                </anchor>
              </controlPr>
            </control>
          </mc:Choice>
        </mc:AlternateContent>
        <mc:AlternateContent xmlns:mc="http://schemas.openxmlformats.org/markup-compatibility/2006">
          <mc:Choice Requires="x14">
            <control shapeId="168982" r:id="rId25" name="Check Box 22">
              <controlPr defaultSize="0" autoFill="0" autoLine="0" autoPict="0" macro="[0]!CheckBox1_Click" altText="">
                <anchor>
                  <from>
                    <xdr:col>22</xdr:col>
                    <xdr:colOff>95250</xdr:colOff>
                    <xdr:row>55</xdr:row>
                    <xdr:rowOff>142875</xdr:rowOff>
                  </from>
                  <to>
                    <xdr:col>35</xdr:col>
                    <xdr:colOff>66675</xdr:colOff>
                    <xdr:row>57</xdr:row>
                    <xdr:rowOff>9525</xdr:rowOff>
                  </to>
                </anchor>
              </controlPr>
            </control>
          </mc:Choice>
        </mc:AlternateContent>
        <mc:AlternateContent xmlns:mc="http://schemas.openxmlformats.org/markup-compatibility/2006">
          <mc:Choice Requires="x14">
            <control shapeId="168983" r:id="rId26" name="Check Box 23">
              <controlPr defaultSize="0" autoFill="0" autoLine="0" autoPict="0" macro="[0]!CheckBox1_Click" altText="">
                <anchor>
                  <from>
                    <xdr:col>22</xdr:col>
                    <xdr:colOff>95250</xdr:colOff>
                    <xdr:row>56</xdr:row>
                    <xdr:rowOff>142875</xdr:rowOff>
                  </from>
                  <to>
                    <xdr:col>35</xdr:col>
                    <xdr:colOff>66675</xdr:colOff>
                    <xdr:row>58</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6E339818-BE0E-4C9B-8126-03E9EC6F1A0C}">
            <x14:dataBar minLength="0" maxLength="100" gradient="0" negativeBarColorSameAsPositive="1">
              <x14:cfvo type="autoMin"/>
              <x14:cfvo type="autoMax"/>
              <x14:axisColor rgb="FF000000"/>
            </x14:dataBar>
          </x14:cfRule>
          <xm:sqref>Q10:Q32</xm:sqref>
        </x14:conditionalFormatting>
        <x14:conditionalFormatting xmlns:xm="http://schemas.microsoft.com/office/excel/2006/main">
          <x14:cfRule type="dataBar" id="{EB6EBBD3-3B0C-4DCE-97F7-215EED3E924E}">
            <x14:dataBar minLength="0" maxLength="100" gradient="0" negativeBarColorSameAsPositive="1" axisPosition="middle">
              <x14:cfvo type="autoMin"/>
              <x14:cfvo type="autoMax"/>
              <x14:axisColor theme="0" tint="-0.499984740745262"/>
            </x14:dataBar>
          </x14:cfRule>
          <xm:sqref>J10:J32</xm:sqref>
        </x14:conditionalFormatting>
        <x14:conditionalFormatting xmlns:xm="http://schemas.microsoft.com/office/excel/2006/main">
          <x14:cfRule type="dataBar" id="{B735C984-B1A8-4FF5-9ED4-31AC7C7496E7}">
            <x14:dataBar minLength="0" maxLength="100" gradient="0" negativeBarColorSameAsPositive="1">
              <x14:cfvo type="autoMin"/>
              <x14:cfvo type="autoMax"/>
              <x14:axisColor rgb="FF000000"/>
            </x14:dataBar>
          </x14:cfRule>
          <xm:sqref>Q33</xm:sqref>
        </x14:conditionalFormatting>
        <x14:conditionalFormatting xmlns:xm="http://schemas.microsoft.com/office/excel/2006/main">
          <x14:cfRule type="dataBar" id="{6F7FB5E2-34F5-4943-9482-49AA647677F8}">
            <x14:dataBar minLength="0" maxLength="100" gradient="0" negativeBarColorSameAsPositive="1" axisPosition="middle">
              <x14:cfvo type="autoMin"/>
              <x14:cfvo type="autoMax"/>
              <x14:axisColor theme="0" tint="-0.499984740745262"/>
            </x14:dataBar>
          </x14:cfRule>
          <xm:sqref>J33</xm:sqref>
        </x14:conditionalFormatting>
      </x14:conditionalFormatting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8">
    <tabColor rgb="FFFFC000"/>
  </sheetPr>
  <dimension ref="A1:BP276"/>
  <sheetViews>
    <sheetView showRowColHeaders="0" workbookViewId="0"/>
  </sheetViews>
  <sheetFormatPr defaultColWidth="9.140625" defaultRowHeight="11.25" customHeight="1" x14ac:dyDescent="0.2"/>
  <cols>
    <col min="1" max="1" width="2.140625" style="76" customWidth="1"/>
    <col min="2" max="2" width="17.140625" style="76" customWidth="1"/>
    <col min="3" max="3" width="1.42578125" style="76" customWidth="1"/>
    <col min="4" max="10" width="7.42578125" style="76" customWidth="1"/>
    <col min="11" max="11" width="1.42578125" style="90" customWidth="1"/>
    <col min="12" max="18" width="7.42578125" style="76" customWidth="1"/>
    <col min="19" max="19" width="1.42578125" style="76" customWidth="1"/>
    <col min="20" max="20" width="8" style="76" customWidth="1"/>
    <col min="21" max="21" width="2.140625" style="76" customWidth="1"/>
    <col min="22" max="22" width="6.42578125" style="82" customWidth="1"/>
    <col min="23" max="23" width="4.85546875" style="82" customWidth="1"/>
    <col min="24" max="24" width="16.85546875" style="83" hidden="1" customWidth="1"/>
    <col min="25" max="25" width="17" style="83" hidden="1" customWidth="1"/>
    <col min="26" max="26" width="21.42578125" style="83" hidden="1" customWidth="1"/>
    <col min="27" max="28" width="16.5703125" style="83" hidden="1" customWidth="1"/>
    <col min="29" max="29" width="8.5703125" style="83" hidden="1" customWidth="1"/>
    <col min="30" max="30" width="17" style="83" hidden="1" customWidth="1"/>
    <col min="31" max="31" width="8.5703125" style="83" hidden="1" customWidth="1"/>
    <col min="32" max="32" width="14.42578125" style="83" hidden="1" customWidth="1"/>
    <col min="33" max="34" width="6.5703125" style="83" hidden="1" customWidth="1"/>
    <col min="35" max="35" width="17" style="83" hidden="1" customWidth="1"/>
    <col min="36" max="36" width="6.5703125" style="83" hidden="1" customWidth="1"/>
    <col min="37" max="39" width="6.5703125" style="76" hidden="1" customWidth="1"/>
    <col min="40" max="40" width="31.5703125" style="179" customWidth="1"/>
    <col min="41" max="41" width="17" style="76" hidden="1" customWidth="1"/>
    <col min="42" max="46" width="13.5703125" style="76" hidden="1" customWidth="1"/>
    <col min="47" max="58" width="9.140625" style="76" hidden="1" customWidth="1"/>
    <col min="59" max="69" width="9.140625" style="76" customWidth="1"/>
    <col min="70" max="16384" width="9.140625" style="76"/>
  </cols>
  <sheetData>
    <row r="1" spans="1:48" ht="18.75" customHeight="1" thickBot="1" x14ac:dyDescent="0.25">
      <c r="A1" s="114"/>
      <c r="B1" s="115"/>
      <c r="C1" s="115"/>
      <c r="D1" s="115"/>
      <c r="E1" s="115"/>
      <c r="F1" s="115"/>
      <c r="G1" s="115"/>
      <c r="H1" s="115"/>
      <c r="I1" s="115"/>
      <c r="J1" s="115"/>
      <c r="K1" s="116"/>
      <c r="L1" s="115"/>
      <c r="M1" s="115"/>
      <c r="N1" s="115"/>
      <c r="O1" s="115"/>
      <c r="P1" s="115"/>
      <c r="Q1" s="115"/>
      <c r="R1" s="115"/>
      <c r="S1" s="115"/>
      <c r="T1" s="115"/>
      <c r="U1" s="117"/>
      <c r="V1" s="268"/>
      <c r="W1" s="151"/>
      <c r="X1" s="175"/>
      <c r="Y1" s="175"/>
      <c r="Z1" s="891" t="str">
        <f>IF(Sheet1!$C$3="Annual"," the year ending 31st March"," the quarter")</f>
        <v xml:space="preserve"> the year ending 31st March</v>
      </c>
      <c r="AA1" s="175"/>
      <c r="AB1" s="175"/>
      <c r="AC1" s="175"/>
      <c r="AD1" s="175"/>
      <c r="AE1" s="175"/>
      <c r="AF1" s="175"/>
      <c r="AG1" s="175"/>
      <c r="AH1" s="175"/>
      <c r="AI1" s="175"/>
      <c r="AJ1" s="175"/>
      <c r="AK1" s="176"/>
      <c r="AL1" s="176"/>
      <c r="AM1" s="176"/>
      <c r="AN1" s="411"/>
    </row>
    <row r="2" spans="1:48" ht="18.75" customHeight="1" x14ac:dyDescent="0.2">
      <c r="A2" s="271"/>
      <c r="B2" s="130" t="s">
        <v>32</v>
      </c>
      <c r="C2" s="9"/>
      <c r="D2" s="9"/>
      <c r="E2" s="9"/>
      <c r="F2" s="9"/>
      <c r="G2" s="9"/>
      <c r="H2" s="9"/>
      <c r="I2" s="9"/>
      <c r="J2" s="9"/>
      <c r="K2" s="13"/>
      <c r="L2" s="9"/>
      <c r="M2" s="9"/>
      <c r="N2" s="9"/>
      <c r="O2" s="9"/>
      <c r="P2" s="9"/>
      <c r="Q2" s="9"/>
      <c r="R2" s="9"/>
      <c r="S2" s="9"/>
      <c r="T2" s="9"/>
      <c r="U2" s="119"/>
      <c r="V2" s="157"/>
      <c r="W2" s="147"/>
      <c r="Y2" s="800">
        <f>IF(Sheet1!$C$3="Annual",1,4)</f>
        <v>1</v>
      </c>
      <c r="Z2" s="760" t="str">
        <f>IF(Sheet1!$C$3="Annual","",Sheet1!$D$26)</f>
        <v/>
      </c>
      <c r="AA2" s="761" t="str">
        <f>IF(Sheet1!$C$3="Annual","",Sheet1!$E$26)</f>
        <v/>
      </c>
      <c r="AB2" s="761" t="str">
        <f>IF(Sheet1!$C$3="Annual","",Sheet1!$F$26)</f>
        <v/>
      </c>
      <c r="AC2" s="761" t="str">
        <f>IF(Sheet1!$C$3="Annual","",Sheet1!$G$26)</f>
        <v/>
      </c>
      <c r="AD2" s="762" t="str">
        <f>IF(Sheet1!$C$3="Annual","",Sheet1!$H$26)</f>
        <v/>
      </c>
      <c r="AK2" s="179"/>
      <c r="AL2" s="179"/>
      <c r="AM2" s="179"/>
      <c r="AN2" s="153"/>
    </row>
    <row r="3" spans="1:48" ht="18.75" customHeight="1" thickBot="1" x14ac:dyDescent="0.25">
      <c r="A3" s="437"/>
      <c r="B3" s="528"/>
      <c r="C3" s="528"/>
      <c r="D3" s="528"/>
      <c r="E3" s="528"/>
      <c r="F3" s="528"/>
      <c r="G3" s="528"/>
      <c r="H3" s="528"/>
      <c r="I3" s="528"/>
      <c r="J3" s="528"/>
      <c r="K3" s="767"/>
      <c r="L3" s="528"/>
      <c r="M3" s="528"/>
      <c r="N3" s="528"/>
      <c r="O3" s="528"/>
      <c r="P3" s="528"/>
      <c r="Q3" s="528"/>
      <c r="R3" s="528"/>
      <c r="S3" s="528"/>
      <c r="T3" s="528"/>
      <c r="U3" s="996"/>
      <c r="V3" s="157"/>
      <c r="W3" s="147"/>
      <c r="Y3" s="763"/>
      <c r="Z3" s="763" t="str">
        <f>Sheet1!$D$25</f>
        <v>2014-15</v>
      </c>
      <c r="AA3" s="764" t="str">
        <f>Sheet1!$E$25</f>
        <v>2015-16</v>
      </c>
      <c r="AB3" s="764" t="str">
        <f>Sheet1!$F$25</f>
        <v>2016-17</v>
      </c>
      <c r="AC3" s="764" t="str">
        <f>Sheet1!$G$25</f>
        <v>2017-18</v>
      </c>
      <c r="AD3" s="765" t="str">
        <f>Sheet1!$H$25</f>
        <v>2018-19</v>
      </c>
      <c r="AK3" s="179"/>
      <c r="AL3" s="179"/>
      <c r="AM3" s="179"/>
      <c r="AN3" s="153"/>
    </row>
    <row r="4" spans="1:48" ht="11.25" customHeight="1" x14ac:dyDescent="0.2">
      <c r="A4" s="114"/>
      <c r="B4" s="115"/>
      <c r="C4" s="115"/>
      <c r="D4" s="115"/>
      <c r="E4" s="115"/>
      <c r="F4" s="115"/>
      <c r="G4" s="115"/>
      <c r="H4" s="115"/>
      <c r="I4" s="115"/>
      <c r="J4" s="115"/>
      <c r="K4" s="116"/>
      <c r="L4" s="115"/>
      <c r="M4" s="115"/>
      <c r="N4" s="115"/>
      <c r="O4" s="115"/>
      <c r="P4" s="115"/>
      <c r="Q4" s="115"/>
      <c r="R4" s="115"/>
      <c r="S4" s="115"/>
      <c r="T4" s="115"/>
      <c r="U4" s="117"/>
      <c r="V4" s="138"/>
      <c r="W4" s="147"/>
      <c r="Y4" s="181" t="str">
        <f>Home!$D$10</f>
        <v>(none)</v>
      </c>
      <c r="Z4" s="43" t="str">
        <f>"Selected LA- "&amp;Y4</f>
        <v>Selected LA- (none)</v>
      </c>
      <c r="AK4" s="179"/>
      <c r="AL4" s="179"/>
      <c r="AM4" s="179"/>
      <c r="AN4" s="153"/>
    </row>
    <row r="5" spans="1:48" s="78" customFormat="1" ht="15" customHeight="1" x14ac:dyDescent="0.2">
      <c r="A5" s="438"/>
      <c r="B5" s="1547" t="s">
        <v>167</v>
      </c>
      <c r="C5" s="1547"/>
      <c r="D5" s="1547"/>
      <c r="E5" s="1547"/>
      <c r="F5" s="1547"/>
      <c r="G5" s="1547"/>
      <c r="H5" s="1547"/>
      <c r="I5" s="1547"/>
      <c r="J5" s="1547"/>
      <c r="K5" s="984"/>
      <c r="L5" s="984"/>
      <c r="M5" s="62"/>
      <c r="N5" s="62"/>
      <c r="O5" s="220"/>
      <c r="P5" s="984"/>
      <c r="Q5" s="984"/>
      <c r="R5" s="984"/>
      <c r="S5" s="984"/>
      <c r="T5" s="984"/>
      <c r="U5" s="1001"/>
      <c r="V5" s="139"/>
      <c r="W5" s="148"/>
      <c r="X5" s="83"/>
      <c r="Y5" s="183"/>
      <c r="Z5" s="183"/>
      <c r="AA5" s="183"/>
      <c r="AB5" s="183"/>
      <c r="AC5" s="183"/>
      <c r="AD5" s="183"/>
      <c r="AE5" s="183"/>
      <c r="AF5" s="183"/>
      <c r="AG5" s="183"/>
      <c r="AH5" s="183"/>
      <c r="AI5" s="183"/>
      <c r="AJ5" s="183"/>
      <c r="AK5" s="183"/>
      <c r="AL5" s="183"/>
      <c r="AM5" s="183"/>
      <c r="AN5" s="154"/>
      <c r="AO5" s="183" t="str">
        <f>CONCATENATE($J$7,"in Number of "&amp;$B2)</f>
        <v>in Number of Adoption</v>
      </c>
    </row>
    <row r="6" spans="1:48" ht="13.5" customHeight="1" x14ac:dyDescent="0.2">
      <c r="A6" s="271"/>
      <c r="B6" s="1547"/>
      <c r="C6" s="1547"/>
      <c r="D6" s="1547"/>
      <c r="E6" s="1547"/>
      <c r="F6" s="1547"/>
      <c r="G6" s="1547"/>
      <c r="H6" s="1547"/>
      <c r="I6" s="1547"/>
      <c r="J6" s="1547"/>
      <c r="K6" s="984"/>
      <c r="L6" s="984"/>
      <c r="M6" s="984"/>
      <c r="N6" s="984"/>
      <c r="O6" s="984"/>
      <c r="P6" s="984"/>
      <c r="Q6" s="984"/>
      <c r="R6" s="984"/>
      <c r="S6" s="984"/>
      <c r="T6" s="984"/>
      <c r="U6" s="1001"/>
      <c r="V6" s="138"/>
      <c r="W6" s="147"/>
      <c r="Y6" s="185"/>
      <c r="AK6" s="179"/>
      <c r="AL6" s="179"/>
      <c r="AM6" s="179"/>
      <c r="AN6" s="153"/>
    </row>
    <row r="7" spans="1:48" s="89" customFormat="1" ht="12.75" customHeight="1" x14ac:dyDescent="0.2">
      <c r="A7" s="286"/>
      <c r="B7" s="1449" t="s">
        <v>190</v>
      </c>
      <c r="C7" s="87"/>
      <c r="D7" s="1627" t="s">
        <v>88</v>
      </c>
      <c r="E7" s="1628"/>
      <c r="F7" s="1628"/>
      <c r="G7" s="1628"/>
      <c r="H7" s="1629"/>
      <c r="I7" s="1612" t="str">
        <f>"Average "&amp;Sheet1!C3&amp;" Change "</f>
        <v xml:space="preserve">Average Annual Change </v>
      </c>
      <c r="J7" s="1559"/>
      <c r="K7" s="98"/>
      <c r="L7" s="1627" t="s">
        <v>89</v>
      </c>
      <c r="M7" s="1628"/>
      <c r="N7" s="1628"/>
      <c r="O7" s="1628"/>
      <c r="P7" s="1628"/>
      <c r="Q7" s="1628"/>
      <c r="R7" s="1629"/>
      <c r="S7" s="87"/>
      <c r="T7" s="1407" t="s">
        <v>95</v>
      </c>
      <c r="U7" s="1002"/>
      <c r="V7" s="140"/>
      <c r="W7" s="149"/>
      <c r="X7" s="199"/>
      <c r="Y7" s="1614" t="s">
        <v>781</v>
      </c>
      <c r="Z7" s="1615"/>
      <c r="AA7" s="1614" t="s">
        <v>79</v>
      </c>
      <c r="AB7" s="1616"/>
      <c r="AC7" s="1616"/>
      <c r="AD7" s="1616"/>
      <c r="AE7" s="1615"/>
      <c r="AF7" s="201" t="s">
        <v>92</v>
      </c>
      <c r="AG7" s="185"/>
      <c r="AH7" s="185"/>
      <c r="AI7" s="185"/>
      <c r="AJ7" s="185"/>
      <c r="AK7" s="199"/>
      <c r="AL7" s="199"/>
      <c r="AM7" s="199"/>
      <c r="AN7" s="156"/>
      <c r="AO7" s="550"/>
      <c r="AP7" s="550"/>
      <c r="AQ7" s="550"/>
      <c r="AR7" s="550"/>
      <c r="AS7" s="550"/>
    </row>
    <row r="8" spans="1:48" s="89" customFormat="1" ht="12.75" customHeight="1" x14ac:dyDescent="0.2">
      <c r="A8" s="286"/>
      <c r="B8" s="1449"/>
      <c r="C8" s="87"/>
      <c r="D8" s="755" t="str">
        <f>Sheet1!$D$25</f>
        <v>2014-15</v>
      </c>
      <c r="E8" s="756" t="str">
        <f>Sheet1!$E$25</f>
        <v>2015-16</v>
      </c>
      <c r="F8" s="756" t="str">
        <f>Sheet1!$F$25</f>
        <v>2016-17</v>
      </c>
      <c r="G8" s="756" t="str">
        <f>Sheet1!$G$25</f>
        <v>2017-18</v>
      </c>
      <c r="H8" s="981" t="str">
        <f>Sheet1!$H$25</f>
        <v>2018-19</v>
      </c>
      <c r="I8" s="1613"/>
      <c r="J8" s="1560"/>
      <c r="K8" s="98"/>
      <c r="L8" s="755" t="str">
        <f>Sheet1!$D$25</f>
        <v>2014-15</v>
      </c>
      <c r="M8" s="756" t="str">
        <f>Sheet1!$E$25</f>
        <v>2015-16</v>
      </c>
      <c r="N8" s="756" t="str">
        <f>Sheet1!$F$25</f>
        <v>2016-17</v>
      </c>
      <c r="O8" s="756" t="str">
        <f>Sheet1!$G$25</f>
        <v>2017-18</v>
      </c>
      <c r="P8" s="1457" t="str">
        <f>Sheet1!$H$25</f>
        <v>2018-19</v>
      </c>
      <c r="Q8" s="1565"/>
      <c r="R8" s="1559" t="str">
        <f>IF(ISNA(P9),"SE Rank "&amp;P8,"SE Rank "&amp;P9)</f>
        <v>SE Rank 2018-19</v>
      </c>
      <c r="S8" s="87"/>
      <c r="T8" s="1611"/>
      <c r="U8" s="1002"/>
      <c r="V8" s="140"/>
      <c r="W8" s="149"/>
      <c r="X8" s="199"/>
      <c r="Y8" s="1630" t="s">
        <v>76</v>
      </c>
      <c r="Z8" s="1632" t="s">
        <v>77</v>
      </c>
      <c r="AA8" s="1014" t="str">
        <f>IF(Sheet1!$C$3="Annual","",Sheet1!$D$26)</f>
        <v/>
      </c>
      <c r="AB8" s="730" t="str">
        <f>IF(Sheet1!$C$3="Annual","",Sheet1!$E$26)</f>
        <v/>
      </c>
      <c r="AC8" s="730" t="str">
        <f>IF(Sheet1!$C$3="Annual","",Sheet1!$F$26)</f>
        <v/>
      </c>
      <c r="AD8" s="730" t="str">
        <f>IF(Sheet1!$C$3="Annual","",Sheet1!$G$26)</f>
        <v/>
      </c>
      <c r="AE8" s="1015" t="str">
        <f>IF(Sheet1!$C$3="Annual","",Sheet1!$H$26)</f>
        <v/>
      </c>
      <c r="AF8" s="201"/>
      <c r="AG8" s="185"/>
      <c r="AH8" s="185"/>
      <c r="AI8" s="185"/>
      <c r="AJ8" s="185"/>
      <c r="AK8" s="199"/>
      <c r="AL8" s="199"/>
      <c r="AM8" s="199"/>
      <c r="AN8" s="156"/>
      <c r="AO8" s="960"/>
      <c r="AP8" s="960"/>
      <c r="AQ8" s="960"/>
      <c r="AR8" s="960"/>
      <c r="AS8" s="960"/>
    </row>
    <row r="9" spans="1:48" s="89" customFormat="1" ht="12.75" customHeight="1" x14ac:dyDescent="0.2">
      <c r="A9" s="286"/>
      <c r="B9" s="1556"/>
      <c r="C9" s="87"/>
      <c r="D9" s="758" t="e">
        <f>Sheet1!$D$26</f>
        <v>#N/A</v>
      </c>
      <c r="E9" s="758" t="e">
        <f>Sheet1!$E$26</f>
        <v>#N/A</v>
      </c>
      <c r="F9" s="758" t="e">
        <f>Sheet1!$F$26</f>
        <v>#N/A</v>
      </c>
      <c r="G9" s="758" t="e">
        <f>Sheet1!$G$26</f>
        <v>#N/A</v>
      </c>
      <c r="H9" s="980" t="e">
        <f>Sheet1!$H$26</f>
        <v>#N/A</v>
      </c>
      <c r="I9" s="1613"/>
      <c r="J9" s="1561"/>
      <c r="K9" s="750"/>
      <c r="L9" s="758" t="e">
        <f>Sheet1!$D$26</f>
        <v>#N/A</v>
      </c>
      <c r="M9" s="758" t="e">
        <f>Sheet1!$E$26</f>
        <v>#N/A</v>
      </c>
      <c r="N9" s="758" t="e">
        <f>Sheet1!$F$26</f>
        <v>#N/A</v>
      </c>
      <c r="O9" s="758" t="e">
        <f>Sheet1!$G$26</f>
        <v>#N/A</v>
      </c>
      <c r="P9" s="1433" t="e">
        <f>Sheet1!$H$26</f>
        <v>#N/A</v>
      </c>
      <c r="Q9" s="1566"/>
      <c r="R9" s="1561"/>
      <c r="S9" s="442"/>
      <c r="T9" s="1408"/>
      <c r="U9" s="1002"/>
      <c r="V9" s="140"/>
      <c r="W9" s="149"/>
      <c r="X9" s="199"/>
      <c r="Y9" s="1631"/>
      <c r="Z9" s="1633"/>
      <c r="AA9" s="1014" t="str">
        <f>Sheet1!$D$25</f>
        <v>2014-15</v>
      </c>
      <c r="AB9" s="730" t="str">
        <f>Sheet1!$E$25</f>
        <v>2015-16</v>
      </c>
      <c r="AC9" s="730" t="str">
        <f>Sheet1!$F$25</f>
        <v>2016-17</v>
      </c>
      <c r="AD9" s="730" t="str">
        <f>Sheet1!$G$25</f>
        <v>2017-18</v>
      </c>
      <c r="AE9" s="1015" t="str">
        <f>Sheet1!$H$25</f>
        <v>2018-19</v>
      </c>
      <c r="AF9" s="185"/>
      <c r="AG9" s="730">
        <v>15</v>
      </c>
      <c r="AH9" s="185"/>
      <c r="AI9" s="185"/>
      <c r="AJ9" s="185"/>
      <c r="AK9" s="199"/>
      <c r="AL9" s="199"/>
      <c r="AM9" s="199"/>
      <c r="AN9" s="156"/>
      <c r="AO9" s="962" t="s">
        <v>686</v>
      </c>
      <c r="AP9" s="962" t="s">
        <v>687</v>
      </c>
      <c r="AQ9" s="962" t="s">
        <v>688</v>
      </c>
      <c r="AR9" s="962" t="s">
        <v>689</v>
      </c>
      <c r="AS9" s="962" t="s">
        <v>690</v>
      </c>
    </row>
    <row r="10" spans="1:48" s="89" customFormat="1" ht="13.5" customHeight="1" x14ac:dyDescent="0.2">
      <c r="A10" s="462">
        <f>VLOOKUP(B10,Sheet1!$AQ$4:$AR$25,2,FALSE)</f>
        <v>0</v>
      </c>
      <c r="B10" s="95" t="str">
        <f>Sheet1!$K$4</f>
        <v>Bracknell Forest</v>
      </c>
      <c r="C10" s="87"/>
      <c r="D10" s="102">
        <f>IF(Year1_Bracknell_Forest Year1_Adoption_PFA="","",Year1_Bracknell_Forest Year1_Adoption_PFA)</f>
        <v>5</v>
      </c>
      <c r="E10" s="102">
        <f>IF(Year2_Bracknell_Forest Year2_Adoption_PFA="","",Year2_Bracknell_Forest Year2_Adoption_PFA)</f>
        <v>5</v>
      </c>
      <c r="F10" s="102" t="str">
        <f>IF(Year3_Bracknell_Forest Year3_Adoption_PFA="","",Year3_Bracknell_Forest Year3_Adoption_PFA)</f>
        <v>x</v>
      </c>
      <c r="G10" s="102" t="str">
        <f>IF(Year4_Bracknell_Forest Year4_Adoption_PFA="","",Year4_Bracknell_Forest Year4_Adoption_PFA)</f>
        <v>x</v>
      </c>
      <c r="H10" s="563" t="str">
        <f>IF(Year5_Bracknell_Forest Year5_Adoption_PFA="","",Year5_Bracknell_Forest Year5_Adoption_PFA)</f>
        <v>x</v>
      </c>
      <c r="I10" s="1008">
        <f>AS10</f>
        <v>0</v>
      </c>
      <c r="J10" s="798">
        <f t="shared" ref="J10:J32" si="0">I10</f>
        <v>0</v>
      </c>
      <c r="K10" s="98"/>
      <c r="L10" s="986">
        <f>IF(ISNUMBER(D10),D10/Population!D10*10000,NA())</f>
        <v>1.7985611510791368</v>
      </c>
      <c r="M10" s="986">
        <f>IF(ISNUMBER(E10),E10/Population!E10*10000,NA())</f>
        <v>1.773049645390071</v>
      </c>
      <c r="N10" s="986" t="e">
        <f>IF(ISNUMBER(F10),F10/Population!F10*10000,NA())</f>
        <v>#N/A</v>
      </c>
      <c r="O10" s="986" t="e">
        <f>IF(ISNUMBER(G10),G10/Population!G10*10000,NA())</f>
        <v>#N/A</v>
      </c>
      <c r="P10" s="225" t="e">
        <f>IF(ISNUMBER(H10),H10/Population!H10*10000,NA())</f>
        <v>#N/A</v>
      </c>
      <c r="Q10" s="101" t="str">
        <f>IF(ISNUMBER(P10),P10,"")</f>
        <v/>
      </c>
      <c r="R10" s="885" t="e">
        <f t="shared" ref="R10:R33" si="1">IF(ISNA(VLOOKUP(B10,$AF$10:$AH$28,3,FALSE)),"--",IF(ISNUMBER(H10),VLOOKUP(B10,$AF$10:$AH$28,3,FALSE),NA()))</f>
        <v>#N/A</v>
      </c>
      <c r="S10" s="69"/>
      <c r="T10" s="725">
        <f>IDACI!C9</f>
        <v>8.9</v>
      </c>
      <c r="U10" s="1002"/>
      <c r="V10" s="140"/>
      <c r="W10" s="149"/>
      <c r="X10" s="1012" t="str">
        <f t="shared" ref="X10:X33" si="2">B10</f>
        <v>Bracknell Forest</v>
      </c>
      <c r="Y10" s="45">
        <f>IF(ISNUMBER(H10),IDACI!D9,0)</f>
        <v>0</v>
      </c>
      <c r="Z10" s="45">
        <f>IF(ISNUMBER(H10),IDACI!E9,0)</f>
        <v>0</v>
      </c>
      <c r="AA10" s="1016">
        <f>IF(ISNUMBER(D10),Population!D10,"")</f>
        <v>27800</v>
      </c>
      <c r="AB10" s="202">
        <f>IF(ISNUMBER(E10),Population!E10,"")</f>
        <v>28200</v>
      </c>
      <c r="AC10" s="202" t="str">
        <f>IF(ISNUMBER(F10),Population!F10,"")</f>
        <v/>
      </c>
      <c r="AD10" s="202" t="str">
        <f>IF(ISNUMBER(G10),Population!G10,"")</f>
        <v/>
      </c>
      <c r="AE10" s="1017" t="str">
        <f>IF(ISNUMBER(H10),Population!H10,"")</f>
        <v/>
      </c>
      <c r="AF10" s="1013" t="s">
        <v>0</v>
      </c>
      <c r="AG10" s="225" t="str">
        <f>IFERROR(VLOOKUP(AF10,$B$10:$P$31,AG$9,FALSE),"")</f>
        <v/>
      </c>
      <c r="AH10" s="203" t="e">
        <f>RANK(AG10,$AG$10:$AG$28,1)</f>
        <v>#VALUE!</v>
      </c>
      <c r="AI10" s="185"/>
      <c r="AJ10" s="185"/>
      <c r="AK10" s="199"/>
      <c r="AL10" s="199"/>
      <c r="AM10" s="199"/>
      <c r="AN10" s="156"/>
      <c r="AO10" s="792">
        <f t="shared" ref="AO10:AO31" si="3">IF(ISERROR((E10-D10)/D10),"x",(E10-D10)/D10)</f>
        <v>0</v>
      </c>
      <c r="AP10" s="792" t="str">
        <f t="shared" ref="AP10:AP31" si="4">IF(ISERROR((F10-E10)/E10),"x",(F10-E10)/E10)</f>
        <v>x</v>
      </c>
      <c r="AQ10" s="792" t="str">
        <f t="shared" ref="AQ10:AQ31" si="5">IF(ISERROR((G10-F10)/F10),"x",(G10-F10)/F10)</f>
        <v>x</v>
      </c>
      <c r="AR10" s="792" t="str">
        <f t="shared" ref="AR10:AR31" si="6">IF(ISERROR((H10-G10)/G10),"x",(H10-G10)/G10)</f>
        <v>x</v>
      </c>
      <c r="AS10" s="792">
        <f>AVERAGE(AO10:AR10)</f>
        <v>0</v>
      </c>
    </row>
    <row r="11" spans="1:48" s="89" customFormat="1" ht="13.5" customHeight="1" x14ac:dyDescent="0.2">
      <c r="A11" s="462">
        <f>VLOOKUP(B11,Sheet1!$AQ$4:$AR$25,2,FALSE)</f>
        <v>0</v>
      </c>
      <c r="B11" s="95" t="str">
        <f>Sheet1!$K$5</f>
        <v>Brighton &amp; Hove</v>
      </c>
      <c r="C11" s="87"/>
      <c r="D11" s="102">
        <f>IF(Year1_Brighton_Hove Year1_Adoption_PFA="","",Year1_Brighton_Hove Year1_Adoption_PFA)</f>
        <v>25</v>
      </c>
      <c r="E11" s="102">
        <f>IF(Year2_Brighton_Hove Year2_Adoption_PFA="","",Year2_Brighton_Hove Year2_Adoption_PFA)</f>
        <v>15</v>
      </c>
      <c r="F11" s="102">
        <f>IF(Year3_Brighton_Hove Year3_Adoption_PFA="","",Year3_Brighton_Hove Year3_Adoption_PFA)</f>
        <v>31</v>
      </c>
      <c r="G11" s="102">
        <f>IF(Year4_Brighton_Hove Year4_Adoption_PFA="","",Year4_Brighton_Hove Year4_Adoption_PFA)</f>
        <v>19</v>
      </c>
      <c r="H11" s="563">
        <f>IF(Year5_Brighton_Hove Year5_Adoption_PFA="","",Year5_Brighton_Hove Year5_Adoption_PFA)</f>
        <v>10</v>
      </c>
      <c r="I11" s="1009">
        <f t="shared" ref="I11:I32" si="7">AS11</f>
        <v>-4.8528579513299377E-2</v>
      </c>
      <c r="J11" s="798">
        <f t="shared" si="0"/>
        <v>-4.8528579513299377E-2</v>
      </c>
      <c r="K11" s="98"/>
      <c r="L11" s="986">
        <f>IF(ISNUMBER(D11),D11/Population!D11*10000,NA())</f>
        <v>4.9019607843137258</v>
      </c>
      <c r="M11" s="986">
        <f>IF(ISNUMBER(E11),E11/Population!E11*10000,NA())</f>
        <v>2.9296875</v>
      </c>
      <c r="N11" s="986">
        <f>IF(ISNUMBER(F11),F11/Population!F11*10000,NA())</f>
        <v>6.0428849902534116</v>
      </c>
      <c r="O11" s="986">
        <f>IF(ISNUMBER(G11),G11/Population!G11*10000,NA())</f>
        <v>3.7254901960784315</v>
      </c>
      <c r="P11" s="225">
        <f>IF(ISNUMBER(H11),H11/Population!H11*10000,NA())</f>
        <v>1.9607843137254901</v>
      </c>
      <c r="Q11" s="101">
        <f t="shared" ref="Q11:Q33" si="8">IF(ISNUMBER(P11),P11,"")</f>
        <v>1.9607843137254901</v>
      </c>
      <c r="R11" s="885">
        <f t="shared" si="1"/>
        <v>8</v>
      </c>
      <c r="S11" s="69"/>
      <c r="T11" s="725">
        <f>IDACI!C10</f>
        <v>15.299999999999999</v>
      </c>
      <c r="U11" s="1002"/>
      <c r="V11" s="140"/>
      <c r="W11" s="149"/>
      <c r="X11" s="1012" t="str">
        <f t="shared" si="2"/>
        <v>Brighton &amp; Hove</v>
      </c>
      <c r="Y11" s="45">
        <f>IF(ISNUMBER(H11),IDACI!D10,0)</f>
        <v>45576</v>
      </c>
      <c r="Z11" s="45">
        <f>IF(ISNUMBER(H11),IDACI!E10,0)</f>
        <v>6973.1279999999997</v>
      </c>
      <c r="AA11" s="1016">
        <f>IF(ISNUMBER(D11),Population!D11,"")</f>
        <v>51000</v>
      </c>
      <c r="AB11" s="202">
        <f>IF(ISNUMBER(E11),Population!E11,"")</f>
        <v>51200</v>
      </c>
      <c r="AC11" s="202">
        <f>IF(ISNUMBER(F11),Population!F11,"")</f>
        <v>51300</v>
      </c>
      <c r="AD11" s="202">
        <f>IF(ISNUMBER(G11),Population!G11,"")</f>
        <v>51000</v>
      </c>
      <c r="AE11" s="1017">
        <f>IF(ISNUMBER(H11),Population!H11,"")</f>
        <v>51000</v>
      </c>
      <c r="AF11" s="1013" t="s">
        <v>31</v>
      </c>
      <c r="AG11" s="225">
        <f t="shared" ref="AG11:AG28" si="9">IFERROR(VLOOKUP(AF11,$B$10:$P$31,AG$9,FALSE),"")</f>
        <v>1.9607843137254901</v>
      </c>
      <c r="AH11" s="203">
        <f t="shared" ref="AH11:AH28" si="10">RANK(AG11,$AG$10:$AG$28,1)</f>
        <v>8</v>
      </c>
      <c r="AI11" s="185"/>
      <c r="AJ11" s="185"/>
      <c r="AK11" s="199"/>
      <c r="AL11" s="199"/>
      <c r="AM11" s="199"/>
      <c r="AN11" s="156"/>
      <c r="AO11" s="792">
        <f t="shared" si="3"/>
        <v>-0.4</v>
      </c>
      <c r="AP11" s="792">
        <f t="shared" si="4"/>
        <v>1.0666666666666667</v>
      </c>
      <c r="AQ11" s="792">
        <f t="shared" si="5"/>
        <v>-0.38709677419354838</v>
      </c>
      <c r="AR11" s="792">
        <f t="shared" si="6"/>
        <v>-0.47368421052631576</v>
      </c>
      <c r="AS11" s="792">
        <f t="shared" ref="AS11:AS31" si="11">AVERAGE(AO11:AR11)</f>
        <v>-4.8528579513299377E-2</v>
      </c>
    </row>
    <row r="12" spans="1:48" s="89" customFormat="1" ht="13.5" customHeight="1" x14ac:dyDescent="0.2">
      <c r="A12" s="462">
        <f>VLOOKUP(B12,Sheet1!$AQ$4:$AR$25,2,FALSE)</f>
        <v>0</v>
      </c>
      <c r="B12" s="95" t="str">
        <f>Sheet1!$K$6</f>
        <v>Buckinghamshire</v>
      </c>
      <c r="C12" s="87"/>
      <c r="D12" s="102">
        <f>IF(Year1_Buckinghamshire Year1_Adoption_PFA="","",Year1_Buckinghamshire Year1_Adoption_PFA)</f>
        <v>25</v>
      </c>
      <c r="E12" s="102">
        <f>IF(Year2_Buckinghamshire Year2_Adoption_PFA="","",Year2_Buckinghamshire Year2_Adoption_PFA)</f>
        <v>25</v>
      </c>
      <c r="F12" s="102">
        <f>IF(Year3_Buckinghamshire Year3_Adoption_PFA="","",Year3_Buckinghamshire Year3_Adoption_PFA)</f>
        <v>14</v>
      </c>
      <c r="G12" s="102">
        <f>IF(Year4_Buckinghamshire Year4_Adoption_PFA="","",Year4_Buckinghamshire Year4_Adoption_PFA)</f>
        <v>9</v>
      </c>
      <c r="H12" s="563">
        <f>IF(Year5_Buckinghamshire Year5_Adoption_PFA="","",Year5_Buckinghamshire Year5_Adoption_PFA)</f>
        <v>18</v>
      </c>
      <c r="I12" s="1009">
        <f t="shared" si="7"/>
        <v>5.0714285714285712E-2</v>
      </c>
      <c r="J12" s="798">
        <f t="shared" si="0"/>
        <v>5.0714285714285712E-2</v>
      </c>
      <c r="K12" s="98"/>
      <c r="L12" s="986">
        <f>IF(ISNUMBER(D12),D12/Population!D12*10000,NA())</f>
        <v>2.1026072329688814</v>
      </c>
      <c r="M12" s="986">
        <f>IF(ISNUMBER(E12),E12/Population!E12*10000,NA())</f>
        <v>2.0729684908789388</v>
      </c>
      <c r="N12" s="986">
        <f>IF(ISNUMBER(F12),F12/Population!F12*10000,NA())</f>
        <v>1.1456628477905073</v>
      </c>
      <c r="O12" s="986">
        <f>IF(ISNUMBER(G12),G12/Population!G12*10000,NA())</f>
        <v>0.73111291632818842</v>
      </c>
      <c r="P12" s="225">
        <f>IF(ISNUMBER(H12),H12/Population!H12*10000,NA())</f>
        <v>1.4481094127111824</v>
      </c>
      <c r="Q12" s="101">
        <f t="shared" si="8"/>
        <v>1.4481094127111824</v>
      </c>
      <c r="R12" s="885">
        <f t="shared" si="1"/>
        <v>4</v>
      </c>
      <c r="S12" s="69"/>
      <c r="T12" s="725">
        <f>IDACI!C11</f>
        <v>8.5</v>
      </c>
      <c r="U12" s="1002"/>
      <c r="V12" s="140"/>
      <c r="W12" s="149"/>
      <c r="X12" s="1012" t="str">
        <f t="shared" si="2"/>
        <v>Buckinghamshire</v>
      </c>
      <c r="Y12" s="45">
        <f>IF(ISNUMBER(H12),IDACI!D11,0)</f>
        <v>107385</v>
      </c>
      <c r="Z12" s="45">
        <f>IF(ISNUMBER(H12),IDACI!E11,0)</f>
        <v>9127.7250000000004</v>
      </c>
      <c r="AA12" s="1016">
        <f>IF(ISNUMBER(D12),Population!D12,"")</f>
        <v>118900</v>
      </c>
      <c r="AB12" s="202">
        <f>IF(ISNUMBER(E12),Population!E12,"")</f>
        <v>120600</v>
      </c>
      <c r="AC12" s="202">
        <f>IF(ISNUMBER(F12),Population!F12,"")</f>
        <v>122200</v>
      </c>
      <c r="AD12" s="202">
        <f>IF(ISNUMBER(G12),Population!G12,"")</f>
        <v>123100</v>
      </c>
      <c r="AE12" s="1017">
        <f>IF(ISNUMBER(H12),Population!H12,"")</f>
        <v>124300</v>
      </c>
      <c r="AF12" s="1013" t="s">
        <v>8</v>
      </c>
      <c r="AG12" s="225">
        <f t="shared" si="9"/>
        <v>1.4481094127111824</v>
      </c>
      <c r="AH12" s="203">
        <f t="shared" si="10"/>
        <v>4</v>
      </c>
      <c r="AI12" s="185"/>
      <c r="AJ12" s="185"/>
      <c r="AK12" s="199"/>
      <c r="AL12" s="199"/>
      <c r="AM12" s="199"/>
      <c r="AN12" s="156"/>
      <c r="AO12" s="792">
        <f t="shared" si="3"/>
        <v>0</v>
      </c>
      <c r="AP12" s="792">
        <f t="shared" si="4"/>
        <v>-0.44</v>
      </c>
      <c r="AQ12" s="792">
        <f t="shared" si="5"/>
        <v>-0.35714285714285715</v>
      </c>
      <c r="AR12" s="792">
        <f t="shared" si="6"/>
        <v>1</v>
      </c>
      <c r="AS12" s="792">
        <f t="shared" si="11"/>
        <v>5.0714285714285712E-2</v>
      </c>
    </row>
    <row r="13" spans="1:48" s="89" customFormat="1" ht="13.5" customHeight="1" x14ac:dyDescent="0.2">
      <c r="A13" s="462">
        <f>VLOOKUP(B13,Sheet1!$AQ$4:$AR$25,2,FALSE)</f>
        <v>0</v>
      </c>
      <c r="B13" s="95" t="str">
        <f>Sheet1!$K$7</f>
        <v>East Sussex</v>
      </c>
      <c r="C13" s="87"/>
      <c r="D13" s="102">
        <f>IF(Year1_East_Sussex Year1_Adoption_PFA="","",Year1_East_Sussex Year1_Adoption_PFA)</f>
        <v>40</v>
      </c>
      <c r="E13" s="102">
        <f>IF(Year2_East_Sussex Year2_Adoption_PFA="","",Year2_East_Sussex Year2_Adoption_PFA)</f>
        <v>30</v>
      </c>
      <c r="F13" s="102">
        <f>IF(Year3_East_Sussex Year3_Adoption_PFA="","",Year3_East_Sussex Year3_Adoption_PFA)</f>
        <v>30</v>
      </c>
      <c r="G13" s="102">
        <f>IF(Year4_East_Sussex Year4_Adoption_PFA="","",Year4_East_Sussex Year4_Adoption_PFA)</f>
        <v>26</v>
      </c>
      <c r="H13" s="563" t="str">
        <f>IF(Year5_East_Sussex Year5_Adoption_PFA="","",Year5_East_Sussex Year5_Adoption_PFA)</f>
        <v>x</v>
      </c>
      <c r="I13" s="1009">
        <f t="shared" si="7"/>
        <v>-0.12777777777777777</v>
      </c>
      <c r="J13" s="798">
        <f t="shared" si="0"/>
        <v>-0.12777777777777777</v>
      </c>
      <c r="K13" s="98"/>
      <c r="L13" s="986">
        <f>IF(ISNUMBER(D13),D13/Population!D13*10000,NA())</f>
        <v>3.795066413662239</v>
      </c>
      <c r="M13" s="986">
        <f>IF(ISNUMBER(E13),E13/Population!E13*10000,NA())</f>
        <v>2.8328611898016995</v>
      </c>
      <c r="N13" s="986">
        <f>IF(ISNUMBER(F13),F13/Population!F13*10000,NA())</f>
        <v>2.8328611898016995</v>
      </c>
      <c r="O13" s="986">
        <f>IF(ISNUMBER(G13),G13/Population!G13*10000,NA())</f>
        <v>2.4528301886792452</v>
      </c>
      <c r="P13" s="225" t="e">
        <f>IF(ISNUMBER(H13),H13/Population!H13*10000,NA())</f>
        <v>#N/A</v>
      </c>
      <c r="Q13" s="101" t="str">
        <f t="shared" si="8"/>
        <v/>
      </c>
      <c r="R13" s="885" t="e">
        <f t="shared" si="1"/>
        <v>#N/A</v>
      </c>
      <c r="S13" s="69"/>
      <c r="T13" s="725">
        <f>IDACI!C12</f>
        <v>16.100000000000001</v>
      </c>
      <c r="U13" s="1002"/>
      <c r="V13" s="140"/>
      <c r="W13" s="149"/>
      <c r="X13" s="1012" t="str">
        <f t="shared" si="2"/>
        <v>East Sussex</v>
      </c>
      <c r="Y13" s="45">
        <f>IF(ISNUMBER(H13),IDACI!D12,0)</f>
        <v>0</v>
      </c>
      <c r="Z13" s="45">
        <f>IF(ISNUMBER(H13),IDACI!E12,0)</f>
        <v>0</v>
      </c>
      <c r="AA13" s="1016">
        <f>IF(ISNUMBER(D13),Population!D13,"")</f>
        <v>105400</v>
      </c>
      <c r="AB13" s="202">
        <f>IF(ISNUMBER(E13),Population!E13,"")</f>
        <v>105900</v>
      </c>
      <c r="AC13" s="202">
        <f>IF(ISNUMBER(F13),Population!F13,"")</f>
        <v>105900</v>
      </c>
      <c r="AD13" s="202">
        <f>IF(ISNUMBER(G13),Population!G13,"")</f>
        <v>106000</v>
      </c>
      <c r="AE13" s="1017" t="str">
        <f>IF(ISNUMBER(H13),Population!H13,"")</f>
        <v/>
      </c>
      <c r="AF13" s="1013" t="s">
        <v>4</v>
      </c>
      <c r="AG13" s="225" t="str">
        <f t="shared" si="9"/>
        <v/>
      </c>
      <c r="AH13" s="203" t="e">
        <f t="shared" si="10"/>
        <v>#VALUE!</v>
      </c>
      <c r="AI13" s="185"/>
      <c r="AJ13" s="185"/>
      <c r="AK13" s="199"/>
      <c r="AL13" s="199"/>
      <c r="AM13" s="199"/>
      <c r="AN13" s="156"/>
      <c r="AO13" s="792">
        <f t="shared" si="3"/>
        <v>-0.25</v>
      </c>
      <c r="AP13" s="792">
        <f t="shared" si="4"/>
        <v>0</v>
      </c>
      <c r="AQ13" s="792">
        <f t="shared" si="5"/>
        <v>-0.13333333333333333</v>
      </c>
      <c r="AR13" s="792" t="str">
        <f t="shared" si="6"/>
        <v>x</v>
      </c>
      <c r="AS13" s="792">
        <f t="shared" si="11"/>
        <v>-0.12777777777777777</v>
      </c>
    </row>
    <row r="14" spans="1:48" s="89" customFormat="1" ht="13.5" customHeight="1" x14ac:dyDescent="0.2">
      <c r="A14" s="462">
        <f>VLOOKUP(B14,Sheet1!$AQ$4:$AR$25,2,FALSE)</f>
        <v>0</v>
      </c>
      <c r="B14" s="95" t="str">
        <f>Sheet1!$K$8</f>
        <v>Hampshire</v>
      </c>
      <c r="C14" s="87"/>
      <c r="D14" s="102">
        <f>IF(Year1_Hampshire Year1_Adoption_PFA="","",Year1_Hampshire Year1_Adoption_PFA)</f>
        <v>70</v>
      </c>
      <c r="E14" s="102">
        <f>IF(Year2_Hampshire Year2_Adoption_PFA="","",Year2_Hampshire Year2_Adoption_PFA)</f>
        <v>60</v>
      </c>
      <c r="F14" s="572">
        <f>IF(Year3_Hampshire Year3_Adoption_PFA="","",Year3_Hampshire Year3_Adoption_PFA)</f>
        <v>41</v>
      </c>
      <c r="G14" s="572">
        <f>IF(Year4_Hampshire Year4_Adoption_PFA="","",Year4_Hampshire Year4_Adoption_PFA)</f>
        <v>55</v>
      </c>
      <c r="H14" s="563">
        <f>IF(Year5_Hampshire Year5_Adoption_PFA="","",Year5_Hampshire Year5_Adoption_PFA)</f>
        <v>48</v>
      </c>
      <c r="I14" s="1009">
        <f t="shared" si="7"/>
        <v>-6.1333280540597598E-2</v>
      </c>
      <c r="J14" s="798">
        <f t="shared" si="0"/>
        <v>-6.1333280540597598E-2</v>
      </c>
      <c r="K14" s="98"/>
      <c r="L14" s="986">
        <f>IF(ISNUMBER(D14),D14/Population!D14*10000,NA())</f>
        <v>2.4866785079928952</v>
      </c>
      <c r="M14" s="986">
        <f>IF(ISNUMBER(E14),E14/Population!E14*10000,NA())</f>
        <v>2.1284143313231643</v>
      </c>
      <c r="N14" s="986">
        <f>IF(ISNUMBER(F14),F14/Population!F14*10000,NA())</f>
        <v>1.4497878359264498</v>
      </c>
      <c r="O14" s="986">
        <f>IF(ISNUMBER(G14),G14/Population!G14*10000,NA())</f>
        <v>1.9414048711613132</v>
      </c>
      <c r="P14" s="225">
        <f>IF(ISNUMBER(H14),H14/Population!H14*10000,NA())</f>
        <v>1.6901408450704225</v>
      </c>
      <c r="Q14" s="101">
        <f t="shared" si="8"/>
        <v>1.6901408450704225</v>
      </c>
      <c r="R14" s="885">
        <f t="shared" si="1"/>
        <v>6</v>
      </c>
      <c r="S14" s="69"/>
      <c r="T14" s="725">
        <f>IDACI!C13</f>
        <v>10.100000000000001</v>
      </c>
      <c r="U14" s="1002"/>
      <c r="V14" s="140"/>
      <c r="W14" s="149"/>
      <c r="X14" s="1012" t="str">
        <f t="shared" si="2"/>
        <v>Hampshire</v>
      </c>
      <c r="Y14" s="45">
        <f>IF(ISNUMBER(H14),IDACI!D13,0)</f>
        <v>249483</v>
      </c>
      <c r="Z14" s="45">
        <f>IF(ISNUMBER(H14),IDACI!E13,0)</f>
        <v>25197.783000000007</v>
      </c>
      <c r="AA14" s="1016">
        <f>IF(ISNUMBER(D14),Population!D14,"")</f>
        <v>281500</v>
      </c>
      <c r="AB14" s="202">
        <f>IF(ISNUMBER(E14),Population!E14,"")</f>
        <v>281900</v>
      </c>
      <c r="AC14" s="202">
        <f>IF(ISNUMBER(F14),Population!F14,"")</f>
        <v>282800</v>
      </c>
      <c r="AD14" s="202">
        <f>IF(ISNUMBER(G14),Population!G14,"")</f>
        <v>283300</v>
      </c>
      <c r="AE14" s="1017">
        <f>IF(ISNUMBER(H14),Population!H14,"")</f>
        <v>284000</v>
      </c>
      <c r="AF14" s="1013" t="s">
        <v>6</v>
      </c>
      <c r="AG14" s="225">
        <f t="shared" si="9"/>
        <v>1.6901408450704225</v>
      </c>
      <c r="AH14" s="203">
        <f t="shared" si="10"/>
        <v>6</v>
      </c>
      <c r="AI14" s="185"/>
      <c r="AJ14" s="185"/>
      <c r="AK14" s="199"/>
      <c r="AL14" s="199"/>
      <c r="AM14" s="199"/>
      <c r="AN14" s="156"/>
      <c r="AO14" s="792">
        <f t="shared" si="3"/>
        <v>-0.14285714285714285</v>
      </c>
      <c r="AP14" s="792">
        <f t="shared" si="4"/>
        <v>-0.31666666666666665</v>
      </c>
      <c r="AQ14" s="792">
        <f t="shared" si="5"/>
        <v>0.34146341463414637</v>
      </c>
      <c r="AR14" s="792">
        <f t="shared" si="6"/>
        <v>-0.12727272727272726</v>
      </c>
      <c r="AS14" s="792">
        <f t="shared" si="11"/>
        <v>-6.1333280540597598E-2</v>
      </c>
    </row>
    <row r="15" spans="1:48" s="89" customFormat="1" ht="13.5" customHeight="1" x14ac:dyDescent="0.2">
      <c r="A15" s="462">
        <f>VLOOKUP(B15,Sheet1!$AQ$4:$AR$25,2,FALSE)</f>
        <v>0</v>
      </c>
      <c r="B15" s="95" t="str">
        <f>Sheet1!$K$9</f>
        <v>Isle of Wight</v>
      </c>
      <c r="C15" s="87"/>
      <c r="D15" s="102">
        <f>IF(Year1_Isle_of_Wight Year1_Adoption_PFA="","",Year1_Isle_of_Wight Year1_Adoption_PFA)</f>
        <v>10</v>
      </c>
      <c r="E15" s="102" t="str">
        <f>IF(Year2_Isle_of_Wight Year2_Adoption_PFA="","",Year2_Isle_of_Wight Year2_Adoption_PFA)</f>
        <v>x</v>
      </c>
      <c r="F15" s="102">
        <f>IF(Year3_Isle_of_Wight Year3_Adoption_PFA="","",Year3_Isle_of_Wight Year3_Adoption_PFA)</f>
        <v>10</v>
      </c>
      <c r="G15" s="102" t="str">
        <f>IF(Year4_Isle_of_Wight Year4_Adoption_PFA="","",Year4_Isle_of_Wight Year4_Adoption_PFA)</f>
        <v>x</v>
      </c>
      <c r="H15" s="563" t="str">
        <f>IF(Year5_Isle_of_Wight Year5_Adoption_PFA="","",Year5_Isle_of_Wight Year5_Adoption_PFA)</f>
        <v>x</v>
      </c>
      <c r="I15" s="1009" t="e">
        <f t="shared" si="7"/>
        <v>#DIV/0!</v>
      </c>
      <c r="J15" s="798" t="e">
        <f t="shared" si="0"/>
        <v>#DIV/0!</v>
      </c>
      <c r="K15" s="98"/>
      <c r="L15" s="986">
        <f>IF(ISNUMBER(D15),D15/Population!D15*10000,NA())</f>
        <v>3.9215686274509802</v>
      </c>
      <c r="M15" s="986" t="e">
        <f>IF(ISNUMBER(E15),E15/Population!E15*10000,NA())</f>
        <v>#N/A</v>
      </c>
      <c r="N15" s="986">
        <f>IF(ISNUMBER(F15),F15/Population!F15*10000,NA())</f>
        <v>3.9682539682539684</v>
      </c>
      <c r="O15" s="986" t="e">
        <f>IF(ISNUMBER(G15),G15/Population!G15*10000,NA())</f>
        <v>#N/A</v>
      </c>
      <c r="P15" s="225" t="e">
        <f>IF(ISNUMBER(H15),H15/Population!H15*10000,NA())</f>
        <v>#N/A</v>
      </c>
      <c r="Q15" s="101" t="str">
        <f t="shared" si="8"/>
        <v/>
      </c>
      <c r="R15" s="885" t="e">
        <f t="shared" si="1"/>
        <v>#N/A</v>
      </c>
      <c r="S15" s="69"/>
      <c r="T15" s="725">
        <f>IDACI!C14</f>
        <v>18</v>
      </c>
      <c r="U15" s="1002"/>
      <c r="V15" s="140"/>
      <c r="W15" s="149"/>
      <c r="X15" s="1012" t="str">
        <f t="shared" si="2"/>
        <v>Isle of Wight</v>
      </c>
      <c r="Y15" s="45">
        <f>IF(ISNUMBER(H15),IDACI!D14,0)</f>
        <v>0</v>
      </c>
      <c r="Z15" s="45">
        <f>IF(ISNUMBER(H15),IDACI!E14,0)</f>
        <v>0</v>
      </c>
      <c r="AA15" s="1016">
        <f>IF(ISNUMBER(D15),Population!D15,"")</f>
        <v>25500</v>
      </c>
      <c r="AB15" s="202" t="str">
        <f>IF(ISNUMBER(E15),Population!E15,"")</f>
        <v/>
      </c>
      <c r="AC15" s="202">
        <f>IF(ISNUMBER(F15),Population!F15,"")</f>
        <v>25200</v>
      </c>
      <c r="AD15" s="202" t="str">
        <f>IF(ISNUMBER(G15),Population!G15,"")</f>
        <v/>
      </c>
      <c r="AE15" s="1017" t="str">
        <f>IF(ISNUMBER(H15),Population!H15,"")</f>
        <v/>
      </c>
      <c r="AF15" s="1013" t="s">
        <v>1</v>
      </c>
      <c r="AG15" s="225" t="str">
        <f t="shared" si="9"/>
        <v/>
      </c>
      <c r="AH15" s="203" t="e">
        <f t="shared" si="10"/>
        <v>#VALUE!</v>
      </c>
      <c r="AI15" s="185"/>
      <c r="AJ15" s="185"/>
      <c r="AK15" s="199"/>
      <c r="AL15" s="199"/>
      <c r="AM15" s="199"/>
      <c r="AN15" s="156"/>
      <c r="AO15" s="792" t="str">
        <f t="shared" si="3"/>
        <v>x</v>
      </c>
      <c r="AP15" s="792" t="str">
        <f t="shared" si="4"/>
        <v>x</v>
      </c>
      <c r="AQ15" s="792" t="str">
        <f t="shared" si="5"/>
        <v>x</v>
      </c>
      <c r="AR15" s="792" t="str">
        <f t="shared" si="6"/>
        <v>x</v>
      </c>
      <c r="AS15" s="792" t="e">
        <f t="shared" si="11"/>
        <v>#DIV/0!</v>
      </c>
      <c r="AV15" s="89" t="s">
        <v>103</v>
      </c>
    </row>
    <row r="16" spans="1:48" s="89" customFormat="1" ht="13.5" customHeight="1" x14ac:dyDescent="0.2">
      <c r="A16" s="462">
        <f>VLOOKUP(B16,Sheet1!$AQ$4:$AR$25,2,FALSE)</f>
        <v>0</v>
      </c>
      <c r="B16" s="95" t="str">
        <f>Sheet1!$K$10</f>
        <v>Kent</v>
      </c>
      <c r="C16" s="87"/>
      <c r="D16" s="102">
        <f>IF(Year1_Kent Year1_Adoption_PFA="","",Year1_Kent Year1_Adoption_PFA)</f>
        <v>70</v>
      </c>
      <c r="E16" s="102">
        <f>IF(Year2_Kent Year2_Adoption_PFA="","",Year2_Kent Year2_Adoption_PFA)</f>
        <v>50</v>
      </c>
      <c r="F16" s="102">
        <f>IF(Year3_Kent Year3_Adoption_PFA="","",Year3_Kent Year3_Adoption_PFA)</f>
        <v>55</v>
      </c>
      <c r="G16" s="102">
        <f>IF(Year4_Kent Year4_Adoption_PFA="","",Year4_Kent Year4_Adoption_PFA)</f>
        <v>56</v>
      </c>
      <c r="H16" s="563">
        <f>IF(Year5_Kent Year5_Adoption_PFA="","",Year5_Kent Year5_Adoption_PFA)</f>
        <v>38</v>
      </c>
      <c r="I16" s="1009">
        <f t="shared" si="7"/>
        <v>-0.12224025974025973</v>
      </c>
      <c r="J16" s="798">
        <f t="shared" si="0"/>
        <v>-0.12224025974025973</v>
      </c>
      <c r="K16" s="98"/>
      <c r="L16" s="986">
        <f>IF(ISNUMBER(D16),D16/Population!D16*10000,NA())</f>
        <v>2.1321961620469083</v>
      </c>
      <c r="M16" s="986">
        <f>IF(ISNUMBER(E16),E16/Population!E16*10000,NA())</f>
        <v>1.513317191283293</v>
      </c>
      <c r="N16" s="986">
        <f>IF(ISNUMBER(F16),F16/Population!F16*10000,NA())</f>
        <v>1.6516516516516517</v>
      </c>
      <c r="O16" s="986">
        <f>IF(ISNUMBER(G16),G16/Population!G16*10000,NA())</f>
        <v>1.6661707825052068</v>
      </c>
      <c r="P16" s="225">
        <f>IF(ISNUMBER(H16),H16/Population!H16*10000,NA())</f>
        <v>1.1173184357541899</v>
      </c>
      <c r="Q16" s="101">
        <f t="shared" si="8"/>
        <v>1.1173184357541899</v>
      </c>
      <c r="R16" s="885">
        <f t="shared" si="1"/>
        <v>3</v>
      </c>
      <c r="S16" s="69"/>
      <c r="T16" s="725">
        <f>IDACI!C15</f>
        <v>15.8</v>
      </c>
      <c r="U16" s="1002"/>
      <c r="V16" s="140"/>
      <c r="W16" s="149"/>
      <c r="X16" s="1012" t="str">
        <f t="shared" si="2"/>
        <v>Kent</v>
      </c>
      <c r="Y16" s="45">
        <f>IF(ISNUMBER(H16),IDACI!D15,0)</f>
        <v>291866</v>
      </c>
      <c r="Z16" s="45">
        <f>IF(ISNUMBER(H16),IDACI!E15,0)</f>
        <v>46114.828000000001</v>
      </c>
      <c r="AA16" s="1016">
        <f>IF(ISNUMBER(D16),Population!D16,"")</f>
        <v>328300</v>
      </c>
      <c r="AB16" s="202">
        <f>IF(ISNUMBER(E16),Population!E16,"")</f>
        <v>330400</v>
      </c>
      <c r="AC16" s="202">
        <f>IF(ISNUMBER(F16),Population!F16,"")</f>
        <v>333000</v>
      </c>
      <c r="AD16" s="202">
        <f>IF(ISNUMBER(G16),Population!G16,"")</f>
        <v>336100</v>
      </c>
      <c r="AE16" s="1017">
        <f>IF(ISNUMBER(H16),Population!H16,"")</f>
        <v>340100</v>
      </c>
      <c r="AF16" s="1013" t="s">
        <v>9</v>
      </c>
      <c r="AG16" s="225">
        <f t="shared" si="9"/>
        <v>1.1173184357541899</v>
      </c>
      <c r="AH16" s="203">
        <f t="shared" si="10"/>
        <v>3</v>
      </c>
      <c r="AI16" s="185"/>
      <c r="AJ16" s="185"/>
      <c r="AK16" s="199"/>
      <c r="AL16" s="199"/>
      <c r="AM16" s="199"/>
      <c r="AN16" s="156"/>
      <c r="AO16" s="792">
        <f t="shared" si="3"/>
        <v>-0.2857142857142857</v>
      </c>
      <c r="AP16" s="792">
        <f t="shared" si="4"/>
        <v>0.1</v>
      </c>
      <c r="AQ16" s="792">
        <f t="shared" si="5"/>
        <v>1.8181818181818181E-2</v>
      </c>
      <c r="AR16" s="792">
        <f t="shared" si="6"/>
        <v>-0.32142857142857145</v>
      </c>
      <c r="AS16" s="792">
        <f t="shared" si="11"/>
        <v>-0.12224025974025973</v>
      </c>
    </row>
    <row r="17" spans="1:45" s="89" customFormat="1" ht="13.5" customHeight="1" x14ac:dyDescent="0.2">
      <c r="A17" s="462">
        <f>VLOOKUP(B17,Sheet1!$AQ$4:$AR$25,2,FALSE)</f>
        <v>0</v>
      </c>
      <c r="B17" s="95" t="str">
        <f>Sheet1!$K$11</f>
        <v>Medway</v>
      </c>
      <c r="C17" s="87"/>
      <c r="D17" s="102">
        <f>IF(Year1_Medway Year1_Adoption_PFA="","",Year1_Medway Year1_Adoption_PFA)</f>
        <v>20</v>
      </c>
      <c r="E17" s="102">
        <f>IF(Year2_Medway Year2_Adoption_PFA="","",Year2_Medway Year2_Adoption_PFA)</f>
        <v>25</v>
      </c>
      <c r="F17" s="102">
        <f>IF(Year3_Medway Year3_Adoption_PFA="","",Year3_Medway Year3_Adoption_PFA)</f>
        <v>36</v>
      </c>
      <c r="G17" s="102">
        <f>IF(Year4_Medway Year4_Adoption_PFA="","",Year4_Medway Year4_Adoption_PFA)</f>
        <v>23</v>
      </c>
      <c r="H17" s="563">
        <f>IF(Year5_Medway Year5_Adoption_PFA="","",Year5_Medway Year5_Adoption_PFA)</f>
        <v>10</v>
      </c>
      <c r="I17" s="1009">
        <f t="shared" si="7"/>
        <v>-5.9082125603864735E-2</v>
      </c>
      <c r="J17" s="798">
        <f t="shared" si="0"/>
        <v>-5.9082125603864735E-2</v>
      </c>
      <c r="K17" s="98"/>
      <c r="L17" s="986">
        <f>IF(ISNUMBER(D17),D17/Population!D17*10000,NA())</f>
        <v>3.2</v>
      </c>
      <c r="M17" s="986">
        <f>IF(ISNUMBER(E17),E17/Population!E17*10000,NA())</f>
        <v>3.9556962025316453</v>
      </c>
      <c r="N17" s="986">
        <f>IF(ISNUMBER(F17),F17/Population!F17*10000,NA())</f>
        <v>5.6514913657770807</v>
      </c>
      <c r="O17" s="986">
        <f>IF(ISNUMBER(G17),G17/Population!G17*10000,NA())</f>
        <v>3.5993740219092332</v>
      </c>
      <c r="P17" s="225">
        <f>IF(ISNUMBER(H17),H17/Population!H17*10000,NA())</f>
        <v>1.5527950310559007</v>
      </c>
      <c r="Q17" s="101">
        <f t="shared" si="8"/>
        <v>1.5527950310559007</v>
      </c>
      <c r="R17" s="885">
        <f t="shared" si="1"/>
        <v>5</v>
      </c>
      <c r="S17" s="69"/>
      <c r="T17" s="725">
        <f>IDACI!C16</f>
        <v>18.899999999999999</v>
      </c>
      <c r="U17" s="1002"/>
      <c r="V17" s="140"/>
      <c r="W17" s="149"/>
      <c r="X17" s="1012" t="str">
        <f t="shared" si="2"/>
        <v>Medway</v>
      </c>
      <c r="Y17" s="45">
        <f>IF(ISNUMBER(H17),IDACI!D16,0)</f>
        <v>55993</v>
      </c>
      <c r="Z17" s="45">
        <f>IF(ISNUMBER(H17),IDACI!E16,0)</f>
        <v>10582.676999999998</v>
      </c>
      <c r="AA17" s="1016">
        <f>IF(ISNUMBER(D17),Population!D17,"")</f>
        <v>62500</v>
      </c>
      <c r="AB17" s="202">
        <f>IF(ISNUMBER(E17),Population!E17,"")</f>
        <v>63200</v>
      </c>
      <c r="AC17" s="202">
        <f>IF(ISNUMBER(F17),Population!F17,"")</f>
        <v>63700</v>
      </c>
      <c r="AD17" s="202">
        <f>IF(ISNUMBER(G17),Population!G17,"")</f>
        <v>63900</v>
      </c>
      <c r="AE17" s="1017">
        <f>IF(ISNUMBER(H17),Population!H17,"")</f>
        <v>64400</v>
      </c>
      <c r="AF17" s="1013" t="s">
        <v>2</v>
      </c>
      <c r="AG17" s="225">
        <f t="shared" si="9"/>
        <v>1.5527950310559007</v>
      </c>
      <c r="AH17" s="203">
        <f t="shared" si="10"/>
        <v>5</v>
      </c>
      <c r="AI17" s="185"/>
      <c r="AJ17" s="185"/>
      <c r="AK17" s="199"/>
      <c r="AL17" s="199"/>
      <c r="AM17" s="199"/>
      <c r="AN17" s="156"/>
      <c r="AO17" s="792">
        <f t="shared" si="3"/>
        <v>0.25</v>
      </c>
      <c r="AP17" s="792">
        <f t="shared" si="4"/>
        <v>0.44</v>
      </c>
      <c r="AQ17" s="792">
        <f t="shared" si="5"/>
        <v>-0.3611111111111111</v>
      </c>
      <c r="AR17" s="792">
        <f t="shared" si="6"/>
        <v>-0.56521739130434778</v>
      </c>
      <c r="AS17" s="792">
        <f t="shared" si="11"/>
        <v>-5.9082125603864735E-2</v>
      </c>
    </row>
    <row r="18" spans="1:45" s="89" customFormat="1" ht="13.5" customHeight="1" x14ac:dyDescent="0.2">
      <c r="A18" s="462">
        <f>VLOOKUP(B18,Sheet1!$AQ$4:$AR$25,2,FALSE)</f>
        <v>0</v>
      </c>
      <c r="B18" s="95" t="str">
        <f>Sheet1!$K$12</f>
        <v>Milton Keynes</v>
      </c>
      <c r="C18" s="87"/>
      <c r="D18" s="102">
        <f>IF(Year1_Milton_Keynes Year1_Adoption_PFA="","",Year1_Milton_Keynes Year1_Adoption_PFA)</f>
        <v>10</v>
      </c>
      <c r="E18" s="102" t="str">
        <f>IF(Year2_Milton_Keynes Year2_Adoption_PFA="","",Year2_Milton_Keynes Year2_Adoption_PFA)</f>
        <v>x</v>
      </c>
      <c r="F18" s="102">
        <f>IF(Year3_Milton_Keynes Year3_Adoption_PFA="","",Year3_Milton_Keynes Year3_Adoption_PFA)</f>
        <v>6</v>
      </c>
      <c r="G18" s="102" t="str">
        <f>IF(Year4_Milton_Keynes Year4_Adoption_PFA="","",Year4_Milton_Keynes Year4_Adoption_PFA)</f>
        <v>x</v>
      </c>
      <c r="H18" s="563">
        <f>IF(Year5_Milton_Keynes Year5_Adoption_PFA="","",Year5_Milton_Keynes Year5_Adoption_PFA)</f>
        <v>6</v>
      </c>
      <c r="I18" s="1009" t="e">
        <f t="shared" si="7"/>
        <v>#DIV/0!</v>
      </c>
      <c r="J18" s="798" t="e">
        <f t="shared" si="0"/>
        <v>#DIV/0!</v>
      </c>
      <c r="K18" s="98"/>
      <c r="L18" s="986">
        <f>IF(ISNUMBER(D18),D18/Population!D18*10000,NA())</f>
        <v>1.5337423312883436</v>
      </c>
      <c r="M18" s="986" t="e">
        <f>IF(ISNUMBER(E18),E18/Population!E18*10000,NA())</f>
        <v>#N/A</v>
      </c>
      <c r="N18" s="986">
        <f>IF(ISNUMBER(F18),F18/Population!F18*10000,NA())</f>
        <v>0.89418777943368111</v>
      </c>
      <c r="O18" s="986" t="e">
        <f>IF(ISNUMBER(G18),G18/Population!G18*10000,NA())</f>
        <v>#N/A</v>
      </c>
      <c r="P18" s="225">
        <f>IF(ISNUMBER(H18),H18/Population!H18*10000,NA())</f>
        <v>0.87847730600292828</v>
      </c>
      <c r="Q18" s="101">
        <f t="shared" si="8"/>
        <v>0.87847730600292828</v>
      </c>
      <c r="R18" s="885">
        <f t="shared" si="1"/>
        <v>2</v>
      </c>
      <c r="S18" s="69"/>
      <c r="T18" s="725">
        <f>IDACI!C17</f>
        <v>15</v>
      </c>
      <c r="U18" s="1002"/>
      <c r="V18" s="140"/>
      <c r="W18" s="149"/>
      <c r="X18" s="1012" t="str">
        <f t="shared" si="2"/>
        <v>Milton Keynes</v>
      </c>
      <c r="Y18" s="45">
        <f>IF(ISNUMBER(H18),IDACI!D17,0)</f>
        <v>59903</v>
      </c>
      <c r="Z18" s="45">
        <f>IF(ISNUMBER(H18),IDACI!E17,0)</f>
        <v>8985.4499999999989</v>
      </c>
      <c r="AA18" s="1016">
        <f>IF(ISNUMBER(D18),Population!D18,"")</f>
        <v>65200</v>
      </c>
      <c r="AB18" s="202" t="str">
        <f>IF(ISNUMBER(E18),Population!E18,"")</f>
        <v/>
      </c>
      <c r="AC18" s="202">
        <f>IF(ISNUMBER(F18),Population!F18,"")</f>
        <v>67100</v>
      </c>
      <c r="AD18" s="202" t="str">
        <f>IF(ISNUMBER(G18),Population!G18,"")</f>
        <v/>
      </c>
      <c r="AE18" s="1017">
        <f>IF(ISNUMBER(H18),Population!H18,"")</f>
        <v>68300</v>
      </c>
      <c r="AF18" s="1013" t="s">
        <v>10</v>
      </c>
      <c r="AG18" s="225">
        <f t="shared" si="9"/>
        <v>0.87847730600292828</v>
      </c>
      <c r="AH18" s="203">
        <f t="shared" si="10"/>
        <v>2</v>
      </c>
      <c r="AI18" s="185"/>
      <c r="AJ18" s="185"/>
      <c r="AK18" s="199"/>
      <c r="AL18" s="199"/>
      <c r="AM18" s="199"/>
      <c r="AN18" s="156"/>
      <c r="AO18" s="792" t="str">
        <f t="shared" si="3"/>
        <v>x</v>
      </c>
      <c r="AP18" s="792" t="str">
        <f t="shared" si="4"/>
        <v>x</v>
      </c>
      <c r="AQ18" s="792" t="str">
        <f t="shared" si="5"/>
        <v>x</v>
      </c>
      <c r="AR18" s="792" t="str">
        <f t="shared" si="6"/>
        <v>x</v>
      </c>
      <c r="AS18" s="792" t="e">
        <f t="shared" si="11"/>
        <v>#DIV/0!</v>
      </c>
    </row>
    <row r="19" spans="1:45" s="89" customFormat="1" ht="13.5" customHeight="1" x14ac:dyDescent="0.2">
      <c r="A19" s="462">
        <f>VLOOKUP(B19,Sheet1!$AQ$4:$AR$25,2,FALSE)</f>
        <v>0</v>
      </c>
      <c r="B19" s="95" t="str">
        <f>Sheet1!$K$13</f>
        <v>Oxfordshire</v>
      </c>
      <c r="C19" s="87"/>
      <c r="D19" s="102">
        <f>IF(Year1_Oxfordshire Year1_Adoption_PFA="","",Year1_Oxfordshire Year1_Adoption_PFA)</f>
        <v>30</v>
      </c>
      <c r="E19" s="102">
        <f>IF(Year2_Oxfordshire Year2_Adoption_PFA="","",Year2_Oxfordshire Year2_Adoption_PFA)</f>
        <v>20</v>
      </c>
      <c r="F19" s="102">
        <f>IF(Year3_Oxfordshire Year3_Adoption_PFA="","",Year3_Oxfordshire Year3_Adoption_PFA)</f>
        <v>27</v>
      </c>
      <c r="G19" s="102">
        <f>IF(Year4_Oxfordshire Year4_Adoption_PFA="","",Year4_Oxfordshire Year4_Adoption_PFA)</f>
        <v>19</v>
      </c>
      <c r="H19" s="563">
        <f>IF(Year5_Oxfordshire Year5_Adoption_PFA="","",Year5_Oxfordshire Year5_Adoption_PFA)</f>
        <v>29</v>
      </c>
      <c r="I19" s="1009">
        <f t="shared" si="7"/>
        <v>6.1671539961013641E-2</v>
      </c>
      <c r="J19" s="798">
        <f t="shared" si="0"/>
        <v>6.1671539961013641E-2</v>
      </c>
      <c r="K19" s="98"/>
      <c r="L19" s="986">
        <f>IF(ISNUMBER(D19),D19/Population!D19*10000,NA())</f>
        <v>2.1246458923512748</v>
      </c>
      <c r="M19" s="986">
        <f>IF(ISNUMBER(E19),E19/Population!E19*10000,NA())</f>
        <v>1.4104372355430184</v>
      </c>
      <c r="N19" s="986">
        <f>IF(ISNUMBER(F19),F19/Population!F19*10000,NA())</f>
        <v>1.8894331700489853</v>
      </c>
      <c r="O19" s="986">
        <f>IF(ISNUMBER(G19),G19/Population!G19*10000,NA())</f>
        <v>1.3249651324965133</v>
      </c>
      <c r="P19" s="225">
        <f>IF(ISNUMBER(H19),H19/Population!H19*10000,NA())</f>
        <v>2.0027624309392262</v>
      </c>
      <c r="Q19" s="101">
        <f t="shared" si="8"/>
        <v>2.0027624309392262</v>
      </c>
      <c r="R19" s="885">
        <f t="shared" si="1"/>
        <v>9</v>
      </c>
      <c r="S19" s="69"/>
      <c r="T19" s="725">
        <f>IDACI!C18</f>
        <v>10.100000000000001</v>
      </c>
      <c r="U19" s="1002"/>
      <c r="V19" s="140"/>
      <c r="W19" s="149"/>
      <c r="X19" s="1012" t="str">
        <f t="shared" si="2"/>
        <v>Oxfordshire</v>
      </c>
      <c r="Y19" s="45">
        <f>IF(ISNUMBER(H19),IDACI!D18,0)</f>
        <v>126119</v>
      </c>
      <c r="Z19" s="45">
        <f>IF(ISNUMBER(H19),IDACI!E18,0)</f>
        <v>12738.019000000002</v>
      </c>
      <c r="AA19" s="1016">
        <f>IF(ISNUMBER(D19),Population!D19,"")</f>
        <v>141200</v>
      </c>
      <c r="AB19" s="202">
        <f>IF(ISNUMBER(E19),Population!E19,"")</f>
        <v>141800</v>
      </c>
      <c r="AC19" s="202">
        <f>IF(ISNUMBER(F19),Population!F19,"")</f>
        <v>142900</v>
      </c>
      <c r="AD19" s="202">
        <f>IF(ISNUMBER(G19),Population!G19,"")</f>
        <v>143400</v>
      </c>
      <c r="AE19" s="1017">
        <f>IF(ISNUMBER(H19),Population!H19,"")</f>
        <v>144800</v>
      </c>
      <c r="AF19" s="1013" t="s">
        <v>11</v>
      </c>
      <c r="AG19" s="225">
        <f t="shared" si="9"/>
        <v>2.0027624309392262</v>
      </c>
      <c r="AH19" s="203">
        <f t="shared" si="10"/>
        <v>9</v>
      </c>
      <c r="AI19" s="185"/>
      <c r="AJ19" s="185"/>
      <c r="AK19" s="199"/>
      <c r="AL19" s="199"/>
      <c r="AM19" s="199"/>
      <c r="AN19" s="156"/>
      <c r="AO19" s="792">
        <f t="shared" si="3"/>
        <v>-0.33333333333333331</v>
      </c>
      <c r="AP19" s="792">
        <f t="shared" si="4"/>
        <v>0.35</v>
      </c>
      <c r="AQ19" s="792">
        <f t="shared" si="5"/>
        <v>-0.29629629629629628</v>
      </c>
      <c r="AR19" s="792">
        <f t="shared" si="6"/>
        <v>0.52631578947368418</v>
      </c>
      <c r="AS19" s="792">
        <f t="shared" si="11"/>
        <v>6.1671539961013641E-2</v>
      </c>
    </row>
    <row r="20" spans="1:45" s="89" customFormat="1" ht="13.5" customHeight="1" x14ac:dyDescent="0.2">
      <c r="A20" s="462">
        <f>VLOOKUP(B20,Sheet1!$AQ$4:$AR$25,2,FALSE)</f>
        <v>0</v>
      </c>
      <c r="B20" s="95" t="str">
        <f>Sheet1!$K$14</f>
        <v>Portsmouth</v>
      </c>
      <c r="C20" s="87"/>
      <c r="D20" s="102">
        <f>IF(Year1_Portsmouth Year1_Adoption_PFA="","",Year1_Portsmouth Year1_Adoption_PFA)</f>
        <v>15</v>
      </c>
      <c r="E20" s="102">
        <f>IF(Year2_Portsmouth Year2_Adoption_PFA="","",Year2_Portsmouth Year2_Adoption_PFA)</f>
        <v>20</v>
      </c>
      <c r="F20" s="102" t="str">
        <f>IF(Year3_Portsmouth Year3_Adoption_PFA="","",Year3_Portsmouth Year3_Adoption_PFA)</f>
        <v>x</v>
      </c>
      <c r="G20" s="102" t="str">
        <f>IF(Year4_Portsmouth Year4_Adoption_PFA="","",Year4_Portsmouth Year4_Adoption_PFA)</f>
        <v>x</v>
      </c>
      <c r="H20" s="563" t="str">
        <f>IF(Year5_Portsmouth Year5_Adoption_PFA="","",Year5_Portsmouth Year5_Adoption_PFA)</f>
        <v>x</v>
      </c>
      <c r="I20" s="1009">
        <f t="shared" si="7"/>
        <v>0.33333333333333331</v>
      </c>
      <c r="J20" s="798">
        <f t="shared" si="0"/>
        <v>0.33333333333333331</v>
      </c>
      <c r="K20" s="98"/>
      <c r="L20" s="986">
        <f>IF(ISNUMBER(D20),D20/Population!D20*10000,NA())</f>
        <v>3.4562211981566819</v>
      </c>
      <c r="M20" s="986">
        <f>IF(ISNUMBER(E20),E20/Population!E20*10000,NA())</f>
        <v>4.5662100456621006</v>
      </c>
      <c r="N20" s="986" t="e">
        <f>IF(ISNUMBER(F20),F20/Population!F20*10000,NA())</f>
        <v>#N/A</v>
      </c>
      <c r="O20" s="986" t="e">
        <f>IF(ISNUMBER(G20),G20/Population!G20*10000,NA())</f>
        <v>#N/A</v>
      </c>
      <c r="P20" s="225" t="e">
        <f>IF(ISNUMBER(H20),H20/Population!H20*10000,NA())</f>
        <v>#N/A</v>
      </c>
      <c r="Q20" s="101" t="str">
        <f t="shared" si="8"/>
        <v/>
      </c>
      <c r="R20" s="885" t="e">
        <f t="shared" si="1"/>
        <v>#N/A</v>
      </c>
      <c r="S20" s="69"/>
      <c r="T20" s="725">
        <f>IDACI!C19</f>
        <v>20.200000000000003</v>
      </c>
      <c r="U20" s="1002"/>
      <c r="V20" s="140"/>
      <c r="W20" s="149"/>
      <c r="X20" s="1012" t="str">
        <f t="shared" si="2"/>
        <v>Portsmouth</v>
      </c>
      <c r="Y20" s="45">
        <f>IF(ISNUMBER(H20),IDACI!D19,0)</f>
        <v>0</v>
      </c>
      <c r="Z20" s="45">
        <f>IF(ISNUMBER(H20),IDACI!E19,0)</f>
        <v>0</v>
      </c>
      <c r="AA20" s="1016">
        <f>IF(ISNUMBER(D20),Population!D20,"")</f>
        <v>43400</v>
      </c>
      <c r="AB20" s="202">
        <f>IF(ISNUMBER(E20),Population!E20,"")</f>
        <v>43800</v>
      </c>
      <c r="AC20" s="202" t="str">
        <f>IF(ISNUMBER(F20),Population!F20,"")</f>
        <v/>
      </c>
      <c r="AD20" s="202" t="str">
        <f>IF(ISNUMBER(G20),Population!G20,"")</f>
        <v/>
      </c>
      <c r="AE20" s="1017" t="str">
        <f>IF(ISNUMBER(H20),Population!H20,"")</f>
        <v/>
      </c>
      <c r="AF20" s="1013" t="s">
        <v>12</v>
      </c>
      <c r="AG20" s="225" t="str">
        <f t="shared" si="9"/>
        <v/>
      </c>
      <c r="AH20" s="203" t="e">
        <f t="shared" si="10"/>
        <v>#VALUE!</v>
      </c>
      <c r="AI20" s="185"/>
      <c r="AJ20" s="185"/>
      <c r="AK20" s="199"/>
      <c r="AL20" s="199"/>
      <c r="AM20" s="199"/>
      <c r="AN20" s="156"/>
      <c r="AO20" s="792">
        <f t="shared" si="3"/>
        <v>0.33333333333333331</v>
      </c>
      <c r="AP20" s="792" t="str">
        <f t="shared" si="4"/>
        <v>x</v>
      </c>
      <c r="AQ20" s="792" t="str">
        <f t="shared" si="5"/>
        <v>x</v>
      </c>
      <c r="AR20" s="792" t="str">
        <f t="shared" si="6"/>
        <v>x</v>
      </c>
      <c r="AS20" s="792">
        <f t="shared" si="11"/>
        <v>0.33333333333333331</v>
      </c>
    </row>
    <row r="21" spans="1:45" s="89" customFormat="1" ht="13.5" customHeight="1" x14ac:dyDescent="0.2">
      <c r="A21" s="462">
        <f>VLOOKUP(B21,Sheet1!$AQ$4:$AR$25,2,FALSE)</f>
        <v>0</v>
      </c>
      <c r="B21" s="95" t="str">
        <f>Sheet1!$K$15</f>
        <v>Reading</v>
      </c>
      <c r="C21" s="87"/>
      <c r="D21" s="102">
        <f>IF(Year1_Reading Year1_Adoption_PFA="","",Year1_Reading Year1_Adoption_PFA)</f>
        <v>20</v>
      </c>
      <c r="E21" s="102">
        <f>IF(Year2_Reading Year2_Adoption_PFA="","",Year2_Reading Year2_Adoption_PFA)</f>
        <v>5</v>
      </c>
      <c r="F21" s="102" t="str">
        <f>IF(Year3_Reading Year3_Adoption_PFA="","",Year3_Reading Year3_Adoption_PFA)</f>
        <v>x</v>
      </c>
      <c r="G21" s="102">
        <f>IF(Year4_Reading Year4_Adoption_PFA="","",Year4_Reading Year4_Adoption_PFA)</f>
        <v>12</v>
      </c>
      <c r="H21" s="563">
        <f>IF(Year5_Reading Year5_Adoption_PFA="","",Year5_Reading Year5_Adoption_PFA)</f>
        <v>7</v>
      </c>
      <c r="I21" s="1009">
        <f t="shared" si="7"/>
        <v>-0.58333333333333337</v>
      </c>
      <c r="J21" s="798">
        <f t="shared" si="0"/>
        <v>-0.58333333333333337</v>
      </c>
      <c r="K21" s="98"/>
      <c r="L21" s="986">
        <f>IF(ISNUMBER(D21),D21/Population!D21*10000,NA())</f>
        <v>5.5710306406685239</v>
      </c>
      <c r="M21" s="986">
        <f>IF(ISNUMBER(E21),E21/Population!E21*10000,NA())</f>
        <v>1.3736263736263736</v>
      </c>
      <c r="N21" s="986" t="e">
        <f>IF(ISNUMBER(F21),F21/Population!F21*10000,NA())</f>
        <v>#N/A</v>
      </c>
      <c r="O21" s="986">
        <f>IF(ISNUMBER(G21),G21/Population!G21*10000,NA())</f>
        <v>3.2345013477088949</v>
      </c>
      <c r="P21" s="225">
        <f>IF(ISNUMBER(H21),H21/Population!H21*10000,NA())</f>
        <v>1.8867924528301885</v>
      </c>
      <c r="Q21" s="101">
        <f t="shared" si="8"/>
        <v>1.8867924528301885</v>
      </c>
      <c r="R21" s="885">
        <f t="shared" si="1"/>
        <v>7</v>
      </c>
      <c r="S21" s="69"/>
      <c r="T21" s="725">
        <f>IDACI!C20</f>
        <v>16</v>
      </c>
      <c r="U21" s="1002"/>
      <c r="V21" s="140"/>
      <c r="W21" s="149"/>
      <c r="X21" s="1012" t="str">
        <f t="shared" si="2"/>
        <v>Reading</v>
      </c>
      <c r="Y21" s="45">
        <f>IF(ISNUMBER(H21),IDACI!D20,0)</f>
        <v>33203</v>
      </c>
      <c r="Z21" s="45">
        <f>IF(ISNUMBER(H21),IDACI!E20,0)</f>
        <v>5312.4800000000005</v>
      </c>
      <c r="AA21" s="1016">
        <f>IF(ISNUMBER(D21),Population!D21,"")</f>
        <v>35900</v>
      </c>
      <c r="AB21" s="202">
        <f>IF(ISNUMBER(E21),Population!E21,"")</f>
        <v>36400</v>
      </c>
      <c r="AC21" s="202" t="str">
        <f>IF(ISNUMBER(F21),Population!F21,"")</f>
        <v/>
      </c>
      <c r="AD21" s="202">
        <f>IF(ISNUMBER(G21),Population!G21,"")</f>
        <v>37100</v>
      </c>
      <c r="AE21" s="1017">
        <f>IF(ISNUMBER(H21),Population!H21,"")</f>
        <v>37100</v>
      </c>
      <c r="AF21" s="1013" t="s">
        <v>3</v>
      </c>
      <c r="AG21" s="225">
        <f t="shared" si="9"/>
        <v>1.8867924528301885</v>
      </c>
      <c r="AH21" s="203">
        <f t="shared" si="10"/>
        <v>7</v>
      </c>
      <c r="AI21" s="185"/>
      <c r="AJ21" s="185"/>
      <c r="AK21" s="199"/>
      <c r="AL21" s="199"/>
      <c r="AM21" s="199"/>
      <c r="AN21" s="156"/>
      <c r="AO21" s="792">
        <f t="shared" si="3"/>
        <v>-0.75</v>
      </c>
      <c r="AP21" s="792" t="str">
        <f t="shared" si="4"/>
        <v>x</v>
      </c>
      <c r="AQ21" s="792" t="str">
        <f t="shared" si="5"/>
        <v>x</v>
      </c>
      <c r="AR21" s="792">
        <f t="shared" si="6"/>
        <v>-0.41666666666666669</v>
      </c>
      <c r="AS21" s="792">
        <f t="shared" si="11"/>
        <v>-0.58333333333333337</v>
      </c>
    </row>
    <row r="22" spans="1:45" s="89" customFormat="1" ht="13.5" customHeight="1" x14ac:dyDescent="0.2">
      <c r="A22" s="462">
        <f>VLOOKUP(B22,Sheet1!$AQ$4:$AR$25,2,FALSE)</f>
        <v>0</v>
      </c>
      <c r="B22" s="95" t="str">
        <f>Sheet1!$K$16</f>
        <v>Slough</v>
      </c>
      <c r="C22" s="87"/>
      <c r="D22" s="102" t="str">
        <f>IF(Year1_Slough Year1_Adoption_PFA="","",Year1_Slough Year1_Adoption_PFA)</f>
        <v>x</v>
      </c>
      <c r="E22" s="102">
        <f>IF(Year2_Slough Year2_Adoption_PFA="","",Year2_Slough Year2_Adoption_PFA)</f>
        <v>5</v>
      </c>
      <c r="F22" s="102">
        <f>IF(Year3_Slough Year3_Adoption_PFA="","",Year3_Slough Year3_Adoption_PFA)</f>
        <v>8</v>
      </c>
      <c r="G22" s="102">
        <f>IF(Year4_Slough Year4_Adoption_PFA="","",Year4_Slough Year4_Adoption_PFA)</f>
        <v>8</v>
      </c>
      <c r="H22" s="563" t="str">
        <f>IF(Year5_Slough Year5_Adoption_PFA="","",Year5_Slough Year5_Adoption_PFA)</f>
        <v>x</v>
      </c>
      <c r="I22" s="1009">
        <f t="shared" si="7"/>
        <v>0.3</v>
      </c>
      <c r="J22" s="798">
        <f t="shared" si="0"/>
        <v>0.3</v>
      </c>
      <c r="K22" s="98"/>
      <c r="L22" s="986" t="e">
        <f>IF(ISNUMBER(D22),D22/Population!D22*10000,NA())</f>
        <v>#N/A</v>
      </c>
      <c r="M22" s="986">
        <f>IF(ISNUMBER(E22),E22/Population!E22*10000,NA())</f>
        <v>1.2315270935960589</v>
      </c>
      <c r="N22" s="986">
        <f>IF(ISNUMBER(F22),F22/Population!F22*10000,NA())</f>
        <v>1.932367149758454</v>
      </c>
      <c r="O22" s="986">
        <f>IF(ISNUMBER(G22),G22/Population!G22*10000,NA())</f>
        <v>1.8957345971563981</v>
      </c>
      <c r="P22" s="225" t="e">
        <f>IF(ISNUMBER(H22),H22/Population!H22*10000,NA())</f>
        <v>#N/A</v>
      </c>
      <c r="Q22" s="101" t="str">
        <f t="shared" si="8"/>
        <v/>
      </c>
      <c r="R22" s="885" t="e">
        <f t="shared" si="1"/>
        <v>#N/A</v>
      </c>
      <c r="S22" s="69"/>
      <c r="T22" s="725">
        <f>IDACI!C21</f>
        <v>14.7</v>
      </c>
      <c r="U22" s="1002"/>
      <c r="V22" s="140"/>
      <c r="W22" s="149"/>
      <c r="X22" s="1012" t="str">
        <f t="shared" si="2"/>
        <v>Slough</v>
      </c>
      <c r="Y22" s="45">
        <f>IF(ISNUMBER(H22),IDACI!D21,0)</f>
        <v>0</v>
      </c>
      <c r="Z22" s="45">
        <f>IF(ISNUMBER(H22),IDACI!E21,0)</f>
        <v>0</v>
      </c>
      <c r="AA22" s="1016" t="str">
        <f>IF(ISNUMBER(D22),Population!D22,"")</f>
        <v/>
      </c>
      <c r="AB22" s="202">
        <f>IF(ISNUMBER(E22),Population!E22,"")</f>
        <v>40600</v>
      </c>
      <c r="AC22" s="202">
        <f>IF(ISNUMBER(F22),Population!F22,"")</f>
        <v>41400</v>
      </c>
      <c r="AD22" s="202">
        <f>IF(ISNUMBER(G22),Population!G22,"")</f>
        <v>42200</v>
      </c>
      <c r="AE22" s="1017" t="str">
        <f>IF(ISNUMBER(H22),Population!H22,"")</f>
        <v/>
      </c>
      <c r="AF22" s="1013" t="s">
        <v>13</v>
      </c>
      <c r="AG22" s="225" t="str">
        <f t="shared" si="9"/>
        <v/>
      </c>
      <c r="AH22" s="203" t="e">
        <f t="shared" si="10"/>
        <v>#VALUE!</v>
      </c>
      <c r="AI22" s="185"/>
      <c r="AJ22" s="185"/>
      <c r="AK22" s="199"/>
      <c r="AL22" s="199"/>
      <c r="AM22" s="199"/>
      <c r="AN22" s="156"/>
      <c r="AO22" s="792" t="str">
        <f t="shared" si="3"/>
        <v>x</v>
      </c>
      <c r="AP22" s="792">
        <f t="shared" si="4"/>
        <v>0.6</v>
      </c>
      <c r="AQ22" s="792">
        <f t="shared" si="5"/>
        <v>0</v>
      </c>
      <c r="AR22" s="792" t="str">
        <f t="shared" si="6"/>
        <v>x</v>
      </c>
      <c r="AS22" s="792">
        <f t="shared" si="11"/>
        <v>0.3</v>
      </c>
    </row>
    <row r="23" spans="1:45" s="89" customFormat="1" ht="13.5" customHeight="1" x14ac:dyDescent="0.2">
      <c r="A23" s="462">
        <f>VLOOKUP(B23,Sheet1!$AQ$4:$AR$25,2,FALSE)</f>
        <v>0</v>
      </c>
      <c r="B23" s="95" t="str">
        <f>Sheet1!$K$17</f>
        <v>Somerset</v>
      </c>
      <c r="C23" s="87"/>
      <c r="D23" s="102">
        <f>IF(Year1_Somerset Year1_Adoption_PFA="","",Year1_Somerset Year1_Adoption_PFA)</f>
        <v>25</v>
      </c>
      <c r="E23" s="102">
        <f>IF(Year2_Somerset Year2_Adoption_PFA="","",Year2_Somerset Year2_Adoption_PFA)</f>
        <v>15</v>
      </c>
      <c r="F23" s="102">
        <f>IF(Year3_Somerset Year3_Adoption_PFA="","",Year3_Somerset Year3_Adoption_PFA)</f>
        <v>16</v>
      </c>
      <c r="G23" s="102" t="str">
        <f>IF(Year4_Somerset Year4_Adoption_PFA="","",Year4_Somerset Year4_Adoption_PFA)</f>
        <v>x</v>
      </c>
      <c r="H23" s="563" t="str">
        <f>IF(Year5_Somerset Year5_Adoption_PFA="","",Year5_Somerset Year5_Adoption_PFA)</f>
        <v>x</v>
      </c>
      <c r="I23" s="1009">
        <f t="shared" si="7"/>
        <v>-0.16666666666666669</v>
      </c>
      <c r="J23" s="798">
        <f t="shared" si="0"/>
        <v>-0.16666666666666669</v>
      </c>
      <c r="K23" s="98"/>
      <c r="L23" s="986">
        <f>IF(ISNUMBER(D23),D23/Population!D23*10000,NA())</f>
        <v>2.2956841138659319</v>
      </c>
      <c r="M23" s="986">
        <f>IF(ISNUMBER(E23),E23/Population!E23*10000,NA())</f>
        <v>1.3736263736263736</v>
      </c>
      <c r="N23" s="986">
        <f>IF(ISNUMBER(F23),F23/Population!F23*10000,NA())</f>
        <v>1.4585232452142205</v>
      </c>
      <c r="O23" s="986" t="e">
        <f>IF(ISNUMBER(G23),G23/Population!G23*10000,NA())</f>
        <v>#N/A</v>
      </c>
      <c r="P23" s="225" t="e">
        <f>IF(ISNUMBER(H23),H23/Population!H23*10000,NA())</f>
        <v>#N/A</v>
      </c>
      <c r="Q23" s="101" t="str">
        <f t="shared" si="8"/>
        <v/>
      </c>
      <c r="R23" s="882" t="str">
        <f t="shared" si="1"/>
        <v>--</v>
      </c>
      <c r="S23" s="69"/>
      <c r="T23" s="725">
        <f>IDACI!C22</f>
        <v>13.600000000000001</v>
      </c>
      <c r="U23" s="1002"/>
      <c r="V23" s="140"/>
      <c r="W23" s="149"/>
      <c r="X23" s="1012" t="str">
        <f t="shared" si="2"/>
        <v>Somerset</v>
      </c>
      <c r="Y23" s="45">
        <f>IF(ISNUMBER(H23),IDACI!D22,0)</f>
        <v>0</v>
      </c>
      <c r="Z23" s="45">
        <f>IF(ISNUMBER(H23),IDACI!E22,0)</f>
        <v>0</v>
      </c>
      <c r="AA23" s="1016">
        <f>IF(ISNUMBER(D23),Population!D23,"")</f>
        <v>108900</v>
      </c>
      <c r="AB23" s="202">
        <f>IF(ISNUMBER(E23),Population!E23,"")</f>
        <v>109200</v>
      </c>
      <c r="AC23" s="202">
        <f>IF(ISNUMBER(F23),Population!F23,"")</f>
        <v>109700</v>
      </c>
      <c r="AD23" s="202" t="str">
        <f>IF(ISNUMBER(G23),Population!G23,"")</f>
        <v/>
      </c>
      <c r="AE23" s="1017" t="str">
        <f>IF(ISNUMBER(H23),Population!H23,"")</f>
        <v/>
      </c>
      <c r="AF23" s="1013" t="s">
        <v>14</v>
      </c>
      <c r="AG23" s="225">
        <f t="shared" si="9"/>
        <v>2.5590551181102366</v>
      </c>
      <c r="AH23" s="203">
        <f t="shared" si="10"/>
        <v>11</v>
      </c>
      <c r="AI23" s="185"/>
      <c r="AJ23" s="185"/>
      <c r="AK23" s="199"/>
      <c r="AL23" s="199"/>
      <c r="AM23" s="199"/>
      <c r="AN23" s="156"/>
      <c r="AO23" s="792">
        <f t="shared" si="3"/>
        <v>-0.4</v>
      </c>
      <c r="AP23" s="792">
        <f t="shared" si="4"/>
        <v>6.6666666666666666E-2</v>
      </c>
      <c r="AQ23" s="792" t="str">
        <f t="shared" si="5"/>
        <v>x</v>
      </c>
      <c r="AR23" s="792" t="str">
        <f t="shared" si="6"/>
        <v>x</v>
      </c>
      <c r="AS23" s="792">
        <f t="shared" si="11"/>
        <v>-0.16666666666666669</v>
      </c>
    </row>
    <row r="24" spans="1:45" s="89" customFormat="1" ht="13.5" customHeight="1" x14ac:dyDescent="0.2">
      <c r="A24" s="462">
        <f>VLOOKUP(B24,Sheet1!$AQ$4:$AR$25,2,FALSE)</f>
        <v>0</v>
      </c>
      <c r="B24" s="95" t="str">
        <f>Sheet1!$K$18</f>
        <v>Southampton</v>
      </c>
      <c r="C24" s="87"/>
      <c r="D24" s="102">
        <f>IF(Year1_Southampton Year1_Adoption_PFA="","",Year1_Southampton Year1_Adoption_PFA)</f>
        <v>50</v>
      </c>
      <c r="E24" s="102">
        <f>IF(Year2_Southampton Year2_Adoption_PFA="","",Year2_Southampton Year2_Adoption_PFA)</f>
        <v>60</v>
      </c>
      <c r="F24" s="102">
        <f>IF(Year3_Southampton Year3_Adoption_PFA="","",Year3_Southampton Year3_Adoption_PFA)</f>
        <v>40</v>
      </c>
      <c r="G24" s="102">
        <f>IF(Year4_Southampton Year4_Adoption_PFA="","",Year4_Southampton Year4_Adoption_PFA)</f>
        <v>28</v>
      </c>
      <c r="H24" s="563">
        <f>IF(Year5_Southampton Year5_Adoption_PFA="","",Year5_Southampton Year5_Adoption_PFA)</f>
        <v>13</v>
      </c>
      <c r="I24" s="1009">
        <f t="shared" si="7"/>
        <v>-0.24226190476190473</v>
      </c>
      <c r="J24" s="798">
        <f t="shared" si="0"/>
        <v>-0.24226190476190473</v>
      </c>
      <c r="K24" s="98"/>
      <c r="L24" s="986">
        <f>IF(ISNUMBER(D24),D24/Population!D24*10000,NA())</f>
        <v>10.2880658436214</v>
      </c>
      <c r="M24" s="986">
        <f>IF(ISNUMBER(E24),E24/Population!E24*10000,NA())</f>
        <v>12.195121951219512</v>
      </c>
      <c r="N24" s="986">
        <f>IF(ISNUMBER(F24),F24/Population!F24*10000,NA())</f>
        <v>8.0160320641282556</v>
      </c>
      <c r="O24" s="986">
        <f>IF(ISNUMBER(G24),G24/Population!G24*10000,NA())</f>
        <v>5.5666003976143141</v>
      </c>
      <c r="P24" s="225">
        <f>IF(ISNUMBER(H24),H24/Population!H24*10000,NA())</f>
        <v>2.5590551181102366</v>
      </c>
      <c r="Q24" s="101">
        <f t="shared" si="8"/>
        <v>2.5590551181102366</v>
      </c>
      <c r="R24" s="885">
        <f t="shared" si="1"/>
        <v>11</v>
      </c>
      <c r="S24" s="69"/>
      <c r="T24" s="725">
        <f>IDACI!C23</f>
        <v>20.5</v>
      </c>
      <c r="U24" s="1002"/>
      <c r="V24" s="140"/>
      <c r="W24" s="149"/>
      <c r="X24" s="1012" t="str">
        <f t="shared" si="2"/>
        <v>Southampton</v>
      </c>
      <c r="Y24" s="45">
        <f>IF(ISNUMBER(H24),IDACI!D23,0)</f>
        <v>44295</v>
      </c>
      <c r="Z24" s="45">
        <f>IF(ISNUMBER(H24),IDACI!E23,0)</f>
        <v>9080.4750000000004</v>
      </c>
      <c r="AA24" s="1016">
        <f>IF(ISNUMBER(D24),Population!D24,"")</f>
        <v>48600</v>
      </c>
      <c r="AB24" s="202">
        <f>IF(ISNUMBER(E24),Population!E24,"")</f>
        <v>49200</v>
      </c>
      <c r="AC24" s="202">
        <f>IF(ISNUMBER(F24),Population!F24,"")</f>
        <v>49900</v>
      </c>
      <c r="AD24" s="202">
        <f>IF(ISNUMBER(G24),Population!G24,"")</f>
        <v>50300</v>
      </c>
      <c r="AE24" s="1017">
        <f>IF(ISNUMBER(H24),Population!H24,"")</f>
        <v>50800</v>
      </c>
      <c r="AF24" s="1013" t="s">
        <v>7</v>
      </c>
      <c r="AG24" s="225">
        <f t="shared" si="9"/>
        <v>0.49637266132111491</v>
      </c>
      <c r="AH24" s="203">
        <f t="shared" si="10"/>
        <v>1</v>
      </c>
      <c r="AI24" s="185"/>
      <c r="AJ24" s="185"/>
      <c r="AK24" s="199"/>
      <c r="AL24" s="199"/>
      <c r="AM24" s="199"/>
      <c r="AN24" s="156"/>
      <c r="AO24" s="792">
        <f t="shared" si="3"/>
        <v>0.2</v>
      </c>
      <c r="AP24" s="792">
        <f t="shared" si="4"/>
        <v>-0.33333333333333331</v>
      </c>
      <c r="AQ24" s="792">
        <f t="shared" si="5"/>
        <v>-0.3</v>
      </c>
      <c r="AR24" s="792">
        <f t="shared" si="6"/>
        <v>-0.5357142857142857</v>
      </c>
      <c r="AS24" s="792">
        <f t="shared" si="11"/>
        <v>-0.24226190476190473</v>
      </c>
    </row>
    <row r="25" spans="1:45" s="89" customFormat="1" ht="13.5" customHeight="1" x14ac:dyDescent="0.2">
      <c r="A25" s="462">
        <f>VLOOKUP(B25,Sheet1!$AQ$4:$AR$25,2,FALSE)</f>
        <v>0</v>
      </c>
      <c r="B25" s="95" t="str">
        <f>Sheet1!$K$19</f>
        <v>Surrey</v>
      </c>
      <c r="C25" s="87"/>
      <c r="D25" s="102">
        <f>IF(Year1_Surrey Year1_Adoption_PFA="","",Year1_Surrey Year1_Adoption_PFA)</f>
        <v>40</v>
      </c>
      <c r="E25" s="102">
        <f>IF(Year2_Surrey Year2_Adoption_PFA="","",Year2_Surrey Year2_Adoption_PFA)</f>
        <v>35</v>
      </c>
      <c r="F25" s="102">
        <f>IF(Year3_Surrey Year3_Adoption_PFA="","",Year3_Surrey Year3_Adoption_PFA)</f>
        <v>22</v>
      </c>
      <c r="G25" s="102">
        <f>IF(Year4_Surrey Year4_Adoption_PFA="","",Year4_Surrey Year4_Adoption_PFA)</f>
        <v>14</v>
      </c>
      <c r="H25" s="563">
        <f>IF(Year5_Surrey Year5_Adoption_PFA="","",Year5_Surrey Year5_Adoption_PFA)</f>
        <v>13</v>
      </c>
      <c r="I25" s="1009">
        <f t="shared" si="7"/>
        <v>-0.23287337662337662</v>
      </c>
      <c r="J25" s="798">
        <f t="shared" si="0"/>
        <v>-0.23287337662337662</v>
      </c>
      <c r="K25" s="98"/>
      <c r="L25" s="986">
        <f>IF(ISNUMBER(D25),D25/Population!D25*10000,NA())</f>
        <v>1.5710919088766693</v>
      </c>
      <c r="M25" s="986">
        <f>IF(ISNUMBER(E25),E25/Population!E25*10000,NA())</f>
        <v>1.3650546021840875</v>
      </c>
      <c r="N25" s="986">
        <f>IF(ISNUMBER(F25),F25/Population!F25*10000,NA())</f>
        <v>0.84942084942084939</v>
      </c>
      <c r="O25" s="986">
        <f>IF(ISNUMBER(G25),G25/Population!G25*10000,NA())</f>
        <v>0.53784095274683064</v>
      </c>
      <c r="P25" s="225">
        <f>IF(ISNUMBER(H25),H25/Population!H25*10000,NA())</f>
        <v>0.49637266132111491</v>
      </c>
      <c r="Q25" s="101">
        <f t="shared" si="8"/>
        <v>0.49637266132111491</v>
      </c>
      <c r="R25" s="885">
        <f t="shared" si="1"/>
        <v>1</v>
      </c>
      <c r="S25" s="69"/>
      <c r="T25" s="725">
        <f>IDACI!C24</f>
        <v>8.3000000000000007</v>
      </c>
      <c r="U25" s="1002"/>
      <c r="V25" s="140"/>
      <c r="W25" s="149"/>
      <c r="X25" s="1012" t="str">
        <f t="shared" si="2"/>
        <v>Surrey</v>
      </c>
      <c r="Y25" s="45">
        <f>IF(ISNUMBER(H25),IDACI!D24,0)</f>
        <v>228466</v>
      </c>
      <c r="Z25" s="45">
        <f>IF(ISNUMBER(H25),IDACI!E24,0)</f>
        <v>18962.678</v>
      </c>
      <c r="AA25" s="1016">
        <f>IF(ISNUMBER(D25),Population!D25,"")</f>
        <v>254600</v>
      </c>
      <c r="AB25" s="202">
        <f>IF(ISNUMBER(E25),Population!E25,"")</f>
        <v>256400</v>
      </c>
      <c r="AC25" s="202">
        <f>IF(ISNUMBER(F25),Population!F25,"")</f>
        <v>259000</v>
      </c>
      <c r="AD25" s="202">
        <f>IF(ISNUMBER(G25),Population!G25,"")</f>
        <v>260300</v>
      </c>
      <c r="AE25" s="1017">
        <f>IF(ISNUMBER(H25),Population!H25,"")</f>
        <v>261900</v>
      </c>
      <c r="AF25" s="1013" t="s">
        <v>15</v>
      </c>
      <c r="AG25" s="225" t="str">
        <f t="shared" si="9"/>
        <v/>
      </c>
      <c r="AH25" s="203" t="e">
        <f t="shared" si="10"/>
        <v>#VALUE!</v>
      </c>
      <c r="AI25" s="185"/>
      <c r="AJ25" s="185"/>
      <c r="AK25" s="199"/>
      <c r="AL25" s="199"/>
      <c r="AM25" s="199"/>
      <c r="AN25" s="156"/>
      <c r="AO25" s="792">
        <f t="shared" si="3"/>
        <v>-0.125</v>
      </c>
      <c r="AP25" s="792">
        <f t="shared" si="4"/>
        <v>-0.37142857142857144</v>
      </c>
      <c r="AQ25" s="792">
        <f t="shared" si="5"/>
        <v>-0.36363636363636365</v>
      </c>
      <c r="AR25" s="792">
        <f t="shared" si="6"/>
        <v>-7.1428571428571425E-2</v>
      </c>
      <c r="AS25" s="792">
        <f t="shared" si="11"/>
        <v>-0.23287337662337662</v>
      </c>
    </row>
    <row r="26" spans="1:45" s="89" customFormat="1" ht="13.5" customHeight="1" x14ac:dyDescent="0.2">
      <c r="A26" s="462">
        <f>VLOOKUP(B26,Sheet1!$AQ$4:$AR$25,2,FALSE)</f>
        <v>0</v>
      </c>
      <c r="B26" s="95" t="str">
        <f>Sheet1!$K$20</f>
        <v>Swindon</v>
      </c>
      <c r="C26" s="87"/>
      <c r="D26" s="102" t="str">
        <f>IF(Year1_Swindon Year1_Adoption_PFA="","",Year1_Swindon Year1_Adoption_PFA)</f>
        <v>x</v>
      </c>
      <c r="E26" s="102">
        <f>IF(Year2_Swindon Year2_Adoption_PFA="","",Year2_Swindon Year2_Adoption_PFA)</f>
        <v>5</v>
      </c>
      <c r="F26" s="102" t="str">
        <f>IF(Year3_Swindon Year3_Adoption_PFA="","",Year3_Swindon Year3_Adoption_PFA)</f>
        <v>x</v>
      </c>
      <c r="G26" s="102" t="str">
        <f>IF(Year4_Swindon Year4_Adoption_PFA="","",Year4_Swindon Year4_Adoption_PFA)</f>
        <v>x</v>
      </c>
      <c r="H26" s="563">
        <f>IF(Year5_Swindon Year5_Adoption_PFA="","",Year5_Swindon Year5_Adoption_PFA)</f>
        <v>10</v>
      </c>
      <c r="I26" s="1009" t="e">
        <f t="shared" si="7"/>
        <v>#DIV/0!</v>
      </c>
      <c r="J26" s="798" t="e">
        <f t="shared" si="0"/>
        <v>#DIV/0!</v>
      </c>
      <c r="K26" s="98"/>
      <c r="L26" s="986" t="e">
        <f>IF(ISNUMBER(D26),D26/Population!D26*10000,NA())</f>
        <v>#N/A</v>
      </c>
      <c r="M26" s="986">
        <f>IF(ISNUMBER(E26),E26/Population!E26*10000,NA())</f>
        <v>1.0204081632653061</v>
      </c>
      <c r="N26" s="986" t="e">
        <f>IF(ISNUMBER(F26),F26/Population!F26*10000,NA())</f>
        <v>#N/A</v>
      </c>
      <c r="O26" s="986" t="e">
        <f>IF(ISNUMBER(G26),G26/Population!G26*10000,NA())</f>
        <v>#N/A</v>
      </c>
      <c r="P26" s="225">
        <f>IF(ISNUMBER(H26),H26/Population!H26*10000,NA())</f>
        <v>1.9920318725099602</v>
      </c>
      <c r="Q26" s="101">
        <f t="shared" si="8"/>
        <v>1.9920318725099602</v>
      </c>
      <c r="R26" s="882" t="str">
        <f t="shared" si="1"/>
        <v>--</v>
      </c>
      <c r="S26" s="69"/>
      <c r="T26" s="725">
        <f>IDACI!C25</f>
        <v>14.899999999999999</v>
      </c>
      <c r="U26" s="1002"/>
      <c r="V26" s="140"/>
      <c r="W26" s="149"/>
      <c r="X26" s="1012" t="str">
        <f t="shared" si="2"/>
        <v>Swindon</v>
      </c>
      <c r="Y26" s="45">
        <f>IF(ISNUMBER(H26),IDACI!D25,0)</f>
        <v>43899</v>
      </c>
      <c r="Z26" s="45">
        <f>IF(ISNUMBER(H26),IDACI!E25,0)</f>
        <v>6540.951</v>
      </c>
      <c r="AA26" s="1016" t="str">
        <f>IF(ISNUMBER(D26),Population!D26,"")</f>
        <v/>
      </c>
      <c r="AB26" s="202">
        <f>IF(ISNUMBER(E26),Population!E26,"")</f>
        <v>49000</v>
      </c>
      <c r="AC26" s="202" t="str">
        <f>IF(ISNUMBER(F26),Population!F26,"")</f>
        <v/>
      </c>
      <c r="AD26" s="202" t="str">
        <f>IF(ISNUMBER(G26),Population!G26,"")</f>
        <v/>
      </c>
      <c r="AE26" s="1017">
        <f>IF(ISNUMBER(H26),Population!H26,"")</f>
        <v>50200</v>
      </c>
      <c r="AF26" s="1013" t="s">
        <v>5</v>
      </c>
      <c r="AG26" s="225">
        <f t="shared" si="9"/>
        <v>2.0034344590726958</v>
      </c>
      <c r="AH26" s="203">
        <f t="shared" si="10"/>
        <v>10</v>
      </c>
      <c r="AI26" s="185"/>
      <c r="AJ26" s="185"/>
      <c r="AK26" s="199"/>
      <c r="AL26" s="199"/>
      <c r="AM26" s="199"/>
      <c r="AN26" s="156"/>
      <c r="AO26" s="792" t="str">
        <f t="shared" si="3"/>
        <v>x</v>
      </c>
      <c r="AP26" s="792" t="str">
        <f t="shared" si="4"/>
        <v>x</v>
      </c>
      <c r="AQ26" s="792" t="str">
        <f t="shared" si="5"/>
        <v>x</v>
      </c>
      <c r="AR26" s="792" t="str">
        <f t="shared" si="6"/>
        <v>x</v>
      </c>
      <c r="AS26" s="792" t="e">
        <f t="shared" si="11"/>
        <v>#DIV/0!</v>
      </c>
    </row>
    <row r="27" spans="1:45" s="89" customFormat="1" ht="13.5" customHeight="1" x14ac:dyDescent="0.2">
      <c r="A27" s="462">
        <f>VLOOKUP(B27,Sheet1!$AQ$4:$AR$25,2,FALSE)</f>
        <v>0</v>
      </c>
      <c r="B27" s="95" t="str">
        <f>Sheet1!$K$21</f>
        <v>Torbay</v>
      </c>
      <c r="C27" s="87"/>
      <c r="D27" s="102">
        <f>IF(Year1_Torbay Year1_Adoption_PFA="","",Year1_Torbay Year1_Adoption_PFA)</f>
        <v>20</v>
      </c>
      <c r="E27" s="102">
        <f>IF(Year2_Torbay Year2_Adoption_PFA="","",Year2_Torbay Year2_Adoption_PFA)</f>
        <v>10</v>
      </c>
      <c r="F27" s="102">
        <f>IF(Year3_Torbay Year3_Adoption_PFA="","",Year3_Torbay Year3_Adoption_PFA)</f>
        <v>14</v>
      </c>
      <c r="G27" s="102">
        <f>IF(Year4_Torbay Year4_Adoption_PFA="","",Year4_Torbay Year4_Adoption_PFA)</f>
        <v>7</v>
      </c>
      <c r="H27" s="563">
        <f>IF(Year5_Torbay Year5_Adoption_PFA="","",Year5_Torbay Year5_Adoption_PFA)</f>
        <v>21</v>
      </c>
      <c r="I27" s="1009">
        <f t="shared" si="7"/>
        <v>0.35</v>
      </c>
      <c r="J27" s="798">
        <f t="shared" si="0"/>
        <v>0.35</v>
      </c>
      <c r="K27" s="98"/>
      <c r="L27" s="986">
        <f>IF(ISNUMBER(D27),D27/Population!D27*10000,NA())</f>
        <v>7.9681274900398407</v>
      </c>
      <c r="M27" s="986">
        <f>IF(ISNUMBER(E27),E27/Population!E27*10000,NA())</f>
        <v>3.9682539682539684</v>
      </c>
      <c r="N27" s="986">
        <f>IF(ISNUMBER(F27),F27/Population!F27*10000,NA())</f>
        <v>5.5118110236220472</v>
      </c>
      <c r="O27" s="986">
        <f>IF(ISNUMBER(G27),G27/Population!G27*10000,NA())</f>
        <v>2.7559055118110236</v>
      </c>
      <c r="P27" s="225">
        <f>IF(ISNUMBER(H27),H27/Population!H27*10000,NA())</f>
        <v>8.2677165354330704</v>
      </c>
      <c r="Q27" s="101">
        <f t="shared" si="8"/>
        <v>8.2677165354330704</v>
      </c>
      <c r="R27" s="882" t="str">
        <f t="shared" si="1"/>
        <v>--</v>
      </c>
      <c r="S27" s="69"/>
      <c r="T27" s="725">
        <f>IDACI!C26</f>
        <v>21.9</v>
      </c>
      <c r="U27" s="1002"/>
      <c r="V27" s="140"/>
      <c r="W27" s="149"/>
      <c r="X27" s="1012" t="str">
        <f t="shared" si="2"/>
        <v>Torbay</v>
      </c>
      <c r="Y27" s="45">
        <f>IF(ISNUMBER(H27),IDACI!D26,0)</f>
        <v>22257</v>
      </c>
      <c r="Z27" s="45">
        <f>IF(ISNUMBER(H27),IDACI!E26,0)</f>
        <v>4874.2829999999994</v>
      </c>
      <c r="AA27" s="1016">
        <f>IF(ISNUMBER(D27),Population!D27,"")</f>
        <v>25100</v>
      </c>
      <c r="AB27" s="202">
        <f>IF(ISNUMBER(E27),Population!E27,"")</f>
        <v>25200</v>
      </c>
      <c r="AC27" s="202">
        <f>IF(ISNUMBER(F27),Population!F27,"")</f>
        <v>25400</v>
      </c>
      <c r="AD27" s="202">
        <f>IF(ISNUMBER(G27),Population!G27,"")</f>
        <v>25400</v>
      </c>
      <c r="AE27" s="1017">
        <f>IF(ISNUMBER(H27),Population!H27,"")</f>
        <v>25400</v>
      </c>
      <c r="AF27" s="1013" t="s">
        <v>30</v>
      </c>
      <c r="AG27" s="225" t="str">
        <f t="shared" si="9"/>
        <v/>
      </c>
      <c r="AH27" s="203" t="e">
        <f t="shared" si="10"/>
        <v>#VALUE!</v>
      </c>
      <c r="AI27" s="185"/>
      <c r="AJ27" s="185"/>
      <c r="AK27" s="199"/>
      <c r="AL27" s="199"/>
      <c r="AM27" s="199"/>
      <c r="AN27" s="156"/>
      <c r="AO27" s="792">
        <f t="shared" si="3"/>
        <v>-0.5</v>
      </c>
      <c r="AP27" s="792">
        <f t="shared" si="4"/>
        <v>0.4</v>
      </c>
      <c r="AQ27" s="792">
        <f t="shared" si="5"/>
        <v>-0.5</v>
      </c>
      <c r="AR27" s="792">
        <f t="shared" si="6"/>
        <v>2</v>
      </c>
      <c r="AS27" s="792">
        <f t="shared" si="11"/>
        <v>0.35</v>
      </c>
    </row>
    <row r="28" spans="1:45" s="89" customFormat="1" ht="13.5" customHeight="1" x14ac:dyDescent="0.2">
      <c r="A28" s="462">
        <f>VLOOKUP(B28,Sheet1!$AQ$4:$AR$25,2,FALSE)</f>
        <v>0</v>
      </c>
      <c r="B28" s="95" t="str">
        <f>Sheet1!$K$22</f>
        <v>West Berkshire</v>
      </c>
      <c r="C28" s="87"/>
      <c r="D28" s="102" t="str">
        <f>IF(Year1_West_Berkshire Year1_Adoption_PFA="","",Year1_West_Berkshire Year1_Adoption_PFA)</f>
        <v>x</v>
      </c>
      <c r="E28" s="102">
        <f>IF(Year2_West_Berkshire Year2_Adoption_PFA="","",Year2_West_Berkshire Year2_Adoption_PFA)</f>
        <v>10</v>
      </c>
      <c r="F28" s="102" t="str">
        <f>IF(Year3_West_Berkshire Year3_Adoption_PFA="","",Year3_West_Berkshire Year3_Adoption_PFA)</f>
        <v>x</v>
      </c>
      <c r="G28" s="102" t="str">
        <f>IF(Year4_West_Berkshire Year4_Adoption_PFA="","",Year4_West_Berkshire Year4_Adoption_PFA)</f>
        <v>x</v>
      </c>
      <c r="H28" s="563" t="str">
        <f>IF(Year5_West_Berkshire Year5_Adoption_PFA="","",Year5_West_Berkshire Year5_Adoption_PFA)</f>
        <v>x</v>
      </c>
      <c r="I28" s="1009" t="e">
        <f t="shared" si="7"/>
        <v>#DIV/0!</v>
      </c>
      <c r="J28" s="798" t="e">
        <f t="shared" si="0"/>
        <v>#DIV/0!</v>
      </c>
      <c r="K28" s="98"/>
      <c r="L28" s="986" t="e">
        <f>IF(ISNUMBER(D28),D28/Population!D28*10000,NA())</f>
        <v>#N/A</v>
      </c>
      <c r="M28" s="986">
        <f>IF(ISNUMBER(E28),E28/Population!E28*10000,NA())</f>
        <v>2.8011204481792715</v>
      </c>
      <c r="N28" s="986" t="e">
        <f>IF(ISNUMBER(F28),F28/Population!F28*10000,NA())</f>
        <v>#N/A</v>
      </c>
      <c r="O28" s="986" t="e">
        <f>IF(ISNUMBER(G28),G28/Population!G28*10000,NA())</f>
        <v>#N/A</v>
      </c>
      <c r="P28" s="225" t="e">
        <f>IF(ISNUMBER(H28),H28/Population!H28*10000,NA())</f>
        <v>#N/A</v>
      </c>
      <c r="Q28" s="101" t="str">
        <f t="shared" si="8"/>
        <v/>
      </c>
      <c r="R28" s="885" t="e">
        <f t="shared" si="1"/>
        <v>#N/A</v>
      </c>
      <c r="S28" s="69"/>
      <c r="T28" s="725">
        <f>IDACI!C27</f>
        <v>8.6999999999999993</v>
      </c>
      <c r="U28" s="1002"/>
      <c r="V28" s="140"/>
      <c r="W28" s="149"/>
      <c r="X28" s="1012" t="str">
        <f t="shared" si="2"/>
        <v>West Berkshire</v>
      </c>
      <c r="Y28" s="45">
        <f>IF(ISNUMBER(H28),IDACI!D27,0)</f>
        <v>0</v>
      </c>
      <c r="Z28" s="45">
        <f>IF(ISNUMBER(H28),IDACI!E27,0)</f>
        <v>0</v>
      </c>
      <c r="AA28" s="1016" t="str">
        <f>IF(ISNUMBER(D28),Population!D28,"")</f>
        <v/>
      </c>
      <c r="AB28" s="202">
        <f>IF(ISNUMBER(E28),Population!E28,"")</f>
        <v>35700</v>
      </c>
      <c r="AC28" s="202" t="str">
        <f>IF(ISNUMBER(F28),Population!F28,"")</f>
        <v/>
      </c>
      <c r="AD28" s="202" t="str">
        <f>IF(ISNUMBER(G28),Population!G28,"")</f>
        <v/>
      </c>
      <c r="AE28" s="1017" t="str">
        <f>IF(ISNUMBER(H28),Population!H28,"")</f>
        <v/>
      </c>
      <c r="AF28" s="1013" t="s">
        <v>16</v>
      </c>
      <c r="AG28" s="225" t="str">
        <f t="shared" si="9"/>
        <v/>
      </c>
      <c r="AH28" s="203" t="e">
        <f t="shared" si="10"/>
        <v>#VALUE!</v>
      </c>
      <c r="AI28" s="185"/>
      <c r="AJ28" s="185"/>
      <c r="AK28" s="199"/>
      <c r="AL28" s="199"/>
      <c r="AM28" s="199"/>
      <c r="AN28" s="156"/>
      <c r="AO28" s="792" t="str">
        <f t="shared" si="3"/>
        <v>x</v>
      </c>
      <c r="AP28" s="792" t="str">
        <f t="shared" si="4"/>
        <v>x</v>
      </c>
      <c r="AQ28" s="792" t="str">
        <f t="shared" si="5"/>
        <v>x</v>
      </c>
      <c r="AR28" s="792" t="str">
        <f t="shared" si="6"/>
        <v>x</v>
      </c>
      <c r="AS28" s="792" t="e">
        <f t="shared" si="11"/>
        <v>#DIV/0!</v>
      </c>
    </row>
    <row r="29" spans="1:45" s="89" customFormat="1" ht="13.5" customHeight="1" x14ac:dyDescent="0.2">
      <c r="A29" s="462">
        <f>VLOOKUP(B29,Sheet1!$AQ$4:$AR$25,2,FALSE)</f>
        <v>0</v>
      </c>
      <c r="B29" s="95" t="str">
        <f>Sheet1!$K$23</f>
        <v>West Sussex</v>
      </c>
      <c r="C29" s="87"/>
      <c r="D29" s="102">
        <f>IF(Year1_West_Sussex Year1_Adoption_PFA="","",Year1_West_Sussex Year1_Adoption_PFA)</f>
        <v>30</v>
      </c>
      <c r="E29" s="102">
        <f>IF(Year2_West_Sussex Year2_Adoption_PFA="","",Year2_West_Sussex Year2_Adoption_PFA)</f>
        <v>45</v>
      </c>
      <c r="F29" s="102">
        <f>IF(Year3_West_Sussex Year3_Adoption_PFA="","",Year3_West_Sussex Year3_Adoption_PFA)</f>
        <v>30</v>
      </c>
      <c r="G29" s="102">
        <f>IF(Year4_West_Sussex Year4_Adoption_PFA="","",Year4_West_Sussex Year4_Adoption_PFA)</f>
        <v>41</v>
      </c>
      <c r="H29" s="563">
        <f>IF(Year5_West_Sussex Year5_Adoption_PFA="","",Year5_West_Sussex Year5_Adoption_PFA)</f>
        <v>35</v>
      </c>
      <c r="I29" s="1009">
        <f t="shared" si="7"/>
        <v>9.674796747967479E-2</v>
      </c>
      <c r="J29" s="798">
        <f t="shared" si="0"/>
        <v>9.674796747967479E-2</v>
      </c>
      <c r="K29" s="98"/>
      <c r="L29" s="986">
        <f>IF(ISNUMBER(D29),D29/Population!D29*10000,NA())</f>
        <v>1.777251184834123</v>
      </c>
      <c r="M29" s="986">
        <f>IF(ISNUMBER(E29),E29/Population!E29*10000,NA())</f>
        <v>2.640845070422535</v>
      </c>
      <c r="N29" s="986">
        <f>IF(ISNUMBER(F29),F29/Population!F29*10000,NA())</f>
        <v>1.7462165308498254</v>
      </c>
      <c r="O29" s="986">
        <f>IF(ISNUMBER(G29),G29/Population!G29*10000,NA())</f>
        <v>2.3658395845354878</v>
      </c>
      <c r="P29" s="225">
        <f>IF(ISNUMBER(H29),H29/Population!H29*10000,NA())</f>
        <v>2.0034344590726958</v>
      </c>
      <c r="Q29" s="101">
        <f t="shared" si="8"/>
        <v>2.0034344590726958</v>
      </c>
      <c r="R29" s="885">
        <f t="shared" si="1"/>
        <v>10</v>
      </c>
      <c r="S29" s="69"/>
      <c r="T29" s="725">
        <f>IDACI!C28</f>
        <v>11</v>
      </c>
      <c r="U29" s="1002"/>
      <c r="V29" s="140"/>
      <c r="W29" s="149"/>
      <c r="X29" s="1012" t="str">
        <f t="shared" si="2"/>
        <v>West Sussex</v>
      </c>
      <c r="Y29" s="45">
        <f>IF(ISNUMBER(H29),IDACI!D28,0)</f>
        <v>151487</v>
      </c>
      <c r="Z29" s="45">
        <f>IF(ISNUMBER(H29),IDACI!E28,0)</f>
        <v>16663.57</v>
      </c>
      <c r="AA29" s="1016">
        <f>IF(ISNUMBER(D29),Population!D29,"")</f>
        <v>168800</v>
      </c>
      <c r="AB29" s="202">
        <f>IF(ISNUMBER(E29),Population!E29,"")</f>
        <v>170400</v>
      </c>
      <c r="AC29" s="202">
        <f>IF(ISNUMBER(F29),Population!F29,"")</f>
        <v>171800</v>
      </c>
      <c r="AD29" s="202">
        <f>IF(ISNUMBER(G29),Population!G29,"")</f>
        <v>173300</v>
      </c>
      <c r="AE29" s="1017">
        <f>IF(ISNUMBER(H29),Population!H29,"")</f>
        <v>174700</v>
      </c>
      <c r="AF29" s="199"/>
      <c r="AG29" s="199"/>
      <c r="AH29" s="185"/>
      <c r="AI29" s="185"/>
      <c r="AJ29" s="185"/>
      <c r="AK29" s="199"/>
      <c r="AL29" s="199"/>
      <c r="AM29" s="199"/>
      <c r="AN29" s="156"/>
      <c r="AO29" s="792">
        <f t="shared" si="3"/>
        <v>0.5</v>
      </c>
      <c r="AP29" s="792">
        <f t="shared" si="4"/>
        <v>-0.33333333333333331</v>
      </c>
      <c r="AQ29" s="792">
        <f t="shared" si="5"/>
        <v>0.36666666666666664</v>
      </c>
      <c r="AR29" s="792">
        <f t="shared" si="6"/>
        <v>-0.14634146341463414</v>
      </c>
      <c r="AS29" s="792">
        <f t="shared" si="11"/>
        <v>9.674796747967479E-2</v>
      </c>
    </row>
    <row r="30" spans="1:45" s="89" customFormat="1" ht="13.5" customHeight="1" x14ac:dyDescent="0.2">
      <c r="A30" s="462">
        <f>VLOOKUP(B30,Sheet1!$AQ$4:$AR$25,2,FALSE)</f>
        <v>0</v>
      </c>
      <c r="B30" s="95" t="str">
        <f>Sheet1!$K$24</f>
        <v>Windsor &amp; Maidenhead</v>
      </c>
      <c r="C30" s="87"/>
      <c r="D30" s="102">
        <f>IF(Year1_Windsor_Maidenhead Year1_Adoption_PFA="","",Year1_Windsor_Maidenhead Year1_Adoption_PFA)</f>
        <v>10</v>
      </c>
      <c r="E30" s="102" t="str">
        <f>IF(Year2_Windsor_Maidenhead Year2_Adoption_PFA="","",Year2_Windsor_Maidenhead Year2_Adoption_PFA)</f>
        <v>x</v>
      </c>
      <c r="F30" s="102" t="str">
        <f>IF(Year3_Windsor_Maidenhead Year3_Adoption_PFA="","",Year3_Windsor_Maidenhead Year3_Adoption_PFA)</f>
        <v>x</v>
      </c>
      <c r="G30" s="102" t="str">
        <f>IF(Year4_Windsor_Maidenhead Year4_Adoption_PFA="","",Year4_Windsor_Maidenhead Year4_Adoption_PFA)</f>
        <v>x</v>
      </c>
      <c r="H30" s="563" t="str">
        <f>IF(Year5_Windsor_Maidenhead Year5_Adoption_PFA="","",Year5_Windsor_Maidenhead Year5_Adoption_PFA)</f>
        <v>x</v>
      </c>
      <c r="I30" s="1009" t="e">
        <f t="shared" si="7"/>
        <v>#DIV/0!</v>
      </c>
      <c r="J30" s="798" t="e">
        <f t="shared" si="0"/>
        <v>#DIV/0!</v>
      </c>
      <c r="K30" s="98"/>
      <c r="L30" s="986">
        <f>IF(ISNUMBER(D30),D30/Population!D30*10000,NA())</f>
        <v>2.9940119760479043</v>
      </c>
      <c r="M30" s="986" t="e">
        <f>IF(ISNUMBER(E30),E30/Population!E30*10000,NA())</f>
        <v>#N/A</v>
      </c>
      <c r="N30" s="986" t="e">
        <f>IF(ISNUMBER(F30),F30/Population!F30*10000,NA())</f>
        <v>#N/A</v>
      </c>
      <c r="O30" s="986" t="e">
        <f>IF(ISNUMBER(G30),G30/Population!G30*10000,NA())</f>
        <v>#N/A</v>
      </c>
      <c r="P30" s="225" t="e">
        <f>IF(ISNUMBER(H30),H30/Population!H30*10000,NA())</f>
        <v>#N/A</v>
      </c>
      <c r="Q30" s="101" t="str">
        <f t="shared" si="8"/>
        <v/>
      </c>
      <c r="R30" s="885" t="e">
        <f t="shared" si="1"/>
        <v>#N/A</v>
      </c>
      <c r="S30" s="69"/>
      <c r="T30" s="725">
        <f>IDACI!C29</f>
        <v>6.7</v>
      </c>
      <c r="U30" s="1002"/>
      <c r="V30" s="140"/>
      <c r="W30" s="149"/>
      <c r="X30" s="1012" t="str">
        <f t="shared" si="2"/>
        <v>Windsor &amp; Maidenhead</v>
      </c>
      <c r="Y30" s="45">
        <f>IF(ISNUMBER(H30),IDACI!D29,0)</f>
        <v>0</v>
      </c>
      <c r="Z30" s="45">
        <f>IF(ISNUMBER(H30),IDACI!E29,0)</f>
        <v>0</v>
      </c>
      <c r="AA30" s="1016">
        <f>IF(ISNUMBER(D30),Population!D30,"")</f>
        <v>33400</v>
      </c>
      <c r="AB30" s="202" t="str">
        <f>IF(ISNUMBER(E30),Population!E30,"")</f>
        <v/>
      </c>
      <c r="AC30" s="202" t="str">
        <f>IF(ISNUMBER(F30),Population!F30,"")</f>
        <v/>
      </c>
      <c r="AD30" s="202" t="str">
        <f>IF(ISNUMBER(G30),Population!G30,"")</f>
        <v/>
      </c>
      <c r="AE30" s="1017" t="str">
        <f>IF(ISNUMBER(H30),Population!H30,"")</f>
        <v/>
      </c>
      <c r="AF30" s="199"/>
      <c r="AG30" s="199"/>
      <c r="AH30" s="185"/>
      <c r="AI30" s="185"/>
      <c r="AJ30" s="185"/>
      <c r="AK30" s="199"/>
      <c r="AL30" s="199"/>
      <c r="AM30" s="199"/>
      <c r="AN30" s="156"/>
      <c r="AO30" s="792" t="str">
        <f t="shared" si="3"/>
        <v>x</v>
      </c>
      <c r="AP30" s="792" t="str">
        <f t="shared" si="4"/>
        <v>x</v>
      </c>
      <c r="AQ30" s="792" t="str">
        <f t="shared" si="5"/>
        <v>x</v>
      </c>
      <c r="AR30" s="792" t="str">
        <f t="shared" si="6"/>
        <v>x</v>
      </c>
      <c r="AS30" s="792" t="e">
        <f t="shared" si="11"/>
        <v>#DIV/0!</v>
      </c>
    </row>
    <row r="31" spans="1:45" s="89" customFormat="1" ht="13.5" customHeight="1" x14ac:dyDescent="0.2">
      <c r="A31" s="462">
        <f>VLOOKUP(B31,Sheet1!$AQ$4:$AR$25,2,FALSE)</f>
        <v>0</v>
      </c>
      <c r="B31" s="95" t="str">
        <f>Sheet1!$K$25</f>
        <v>Wokingham</v>
      </c>
      <c r="C31" s="87"/>
      <c r="D31" s="102" t="str">
        <f>IF(Year1_Wokingham Year1_Adoption_PFA="","",Year1_Wokingham Year1_Adoption_PFA)</f>
        <v>x</v>
      </c>
      <c r="E31" s="102" t="str">
        <f>IF(Year2_Wokingham Year2_Adoption_PFA="","",Year2_Wokingham Year2_Adoption_PFA)</f>
        <v>x</v>
      </c>
      <c r="F31" s="102" t="str">
        <f>IF(Year3_Wokingham Year3_Adoption_PFA="","",Year3_Wokingham Year3_Adoption_PFA)</f>
        <v>x</v>
      </c>
      <c r="G31" s="102" t="str">
        <f>IF(Year4_Wokingham Year4_Adoption_PFA="","",Year4_Wokingham Year4_Adoption_PFA)</f>
        <v>x</v>
      </c>
      <c r="H31" s="563" t="str">
        <f>IF(Year5_Wokingham Year5_Adoption_PFA="","",Year5_Wokingham Year5_Adoption_PFA)</f>
        <v>x</v>
      </c>
      <c r="I31" s="1009" t="e">
        <f t="shared" si="7"/>
        <v>#DIV/0!</v>
      </c>
      <c r="J31" s="798" t="e">
        <f t="shared" si="0"/>
        <v>#DIV/0!</v>
      </c>
      <c r="K31" s="98"/>
      <c r="L31" s="986" t="e">
        <f>IF(ISNUMBER(D31),D31/Population!D31*10000,NA())</f>
        <v>#N/A</v>
      </c>
      <c r="M31" s="986" t="e">
        <f>IF(ISNUMBER(E31),E31/Population!E31*10000,NA())</f>
        <v>#N/A</v>
      </c>
      <c r="N31" s="986" t="e">
        <f>IF(ISNUMBER(F31),F31/Population!F31*10000,NA())</f>
        <v>#N/A</v>
      </c>
      <c r="O31" s="986" t="e">
        <f>IF(ISNUMBER(G31),G31/Population!G31*10000,NA())</f>
        <v>#N/A</v>
      </c>
      <c r="P31" s="225" t="e">
        <f>IF(ISNUMBER(H31),H31/Population!H31*10000,NA())</f>
        <v>#N/A</v>
      </c>
      <c r="Q31" s="101" t="str">
        <f t="shared" si="8"/>
        <v/>
      </c>
      <c r="R31" s="885" t="e">
        <f t="shared" si="1"/>
        <v>#N/A</v>
      </c>
      <c r="S31" s="69"/>
      <c r="T31" s="725">
        <f>IDACI!C30</f>
        <v>5.6000000000000005</v>
      </c>
      <c r="U31" s="1002"/>
      <c r="V31" s="140"/>
      <c r="W31" s="149"/>
      <c r="X31" s="1012" t="str">
        <f t="shared" si="2"/>
        <v>Wokingham</v>
      </c>
      <c r="Y31" s="45">
        <f>IF(ISNUMBER(H31),IDACI!D30,0)</f>
        <v>0</v>
      </c>
      <c r="Z31" s="45">
        <f>IF(ISNUMBER(H31),IDACI!E30,0)</f>
        <v>0</v>
      </c>
      <c r="AA31" s="1016" t="str">
        <f>IF(ISNUMBER(D31),Population!D31,"")</f>
        <v/>
      </c>
      <c r="AB31" s="202" t="str">
        <f>IF(ISNUMBER(E31),Population!E31,"")</f>
        <v/>
      </c>
      <c r="AC31" s="202" t="str">
        <f>IF(ISNUMBER(F31),Population!F31,"")</f>
        <v/>
      </c>
      <c r="AD31" s="202" t="str">
        <f>IF(ISNUMBER(G31),Population!G31,"")</f>
        <v/>
      </c>
      <c r="AE31" s="1017" t="str">
        <f>IF(ISNUMBER(H31),Population!H31,"")</f>
        <v/>
      </c>
      <c r="AF31" s="199"/>
      <c r="AG31" s="199"/>
      <c r="AH31" s="185"/>
      <c r="AI31" s="185"/>
      <c r="AJ31" s="185"/>
      <c r="AK31" s="199"/>
      <c r="AL31" s="199"/>
      <c r="AM31" s="199"/>
      <c r="AN31" s="156"/>
      <c r="AO31" s="792" t="str">
        <f t="shared" si="3"/>
        <v>x</v>
      </c>
      <c r="AP31" s="792" t="str">
        <f t="shared" si="4"/>
        <v>x</v>
      </c>
      <c r="AQ31" s="792" t="str">
        <f t="shared" si="5"/>
        <v>x</v>
      </c>
      <c r="AR31" s="792" t="str">
        <f t="shared" si="6"/>
        <v>x</v>
      </c>
      <c r="AS31" s="792" t="e">
        <f t="shared" si="11"/>
        <v>#DIV/0!</v>
      </c>
    </row>
    <row r="32" spans="1:45" s="89" customFormat="1" ht="13.5" customHeight="1" x14ac:dyDescent="0.2">
      <c r="A32" s="286"/>
      <c r="B32" s="131" t="str">
        <f>Sheet1!$K$26</f>
        <v>South East</v>
      </c>
      <c r="C32" s="87"/>
      <c r="D32" s="132">
        <f>IF(Year1_SouthEast Year1_Adoption_PFA="","",Year1_SouthEast Year1_Adoption_PFA)</f>
        <v>500</v>
      </c>
      <c r="E32" s="132">
        <f>IF(Year2_SouthEast Year2_Adoption_PFA="","",Year2_SouthEast Year2_Adoption_PFA)</f>
        <v>410</v>
      </c>
      <c r="F32" s="132">
        <f>IF(Year3_SouthEast Year3_Adoption_PFA="","",Year3_SouthEast Year3_Adoption_PFA)</f>
        <v>380</v>
      </c>
      <c r="G32" s="132">
        <f>IF(Year4_SouthEast Year4_Adoption_PFA="","",Year4_SouthEast Year4_Adoption_PFA)</f>
        <v>340</v>
      </c>
      <c r="H32" s="133">
        <f>IF(Year5_SouthEast Year5_Adoption_PFA="","",Year5_SouthEast Year5_Adoption_PFA)</f>
        <v>280</v>
      </c>
      <c r="I32" s="797">
        <f t="shared" si="7"/>
        <v>-0.10914703261870004</v>
      </c>
      <c r="J32" s="798">
        <f t="shared" si="0"/>
        <v>-0.10914703261870004</v>
      </c>
      <c r="K32" s="98"/>
      <c r="L32" s="134">
        <f>IF(ISNUMBER(D32),D32/AA32*10000,NA())</f>
        <v>2.7901785714285712</v>
      </c>
      <c r="M32" s="134">
        <f>IF(ISNUMBER(E32),E32/AB32*10000,NA())</f>
        <v>2.3352508970780885</v>
      </c>
      <c r="N32" s="134">
        <f>IF(ISNUMBER(F32),F32/AC32*10000,NA())</f>
        <v>2.2141941498659832</v>
      </c>
      <c r="O32" s="134">
        <f>IF(ISNUMBER(G32),G32/AD32*10000,NA())</f>
        <v>2.0359281437125749</v>
      </c>
      <c r="P32" s="135">
        <f>IF(ISNUMBER(H32),H32/AE32*10000,NA())</f>
        <v>1.7484700886724116</v>
      </c>
      <c r="Q32" s="101">
        <f t="shared" si="8"/>
        <v>1.7484700886724116</v>
      </c>
      <c r="R32" s="883" t="str">
        <f t="shared" si="1"/>
        <v>--</v>
      </c>
      <c r="S32" s="69"/>
      <c r="T32" s="726">
        <f>Z32/Y32*100</f>
        <v>12.17834235917393</v>
      </c>
      <c r="U32" s="1002"/>
      <c r="V32" s="140"/>
      <c r="W32" s="149"/>
      <c r="X32" s="1012" t="str">
        <f t="shared" si="2"/>
        <v>South East</v>
      </c>
      <c r="Y32" s="1010">
        <f>SUM(Y24:Y25,Y10:Y22,Y28:Y31)</f>
        <v>1393776</v>
      </c>
      <c r="Z32" s="1011">
        <f>SUM(Z24:Z25,Z10:Z22,Z28:Z31)</f>
        <v>169738.81300000002</v>
      </c>
      <c r="AA32" s="1016">
        <f t="shared" ref="AA32:AD32" si="12">SUM(AA10:AA22,AA24:AA25,AA28:AA31)</f>
        <v>1792000</v>
      </c>
      <c r="AB32" s="202">
        <f t="shared" si="12"/>
        <v>1755700</v>
      </c>
      <c r="AC32" s="202">
        <f t="shared" si="12"/>
        <v>1716200</v>
      </c>
      <c r="AD32" s="202">
        <f t="shared" si="12"/>
        <v>1670000</v>
      </c>
      <c r="AE32" s="1017">
        <f>SUM(AE10:AE22,AE24:AE25,AE28:AE31)</f>
        <v>1601400</v>
      </c>
      <c r="AF32" s="199"/>
      <c r="AG32" s="199"/>
      <c r="AH32" s="185"/>
      <c r="AI32" s="185"/>
      <c r="AJ32" s="185"/>
      <c r="AK32" s="199"/>
      <c r="AL32" s="199"/>
      <c r="AM32" s="199"/>
      <c r="AN32" s="156"/>
      <c r="AO32" s="974">
        <f>IF(ISERROR((M32-L32)/L32),"x",(M32-L32)/L32)</f>
        <v>-0.163046078487213</v>
      </c>
      <c r="AP32" s="974">
        <f>IF(ISERROR((N32-M32)/M32),"x",(N32-M32)/M32)</f>
        <v>-5.1838861239095944E-2</v>
      </c>
      <c r="AQ32" s="974">
        <f>IF(ISERROR((O32-N32)/N32),"x",(O32-N32)/N32)</f>
        <v>-8.0510557831705062E-2</v>
      </c>
      <c r="AR32" s="974">
        <f>IF(ISERROR((P32-O32)/O32),"x",(P32-O32)/O32)</f>
        <v>-0.1411926329167861</v>
      </c>
      <c r="AS32" s="792">
        <f>AVERAGE(AO32:AR32)</f>
        <v>-0.10914703261870004</v>
      </c>
    </row>
    <row r="33" spans="1:68" s="89" customFormat="1" ht="13.5" customHeight="1" x14ac:dyDescent="0.2">
      <c r="A33" s="286"/>
      <c r="B33" s="318" t="str">
        <f>Sheet1!$K$27</f>
        <v>England</v>
      </c>
      <c r="C33" s="87"/>
      <c r="D33" s="319">
        <f>IF(Year1_England Year1_Adoption_PFA="","",Year1_England Year1_Adoption_PFA)</f>
        <v>3320</v>
      </c>
      <c r="E33" s="319">
        <f>IF(Year2_England Year2_Adoption_PFA="","",Year2_England Year2_Adoption_PFA)</f>
        <v>2940</v>
      </c>
      <c r="F33" s="319">
        <f>IF(Year3_England Year3_Adoption_PFA="","",Year3_England Year3_Adoption_PFA)</f>
        <v>2520</v>
      </c>
      <c r="G33" s="319">
        <f>IF(Year4_England Year4_Adoption_PFA="","",Year4_England Year4_Adoption_PFA)</f>
        <v>2230</v>
      </c>
      <c r="H33" s="320">
        <f>IF(Year5_England Year5_Adoption_PFA="","",Year5_England Year5_Adoption_PFA)</f>
        <v>2190</v>
      </c>
      <c r="I33" s="320"/>
      <c r="J33" s="351">
        <f t="shared" ref="J33" si="13">IF(ISNUMBER(H33),(H33-E33)/E33,"")</f>
        <v>-0.25510204081632654</v>
      </c>
      <c r="K33" s="98"/>
      <c r="L33" s="321">
        <f>IF(ISNUMBER(D33),D33/Population!D33*10000,NA())</f>
        <v>2.8641182915361854</v>
      </c>
      <c r="M33" s="321">
        <f>IF(ISNUMBER(E33),E33/Population!E33*10000,NA())</f>
        <v>2.5175759340292343</v>
      </c>
      <c r="N33" s="321">
        <f>IF(ISNUMBER(F33),F33/Population!F33*10000,NA())</f>
        <v>2.1382569811544894</v>
      </c>
      <c r="O33" s="321">
        <f>IF(ISNUMBER(G33),G33/Population!G33*10000,NA())</f>
        <v>1.8791606977332098</v>
      </c>
      <c r="P33" s="471">
        <f>IF(ISNUMBER(H33),H33/Population!H33*10000,NA())</f>
        <v>1.8319308048784566</v>
      </c>
      <c r="Q33" s="993">
        <f t="shared" si="8"/>
        <v>1.8319308048784566</v>
      </c>
      <c r="R33" s="884" t="str">
        <f t="shared" si="1"/>
        <v>--</v>
      </c>
      <c r="S33" s="69"/>
      <c r="T33" s="727">
        <f>IDACI!C32</f>
        <v>17.084413405029373</v>
      </c>
      <c r="U33" s="1002"/>
      <c r="V33" s="140"/>
      <c r="W33" s="149"/>
      <c r="X33" s="1012" t="str">
        <f t="shared" si="2"/>
        <v>England</v>
      </c>
      <c r="Y33" s="45">
        <f>IF(ISNUMBER(H33),IDACI!D32,0)</f>
        <v>10405050</v>
      </c>
      <c r="Z33" s="45">
        <f>IF(ISNUMBER(H33),IDACI!E32,0)</f>
        <v>1777641.7570000088</v>
      </c>
      <c r="AA33" s="1016">
        <f>IF(D33&gt;0,Population!D33,"")</f>
        <v>11591700</v>
      </c>
      <c r="AB33" s="202">
        <f>IF(E33&gt;0,Population!E33,"")</f>
        <v>11677900</v>
      </c>
      <c r="AC33" s="202">
        <f>IF(F33&gt;0,Population!F33,"")</f>
        <v>11785300</v>
      </c>
      <c r="AD33" s="202">
        <f>IF(G33&gt;0,Population!G33,"")</f>
        <v>11867000</v>
      </c>
      <c r="AE33" s="1017">
        <f>IF(H33&gt;0,Population!H33,"")</f>
        <v>11954600</v>
      </c>
      <c r="AF33" s="199"/>
      <c r="AG33" s="199"/>
      <c r="AH33" s="185"/>
      <c r="AI33" s="185"/>
      <c r="AJ33" s="185"/>
      <c r="AK33" s="199"/>
      <c r="AL33" s="199"/>
      <c r="AM33" s="199"/>
      <c r="AN33" s="156"/>
    </row>
    <row r="34" spans="1:68" s="83" customFormat="1" ht="13.5" customHeight="1" x14ac:dyDescent="0.2">
      <c r="A34" s="271"/>
      <c r="B34" s="125" t="s">
        <v>90</v>
      </c>
      <c r="C34" s="63"/>
      <c r="E34" s="63"/>
      <c r="G34" s="63"/>
      <c r="H34" s="63"/>
      <c r="I34" s="63"/>
      <c r="J34" s="63"/>
      <c r="K34" s="63"/>
      <c r="L34" s="63"/>
      <c r="M34" s="63"/>
      <c r="N34" s="63"/>
      <c r="O34" s="63"/>
      <c r="P34" s="63"/>
      <c r="Q34" s="63"/>
      <c r="R34" s="137" t="s">
        <v>109</v>
      </c>
      <c r="T34" s="63"/>
      <c r="U34" s="1002"/>
      <c r="V34" s="138"/>
      <c r="W34" s="147"/>
      <c r="X34" s="82"/>
      <c r="Y34" s="179"/>
      <c r="Z34" s="179"/>
      <c r="AA34" s="179"/>
      <c r="AB34" s="179"/>
      <c r="AC34" s="179"/>
      <c r="AD34" s="179"/>
      <c r="AE34" s="179"/>
      <c r="AF34" s="179"/>
      <c r="AG34" s="179"/>
      <c r="AK34" s="179"/>
      <c r="AL34" s="179"/>
      <c r="AM34" s="179"/>
      <c r="AN34" s="157"/>
    </row>
    <row r="35" spans="1:68" s="83" customFormat="1" ht="12.75" customHeight="1" x14ac:dyDescent="0.2">
      <c r="A35" s="271"/>
      <c r="B35" s="1625"/>
      <c r="C35" s="1625"/>
      <c r="D35" s="1625"/>
      <c r="E35" s="1625"/>
      <c r="F35" s="1625"/>
      <c r="G35" s="1625"/>
      <c r="H35" s="1625"/>
      <c r="I35" s="1625"/>
      <c r="J35" s="1625"/>
      <c r="K35" s="1625"/>
      <c r="L35" s="1625"/>
      <c r="M35" s="1625"/>
      <c r="N35" s="1625"/>
      <c r="O35" s="1625"/>
      <c r="P35" s="1626"/>
      <c r="Q35" s="991" t="s">
        <v>73</v>
      </c>
      <c r="R35" s="1619" t="s">
        <v>773</v>
      </c>
      <c r="S35" s="1620"/>
      <c r="T35" s="1621"/>
      <c r="U35" s="1002"/>
      <c r="V35" s="138"/>
      <c r="W35" s="147"/>
      <c r="X35" s="82"/>
      <c r="Y35" s="179"/>
      <c r="Z35" s="179"/>
      <c r="AA35" s="179"/>
      <c r="AB35" s="179"/>
      <c r="AC35" s="179"/>
      <c r="AD35" s="179"/>
      <c r="AE35" s="179"/>
      <c r="AF35" s="179"/>
      <c r="AG35" s="179"/>
      <c r="AK35" s="179"/>
      <c r="AL35" s="179"/>
      <c r="AM35" s="179"/>
      <c r="AN35" s="153"/>
      <c r="AO35" s="76"/>
      <c r="AP35" s="76"/>
      <c r="AQ35" s="76"/>
      <c r="AR35" s="76"/>
      <c r="AS35" s="76"/>
      <c r="AT35" s="76"/>
      <c r="AU35" s="76"/>
    </row>
    <row r="36" spans="1:68" s="83" customFormat="1" ht="12.75" customHeight="1" x14ac:dyDescent="0.2">
      <c r="A36" s="271"/>
      <c r="B36" s="1625"/>
      <c r="C36" s="1625"/>
      <c r="D36" s="1625"/>
      <c r="E36" s="1625"/>
      <c r="F36" s="1625"/>
      <c r="G36" s="1625"/>
      <c r="H36" s="1625"/>
      <c r="I36" s="1625"/>
      <c r="J36" s="1625"/>
      <c r="K36" s="1625"/>
      <c r="L36" s="1625"/>
      <c r="M36" s="1625"/>
      <c r="N36" s="1625"/>
      <c r="O36" s="1625"/>
      <c r="P36" s="1626"/>
      <c r="Q36" s="992" t="e">
        <v>#N/A</v>
      </c>
      <c r="R36" s="1622"/>
      <c r="S36" s="1623"/>
      <c r="T36" s="1624"/>
      <c r="U36" s="1002"/>
      <c r="V36" s="138"/>
      <c r="W36" s="147"/>
      <c r="X36" s="82"/>
      <c r="Y36" s="179"/>
      <c r="Z36" s="179"/>
      <c r="AA36" s="179"/>
      <c r="AB36" s="179"/>
      <c r="AC36" s="179"/>
      <c r="AD36" s="179"/>
      <c r="AE36" s="179"/>
      <c r="AF36" s="179"/>
      <c r="AG36" s="179"/>
      <c r="AK36" s="179"/>
      <c r="AL36" s="179"/>
      <c r="AM36" s="179"/>
      <c r="AN36" s="153"/>
      <c r="AO36" s="76"/>
      <c r="AP36" s="76"/>
      <c r="AQ36" s="76"/>
      <c r="AR36" s="76"/>
      <c r="AS36" s="76"/>
      <c r="AT36" s="76"/>
      <c r="AU36" s="76"/>
    </row>
    <row r="37" spans="1:68" s="83" customFormat="1" ht="7.5" customHeight="1" x14ac:dyDescent="0.2">
      <c r="A37" s="271"/>
      <c r="B37" s="18"/>
      <c r="C37" s="18"/>
      <c r="D37" s="17"/>
      <c r="E37" s="17"/>
      <c r="F37" s="17"/>
      <c r="G37" s="17"/>
      <c r="H37" s="17"/>
      <c r="I37" s="17"/>
      <c r="J37" s="17"/>
      <c r="K37" s="13"/>
      <c r="L37" s="19"/>
      <c r="M37" s="19"/>
      <c r="N37" s="19"/>
      <c r="O37" s="19"/>
      <c r="P37" s="19"/>
      <c r="Q37" s="19"/>
      <c r="R37" s="19"/>
      <c r="S37" s="19"/>
      <c r="T37" s="19"/>
      <c r="U37" s="1003"/>
      <c r="V37" s="138"/>
      <c r="W37" s="147"/>
      <c r="Y37" s="185"/>
      <c r="AK37" s="179"/>
      <c r="AL37" s="179"/>
      <c r="AM37" s="179"/>
      <c r="AN37" s="153"/>
      <c r="AO37" s="76"/>
      <c r="AP37" s="76"/>
      <c r="AQ37" s="76"/>
      <c r="AR37" s="76"/>
      <c r="AS37" s="76"/>
      <c r="AT37" s="76"/>
      <c r="AU37" s="76"/>
    </row>
    <row r="38" spans="1:68" s="83" customFormat="1" ht="15" customHeight="1" x14ac:dyDescent="0.2">
      <c r="A38" s="1443"/>
      <c r="B38" s="1421"/>
      <c r="C38" s="1421"/>
      <c r="D38" s="1421"/>
      <c r="E38" s="1421"/>
      <c r="F38" s="1421"/>
      <c r="G38" s="1421"/>
      <c r="H38" s="1421"/>
      <c r="I38" s="1421"/>
      <c r="J38" s="1421"/>
      <c r="K38" s="1421"/>
      <c r="L38" s="1421"/>
      <c r="M38" s="1421"/>
      <c r="N38" s="1421"/>
      <c r="O38" s="1421"/>
      <c r="P38" s="1421"/>
      <c r="Q38" s="1421"/>
      <c r="R38" s="1421"/>
      <c r="S38" s="1421"/>
      <c r="T38" s="1421"/>
      <c r="U38" s="1422"/>
      <c r="V38" s="138"/>
      <c r="W38" s="147"/>
      <c r="Y38" s="185"/>
      <c r="AN38" s="157"/>
      <c r="AP38" s="83">
        <v>11</v>
      </c>
      <c r="AQ38" s="83">
        <v>12</v>
      </c>
      <c r="AR38" s="83">
        <v>13</v>
      </c>
      <c r="AS38" s="83">
        <v>14</v>
      </c>
      <c r="AT38" s="83">
        <v>15</v>
      </c>
      <c r="AU38" s="83">
        <v>19</v>
      </c>
      <c r="AV38" s="83">
        <v>3</v>
      </c>
      <c r="AW38" s="25">
        <v>4</v>
      </c>
      <c r="AX38" s="25">
        <v>5</v>
      </c>
      <c r="AY38" s="25">
        <v>6</v>
      </c>
      <c r="AZ38" s="24">
        <v>7</v>
      </c>
      <c r="BA38" s="83">
        <v>3</v>
      </c>
      <c r="BB38" s="25">
        <v>4</v>
      </c>
      <c r="BC38" s="25">
        <v>5</v>
      </c>
      <c r="BD38" s="25">
        <v>6</v>
      </c>
      <c r="BE38" s="24">
        <v>7</v>
      </c>
    </row>
    <row r="39" spans="1:68" s="83" customFormat="1" ht="11.25" customHeight="1" x14ac:dyDescent="0.2">
      <c r="A39" s="1471" t="str">
        <f>Home!$A$40</f>
        <v>LA's provide quarterly data on the condition that it is used by the benchmarking group for internal reporting only. Please DO NOT share other LA's data with any external partners or the public</v>
      </c>
      <c r="B39" s="1431"/>
      <c r="C39" s="1431"/>
      <c r="D39" s="1431"/>
      <c r="E39" s="1431"/>
      <c r="F39" s="1431"/>
      <c r="G39" s="1431"/>
      <c r="H39" s="1431"/>
      <c r="I39" s="1431"/>
      <c r="J39" s="1431"/>
      <c r="K39" s="1431"/>
      <c r="L39" s="1431"/>
      <c r="M39" s="1431"/>
      <c r="N39" s="1431"/>
      <c r="O39" s="1431"/>
      <c r="P39" s="1431"/>
      <c r="Q39" s="1431"/>
      <c r="R39" s="1431"/>
      <c r="S39" s="1431"/>
      <c r="T39" s="1431"/>
      <c r="U39" s="1482"/>
      <c r="V39" s="138"/>
      <c r="W39" s="147"/>
      <c r="Y39" s="185"/>
      <c r="AK39" s="179"/>
      <c r="AL39" s="179"/>
      <c r="AM39" s="179"/>
      <c r="AN39" s="156"/>
      <c r="AO39" s="89"/>
      <c r="AP39" s="1567" t="s">
        <v>89</v>
      </c>
      <c r="AQ39" s="1568"/>
      <c r="AR39" s="1568"/>
      <c r="AS39" s="1568"/>
      <c r="AT39" s="1568"/>
      <c r="AU39" s="1570" t="s">
        <v>95</v>
      </c>
      <c r="AV39" s="1634" t="s">
        <v>171</v>
      </c>
      <c r="AW39" s="1635"/>
      <c r="AX39" s="1635"/>
      <c r="AY39" s="1635"/>
      <c r="AZ39" s="1636"/>
      <c r="BA39" s="1634" t="s">
        <v>172</v>
      </c>
      <c r="BB39" s="1635"/>
      <c r="BC39" s="1635"/>
      <c r="BD39" s="1635"/>
      <c r="BE39" s="1636"/>
    </row>
    <row r="40" spans="1:68" s="83" customFormat="1" ht="11.25" customHeight="1" x14ac:dyDescent="0.2">
      <c r="A40" s="114"/>
      <c r="B40" s="115"/>
      <c r="C40" s="115"/>
      <c r="D40" s="115"/>
      <c r="E40" s="115"/>
      <c r="F40" s="115"/>
      <c r="G40" s="115"/>
      <c r="H40" s="115"/>
      <c r="I40" s="115"/>
      <c r="J40" s="115"/>
      <c r="K40" s="116"/>
      <c r="L40" s="115"/>
      <c r="M40" s="115"/>
      <c r="N40" s="115"/>
      <c r="O40" s="115"/>
      <c r="P40" s="115"/>
      <c r="Q40" s="115"/>
      <c r="R40" s="115"/>
      <c r="S40" s="115"/>
      <c r="T40" s="115"/>
      <c r="U40" s="117"/>
      <c r="V40" s="138"/>
      <c r="W40" s="146" t="s">
        <v>102</v>
      </c>
      <c r="X40" s="192"/>
      <c r="Y40" s="192"/>
      <c r="Z40" s="192"/>
      <c r="AA40" s="192"/>
      <c r="AB40" s="192"/>
      <c r="AK40" s="179"/>
      <c r="AL40" s="179"/>
      <c r="AM40" s="179"/>
      <c r="AN40" s="156"/>
      <c r="AO40" s="89"/>
      <c r="AP40" s="463" t="str">
        <f>Sheet1!$D$25</f>
        <v>2014-15</v>
      </c>
      <c r="AQ40" s="463" t="str">
        <f>Sheet1!$E$25</f>
        <v>2015-16</v>
      </c>
      <c r="AR40" s="463" t="str">
        <f>Sheet1!$F$25</f>
        <v>2016-17</v>
      </c>
      <c r="AS40" s="463" t="str">
        <f>Sheet1!$G$25</f>
        <v>2017-18</v>
      </c>
      <c r="AT40" s="967" t="str">
        <f>Sheet1!$H$25</f>
        <v>2018-19</v>
      </c>
      <c r="AU40" s="1571"/>
      <c r="AV40" s="1048" t="str">
        <f>Sheet1!$D$25</f>
        <v>2014-15</v>
      </c>
      <c r="AW40" s="1048" t="str">
        <f>Sheet1!$E$25</f>
        <v>2015-16</v>
      </c>
      <c r="AX40" s="1048" t="str">
        <f>Sheet1!$F$25</f>
        <v>2016-17</v>
      </c>
      <c r="AY40" s="1048" t="str">
        <f>Sheet1!$G$25</f>
        <v>2017-18</v>
      </c>
      <c r="AZ40" s="1048" t="str">
        <f>Sheet1!$H$25</f>
        <v>2018-19</v>
      </c>
      <c r="BA40" s="1048" t="str">
        <f>Sheet1!$D$25</f>
        <v>2014-15</v>
      </c>
      <c r="BB40" s="1048" t="str">
        <f>Sheet1!$E$25</f>
        <v>2015-16</v>
      </c>
      <c r="BC40" s="1048" t="str">
        <f>Sheet1!$F$25</f>
        <v>2016-17</v>
      </c>
      <c r="BD40" s="1048" t="str">
        <f>Sheet1!$G$25</f>
        <v>2017-18</v>
      </c>
      <c r="BE40" s="1048" t="str">
        <f>Sheet1!$H$25</f>
        <v>2018-19</v>
      </c>
    </row>
    <row r="41" spans="1:68" s="83" customFormat="1" ht="3.75" customHeight="1" x14ac:dyDescent="0.25">
      <c r="A41" s="439"/>
      <c r="B41" s="9"/>
      <c r="C41" s="9"/>
      <c r="D41" s="9"/>
      <c r="E41" s="9"/>
      <c r="F41" s="9"/>
      <c r="G41" s="9"/>
      <c r="H41" s="9"/>
      <c r="I41" s="9"/>
      <c r="J41" s="9"/>
      <c r="K41" s="13"/>
      <c r="L41" s="9"/>
      <c r="M41" s="9"/>
      <c r="N41" s="9"/>
      <c r="O41" s="9"/>
      <c r="P41" s="9"/>
      <c r="Q41" s="9"/>
      <c r="R41" s="9"/>
      <c r="S41" s="9"/>
      <c r="T41" s="9"/>
      <c r="U41" s="119"/>
      <c r="V41" s="138"/>
      <c r="W41" s="288"/>
      <c r="AC41" s="1188" t="s">
        <v>1002</v>
      </c>
      <c r="AN41" s="156"/>
      <c r="AO41" s="89"/>
      <c r="AP41" s="463" t="e">
        <f>Sheet1!$D$26</f>
        <v>#N/A</v>
      </c>
      <c r="AQ41" s="463" t="e">
        <f>Sheet1!$E$26</f>
        <v>#N/A</v>
      </c>
      <c r="AR41" s="463" t="e">
        <f>Sheet1!$F$26</f>
        <v>#N/A</v>
      </c>
      <c r="AS41" s="463" t="e">
        <f>Sheet1!$G$26</f>
        <v>#N/A</v>
      </c>
      <c r="AT41" s="967" t="e">
        <f>Sheet1!$H$26</f>
        <v>#N/A</v>
      </c>
      <c r="AU41" s="1572"/>
      <c r="AV41" s="1048" t="e">
        <f>Sheet1!$D$26</f>
        <v>#N/A</v>
      </c>
      <c r="AW41" s="1048" t="e">
        <f>Sheet1!$E$26</f>
        <v>#N/A</v>
      </c>
      <c r="AX41" s="1048" t="e">
        <f>Sheet1!$F$26</f>
        <v>#N/A</v>
      </c>
      <c r="AY41" s="1048" t="e">
        <f>Sheet1!$G$26</f>
        <v>#N/A</v>
      </c>
      <c r="AZ41" s="1048" t="e">
        <f>Sheet1!$H$26</f>
        <v>#N/A</v>
      </c>
      <c r="BA41" s="1048" t="e">
        <f>Sheet1!$D$26</f>
        <v>#N/A</v>
      </c>
      <c r="BB41" s="1048" t="e">
        <f>Sheet1!$E$26</f>
        <v>#N/A</v>
      </c>
      <c r="BC41" s="1048" t="e">
        <f>Sheet1!$F$26</f>
        <v>#N/A</v>
      </c>
      <c r="BD41" s="1048" t="e">
        <f>Sheet1!$G$26</f>
        <v>#N/A</v>
      </c>
      <c r="BE41" s="1048" t="e">
        <f>Sheet1!$H$26</f>
        <v>#N/A</v>
      </c>
    </row>
    <row r="42" spans="1:68" s="83" customFormat="1" ht="14.25" customHeight="1" x14ac:dyDescent="0.2">
      <c r="A42" s="271"/>
      <c r="B42" s="9"/>
      <c r="C42" s="9"/>
      <c r="D42" s="9"/>
      <c r="E42" s="9"/>
      <c r="F42" s="9"/>
      <c r="G42" s="9"/>
      <c r="H42" s="9"/>
      <c r="I42" s="9"/>
      <c r="J42" s="9"/>
      <c r="K42" s="13"/>
      <c r="L42" s="9"/>
      <c r="M42" s="9"/>
      <c r="N42" s="9"/>
      <c r="O42" s="9"/>
      <c r="P42" s="9"/>
      <c r="Q42" s="9"/>
      <c r="R42" s="9"/>
      <c r="S42" s="9"/>
      <c r="T42" s="9"/>
      <c r="U42" s="119"/>
      <c r="V42" s="138"/>
      <c r="W42" s="288"/>
      <c r="X42" s="44" t="s">
        <v>72</v>
      </c>
      <c r="Y42" s="44" t="s">
        <v>70</v>
      </c>
      <c r="Z42" s="44" t="s">
        <v>71</v>
      </c>
      <c r="AA42" s="1061">
        <v>5</v>
      </c>
      <c r="AB42" s="212">
        <f>(AA42*Y43)+Z43</f>
        <v>1.1398610339528488</v>
      </c>
      <c r="AC42" s="203">
        <f>ROUND(ChartLabels!$AA21,3)</f>
        <v>0.14599999999999999</v>
      </c>
      <c r="AK42" s="560" t="b">
        <v>1</v>
      </c>
      <c r="AL42" s="560"/>
      <c r="AM42" s="560"/>
      <c r="AN42" s="156" t="s">
        <v>0</v>
      </c>
      <c r="AO42" s="1054" t="str">
        <f t="shared" ref="AO42:AO65" si="14">IF(AK42=TRUE,B10,"")</f>
        <v>Bracknell Forest</v>
      </c>
      <c r="AP42" s="1049">
        <f t="shared" ref="AP42:AT51" si="15">VLOOKUP($AO42,$B$10:$P$33,AP$38,FALSE)</f>
        <v>1.7985611510791368</v>
      </c>
      <c r="AQ42" s="1050">
        <f t="shared" si="15"/>
        <v>1.773049645390071</v>
      </c>
      <c r="AR42" s="1050" t="e">
        <f t="shared" si="15"/>
        <v>#N/A</v>
      </c>
      <c r="AS42" s="1050" t="e">
        <f t="shared" si="15"/>
        <v>#N/A</v>
      </c>
      <c r="AT42" s="1050" t="e">
        <f t="shared" si="15"/>
        <v>#N/A</v>
      </c>
      <c r="AU42" s="1057">
        <f>VLOOKUP(AO42,$B$10:$U$33,AU$38,FALSE)</f>
        <v>8.9</v>
      </c>
      <c r="AV42" s="1034" t="e">
        <f>VLOOKUP($AO42,#REF!,AV$38,FALSE)</f>
        <v>#REF!</v>
      </c>
      <c r="AW42" s="1029" t="e">
        <f>VLOOKUP($AO42,#REF!,AW$38,FALSE)</f>
        <v>#REF!</v>
      </c>
      <c r="AX42" s="1029" t="e">
        <f>VLOOKUP($AO42,#REF!,AX$38,FALSE)</f>
        <v>#REF!</v>
      </c>
      <c r="AY42" s="1029" t="e">
        <f>VLOOKUP($AO42,#REF!,AY$38,FALSE)</f>
        <v>#REF!</v>
      </c>
      <c r="AZ42" s="1032" t="e">
        <f>VLOOKUP($AO42,#REF!,AZ$38,FALSE)</f>
        <v>#REF!</v>
      </c>
      <c r="BA42" s="1034">
        <f t="shared" ref="BA42:BE51" si="16">VLOOKUP($AO42,$B$78:$H$101,BA$38,FALSE)</f>
        <v>0.10344827586206896</v>
      </c>
      <c r="BB42" s="1029">
        <f t="shared" si="16"/>
        <v>0.13235294117647059</v>
      </c>
      <c r="BC42" s="1029" t="e">
        <f t="shared" si="16"/>
        <v>#N/A</v>
      </c>
      <c r="BD42" s="1029" t="e">
        <f t="shared" si="16"/>
        <v>#N/A</v>
      </c>
      <c r="BE42" s="1032">
        <f t="shared" si="16"/>
        <v>0.1076923076923077</v>
      </c>
    </row>
    <row r="43" spans="1:68" s="83" customFormat="1" ht="14.25" customHeight="1" x14ac:dyDescent="0.2">
      <c r="A43" s="271"/>
      <c r="B43" s="9"/>
      <c r="C43" s="9"/>
      <c r="D43" s="9"/>
      <c r="E43" s="9"/>
      <c r="F43" s="9"/>
      <c r="G43" s="9"/>
      <c r="H43" s="9"/>
      <c r="I43" s="9"/>
      <c r="J43" s="9"/>
      <c r="K43" s="13"/>
      <c r="L43" s="9"/>
      <c r="M43" s="9"/>
      <c r="N43" s="9"/>
      <c r="O43" s="9"/>
      <c r="P43" s="9"/>
      <c r="Q43" s="9"/>
      <c r="R43" s="9"/>
      <c r="S43" s="9"/>
      <c r="T43" s="9"/>
      <c r="U43" s="119"/>
      <c r="V43" s="138"/>
      <c r="W43" s="288"/>
      <c r="X43" s="208" t="str">
        <f>"Y= "&amp;Y43&amp;"x + "&amp;Z43</f>
        <v>Y= 0.0535192708265846x + 0.872264679819926</v>
      </c>
      <c r="Y43" s="712">
        <f>ChartLabels!$Y21</f>
        <v>5.3519270826584558E-2</v>
      </c>
      <c r="Z43" s="712">
        <f>ChartLabels!$Z21</f>
        <v>0.87226467981992584</v>
      </c>
      <c r="AA43" s="211">
        <v>35</v>
      </c>
      <c r="AB43" s="212">
        <f>(AA43*Y43)+Z43</f>
        <v>2.7454391587503855</v>
      </c>
      <c r="AC43" s="1187" t="str">
        <f>AC41&amp;" = "&amp;AC42</f>
        <v>r² = 0.146</v>
      </c>
      <c r="AK43" s="560" t="b">
        <v>1</v>
      </c>
      <c r="AL43" s="560"/>
      <c r="AM43" s="560"/>
      <c r="AN43" s="156" t="s">
        <v>31</v>
      </c>
      <c r="AO43" s="1055" t="str">
        <f t="shared" si="14"/>
        <v>Brighton &amp; Hove</v>
      </c>
      <c r="AP43" s="1051">
        <f t="shared" si="15"/>
        <v>4.9019607843137258</v>
      </c>
      <c r="AQ43" s="973">
        <f t="shared" si="15"/>
        <v>2.9296875</v>
      </c>
      <c r="AR43" s="973">
        <f t="shared" si="15"/>
        <v>6.0428849902534116</v>
      </c>
      <c r="AS43" s="973">
        <f t="shared" si="15"/>
        <v>3.7254901960784315</v>
      </c>
      <c r="AT43" s="973">
        <f t="shared" si="15"/>
        <v>1.9607843137254901</v>
      </c>
      <c r="AU43" s="1037">
        <f t="shared" ref="AU43:AU65" si="17">VLOOKUP(AO43,$B$10:$U$33,AU$38,FALSE)</f>
        <v>15.299999999999999</v>
      </c>
      <c r="AV43" s="1034" t="e">
        <f>VLOOKUP($AO43,#REF!,AV$38,FALSE)</f>
        <v>#REF!</v>
      </c>
      <c r="AW43" s="1029" t="e">
        <f>VLOOKUP($AO43,#REF!,AW$38,FALSE)</f>
        <v>#REF!</v>
      </c>
      <c r="AX43" s="1029" t="e">
        <f>VLOOKUP($AO43,#REF!,AX$38,FALSE)</f>
        <v>#REF!</v>
      </c>
      <c r="AY43" s="1029" t="e">
        <f>VLOOKUP($AO43,#REF!,AY$38,FALSE)</f>
        <v>#REF!</v>
      </c>
      <c r="AZ43" s="1032" t="e">
        <f>VLOOKUP($AO43,#REF!,AZ$38,FALSE)</f>
        <v>#REF!</v>
      </c>
      <c r="BA43" s="1034">
        <f t="shared" si="16"/>
        <v>0.265625</v>
      </c>
      <c r="BB43" s="1029">
        <f t="shared" si="16"/>
        <v>0.15918367346938775</v>
      </c>
      <c r="BC43" s="1029">
        <f t="shared" si="16"/>
        <v>0.12849162011173185</v>
      </c>
      <c r="BD43" s="1029">
        <f t="shared" si="16"/>
        <v>0.18181818181818182</v>
      </c>
      <c r="BE43" s="1032">
        <f t="shared" si="16"/>
        <v>0.18181818181818182</v>
      </c>
    </row>
    <row r="44" spans="1:68" ht="14.25" customHeight="1" x14ac:dyDescent="0.2">
      <c r="A44" s="271"/>
      <c r="B44" s="9"/>
      <c r="C44" s="9"/>
      <c r="D44" s="9"/>
      <c r="E44" s="9"/>
      <c r="F44" s="9"/>
      <c r="G44" s="9"/>
      <c r="H44" s="9"/>
      <c r="I44" s="9"/>
      <c r="J44" s="9"/>
      <c r="K44" s="13"/>
      <c r="L44" s="9"/>
      <c r="M44" s="9"/>
      <c r="N44" s="9"/>
      <c r="O44" s="9"/>
      <c r="P44" s="9"/>
      <c r="Q44" s="9"/>
      <c r="R44" s="9"/>
      <c r="S44" s="9"/>
      <c r="T44" s="9"/>
      <c r="U44" s="119"/>
      <c r="V44" s="138"/>
      <c r="W44" s="288"/>
      <c r="X44" s="1039" t="str">
        <f>"National Trend "&amp;Sheet1!$B$8</f>
        <v>National Trend 2019</v>
      </c>
      <c r="Y44" s="1040" t="s">
        <v>70</v>
      </c>
      <c r="Z44" s="1039" t="s">
        <v>71</v>
      </c>
      <c r="AA44" s="1041">
        <v>7</v>
      </c>
      <c r="AB44" s="1042">
        <f>((AA44*Y45)+Z45)</f>
        <v>0</v>
      </c>
      <c r="AK44" s="560" t="b">
        <v>1</v>
      </c>
      <c r="AL44" s="560"/>
      <c r="AM44" s="560"/>
      <c r="AN44" s="156" t="s">
        <v>8</v>
      </c>
      <c r="AO44" s="1055" t="str">
        <f t="shared" si="14"/>
        <v>Buckinghamshire</v>
      </c>
      <c r="AP44" s="1051">
        <f t="shared" si="15"/>
        <v>2.1026072329688814</v>
      </c>
      <c r="AQ44" s="973">
        <f t="shared" si="15"/>
        <v>2.0729684908789388</v>
      </c>
      <c r="AR44" s="973">
        <f t="shared" si="15"/>
        <v>1.1456628477905073</v>
      </c>
      <c r="AS44" s="973">
        <f t="shared" si="15"/>
        <v>0.73111291632818842</v>
      </c>
      <c r="AT44" s="973">
        <f t="shared" si="15"/>
        <v>1.4481094127111824</v>
      </c>
      <c r="AU44" s="1037">
        <f t="shared" si="17"/>
        <v>8.5</v>
      </c>
      <c r="AV44" s="1034" t="e">
        <f>VLOOKUP($AO44,#REF!,AV$38,FALSE)</f>
        <v>#REF!</v>
      </c>
      <c r="AW44" s="1029" t="e">
        <f>VLOOKUP($AO44,#REF!,AW$38,FALSE)</f>
        <v>#REF!</v>
      </c>
      <c r="AX44" s="1029" t="e">
        <f>VLOOKUP($AO44,#REF!,AX$38,FALSE)</f>
        <v>#REF!</v>
      </c>
      <c r="AY44" s="1029" t="e">
        <f>VLOOKUP($AO44,#REF!,AY$38,FALSE)</f>
        <v>#REF!</v>
      </c>
      <c r="AZ44" s="1032" t="e">
        <f>VLOOKUP($AO44,#REF!,AZ$38,FALSE)</f>
        <v>#REF!</v>
      </c>
      <c r="BA44" s="1034">
        <f t="shared" si="16"/>
        <v>0.19753086419753085</v>
      </c>
      <c r="BB44" s="1029">
        <f t="shared" si="16"/>
        <v>0.16740088105726872</v>
      </c>
      <c r="BC44" s="1029">
        <f t="shared" si="16"/>
        <v>0.17674418604651163</v>
      </c>
      <c r="BD44" s="1029">
        <f t="shared" si="16"/>
        <v>0.12777777777777777</v>
      </c>
      <c r="BE44" s="1032">
        <f t="shared" si="16"/>
        <v>0.10588235294117647</v>
      </c>
      <c r="BF44" s="83"/>
      <c r="BG44" s="83"/>
      <c r="BH44" s="83"/>
      <c r="BI44" s="83"/>
      <c r="BJ44" s="83"/>
      <c r="BK44" s="83"/>
      <c r="BL44" s="83"/>
      <c r="BM44" s="83"/>
      <c r="BN44" s="83"/>
      <c r="BO44" s="83"/>
      <c r="BP44" s="83"/>
    </row>
    <row r="45" spans="1:68" ht="14.25" customHeight="1" x14ac:dyDescent="0.2">
      <c r="A45" s="271"/>
      <c r="B45" s="9"/>
      <c r="C45" s="9"/>
      <c r="D45" s="9"/>
      <c r="E45" s="9"/>
      <c r="F45" s="9"/>
      <c r="G45" s="9"/>
      <c r="H45" s="9"/>
      <c r="I45" s="9"/>
      <c r="J45" s="9"/>
      <c r="K45" s="13"/>
      <c r="L45" s="14"/>
      <c r="M45" s="14"/>
      <c r="N45" s="14"/>
      <c r="O45" s="14"/>
      <c r="P45" s="15"/>
      <c r="Q45" s="15"/>
      <c r="R45" s="15"/>
      <c r="S45" s="15"/>
      <c r="T45" s="15"/>
      <c r="U45" s="122"/>
      <c r="V45" s="138"/>
      <c r="W45" s="288"/>
      <c r="X45" s="1043" t="str">
        <f>"Y= "&amp;Y45&amp;"x + "&amp;Z45</f>
        <v xml:space="preserve">Y= x + </v>
      </c>
      <c r="Y45" s="1044"/>
      <c r="Z45" s="1045"/>
      <c r="AA45" s="1046">
        <v>25</v>
      </c>
      <c r="AB45" s="1047">
        <f>((AA45*Y45)+Z45)</f>
        <v>0</v>
      </c>
      <c r="AK45" s="560" t="b">
        <v>1</v>
      </c>
      <c r="AL45" s="560"/>
      <c r="AM45" s="560"/>
      <c r="AN45" s="156" t="s">
        <v>4</v>
      </c>
      <c r="AO45" s="1055" t="str">
        <f t="shared" si="14"/>
        <v>East Sussex</v>
      </c>
      <c r="AP45" s="1051">
        <f t="shared" si="15"/>
        <v>3.795066413662239</v>
      </c>
      <c r="AQ45" s="973">
        <f t="shared" si="15"/>
        <v>2.8328611898016995</v>
      </c>
      <c r="AR45" s="973">
        <f t="shared" si="15"/>
        <v>2.8328611898016995</v>
      </c>
      <c r="AS45" s="973">
        <f t="shared" si="15"/>
        <v>2.4528301886792452</v>
      </c>
      <c r="AT45" s="973" t="e">
        <f t="shared" si="15"/>
        <v>#N/A</v>
      </c>
      <c r="AU45" s="1037">
        <f t="shared" si="17"/>
        <v>16.100000000000001</v>
      </c>
      <c r="AV45" s="1034" t="e">
        <f>VLOOKUP($AO45,#REF!,AV$38,FALSE)</f>
        <v>#REF!</v>
      </c>
      <c r="AW45" s="1029" t="e">
        <f>VLOOKUP($AO45,#REF!,AW$38,FALSE)</f>
        <v>#REF!</v>
      </c>
      <c r="AX45" s="1029" t="e">
        <f>VLOOKUP($AO45,#REF!,AX$38,FALSE)</f>
        <v>#REF!</v>
      </c>
      <c r="AY45" s="1029" t="e">
        <f>VLOOKUP($AO45,#REF!,AY$38,FALSE)</f>
        <v>#REF!</v>
      </c>
      <c r="AZ45" s="1032" t="e">
        <f>VLOOKUP($AO45,#REF!,AZ$38,FALSE)</f>
        <v>#REF!</v>
      </c>
      <c r="BA45" s="1034">
        <f t="shared" si="16"/>
        <v>0.2275132275132275</v>
      </c>
      <c r="BB45" s="1029">
        <f t="shared" si="16"/>
        <v>0.24479166666666666</v>
      </c>
      <c r="BC45" s="1029">
        <f t="shared" si="16"/>
        <v>0.2</v>
      </c>
      <c r="BD45" s="1029">
        <f t="shared" si="16"/>
        <v>0.19753086419753085</v>
      </c>
      <c r="BE45" s="1032">
        <f t="shared" si="16"/>
        <v>0.15625</v>
      </c>
      <c r="BF45" s="83"/>
      <c r="BG45" s="83"/>
      <c r="BH45" s="83"/>
      <c r="BI45" s="83"/>
      <c r="BJ45" s="83"/>
      <c r="BK45" s="83"/>
      <c r="BL45" s="83"/>
      <c r="BM45" s="83"/>
      <c r="BN45" s="83"/>
      <c r="BO45" s="83"/>
      <c r="BP45" s="83"/>
    </row>
    <row r="46" spans="1:68" s="78" customFormat="1" ht="14.25" customHeight="1" x14ac:dyDescent="0.2">
      <c r="A46" s="438"/>
      <c r="B46" s="220"/>
      <c r="C46" s="220"/>
      <c r="D46" s="221"/>
      <c r="E46" s="221"/>
      <c r="F46" s="221"/>
      <c r="G46" s="221"/>
      <c r="H46" s="221"/>
      <c r="I46" s="221"/>
      <c r="J46" s="221"/>
      <c r="K46" s="16"/>
      <c r="L46" s="9"/>
      <c r="M46" s="9"/>
      <c r="N46" s="9"/>
      <c r="O46" s="9"/>
      <c r="P46" s="9"/>
      <c r="Q46" s="9"/>
      <c r="R46" s="9"/>
      <c r="S46" s="9"/>
      <c r="T46" s="9"/>
      <c r="U46" s="119"/>
      <c r="V46" s="139"/>
      <c r="W46" s="289"/>
      <c r="AC46" s="83"/>
      <c r="AD46" s="83"/>
      <c r="AE46" s="83"/>
      <c r="AF46" s="83"/>
      <c r="AG46" s="83"/>
      <c r="AH46" s="83"/>
      <c r="AI46" s="83"/>
      <c r="AJ46" s="83"/>
      <c r="AK46" s="560" t="b">
        <v>1</v>
      </c>
      <c r="AL46" s="560"/>
      <c r="AM46" s="560"/>
      <c r="AN46" s="156" t="s">
        <v>6</v>
      </c>
      <c r="AO46" s="1055" t="str">
        <f t="shared" si="14"/>
        <v>Hampshire</v>
      </c>
      <c r="AP46" s="1051">
        <f t="shared" si="15"/>
        <v>2.4866785079928952</v>
      </c>
      <c r="AQ46" s="973">
        <f t="shared" si="15"/>
        <v>2.1284143313231643</v>
      </c>
      <c r="AR46" s="973">
        <f t="shared" si="15"/>
        <v>1.4497878359264498</v>
      </c>
      <c r="AS46" s="973">
        <f t="shared" si="15"/>
        <v>1.9414048711613132</v>
      </c>
      <c r="AT46" s="973">
        <f t="shared" si="15"/>
        <v>1.6901408450704225</v>
      </c>
      <c r="AU46" s="1037">
        <f t="shared" si="17"/>
        <v>10.100000000000001</v>
      </c>
      <c r="AV46" s="1034" t="e">
        <f>VLOOKUP($AO46,#REF!,AV$38,FALSE)</f>
        <v>#REF!</v>
      </c>
      <c r="AW46" s="1029" t="e">
        <f>VLOOKUP($AO46,#REF!,AW$38,FALSE)</f>
        <v>#REF!</v>
      </c>
      <c r="AX46" s="1029" t="e">
        <f>VLOOKUP($AO46,#REF!,AX$38,FALSE)</f>
        <v>#REF!</v>
      </c>
      <c r="AY46" s="1029" t="e">
        <f>VLOOKUP($AO46,#REF!,AY$38,FALSE)</f>
        <v>#REF!</v>
      </c>
      <c r="AZ46" s="1032" t="e">
        <f>VLOOKUP($AO46,#REF!,AZ$38,FALSE)</f>
        <v>#REF!</v>
      </c>
      <c r="BA46" s="1034">
        <f t="shared" si="16"/>
        <v>0.1575091575091575</v>
      </c>
      <c r="BB46" s="1029">
        <f t="shared" si="16"/>
        <v>0.15412844036697249</v>
      </c>
      <c r="BC46" s="1029">
        <f t="shared" si="16"/>
        <v>0.13157894736842105</v>
      </c>
      <c r="BD46" s="1029">
        <f t="shared" si="16"/>
        <v>0.11316872427983539</v>
      </c>
      <c r="BE46" s="1032">
        <f t="shared" si="16"/>
        <v>0.1163575042158516</v>
      </c>
      <c r="BF46" s="83"/>
      <c r="BG46" s="83"/>
      <c r="BH46" s="83"/>
      <c r="BI46" s="83"/>
      <c r="BJ46" s="83"/>
      <c r="BK46" s="83"/>
      <c r="BL46" s="83"/>
      <c r="BM46" s="83"/>
      <c r="BN46" s="83"/>
      <c r="BO46" s="83"/>
      <c r="BP46" s="83"/>
    </row>
    <row r="47" spans="1:68" ht="14.25" customHeight="1" x14ac:dyDescent="0.2">
      <c r="A47" s="271"/>
      <c r="B47" s="221"/>
      <c r="C47" s="221"/>
      <c r="D47" s="221"/>
      <c r="E47" s="221"/>
      <c r="F47" s="221"/>
      <c r="G47" s="221"/>
      <c r="H47" s="221"/>
      <c r="I47" s="221"/>
      <c r="J47" s="221"/>
      <c r="K47" s="13"/>
      <c r="L47" s="15"/>
      <c r="M47" s="15"/>
      <c r="N47" s="15"/>
      <c r="O47" s="15"/>
      <c r="P47" s="9"/>
      <c r="Q47" s="9"/>
      <c r="R47" s="9"/>
      <c r="S47" s="9"/>
      <c r="T47" s="9"/>
      <c r="U47" s="119"/>
      <c r="V47" s="138"/>
      <c r="W47" s="288"/>
      <c r="AK47" s="560" t="b">
        <v>1</v>
      </c>
      <c r="AL47" s="560"/>
      <c r="AM47" s="560"/>
      <c r="AN47" s="156" t="s">
        <v>1</v>
      </c>
      <c r="AO47" s="1055" t="str">
        <f t="shared" si="14"/>
        <v>Isle of Wight</v>
      </c>
      <c r="AP47" s="1051">
        <f t="shared" si="15"/>
        <v>3.9215686274509802</v>
      </c>
      <c r="AQ47" s="973" t="e">
        <f t="shared" si="15"/>
        <v>#N/A</v>
      </c>
      <c r="AR47" s="973">
        <f t="shared" si="15"/>
        <v>3.9682539682539684</v>
      </c>
      <c r="AS47" s="973" t="e">
        <f t="shared" si="15"/>
        <v>#N/A</v>
      </c>
      <c r="AT47" s="973" t="e">
        <f t="shared" si="15"/>
        <v>#N/A</v>
      </c>
      <c r="AU47" s="1037">
        <f t="shared" si="17"/>
        <v>18</v>
      </c>
      <c r="AV47" s="1034" t="e">
        <f>VLOOKUP($AO47,#REF!,AV$38,FALSE)</f>
        <v>#REF!</v>
      </c>
      <c r="AW47" s="1029" t="e">
        <f>VLOOKUP($AO47,#REF!,AW$38,FALSE)</f>
        <v>#REF!</v>
      </c>
      <c r="AX47" s="1029" t="e">
        <f>VLOOKUP($AO47,#REF!,AX$38,FALSE)</f>
        <v>#REF!</v>
      </c>
      <c r="AY47" s="1029" t="e">
        <f>VLOOKUP($AO47,#REF!,AY$38,FALSE)</f>
        <v>#REF!</v>
      </c>
      <c r="AZ47" s="1032" t="e">
        <f>VLOOKUP($AO47,#REF!,AZ$38,FALSE)</f>
        <v>#REF!</v>
      </c>
      <c r="BA47" s="1034">
        <f t="shared" si="16"/>
        <v>8.8607594936708861E-2</v>
      </c>
      <c r="BB47" s="1029">
        <f t="shared" si="16"/>
        <v>0.12328767123287671</v>
      </c>
      <c r="BC47" s="1029">
        <f t="shared" si="16"/>
        <v>0.21052631578947367</v>
      </c>
      <c r="BD47" s="1029">
        <f t="shared" si="16"/>
        <v>0.15853658536585366</v>
      </c>
      <c r="BE47" s="1032">
        <f t="shared" si="16"/>
        <v>0.18032786885245902</v>
      </c>
      <c r="BF47" s="83"/>
      <c r="BG47" s="83"/>
      <c r="BH47" s="83"/>
      <c r="BI47" s="83"/>
      <c r="BJ47" s="83"/>
      <c r="BK47" s="83"/>
      <c r="BL47" s="83"/>
      <c r="BM47" s="83"/>
      <c r="BN47" s="83"/>
      <c r="BO47" s="83"/>
      <c r="BP47" s="83"/>
    </row>
    <row r="48" spans="1:68" ht="14.25" customHeight="1" x14ac:dyDescent="0.2">
      <c r="A48" s="271"/>
      <c r="B48" s="221"/>
      <c r="C48" s="221"/>
      <c r="D48" s="221"/>
      <c r="E48" s="221"/>
      <c r="F48" s="221"/>
      <c r="G48" s="221"/>
      <c r="H48" s="221"/>
      <c r="I48" s="221"/>
      <c r="J48" s="221"/>
      <c r="K48" s="13"/>
      <c r="L48" s="15"/>
      <c r="M48" s="15"/>
      <c r="N48" s="15"/>
      <c r="O48" s="15"/>
      <c r="P48" s="9"/>
      <c r="Q48" s="9"/>
      <c r="R48" s="9"/>
      <c r="S48" s="9"/>
      <c r="T48" s="9"/>
      <c r="U48" s="119"/>
      <c r="V48" s="138"/>
      <c r="W48" s="288"/>
      <c r="AC48" s="204"/>
      <c r="AK48" s="560" t="b">
        <v>1</v>
      </c>
      <c r="AL48" s="560"/>
      <c r="AM48" s="560"/>
      <c r="AN48" s="156" t="s">
        <v>9</v>
      </c>
      <c r="AO48" s="1055" t="str">
        <f t="shared" si="14"/>
        <v>Kent</v>
      </c>
      <c r="AP48" s="1051">
        <f t="shared" si="15"/>
        <v>2.1321961620469083</v>
      </c>
      <c r="AQ48" s="973">
        <f t="shared" si="15"/>
        <v>1.513317191283293</v>
      </c>
      <c r="AR48" s="973">
        <f t="shared" si="15"/>
        <v>1.6516516516516517</v>
      </c>
      <c r="AS48" s="973">
        <f t="shared" si="15"/>
        <v>1.6661707825052068</v>
      </c>
      <c r="AT48" s="973">
        <f t="shared" si="15"/>
        <v>1.1173184357541899</v>
      </c>
      <c r="AU48" s="1037">
        <f t="shared" si="17"/>
        <v>15.8</v>
      </c>
      <c r="AV48" s="1034" t="e">
        <f>VLOOKUP($AO48,#REF!,AV$38,FALSE)</f>
        <v>#REF!</v>
      </c>
      <c r="AW48" s="1029" t="e">
        <f>VLOOKUP($AO48,#REF!,AW$38,FALSE)</f>
        <v>#REF!</v>
      </c>
      <c r="AX48" s="1029" t="e">
        <f>VLOOKUP($AO48,#REF!,AX$38,FALSE)</f>
        <v>#REF!</v>
      </c>
      <c r="AY48" s="1029" t="e">
        <f>VLOOKUP($AO48,#REF!,AY$38,FALSE)</f>
        <v>#REF!</v>
      </c>
      <c r="AZ48" s="1032" t="e">
        <f>VLOOKUP($AO48,#REF!,AZ$38,FALSE)</f>
        <v>#REF!</v>
      </c>
      <c r="BA48" s="1034">
        <f t="shared" si="16"/>
        <v>0.20638540478905359</v>
      </c>
      <c r="BB48" s="1029">
        <f t="shared" si="16"/>
        <v>0.10009267840593142</v>
      </c>
      <c r="BC48" s="1029">
        <f t="shared" si="16"/>
        <v>6.0790273556231005E-2</v>
      </c>
      <c r="BD48" s="1029">
        <f t="shared" si="16"/>
        <v>9.9142040038131554E-2</v>
      </c>
      <c r="BE48" s="1032">
        <f t="shared" si="16"/>
        <v>0.12581913499344691</v>
      </c>
      <c r="BF48" s="83"/>
      <c r="BG48" s="83"/>
      <c r="BH48" s="83"/>
      <c r="BI48" s="83"/>
      <c r="BJ48" s="83"/>
      <c r="BK48" s="83"/>
      <c r="BL48" s="83"/>
      <c r="BM48" s="83"/>
      <c r="BN48" s="83"/>
      <c r="BO48" s="83"/>
      <c r="BP48" s="83"/>
    </row>
    <row r="49" spans="1:68" ht="14.25" customHeight="1" x14ac:dyDescent="0.2">
      <c r="A49" s="271"/>
      <c r="B49" s="58"/>
      <c r="C49" s="58"/>
      <c r="D49" s="58"/>
      <c r="E49" s="58"/>
      <c r="F49" s="58"/>
      <c r="G49" s="58"/>
      <c r="H49" s="58"/>
      <c r="I49" s="58"/>
      <c r="J49" s="58"/>
      <c r="K49" s="13"/>
      <c r="L49" s="15"/>
      <c r="M49" s="15"/>
      <c r="N49" s="15"/>
      <c r="O49" s="15"/>
      <c r="P49" s="9"/>
      <c r="Q49" s="9"/>
      <c r="R49" s="9"/>
      <c r="S49" s="9"/>
      <c r="T49" s="9"/>
      <c r="U49" s="119"/>
      <c r="V49" s="138"/>
      <c r="W49" s="288"/>
      <c r="AC49" s="179"/>
      <c r="AK49" s="560" t="b">
        <v>1</v>
      </c>
      <c r="AL49" s="560"/>
      <c r="AM49" s="560"/>
      <c r="AN49" s="156" t="s">
        <v>2</v>
      </c>
      <c r="AO49" s="1055" t="str">
        <f t="shared" si="14"/>
        <v>Medway</v>
      </c>
      <c r="AP49" s="1051">
        <f t="shared" si="15"/>
        <v>3.2</v>
      </c>
      <c r="AQ49" s="973">
        <f t="shared" si="15"/>
        <v>3.9556962025316453</v>
      </c>
      <c r="AR49" s="973">
        <f t="shared" si="15"/>
        <v>5.6514913657770807</v>
      </c>
      <c r="AS49" s="973">
        <f t="shared" si="15"/>
        <v>3.5993740219092332</v>
      </c>
      <c r="AT49" s="973">
        <f t="shared" si="15"/>
        <v>1.5527950310559007</v>
      </c>
      <c r="AU49" s="1037">
        <f t="shared" si="17"/>
        <v>18.899999999999999</v>
      </c>
      <c r="AV49" s="1034" t="e">
        <f>VLOOKUP($AO49,#REF!,AV$38,FALSE)</f>
        <v>#REF!</v>
      </c>
      <c r="AW49" s="1029" t="e">
        <f>VLOOKUP($AO49,#REF!,AW$38,FALSE)</f>
        <v>#REF!</v>
      </c>
      <c r="AX49" s="1029" t="e">
        <f>VLOOKUP($AO49,#REF!,AX$38,FALSE)</f>
        <v>#REF!</v>
      </c>
      <c r="AY49" s="1029" t="e">
        <f>VLOOKUP($AO49,#REF!,AY$38,FALSE)</f>
        <v>#REF!</v>
      </c>
      <c r="AZ49" s="1032" t="e">
        <f>VLOOKUP($AO49,#REF!,AZ$38,FALSE)</f>
        <v>#REF!</v>
      </c>
      <c r="BA49" s="1034">
        <f t="shared" si="16"/>
        <v>0.24615384615384617</v>
      </c>
      <c r="BB49" s="1029">
        <f t="shared" si="16"/>
        <v>0.11428571428571428</v>
      </c>
      <c r="BC49" s="1029">
        <f t="shared" si="16"/>
        <v>0.17647058823529413</v>
      </c>
      <c r="BD49" s="1029">
        <f t="shared" si="16"/>
        <v>0.22012578616352202</v>
      </c>
      <c r="BE49" s="1032">
        <f t="shared" si="16"/>
        <v>0.15189873417721519</v>
      </c>
      <c r="BF49" s="83"/>
      <c r="BG49" s="83"/>
      <c r="BH49" s="83"/>
      <c r="BI49" s="83"/>
      <c r="BJ49" s="83"/>
      <c r="BK49" s="83"/>
      <c r="BL49" s="83"/>
      <c r="BM49" s="83"/>
      <c r="BN49" s="83"/>
      <c r="BO49" s="83"/>
      <c r="BP49" s="83"/>
    </row>
    <row r="50" spans="1:68" ht="14.25" customHeight="1" x14ac:dyDescent="0.2">
      <c r="A50" s="271"/>
      <c r="B50" s="58"/>
      <c r="C50" s="58"/>
      <c r="D50" s="68"/>
      <c r="E50" s="69"/>
      <c r="F50" s="68"/>
      <c r="G50" s="69"/>
      <c r="H50" s="69"/>
      <c r="I50" s="69"/>
      <c r="J50" s="69"/>
      <c r="K50" s="13"/>
      <c r="L50" s="15"/>
      <c r="M50" s="15"/>
      <c r="N50" s="15"/>
      <c r="O50" s="15"/>
      <c r="P50" s="9"/>
      <c r="Q50" s="9"/>
      <c r="R50" s="9"/>
      <c r="S50" s="9"/>
      <c r="T50" s="9"/>
      <c r="U50" s="119"/>
      <c r="V50" s="138"/>
      <c r="W50" s="288"/>
      <c r="AK50" s="560" t="b">
        <v>1</v>
      </c>
      <c r="AL50" s="560"/>
      <c r="AM50" s="560"/>
      <c r="AN50" s="156" t="s">
        <v>10</v>
      </c>
      <c r="AO50" s="1055" t="str">
        <f t="shared" si="14"/>
        <v>Milton Keynes</v>
      </c>
      <c r="AP50" s="1051">
        <f t="shared" si="15"/>
        <v>1.5337423312883436</v>
      </c>
      <c r="AQ50" s="973" t="e">
        <f t="shared" si="15"/>
        <v>#N/A</v>
      </c>
      <c r="AR50" s="973">
        <f t="shared" si="15"/>
        <v>0.89418777943368111</v>
      </c>
      <c r="AS50" s="973" t="e">
        <f t="shared" si="15"/>
        <v>#N/A</v>
      </c>
      <c r="AT50" s="973">
        <f t="shared" si="15"/>
        <v>0.87847730600292828</v>
      </c>
      <c r="AU50" s="1037">
        <f t="shared" si="17"/>
        <v>15</v>
      </c>
      <c r="AV50" s="1034" t="e">
        <f>VLOOKUP($AO50,#REF!,AV$38,FALSE)</f>
        <v>#REF!</v>
      </c>
      <c r="AW50" s="1029" t="e">
        <f>VLOOKUP($AO50,#REF!,AW$38,FALSE)</f>
        <v>#REF!</v>
      </c>
      <c r="AX50" s="1029" t="e">
        <f>VLOOKUP($AO50,#REF!,AX$38,FALSE)</f>
        <v>#REF!</v>
      </c>
      <c r="AY50" s="1029" t="e">
        <f>VLOOKUP($AO50,#REF!,AY$38,FALSE)</f>
        <v>#REF!</v>
      </c>
      <c r="AZ50" s="1032" t="e">
        <f>VLOOKUP($AO50,#REF!,AZ$38,FALSE)</f>
        <v>#REF!</v>
      </c>
      <c r="BA50" s="1034">
        <f t="shared" si="16"/>
        <v>8.7591240875912413E-2</v>
      </c>
      <c r="BB50" s="1029">
        <f t="shared" si="16"/>
        <v>0.10215053763440861</v>
      </c>
      <c r="BC50" s="1029">
        <f t="shared" si="16"/>
        <v>6.5789473684210523E-2</v>
      </c>
      <c r="BD50" s="1029">
        <f t="shared" si="16"/>
        <v>6.2068965517241378E-2</v>
      </c>
      <c r="BE50" s="1032">
        <f t="shared" si="16"/>
        <v>0.11560693641618497</v>
      </c>
      <c r="BF50" s="83"/>
      <c r="BG50" s="83"/>
      <c r="BH50" s="83"/>
      <c r="BI50" s="83"/>
      <c r="BJ50" s="83"/>
      <c r="BK50" s="83"/>
      <c r="BL50" s="83"/>
      <c r="BM50" s="83"/>
      <c r="BN50" s="83"/>
      <c r="BO50" s="83"/>
      <c r="BP50" s="83"/>
    </row>
    <row r="51" spans="1:68" ht="14.25" customHeight="1" x14ac:dyDescent="0.2">
      <c r="A51" s="271"/>
      <c r="B51" s="58"/>
      <c r="C51" s="58"/>
      <c r="D51" s="61"/>
      <c r="E51" s="61"/>
      <c r="F51" s="61"/>
      <c r="G51" s="61"/>
      <c r="H51" s="61"/>
      <c r="I51" s="61"/>
      <c r="J51" s="61"/>
      <c r="K51" s="13"/>
      <c r="L51" s="15"/>
      <c r="M51" s="15"/>
      <c r="N51" s="15"/>
      <c r="O51" s="15"/>
      <c r="P51" s="9"/>
      <c r="Q51" s="9"/>
      <c r="R51" s="9"/>
      <c r="S51" s="9"/>
      <c r="T51" s="9"/>
      <c r="U51" s="119"/>
      <c r="V51" s="138"/>
      <c r="W51" s="288"/>
      <c r="AK51" s="560" t="b">
        <v>1</v>
      </c>
      <c r="AL51" s="560"/>
      <c r="AM51" s="560"/>
      <c r="AN51" s="156" t="s">
        <v>11</v>
      </c>
      <c r="AO51" s="1055" t="str">
        <f t="shared" si="14"/>
        <v>Oxfordshire</v>
      </c>
      <c r="AP51" s="1051">
        <f t="shared" si="15"/>
        <v>2.1246458923512748</v>
      </c>
      <c r="AQ51" s="973">
        <f t="shared" si="15"/>
        <v>1.4104372355430184</v>
      </c>
      <c r="AR51" s="973">
        <f t="shared" si="15"/>
        <v>1.8894331700489853</v>
      </c>
      <c r="AS51" s="973">
        <f t="shared" si="15"/>
        <v>1.3249651324965133</v>
      </c>
      <c r="AT51" s="973">
        <f t="shared" si="15"/>
        <v>2.0027624309392262</v>
      </c>
      <c r="AU51" s="1037">
        <f t="shared" si="17"/>
        <v>10.100000000000001</v>
      </c>
      <c r="AV51" s="1034" t="e">
        <f>VLOOKUP($AO51,#REF!,AV$38,FALSE)</f>
        <v>#REF!</v>
      </c>
      <c r="AW51" s="1029" t="e">
        <f>VLOOKUP($AO51,#REF!,AW$38,FALSE)</f>
        <v>#REF!</v>
      </c>
      <c r="AX51" s="1029" t="e">
        <f>VLOOKUP($AO51,#REF!,AX$38,FALSE)</f>
        <v>#REF!</v>
      </c>
      <c r="AY51" s="1029" t="e">
        <f>VLOOKUP($AO51,#REF!,AY$38,FALSE)</f>
        <v>#REF!</v>
      </c>
      <c r="AZ51" s="1032" t="e">
        <f>VLOOKUP($AO51,#REF!,AZ$38,FALSE)</f>
        <v>#REF!</v>
      </c>
      <c r="BA51" s="1034">
        <f t="shared" si="16"/>
        <v>0.14859437751004015</v>
      </c>
      <c r="BB51" s="1029">
        <f t="shared" si="16"/>
        <v>0.17857142857142858</v>
      </c>
      <c r="BC51" s="1029">
        <f t="shared" si="16"/>
        <v>0.13286713286713286</v>
      </c>
      <c r="BD51" s="1029">
        <f t="shared" si="16"/>
        <v>0.12080536912751678</v>
      </c>
      <c r="BE51" s="1032">
        <f t="shared" si="16"/>
        <v>9.1575091575091569E-2</v>
      </c>
      <c r="BF51" s="83"/>
      <c r="BG51" s="83"/>
      <c r="BH51" s="83"/>
      <c r="BI51" s="83"/>
      <c r="BJ51" s="83"/>
      <c r="BK51" s="83"/>
      <c r="BL51" s="83"/>
      <c r="BM51" s="83"/>
      <c r="BN51" s="83"/>
      <c r="BO51" s="83"/>
      <c r="BP51" s="83"/>
    </row>
    <row r="52" spans="1:68" ht="14.25" customHeight="1" x14ac:dyDescent="0.2">
      <c r="A52" s="271"/>
      <c r="B52" s="412"/>
      <c r="C52" s="412"/>
      <c r="D52" s="58"/>
      <c r="E52" s="58"/>
      <c r="F52" s="58"/>
      <c r="G52" s="58"/>
      <c r="H52" s="58"/>
      <c r="I52" s="58"/>
      <c r="J52" s="58"/>
      <c r="K52" s="13"/>
      <c r="L52" s="15"/>
      <c r="M52" s="15"/>
      <c r="N52" s="15"/>
      <c r="O52" s="15"/>
      <c r="P52" s="9"/>
      <c r="Q52" s="9"/>
      <c r="R52" s="9"/>
      <c r="S52" s="9"/>
      <c r="T52" s="9"/>
      <c r="U52" s="119"/>
      <c r="V52" s="138"/>
      <c r="W52" s="288"/>
      <c r="AK52" s="560" t="b">
        <v>1</v>
      </c>
      <c r="AL52" s="560"/>
      <c r="AM52" s="560"/>
      <c r="AN52" s="156" t="s">
        <v>12</v>
      </c>
      <c r="AO52" s="1055" t="str">
        <f t="shared" si="14"/>
        <v>Portsmouth</v>
      </c>
      <c r="AP52" s="1051">
        <f t="shared" ref="AP52:AT65" si="18">VLOOKUP($AO52,$B$10:$P$33,AP$38,FALSE)</f>
        <v>3.4562211981566819</v>
      </c>
      <c r="AQ52" s="973">
        <f t="shared" si="18"/>
        <v>4.5662100456621006</v>
      </c>
      <c r="AR52" s="973" t="e">
        <f t="shared" si="18"/>
        <v>#N/A</v>
      </c>
      <c r="AS52" s="973" t="e">
        <f t="shared" si="18"/>
        <v>#N/A</v>
      </c>
      <c r="AT52" s="973" t="e">
        <f t="shared" si="18"/>
        <v>#N/A</v>
      </c>
      <c r="AU52" s="1037">
        <f t="shared" si="17"/>
        <v>20.200000000000003</v>
      </c>
      <c r="AV52" s="1034" t="e">
        <f>VLOOKUP($AO52,#REF!,AV$38,FALSE)</f>
        <v>#REF!</v>
      </c>
      <c r="AW52" s="1029" t="e">
        <f>VLOOKUP($AO52,#REF!,AW$38,FALSE)</f>
        <v>#REF!</v>
      </c>
      <c r="AX52" s="1029" t="e">
        <f>VLOOKUP($AO52,#REF!,AX$38,FALSE)</f>
        <v>#REF!</v>
      </c>
      <c r="AY52" s="1029" t="e">
        <f>VLOOKUP($AO52,#REF!,AY$38,FALSE)</f>
        <v>#REF!</v>
      </c>
      <c r="AZ52" s="1032" t="e">
        <f>VLOOKUP($AO52,#REF!,AZ$38,FALSE)</f>
        <v>#REF!</v>
      </c>
      <c r="BA52" s="1034">
        <f t="shared" ref="BA52:BE65" si="19">VLOOKUP($AO52,$B$78:$H$101,BA$38,FALSE)</f>
        <v>0.2073170731707317</v>
      </c>
      <c r="BB52" s="1029">
        <f t="shared" si="19"/>
        <v>0.21428571428571427</v>
      </c>
      <c r="BC52" s="1029">
        <f t="shared" si="19"/>
        <v>0.28455284552845528</v>
      </c>
      <c r="BD52" s="1029">
        <f t="shared" si="19"/>
        <v>0.16129032258064516</v>
      </c>
      <c r="BE52" s="1032">
        <f t="shared" si="19"/>
        <v>9.3167701863354033E-2</v>
      </c>
      <c r="BF52" s="83"/>
      <c r="BG52" s="83"/>
      <c r="BH52" s="83"/>
      <c r="BI52" s="83"/>
      <c r="BJ52" s="83"/>
      <c r="BK52" s="83"/>
      <c r="BL52" s="83"/>
      <c r="BM52" s="83"/>
      <c r="BN52" s="83"/>
      <c r="BO52" s="83"/>
      <c r="BP52" s="83"/>
    </row>
    <row r="53" spans="1:68" ht="14.25" customHeight="1" x14ac:dyDescent="0.2">
      <c r="A53" s="271"/>
      <c r="B53" s="412"/>
      <c r="C53" s="412"/>
      <c r="D53" s="58"/>
      <c r="E53" s="58"/>
      <c r="F53" s="58"/>
      <c r="G53" s="58"/>
      <c r="H53" s="58"/>
      <c r="I53" s="58"/>
      <c r="J53" s="58"/>
      <c r="K53" s="13"/>
      <c r="L53" s="15"/>
      <c r="M53" s="15"/>
      <c r="N53" s="15"/>
      <c r="O53" s="15"/>
      <c r="P53" s="9"/>
      <c r="Q53" s="9"/>
      <c r="R53" s="9"/>
      <c r="S53" s="9"/>
      <c r="T53" s="9"/>
      <c r="U53" s="119"/>
      <c r="V53" s="138"/>
      <c r="W53" s="288"/>
      <c r="AK53" s="560" t="b">
        <v>1</v>
      </c>
      <c r="AL53" s="560"/>
      <c r="AM53" s="560"/>
      <c r="AN53" s="156" t="s">
        <v>3</v>
      </c>
      <c r="AO53" s="1055" t="str">
        <f t="shared" si="14"/>
        <v>Reading</v>
      </c>
      <c r="AP53" s="1051">
        <f t="shared" si="18"/>
        <v>5.5710306406685239</v>
      </c>
      <c r="AQ53" s="973">
        <f t="shared" si="18"/>
        <v>1.3736263736263736</v>
      </c>
      <c r="AR53" s="973" t="e">
        <f t="shared" si="18"/>
        <v>#N/A</v>
      </c>
      <c r="AS53" s="973">
        <f t="shared" si="18"/>
        <v>3.2345013477088949</v>
      </c>
      <c r="AT53" s="973">
        <f t="shared" si="18"/>
        <v>1.8867924528301885</v>
      </c>
      <c r="AU53" s="1037">
        <f t="shared" si="17"/>
        <v>16</v>
      </c>
      <c r="AV53" s="1034" t="e">
        <f>VLOOKUP($AO53,#REF!,AV$38,FALSE)</f>
        <v>#REF!</v>
      </c>
      <c r="AW53" s="1029" t="e">
        <f>VLOOKUP($AO53,#REF!,AW$38,FALSE)</f>
        <v>#REF!</v>
      </c>
      <c r="AX53" s="1029" t="e">
        <f>VLOOKUP($AO53,#REF!,AX$38,FALSE)</f>
        <v>#REF!</v>
      </c>
      <c r="AY53" s="1029" t="e">
        <f>VLOOKUP($AO53,#REF!,AY$38,FALSE)</f>
        <v>#REF!</v>
      </c>
      <c r="AZ53" s="1032" t="e">
        <f>VLOOKUP($AO53,#REF!,AZ$38,FALSE)</f>
        <v>#REF!</v>
      </c>
      <c r="BA53" s="1034">
        <f t="shared" si="19"/>
        <v>0.22619047619047619</v>
      </c>
      <c r="BB53" s="1029">
        <f t="shared" si="19"/>
        <v>0.2032520325203252</v>
      </c>
      <c r="BC53" s="1029">
        <f t="shared" si="19"/>
        <v>0.16</v>
      </c>
      <c r="BD53" s="1029">
        <f t="shared" si="19"/>
        <v>0.14130434782608695</v>
      </c>
      <c r="BE53" s="1032">
        <f t="shared" si="19"/>
        <v>0.21052631578947367</v>
      </c>
      <c r="BF53" s="83"/>
      <c r="BG53" s="83"/>
      <c r="BH53" s="83"/>
      <c r="BI53" s="83"/>
      <c r="BJ53" s="83"/>
      <c r="BK53" s="83"/>
      <c r="BL53" s="83"/>
      <c r="BM53" s="83"/>
      <c r="BN53" s="83"/>
      <c r="BO53" s="83"/>
      <c r="BP53" s="83"/>
    </row>
    <row r="54" spans="1:68" ht="14.25" customHeight="1" x14ac:dyDescent="0.2">
      <c r="A54" s="271"/>
      <c r="B54" s="412"/>
      <c r="C54" s="412"/>
      <c r="D54" s="58"/>
      <c r="E54" s="58"/>
      <c r="F54" s="58"/>
      <c r="G54" s="58"/>
      <c r="H54" s="58"/>
      <c r="I54" s="58"/>
      <c r="J54" s="58"/>
      <c r="K54" s="13"/>
      <c r="L54" s="15"/>
      <c r="M54" s="15"/>
      <c r="N54" s="15"/>
      <c r="O54" s="15"/>
      <c r="P54" s="9"/>
      <c r="Q54" s="9"/>
      <c r="R54" s="9"/>
      <c r="S54" s="9"/>
      <c r="T54" s="9"/>
      <c r="U54" s="119"/>
      <c r="V54" s="138"/>
      <c r="W54" s="288"/>
      <c r="AK54" s="560" t="b">
        <v>1</v>
      </c>
      <c r="AL54" s="560"/>
      <c r="AM54" s="560"/>
      <c r="AN54" s="156" t="s">
        <v>13</v>
      </c>
      <c r="AO54" s="1055" t="str">
        <f t="shared" si="14"/>
        <v>Slough</v>
      </c>
      <c r="AP54" s="1051" t="e">
        <f t="shared" si="18"/>
        <v>#N/A</v>
      </c>
      <c r="AQ54" s="973">
        <f t="shared" si="18"/>
        <v>1.2315270935960589</v>
      </c>
      <c r="AR54" s="973">
        <f t="shared" si="18"/>
        <v>1.932367149758454</v>
      </c>
      <c r="AS54" s="973">
        <f t="shared" si="18"/>
        <v>1.8957345971563981</v>
      </c>
      <c r="AT54" s="973" t="e">
        <f t="shared" si="18"/>
        <v>#N/A</v>
      </c>
      <c r="AU54" s="1037">
        <f t="shared" si="17"/>
        <v>14.7</v>
      </c>
      <c r="AV54" s="1034" t="e">
        <f>VLOOKUP($AO54,#REF!,AV$38,FALSE)</f>
        <v>#REF!</v>
      </c>
      <c r="AW54" s="1029" t="e">
        <f>VLOOKUP($AO54,#REF!,AW$38,FALSE)</f>
        <v>#REF!</v>
      </c>
      <c r="AX54" s="1029" t="e">
        <f>VLOOKUP($AO54,#REF!,AX$38,FALSE)</f>
        <v>#REF!</v>
      </c>
      <c r="AY54" s="1029" t="e">
        <f>VLOOKUP($AO54,#REF!,AY$38,FALSE)</f>
        <v>#REF!</v>
      </c>
      <c r="AZ54" s="1032" t="e">
        <f>VLOOKUP($AO54,#REF!,AZ$38,FALSE)</f>
        <v>#REF!</v>
      </c>
      <c r="BA54" s="1034">
        <f t="shared" si="19"/>
        <v>0.20353982300884957</v>
      </c>
      <c r="BB54" s="1029">
        <f t="shared" si="19"/>
        <v>0.1038961038961039</v>
      </c>
      <c r="BC54" s="1029">
        <f t="shared" si="19"/>
        <v>9.8214285714285712E-2</v>
      </c>
      <c r="BD54" s="1029">
        <f t="shared" si="19"/>
        <v>0.11607142857142858</v>
      </c>
      <c r="BE54" s="1032">
        <f t="shared" si="19"/>
        <v>0.11023622047244094</v>
      </c>
      <c r="BF54" s="83"/>
      <c r="BG54" s="83"/>
      <c r="BH54" s="83"/>
      <c r="BI54" s="83"/>
      <c r="BJ54" s="83"/>
      <c r="BK54" s="83"/>
      <c r="BL54" s="83"/>
      <c r="BM54" s="83"/>
      <c r="BN54" s="83"/>
      <c r="BO54" s="83"/>
      <c r="BP54" s="83"/>
    </row>
    <row r="55" spans="1:68" ht="14.25" customHeight="1" x14ac:dyDescent="0.2">
      <c r="A55" s="271"/>
      <c r="B55" s="412"/>
      <c r="C55" s="412"/>
      <c r="D55" s="58"/>
      <c r="E55" s="58"/>
      <c r="F55" s="58"/>
      <c r="G55" s="58"/>
      <c r="H55" s="58"/>
      <c r="I55" s="58"/>
      <c r="J55" s="58"/>
      <c r="K55" s="13"/>
      <c r="L55" s="15"/>
      <c r="M55" s="15"/>
      <c r="N55" s="15"/>
      <c r="O55" s="15"/>
      <c r="P55" s="9"/>
      <c r="Q55" s="9"/>
      <c r="R55" s="9"/>
      <c r="S55" s="9"/>
      <c r="T55" s="9"/>
      <c r="U55" s="119"/>
      <c r="V55" s="138"/>
      <c r="W55" s="288"/>
      <c r="AK55" s="560" t="b">
        <v>1</v>
      </c>
      <c r="AL55" s="560"/>
      <c r="AM55" s="560"/>
      <c r="AN55" s="156" t="s">
        <v>93</v>
      </c>
      <c r="AO55" s="1055" t="str">
        <f t="shared" si="14"/>
        <v>Somerset</v>
      </c>
      <c r="AP55" s="1051">
        <f t="shared" si="18"/>
        <v>2.2956841138659319</v>
      </c>
      <c r="AQ55" s="973">
        <f t="shared" si="18"/>
        <v>1.3736263736263736</v>
      </c>
      <c r="AR55" s="973">
        <f t="shared" si="18"/>
        <v>1.4585232452142205</v>
      </c>
      <c r="AS55" s="973" t="e">
        <f t="shared" si="18"/>
        <v>#N/A</v>
      </c>
      <c r="AT55" s="973" t="e">
        <f t="shared" si="18"/>
        <v>#N/A</v>
      </c>
      <c r="AU55" s="1037">
        <f t="shared" si="17"/>
        <v>13.600000000000001</v>
      </c>
      <c r="AV55" s="1034" t="e">
        <f>VLOOKUP($AO55,#REF!,AV$38,FALSE)</f>
        <v>#REF!</v>
      </c>
      <c r="AW55" s="1029" t="e">
        <f>VLOOKUP($AO55,#REF!,AW$38,FALSE)</f>
        <v>#REF!</v>
      </c>
      <c r="AX55" s="1029" t="e">
        <f>VLOOKUP($AO55,#REF!,AX$38,FALSE)</f>
        <v>#REF!</v>
      </c>
      <c r="AY55" s="1029" t="e">
        <f>VLOOKUP($AO55,#REF!,AY$38,FALSE)</f>
        <v>#REF!</v>
      </c>
      <c r="AZ55" s="1032" t="e">
        <f>VLOOKUP($AO55,#REF!,AZ$38,FALSE)</f>
        <v>#REF!</v>
      </c>
      <c r="BA55" s="1034">
        <f t="shared" si="19"/>
        <v>0.19063545150501673</v>
      </c>
      <c r="BB55" s="1029">
        <f t="shared" si="19"/>
        <v>0.22270742358078602</v>
      </c>
      <c r="BC55" s="1029">
        <f t="shared" si="19"/>
        <v>0.13026819923371646</v>
      </c>
      <c r="BD55" s="1029">
        <f t="shared" si="19"/>
        <v>0.13901345291479822</v>
      </c>
      <c r="BE55" s="1032">
        <f t="shared" si="19"/>
        <v>0.125</v>
      </c>
      <c r="BF55" s="83"/>
      <c r="BG55" s="83"/>
      <c r="BH55" s="83"/>
      <c r="BI55" s="83"/>
      <c r="BJ55" s="83"/>
      <c r="BK55" s="83"/>
      <c r="BL55" s="83"/>
      <c r="BM55" s="83"/>
      <c r="BN55" s="83"/>
      <c r="BO55" s="83"/>
      <c r="BP55" s="83"/>
    </row>
    <row r="56" spans="1:68" ht="14.25" customHeight="1" x14ac:dyDescent="0.2">
      <c r="A56" s="271"/>
      <c r="B56" s="412"/>
      <c r="C56" s="412"/>
      <c r="D56" s="58"/>
      <c r="E56" s="58"/>
      <c r="F56" s="58"/>
      <c r="G56" s="58"/>
      <c r="H56" s="58"/>
      <c r="I56" s="58"/>
      <c r="J56" s="58"/>
      <c r="K56" s="13"/>
      <c r="L56" s="15"/>
      <c r="M56" s="15"/>
      <c r="N56" s="15"/>
      <c r="O56" s="15"/>
      <c r="P56" s="9"/>
      <c r="Q56" s="9"/>
      <c r="R56" s="9"/>
      <c r="S56" s="9"/>
      <c r="T56" s="9"/>
      <c r="U56" s="119"/>
      <c r="V56" s="138"/>
      <c r="W56" s="288"/>
      <c r="AK56" s="560" t="b">
        <v>1</v>
      </c>
      <c r="AL56" s="560"/>
      <c r="AM56" s="560"/>
      <c r="AN56" s="156" t="s">
        <v>14</v>
      </c>
      <c r="AO56" s="1055" t="str">
        <f t="shared" si="14"/>
        <v>Southampton</v>
      </c>
      <c r="AP56" s="1051">
        <f t="shared" si="18"/>
        <v>10.2880658436214</v>
      </c>
      <c r="AQ56" s="973">
        <f t="shared" si="18"/>
        <v>12.195121951219512</v>
      </c>
      <c r="AR56" s="973">
        <f t="shared" si="18"/>
        <v>8.0160320641282556</v>
      </c>
      <c r="AS56" s="973">
        <f t="shared" si="18"/>
        <v>5.5666003976143141</v>
      </c>
      <c r="AT56" s="973">
        <f t="shared" si="18"/>
        <v>2.5590551181102366</v>
      </c>
      <c r="AU56" s="1037">
        <f t="shared" si="17"/>
        <v>20.5</v>
      </c>
      <c r="AV56" s="1034" t="e">
        <f>VLOOKUP($AO56,#REF!,AV$38,FALSE)</f>
        <v>#REF!</v>
      </c>
      <c r="AW56" s="1029" t="e">
        <f>VLOOKUP($AO56,#REF!,AW$38,FALSE)</f>
        <v>#REF!</v>
      </c>
      <c r="AX56" s="1029" t="e">
        <f>VLOOKUP($AO56,#REF!,AX$38,FALSE)</f>
        <v>#REF!</v>
      </c>
      <c r="AY56" s="1029" t="e">
        <f>VLOOKUP($AO56,#REF!,AY$38,FALSE)</f>
        <v>#REF!</v>
      </c>
      <c r="AZ56" s="1032" t="e">
        <f>VLOOKUP($AO56,#REF!,AZ$38,FALSE)</f>
        <v>#REF!</v>
      </c>
      <c r="BA56" s="1034">
        <f t="shared" si="19"/>
        <v>0.265625</v>
      </c>
      <c r="BB56" s="1029">
        <f t="shared" si="19"/>
        <v>0.3073170731707317</v>
      </c>
      <c r="BC56" s="1029">
        <f t="shared" si="19"/>
        <v>0.34841628959276016</v>
      </c>
      <c r="BD56" s="1029">
        <f t="shared" si="19"/>
        <v>0.27411167512690354</v>
      </c>
      <c r="BE56" s="1032">
        <f t="shared" si="19"/>
        <v>0.22429906542056074</v>
      </c>
      <c r="BF56" s="83"/>
      <c r="BG56" s="83"/>
      <c r="BH56" s="83"/>
      <c r="BI56" s="83"/>
      <c r="BJ56" s="83"/>
      <c r="BK56" s="83"/>
      <c r="BL56" s="83"/>
      <c r="BM56" s="83"/>
      <c r="BN56" s="83"/>
      <c r="BO56" s="83"/>
      <c r="BP56" s="83"/>
    </row>
    <row r="57" spans="1:68" ht="14.25" customHeight="1" x14ac:dyDescent="0.2">
      <c r="A57" s="271"/>
      <c r="B57" s="412"/>
      <c r="C57" s="412"/>
      <c r="D57" s="58"/>
      <c r="E57" s="58"/>
      <c r="F57" s="58"/>
      <c r="G57" s="58"/>
      <c r="H57" s="58"/>
      <c r="I57" s="58"/>
      <c r="J57" s="58"/>
      <c r="K57" s="13"/>
      <c r="L57" s="15"/>
      <c r="M57" s="15"/>
      <c r="N57" s="15"/>
      <c r="O57" s="15"/>
      <c r="P57" s="9"/>
      <c r="Q57" s="9"/>
      <c r="R57" s="9"/>
      <c r="S57" s="9"/>
      <c r="T57" s="9"/>
      <c r="U57" s="119"/>
      <c r="V57" s="138"/>
      <c r="W57" s="288"/>
      <c r="AK57" s="560" t="b">
        <v>1</v>
      </c>
      <c r="AL57" s="560"/>
      <c r="AM57" s="560"/>
      <c r="AN57" s="156" t="s">
        <v>7</v>
      </c>
      <c r="AO57" s="1055" t="str">
        <f t="shared" si="14"/>
        <v>Surrey</v>
      </c>
      <c r="AP57" s="1051">
        <f t="shared" si="18"/>
        <v>1.5710919088766693</v>
      </c>
      <c r="AQ57" s="973">
        <f t="shared" si="18"/>
        <v>1.3650546021840875</v>
      </c>
      <c r="AR57" s="973">
        <f t="shared" si="18"/>
        <v>0.84942084942084939</v>
      </c>
      <c r="AS57" s="973">
        <f t="shared" si="18"/>
        <v>0.53784095274683064</v>
      </c>
      <c r="AT57" s="973">
        <f t="shared" si="18"/>
        <v>0.49637266132111491</v>
      </c>
      <c r="AU57" s="1037">
        <f t="shared" si="17"/>
        <v>8.3000000000000007</v>
      </c>
      <c r="AV57" s="1034" t="e">
        <f>VLOOKUP($AO57,#REF!,AV$38,FALSE)</f>
        <v>#REF!</v>
      </c>
      <c r="AW57" s="1029" t="e">
        <f>VLOOKUP($AO57,#REF!,AW$38,FALSE)</f>
        <v>#REF!</v>
      </c>
      <c r="AX57" s="1029" t="e">
        <f>VLOOKUP($AO57,#REF!,AX$38,FALSE)</f>
        <v>#REF!</v>
      </c>
      <c r="AY57" s="1029" t="e">
        <f>VLOOKUP($AO57,#REF!,AY$38,FALSE)</f>
        <v>#REF!</v>
      </c>
      <c r="AZ57" s="1032" t="e">
        <f>VLOOKUP($AO57,#REF!,AZ$38,FALSE)</f>
        <v>#REF!</v>
      </c>
      <c r="BA57" s="1034">
        <f t="shared" si="19"/>
        <v>0.13368983957219252</v>
      </c>
      <c r="BB57" s="1029">
        <f t="shared" si="19"/>
        <v>0.12592592592592591</v>
      </c>
      <c r="BC57" s="1029">
        <f t="shared" si="19"/>
        <v>0.12171837708830549</v>
      </c>
      <c r="BD57" s="1029">
        <f t="shared" si="19"/>
        <v>8.0684596577017112E-2</v>
      </c>
      <c r="BE57" s="1032">
        <f t="shared" si="19"/>
        <v>6.0913705583756347E-2</v>
      </c>
      <c r="BF57" s="83"/>
      <c r="BG57" s="83"/>
      <c r="BH57" s="83"/>
      <c r="BI57" s="83"/>
      <c r="BJ57" s="83"/>
      <c r="BK57" s="83"/>
      <c r="BL57" s="83"/>
      <c r="BM57" s="83"/>
      <c r="BN57" s="83"/>
      <c r="BO57" s="83"/>
      <c r="BP57" s="83"/>
    </row>
    <row r="58" spans="1:68" ht="14.25" customHeight="1" x14ac:dyDescent="0.2">
      <c r="A58" s="271"/>
      <c r="B58" s="412"/>
      <c r="C58" s="412"/>
      <c r="D58" s="58"/>
      <c r="E58" s="58"/>
      <c r="F58" s="58"/>
      <c r="G58" s="58"/>
      <c r="H58" s="58"/>
      <c r="I58" s="58"/>
      <c r="J58" s="58"/>
      <c r="K58" s="13"/>
      <c r="L58" s="15"/>
      <c r="M58" s="15"/>
      <c r="N58" s="15"/>
      <c r="O58" s="15"/>
      <c r="P58" s="9"/>
      <c r="Q58" s="9"/>
      <c r="R58" s="9"/>
      <c r="S58" s="9"/>
      <c r="T58" s="9"/>
      <c r="U58" s="119"/>
      <c r="V58" s="138"/>
      <c r="W58" s="288"/>
      <c r="AK58" s="560" t="b">
        <v>1</v>
      </c>
      <c r="AL58" s="560"/>
      <c r="AM58" s="560"/>
      <c r="AN58" s="156" t="s">
        <v>114</v>
      </c>
      <c r="AO58" s="1055" t="str">
        <f t="shared" si="14"/>
        <v>Swindon</v>
      </c>
      <c r="AP58" s="1051" t="e">
        <f t="shared" si="18"/>
        <v>#N/A</v>
      </c>
      <c r="AQ58" s="973">
        <f t="shared" si="18"/>
        <v>1.0204081632653061</v>
      </c>
      <c r="AR58" s="973" t="e">
        <f t="shared" si="18"/>
        <v>#N/A</v>
      </c>
      <c r="AS58" s="973" t="e">
        <f t="shared" si="18"/>
        <v>#N/A</v>
      </c>
      <c r="AT58" s="973">
        <f t="shared" si="18"/>
        <v>1.9920318725099602</v>
      </c>
      <c r="AU58" s="1037">
        <f t="shared" si="17"/>
        <v>14.899999999999999</v>
      </c>
      <c r="AV58" s="1034" t="e">
        <f>VLOOKUP($AO58,#REF!,AV$38,FALSE)</f>
        <v>#REF!</v>
      </c>
      <c r="AW58" s="1029" t="e">
        <f>VLOOKUP($AO58,#REF!,AW$38,FALSE)</f>
        <v>#REF!</v>
      </c>
      <c r="AX58" s="1029" t="e">
        <f>VLOOKUP($AO58,#REF!,AX$38,FALSE)</f>
        <v>#REF!</v>
      </c>
      <c r="AY58" s="1029" t="e">
        <f>VLOOKUP($AO58,#REF!,AY$38,FALSE)</f>
        <v>#REF!</v>
      </c>
      <c r="AZ58" s="1032" t="e">
        <f>VLOOKUP($AO58,#REF!,AZ$38,FALSE)</f>
        <v>#REF!</v>
      </c>
      <c r="BA58" s="1034">
        <f t="shared" si="19"/>
        <v>9.6296296296296297E-2</v>
      </c>
      <c r="BB58" s="1029">
        <f t="shared" si="19"/>
        <v>5.0359712230215826E-2</v>
      </c>
      <c r="BC58" s="1029">
        <f t="shared" si="19"/>
        <v>0.12666666666666668</v>
      </c>
      <c r="BD58" s="1029">
        <f t="shared" si="19"/>
        <v>0.1032258064516129</v>
      </c>
      <c r="BE58" s="1032">
        <f t="shared" si="19"/>
        <v>0.10738255033557047</v>
      </c>
      <c r="BF58" s="83"/>
      <c r="BG58" s="83"/>
      <c r="BH58" s="83"/>
      <c r="BI58" s="83"/>
      <c r="BJ58" s="83"/>
      <c r="BK58" s="83"/>
      <c r="BL58" s="83"/>
      <c r="BM58" s="83"/>
      <c r="BN58" s="83"/>
      <c r="BO58" s="83"/>
      <c r="BP58" s="83"/>
    </row>
    <row r="59" spans="1:68" ht="14.25" customHeight="1" x14ac:dyDescent="0.2">
      <c r="A59" s="271"/>
      <c r="B59" s="412"/>
      <c r="C59" s="412"/>
      <c r="D59" s="58"/>
      <c r="E59" s="58"/>
      <c r="F59" s="58"/>
      <c r="G59" s="58"/>
      <c r="H59" s="58"/>
      <c r="I59" s="58"/>
      <c r="J59" s="58"/>
      <c r="K59" s="13"/>
      <c r="L59" s="15"/>
      <c r="M59" s="15"/>
      <c r="N59" s="15"/>
      <c r="O59" s="15"/>
      <c r="P59" s="9"/>
      <c r="Q59" s="9"/>
      <c r="R59" s="9"/>
      <c r="S59" s="9"/>
      <c r="T59" s="9"/>
      <c r="U59" s="119"/>
      <c r="V59" s="138"/>
      <c r="W59" s="288"/>
      <c r="AK59" s="560" t="b">
        <v>1</v>
      </c>
      <c r="AL59" s="560"/>
      <c r="AM59" s="560"/>
      <c r="AN59" s="156" t="s">
        <v>115</v>
      </c>
      <c r="AO59" s="1055" t="str">
        <f t="shared" si="14"/>
        <v>Torbay</v>
      </c>
      <c r="AP59" s="1051">
        <f t="shared" si="18"/>
        <v>7.9681274900398407</v>
      </c>
      <c r="AQ59" s="973">
        <f t="shared" si="18"/>
        <v>3.9682539682539684</v>
      </c>
      <c r="AR59" s="973">
        <f t="shared" si="18"/>
        <v>5.5118110236220472</v>
      </c>
      <c r="AS59" s="973">
        <f t="shared" si="18"/>
        <v>2.7559055118110236</v>
      </c>
      <c r="AT59" s="973">
        <f t="shared" si="18"/>
        <v>8.2677165354330704</v>
      </c>
      <c r="AU59" s="1037">
        <f t="shared" si="17"/>
        <v>21.9</v>
      </c>
      <c r="AV59" s="1034" t="e">
        <f>VLOOKUP($AO59,#REF!,AV$38,FALSE)</f>
        <v>#REF!</v>
      </c>
      <c r="AW59" s="1029" t="e">
        <f>VLOOKUP($AO59,#REF!,AW$38,FALSE)</f>
        <v>#REF!</v>
      </c>
      <c r="AX59" s="1029" t="e">
        <f>VLOOKUP($AO59,#REF!,AX$38,FALSE)</f>
        <v>#REF!</v>
      </c>
      <c r="AY59" s="1029" t="e">
        <f>VLOOKUP($AO59,#REF!,AY$38,FALSE)</f>
        <v>#REF!</v>
      </c>
      <c r="AZ59" s="1032" t="e">
        <f>VLOOKUP($AO59,#REF!,AZ$38,FALSE)</f>
        <v>#REF!</v>
      </c>
      <c r="BA59" s="1034">
        <f t="shared" si="19"/>
        <v>0.15322580645161291</v>
      </c>
      <c r="BB59" s="1029">
        <f t="shared" si="19"/>
        <v>0.224</v>
      </c>
      <c r="BC59" s="1029">
        <f t="shared" si="19"/>
        <v>0.12962962962962962</v>
      </c>
      <c r="BD59" s="1029">
        <f t="shared" si="19"/>
        <v>0.19607843137254902</v>
      </c>
      <c r="BE59" s="1032">
        <f t="shared" si="19"/>
        <v>9.3220338983050849E-2</v>
      </c>
      <c r="BF59" s="83"/>
      <c r="BG59" s="83"/>
      <c r="BH59" s="83"/>
      <c r="BI59" s="83"/>
      <c r="BJ59" s="83"/>
      <c r="BK59" s="83"/>
      <c r="BL59" s="83"/>
      <c r="BM59" s="83"/>
      <c r="BN59" s="83"/>
      <c r="BO59" s="83"/>
      <c r="BP59" s="83"/>
    </row>
    <row r="60" spans="1:68" ht="14.25" customHeight="1" x14ac:dyDescent="0.2">
      <c r="A60" s="271"/>
      <c r="B60" s="412"/>
      <c r="C60" s="412"/>
      <c r="D60" s="58"/>
      <c r="E60" s="58"/>
      <c r="F60" s="58"/>
      <c r="G60" s="58"/>
      <c r="H60" s="58"/>
      <c r="I60" s="58"/>
      <c r="J60" s="58"/>
      <c r="K60" s="13"/>
      <c r="L60" s="15"/>
      <c r="M60" s="15"/>
      <c r="N60" s="15"/>
      <c r="O60" s="15"/>
      <c r="P60" s="9"/>
      <c r="Q60" s="9"/>
      <c r="R60" s="9"/>
      <c r="S60" s="9"/>
      <c r="T60" s="9"/>
      <c r="U60" s="119"/>
      <c r="V60" s="138"/>
      <c r="W60" s="288"/>
      <c r="AK60" s="560" t="b">
        <v>1</v>
      </c>
      <c r="AL60" s="560"/>
      <c r="AM60" s="560"/>
      <c r="AN60" s="156" t="s">
        <v>15</v>
      </c>
      <c r="AO60" s="1055" t="str">
        <f t="shared" si="14"/>
        <v>West Berkshire</v>
      </c>
      <c r="AP60" s="1051" t="e">
        <f t="shared" si="18"/>
        <v>#N/A</v>
      </c>
      <c r="AQ60" s="973">
        <f t="shared" si="18"/>
        <v>2.8011204481792715</v>
      </c>
      <c r="AR60" s="973" t="e">
        <f t="shared" si="18"/>
        <v>#N/A</v>
      </c>
      <c r="AS60" s="973" t="e">
        <f t="shared" si="18"/>
        <v>#N/A</v>
      </c>
      <c r="AT60" s="973" t="e">
        <f t="shared" si="18"/>
        <v>#N/A</v>
      </c>
      <c r="AU60" s="1037">
        <f t="shared" si="17"/>
        <v>8.6999999999999993</v>
      </c>
      <c r="AV60" s="1034" t="e">
        <f>VLOOKUP($AO60,#REF!,AV$38,FALSE)</f>
        <v>#REF!</v>
      </c>
      <c r="AW60" s="1029" t="e">
        <f>VLOOKUP($AO60,#REF!,AW$38,FALSE)</f>
        <v>#REF!</v>
      </c>
      <c r="AX60" s="1029" t="e">
        <f>VLOOKUP($AO60,#REF!,AX$38,FALSE)</f>
        <v>#REF!</v>
      </c>
      <c r="AY60" s="1029" t="e">
        <f>VLOOKUP($AO60,#REF!,AY$38,FALSE)</f>
        <v>#REF!</v>
      </c>
      <c r="AZ60" s="1032" t="e">
        <f>VLOOKUP($AO60,#REF!,AZ$38,FALSE)</f>
        <v>#REF!</v>
      </c>
      <c r="BA60" s="1034" t="e">
        <f t="shared" si="19"/>
        <v>#N/A</v>
      </c>
      <c r="BB60" s="1029">
        <f t="shared" si="19"/>
        <v>0.10144927536231885</v>
      </c>
      <c r="BC60" s="1029">
        <f t="shared" si="19"/>
        <v>0.16216216216216217</v>
      </c>
      <c r="BD60" s="1029" t="e">
        <f t="shared" si="19"/>
        <v>#N/A</v>
      </c>
      <c r="BE60" s="1032">
        <f t="shared" si="19"/>
        <v>0.11320754716981132</v>
      </c>
      <c r="BF60" s="83"/>
      <c r="BG60" s="83"/>
      <c r="BH60" s="83"/>
      <c r="BI60" s="83"/>
      <c r="BJ60" s="83"/>
      <c r="BK60" s="83"/>
      <c r="BL60" s="83"/>
      <c r="BM60" s="83"/>
      <c r="BN60" s="83"/>
      <c r="BO60" s="83"/>
      <c r="BP60" s="83"/>
    </row>
    <row r="61" spans="1:68" ht="14.25" customHeight="1" x14ac:dyDescent="0.2">
      <c r="A61" s="271"/>
      <c r="B61" s="412"/>
      <c r="C61" s="412"/>
      <c r="D61" s="58"/>
      <c r="E61" s="58"/>
      <c r="F61" s="58"/>
      <c r="G61" s="58"/>
      <c r="H61" s="58"/>
      <c r="I61" s="58"/>
      <c r="J61" s="58"/>
      <c r="K61" s="13"/>
      <c r="L61" s="15"/>
      <c r="M61" s="15"/>
      <c r="N61" s="15"/>
      <c r="O61" s="15"/>
      <c r="P61" s="9"/>
      <c r="Q61" s="9"/>
      <c r="R61" s="9"/>
      <c r="S61" s="9"/>
      <c r="T61" s="9"/>
      <c r="U61" s="119"/>
      <c r="V61" s="138"/>
      <c r="W61" s="288"/>
      <c r="AK61" s="560" t="b">
        <v>1</v>
      </c>
      <c r="AL61" s="560"/>
      <c r="AM61" s="560"/>
      <c r="AN61" s="156" t="s">
        <v>5</v>
      </c>
      <c r="AO61" s="1055" t="str">
        <f t="shared" si="14"/>
        <v>West Sussex</v>
      </c>
      <c r="AP61" s="1051">
        <f t="shared" si="18"/>
        <v>1.777251184834123</v>
      </c>
      <c r="AQ61" s="973">
        <f t="shared" si="18"/>
        <v>2.640845070422535</v>
      </c>
      <c r="AR61" s="973">
        <f t="shared" si="18"/>
        <v>1.7462165308498254</v>
      </c>
      <c r="AS61" s="973">
        <f t="shared" si="18"/>
        <v>2.3658395845354878</v>
      </c>
      <c r="AT61" s="973">
        <f t="shared" si="18"/>
        <v>2.0034344590726958</v>
      </c>
      <c r="AU61" s="1037">
        <f t="shared" si="17"/>
        <v>11</v>
      </c>
      <c r="AV61" s="1034" t="e">
        <f>VLOOKUP($AO61,#REF!,AV$38,FALSE)</f>
        <v>#REF!</v>
      </c>
      <c r="AW61" s="1029" t="e">
        <f>VLOOKUP($AO61,#REF!,AW$38,FALSE)</f>
        <v>#REF!</v>
      </c>
      <c r="AX61" s="1029" t="e">
        <f>VLOOKUP($AO61,#REF!,AX$38,FALSE)</f>
        <v>#REF!</v>
      </c>
      <c r="AY61" s="1029" t="e">
        <f>VLOOKUP($AO61,#REF!,AY$38,FALSE)</f>
        <v>#REF!</v>
      </c>
      <c r="AZ61" s="1032" t="e">
        <f>VLOOKUP($AO61,#REF!,AZ$38,FALSE)</f>
        <v>#REF!</v>
      </c>
      <c r="BA61" s="1034">
        <f t="shared" si="19"/>
        <v>0.125</v>
      </c>
      <c r="BB61" s="1029">
        <f t="shared" si="19"/>
        <v>8.549222797927461E-2</v>
      </c>
      <c r="BC61" s="1029">
        <f t="shared" si="19"/>
        <v>0.12885154061624648</v>
      </c>
      <c r="BD61" s="1029">
        <f t="shared" si="19"/>
        <v>0.10355029585798817</v>
      </c>
      <c r="BE61" s="1032">
        <f t="shared" si="19"/>
        <v>0.11864406779661017</v>
      </c>
      <c r="BF61" s="83"/>
      <c r="BG61" s="83"/>
      <c r="BH61" s="83"/>
      <c r="BI61" s="83"/>
      <c r="BJ61" s="83"/>
      <c r="BK61" s="83"/>
      <c r="BL61" s="83"/>
      <c r="BM61" s="83"/>
      <c r="BN61" s="83"/>
      <c r="BO61" s="83"/>
      <c r="BP61" s="83"/>
    </row>
    <row r="62" spans="1:68" s="83" customFormat="1" ht="14.25" customHeight="1" x14ac:dyDescent="0.2">
      <c r="A62" s="271"/>
      <c r="B62" s="412"/>
      <c r="C62" s="412"/>
      <c r="D62" s="58"/>
      <c r="E62" s="58"/>
      <c r="F62" s="58"/>
      <c r="G62" s="58"/>
      <c r="H62" s="58"/>
      <c r="I62" s="58"/>
      <c r="J62" s="58"/>
      <c r="K62" s="13"/>
      <c r="L62" s="15"/>
      <c r="M62" s="15"/>
      <c r="N62" s="15"/>
      <c r="O62" s="15"/>
      <c r="P62" s="9"/>
      <c r="Q62" s="9"/>
      <c r="R62" s="9"/>
      <c r="S62" s="9"/>
      <c r="T62" s="9"/>
      <c r="U62" s="119"/>
      <c r="V62" s="138"/>
      <c r="W62" s="288"/>
      <c r="AK62" s="560" t="b">
        <v>1</v>
      </c>
      <c r="AL62" s="560"/>
      <c r="AM62" s="560"/>
      <c r="AN62" s="156" t="s">
        <v>30</v>
      </c>
      <c r="AO62" s="1055" t="str">
        <f t="shared" si="14"/>
        <v>Windsor &amp; Maidenhead</v>
      </c>
      <c r="AP62" s="1051">
        <f t="shared" si="18"/>
        <v>2.9940119760479043</v>
      </c>
      <c r="AQ62" s="973" t="e">
        <f t="shared" si="18"/>
        <v>#N/A</v>
      </c>
      <c r="AR62" s="973" t="e">
        <f t="shared" si="18"/>
        <v>#N/A</v>
      </c>
      <c r="AS62" s="973" t="e">
        <f t="shared" si="18"/>
        <v>#N/A</v>
      </c>
      <c r="AT62" s="973" t="e">
        <f t="shared" si="18"/>
        <v>#N/A</v>
      </c>
      <c r="AU62" s="1037">
        <f t="shared" si="17"/>
        <v>6.7</v>
      </c>
      <c r="AV62" s="1034" t="e">
        <f>VLOOKUP($AO62,#REF!,AV$38,FALSE)</f>
        <v>#REF!</v>
      </c>
      <c r="AW62" s="1029" t="e">
        <f>VLOOKUP($AO62,#REF!,AW$38,FALSE)</f>
        <v>#REF!</v>
      </c>
      <c r="AX62" s="1029" t="e">
        <f>VLOOKUP($AO62,#REF!,AX$38,FALSE)</f>
        <v>#REF!</v>
      </c>
      <c r="AY62" s="1029" t="e">
        <f>VLOOKUP($AO62,#REF!,AY$38,FALSE)</f>
        <v>#REF!</v>
      </c>
      <c r="AZ62" s="1032" t="e">
        <f>VLOOKUP($AO62,#REF!,AZ$38,FALSE)</f>
        <v>#REF!</v>
      </c>
      <c r="BA62" s="1034">
        <f t="shared" si="19"/>
        <v>0.14893617021276595</v>
      </c>
      <c r="BB62" s="1029">
        <f t="shared" si="19"/>
        <v>0.16279069767441862</v>
      </c>
      <c r="BC62" s="1029">
        <f t="shared" si="19"/>
        <v>0.17142857142857143</v>
      </c>
      <c r="BD62" s="1029" t="e">
        <f t="shared" si="19"/>
        <v>#N/A</v>
      </c>
      <c r="BE62" s="1032">
        <f t="shared" si="19"/>
        <v>0.13461538461538461</v>
      </c>
    </row>
    <row r="63" spans="1:68" s="83" customFormat="1" ht="14.25" customHeight="1" x14ac:dyDescent="0.2">
      <c r="A63" s="271"/>
      <c r="B63" s="412"/>
      <c r="C63" s="412"/>
      <c r="D63" s="58"/>
      <c r="E63" s="58"/>
      <c r="F63" s="58"/>
      <c r="G63" s="58"/>
      <c r="H63" s="58"/>
      <c r="I63" s="58"/>
      <c r="J63" s="58"/>
      <c r="K63" s="13"/>
      <c r="L63" s="15"/>
      <c r="M63" s="15"/>
      <c r="N63" s="15"/>
      <c r="O63" s="15"/>
      <c r="P63" s="9"/>
      <c r="Q63" s="9"/>
      <c r="R63" s="9"/>
      <c r="S63" s="9"/>
      <c r="T63" s="9"/>
      <c r="U63" s="119"/>
      <c r="V63" s="138"/>
      <c r="W63" s="288"/>
      <c r="AK63" s="560" t="b">
        <v>1</v>
      </c>
      <c r="AL63" s="560"/>
      <c r="AM63" s="560"/>
      <c r="AN63" s="156" t="s">
        <v>16</v>
      </c>
      <c r="AO63" s="1055" t="str">
        <f t="shared" si="14"/>
        <v>Wokingham</v>
      </c>
      <c r="AP63" s="1051" t="e">
        <f t="shared" si="18"/>
        <v>#N/A</v>
      </c>
      <c r="AQ63" s="973" t="e">
        <f t="shared" si="18"/>
        <v>#N/A</v>
      </c>
      <c r="AR63" s="973" t="e">
        <f t="shared" si="18"/>
        <v>#N/A</v>
      </c>
      <c r="AS63" s="973" t="e">
        <f t="shared" si="18"/>
        <v>#N/A</v>
      </c>
      <c r="AT63" s="973" t="e">
        <f t="shared" si="18"/>
        <v>#N/A</v>
      </c>
      <c r="AU63" s="1037">
        <f t="shared" si="17"/>
        <v>5.6000000000000005</v>
      </c>
      <c r="AV63" s="1034" t="e">
        <f>VLOOKUP($AO63,#REF!,AV$38,FALSE)</f>
        <v>#REF!</v>
      </c>
      <c r="AW63" s="1029" t="e">
        <f>VLOOKUP($AO63,#REF!,AW$38,FALSE)</f>
        <v>#REF!</v>
      </c>
      <c r="AX63" s="1029" t="e">
        <f>VLOOKUP($AO63,#REF!,AX$38,FALSE)</f>
        <v>#REF!</v>
      </c>
      <c r="AY63" s="1029" t="e">
        <f>VLOOKUP($AO63,#REF!,AY$38,FALSE)</f>
        <v>#REF!</v>
      </c>
      <c r="AZ63" s="1032" t="e">
        <f>VLOOKUP($AO63,#REF!,AZ$38,FALSE)</f>
        <v>#REF!</v>
      </c>
      <c r="BA63" s="1034" t="e">
        <f t="shared" si="19"/>
        <v>#N/A</v>
      </c>
      <c r="BB63" s="1029" t="e">
        <f t="shared" si="19"/>
        <v>#N/A</v>
      </c>
      <c r="BC63" s="1029" t="e">
        <f t="shared" si="19"/>
        <v>#N/A</v>
      </c>
      <c r="BD63" s="1029" t="e">
        <f t="shared" si="19"/>
        <v>#N/A</v>
      </c>
      <c r="BE63" s="1032" t="e">
        <f t="shared" si="19"/>
        <v>#N/A</v>
      </c>
    </row>
    <row r="64" spans="1:68" s="83" customFormat="1" ht="14.25" customHeight="1" x14ac:dyDescent="0.2">
      <c r="A64" s="271"/>
      <c r="B64" s="412"/>
      <c r="C64" s="412"/>
      <c r="D64" s="58"/>
      <c r="E64" s="58"/>
      <c r="F64" s="58"/>
      <c r="G64" s="58"/>
      <c r="H64" s="58"/>
      <c r="I64" s="58"/>
      <c r="J64" s="58"/>
      <c r="K64" s="13"/>
      <c r="L64" s="15"/>
      <c r="M64" s="15"/>
      <c r="N64" s="15"/>
      <c r="O64" s="15"/>
      <c r="P64" s="9"/>
      <c r="Q64" s="9"/>
      <c r="R64" s="9"/>
      <c r="S64" s="9"/>
      <c r="T64" s="9"/>
      <c r="U64" s="119"/>
      <c r="V64" s="138"/>
      <c r="W64" s="288"/>
      <c r="AK64" s="560" t="b">
        <v>1</v>
      </c>
      <c r="AL64" s="560"/>
      <c r="AM64" s="560"/>
      <c r="AN64" s="156" t="s">
        <v>74</v>
      </c>
      <c r="AO64" s="1055" t="str">
        <f t="shared" si="14"/>
        <v>South East</v>
      </c>
      <c r="AP64" s="1051">
        <f t="shared" si="18"/>
        <v>2.7901785714285712</v>
      </c>
      <c r="AQ64" s="973">
        <f t="shared" si="18"/>
        <v>2.3352508970780885</v>
      </c>
      <c r="AR64" s="973">
        <f t="shared" si="18"/>
        <v>2.2141941498659832</v>
      </c>
      <c r="AS64" s="973">
        <f t="shared" si="18"/>
        <v>2.0359281437125749</v>
      </c>
      <c r="AT64" s="973">
        <f t="shared" si="18"/>
        <v>1.7484700886724116</v>
      </c>
      <c r="AU64" s="1037">
        <f t="shared" si="17"/>
        <v>12.17834235917393</v>
      </c>
      <c r="AV64" s="1034" t="e">
        <f>VLOOKUP($AO64,#REF!,AV$38,FALSE)</f>
        <v>#REF!</v>
      </c>
      <c r="AW64" s="1029" t="e">
        <f>VLOOKUP($AO64,#REF!,AW$38,FALSE)</f>
        <v>#REF!</v>
      </c>
      <c r="AX64" s="1029" t="e">
        <f>VLOOKUP($AO64,#REF!,AX$38,FALSE)</f>
        <v>#REF!</v>
      </c>
      <c r="AY64" s="1029" t="e">
        <f>VLOOKUP($AO64,#REF!,AY$38,FALSE)</f>
        <v>#REF!</v>
      </c>
      <c r="AZ64" s="1032" t="e">
        <f>VLOOKUP($AO64,#REF!,AZ$38,FALSE)</f>
        <v>#REF!</v>
      </c>
      <c r="BA64" s="1034">
        <f t="shared" si="19"/>
        <v>0.18092909535452323</v>
      </c>
      <c r="BB64" s="1029">
        <f t="shared" si="19"/>
        <v>0.14193548387096774</v>
      </c>
      <c r="BC64" s="1029">
        <f t="shared" si="19"/>
        <v>0.13118279569892474</v>
      </c>
      <c r="BD64" s="1029">
        <f t="shared" si="19"/>
        <v>0.12296983758700696</v>
      </c>
      <c r="BE64" s="1032">
        <f t="shared" si="19"/>
        <v>0.12318840579710146</v>
      </c>
    </row>
    <row r="65" spans="1:57" s="83" customFormat="1" ht="14.25" customHeight="1" x14ac:dyDescent="0.2">
      <c r="A65" s="271"/>
      <c r="B65" s="412"/>
      <c r="C65" s="412"/>
      <c r="D65" s="58"/>
      <c r="E65" s="58"/>
      <c r="F65" s="58"/>
      <c r="G65" s="58"/>
      <c r="H65" s="58"/>
      <c r="I65" s="58"/>
      <c r="J65" s="58"/>
      <c r="K65" s="13"/>
      <c r="L65" s="112"/>
      <c r="M65" s="1609" t="s">
        <v>72</v>
      </c>
      <c r="N65" s="1609"/>
      <c r="O65" s="1609"/>
      <c r="P65" s="963"/>
      <c r="Q65" s="1610" t="s">
        <v>101</v>
      </c>
      <c r="R65" s="1610"/>
      <c r="S65" s="1610"/>
      <c r="T65" s="1610"/>
      <c r="U65" s="119"/>
      <c r="V65" s="138"/>
      <c r="W65" s="288"/>
      <c r="AK65" s="560" t="b">
        <v>1</v>
      </c>
      <c r="AL65" s="560"/>
      <c r="AM65" s="560"/>
      <c r="AN65" s="156" t="s">
        <v>126</v>
      </c>
      <c r="AO65" s="1055" t="str">
        <f t="shared" si="14"/>
        <v>England</v>
      </c>
      <c r="AP65" s="1051">
        <f t="shared" si="18"/>
        <v>2.8641182915361854</v>
      </c>
      <c r="AQ65" s="973">
        <f t="shared" si="18"/>
        <v>2.5175759340292343</v>
      </c>
      <c r="AR65" s="973">
        <f t="shared" si="18"/>
        <v>2.1382569811544894</v>
      </c>
      <c r="AS65" s="973">
        <f t="shared" si="18"/>
        <v>1.8791606977332098</v>
      </c>
      <c r="AT65" s="973">
        <f t="shared" si="18"/>
        <v>1.8319308048784566</v>
      </c>
      <c r="AU65" s="1037">
        <f t="shared" si="17"/>
        <v>17.084413405029373</v>
      </c>
      <c r="AV65" s="1034" t="e">
        <f>VLOOKUP($AO65,#REF!,AV$38,FALSE)</f>
        <v>#REF!</v>
      </c>
      <c r="AW65" s="1029" t="e">
        <f>VLOOKUP($AO65,#REF!,AW$38,FALSE)</f>
        <v>#REF!</v>
      </c>
      <c r="AX65" s="1029" t="e">
        <f>VLOOKUP($AO65,#REF!,AX$38,FALSE)</f>
        <v>#REF!</v>
      </c>
      <c r="AY65" s="1029" t="e">
        <f>VLOOKUP($AO65,#REF!,AY$38,FALSE)</f>
        <v>#REF!</v>
      </c>
      <c r="AZ65" s="1032" t="e">
        <f>VLOOKUP($AO65,#REF!,AZ$38,FALSE)</f>
        <v>#REF!</v>
      </c>
      <c r="BA65" s="1034">
        <f t="shared" si="19"/>
        <v>0.17097288676236044</v>
      </c>
      <c r="BB65" s="1029">
        <f t="shared" si="19"/>
        <v>0.14783427495291901</v>
      </c>
      <c r="BC65" s="1029">
        <f t="shared" si="19"/>
        <v>0.13917197452229299</v>
      </c>
      <c r="BD65" s="1029">
        <f t="shared" si="19"/>
        <v>0.1281198003327787</v>
      </c>
      <c r="BE65" s="1032">
        <f t="shared" si="19"/>
        <v>0.12118126272912423</v>
      </c>
    </row>
    <row r="66" spans="1:57" s="83" customFormat="1" ht="14.25" customHeight="1" x14ac:dyDescent="0.2">
      <c r="A66" s="271"/>
      <c r="B66" s="412"/>
      <c r="C66" s="412"/>
      <c r="D66" s="58"/>
      <c r="E66" s="58"/>
      <c r="F66" s="58"/>
      <c r="G66" s="58"/>
      <c r="H66" s="58"/>
      <c r="I66" s="58"/>
      <c r="J66" s="58"/>
      <c r="K66" s="13"/>
      <c r="L66" s="113"/>
      <c r="M66" s="1610" t="str">
        <f>Z4</f>
        <v>Selected LA- (none)</v>
      </c>
      <c r="N66" s="1610"/>
      <c r="O66" s="1610"/>
      <c r="P66" s="1610"/>
      <c r="Q66" s="1610"/>
      <c r="R66" s="1610"/>
      <c r="S66" s="1610"/>
      <c r="T66" s="1610"/>
      <c r="U66" s="119"/>
      <c r="V66" s="138"/>
      <c r="W66" s="147"/>
      <c r="AN66" s="157"/>
      <c r="AO66" s="1056" t="str">
        <f>Z4</f>
        <v>Selected LA- (none)</v>
      </c>
      <c r="AP66" s="1052" t="e">
        <f>VLOOKUP($Y4,$B$10:$P$32,AP$38,FALSE)</f>
        <v>#N/A</v>
      </c>
      <c r="AQ66" s="1053" t="e">
        <f>VLOOKUP($Y4,$B$10:$P$32,AQ$38,FALSE)</f>
        <v>#N/A</v>
      </c>
      <c r="AR66" s="1053" t="e">
        <f>VLOOKUP($Y4,$B$10:$P$32,AR$38,FALSE)</f>
        <v>#N/A</v>
      </c>
      <c r="AS66" s="1053" t="e">
        <f>VLOOKUP($Y4,$B$10:$P$32,AS$38,FALSE)</f>
        <v>#N/A</v>
      </c>
      <c r="AT66" s="1053" t="e">
        <f>VLOOKUP($Y4,$B$10:$P$32,AT$38,FALSE)</f>
        <v>#N/A</v>
      </c>
      <c r="AU66" s="1038" t="e">
        <f>VLOOKUP(Y4,$B$10:$U$33,AU$38,FALSE)</f>
        <v>#N/A</v>
      </c>
      <c r="AV66" s="1035" t="e">
        <f>VLOOKUP($Y$4,#REF!,AV$38,FALSE)</f>
        <v>#REF!</v>
      </c>
      <c r="AW66" s="1036" t="e">
        <f>VLOOKUP($Y$4,#REF!,AW$38,FALSE)</f>
        <v>#REF!</v>
      </c>
      <c r="AX66" s="1036" t="e">
        <f>VLOOKUP($Y$4,#REF!,AX$38,FALSE)</f>
        <v>#REF!</v>
      </c>
      <c r="AY66" s="1036" t="e">
        <f>VLOOKUP($Y$4,#REF!,AY$38,FALSE)</f>
        <v>#REF!</v>
      </c>
      <c r="AZ66" s="1033" t="e">
        <f>VLOOKUP($Y$4,#REF!,AZ$38,FALSE)</f>
        <v>#REF!</v>
      </c>
      <c r="BA66" s="1035" t="e">
        <f>VLOOKUP($Y$4,$B$78:$H$101,BA$38,FALSE)</f>
        <v>#N/A</v>
      </c>
      <c r="BB66" s="1036" t="e">
        <f>VLOOKUP($Y$4,$B$78:$H$101,BB$38,FALSE)</f>
        <v>#N/A</v>
      </c>
      <c r="BC66" s="1036" t="e">
        <f>VLOOKUP($Y$4,$B$78:$H$101,BC$38,FALSE)</f>
        <v>#N/A</v>
      </c>
      <c r="BD66" s="1036" t="e">
        <f>VLOOKUP($Y$4,$B$78:$H$101,BD$38,FALSE)</f>
        <v>#N/A</v>
      </c>
      <c r="BE66" s="1033" t="e">
        <f>VLOOKUP($Y$4,$B$78:$H$101,BE$38,FALSE)</f>
        <v>#N/A</v>
      </c>
    </row>
    <row r="67" spans="1:57" s="83" customFormat="1" ht="42" customHeight="1" x14ac:dyDescent="0.2">
      <c r="A67" s="271"/>
      <c r="B67" s="412"/>
      <c r="C67" s="412"/>
      <c r="D67" s="58"/>
      <c r="E67" s="58"/>
      <c r="F67" s="58"/>
      <c r="G67" s="58"/>
      <c r="H67" s="58"/>
      <c r="I67" s="58"/>
      <c r="J67" s="58"/>
      <c r="K67" s="13"/>
      <c r="L67" s="9"/>
      <c r="M67" s="9"/>
      <c r="N67" s="9"/>
      <c r="O67" s="9"/>
      <c r="P67" s="9"/>
      <c r="Q67" s="9"/>
      <c r="R67" s="9"/>
      <c r="S67" s="9"/>
      <c r="T67" s="9"/>
      <c r="U67" s="119"/>
      <c r="V67" s="138"/>
      <c r="W67" s="147"/>
      <c r="AN67" s="157"/>
    </row>
    <row r="68" spans="1:57" s="89" customFormat="1" ht="42" customHeight="1" x14ac:dyDescent="0.2">
      <c r="A68" s="286"/>
      <c r="B68" s="111"/>
      <c r="C68" s="111"/>
      <c r="D68" s="111"/>
      <c r="E68" s="111"/>
      <c r="F68" s="111"/>
      <c r="G68" s="111"/>
      <c r="H68" s="111"/>
      <c r="I68" s="111"/>
      <c r="J68" s="111"/>
      <c r="K68" s="98"/>
      <c r="L68" s="87"/>
      <c r="M68" s="87"/>
      <c r="N68" s="87"/>
      <c r="O68" s="87"/>
      <c r="P68" s="87"/>
      <c r="Q68" s="87"/>
      <c r="R68" s="87"/>
      <c r="S68" s="87"/>
      <c r="T68" s="87"/>
      <c r="U68" s="124"/>
      <c r="V68" s="140"/>
      <c r="W68" s="149"/>
      <c r="AC68" s="185"/>
      <c r="AD68" s="185"/>
      <c r="AE68" s="185"/>
      <c r="AF68" s="185"/>
      <c r="AG68" s="185"/>
      <c r="AH68" s="185"/>
      <c r="AI68" s="185"/>
      <c r="AJ68" s="185"/>
      <c r="AK68" s="199"/>
      <c r="AL68" s="199"/>
      <c r="AM68" s="199"/>
      <c r="AN68" s="156"/>
    </row>
    <row r="69" spans="1:57" s="89" customFormat="1" ht="42" customHeight="1" x14ac:dyDescent="0.2">
      <c r="A69" s="286"/>
      <c r="B69" s="111"/>
      <c r="C69" s="111"/>
      <c r="D69" s="111"/>
      <c r="E69" s="111"/>
      <c r="F69" s="111"/>
      <c r="G69" s="111"/>
      <c r="H69" s="111"/>
      <c r="I69" s="111"/>
      <c r="J69" s="111"/>
      <c r="K69" s="98"/>
      <c r="L69" s="87"/>
      <c r="M69" s="87"/>
      <c r="N69" s="87"/>
      <c r="O69" s="87"/>
      <c r="P69" s="87"/>
      <c r="Q69" s="87"/>
      <c r="R69" s="87"/>
      <c r="S69" s="87"/>
      <c r="T69" s="87"/>
      <c r="U69" s="124"/>
      <c r="V69" s="140"/>
      <c r="W69" s="149"/>
      <c r="AC69" s="185"/>
      <c r="AD69" s="185"/>
      <c r="AE69" s="185"/>
      <c r="AF69" s="185"/>
      <c r="AG69" s="185"/>
      <c r="AH69" s="185"/>
      <c r="AI69" s="185"/>
      <c r="AJ69" s="185"/>
      <c r="AK69" s="199"/>
      <c r="AL69" s="199"/>
      <c r="AM69" s="199"/>
      <c r="AN69" s="156"/>
    </row>
    <row r="70" spans="1:57" ht="7.5" customHeight="1" x14ac:dyDescent="0.2">
      <c r="A70" s="271"/>
      <c r="B70" s="18"/>
      <c r="C70" s="18"/>
      <c r="D70" s="17"/>
      <c r="E70" s="17"/>
      <c r="F70" s="17"/>
      <c r="G70" s="17"/>
      <c r="H70" s="17"/>
      <c r="I70" s="17"/>
      <c r="J70" s="17"/>
      <c r="K70" s="13"/>
      <c r="L70" s="19"/>
      <c r="M70" s="19"/>
      <c r="N70" s="19"/>
      <c r="O70" s="19"/>
      <c r="P70" s="19"/>
      <c r="Q70" s="19"/>
      <c r="R70" s="19"/>
      <c r="S70" s="19"/>
      <c r="T70" s="19"/>
      <c r="U70" s="1003"/>
      <c r="V70" s="140"/>
      <c r="W70" s="149"/>
      <c r="X70" s="89"/>
      <c r="Y70" s="89"/>
      <c r="Z70" s="89"/>
      <c r="AA70" s="89"/>
      <c r="AB70" s="89"/>
      <c r="AC70" s="185"/>
      <c r="AD70" s="185"/>
      <c r="AE70" s="185"/>
      <c r="AF70" s="185"/>
      <c r="AG70" s="185"/>
      <c r="AH70" s="185"/>
      <c r="AI70" s="185"/>
      <c r="AJ70" s="185"/>
      <c r="AK70" s="199"/>
      <c r="AL70" s="199"/>
      <c r="AM70" s="199"/>
      <c r="AN70" s="156"/>
    </row>
    <row r="71" spans="1:57" ht="15" customHeight="1" x14ac:dyDescent="0.2">
      <c r="A71" s="1443"/>
      <c r="B71" s="1421"/>
      <c r="C71" s="1421"/>
      <c r="D71" s="1421"/>
      <c r="E71" s="1421"/>
      <c r="F71" s="1421"/>
      <c r="G71" s="1421"/>
      <c r="H71" s="1421"/>
      <c r="I71" s="1421"/>
      <c r="J71" s="1421"/>
      <c r="K71" s="1421"/>
      <c r="L71" s="1421"/>
      <c r="M71" s="1421"/>
      <c r="N71" s="1421"/>
      <c r="O71" s="1421"/>
      <c r="P71" s="1421"/>
      <c r="Q71" s="1421"/>
      <c r="R71" s="1421"/>
      <c r="S71" s="1421"/>
      <c r="T71" s="1421"/>
      <c r="U71" s="1422"/>
      <c r="V71" s="140"/>
      <c r="W71" s="149"/>
      <c r="X71" s="89"/>
      <c r="Y71" s="89"/>
      <c r="Z71" s="89"/>
      <c r="AA71" s="89"/>
      <c r="AB71" s="89"/>
      <c r="AC71" s="185"/>
      <c r="AD71" s="185"/>
      <c r="AE71" s="185"/>
      <c r="AF71" s="185"/>
      <c r="AG71" s="185"/>
      <c r="AH71" s="185"/>
      <c r="AI71" s="185"/>
      <c r="AJ71" s="185"/>
      <c r="AK71" s="199"/>
      <c r="AL71" s="199"/>
      <c r="AM71" s="199"/>
      <c r="AN71" s="156"/>
    </row>
    <row r="72" spans="1:57" ht="11.25" customHeight="1" x14ac:dyDescent="0.2">
      <c r="A72" s="1471" t="str">
        <f>Home!$A$40</f>
        <v>LA's provide quarterly data on the condition that it is used by the benchmarking group for internal reporting only. Please DO NOT share other LA's data with any external partners or the public</v>
      </c>
      <c r="B72" s="1431"/>
      <c r="C72" s="1431"/>
      <c r="D72" s="1431"/>
      <c r="E72" s="1431"/>
      <c r="F72" s="1431"/>
      <c r="G72" s="1431"/>
      <c r="H72" s="1431"/>
      <c r="I72" s="1431"/>
      <c r="J72" s="1431"/>
      <c r="K72" s="1431"/>
      <c r="L72" s="1431"/>
      <c r="M72" s="1431"/>
      <c r="N72" s="1431"/>
      <c r="O72" s="1431"/>
      <c r="P72" s="1431"/>
      <c r="Q72" s="1431"/>
      <c r="R72" s="1431"/>
      <c r="S72" s="1431"/>
      <c r="T72" s="1431"/>
      <c r="U72" s="1482"/>
      <c r="V72" s="140"/>
      <c r="W72" s="149"/>
      <c r="X72" s="89"/>
      <c r="Y72" s="89"/>
      <c r="Z72" s="89"/>
      <c r="AA72" s="89"/>
      <c r="AB72" s="89"/>
      <c r="AC72" s="185"/>
      <c r="AD72" s="185"/>
      <c r="AE72" s="185"/>
      <c r="AF72" s="185"/>
      <c r="AG72" s="185"/>
      <c r="AH72" s="185"/>
      <c r="AI72" s="185"/>
      <c r="AJ72" s="185"/>
      <c r="AK72" s="199"/>
      <c r="AL72" s="199"/>
      <c r="AM72" s="199"/>
      <c r="AN72" s="156"/>
    </row>
    <row r="73" spans="1:57" ht="11.25" customHeight="1" x14ac:dyDescent="0.2">
      <c r="A73" s="114"/>
      <c r="B73" s="115"/>
      <c r="C73" s="115"/>
      <c r="D73" s="115"/>
      <c r="E73" s="115"/>
      <c r="F73" s="115"/>
      <c r="G73" s="115"/>
      <c r="H73" s="115"/>
      <c r="I73" s="115"/>
      <c r="J73" s="115"/>
      <c r="K73" s="116"/>
      <c r="L73" s="115"/>
      <c r="M73" s="115"/>
      <c r="N73" s="115"/>
      <c r="O73" s="115"/>
      <c r="P73" s="115"/>
      <c r="Q73" s="115"/>
      <c r="R73" s="115"/>
      <c r="S73" s="115"/>
      <c r="T73" s="115"/>
      <c r="U73" s="117"/>
      <c r="V73" s="138"/>
      <c r="W73" s="147"/>
      <c r="X73" s="193"/>
      <c r="Y73" s="191"/>
      <c r="Z73" s="183"/>
      <c r="AK73" s="179"/>
      <c r="AL73" s="179"/>
      <c r="AM73" s="179"/>
      <c r="AN73" s="157"/>
    </row>
    <row r="74" spans="1:57" s="78" customFormat="1" ht="15" customHeight="1" x14ac:dyDescent="0.2">
      <c r="A74" s="438"/>
      <c r="B74" s="1442" t="s">
        <v>169</v>
      </c>
      <c r="C74" s="1442"/>
      <c r="D74" s="1442"/>
      <c r="E74" s="1442"/>
      <c r="F74" s="1442"/>
      <c r="G74" s="1442"/>
      <c r="H74" s="1442"/>
      <c r="I74" s="1442"/>
      <c r="J74" s="220"/>
      <c r="K74" s="69"/>
      <c r="L74" s="69"/>
      <c r="M74" s="69"/>
      <c r="N74" s="69"/>
      <c r="O74" s="978"/>
      <c r="P74" s="69"/>
      <c r="Q74" s="69"/>
      <c r="R74" s="69"/>
      <c r="S74" s="69"/>
      <c r="T74" s="69"/>
      <c r="U74" s="1005"/>
      <c r="V74" s="139"/>
      <c r="W74" s="148"/>
      <c r="Y74" s="375"/>
      <c r="Z74" s="376"/>
      <c r="AA74" s="376"/>
      <c r="AB74" s="376"/>
      <c r="AC74" s="565"/>
      <c r="AE74" s="375"/>
      <c r="AF74" s="376"/>
      <c r="AG74" s="376"/>
      <c r="AH74" s="376"/>
      <c r="AI74" s="376"/>
      <c r="AJ74" s="376"/>
      <c r="AK74" s="179"/>
      <c r="AL74" s="179"/>
      <c r="AM74" s="179"/>
      <c r="AN74" s="156"/>
    </row>
    <row r="75" spans="1:57" ht="15" customHeight="1" x14ac:dyDescent="0.2">
      <c r="A75" s="271"/>
      <c r="B75" s="1442"/>
      <c r="C75" s="1442"/>
      <c r="D75" s="1442"/>
      <c r="E75" s="1442"/>
      <c r="F75" s="1442"/>
      <c r="G75" s="1442"/>
      <c r="H75" s="1442"/>
      <c r="I75" s="1442"/>
      <c r="J75" s="220"/>
      <c r="K75" s="69"/>
      <c r="L75" s="69"/>
      <c r="M75" s="69"/>
      <c r="N75" s="69"/>
      <c r="O75" s="978"/>
      <c r="P75" s="69"/>
      <c r="Q75" s="69"/>
      <c r="R75" s="69"/>
      <c r="S75" s="9"/>
      <c r="T75" s="69"/>
      <c r="U75" s="1005"/>
      <c r="V75" s="138"/>
      <c r="W75" s="147"/>
      <c r="X75" s="580" t="s">
        <v>170</v>
      </c>
      <c r="Y75" s="375"/>
      <c r="Z75" s="376"/>
      <c r="AA75" s="376"/>
      <c r="AB75" s="376"/>
      <c r="AC75" s="376"/>
      <c r="AD75" s="580" t="s">
        <v>168</v>
      </c>
      <c r="AE75" s="376"/>
      <c r="AF75" s="376"/>
      <c r="AG75" s="376"/>
      <c r="AH75" s="376"/>
      <c r="AI75" s="376"/>
      <c r="AJ75" s="376"/>
      <c r="AK75" s="376"/>
      <c r="AL75" s="376"/>
      <c r="AM75" s="376"/>
      <c r="AN75" s="157"/>
    </row>
    <row r="76" spans="1:57" s="89" customFormat="1" ht="13.5" customHeight="1" x14ac:dyDescent="0.2">
      <c r="A76" s="286"/>
      <c r="B76" s="1419" t="s">
        <v>190</v>
      </c>
      <c r="C76" s="979"/>
      <c r="D76" s="755" t="str">
        <f>Sheet1!$D$25</f>
        <v>2014-15</v>
      </c>
      <c r="E76" s="756" t="str">
        <f>Sheet1!$E$25</f>
        <v>2015-16</v>
      </c>
      <c r="F76" s="756" t="str">
        <f>Sheet1!$F$25</f>
        <v>2016-17</v>
      </c>
      <c r="G76" s="756" t="str">
        <f>Sheet1!$G$25</f>
        <v>2017-18</v>
      </c>
      <c r="H76" s="757" t="str">
        <f>Sheet1!$H$25</f>
        <v>2018-19</v>
      </c>
      <c r="I76" s="61"/>
      <c r="J76" s="98"/>
      <c r="K76" s="98"/>
      <c r="L76" s="61"/>
      <c r="M76" s="61"/>
      <c r="N76" s="61"/>
      <c r="O76" s="61"/>
      <c r="P76" s="61"/>
      <c r="Q76" s="61"/>
      <c r="R76" s="982"/>
      <c r="S76" s="982"/>
      <c r="T76" s="155"/>
      <c r="U76" s="1006"/>
      <c r="V76" s="140"/>
      <c r="W76" s="149"/>
      <c r="X76" s="365"/>
      <c r="Y76" s="463" t="str">
        <f>Sheet1!$D$25</f>
        <v>2014-15</v>
      </c>
      <c r="Z76" s="463" t="str">
        <f>Sheet1!$E$25</f>
        <v>2015-16</v>
      </c>
      <c r="AA76" s="463" t="str">
        <f>Sheet1!$F$25</f>
        <v>2016-17</v>
      </c>
      <c r="AB76" s="463" t="str">
        <f>Sheet1!$G$25</f>
        <v>2017-18</v>
      </c>
      <c r="AC76" s="463" t="str">
        <f>Sheet1!$H$25</f>
        <v>2018-19</v>
      </c>
      <c r="AD76" s="365"/>
      <c r="AE76" s="463" t="str">
        <f>Sheet1!$D$25</f>
        <v>2014-15</v>
      </c>
      <c r="AF76" s="463" t="str">
        <f>Sheet1!$E$25</f>
        <v>2015-16</v>
      </c>
      <c r="AG76" s="463" t="str">
        <f>Sheet1!$F$25</f>
        <v>2016-17</v>
      </c>
      <c r="AH76" s="463" t="str">
        <f>Sheet1!$G$25</f>
        <v>2017-18</v>
      </c>
      <c r="AI76" s="463"/>
      <c r="AJ76" s="463"/>
      <c r="AK76" s="463" t="str">
        <f>Sheet1!$H$25</f>
        <v>2018-19</v>
      </c>
      <c r="AL76" s="1058"/>
      <c r="AM76" s="1058"/>
      <c r="AN76" s="156"/>
    </row>
    <row r="77" spans="1:57" s="89" customFormat="1" ht="13.5" customHeight="1" x14ac:dyDescent="0.2">
      <c r="A77" s="286"/>
      <c r="B77" s="1420"/>
      <c r="C77" s="87"/>
      <c r="D77" s="758" t="e">
        <f>Sheet1!$D$26</f>
        <v>#N/A</v>
      </c>
      <c r="E77" s="758" t="e">
        <f>Sheet1!$E$26</f>
        <v>#N/A</v>
      </c>
      <c r="F77" s="758" t="e">
        <f>Sheet1!$F$26</f>
        <v>#N/A</v>
      </c>
      <c r="G77" s="758" t="e">
        <f>Sheet1!$G$26</f>
        <v>#N/A</v>
      </c>
      <c r="H77" s="759" t="e">
        <f>Sheet1!$H$26</f>
        <v>#N/A</v>
      </c>
      <c r="I77" s="61"/>
      <c r="J77" s="98"/>
      <c r="K77" s="98"/>
      <c r="L77" s="61"/>
      <c r="M77" s="61"/>
      <c r="N77" s="61"/>
      <c r="O77" s="61"/>
      <c r="P77" s="61"/>
      <c r="Q77" s="61"/>
      <c r="R77" s="982"/>
      <c r="S77" s="982"/>
      <c r="T77" s="155"/>
      <c r="U77" s="1006"/>
      <c r="V77" s="140"/>
      <c r="W77" s="149"/>
      <c r="X77" s="420"/>
      <c r="Y77" s="463" t="e">
        <f>Sheet1!$D$26</f>
        <v>#N/A</v>
      </c>
      <c r="Z77" s="463" t="e">
        <f>Sheet1!$E$26</f>
        <v>#N/A</v>
      </c>
      <c r="AA77" s="463" t="e">
        <f>Sheet1!$F$26</f>
        <v>#N/A</v>
      </c>
      <c r="AB77" s="463" t="e">
        <f>Sheet1!$G$26</f>
        <v>#N/A</v>
      </c>
      <c r="AC77" s="463" t="e">
        <f>Sheet1!$H$26</f>
        <v>#N/A</v>
      </c>
      <c r="AD77" s="365"/>
      <c r="AE77" s="463" t="e">
        <f>Sheet1!$D$26</f>
        <v>#N/A</v>
      </c>
      <c r="AF77" s="463" t="e">
        <f>Sheet1!$E$26</f>
        <v>#N/A</v>
      </c>
      <c r="AG77" s="463" t="e">
        <f>Sheet1!$F$26</f>
        <v>#N/A</v>
      </c>
      <c r="AH77" s="463" t="e">
        <f>Sheet1!$G$26</f>
        <v>#N/A</v>
      </c>
      <c r="AI77" s="463"/>
      <c r="AJ77" s="463"/>
      <c r="AK77" s="463" t="e">
        <f>Sheet1!$H$26</f>
        <v>#N/A</v>
      </c>
      <c r="AL77" s="1058"/>
      <c r="AM77" s="1058"/>
      <c r="AN77" s="156"/>
    </row>
    <row r="78" spans="1:57" s="89" customFormat="1" ht="12.75" customHeight="1" x14ac:dyDescent="0.2">
      <c r="A78" s="462">
        <f>VLOOKUP(B78,Sheet1!$AQ$4:$AR$25,2,FALSE)</f>
        <v>0</v>
      </c>
      <c r="B78" s="95" t="str">
        <f t="shared" ref="B78:B101" si="20">B10</f>
        <v>Bracknell Forest</v>
      </c>
      <c r="C78" s="87"/>
      <c r="D78" s="158">
        <f>IF(AND(ISNUMBER(AE78),ISNUMBER(Y78)),AE78/Y78,NA())</f>
        <v>0.10344827586206896</v>
      </c>
      <c r="E78" s="158">
        <f t="shared" ref="E78:G78" si="21">IF(AND(ISNUMBER(AF78),ISNUMBER(Z78)),AF78/Z78,NA())</f>
        <v>0.13235294117647059</v>
      </c>
      <c r="F78" s="158" t="e">
        <f t="shared" si="21"/>
        <v>#N/A</v>
      </c>
      <c r="G78" s="158" t="e">
        <f t="shared" si="21"/>
        <v>#N/A</v>
      </c>
      <c r="H78" s="160">
        <f t="shared" ref="H78:H101" si="22">IF(AND(ISNUMBER(AK78),ISNUMBER(AC78)),AK78/AC78,NA())</f>
        <v>0.1076923076923077</v>
      </c>
      <c r="I78" s="425"/>
      <c r="J78" s="98"/>
      <c r="K78" s="98"/>
      <c r="L78" s="162"/>
      <c r="M78" s="162"/>
      <c r="N78" s="162"/>
      <c r="O78" s="162"/>
      <c r="P78" s="162"/>
      <c r="Q78" s="162"/>
      <c r="R78" s="162"/>
      <c r="S78" s="163"/>
      <c r="T78" s="155"/>
      <c r="U78" s="1006"/>
      <c r="V78" s="140"/>
      <c r="W78" s="149"/>
      <c r="X78" s="420" t="str">
        <f t="shared" ref="X78:X101" si="23">B78</f>
        <v>Bracknell Forest</v>
      </c>
      <c r="Y78" s="365">
        <f>IF(Year1_Bracknell_Forest Year1_Adoption_ceased_LAC="","",Year1_Bracknell_Forest Year1_Adoption_ceased_LAC)</f>
        <v>58</v>
      </c>
      <c r="Z78" s="365">
        <f>IF(Year2_Bracknell_Forest Year2_Adoption_ceased_LAC="","",Year2_Bracknell_Forest Year2_Adoption_ceased_LAC)</f>
        <v>68</v>
      </c>
      <c r="AA78" s="365">
        <f>IF(Year3_Bracknell_Forest Year3_Adoption_ceased_LAC="","",Year3_Bracknell_Forest Year3_Adoption_ceased_LAC)</f>
        <v>49</v>
      </c>
      <c r="AB78" s="365">
        <f>IF(Year4_Bracknell_Forest Year4_Adoption_ceased_LAC="","",Year4_Bracknell_Forest Year4_Adoption_ceased_LAC)</f>
        <v>67</v>
      </c>
      <c r="AC78" s="365">
        <f>IF(Year5_Bracknell_Forest Year5_Adoption_ceased_LAC="","",Year5_Bracknell_Forest Year5_Adoption_ceased_LAC)</f>
        <v>65</v>
      </c>
      <c r="AD78" s="365" t="str">
        <f t="shared" ref="AD78:AD101" si="24">X78</f>
        <v>Bracknell Forest</v>
      </c>
      <c r="AE78" s="463">
        <f>IF(Year1_Bracknell_Forest Year1_Adoption_LAC_Adopted="","",Year1_Bracknell_Forest Year1_Adoption_LAC_Adopted)</f>
        <v>6</v>
      </c>
      <c r="AF78" s="365">
        <f>IF(Year2_Bracknell_Forest Year2_Adoption_LAC_Adopted="","",Year2_Bracknell_Forest Year2_Adoption_LAC_Adopted)</f>
        <v>9</v>
      </c>
      <c r="AG78" s="365" t="str">
        <f>IF(Year3_Bracknell_Forest Year3_Adoption_LAC_Adopted="","",Year3_Bracknell_Forest Year3_Adoption_LAC_Adopted)</f>
        <v>c</v>
      </c>
      <c r="AH78" s="365" t="str">
        <f>IF(Year4_Bracknell_Forest Year4_Adoption_LAC_Adopted="","",Year4_Bracknell_Forest Year4_Adoption_LAC_Adopted)</f>
        <v>c</v>
      </c>
      <c r="AI78" s="365"/>
      <c r="AJ78" s="365"/>
      <c r="AK78" s="365">
        <f>IF(Year5_Bracknell_Forest Year5_Adoption_LAC_Adopted="","",Year5_Bracknell_Forest Year5_Adoption_LAC_Adopted)</f>
        <v>7</v>
      </c>
      <c r="AL78" s="1059"/>
      <c r="AM78" s="1059"/>
      <c r="AN78" s="157"/>
    </row>
    <row r="79" spans="1:57" s="89" customFormat="1" ht="12.75" customHeight="1" x14ac:dyDescent="0.2">
      <c r="A79" s="462">
        <f>VLOOKUP(B79,Sheet1!$AQ$4:$AR$25,2,FALSE)</f>
        <v>0</v>
      </c>
      <c r="B79" s="95" t="str">
        <f t="shared" si="20"/>
        <v>Brighton &amp; Hove</v>
      </c>
      <c r="C79" s="87"/>
      <c r="D79" s="158">
        <f t="shared" ref="D79:D101" si="25">IF(AND(ISNUMBER(AE79),ISNUMBER(Y79)),AE79/Y79,NA())</f>
        <v>0.265625</v>
      </c>
      <c r="E79" s="158">
        <f t="shared" ref="E79:E101" si="26">IF(AND(ISNUMBER(AF79),ISNUMBER(Z79)),AF79/Z79,NA())</f>
        <v>0.15918367346938775</v>
      </c>
      <c r="F79" s="158">
        <f t="shared" ref="F79:F101" si="27">IF(AND(ISNUMBER(AG79),ISNUMBER(AA79)),AG79/AA79,NA())</f>
        <v>0.12849162011173185</v>
      </c>
      <c r="G79" s="158">
        <f t="shared" ref="G79:G101" si="28">IF(AND(ISNUMBER(AH79),ISNUMBER(AB79)),AH79/AB79,NA())</f>
        <v>0.18181818181818182</v>
      </c>
      <c r="H79" s="160">
        <f t="shared" si="22"/>
        <v>0.18181818181818182</v>
      </c>
      <c r="I79" s="425"/>
      <c r="J79" s="98"/>
      <c r="K79" s="98"/>
      <c r="L79" s="162"/>
      <c r="M79" s="162"/>
      <c r="N79" s="162"/>
      <c r="O79" s="162"/>
      <c r="P79" s="162"/>
      <c r="Q79" s="162"/>
      <c r="R79" s="162"/>
      <c r="S79" s="163"/>
      <c r="T79" s="155"/>
      <c r="U79" s="1006"/>
      <c r="V79" s="140"/>
      <c r="W79" s="149"/>
      <c r="X79" s="420" t="str">
        <f t="shared" si="23"/>
        <v>Brighton &amp; Hove</v>
      </c>
      <c r="Y79" s="365">
        <f>IF(Year1_Brighton_Hove Year1_Adoption_ceased_LAC="","",Year1_Brighton_Hove Year1_Adoption_ceased_LAC)</f>
        <v>192</v>
      </c>
      <c r="Z79" s="365">
        <f>IF(Year2_Brighton_Hove Year2_Adoption_ceased_LAC="","",Year2_Brighton_Hove Year2_Adoption_ceased_LAC)</f>
        <v>245</v>
      </c>
      <c r="AA79" s="365">
        <f>IF(Year3_Brighton_Hove Year3_Adoption_ceased_LAC="","",Year3_Brighton_Hove Year3_Adoption_ceased_LAC)</f>
        <v>179</v>
      </c>
      <c r="AB79" s="365">
        <f>IF(Year4_Brighton_Hove Year4_Adoption_ceased_LAC="","",Year4_Brighton_Hove Year4_Adoption_ceased_LAC)</f>
        <v>176</v>
      </c>
      <c r="AC79" s="365">
        <f>IF(Year5_Brighton_Hove Year5_Adoption_ceased_LAC="","",Year5_Brighton_Hove Year5_Adoption_ceased_LAC)</f>
        <v>187</v>
      </c>
      <c r="AD79" s="365" t="str">
        <f t="shared" si="24"/>
        <v>Brighton &amp; Hove</v>
      </c>
      <c r="AE79" s="463">
        <f>IF(Year1_Brighton_Hove Year1_Adoption_LAC_Adopted="","",Year1_Brighton_Hove Year1_Adoption_LAC_Adopted)</f>
        <v>51</v>
      </c>
      <c r="AF79" s="365">
        <f>IF(Year2_Brighton_Hove Year2_Adoption_LAC_Adopted="","",Year2_Brighton_Hove Year2_Adoption_LAC_Adopted)</f>
        <v>39</v>
      </c>
      <c r="AG79" s="365">
        <f>IF(Year3_Brighton_Hove Year3_Adoption_LAC_Adopted="","",Year3_Brighton_Hove Year3_Adoption_LAC_Adopted)</f>
        <v>23</v>
      </c>
      <c r="AH79" s="365">
        <f>IF(Year4_Brighton_Hove Year4_Adoption_LAC_Adopted="","",Year4_Brighton_Hove Year4_Adoption_LAC_Adopted)</f>
        <v>32</v>
      </c>
      <c r="AI79" s="365"/>
      <c r="AJ79" s="365"/>
      <c r="AK79" s="365">
        <f>IF(Year5_Brighton_Hove Year5_Adoption_LAC_Adopted="","",Year5_Brighton_Hove Year5_Adoption_LAC_Adopted)</f>
        <v>34</v>
      </c>
      <c r="AL79" s="1059"/>
      <c r="AM79" s="1059"/>
      <c r="AN79" s="156"/>
    </row>
    <row r="80" spans="1:57" s="89" customFormat="1" ht="12.75" customHeight="1" x14ac:dyDescent="0.2">
      <c r="A80" s="462">
        <f>VLOOKUP(B80,Sheet1!$AQ$4:$AR$25,2,FALSE)</f>
        <v>0</v>
      </c>
      <c r="B80" s="95" t="str">
        <f t="shared" si="20"/>
        <v>Buckinghamshire</v>
      </c>
      <c r="C80" s="87"/>
      <c r="D80" s="158">
        <f t="shared" si="25"/>
        <v>0.19753086419753085</v>
      </c>
      <c r="E80" s="158">
        <f t="shared" si="26"/>
        <v>0.16740088105726872</v>
      </c>
      <c r="F80" s="158">
        <f t="shared" si="27"/>
        <v>0.17674418604651163</v>
      </c>
      <c r="G80" s="158">
        <f t="shared" si="28"/>
        <v>0.12777777777777777</v>
      </c>
      <c r="H80" s="160">
        <f t="shared" si="22"/>
        <v>0.10588235294117647</v>
      </c>
      <c r="I80" s="425"/>
      <c r="J80" s="98"/>
      <c r="K80" s="98"/>
      <c r="L80" s="162"/>
      <c r="M80" s="162"/>
      <c r="N80" s="162"/>
      <c r="O80" s="162"/>
      <c r="P80" s="162"/>
      <c r="Q80" s="162"/>
      <c r="R80" s="162"/>
      <c r="S80" s="163"/>
      <c r="T80" s="155"/>
      <c r="U80" s="1006"/>
      <c r="V80" s="140"/>
      <c r="W80" s="149"/>
      <c r="X80" s="420" t="str">
        <f t="shared" si="23"/>
        <v>Buckinghamshire</v>
      </c>
      <c r="Y80" s="365">
        <f>IF(Year1_Buckinghamshire Year1_Adoption_ceased_LAC="","",Year1_Buckinghamshire Year1_Adoption_ceased_LAC)</f>
        <v>162</v>
      </c>
      <c r="Z80" s="365">
        <f>IF(Year2_Buckinghamshire Year2_Adoption_ceased_LAC="","",Year2_Buckinghamshire Year2_Adoption_ceased_LAC)</f>
        <v>227</v>
      </c>
      <c r="AA80" s="365">
        <f>IF(Year3_Buckinghamshire Year3_Adoption_ceased_LAC="","",Year3_Buckinghamshire Year3_Adoption_ceased_LAC)</f>
        <v>215</v>
      </c>
      <c r="AB80" s="365">
        <f>IF(Year4_Buckinghamshire Year4_Adoption_ceased_LAC="","",Year4_Buckinghamshire Year4_Adoption_ceased_LAC)</f>
        <v>180</v>
      </c>
      <c r="AC80" s="365">
        <f>IF(Year5_Buckinghamshire Year5_Adoption_ceased_LAC="","",Year5_Buckinghamshire Year5_Adoption_ceased_LAC)</f>
        <v>170</v>
      </c>
      <c r="AD80" s="365" t="str">
        <f t="shared" si="24"/>
        <v>Buckinghamshire</v>
      </c>
      <c r="AE80" s="463">
        <f>IF(Year1_Buckinghamshire Year1_Adoption_LAC_Adopted="","",Year1_Buckinghamshire Year1_Adoption_LAC_Adopted)</f>
        <v>32</v>
      </c>
      <c r="AF80" s="365">
        <f>IF(Year2_Buckinghamshire Year2_Adoption_LAC_Adopted="","",Year2_Buckinghamshire Year2_Adoption_LAC_Adopted)</f>
        <v>38</v>
      </c>
      <c r="AG80" s="365">
        <f>IF(Year3_Buckinghamshire Year3_Adoption_LAC_Adopted="","",Year3_Buckinghamshire Year3_Adoption_LAC_Adopted)</f>
        <v>38</v>
      </c>
      <c r="AH80" s="365">
        <f>IF(Year4_Buckinghamshire Year4_Adoption_LAC_Adopted="","",Year4_Buckinghamshire Year4_Adoption_LAC_Adopted)</f>
        <v>23</v>
      </c>
      <c r="AI80" s="365"/>
      <c r="AJ80" s="365"/>
      <c r="AK80" s="365">
        <f>IF(Year5_Buckinghamshire Year5_Adoption_LAC_Adopted="","",Year5_Buckinghamshire Year5_Adoption_LAC_Adopted)</f>
        <v>18</v>
      </c>
      <c r="AL80" s="1059"/>
      <c r="AM80" s="1059"/>
      <c r="AN80" s="157"/>
    </row>
    <row r="81" spans="1:48" s="89" customFormat="1" ht="12.75" customHeight="1" x14ac:dyDescent="0.2">
      <c r="A81" s="462">
        <f>VLOOKUP(B81,Sheet1!$AQ$4:$AR$25,2,FALSE)</f>
        <v>0</v>
      </c>
      <c r="B81" s="95" t="str">
        <f t="shared" si="20"/>
        <v>East Sussex</v>
      </c>
      <c r="C81" s="87"/>
      <c r="D81" s="158">
        <f t="shared" si="25"/>
        <v>0.2275132275132275</v>
      </c>
      <c r="E81" s="158">
        <f t="shared" si="26"/>
        <v>0.24479166666666666</v>
      </c>
      <c r="F81" s="158">
        <f t="shared" si="27"/>
        <v>0.2</v>
      </c>
      <c r="G81" s="158">
        <f t="shared" si="28"/>
        <v>0.19753086419753085</v>
      </c>
      <c r="H81" s="160">
        <f t="shared" si="22"/>
        <v>0.15625</v>
      </c>
      <c r="I81" s="425"/>
      <c r="J81" s="98"/>
      <c r="K81" s="98"/>
      <c r="L81" s="162"/>
      <c r="M81" s="162"/>
      <c r="N81" s="162"/>
      <c r="O81" s="162"/>
      <c r="P81" s="162"/>
      <c r="Q81" s="162"/>
      <c r="R81" s="162"/>
      <c r="S81" s="163"/>
      <c r="T81" s="155"/>
      <c r="U81" s="1006"/>
      <c r="V81" s="140"/>
      <c r="W81" s="149"/>
      <c r="X81" s="420" t="str">
        <f t="shared" si="23"/>
        <v>East Sussex</v>
      </c>
      <c r="Y81" s="365">
        <f>IF(Year1_East_Sussex Year1_Adoption_ceased_LAC="","",Year1_East_Sussex Year1_Adoption_ceased_LAC)</f>
        <v>189</v>
      </c>
      <c r="Z81" s="365">
        <f>IF(Year2_East_Sussex Year2_Adoption_ceased_LAC="","",Year2_East_Sussex Year2_Adoption_ceased_LAC)</f>
        <v>192</v>
      </c>
      <c r="AA81" s="365">
        <f>IF(Year3_East_Sussex Year3_Adoption_ceased_LAC="","",Year3_East_Sussex Year3_Adoption_ceased_LAC)</f>
        <v>185</v>
      </c>
      <c r="AB81" s="365">
        <f>IF(Year4_East_Sussex Year4_Adoption_ceased_LAC="","",Year4_East_Sussex Year4_Adoption_ceased_LAC)</f>
        <v>162</v>
      </c>
      <c r="AC81" s="365">
        <f>IF(Year5_East_Sussex Year5_Adoption_ceased_LAC="","",Year5_East_Sussex Year5_Adoption_ceased_LAC)</f>
        <v>192</v>
      </c>
      <c r="AD81" s="365" t="str">
        <f t="shared" si="24"/>
        <v>East Sussex</v>
      </c>
      <c r="AE81" s="463">
        <f>IF(Year1_East_Sussex Year1_Adoption_LAC_Adopted="","",Year1_East_Sussex Year1_Adoption_LAC_Adopted)</f>
        <v>43</v>
      </c>
      <c r="AF81" s="365">
        <f>IF(Year2_East_Sussex Year2_Adoption_LAC_Adopted="","",Year2_East_Sussex Year2_Adoption_LAC_Adopted)</f>
        <v>47</v>
      </c>
      <c r="AG81" s="365">
        <f>IF(Year3_East_Sussex Year3_Adoption_LAC_Adopted="","",Year3_East_Sussex Year3_Adoption_LAC_Adopted)</f>
        <v>37</v>
      </c>
      <c r="AH81" s="365">
        <f>IF(Year4_East_Sussex Year4_Adoption_LAC_Adopted="","",Year4_East_Sussex Year4_Adoption_LAC_Adopted)</f>
        <v>32</v>
      </c>
      <c r="AI81" s="365"/>
      <c r="AJ81" s="365"/>
      <c r="AK81" s="365">
        <f>IF(Year5_East_Sussex Year5_Adoption_LAC_Adopted="","",Year5_East_Sussex Year5_Adoption_LAC_Adopted)</f>
        <v>30</v>
      </c>
      <c r="AL81" s="1059"/>
      <c r="AM81" s="1059"/>
      <c r="AN81" s="156"/>
    </row>
    <row r="82" spans="1:48" s="89" customFormat="1" ht="12.75" customHeight="1" x14ac:dyDescent="0.2">
      <c r="A82" s="462">
        <f>VLOOKUP(B82,Sheet1!$AQ$4:$AR$25,2,FALSE)</f>
        <v>0</v>
      </c>
      <c r="B82" s="95" t="str">
        <f t="shared" si="20"/>
        <v>Hampshire</v>
      </c>
      <c r="C82" s="87"/>
      <c r="D82" s="158">
        <f t="shared" si="25"/>
        <v>0.1575091575091575</v>
      </c>
      <c r="E82" s="158">
        <f t="shared" si="26"/>
        <v>0.15412844036697249</v>
      </c>
      <c r="F82" s="158">
        <f t="shared" si="27"/>
        <v>0.13157894736842105</v>
      </c>
      <c r="G82" s="158">
        <f t="shared" si="28"/>
        <v>0.11316872427983539</v>
      </c>
      <c r="H82" s="160">
        <f t="shared" si="22"/>
        <v>0.1163575042158516</v>
      </c>
      <c r="I82" s="425"/>
      <c r="J82" s="98"/>
      <c r="K82" s="98"/>
      <c r="L82" s="162"/>
      <c r="M82" s="162"/>
      <c r="N82" s="162"/>
      <c r="O82" s="162"/>
      <c r="P82" s="162"/>
      <c r="Q82" s="162"/>
      <c r="R82" s="162"/>
      <c r="S82" s="163"/>
      <c r="T82" s="155"/>
      <c r="U82" s="1006"/>
      <c r="V82" s="140"/>
      <c r="W82" s="149"/>
      <c r="X82" s="420" t="str">
        <f t="shared" si="23"/>
        <v>Hampshire</v>
      </c>
      <c r="Y82" s="365">
        <f>IF(Year1_Hampshire Year1_Adoption_ceased_LAC="","",Year1_Hampshire Year1_Adoption_ceased_LAC)</f>
        <v>546</v>
      </c>
      <c r="Z82" s="365">
        <f>IF(Year2_Hampshire Year2_Adoption_ceased_LAC="","",Year2_Hampshire Year2_Adoption_ceased_LAC)</f>
        <v>545</v>
      </c>
      <c r="AA82" s="365">
        <f>IF(Year3_Hampshire Year3_Adoption_ceased_LAC="","",Year3_Hampshire Year3_Adoption_ceased_LAC)</f>
        <v>532</v>
      </c>
      <c r="AB82" s="365">
        <f>IF(Year4_Hampshire Year4_Adoption_ceased_LAC="","",Year4_Hampshire Year4_Adoption_ceased_LAC)</f>
        <v>486</v>
      </c>
      <c r="AC82" s="365">
        <f>IF(Year5_Hampshire Year5_Adoption_ceased_LAC="","",Year5_Hampshire Year5_Adoption_ceased_LAC)</f>
        <v>593</v>
      </c>
      <c r="AD82" s="365" t="str">
        <f t="shared" si="24"/>
        <v>Hampshire</v>
      </c>
      <c r="AE82" s="463">
        <f>IF(Year1_Hampshire Year1_Adoption_LAC_Adopted="","",Year1_Hampshire Year1_Adoption_LAC_Adopted)</f>
        <v>86</v>
      </c>
      <c r="AF82" s="365">
        <f>IF(Year2_Hampshire Year2_Adoption_LAC_Adopted="","",Year2_Hampshire Year2_Adoption_LAC_Adopted)</f>
        <v>84</v>
      </c>
      <c r="AG82" s="365">
        <f>IF(Year3_Hampshire Year3_Adoption_LAC_Adopted="","",Year3_Hampshire Year3_Adoption_LAC_Adopted)</f>
        <v>70</v>
      </c>
      <c r="AH82" s="365">
        <f>IF(Year4_Hampshire Year4_Adoption_LAC_Adopted="","",Year4_Hampshire Year4_Adoption_LAC_Adopted)</f>
        <v>55</v>
      </c>
      <c r="AI82" s="365"/>
      <c r="AJ82" s="365"/>
      <c r="AK82" s="365">
        <f>IF(Year5_Hampshire Year5_Adoption_LAC_Adopted="","",Year5_Hampshire Year5_Adoption_LAC_Adopted)</f>
        <v>69</v>
      </c>
      <c r="AL82" s="1059"/>
      <c r="AM82" s="1059"/>
      <c r="AN82" s="157"/>
    </row>
    <row r="83" spans="1:48" s="89" customFormat="1" ht="12.75" customHeight="1" x14ac:dyDescent="0.2">
      <c r="A83" s="462">
        <f>VLOOKUP(B83,Sheet1!$AQ$4:$AR$25,2,FALSE)</f>
        <v>0</v>
      </c>
      <c r="B83" s="95" t="str">
        <f t="shared" si="20"/>
        <v>Isle of Wight</v>
      </c>
      <c r="C83" s="87"/>
      <c r="D83" s="158">
        <f t="shared" si="25"/>
        <v>8.8607594936708861E-2</v>
      </c>
      <c r="E83" s="158">
        <f t="shared" si="26"/>
        <v>0.12328767123287671</v>
      </c>
      <c r="F83" s="158">
        <f t="shared" si="27"/>
        <v>0.21052631578947367</v>
      </c>
      <c r="G83" s="158">
        <f t="shared" si="28"/>
        <v>0.15853658536585366</v>
      </c>
      <c r="H83" s="160">
        <f t="shared" si="22"/>
        <v>0.18032786885245902</v>
      </c>
      <c r="I83" s="425"/>
      <c r="J83" s="98"/>
      <c r="K83" s="98"/>
      <c r="L83" s="162"/>
      <c r="M83" s="162"/>
      <c r="N83" s="162"/>
      <c r="O83" s="162"/>
      <c r="P83" s="162"/>
      <c r="Q83" s="162"/>
      <c r="R83" s="162"/>
      <c r="S83" s="163"/>
      <c r="T83" s="155"/>
      <c r="U83" s="1006"/>
      <c r="V83" s="140"/>
      <c r="W83" s="149"/>
      <c r="X83" s="420" t="str">
        <f t="shared" si="23"/>
        <v>Isle of Wight</v>
      </c>
      <c r="Y83" s="365">
        <f>IF(Year1_Isle_of_Wight Year1_Adoption_ceased_LAC="","",Year1_Isle_of_Wight Year1_Adoption_ceased_LAC)</f>
        <v>79</v>
      </c>
      <c r="Z83" s="365">
        <f>IF(Year2_Isle_of_Wight Year2_Adoption_ceased_LAC="","",Year2_Isle_of_Wight Year2_Adoption_ceased_LAC)</f>
        <v>73</v>
      </c>
      <c r="AA83" s="365">
        <f>IF(Year3_Isle_of_Wight Year3_Adoption_ceased_LAC="","",Year3_Isle_of_Wight Year3_Adoption_ceased_LAC)</f>
        <v>76</v>
      </c>
      <c r="AB83" s="365">
        <f>IF(Year4_Isle_of_Wight Year4_Adoption_ceased_LAC="","",Year4_Isle_of_Wight Year4_Adoption_ceased_LAC)</f>
        <v>82</v>
      </c>
      <c r="AC83" s="365">
        <f>IF(Year5_Isle_of_Wight Year5_Adoption_ceased_LAC="","",Year5_Isle_of_Wight Year5_Adoption_ceased_LAC)</f>
        <v>61</v>
      </c>
      <c r="AD83" s="365" t="str">
        <f t="shared" si="24"/>
        <v>Isle of Wight</v>
      </c>
      <c r="AE83" s="463">
        <f>IF(Year1_Isle_of_Wight Year1_Adoption_LAC_Adopted="","",Year1_Isle_of_Wight Year1_Adoption_LAC_Adopted)</f>
        <v>7</v>
      </c>
      <c r="AF83" s="365">
        <f>IF(Year2_Isle_of_Wight Year2_Adoption_LAC_Adopted="","",Year2_Isle_of_Wight Year2_Adoption_LAC_Adopted)</f>
        <v>9</v>
      </c>
      <c r="AG83" s="365">
        <f>IF(Year3_Isle_of_Wight Year3_Adoption_LAC_Adopted="","",Year3_Isle_of_Wight Year3_Adoption_LAC_Adopted)</f>
        <v>16</v>
      </c>
      <c r="AH83" s="365">
        <f>IF(Year4_Isle_of_Wight Year4_Adoption_LAC_Adopted="","",Year4_Isle_of_Wight Year4_Adoption_LAC_Adopted)</f>
        <v>13</v>
      </c>
      <c r="AI83" s="365"/>
      <c r="AJ83" s="365"/>
      <c r="AK83" s="365">
        <f>IF(Year5_Isle_of_Wight Year5_Adoption_LAC_Adopted="","",Year5_Isle_of_Wight Year5_Adoption_LAC_Adopted)</f>
        <v>11</v>
      </c>
      <c r="AL83" s="1059"/>
      <c r="AM83" s="1059"/>
      <c r="AN83" s="156"/>
      <c r="AV83" s="89" t="s">
        <v>103</v>
      </c>
    </row>
    <row r="84" spans="1:48" s="89" customFormat="1" ht="12.75" customHeight="1" x14ac:dyDescent="0.2">
      <c r="A84" s="462">
        <f>VLOOKUP(B84,Sheet1!$AQ$4:$AR$25,2,FALSE)</f>
        <v>0</v>
      </c>
      <c r="B84" s="95" t="str">
        <f t="shared" si="20"/>
        <v>Kent</v>
      </c>
      <c r="C84" s="87"/>
      <c r="D84" s="158">
        <f t="shared" si="25"/>
        <v>0.20638540478905359</v>
      </c>
      <c r="E84" s="158">
        <f t="shared" si="26"/>
        <v>0.10009267840593142</v>
      </c>
      <c r="F84" s="158">
        <f t="shared" si="27"/>
        <v>6.0790273556231005E-2</v>
      </c>
      <c r="G84" s="158">
        <f t="shared" si="28"/>
        <v>9.9142040038131554E-2</v>
      </c>
      <c r="H84" s="160">
        <f t="shared" si="22"/>
        <v>0.12581913499344691</v>
      </c>
      <c r="I84" s="425"/>
      <c r="J84" s="98"/>
      <c r="K84" s="98"/>
      <c r="L84" s="162"/>
      <c r="M84" s="162"/>
      <c r="N84" s="162"/>
      <c r="O84" s="162"/>
      <c r="P84" s="162"/>
      <c r="Q84" s="162"/>
      <c r="R84" s="162"/>
      <c r="S84" s="163"/>
      <c r="T84" s="155"/>
      <c r="U84" s="1006"/>
      <c r="V84" s="140"/>
      <c r="W84" s="149"/>
      <c r="X84" s="420" t="str">
        <f t="shared" si="23"/>
        <v>Kent</v>
      </c>
      <c r="Y84" s="365">
        <f>IF(Year1_Kent Year1_Adoption_ceased_LAC="","",Year1_Kent Year1_Adoption_ceased_LAC)</f>
        <v>877</v>
      </c>
      <c r="Z84" s="365">
        <f>IF(Year2_Kent Year2_Adoption_ceased_LAC="","",Year2_Kent Year2_Adoption_ceased_LAC)</f>
        <v>1079</v>
      </c>
      <c r="AA84" s="365">
        <f>IF(Year3_Kent Year3_Adoption_ceased_LAC="","",Year3_Kent Year3_Adoption_ceased_LAC)</f>
        <v>1316</v>
      </c>
      <c r="AB84" s="365">
        <f>IF(Year4_Kent Year4_Adoption_ceased_LAC="","",Year4_Kent Year4_Adoption_ceased_LAC)</f>
        <v>1049</v>
      </c>
      <c r="AC84" s="365">
        <f>IF(Year5_Kent Year5_Adoption_ceased_LAC="","",Year5_Kent Year5_Adoption_ceased_LAC)</f>
        <v>763</v>
      </c>
      <c r="AD84" s="365" t="str">
        <f t="shared" si="24"/>
        <v>Kent</v>
      </c>
      <c r="AE84" s="463">
        <f>IF(Year1_Kent Year1_Adoption_LAC_Adopted="","",Year1_Kent Year1_Adoption_LAC_Adopted)</f>
        <v>181</v>
      </c>
      <c r="AF84" s="365">
        <f>IF(Year2_Kent Year2_Adoption_LAC_Adopted="","",Year2_Kent Year2_Adoption_LAC_Adopted)</f>
        <v>108</v>
      </c>
      <c r="AG84" s="365">
        <f>IF(Year3_Kent Year3_Adoption_LAC_Adopted="","",Year3_Kent Year3_Adoption_LAC_Adopted)</f>
        <v>80</v>
      </c>
      <c r="AH84" s="365">
        <f>IF(Year4_Kent Year4_Adoption_LAC_Adopted="","",Year4_Kent Year4_Adoption_LAC_Adopted)</f>
        <v>104</v>
      </c>
      <c r="AI84" s="365"/>
      <c r="AJ84" s="365"/>
      <c r="AK84" s="365">
        <f>IF(Year5_Kent Year5_Adoption_LAC_Adopted="","",Year5_Kent Year5_Adoption_LAC_Adopted)</f>
        <v>96</v>
      </c>
      <c r="AL84" s="1059"/>
      <c r="AM84" s="1059"/>
      <c r="AN84" s="157"/>
    </row>
    <row r="85" spans="1:48" s="89" customFormat="1" ht="12.75" customHeight="1" x14ac:dyDescent="0.2">
      <c r="A85" s="462">
        <f>VLOOKUP(B85,Sheet1!$AQ$4:$AR$25,2,FALSE)</f>
        <v>0</v>
      </c>
      <c r="B85" s="95" t="str">
        <f t="shared" si="20"/>
        <v>Medway</v>
      </c>
      <c r="C85" s="87"/>
      <c r="D85" s="158">
        <f t="shared" si="25"/>
        <v>0.24615384615384617</v>
      </c>
      <c r="E85" s="158">
        <f t="shared" si="26"/>
        <v>0.11428571428571428</v>
      </c>
      <c r="F85" s="158">
        <f t="shared" si="27"/>
        <v>0.17647058823529413</v>
      </c>
      <c r="G85" s="158">
        <f t="shared" si="28"/>
        <v>0.22012578616352202</v>
      </c>
      <c r="H85" s="160">
        <f t="shared" si="22"/>
        <v>0.15189873417721519</v>
      </c>
      <c r="I85" s="425"/>
      <c r="J85" s="98"/>
      <c r="K85" s="98"/>
      <c r="L85" s="162"/>
      <c r="M85" s="162"/>
      <c r="N85" s="162"/>
      <c r="O85" s="162"/>
      <c r="P85" s="162"/>
      <c r="Q85" s="162"/>
      <c r="R85" s="162"/>
      <c r="S85" s="163"/>
      <c r="T85" s="155"/>
      <c r="U85" s="1006"/>
      <c r="V85" s="140"/>
      <c r="W85" s="149"/>
      <c r="X85" s="420" t="str">
        <f t="shared" si="23"/>
        <v>Medway</v>
      </c>
      <c r="Y85" s="365">
        <f>IF(Year1_Medway Year1_Adoption_ceased_LAC="","",Year1_Medway Year1_Adoption_ceased_LAC)</f>
        <v>195</v>
      </c>
      <c r="Z85" s="365">
        <f>IF(Year2_Medway Year2_Adoption_ceased_LAC="","",Year2_Medway Year2_Adoption_ceased_LAC)</f>
        <v>210</v>
      </c>
      <c r="AA85" s="365">
        <f>IF(Year3_Medway Year3_Adoption_ceased_LAC="","",Year3_Medway Year3_Adoption_ceased_LAC)</f>
        <v>187</v>
      </c>
      <c r="AB85" s="365">
        <f>IF(Year4_Medway Year4_Adoption_ceased_LAC="","",Year4_Medway Year4_Adoption_ceased_LAC)</f>
        <v>159</v>
      </c>
      <c r="AC85" s="365">
        <f>IF(Year5_Medway Year5_Adoption_ceased_LAC="","",Year5_Medway Year5_Adoption_ceased_LAC)</f>
        <v>158</v>
      </c>
      <c r="AD85" s="365" t="str">
        <f t="shared" si="24"/>
        <v>Medway</v>
      </c>
      <c r="AE85" s="463">
        <f>IF(Year1_Medway Year1_Adoption_LAC_Adopted="","",Year1_Medway Year1_Adoption_LAC_Adopted)</f>
        <v>48</v>
      </c>
      <c r="AF85" s="365">
        <f>IF(Year2_Medway Year2_Adoption_LAC_Adopted="","",Year2_Medway Year2_Adoption_LAC_Adopted)</f>
        <v>24</v>
      </c>
      <c r="AG85" s="365">
        <f>IF(Year3_Medway Year3_Adoption_LAC_Adopted="","",Year3_Medway Year3_Adoption_LAC_Adopted)</f>
        <v>33</v>
      </c>
      <c r="AH85" s="365">
        <f>IF(Year4_Medway Year4_Adoption_LAC_Adopted="","",Year4_Medway Year4_Adoption_LAC_Adopted)</f>
        <v>35</v>
      </c>
      <c r="AI85" s="365"/>
      <c r="AJ85" s="365"/>
      <c r="AK85" s="365">
        <f>IF(Year5_Medway Year5_Adoption_LAC_Adopted="","",Year5_Medway Year5_Adoption_LAC_Adopted)</f>
        <v>24</v>
      </c>
      <c r="AL85" s="1059"/>
      <c r="AM85" s="1059"/>
      <c r="AN85" s="156"/>
    </row>
    <row r="86" spans="1:48" s="89" customFormat="1" ht="12.75" customHeight="1" x14ac:dyDescent="0.2">
      <c r="A86" s="462">
        <f>VLOOKUP(B86,Sheet1!$AQ$4:$AR$25,2,FALSE)</f>
        <v>0</v>
      </c>
      <c r="B86" s="95" t="str">
        <f t="shared" si="20"/>
        <v>Milton Keynes</v>
      </c>
      <c r="C86" s="87"/>
      <c r="D86" s="158">
        <f t="shared" si="25"/>
        <v>8.7591240875912413E-2</v>
      </c>
      <c r="E86" s="158">
        <f t="shared" si="26"/>
        <v>0.10215053763440861</v>
      </c>
      <c r="F86" s="158">
        <f t="shared" si="27"/>
        <v>6.5789473684210523E-2</v>
      </c>
      <c r="G86" s="158">
        <f t="shared" si="28"/>
        <v>6.2068965517241378E-2</v>
      </c>
      <c r="H86" s="160">
        <f t="shared" si="22"/>
        <v>0.11560693641618497</v>
      </c>
      <c r="I86" s="425"/>
      <c r="J86" s="98"/>
      <c r="K86" s="98"/>
      <c r="L86" s="162"/>
      <c r="M86" s="162"/>
      <c r="N86" s="162"/>
      <c r="O86" s="162"/>
      <c r="P86" s="162"/>
      <c r="Q86" s="162"/>
      <c r="R86" s="162"/>
      <c r="S86" s="163"/>
      <c r="T86" s="155"/>
      <c r="U86" s="1006"/>
      <c r="V86" s="140"/>
      <c r="W86" s="149"/>
      <c r="X86" s="420" t="str">
        <f t="shared" si="23"/>
        <v>Milton Keynes</v>
      </c>
      <c r="Y86" s="365">
        <f>IF(Year1_Milton_Keynes Year1_Adoption_ceased_LAC="","",Year1_Milton_Keynes Year1_Adoption_ceased_LAC)</f>
        <v>137</v>
      </c>
      <c r="Z86" s="365">
        <f>IF(Year2_Milton_Keynes Year2_Adoption_ceased_LAC="","",Year2_Milton_Keynes Year2_Adoption_ceased_LAC)</f>
        <v>186</v>
      </c>
      <c r="AA86" s="365">
        <f>IF(Year3_Milton_Keynes Year3_Adoption_ceased_LAC="","",Year3_Milton_Keynes Year3_Adoption_ceased_LAC)</f>
        <v>152</v>
      </c>
      <c r="AB86" s="365">
        <f>IF(Year4_Milton_Keynes Year4_Adoption_ceased_LAC="","",Year4_Milton_Keynes Year4_Adoption_ceased_LAC)</f>
        <v>145</v>
      </c>
      <c r="AC86" s="365">
        <f>IF(Year5_Milton_Keynes Year5_Adoption_ceased_LAC="","",Year5_Milton_Keynes Year5_Adoption_ceased_LAC)</f>
        <v>173</v>
      </c>
      <c r="AD86" s="365" t="str">
        <f t="shared" si="24"/>
        <v>Milton Keynes</v>
      </c>
      <c r="AE86" s="463">
        <f>IF(Year1_Milton_Keynes Year1_Adoption_LAC_Adopted="","",Year1_Milton_Keynes Year1_Adoption_LAC_Adopted)</f>
        <v>12</v>
      </c>
      <c r="AF86" s="365">
        <f>IF(Year2_Milton_Keynes Year2_Adoption_LAC_Adopted="","",Year2_Milton_Keynes Year2_Adoption_LAC_Adopted)</f>
        <v>19</v>
      </c>
      <c r="AG86" s="365">
        <f>IF(Year3_Milton_Keynes Year3_Adoption_LAC_Adopted="","",Year3_Milton_Keynes Year3_Adoption_LAC_Adopted)</f>
        <v>10</v>
      </c>
      <c r="AH86" s="365">
        <f>IF(Year4_Milton_Keynes Year4_Adoption_LAC_Adopted="","",Year4_Milton_Keynes Year4_Adoption_LAC_Adopted)</f>
        <v>9</v>
      </c>
      <c r="AI86" s="365"/>
      <c r="AJ86" s="365"/>
      <c r="AK86" s="365">
        <f>IF(Year5_Milton_Keynes Year5_Adoption_LAC_Adopted="","",Year5_Milton_Keynes Year5_Adoption_LAC_Adopted)</f>
        <v>20</v>
      </c>
      <c r="AL86" s="1059"/>
      <c r="AM86" s="1059"/>
      <c r="AN86" s="157"/>
    </row>
    <row r="87" spans="1:48" s="89" customFormat="1" ht="12.75" customHeight="1" x14ac:dyDescent="0.2">
      <c r="A87" s="462">
        <f>VLOOKUP(B87,Sheet1!$AQ$4:$AR$25,2,FALSE)</f>
        <v>0</v>
      </c>
      <c r="B87" s="95" t="str">
        <f t="shared" si="20"/>
        <v>Oxfordshire</v>
      </c>
      <c r="C87" s="87"/>
      <c r="D87" s="158">
        <f t="shared" si="25"/>
        <v>0.14859437751004015</v>
      </c>
      <c r="E87" s="158">
        <f t="shared" si="26"/>
        <v>0.17857142857142858</v>
      </c>
      <c r="F87" s="158">
        <f t="shared" si="27"/>
        <v>0.13286713286713286</v>
      </c>
      <c r="G87" s="158">
        <f t="shared" si="28"/>
        <v>0.12080536912751678</v>
      </c>
      <c r="H87" s="160">
        <f t="shared" si="22"/>
        <v>9.1575091575091569E-2</v>
      </c>
      <c r="I87" s="425"/>
      <c r="J87" s="98"/>
      <c r="K87" s="98"/>
      <c r="L87" s="162"/>
      <c r="M87" s="162"/>
      <c r="N87" s="162"/>
      <c r="O87" s="162"/>
      <c r="P87" s="162"/>
      <c r="Q87" s="162"/>
      <c r="R87" s="162"/>
      <c r="S87" s="163"/>
      <c r="T87" s="155"/>
      <c r="U87" s="1006"/>
      <c r="V87" s="140"/>
      <c r="W87" s="149"/>
      <c r="X87" s="420" t="str">
        <f t="shared" si="23"/>
        <v>Oxfordshire</v>
      </c>
      <c r="Y87" s="365">
        <f>IF(Year1_Oxfordshire Year1_Adoption_ceased_LAC="","",Year1_Oxfordshire Year1_Adoption_ceased_LAC)</f>
        <v>249</v>
      </c>
      <c r="Z87" s="365">
        <f>IF(Year2_Oxfordshire Year2_Adoption_ceased_LAC="","",Year2_Oxfordshire Year2_Adoption_ceased_LAC)</f>
        <v>280</v>
      </c>
      <c r="AA87" s="365">
        <f>IF(Year3_Oxfordshire Year3_Adoption_ceased_LAC="","",Year3_Oxfordshire Year3_Adoption_ceased_LAC)</f>
        <v>286</v>
      </c>
      <c r="AB87" s="365">
        <f>IF(Year4_Oxfordshire Year4_Adoption_ceased_LAC="","",Year4_Oxfordshire Year4_Adoption_ceased_LAC)</f>
        <v>298</v>
      </c>
      <c r="AC87" s="365">
        <f>IF(Year5_Oxfordshire Year5_Adoption_ceased_LAC="","",Year5_Oxfordshire Year5_Adoption_ceased_LAC)</f>
        <v>273</v>
      </c>
      <c r="AD87" s="365" t="str">
        <f t="shared" si="24"/>
        <v>Oxfordshire</v>
      </c>
      <c r="AE87" s="463">
        <f>IF(Year1_Oxfordshire Year1_Adoption_LAC_Adopted="","",Year1_Oxfordshire Year1_Adoption_LAC_Adopted)</f>
        <v>37</v>
      </c>
      <c r="AF87" s="365">
        <f>IF(Year2_Oxfordshire Year2_Adoption_LAC_Adopted="","",Year2_Oxfordshire Year2_Adoption_LAC_Adopted)</f>
        <v>50</v>
      </c>
      <c r="AG87" s="365">
        <f>IF(Year3_Oxfordshire Year3_Adoption_LAC_Adopted="","",Year3_Oxfordshire Year3_Adoption_LAC_Adopted)</f>
        <v>38</v>
      </c>
      <c r="AH87" s="365">
        <f>IF(Year4_Oxfordshire Year4_Adoption_LAC_Adopted="","",Year4_Oxfordshire Year4_Adoption_LAC_Adopted)</f>
        <v>36</v>
      </c>
      <c r="AI87" s="365"/>
      <c r="AJ87" s="365"/>
      <c r="AK87" s="365">
        <f>IF(Year5_Oxfordshire Year5_Adoption_LAC_Adopted="","",Year5_Oxfordshire Year5_Adoption_LAC_Adopted)</f>
        <v>25</v>
      </c>
      <c r="AL87" s="1059"/>
      <c r="AM87" s="1059"/>
      <c r="AN87" s="156"/>
    </row>
    <row r="88" spans="1:48" s="89" customFormat="1" ht="12.75" customHeight="1" x14ac:dyDescent="0.2">
      <c r="A88" s="462">
        <f>VLOOKUP(B88,Sheet1!$AQ$4:$AR$25,2,FALSE)</f>
        <v>0</v>
      </c>
      <c r="B88" s="95" t="str">
        <f t="shared" si="20"/>
        <v>Portsmouth</v>
      </c>
      <c r="C88" s="87"/>
      <c r="D88" s="158">
        <f t="shared" si="25"/>
        <v>0.2073170731707317</v>
      </c>
      <c r="E88" s="158">
        <f t="shared" si="26"/>
        <v>0.21428571428571427</v>
      </c>
      <c r="F88" s="158">
        <f t="shared" si="27"/>
        <v>0.28455284552845528</v>
      </c>
      <c r="G88" s="158">
        <f t="shared" si="28"/>
        <v>0.16129032258064516</v>
      </c>
      <c r="H88" s="160">
        <f t="shared" si="22"/>
        <v>9.3167701863354033E-2</v>
      </c>
      <c r="I88" s="425"/>
      <c r="J88" s="98"/>
      <c r="K88" s="98"/>
      <c r="L88" s="162"/>
      <c r="M88" s="162"/>
      <c r="N88" s="162"/>
      <c r="O88" s="162"/>
      <c r="P88" s="162"/>
      <c r="Q88" s="162"/>
      <c r="R88" s="162"/>
      <c r="S88" s="163"/>
      <c r="T88" s="155"/>
      <c r="U88" s="1006"/>
      <c r="V88" s="140"/>
      <c r="W88" s="149"/>
      <c r="X88" s="420" t="str">
        <f t="shared" si="23"/>
        <v>Portsmouth</v>
      </c>
      <c r="Y88" s="365">
        <f>IF(Year1_Portsmouth Year1_Adoption_ceased_LAC="","",Year1_Portsmouth Year1_Adoption_ceased_LAC)</f>
        <v>164</v>
      </c>
      <c r="Z88" s="365">
        <f>IF(Year2_Portsmouth Year2_Adoption_ceased_LAC="","",Year2_Portsmouth Year2_Adoption_ceased_LAC)</f>
        <v>126</v>
      </c>
      <c r="AA88" s="365">
        <f>IF(Year3_Portsmouth Year3_Adoption_ceased_LAC="","",Year3_Portsmouth Year3_Adoption_ceased_LAC)</f>
        <v>123</v>
      </c>
      <c r="AB88" s="365">
        <f>IF(Year4_Portsmouth Year4_Adoption_ceased_LAC="","",Year4_Portsmouth Year4_Adoption_ceased_LAC)</f>
        <v>186</v>
      </c>
      <c r="AC88" s="365">
        <f>IF(Year5_Portsmouth Year5_Adoption_ceased_LAC="","",Year5_Portsmouth Year5_Adoption_ceased_LAC)</f>
        <v>161</v>
      </c>
      <c r="AD88" s="365" t="str">
        <f t="shared" si="24"/>
        <v>Portsmouth</v>
      </c>
      <c r="AE88" s="463">
        <f>IF(Year1_Portsmouth Year1_Adoption_LAC_Adopted="","",Year1_Portsmouth Year1_Adoption_LAC_Adopted)</f>
        <v>34</v>
      </c>
      <c r="AF88" s="365">
        <f>IF(Year2_Portsmouth Year2_Adoption_LAC_Adopted="","",Year2_Portsmouth Year2_Adoption_LAC_Adopted)</f>
        <v>27</v>
      </c>
      <c r="AG88" s="365">
        <f>IF(Year3_Portsmouth Year3_Adoption_LAC_Adopted="","",Year3_Portsmouth Year3_Adoption_LAC_Adopted)</f>
        <v>35</v>
      </c>
      <c r="AH88" s="365">
        <f>IF(Year4_Portsmouth Year4_Adoption_LAC_Adopted="","",Year4_Portsmouth Year4_Adoption_LAC_Adopted)</f>
        <v>30</v>
      </c>
      <c r="AI88" s="365"/>
      <c r="AJ88" s="365"/>
      <c r="AK88" s="365">
        <f>IF(Year5_Portsmouth Year5_Adoption_LAC_Adopted="","",Year5_Portsmouth Year5_Adoption_LAC_Adopted)</f>
        <v>15</v>
      </c>
      <c r="AL88" s="1059"/>
      <c r="AM88" s="1059"/>
      <c r="AN88" s="157"/>
    </row>
    <row r="89" spans="1:48" s="89" customFormat="1" ht="12.75" customHeight="1" x14ac:dyDescent="0.2">
      <c r="A89" s="462">
        <f>VLOOKUP(B89,Sheet1!$AQ$4:$AR$25,2,FALSE)</f>
        <v>0</v>
      </c>
      <c r="B89" s="95" t="str">
        <f t="shared" si="20"/>
        <v>Reading</v>
      </c>
      <c r="C89" s="87"/>
      <c r="D89" s="158">
        <f t="shared" si="25"/>
        <v>0.22619047619047619</v>
      </c>
      <c r="E89" s="158">
        <f t="shared" si="26"/>
        <v>0.2032520325203252</v>
      </c>
      <c r="F89" s="158">
        <f t="shared" si="27"/>
        <v>0.16</v>
      </c>
      <c r="G89" s="158">
        <f t="shared" si="28"/>
        <v>0.14130434782608695</v>
      </c>
      <c r="H89" s="160">
        <f t="shared" si="22"/>
        <v>0.21052631578947367</v>
      </c>
      <c r="I89" s="425"/>
      <c r="J89" s="98"/>
      <c r="K89" s="98"/>
      <c r="L89" s="162"/>
      <c r="M89" s="162"/>
      <c r="N89" s="162"/>
      <c r="O89" s="162"/>
      <c r="P89" s="162"/>
      <c r="Q89" s="162"/>
      <c r="R89" s="162"/>
      <c r="S89" s="163"/>
      <c r="T89" s="155"/>
      <c r="U89" s="1006"/>
      <c r="V89" s="140"/>
      <c r="W89" s="149"/>
      <c r="X89" s="420" t="str">
        <f t="shared" si="23"/>
        <v>Reading</v>
      </c>
      <c r="Y89" s="365">
        <f>IF(Year1_Reading Year1_Adoption_ceased_LAC="","",Year1_Reading Year1_Adoption_ceased_LAC)</f>
        <v>84</v>
      </c>
      <c r="Z89" s="365">
        <f>IF(Year2_Reading Year2_Adoption_ceased_LAC="","",Year2_Reading Year2_Adoption_ceased_LAC)</f>
        <v>123</v>
      </c>
      <c r="AA89" s="365">
        <f>IF(Year3_Reading Year3_Adoption_ceased_LAC="","",Year3_Reading Year3_Adoption_ceased_LAC)</f>
        <v>100</v>
      </c>
      <c r="AB89" s="365">
        <f>IF(Year4_Reading Year4_Adoption_ceased_LAC="","",Year4_Reading Year4_Adoption_ceased_LAC)</f>
        <v>92</v>
      </c>
      <c r="AC89" s="365">
        <f>IF(Year5_Reading Year5_Adoption_ceased_LAC="","",Year5_Reading Year5_Adoption_ceased_LAC)</f>
        <v>95</v>
      </c>
      <c r="AD89" s="365" t="str">
        <f t="shared" si="24"/>
        <v>Reading</v>
      </c>
      <c r="AE89" s="463">
        <f>IF(Year1_Reading Year1_Adoption_LAC_Adopted="","",Year1_Reading Year1_Adoption_LAC_Adopted)</f>
        <v>19</v>
      </c>
      <c r="AF89" s="365">
        <f>IF(Year2_Reading Year2_Adoption_LAC_Adopted="","",Year2_Reading Year2_Adoption_LAC_Adopted)</f>
        <v>25</v>
      </c>
      <c r="AG89" s="365">
        <f>IF(Year3_Reading Year3_Adoption_LAC_Adopted="","",Year3_Reading Year3_Adoption_LAC_Adopted)</f>
        <v>16</v>
      </c>
      <c r="AH89" s="365">
        <f>IF(Year4_Reading Year4_Adoption_LAC_Adopted="","",Year4_Reading Year4_Adoption_LAC_Adopted)</f>
        <v>13</v>
      </c>
      <c r="AI89" s="365"/>
      <c r="AJ89" s="365"/>
      <c r="AK89" s="365">
        <f>IF(Year5_Reading Year5_Adoption_LAC_Adopted="","",Year5_Reading Year5_Adoption_LAC_Adopted)</f>
        <v>20</v>
      </c>
      <c r="AL89" s="1059"/>
      <c r="AM89" s="1059"/>
      <c r="AN89" s="156"/>
    </row>
    <row r="90" spans="1:48" s="89" customFormat="1" ht="12.75" customHeight="1" x14ac:dyDescent="0.2">
      <c r="A90" s="462">
        <f>VLOOKUP(B90,Sheet1!$AQ$4:$AR$25,2,FALSE)</f>
        <v>0</v>
      </c>
      <c r="B90" s="95" t="str">
        <f t="shared" si="20"/>
        <v>Slough</v>
      </c>
      <c r="C90" s="87"/>
      <c r="D90" s="158">
        <f t="shared" si="25"/>
        <v>0.20353982300884957</v>
      </c>
      <c r="E90" s="158">
        <f t="shared" si="26"/>
        <v>0.1038961038961039</v>
      </c>
      <c r="F90" s="158">
        <f t="shared" si="27"/>
        <v>9.8214285714285712E-2</v>
      </c>
      <c r="G90" s="158">
        <f t="shared" si="28"/>
        <v>0.11607142857142858</v>
      </c>
      <c r="H90" s="160">
        <f t="shared" si="22"/>
        <v>0.11023622047244094</v>
      </c>
      <c r="I90" s="425"/>
      <c r="J90" s="98"/>
      <c r="K90" s="98"/>
      <c r="L90" s="162"/>
      <c r="M90" s="162"/>
      <c r="N90" s="162"/>
      <c r="O90" s="162"/>
      <c r="P90" s="162"/>
      <c r="Q90" s="162"/>
      <c r="R90" s="162"/>
      <c r="S90" s="163"/>
      <c r="T90" s="155"/>
      <c r="U90" s="1006"/>
      <c r="V90" s="140"/>
      <c r="W90" s="149"/>
      <c r="X90" s="420" t="str">
        <f t="shared" si="23"/>
        <v>Slough</v>
      </c>
      <c r="Y90" s="365">
        <f>IF(Year1_Slough Year1_Adoption_ceased_LAC="","",Year1_Slough Year1_Adoption_ceased_LAC)</f>
        <v>113</v>
      </c>
      <c r="Z90" s="365">
        <f>IF(Year2_Slough Year2_Adoption_ceased_LAC="","",Year2_Slough Year2_Adoption_ceased_LAC)</f>
        <v>154</v>
      </c>
      <c r="AA90" s="365">
        <f>IF(Year3_Slough Year3_Adoption_ceased_LAC="","",Year3_Slough Year3_Adoption_ceased_LAC)</f>
        <v>112</v>
      </c>
      <c r="AB90" s="365">
        <f>IF(Year4_Slough Year4_Adoption_ceased_LAC="","",Year4_Slough Year4_Adoption_ceased_LAC)</f>
        <v>112</v>
      </c>
      <c r="AC90" s="365">
        <f>IF(Year5_Slough Year5_Adoption_ceased_LAC="","",Year5_Slough Year5_Adoption_ceased_LAC)</f>
        <v>127</v>
      </c>
      <c r="AD90" s="365" t="str">
        <f t="shared" si="24"/>
        <v>Slough</v>
      </c>
      <c r="AE90" s="463">
        <f>IF(Year1_Slough Year1_Adoption_LAC_Adopted="","",Year1_Slough Year1_Adoption_LAC_Adopted)</f>
        <v>23</v>
      </c>
      <c r="AF90" s="365">
        <f>IF(Year2_Slough Year2_Adoption_LAC_Adopted="","",Year2_Slough Year2_Adoption_LAC_Adopted)</f>
        <v>16</v>
      </c>
      <c r="AG90" s="365">
        <f>IF(Year3_Slough Year3_Adoption_LAC_Adopted="","",Year3_Slough Year3_Adoption_LAC_Adopted)</f>
        <v>11</v>
      </c>
      <c r="AH90" s="365">
        <f>IF(Year4_Slough Year4_Adoption_LAC_Adopted="","",Year4_Slough Year4_Adoption_LAC_Adopted)</f>
        <v>13</v>
      </c>
      <c r="AI90" s="365"/>
      <c r="AJ90" s="365"/>
      <c r="AK90" s="365">
        <f>IF(Year5_Slough Year5_Adoption_LAC_Adopted="","",Year5_Slough Year5_Adoption_LAC_Adopted)</f>
        <v>14</v>
      </c>
      <c r="AL90" s="1059"/>
      <c r="AM90" s="1059"/>
      <c r="AN90" s="157"/>
    </row>
    <row r="91" spans="1:48" s="89" customFormat="1" ht="12.75" customHeight="1" x14ac:dyDescent="0.2">
      <c r="A91" s="462">
        <f>VLOOKUP(B91,Sheet1!$AQ$4:$AR$25,2,FALSE)</f>
        <v>0</v>
      </c>
      <c r="B91" s="95" t="str">
        <f t="shared" si="20"/>
        <v>Somerset</v>
      </c>
      <c r="C91" s="87"/>
      <c r="D91" s="158">
        <f t="shared" si="25"/>
        <v>0.19063545150501673</v>
      </c>
      <c r="E91" s="158">
        <f t="shared" si="26"/>
        <v>0.22270742358078602</v>
      </c>
      <c r="F91" s="158">
        <f t="shared" si="27"/>
        <v>0.13026819923371646</v>
      </c>
      <c r="G91" s="158">
        <f t="shared" si="28"/>
        <v>0.13901345291479822</v>
      </c>
      <c r="H91" s="160">
        <f t="shared" si="22"/>
        <v>0.125</v>
      </c>
      <c r="I91" s="425"/>
      <c r="J91" s="98"/>
      <c r="K91" s="98"/>
      <c r="L91" s="162"/>
      <c r="M91" s="162"/>
      <c r="N91" s="162"/>
      <c r="O91" s="162"/>
      <c r="P91" s="162"/>
      <c r="Q91" s="162"/>
      <c r="R91" s="162"/>
      <c r="S91" s="163"/>
      <c r="T91" s="155"/>
      <c r="U91" s="1006"/>
      <c r="V91" s="140"/>
      <c r="W91" s="149"/>
      <c r="X91" s="420" t="str">
        <f t="shared" si="23"/>
        <v>Somerset</v>
      </c>
      <c r="Y91" s="365">
        <f>IF(Year1_Somerset Year1_Adoption_ceased_LAC="","",Year1_Somerset Year1_Adoption_ceased_LAC)</f>
        <v>299</v>
      </c>
      <c r="Z91" s="365">
        <f>IF(Year2_Somerset Year2_Adoption_ceased_LAC="","",Year2_Somerset Year2_Adoption_ceased_LAC)</f>
        <v>229</v>
      </c>
      <c r="AA91" s="365">
        <f>IF(Year3_Somerset Year3_Adoption_ceased_LAC="","",Year3_Somerset Year3_Adoption_ceased_LAC)</f>
        <v>261</v>
      </c>
      <c r="AB91" s="365">
        <f>IF(Year4_Somerset Year4_Adoption_ceased_LAC="","",Year4_Somerset Year4_Adoption_ceased_LAC)</f>
        <v>223</v>
      </c>
      <c r="AC91" s="365">
        <f>IF(Year5_Somerset Year5_Adoption_ceased_LAC="","",Year5_Somerset Year5_Adoption_ceased_LAC)</f>
        <v>184</v>
      </c>
      <c r="AD91" s="365" t="str">
        <f t="shared" si="24"/>
        <v>Somerset</v>
      </c>
      <c r="AE91" s="581">
        <f>IF(Year1_Somerset Year1_Adoption_LAC_Adopted="","",Year1_Somerset Year1_Adoption_LAC_Adopted)</f>
        <v>57</v>
      </c>
      <c r="AF91" s="378">
        <f>IF(Year2_Somerset Year2_Adoption_LAC_Adopted="","",Year2_Somerset Year2_Adoption_LAC_Adopted)</f>
        <v>51</v>
      </c>
      <c r="AG91" s="378">
        <f>IF(Year3_Somerset Year3_Adoption_LAC_Adopted="","",Year3_Somerset Year3_Adoption_LAC_Adopted)</f>
        <v>34</v>
      </c>
      <c r="AH91" s="378">
        <f>IF(Year4_Somerset Year4_Adoption_LAC_Adopted="","",Year4_Somerset Year4_Adoption_LAC_Adopted)</f>
        <v>31</v>
      </c>
      <c r="AI91" s="378"/>
      <c r="AJ91" s="378"/>
      <c r="AK91" s="365">
        <f>IF(Year5_Somerset Year5_Adoption_LAC_Adopted="","",Year5_Somerset Year5_Adoption_LAC_Adopted)</f>
        <v>23</v>
      </c>
      <c r="AL91" s="1059"/>
      <c r="AM91" s="1059"/>
      <c r="AN91" s="156"/>
    </row>
    <row r="92" spans="1:48" s="89" customFormat="1" ht="12.75" customHeight="1" x14ac:dyDescent="0.2">
      <c r="A92" s="462">
        <f>VLOOKUP(B92,Sheet1!$AQ$4:$AR$25,2,FALSE)</f>
        <v>0</v>
      </c>
      <c r="B92" s="95" t="str">
        <f t="shared" si="20"/>
        <v>Southampton</v>
      </c>
      <c r="C92" s="87"/>
      <c r="D92" s="158">
        <f t="shared" si="25"/>
        <v>0.265625</v>
      </c>
      <c r="E92" s="158">
        <f t="shared" si="26"/>
        <v>0.3073170731707317</v>
      </c>
      <c r="F92" s="158">
        <f t="shared" si="27"/>
        <v>0.34841628959276016</v>
      </c>
      <c r="G92" s="158">
        <f t="shared" si="28"/>
        <v>0.27411167512690354</v>
      </c>
      <c r="H92" s="160">
        <f t="shared" si="22"/>
        <v>0.22429906542056074</v>
      </c>
      <c r="I92" s="425"/>
      <c r="J92" s="98"/>
      <c r="K92" s="98"/>
      <c r="L92" s="162"/>
      <c r="M92" s="162"/>
      <c r="N92" s="162"/>
      <c r="O92" s="162"/>
      <c r="P92" s="162"/>
      <c r="Q92" s="162"/>
      <c r="R92" s="162"/>
      <c r="S92" s="163"/>
      <c r="T92" s="155"/>
      <c r="U92" s="1006"/>
      <c r="V92" s="140"/>
      <c r="W92" s="149"/>
      <c r="X92" s="420" t="str">
        <f t="shared" si="23"/>
        <v>Southampton</v>
      </c>
      <c r="Y92" s="365">
        <f>IF(Year1_Southampton Year1_Adoption_ceased_LAC="","",Year1_Southampton Year1_Adoption_ceased_LAC)</f>
        <v>192</v>
      </c>
      <c r="Z92" s="365">
        <f>IF(Year2_Southampton Year2_Adoption_ceased_LAC="","",Year2_Southampton Year2_Adoption_ceased_LAC)</f>
        <v>205</v>
      </c>
      <c r="AA92" s="365">
        <f>IF(Year3_Southampton Year3_Adoption_ceased_LAC="","",Year3_Southampton Year3_Adoption_ceased_LAC)</f>
        <v>221</v>
      </c>
      <c r="AB92" s="365">
        <f>IF(Year4_Southampton Year4_Adoption_ceased_LAC="","",Year4_Southampton Year4_Adoption_ceased_LAC)</f>
        <v>197</v>
      </c>
      <c r="AC92" s="365">
        <f>IF(Year5_Southampton Year5_Adoption_ceased_LAC="","",Year5_Southampton Year5_Adoption_ceased_LAC)</f>
        <v>214</v>
      </c>
      <c r="AD92" s="365" t="str">
        <f t="shared" si="24"/>
        <v>Southampton</v>
      </c>
      <c r="AE92" s="463">
        <f>IF(Year1_Southampton Year1_Adoption_LAC_Adopted="","",Year1_Southampton Year1_Adoption_LAC_Adopted)</f>
        <v>51</v>
      </c>
      <c r="AF92" s="365">
        <f>IF(Year2_Southampton Year2_Adoption_LAC_Adopted="","",Year2_Southampton Year2_Adoption_LAC_Adopted)</f>
        <v>63</v>
      </c>
      <c r="AG92" s="365">
        <f>IF(Year3_Southampton Year3_Adoption_LAC_Adopted="","",Year3_Southampton Year3_Adoption_LAC_Adopted)</f>
        <v>77</v>
      </c>
      <c r="AH92" s="365">
        <f>IF(Year4_Southampton Year4_Adoption_LAC_Adopted="","",Year4_Southampton Year4_Adoption_LAC_Adopted)</f>
        <v>54</v>
      </c>
      <c r="AI92" s="365"/>
      <c r="AJ92" s="365"/>
      <c r="AK92" s="365">
        <f>IF(Year5_Southampton Year5_Adoption_LAC_Adopted="","",Year5_Southampton Year5_Adoption_LAC_Adopted)</f>
        <v>48</v>
      </c>
      <c r="AL92" s="1059"/>
      <c r="AM92" s="1059"/>
      <c r="AN92" s="157"/>
    </row>
    <row r="93" spans="1:48" s="89" customFormat="1" ht="12.75" customHeight="1" x14ac:dyDescent="0.2">
      <c r="A93" s="462">
        <f>VLOOKUP(B93,Sheet1!$AQ$4:$AR$25,2,FALSE)</f>
        <v>0</v>
      </c>
      <c r="B93" s="95" t="str">
        <f t="shared" si="20"/>
        <v>Surrey</v>
      </c>
      <c r="C93" s="87"/>
      <c r="D93" s="158">
        <f t="shared" si="25"/>
        <v>0.13368983957219252</v>
      </c>
      <c r="E93" s="158">
        <f t="shared" si="26"/>
        <v>0.12592592592592591</v>
      </c>
      <c r="F93" s="158">
        <f t="shared" si="27"/>
        <v>0.12171837708830549</v>
      </c>
      <c r="G93" s="158">
        <f t="shared" si="28"/>
        <v>8.0684596577017112E-2</v>
      </c>
      <c r="H93" s="160">
        <f t="shared" si="22"/>
        <v>6.0913705583756347E-2</v>
      </c>
      <c r="I93" s="425"/>
      <c r="J93" s="98"/>
      <c r="K93" s="98"/>
      <c r="L93" s="162"/>
      <c r="M93" s="162"/>
      <c r="N93" s="162"/>
      <c r="O93" s="162"/>
      <c r="P93" s="162"/>
      <c r="Q93" s="162"/>
      <c r="R93" s="162"/>
      <c r="S93" s="163"/>
      <c r="T93" s="155"/>
      <c r="U93" s="1006"/>
      <c r="V93" s="140"/>
      <c r="W93" s="149"/>
      <c r="X93" s="420" t="str">
        <f t="shared" si="23"/>
        <v>Surrey</v>
      </c>
      <c r="Y93" s="365">
        <f>IF(Year1_Surrey Year1_Adoption_ceased_LAC="","",Year1_Surrey Year1_Adoption_ceased_LAC)</f>
        <v>374</v>
      </c>
      <c r="Z93" s="365">
        <f>IF(Year2_Surrey Year2_Adoption_ceased_LAC="","",Year2_Surrey Year2_Adoption_ceased_LAC)</f>
        <v>405</v>
      </c>
      <c r="AA93" s="365">
        <f>IF(Year3_Surrey Year3_Adoption_ceased_LAC="","",Year3_Surrey Year3_Adoption_ceased_LAC)</f>
        <v>419</v>
      </c>
      <c r="AB93" s="365">
        <f>IF(Year4_Surrey Year4_Adoption_ceased_LAC="","",Year4_Surrey Year4_Adoption_ceased_LAC)</f>
        <v>409</v>
      </c>
      <c r="AC93" s="365">
        <f>IF(Year5_Surrey Year5_Adoption_ceased_LAC="","",Year5_Surrey Year5_Adoption_ceased_LAC)</f>
        <v>394</v>
      </c>
      <c r="AD93" s="365" t="str">
        <f t="shared" si="24"/>
        <v>Surrey</v>
      </c>
      <c r="AE93" s="463">
        <f>IF(Year1_Surrey Year1_Adoption_LAC_Adopted="","",Year1_Surrey Year1_Adoption_LAC_Adopted)</f>
        <v>50</v>
      </c>
      <c r="AF93" s="365">
        <f>IF(Year2_Surrey Year2_Adoption_LAC_Adopted="","",Year2_Surrey Year2_Adoption_LAC_Adopted)</f>
        <v>51</v>
      </c>
      <c r="AG93" s="365">
        <f>IF(Year3_Surrey Year3_Adoption_LAC_Adopted="","",Year3_Surrey Year3_Adoption_LAC_Adopted)</f>
        <v>51</v>
      </c>
      <c r="AH93" s="365">
        <f>IF(Year4_Surrey Year4_Adoption_LAC_Adopted="","",Year4_Surrey Year4_Adoption_LAC_Adopted)</f>
        <v>33</v>
      </c>
      <c r="AI93" s="365"/>
      <c r="AJ93" s="365"/>
      <c r="AK93" s="365">
        <f>IF(Year5_Surrey Year5_Adoption_LAC_Adopted="","",Year5_Surrey Year5_Adoption_LAC_Adopted)</f>
        <v>24</v>
      </c>
      <c r="AL93" s="1059"/>
      <c r="AM93" s="1059"/>
      <c r="AN93" s="156"/>
    </row>
    <row r="94" spans="1:48" s="89" customFormat="1" ht="12.75" customHeight="1" x14ac:dyDescent="0.2">
      <c r="A94" s="462">
        <f>VLOOKUP(B94,Sheet1!$AQ$4:$AR$25,2,FALSE)</f>
        <v>0</v>
      </c>
      <c r="B94" s="95" t="str">
        <f t="shared" si="20"/>
        <v>Swindon</v>
      </c>
      <c r="C94" s="87"/>
      <c r="D94" s="158">
        <f t="shared" si="25"/>
        <v>9.6296296296296297E-2</v>
      </c>
      <c r="E94" s="158">
        <f t="shared" si="26"/>
        <v>5.0359712230215826E-2</v>
      </c>
      <c r="F94" s="158">
        <f t="shared" si="27"/>
        <v>0.12666666666666668</v>
      </c>
      <c r="G94" s="158">
        <f t="shared" si="28"/>
        <v>0.1032258064516129</v>
      </c>
      <c r="H94" s="160">
        <f t="shared" si="22"/>
        <v>0.10738255033557047</v>
      </c>
      <c r="I94" s="425"/>
      <c r="J94" s="98"/>
      <c r="K94" s="98"/>
      <c r="L94" s="162"/>
      <c r="M94" s="162"/>
      <c r="N94" s="162"/>
      <c r="O94" s="162"/>
      <c r="P94" s="162"/>
      <c r="Q94" s="162"/>
      <c r="R94" s="162"/>
      <c r="S94" s="163"/>
      <c r="T94" s="155"/>
      <c r="U94" s="1006"/>
      <c r="V94" s="140"/>
      <c r="W94" s="149"/>
      <c r="X94" s="420" t="str">
        <f t="shared" si="23"/>
        <v>Swindon</v>
      </c>
      <c r="Y94" s="365">
        <f>IF(Year1_Swindon Year1_Adoption_ceased_LAC="","",Year1_Swindon Year1_Adoption_ceased_LAC)</f>
        <v>135</v>
      </c>
      <c r="Z94" s="365">
        <f>IF(Year2_Swindon Year2_Adoption_ceased_LAC="","",Year2_Swindon Year2_Adoption_ceased_LAC)</f>
        <v>139</v>
      </c>
      <c r="AA94" s="365">
        <f>IF(Year3_Swindon Year3_Adoption_ceased_LAC="","",Year3_Swindon Year3_Adoption_ceased_LAC)</f>
        <v>150</v>
      </c>
      <c r="AB94" s="574">
        <f>IF(Year4_Swindon Year4_Adoption_ceased_LAC="","",Year4_Swindon Year4_Adoption_ceased_LAC)</f>
        <v>155</v>
      </c>
      <c r="AC94" s="574">
        <f>IF(Year5_Swindon Year5_Adoption_ceased_LAC="","",Year5_Swindon Year5_Adoption_ceased_LAC)</f>
        <v>149</v>
      </c>
      <c r="AD94" s="365" t="str">
        <f t="shared" si="24"/>
        <v>Swindon</v>
      </c>
      <c r="AE94" s="463">
        <f>IF(Year1_Swindon Year1_Adoption_LAC_Adopted="","",Year1_Swindon Year1_Adoption_LAC_Adopted)</f>
        <v>13</v>
      </c>
      <c r="AF94" s="365">
        <f>IF(Year2_Swindon Year2_Adoption_LAC_Adopted="","",Year2_Swindon Year2_Adoption_LAC_Adopted)</f>
        <v>7</v>
      </c>
      <c r="AG94" s="365">
        <f>IF(Year3_Swindon Year3_Adoption_LAC_Adopted="","",Year3_Swindon Year3_Adoption_LAC_Adopted)</f>
        <v>19</v>
      </c>
      <c r="AH94" s="365">
        <f>IF(Year4_Swindon Year4_Adoption_LAC_Adopted="","",Year4_Swindon Year4_Adoption_LAC_Adopted)</f>
        <v>16</v>
      </c>
      <c r="AI94" s="365"/>
      <c r="AJ94" s="365"/>
      <c r="AK94" s="365">
        <f>IF(Year5_Swindon Year5_Adoption_LAC_Adopted="","",Year5_Swindon Year5_Adoption_LAC_Adopted)</f>
        <v>16</v>
      </c>
      <c r="AL94" s="1059"/>
      <c r="AM94" s="1059"/>
      <c r="AN94" s="157"/>
    </row>
    <row r="95" spans="1:48" s="89" customFormat="1" ht="12.75" customHeight="1" x14ac:dyDescent="0.2">
      <c r="A95" s="462">
        <f>VLOOKUP(B95,Sheet1!$AQ$4:$AR$25,2,FALSE)</f>
        <v>0</v>
      </c>
      <c r="B95" s="95" t="str">
        <f t="shared" si="20"/>
        <v>Torbay</v>
      </c>
      <c r="C95" s="87"/>
      <c r="D95" s="158">
        <f t="shared" si="25"/>
        <v>0.15322580645161291</v>
      </c>
      <c r="E95" s="158">
        <f t="shared" si="26"/>
        <v>0.224</v>
      </c>
      <c r="F95" s="158">
        <f t="shared" si="27"/>
        <v>0.12962962962962962</v>
      </c>
      <c r="G95" s="158">
        <f t="shared" si="28"/>
        <v>0.19607843137254902</v>
      </c>
      <c r="H95" s="160">
        <f t="shared" si="22"/>
        <v>9.3220338983050849E-2</v>
      </c>
      <c r="I95" s="425"/>
      <c r="J95" s="98"/>
      <c r="K95" s="98"/>
      <c r="L95" s="162"/>
      <c r="M95" s="162"/>
      <c r="N95" s="162"/>
      <c r="O95" s="162"/>
      <c r="P95" s="162"/>
      <c r="Q95" s="162"/>
      <c r="R95" s="162"/>
      <c r="S95" s="163"/>
      <c r="T95" s="155"/>
      <c r="U95" s="1006"/>
      <c r="V95" s="140"/>
      <c r="W95" s="149"/>
      <c r="X95" s="420" t="str">
        <f t="shared" si="23"/>
        <v>Torbay</v>
      </c>
      <c r="Y95" s="365">
        <f>IF(Year1_Torbay Year1_Adoption_ceased_LAC="","",Year1_Torbay Year1_Adoption_ceased_LAC)</f>
        <v>124</v>
      </c>
      <c r="Z95" s="365">
        <f>IF(Year2_Torbay Year2_Adoption_ceased_LAC="","",Year2_Torbay Year2_Adoption_ceased_LAC)</f>
        <v>125</v>
      </c>
      <c r="AA95" s="365">
        <f>IF(Year3_Torbay Year3_Adoption_ceased_LAC="","",Year3_Torbay Year3_Adoption_ceased_LAC)</f>
        <v>108</v>
      </c>
      <c r="AB95" s="574">
        <f>IF(Year4_Torbay Year4_Adoption_ceased_LAC="","",Year4_Torbay Year4_Adoption_ceased_LAC)</f>
        <v>102</v>
      </c>
      <c r="AC95" s="574">
        <f>IF(Year5_Torbay Year5_Adoption_ceased_LAC="","",Year5_Torbay Year5_Adoption_ceased_LAC)</f>
        <v>118</v>
      </c>
      <c r="AD95" s="365" t="str">
        <f t="shared" si="24"/>
        <v>Torbay</v>
      </c>
      <c r="AE95" s="463">
        <f>IF(Year1_Torbay Year1_Adoption_LAC_Adopted="","",Year1_Torbay Year1_Adoption_LAC_Adopted)</f>
        <v>19</v>
      </c>
      <c r="AF95" s="365">
        <f>IF(Year2_Torbay Year2_Adoption_LAC_Adopted="","",Year2_Torbay Year2_Adoption_LAC_Adopted)</f>
        <v>28</v>
      </c>
      <c r="AG95" s="365">
        <f>IF(Year3_Torbay Year3_Adoption_LAC_Adopted="","",Year3_Torbay Year3_Adoption_LAC_Adopted)</f>
        <v>14</v>
      </c>
      <c r="AH95" s="365">
        <f>IF(Year4_Torbay Year4_Adoption_LAC_Adopted="","",Year4_Torbay Year4_Adoption_LAC_Adopted)</f>
        <v>20</v>
      </c>
      <c r="AI95" s="365"/>
      <c r="AJ95" s="365"/>
      <c r="AK95" s="365">
        <f>IF(Year5_Torbay Year5_Adoption_LAC_Adopted="","",Year5_Torbay Year5_Adoption_LAC_Adopted)</f>
        <v>11</v>
      </c>
      <c r="AL95" s="1059"/>
      <c r="AM95" s="1059"/>
      <c r="AN95" s="156"/>
    </row>
    <row r="96" spans="1:48" s="89" customFormat="1" ht="12.75" customHeight="1" x14ac:dyDescent="0.2">
      <c r="A96" s="462">
        <f>VLOOKUP(B96,Sheet1!$AQ$4:$AR$25,2,FALSE)</f>
        <v>0</v>
      </c>
      <c r="B96" s="95" t="str">
        <f t="shared" si="20"/>
        <v>West Berkshire</v>
      </c>
      <c r="C96" s="87"/>
      <c r="D96" s="158" t="e">
        <f t="shared" si="25"/>
        <v>#N/A</v>
      </c>
      <c r="E96" s="158">
        <f t="shared" si="26"/>
        <v>0.10144927536231885</v>
      </c>
      <c r="F96" s="158">
        <f t="shared" si="27"/>
        <v>0.16216216216216217</v>
      </c>
      <c r="G96" s="158" t="e">
        <f t="shared" si="28"/>
        <v>#N/A</v>
      </c>
      <c r="H96" s="160">
        <f t="shared" si="22"/>
        <v>0.11320754716981132</v>
      </c>
      <c r="I96" s="425"/>
      <c r="J96" s="98"/>
      <c r="K96" s="98"/>
      <c r="L96" s="162"/>
      <c r="M96" s="162"/>
      <c r="N96" s="162"/>
      <c r="O96" s="162"/>
      <c r="P96" s="162"/>
      <c r="Q96" s="162"/>
      <c r="R96" s="162"/>
      <c r="S96" s="163"/>
      <c r="T96" s="155"/>
      <c r="U96" s="1006"/>
      <c r="V96" s="140"/>
      <c r="W96" s="149"/>
      <c r="X96" s="420" t="str">
        <f t="shared" si="23"/>
        <v>West Berkshire</v>
      </c>
      <c r="Y96" s="365">
        <f>IF(Year1_West_Berkshire Year1_Adoption_ceased_LAC="","",Year1_West_Berkshire Year1_Adoption_ceased_LAC)</f>
        <v>65</v>
      </c>
      <c r="Z96" s="365">
        <f>IF(Year2_West_Berkshire Year2_Adoption_ceased_LAC="","",Year2_West_Berkshire Year2_Adoption_ceased_LAC)</f>
        <v>69</v>
      </c>
      <c r="AA96" s="365">
        <f>IF(Year3_West_Berkshire Year3_Adoption_ceased_LAC="","",Year3_West_Berkshire Year3_Adoption_ceased_LAC)</f>
        <v>74</v>
      </c>
      <c r="AB96" s="365">
        <f>IF(Year4_West_Berkshire Year4_Adoption_ceased_LAC="","",Year4_West_Berkshire Year4_Adoption_ceased_LAC)</f>
        <v>86</v>
      </c>
      <c r="AC96" s="365">
        <f>IF(Year5_West_Berkshire Year5_Adoption_ceased_LAC="","",Year5_West_Berkshire Year5_Adoption_ceased_LAC)</f>
        <v>53</v>
      </c>
      <c r="AD96" s="365" t="str">
        <f t="shared" si="24"/>
        <v>West Berkshire</v>
      </c>
      <c r="AE96" s="463" t="str">
        <f>IF(Year1_West_Berkshire Year1_Adoption_LAC_Adopted="","",Year1_West_Berkshire Year1_Adoption_LAC_Adopted)</f>
        <v>c</v>
      </c>
      <c r="AF96" s="365">
        <f>IF(Year2_West_Berkshire Year2_Adoption_LAC_Adopted="","",Year2_West_Berkshire Year2_Adoption_LAC_Adopted)</f>
        <v>7</v>
      </c>
      <c r="AG96" s="365">
        <f>IF(Year3_West_Berkshire Year3_Adoption_LAC_Adopted="","",Year3_West_Berkshire Year3_Adoption_LAC_Adopted)</f>
        <v>12</v>
      </c>
      <c r="AH96" s="365" t="str">
        <f>IF(Year4_West_Berkshire Year4_Adoption_LAC_Adopted="","",Year4_West_Berkshire Year4_Adoption_LAC_Adopted)</f>
        <v>c</v>
      </c>
      <c r="AI96" s="365"/>
      <c r="AJ96" s="365"/>
      <c r="AK96" s="555">
        <f>IF(Year5_West_Berkshire Year5_Adoption_LAC_Adopted="","",Year5_West_Berkshire Year5_Adoption_LAC_Adopted)</f>
        <v>6</v>
      </c>
      <c r="AL96" s="1060"/>
      <c r="AM96" s="1060"/>
      <c r="AN96" s="157"/>
    </row>
    <row r="97" spans="1:62" s="89" customFormat="1" ht="12.75" customHeight="1" x14ac:dyDescent="0.2">
      <c r="A97" s="462">
        <f>VLOOKUP(B97,Sheet1!$AQ$4:$AR$25,2,FALSE)</f>
        <v>0</v>
      </c>
      <c r="B97" s="95" t="str">
        <f t="shared" si="20"/>
        <v>West Sussex</v>
      </c>
      <c r="C97" s="87"/>
      <c r="D97" s="158">
        <f t="shared" si="25"/>
        <v>0.125</v>
      </c>
      <c r="E97" s="158">
        <f t="shared" si="26"/>
        <v>8.549222797927461E-2</v>
      </c>
      <c r="F97" s="158">
        <f t="shared" si="27"/>
        <v>0.12885154061624648</v>
      </c>
      <c r="G97" s="158">
        <f t="shared" si="28"/>
        <v>0.10355029585798817</v>
      </c>
      <c r="H97" s="160">
        <f t="shared" si="22"/>
        <v>0.11864406779661017</v>
      </c>
      <c r="I97" s="425"/>
      <c r="J97" s="98"/>
      <c r="K97" s="98"/>
      <c r="L97" s="162"/>
      <c r="M97" s="162"/>
      <c r="N97" s="162"/>
      <c r="O97" s="162"/>
      <c r="P97" s="162"/>
      <c r="Q97" s="162"/>
      <c r="R97" s="162"/>
      <c r="S97" s="163"/>
      <c r="T97" s="155"/>
      <c r="U97" s="1006"/>
      <c r="V97" s="140"/>
      <c r="W97" s="149"/>
      <c r="X97" s="420" t="str">
        <f t="shared" si="23"/>
        <v>West Sussex</v>
      </c>
      <c r="Y97" s="365">
        <f>IF(Year1_West_Sussex Year1_Adoption_ceased_LAC="","",Year1_West_Sussex Year1_Adoption_ceased_LAC)</f>
        <v>328</v>
      </c>
      <c r="Z97" s="365">
        <f>IF(Year2_West_Sussex Year2_Adoption_ceased_LAC="","",Year2_West_Sussex Year2_Adoption_ceased_LAC)</f>
        <v>386</v>
      </c>
      <c r="AA97" s="365">
        <f>IF(Year3_West_Sussex Year3_Adoption_ceased_LAC="","",Year3_West_Sussex Year3_Adoption_ceased_LAC)</f>
        <v>357</v>
      </c>
      <c r="AB97" s="365">
        <f>IF(Year4_West_Sussex Year4_Adoption_ceased_LAC="","",Year4_West_Sussex Year4_Adoption_ceased_LAC)</f>
        <v>338</v>
      </c>
      <c r="AC97" s="365">
        <f>IF(Year5_West_Sussex Year5_Adoption_ceased_LAC="","",Year5_West_Sussex Year5_Adoption_ceased_LAC)</f>
        <v>354</v>
      </c>
      <c r="AD97" s="365" t="str">
        <f t="shared" si="24"/>
        <v>West Sussex</v>
      </c>
      <c r="AE97" s="463">
        <f>IF(Year1_West_Sussex Year1_Adoption_LAC_Adopted="","",Year1_West_Sussex Year1_Adoption_LAC_Adopted)</f>
        <v>41</v>
      </c>
      <c r="AF97" s="365">
        <f>IF(Year2_West_Sussex Year2_Adoption_LAC_Adopted="","",Year2_West_Sussex Year2_Adoption_LAC_Adopted)</f>
        <v>33</v>
      </c>
      <c r="AG97" s="365">
        <f>IF(Year3_West_Sussex Year3_Adoption_LAC_Adopted="","",Year3_West_Sussex Year3_Adoption_LAC_Adopted)</f>
        <v>46</v>
      </c>
      <c r="AH97" s="365">
        <f>IF(Year4_West_Sussex Year4_Adoption_LAC_Adopted="","",Year4_West_Sussex Year4_Adoption_LAC_Adopted)</f>
        <v>35</v>
      </c>
      <c r="AI97" s="365"/>
      <c r="AJ97" s="365"/>
      <c r="AK97" s="555">
        <f>IF(Year5_West_Sussex Year5_Adoption_LAC_Adopted="","",Year5_West_Sussex Year5_Adoption_LAC_Adopted)</f>
        <v>42</v>
      </c>
      <c r="AL97" s="1060"/>
      <c r="AM97" s="1060"/>
      <c r="AN97" s="156"/>
    </row>
    <row r="98" spans="1:62" s="89" customFormat="1" ht="12.75" customHeight="1" x14ac:dyDescent="0.2">
      <c r="A98" s="462">
        <f>VLOOKUP(B98,Sheet1!$AQ$4:$AR$25,2,FALSE)</f>
        <v>0</v>
      </c>
      <c r="B98" s="95" t="str">
        <f t="shared" si="20"/>
        <v>Windsor &amp; Maidenhead</v>
      </c>
      <c r="C98" s="87"/>
      <c r="D98" s="158">
        <f t="shared" si="25"/>
        <v>0.14893617021276595</v>
      </c>
      <c r="E98" s="158">
        <f t="shared" si="26"/>
        <v>0.16279069767441862</v>
      </c>
      <c r="F98" s="158">
        <f t="shared" si="27"/>
        <v>0.17142857142857143</v>
      </c>
      <c r="G98" s="158" t="e">
        <f t="shared" si="28"/>
        <v>#N/A</v>
      </c>
      <c r="H98" s="160">
        <f t="shared" si="22"/>
        <v>0.13461538461538461</v>
      </c>
      <c r="I98" s="425"/>
      <c r="J98" s="98"/>
      <c r="K98" s="98"/>
      <c r="L98" s="162"/>
      <c r="M98" s="162"/>
      <c r="N98" s="162"/>
      <c r="O98" s="162"/>
      <c r="P98" s="162"/>
      <c r="Q98" s="162"/>
      <c r="R98" s="162"/>
      <c r="S98" s="163"/>
      <c r="T98" s="155"/>
      <c r="U98" s="1006"/>
      <c r="V98" s="140"/>
      <c r="W98" s="149"/>
      <c r="X98" s="420" t="str">
        <f t="shared" si="23"/>
        <v>Windsor &amp; Maidenhead</v>
      </c>
      <c r="Y98" s="365">
        <f>IF(Year1_Windsor_Maidenhead Year1_Adoption_ceased_LAC="","",Year1_Windsor_Maidenhead Year1_Adoption_ceased_LAC)</f>
        <v>47</v>
      </c>
      <c r="Z98" s="365">
        <f>IF(Year2_Windsor_Maidenhead Year2_Adoption_ceased_LAC="","",Year2_Windsor_Maidenhead Year2_Adoption_ceased_LAC)</f>
        <v>43</v>
      </c>
      <c r="AA98" s="365">
        <f>IF(Year3_Windsor_Maidenhead Year3_Adoption_ceased_LAC="","",Year3_Windsor_Maidenhead Year3_Adoption_ceased_LAC)</f>
        <v>35</v>
      </c>
      <c r="AB98" s="365">
        <f>IF(Year4_Windsor_Maidenhead Year4_Adoption_ceased_LAC="","",Year4_Windsor_Maidenhead Year4_Adoption_ceased_LAC)</f>
        <v>49</v>
      </c>
      <c r="AC98" s="365">
        <f>IF(Year5_Windsor_Maidenhead Year5_Adoption_ceased_LAC="","",Year5_Windsor_Maidenhead Year5_Adoption_ceased_LAC)</f>
        <v>52</v>
      </c>
      <c r="AD98" s="365" t="str">
        <f t="shared" si="24"/>
        <v>Windsor &amp; Maidenhead</v>
      </c>
      <c r="AE98" s="463">
        <f>IF(Year1_Windsor_Maidenhead Year1_Adoption_LAC_Adopted="","",Year1_Windsor_Maidenhead Year1_Adoption_LAC_Adopted)</f>
        <v>7</v>
      </c>
      <c r="AF98" s="365">
        <f>IF(Year2_Windsor_Maidenhead Year2_Adoption_LAC_Adopted="","",Year2_Windsor_Maidenhead Year2_Adoption_LAC_Adopted)</f>
        <v>7</v>
      </c>
      <c r="AG98" s="365">
        <f>IF(Year3_Windsor_Maidenhead Year3_Adoption_LAC_Adopted="","",Year3_Windsor_Maidenhead Year3_Adoption_LAC_Adopted)</f>
        <v>6</v>
      </c>
      <c r="AH98" s="365" t="str">
        <f>IF(Year4_Windsor_Maidenhead Year4_Adoption_LAC_Adopted="","",Year4_Windsor_Maidenhead Year4_Adoption_LAC_Adopted)</f>
        <v>c</v>
      </c>
      <c r="AI98" s="365"/>
      <c r="AJ98" s="365"/>
      <c r="AK98" s="555">
        <f>IF(Year5_Windsor_Maidenhead Year5_Adoption_LAC_Adopted="","",Year5_Windsor_Maidenhead Year5_Adoption_LAC_Adopted)</f>
        <v>7</v>
      </c>
      <c r="AL98" s="1060"/>
      <c r="AM98" s="1060"/>
      <c r="AN98" s="157"/>
    </row>
    <row r="99" spans="1:62" s="89" customFormat="1" ht="12.75" customHeight="1" x14ac:dyDescent="0.2">
      <c r="A99" s="462">
        <f>VLOOKUP(B99,Sheet1!$AQ$4:$AR$25,2,FALSE)</f>
        <v>0</v>
      </c>
      <c r="B99" s="95" t="str">
        <f t="shared" si="20"/>
        <v>Wokingham</v>
      </c>
      <c r="C99" s="87"/>
      <c r="D99" s="158" t="e">
        <f t="shared" si="25"/>
        <v>#N/A</v>
      </c>
      <c r="E99" s="158" t="e">
        <f t="shared" si="26"/>
        <v>#N/A</v>
      </c>
      <c r="F99" s="158" t="e">
        <f t="shared" si="27"/>
        <v>#N/A</v>
      </c>
      <c r="G99" s="158" t="e">
        <f t="shared" si="28"/>
        <v>#N/A</v>
      </c>
      <c r="H99" s="160" t="e">
        <f t="shared" si="22"/>
        <v>#N/A</v>
      </c>
      <c r="I99" s="425"/>
      <c r="J99" s="98"/>
      <c r="K99" s="98"/>
      <c r="L99" s="162"/>
      <c r="M99" s="162"/>
      <c r="N99" s="162"/>
      <c r="O99" s="162"/>
      <c r="P99" s="162"/>
      <c r="Q99" s="162"/>
      <c r="R99" s="162"/>
      <c r="S99" s="163"/>
      <c r="T99" s="155"/>
      <c r="U99" s="1006"/>
      <c r="V99" s="140"/>
      <c r="W99" s="149"/>
      <c r="X99" s="420" t="str">
        <f t="shared" si="23"/>
        <v>Wokingham</v>
      </c>
      <c r="Y99" s="365">
        <f>IF(Year1_Wokingham Year1_Adoption_ceased_LAC="","",Year1_Wokingham Year1_Adoption_ceased_LAC)</f>
        <v>39</v>
      </c>
      <c r="Z99" s="365">
        <f>IF(Year2_Wokingham Year2_Adoption_ceased_LAC="","",Year2_Wokingham Year2_Adoption_ceased_LAC)</f>
        <v>34</v>
      </c>
      <c r="AA99" s="365">
        <f>IF(Year3_Wokingham Year3_Adoption_ceased_LAC="","",Year3_Wokingham Year3_Adoption_ceased_LAC)</f>
        <v>31</v>
      </c>
      <c r="AB99" s="365">
        <f>IF(Year4_Wokingham Year4_Adoption_ceased_LAC="","",Year4_Wokingham Year4_Adoption_ceased_LAC)</f>
        <v>36</v>
      </c>
      <c r="AC99" s="365">
        <f>IF(Year5_Wokingham Year5_Adoption_ceased_LAC="","",Year5_Wokingham Year5_Adoption_ceased_LAC)</f>
        <v>58</v>
      </c>
      <c r="AD99" s="365" t="str">
        <f t="shared" si="24"/>
        <v>Wokingham</v>
      </c>
      <c r="AE99" s="463" t="str">
        <f>IF(Year1_Wokingham Year1_Adoption_LAC_Adopted="","",Year1_Wokingham Year1_Adoption_LAC_Adopted)</f>
        <v>c</v>
      </c>
      <c r="AF99" s="365" t="str">
        <f>IF(Year2_Wokingham Year2_Adoption_LAC_Adopted="","",Year2_Wokingham Year2_Adoption_LAC_Adopted)</f>
        <v>c</v>
      </c>
      <c r="AG99" s="365" t="str">
        <f>IF(Year3_Wokingham Year3_Adoption_LAC_Adopted="","",Year3_Wokingham Year3_Adoption_LAC_Adopted)</f>
        <v>c</v>
      </c>
      <c r="AH99" s="365" t="str">
        <f>IF(Year4_Wokingham Year4_Adoption_LAC_Adopted="","",Year4_Wokingham Year4_Adoption_LAC_Adopted)</f>
        <v>c</v>
      </c>
      <c r="AI99" s="365"/>
      <c r="AJ99" s="365"/>
      <c r="AK99" s="555" t="str">
        <f>IF(Year5_Wokingham Year5_Adoption_LAC_Adopted="","",Year5_Wokingham Year5_Adoption_LAC_Adopted)</f>
        <v>x</v>
      </c>
      <c r="AL99" s="1060"/>
      <c r="AM99" s="1060"/>
      <c r="AN99" s="156"/>
    </row>
    <row r="100" spans="1:62" s="89" customFormat="1" ht="12.75" customHeight="1" x14ac:dyDescent="0.2">
      <c r="A100" s="286"/>
      <c r="B100" s="131" t="str">
        <f t="shared" si="20"/>
        <v>South East</v>
      </c>
      <c r="C100" s="87"/>
      <c r="D100" s="159">
        <f t="shared" si="25"/>
        <v>0.18092909535452323</v>
      </c>
      <c r="E100" s="159">
        <f t="shared" si="26"/>
        <v>0.14193548387096774</v>
      </c>
      <c r="F100" s="159">
        <f t="shared" si="27"/>
        <v>0.13118279569892474</v>
      </c>
      <c r="G100" s="159">
        <f t="shared" si="28"/>
        <v>0.12296983758700696</v>
      </c>
      <c r="H100" s="161">
        <f t="shared" si="22"/>
        <v>0.12318840579710146</v>
      </c>
      <c r="I100" s="425"/>
      <c r="J100" s="98"/>
      <c r="K100" s="98"/>
      <c r="L100" s="164"/>
      <c r="M100" s="164"/>
      <c r="N100" s="164"/>
      <c r="O100" s="164"/>
      <c r="P100" s="164"/>
      <c r="Q100" s="164"/>
      <c r="R100" s="164"/>
      <c r="S100" s="165"/>
      <c r="T100" s="155"/>
      <c r="U100" s="1006"/>
      <c r="V100" s="140"/>
      <c r="W100" s="149"/>
      <c r="X100" s="420" t="str">
        <f t="shared" si="23"/>
        <v>South East</v>
      </c>
      <c r="Y100" s="607">
        <f>IF(Year1_SouthEast Year1_Adoption_ceased_LAC="","",Year1_SouthEast Year1_Adoption_ceased_LAC)</f>
        <v>4090</v>
      </c>
      <c r="Z100" s="605">
        <f>IF(Year2_SouthEast Year2_Adoption_ceased_LAC="","",Year2_SouthEast Year2_Adoption_ceased_LAC)</f>
        <v>4650</v>
      </c>
      <c r="AA100" s="605">
        <f>IF(Year3_SouthEast Year3_Adoption_ceased_LAC="","",Year3_SouthEast Year3_Adoption_ceased_LAC)</f>
        <v>4650</v>
      </c>
      <c r="AB100" s="365">
        <f>IF(Year4_SouthEast Year4_Adoption_ceased_LAC="","",Year4_SouthEast Year4_Adoption_ceased_LAC)</f>
        <v>4310</v>
      </c>
      <c r="AC100" s="365">
        <f>IF(Year5_SouthEast Year5_Adoption_ceased_LAC="","",Year5_SouthEast Year5_Adoption_ceased_LAC)</f>
        <v>4140</v>
      </c>
      <c r="AD100" s="365" t="str">
        <f t="shared" si="24"/>
        <v>South East</v>
      </c>
      <c r="AE100" s="365">
        <f>IF(Year1_SouthEast Year1_Adoption_LAC_Adopted="","",Year1_SouthEast Year1_Adoption_LAC_Adopted)</f>
        <v>740</v>
      </c>
      <c r="AF100" s="365">
        <f>IF(Year2_SouthEast Year2_Adoption_LAC_Adopted="","",Year2_SouthEast Year2_Adoption_LAC_Adopted)</f>
        <v>660</v>
      </c>
      <c r="AG100" s="365">
        <f>IF(Year3_SouthEast Year3_Adoption_LAC_Adopted="","",Year3_SouthEast Year3_Adoption_LAC_Adopted)</f>
        <v>610</v>
      </c>
      <c r="AH100" s="365">
        <f>IF(Year4_SouthEast Year4_Adoption_LAC_Adopted="","",Year4_SouthEast Year4_Adoption_LAC_Adopted)</f>
        <v>530</v>
      </c>
      <c r="AI100" s="365"/>
      <c r="AJ100" s="365"/>
      <c r="AK100" s="555">
        <f>IF(Year5_SouthEast Year5_Adoption_LAC_Adopted="","",Year5_SouthEast Year5_Adoption_LAC_Adopted)</f>
        <v>510</v>
      </c>
      <c r="AL100" s="1060"/>
      <c r="AM100" s="1060"/>
      <c r="AN100" s="157"/>
    </row>
    <row r="101" spans="1:62" s="89" customFormat="1" ht="12.75" customHeight="1" x14ac:dyDescent="0.2">
      <c r="A101" s="286"/>
      <c r="B101" s="318" t="str">
        <f t="shared" si="20"/>
        <v>England</v>
      </c>
      <c r="C101" s="87"/>
      <c r="D101" s="344">
        <f t="shared" si="25"/>
        <v>0.17097288676236044</v>
      </c>
      <c r="E101" s="344">
        <f t="shared" si="26"/>
        <v>0.14783427495291901</v>
      </c>
      <c r="F101" s="344">
        <f t="shared" si="27"/>
        <v>0.13917197452229299</v>
      </c>
      <c r="G101" s="344">
        <f t="shared" si="28"/>
        <v>0.1281198003327787</v>
      </c>
      <c r="H101" s="469">
        <f t="shared" si="22"/>
        <v>0.12118126272912423</v>
      </c>
      <c r="I101" s="994"/>
      <c r="J101" s="98"/>
      <c r="K101" s="98"/>
      <c r="L101" s="164"/>
      <c r="M101" s="164"/>
      <c r="N101" s="164"/>
      <c r="O101" s="164"/>
      <c r="P101" s="164"/>
      <c r="Q101" s="164"/>
      <c r="R101" s="164"/>
      <c r="S101" s="165"/>
      <c r="T101" s="155"/>
      <c r="U101" s="1006"/>
      <c r="V101" s="140"/>
      <c r="W101" s="149"/>
      <c r="X101" s="420" t="str">
        <f t="shared" si="23"/>
        <v>England</v>
      </c>
      <c r="Y101" s="607">
        <f>IF(Year1_England Year1_Adoption_ceased_LAC="","",Year1_England Year1_Adoption_ceased_LAC)</f>
        <v>31350</v>
      </c>
      <c r="Z101" s="605">
        <f>IF(Year2_England Year2_Adoption_ceased_LAC="","",Year2_England Year2_Adoption_ceased_LAC)</f>
        <v>31860</v>
      </c>
      <c r="AA101" s="605">
        <f>IF(Year3_England Year3_Adoption_ceased_LAC="","",Year3_England Year3_Adoption_ceased_LAC)</f>
        <v>31400</v>
      </c>
      <c r="AB101" s="365">
        <f>IF(Year4_England Year4_Adoption_ceased_LAC="","",Year4_England Year4_Adoption_ceased_LAC)</f>
        <v>30050</v>
      </c>
      <c r="AC101" s="365">
        <f>IF(Year5_England Year5_Adoption_ceased_LAC="","",Year5_England Year5_Adoption_ceased_LAC)</f>
        <v>29460</v>
      </c>
      <c r="AD101" s="365" t="str">
        <f t="shared" si="24"/>
        <v>England</v>
      </c>
      <c r="AE101" s="576">
        <f>IF(Year1_England Year1_Adoption_LAC_Adopted="","",Year1_England Year1_Adoption_LAC_Adopted)</f>
        <v>5360</v>
      </c>
      <c r="AF101" s="576">
        <f>IF(Year2_England Year2_Adoption_LAC_Adopted="","",Year2_England Year2_Adoption_LAC_Adopted)</f>
        <v>4710</v>
      </c>
      <c r="AG101" s="365">
        <f>IF(Year3_England Year3_Adoption_LAC_Adopted="","",Year3_England Year3_Adoption_LAC_Adopted)</f>
        <v>4370</v>
      </c>
      <c r="AH101" s="365">
        <f>IF(Year4_England Year4_Adoption_LAC_Adopted="","",Year4_England Year4_Adoption_LAC_Adopted)</f>
        <v>3850</v>
      </c>
      <c r="AI101" s="365"/>
      <c r="AJ101" s="365"/>
      <c r="AK101" s="555">
        <f>IF(Year5_England Year5_Adoption_LAC_Adopted="","",Year5_England Year5_Adoption_LAC_Adopted)</f>
        <v>3570</v>
      </c>
      <c r="AL101" s="1060"/>
      <c r="AM101" s="1060"/>
      <c r="AN101" s="156"/>
    </row>
    <row r="102" spans="1:62" s="89" customFormat="1" ht="7.5" customHeight="1" x14ac:dyDescent="0.2">
      <c r="A102" s="286"/>
      <c r="B102" s="98"/>
      <c r="C102" s="98"/>
      <c r="D102" s="98"/>
      <c r="E102" s="98"/>
      <c r="F102" s="98"/>
      <c r="G102" s="98"/>
      <c r="H102" s="98"/>
      <c r="I102" s="98"/>
      <c r="J102" s="98"/>
      <c r="K102" s="98"/>
      <c r="L102" s="164"/>
      <c r="M102" s="164"/>
      <c r="N102" s="164"/>
      <c r="O102" s="164"/>
      <c r="P102" s="164"/>
      <c r="Q102" s="164"/>
      <c r="R102" s="164"/>
      <c r="S102" s="165"/>
      <c r="T102" s="155"/>
      <c r="U102" s="1006"/>
      <c r="V102" s="140"/>
      <c r="W102" s="149"/>
      <c r="X102" s="83"/>
      <c r="Y102" s="83"/>
      <c r="Z102" s="191"/>
      <c r="AA102" s="191"/>
      <c r="AB102" s="192"/>
      <c r="AC102" s="192"/>
      <c r="AK102" s="179"/>
      <c r="AL102" s="179"/>
      <c r="AM102" s="179"/>
      <c r="AN102" s="156"/>
    </row>
    <row r="103" spans="1:62" s="83" customFormat="1" ht="38.25" customHeight="1" x14ac:dyDescent="0.2">
      <c r="A103" s="440"/>
      <c r="B103" s="385"/>
      <c r="C103" s="385"/>
      <c r="D103" s="385"/>
      <c r="E103" s="385"/>
      <c r="F103" s="385"/>
      <c r="G103" s="385"/>
      <c r="H103" s="385"/>
      <c r="I103" s="385"/>
      <c r="J103" s="385"/>
      <c r="K103" s="168"/>
      <c r="L103" s="168"/>
      <c r="M103" s="168"/>
      <c r="N103" s="168"/>
      <c r="O103" s="168"/>
      <c r="P103" s="168"/>
      <c r="Q103" s="168"/>
      <c r="R103" s="168"/>
      <c r="S103" s="137"/>
      <c r="T103" s="168"/>
      <c r="U103" s="1004"/>
      <c r="V103" s="138"/>
      <c r="W103" s="147"/>
      <c r="AC103" s="192"/>
      <c r="AD103" s="194"/>
      <c r="AE103" s="179"/>
      <c r="AF103" s="179"/>
      <c r="AG103" s="179"/>
      <c r="AK103" s="179"/>
      <c r="AL103" s="179"/>
      <c r="AM103" s="179"/>
      <c r="AN103" s="157"/>
    </row>
    <row r="104" spans="1:62" s="83" customFormat="1" ht="39" customHeight="1" x14ac:dyDescent="0.2">
      <c r="A104" s="440"/>
      <c r="B104" s="385"/>
      <c r="C104" s="385"/>
      <c r="D104" s="385"/>
      <c r="E104" s="385"/>
      <c r="F104" s="385"/>
      <c r="G104" s="385"/>
      <c r="H104" s="385"/>
      <c r="I104" s="385"/>
      <c r="J104" s="385"/>
      <c r="K104" s="168"/>
      <c r="L104" s="168"/>
      <c r="M104" s="168"/>
      <c r="N104" s="168"/>
      <c r="O104" s="168"/>
      <c r="P104" s="168"/>
      <c r="Q104" s="168"/>
      <c r="R104" s="168"/>
      <c r="S104" s="137"/>
      <c r="T104" s="168"/>
      <c r="U104" s="1004"/>
      <c r="V104" s="138"/>
      <c r="W104" s="147"/>
      <c r="Y104" s="185"/>
      <c r="AD104" s="194"/>
      <c r="AE104" s="179"/>
      <c r="AF104" s="179"/>
      <c r="AG104" s="179"/>
      <c r="AK104" s="179"/>
      <c r="AL104" s="179"/>
      <c r="AM104" s="179"/>
      <c r="AN104" s="157"/>
    </row>
    <row r="105" spans="1:62" s="83" customFormat="1" ht="38.25" customHeight="1" x14ac:dyDescent="0.2">
      <c r="A105" s="440"/>
      <c r="B105" s="385"/>
      <c r="C105" s="385"/>
      <c r="D105" s="385"/>
      <c r="E105" s="385"/>
      <c r="F105" s="385"/>
      <c r="G105" s="385"/>
      <c r="H105" s="385"/>
      <c r="I105" s="385"/>
      <c r="J105" s="385"/>
      <c r="K105" s="168"/>
      <c r="L105" s="168"/>
      <c r="M105" s="168"/>
      <c r="N105" s="168"/>
      <c r="O105" s="168"/>
      <c r="P105" s="168"/>
      <c r="Q105" s="168"/>
      <c r="R105" s="168"/>
      <c r="S105" s="137"/>
      <c r="T105" s="168"/>
      <c r="U105" s="1004"/>
      <c r="V105" s="138"/>
      <c r="W105" s="147"/>
      <c r="Y105" s="185"/>
      <c r="AD105" s="194"/>
      <c r="AE105" s="179"/>
      <c r="AF105" s="179"/>
      <c r="AG105" s="179"/>
      <c r="AK105" s="179"/>
      <c r="AL105" s="179"/>
      <c r="AM105" s="179"/>
      <c r="AN105" s="157"/>
    </row>
    <row r="106" spans="1:62" s="83" customFormat="1" ht="7.5" customHeight="1" x14ac:dyDescent="0.2">
      <c r="A106" s="271"/>
      <c r="B106" s="18"/>
      <c r="C106" s="18"/>
      <c r="D106" s="17"/>
      <c r="E106" s="17"/>
      <c r="F106" s="17"/>
      <c r="G106" s="17"/>
      <c r="H106" s="17"/>
      <c r="I106" s="17"/>
      <c r="J106" s="17"/>
      <c r="K106" s="13"/>
      <c r="L106" s="19"/>
      <c r="M106" s="19"/>
      <c r="N106" s="19"/>
      <c r="O106" s="19"/>
      <c r="P106" s="19"/>
      <c r="Q106" s="19"/>
      <c r="R106" s="19"/>
      <c r="S106" s="19"/>
      <c r="T106" s="19"/>
      <c r="U106" s="1003"/>
      <c r="V106" s="138"/>
      <c r="W106" s="147"/>
      <c r="Y106" s="185"/>
      <c r="AK106" s="179"/>
      <c r="AL106" s="179"/>
      <c r="AM106" s="179"/>
      <c r="AN106" s="153"/>
      <c r="AO106" s="76"/>
      <c r="AP106" s="76"/>
      <c r="AQ106" s="76"/>
      <c r="AR106" s="76"/>
      <c r="AS106" s="76"/>
      <c r="AT106" s="76"/>
      <c r="AU106" s="76"/>
    </row>
    <row r="107" spans="1:62" s="83" customFormat="1" ht="15" customHeight="1" x14ac:dyDescent="0.2">
      <c r="A107" s="1443"/>
      <c r="B107" s="1421"/>
      <c r="C107" s="1421"/>
      <c r="D107" s="1421"/>
      <c r="E107" s="1421"/>
      <c r="F107" s="1421"/>
      <c r="G107" s="1421"/>
      <c r="H107" s="1421"/>
      <c r="I107" s="1421"/>
      <c r="J107" s="1421"/>
      <c r="K107" s="1421"/>
      <c r="L107" s="1421"/>
      <c r="M107" s="1421"/>
      <c r="N107" s="1421"/>
      <c r="O107" s="1421"/>
      <c r="P107" s="1421"/>
      <c r="Q107" s="1421"/>
      <c r="R107" s="1421"/>
      <c r="S107" s="1421"/>
      <c r="T107" s="1421"/>
      <c r="U107" s="1422"/>
      <c r="V107" s="138"/>
      <c r="W107" s="147"/>
      <c r="AN107" s="157"/>
      <c r="AW107" s="76"/>
    </row>
    <row r="108" spans="1:62" s="83" customFormat="1" ht="11.25" customHeight="1" x14ac:dyDescent="0.2">
      <c r="A108" s="1471" t="str">
        <f>Home!$A$40</f>
        <v>LA's provide quarterly data on the condition that it is used by the benchmarking group for internal reporting only. Please DO NOT share other LA's data with any external partners or the public</v>
      </c>
      <c r="B108" s="1431"/>
      <c r="C108" s="1431"/>
      <c r="D108" s="1431"/>
      <c r="E108" s="1431"/>
      <c r="F108" s="1431"/>
      <c r="G108" s="1431"/>
      <c r="H108" s="1431"/>
      <c r="I108" s="1431"/>
      <c r="J108" s="1431"/>
      <c r="K108" s="1431"/>
      <c r="L108" s="1431"/>
      <c r="M108" s="1431"/>
      <c r="N108" s="1431"/>
      <c r="O108" s="1431"/>
      <c r="P108" s="1431"/>
      <c r="Q108" s="1431"/>
      <c r="R108" s="1431"/>
      <c r="S108" s="1431"/>
      <c r="T108" s="1431"/>
      <c r="U108" s="1482"/>
      <c r="V108" s="138"/>
      <c r="W108" s="147"/>
      <c r="AK108" s="179"/>
      <c r="AL108" s="179"/>
      <c r="AM108" s="179"/>
      <c r="AN108" s="156"/>
      <c r="AO108" s="89"/>
      <c r="AW108" s="76"/>
    </row>
    <row r="109" spans="1:62" ht="11.25" customHeight="1" x14ac:dyDescent="0.2">
      <c r="A109" s="141"/>
      <c r="B109" s="1109"/>
      <c r="C109" s="9"/>
      <c r="D109" s="9"/>
      <c r="E109" s="9"/>
      <c r="F109" s="9"/>
      <c r="G109" s="9"/>
      <c r="H109" s="9"/>
      <c r="I109" s="9"/>
      <c r="J109" s="13"/>
      <c r="K109" s="9"/>
      <c r="L109" s="9"/>
      <c r="M109" s="9"/>
      <c r="N109" s="9"/>
      <c r="O109" s="9"/>
      <c r="P109" s="9"/>
      <c r="Q109" s="9"/>
      <c r="R109" s="9"/>
      <c r="S109" s="9"/>
      <c r="T109" s="9"/>
      <c r="U109" s="11"/>
      <c r="V109" s="1311"/>
      <c r="W109" s="11"/>
      <c r="X109" s="12"/>
      <c r="Y109" s="12"/>
      <c r="Z109" s="12"/>
      <c r="AA109" s="12"/>
      <c r="AB109" s="12"/>
      <c r="AC109" s="241"/>
      <c r="AE109" s="84"/>
      <c r="AH109" s="179"/>
      <c r="AI109" s="179"/>
      <c r="AJ109" s="179"/>
      <c r="AK109" s="179"/>
      <c r="AL109" s="179"/>
      <c r="AM109" s="179"/>
      <c r="AN109" s="153"/>
      <c r="AV109" s="83"/>
      <c r="AW109" s="83"/>
      <c r="AX109" s="83"/>
      <c r="AY109" s="83"/>
      <c r="AZ109" s="83"/>
      <c r="BA109" s="83"/>
      <c r="BB109" s="83"/>
      <c r="BC109" s="83"/>
      <c r="BD109" s="83"/>
      <c r="BE109" s="83"/>
      <c r="BF109" s="83"/>
      <c r="BG109" s="83"/>
      <c r="BH109" s="83"/>
      <c r="BI109" s="83"/>
      <c r="BJ109" s="83"/>
    </row>
    <row r="110" spans="1:62" ht="11.25" customHeight="1" x14ac:dyDescent="0.2">
      <c r="A110" s="141"/>
      <c r="B110" s="1109"/>
      <c r="C110" s="9"/>
      <c r="D110" s="9"/>
      <c r="E110" s="9"/>
      <c r="F110" s="9"/>
      <c r="G110" s="9"/>
      <c r="H110" s="9"/>
      <c r="I110" s="9"/>
      <c r="J110" s="13"/>
      <c r="K110" s="9"/>
      <c r="L110" s="9"/>
      <c r="M110" s="9"/>
      <c r="N110" s="9"/>
      <c r="O110" s="9"/>
      <c r="P110" s="9"/>
      <c r="Q110" s="9"/>
      <c r="R110" s="9"/>
      <c r="S110" s="9"/>
      <c r="T110" s="9"/>
      <c r="U110" s="11"/>
      <c r="V110" s="11"/>
      <c r="W110" s="11"/>
      <c r="X110" s="12"/>
      <c r="Y110" s="12"/>
      <c r="Z110" s="12"/>
      <c r="AA110" s="12"/>
      <c r="AB110" s="12"/>
      <c r="AC110" s="241"/>
      <c r="AE110" s="84"/>
      <c r="AH110" s="179"/>
      <c r="AI110" s="179"/>
      <c r="AJ110" s="179"/>
      <c r="AK110" s="179"/>
      <c r="AL110" s="179"/>
      <c r="AM110" s="179"/>
      <c r="AN110" s="153"/>
      <c r="AP110" s="83"/>
      <c r="AQ110" s="83"/>
      <c r="AR110" s="83"/>
      <c r="AS110" s="83"/>
      <c r="AT110" s="83"/>
      <c r="AU110" s="83"/>
    </row>
    <row r="111" spans="1:62" ht="11.25" customHeight="1" x14ac:dyDescent="0.2">
      <c r="A111" s="141"/>
      <c r="B111" s="1367" t="s">
        <v>82</v>
      </c>
      <c r="C111" s="15"/>
      <c r="D111" s="1306"/>
      <c r="E111" s="1306"/>
      <c r="F111" s="9"/>
      <c r="G111" s="9"/>
      <c r="H111" s="9"/>
      <c r="I111" s="9"/>
      <c r="J111" s="13"/>
      <c r="K111" s="9"/>
      <c r="L111" s="9"/>
      <c r="M111" s="9"/>
      <c r="N111" s="9"/>
      <c r="O111" s="9"/>
      <c r="P111" s="9"/>
      <c r="Q111" s="9"/>
      <c r="R111" s="9"/>
      <c r="S111" s="9"/>
      <c r="T111" s="9"/>
      <c r="U111" s="11"/>
      <c r="V111" s="11"/>
      <c r="W111" s="11"/>
      <c r="X111" s="12"/>
      <c r="Y111" s="12"/>
      <c r="Z111" s="12"/>
      <c r="AA111" s="12"/>
      <c r="AB111" s="12"/>
      <c r="AC111" s="241"/>
      <c r="AE111" s="84"/>
      <c r="AH111" s="179"/>
      <c r="AI111" s="179"/>
      <c r="AJ111" s="179"/>
      <c r="AK111" s="179"/>
      <c r="AL111" s="179"/>
      <c r="AM111" s="179"/>
      <c r="AN111" s="153"/>
      <c r="AP111" s="83"/>
      <c r="AQ111" s="83"/>
      <c r="AR111" s="83"/>
      <c r="AS111" s="83"/>
      <c r="AT111" s="83"/>
      <c r="AU111" s="83"/>
    </row>
    <row r="112" spans="1:62" ht="11.25" customHeight="1" x14ac:dyDescent="0.2">
      <c r="A112" s="141"/>
      <c r="B112" s="1368"/>
      <c r="C112" s="9"/>
      <c r="D112" s="1306"/>
      <c r="E112" s="1306"/>
      <c r="F112" s="9"/>
      <c r="G112" s="9"/>
      <c r="H112" s="9"/>
      <c r="I112" s="9"/>
      <c r="J112" s="13"/>
      <c r="K112" s="9"/>
      <c r="L112" s="9"/>
      <c r="M112" s="9"/>
      <c r="N112" s="9"/>
      <c r="O112" s="9"/>
      <c r="P112" s="9"/>
      <c r="Q112" s="9"/>
      <c r="R112" s="9"/>
      <c r="S112" s="9"/>
      <c r="T112" s="9"/>
      <c r="U112" s="11"/>
      <c r="V112" s="11"/>
      <c r="W112" s="11"/>
      <c r="X112" s="12"/>
      <c r="Y112" s="12"/>
      <c r="Z112" s="12"/>
      <c r="AA112" s="12"/>
      <c r="AB112" s="12"/>
      <c r="AC112" s="241"/>
      <c r="AE112" s="84"/>
      <c r="AH112" s="179"/>
      <c r="AI112" s="179"/>
      <c r="AJ112" s="179"/>
      <c r="AK112" s="179"/>
      <c r="AL112" s="179"/>
      <c r="AM112" s="179"/>
      <c r="AN112" s="153"/>
    </row>
    <row r="113" spans="1:42" ht="11.25" customHeight="1" x14ac:dyDescent="0.2">
      <c r="A113" s="141"/>
      <c r="B113" s="1366" t="s">
        <v>806</v>
      </c>
      <c r="C113" s="1366"/>
      <c r="D113" s="1366"/>
      <c r="E113" s="1366"/>
      <c r="F113" s="9"/>
      <c r="G113" s="9"/>
      <c r="H113" s="9"/>
      <c r="I113" s="9"/>
      <c r="J113" s="13"/>
      <c r="K113" s="9"/>
      <c r="L113" s="9"/>
      <c r="M113" s="9"/>
      <c r="N113" s="9"/>
      <c r="O113" s="9"/>
      <c r="P113" s="9"/>
      <c r="Q113" s="9"/>
      <c r="R113" s="9"/>
      <c r="S113" s="9"/>
      <c r="T113" s="9"/>
      <c r="U113" s="11"/>
      <c r="V113" s="11"/>
      <c r="W113" s="11"/>
      <c r="X113" s="12"/>
      <c r="Y113" s="12"/>
      <c r="Z113" s="12"/>
      <c r="AA113" s="12"/>
      <c r="AB113" s="12"/>
      <c r="AC113" s="241"/>
      <c r="AE113" s="84"/>
      <c r="AH113" s="179"/>
      <c r="AI113" s="179"/>
      <c r="AJ113" s="179"/>
      <c r="AK113" s="179"/>
      <c r="AL113" s="179"/>
      <c r="AM113" s="179"/>
      <c r="AN113" s="153"/>
    </row>
    <row r="114" spans="1:42" ht="11.25" customHeight="1" x14ac:dyDescent="0.2">
      <c r="A114" s="141"/>
      <c r="B114" s="1366"/>
      <c r="C114" s="1366"/>
      <c r="D114" s="1366"/>
      <c r="E114" s="1366"/>
      <c r="F114" s="9"/>
      <c r="G114" s="9"/>
      <c r="H114" s="9"/>
      <c r="I114" s="9"/>
      <c r="J114" s="13"/>
      <c r="K114" s="9"/>
      <c r="L114" s="9"/>
      <c r="M114" s="9"/>
      <c r="N114" s="9"/>
      <c r="O114" s="9"/>
      <c r="P114" s="9"/>
      <c r="Q114" s="9"/>
      <c r="R114" s="9"/>
      <c r="S114" s="9"/>
      <c r="T114" s="9"/>
      <c r="U114" s="11"/>
      <c r="V114" s="11"/>
      <c r="W114" s="11"/>
      <c r="X114" s="12"/>
      <c r="Y114" s="12"/>
      <c r="Z114" s="12"/>
      <c r="AA114" s="12"/>
      <c r="AB114" s="12"/>
      <c r="AC114" s="241"/>
      <c r="AE114" s="84"/>
      <c r="AH114" s="183"/>
      <c r="AI114" s="183"/>
      <c r="AJ114" s="183"/>
      <c r="AK114" s="183"/>
      <c r="AL114" s="183"/>
      <c r="AM114" s="183"/>
      <c r="AN114" s="154"/>
    </row>
    <row r="115" spans="1:42" s="78" customFormat="1" ht="11.25" customHeight="1" x14ac:dyDescent="0.2">
      <c r="A115" s="141"/>
      <c r="B115" s="1366" t="s">
        <v>81</v>
      </c>
      <c r="C115" s="1366"/>
      <c r="D115" s="1366"/>
      <c r="E115" s="1366"/>
      <c r="F115" s="9"/>
      <c r="G115" s="9"/>
      <c r="H115" s="9"/>
      <c r="I115" s="9"/>
      <c r="J115" s="13"/>
      <c r="K115" s="9"/>
      <c r="L115" s="9"/>
      <c r="M115" s="9"/>
      <c r="N115" s="9"/>
      <c r="O115" s="9"/>
      <c r="P115" s="9"/>
      <c r="Q115" s="9"/>
      <c r="R115" s="9"/>
      <c r="S115" s="9"/>
      <c r="T115" s="9"/>
      <c r="U115" s="11"/>
      <c r="V115" s="11"/>
      <c r="W115" s="11"/>
      <c r="X115" s="12"/>
      <c r="Y115" s="12"/>
      <c r="Z115" s="12"/>
      <c r="AA115" s="12"/>
      <c r="AB115" s="12"/>
      <c r="AC115" s="241"/>
      <c r="AD115" s="83"/>
      <c r="AE115" s="84"/>
      <c r="AF115" s="83"/>
      <c r="AG115" s="83"/>
      <c r="AH115" s="179"/>
      <c r="AI115" s="179"/>
      <c r="AJ115" s="179"/>
      <c r="AK115" s="179"/>
      <c r="AL115" s="179"/>
      <c r="AM115" s="179"/>
      <c r="AN115" s="153"/>
    </row>
    <row r="116" spans="1:42" ht="11.25" customHeight="1" x14ac:dyDescent="0.2">
      <c r="A116" s="141"/>
      <c r="B116" s="1366"/>
      <c r="C116" s="1366"/>
      <c r="D116" s="1366"/>
      <c r="E116" s="1366"/>
      <c r="F116" s="9"/>
      <c r="G116" s="9"/>
      <c r="H116" s="9"/>
      <c r="I116" s="9"/>
      <c r="J116" s="13"/>
      <c r="K116" s="9"/>
      <c r="L116" s="9"/>
      <c r="M116" s="9"/>
      <c r="N116" s="9"/>
      <c r="O116" s="9"/>
      <c r="P116" s="9"/>
      <c r="Q116" s="9"/>
      <c r="R116" s="9"/>
      <c r="S116" s="9"/>
      <c r="T116" s="9"/>
      <c r="U116" s="11"/>
      <c r="V116" s="11"/>
      <c r="W116" s="11"/>
      <c r="X116" s="12"/>
      <c r="Y116" s="12"/>
      <c r="Z116" s="12"/>
      <c r="AA116" s="12"/>
      <c r="AB116" s="12"/>
      <c r="AC116" s="241"/>
      <c r="AE116" s="84"/>
      <c r="AH116" s="179"/>
      <c r="AI116" s="179"/>
      <c r="AJ116" s="179"/>
      <c r="AK116" s="179"/>
      <c r="AL116" s="179"/>
      <c r="AM116" s="179"/>
      <c r="AN116" s="153"/>
    </row>
    <row r="117" spans="1:42" ht="11.25" customHeight="1" x14ac:dyDescent="0.2">
      <c r="A117" s="141"/>
      <c r="B117" s="1366" t="s">
        <v>78</v>
      </c>
      <c r="C117" s="1366"/>
      <c r="D117" s="1366"/>
      <c r="E117" s="1366"/>
      <c r="F117" s="9"/>
      <c r="G117" s="9"/>
      <c r="H117" s="9"/>
      <c r="I117" s="9"/>
      <c r="J117" s="13"/>
      <c r="K117" s="9"/>
      <c r="L117" s="9"/>
      <c r="M117" s="9"/>
      <c r="N117" s="9"/>
      <c r="O117" s="9"/>
      <c r="P117" s="9"/>
      <c r="Q117" s="9"/>
      <c r="R117" s="9"/>
      <c r="S117" s="9"/>
      <c r="T117" s="9"/>
      <c r="U117" s="11"/>
      <c r="V117" s="11"/>
      <c r="W117" s="11"/>
      <c r="X117" s="12"/>
      <c r="Y117" s="12"/>
      <c r="Z117" s="12"/>
      <c r="AA117" s="12"/>
      <c r="AB117" s="12"/>
      <c r="AC117" s="241"/>
      <c r="AE117" s="84"/>
      <c r="AH117" s="179"/>
      <c r="AI117" s="179"/>
      <c r="AJ117" s="179"/>
      <c r="AK117" s="179"/>
      <c r="AL117" s="179"/>
      <c r="AM117" s="179"/>
      <c r="AN117" s="153"/>
    </row>
    <row r="118" spans="1:42" ht="11.25" customHeight="1" x14ac:dyDescent="0.2">
      <c r="A118" s="141"/>
      <c r="B118" s="1366"/>
      <c r="C118" s="1366"/>
      <c r="D118" s="1366"/>
      <c r="E118" s="1366"/>
      <c r="F118" s="9"/>
      <c r="G118" s="9"/>
      <c r="H118" s="9"/>
      <c r="I118" s="9"/>
      <c r="J118" s="13"/>
      <c r="K118" s="9"/>
      <c r="L118" s="9"/>
      <c r="M118" s="9"/>
      <c r="N118" s="9"/>
      <c r="O118" s="9"/>
      <c r="P118" s="9"/>
      <c r="Q118" s="9"/>
      <c r="R118" s="9"/>
      <c r="S118" s="9"/>
      <c r="T118" s="9"/>
      <c r="U118" s="11"/>
      <c r="V118" s="11"/>
      <c r="W118" s="11"/>
      <c r="X118" s="12"/>
      <c r="Y118" s="12"/>
      <c r="Z118" s="12"/>
      <c r="AA118" s="12"/>
      <c r="AB118" s="12"/>
      <c r="AC118" s="241"/>
      <c r="AE118" s="84"/>
      <c r="AH118" s="179"/>
      <c r="AI118" s="179"/>
      <c r="AJ118" s="179"/>
      <c r="AK118" s="179"/>
      <c r="AL118" s="179"/>
      <c r="AM118" s="179"/>
      <c r="AN118" s="153"/>
    </row>
    <row r="119" spans="1:42" ht="11.25" customHeight="1" x14ac:dyDescent="0.2">
      <c r="A119" s="141"/>
      <c r="B119" s="1366" t="s">
        <v>17</v>
      </c>
      <c r="C119" s="1366"/>
      <c r="D119" s="1366"/>
      <c r="E119" s="1366"/>
      <c r="F119" s="9"/>
      <c r="G119" s="9"/>
      <c r="H119" s="9"/>
      <c r="I119" s="9"/>
      <c r="J119" s="13"/>
      <c r="K119" s="9"/>
      <c r="L119" s="9"/>
      <c r="M119" s="9"/>
      <c r="N119" s="9"/>
      <c r="O119" s="9"/>
      <c r="P119" s="9"/>
      <c r="Q119" s="9"/>
      <c r="R119" s="9"/>
      <c r="S119" s="9"/>
      <c r="T119" s="9"/>
      <c r="U119" s="11"/>
      <c r="V119" s="11"/>
      <c r="W119" s="11"/>
      <c r="X119" s="12"/>
      <c r="Y119" s="12"/>
      <c r="Z119" s="12"/>
      <c r="AA119" s="12"/>
      <c r="AB119" s="12"/>
      <c r="AC119" s="241"/>
      <c r="AE119" s="84"/>
      <c r="AH119" s="179"/>
      <c r="AI119" s="179"/>
      <c r="AJ119" s="179"/>
      <c r="AK119" s="179"/>
      <c r="AL119" s="179"/>
      <c r="AM119" s="179"/>
      <c r="AN119" s="153"/>
      <c r="AO119" s="78"/>
      <c r="AP119" s="78"/>
    </row>
    <row r="120" spans="1:42" ht="11.25" customHeight="1" x14ac:dyDescent="0.2">
      <c r="A120" s="141"/>
      <c r="B120" s="1366"/>
      <c r="C120" s="1366"/>
      <c r="D120" s="1366"/>
      <c r="E120" s="1366"/>
      <c r="F120" s="9"/>
      <c r="G120" s="9"/>
      <c r="H120" s="9"/>
      <c r="I120" s="9"/>
      <c r="J120" s="13"/>
      <c r="K120" s="9"/>
      <c r="L120" s="9"/>
      <c r="M120" s="9"/>
      <c r="N120" s="9"/>
      <c r="O120" s="9"/>
      <c r="P120" s="9"/>
      <c r="Q120" s="9"/>
      <c r="R120" s="9"/>
      <c r="S120" s="9"/>
      <c r="T120" s="9"/>
      <c r="U120" s="11"/>
      <c r="V120" s="11"/>
      <c r="W120" s="11"/>
      <c r="X120" s="12"/>
      <c r="Y120" s="12"/>
      <c r="Z120" s="12"/>
      <c r="AA120" s="12"/>
      <c r="AB120" s="12"/>
      <c r="AC120" s="241"/>
      <c r="AE120" s="84"/>
      <c r="AH120" s="179"/>
      <c r="AI120" s="179"/>
      <c r="AJ120" s="179"/>
      <c r="AK120" s="179"/>
      <c r="AL120" s="179"/>
      <c r="AM120" s="179"/>
      <c r="AN120" s="153"/>
    </row>
    <row r="121" spans="1:42" ht="11.25" customHeight="1" x14ac:dyDescent="0.2">
      <c r="A121" s="141"/>
      <c r="B121" s="1366" t="s">
        <v>80</v>
      </c>
      <c r="C121" s="1366"/>
      <c r="D121" s="1366"/>
      <c r="E121" s="1366"/>
      <c r="F121" s="9"/>
      <c r="G121" s="9"/>
      <c r="H121" s="9"/>
      <c r="I121" s="9"/>
      <c r="J121" s="13"/>
      <c r="K121" s="9"/>
      <c r="L121" s="9"/>
      <c r="M121" s="9"/>
      <c r="N121" s="9"/>
      <c r="O121" s="9"/>
      <c r="P121" s="9"/>
      <c r="Q121" s="9"/>
      <c r="R121" s="9"/>
      <c r="S121" s="9"/>
      <c r="T121" s="9"/>
      <c r="U121" s="11"/>
      <c r="V121" s="11"/>
      <c r="W121" s="11"/>
      <c r="X121" s="12"/>
      <c r="Y121" s="12"/>
      <c r="Z121" s="12"/>
      <c r="AA121" s="12"/>
      <c r="AB121" s="12"/>
      <c r="AC121" s="241"/>
      <c r="AE121" s="84"/>
      <c r="AH121" s="179"/>
      <c r="AI121" s="179"/>
      <c r="AJ121" s="179"/>
      <c r="AK121" s="179"/>
      <c r="AL121" s="179"/>
      <c r="AM121" s="179"/>
      <c r="AN121" s="153"/>
      <c r="AO121" s="78"/>
      <c r="AP121" s="78"/>
    </row>
    <row r="122" spans="1:42" ht="11.25" customHeight="1" x14ac:dyDescent="0.2">
      <c r="A122" s="141"/>
      <c r="B122" s="1366"/>
      <c r="C122" s="1366"/>
      <c r="D122" s="1366"/>
      <c r="E122" s="1366"/>
      <c r="F122" s="9"/>
      <c r="G122" s="9"/>
      <c r="H122" s="9"/>
      <c r="I122" s="9"/>
      <c r="J122" s="13"/>
      <c r="K122" s="9"/>
      <c r="L122" s="9"/>
      <c r="M122" s="9"/>
      <c r="N122" s="9"/>
      <c r="O122" s="9"/>
      <c r="P122" s="9"/>
      <c r="Q122" s="9"/>
      <c r="R122" s="9"/>
      <c r="S122" s="9"/>
      <c r="T122" s="9"/>
      <c r="U122" s="11"/>
      <c r="V122" s="11"/>
      <c r="W122" s="11"/>
      <c r="X122" s="12"/>
      <c r="Y122" s="12"/>
      <c r="Z122" s="12"/>
      <c r="AA122" s="12"/>
      <c r="AB122" s="12"/>
      <c r="AC122" s="241"/>
      <c r="AE122" s="84"/>
      <c r="AH122" s="179"/>
      <c r="AI122" s="179"/>
      <c r="AJ122" s="179"/>
      <c r="AK122" s="179"/>
      <c r="AL122" s="179"/>
      <c r="AM122" s="179"/>
      <c r="AN122" s="153"/>
    </row>
    <row r="123" spans="1:42" ht="11.25" customHeight="1" x14ac:dyDescent="0.2">
      <c r="A123" s="141"/>
      <c r="B123" s="1366" t="s">
        <v>69</v>
      </c>
      <c r="C123" s="1366"/>
      <c r="D123" s="1366"/>
      <c r="E123" s="1366"/>
      <c r="F123" s="9"/>
      <c r="G123" s="9"/>
      <c r="H123" s="9"/>
      <c r="I123" s="9"/>
      <c r="J123" s="13"/>
      <c r="K123" s="9"/>
      <c r="L123" s="9"/>
      <c r="M123" s="9"/>
      <c r="N123" s="9"/>
      <c r="O123" s="9"/>
      <c r="P123" s="9"/>
      <c r="Q123" s="9"/>
      <c r="R123" s="9"/>
      <c r="S123" s="9"/>
      <c r="T123" s="9"/>
      <c r="U123" s="11"/>
      <c r="V123" s="11"/>
      <c r="W123" s="11"/>
      <c r="X123" s="12"/>
      <c r="Y123" s="12"/>
      <c r="Z123" s="12"/>
      <c r="AA123" s="12"/>
      <c r="AB123" s="12"/>
      <c r="AC123" s="241"/>
      <c r="AE123" s="84"/>
      <c r="AH123" s="179"/>
      <c r="AI123" s="179"/>
      <c r="AJ123" s="179"/>
      <c r="AK123" s="179"/>
      <c r="AL123" s="179"/>
      <c r="AM123" s="179"/>
      <c r="AN123" s="153"/>
      <c r="AO123" s="78"/>
      <c r="AP123" s="78"/>
    </row>
    <row r="124" spans="1:42" ht="11.25" customHeight="1" x14ac:dyDescent="0.2">
      <c r="A124" s="141"/>
      <c r="B124" s="1366"/>
      <c r="C124" s="1366"/>
      <c r="D124" s="1366"/>
      <c r="E124" s="1366"/>
      <c r="F124" s="9"/>
      <c r="G124" s="9"/>
      <c r="H124" s="9"/>
      <c r="I124" s="9"/>
      <c r="J124" s="13"/>
      <c r="K124" s="9"/>
      <c r="L124" s="9"/>
      <c r="M124" s="9"/>
      <c r="N124" s="9"/>
      <c r="O124" s="9"/>
      <c r="P124" s="9"/>
      <c r="Q124" s="9"/>
      <c r="R124" s="9"/>
      <c r="S124" s="9"/>
      <c r="T124" s="9"/>
      <c r="U124" s="11"/>
      <c r="V124" s="11"/>
      <c r="W124" s="11"/>
      <c r="X124" s="12"/>
      <c r="Y124" s="12"/>
      <c r="Z124" s="12"/>
      <c r="AA124" s="12"/>
      <c r="AB124" s="12"/>
      <c r="AC124" s="241"/>
      <c r="AE124" s="84"/>
      <c r="AH124" s="179"/>
      <c r="AI124" s="179"/>
      <c r="AJ124" s="179"/>
      <c r="AK124" s="179"/>
      <c r="AL124" s="179"/>
      <c r="AM124" s="179"/>
      <c r="AN124" s="153"/>
    </row>
    <row r="125" spans="1:42" ht="11.25" customHeight="1" x14ac:dyDescent="0.2">
      <c r="A125" s="141"/>
      <c r="B125" s="1366" t="s">
        <v>24</v>
      </c>
      <c r="C125" s="1366"/>
      <c r="D125" s="1366"/>
      <c r="E125" s="1366"/>
      <c r="F125" s="9"/>
      <c r="G125" s="9"/>
      <c r="H125" s="9"/>
      <c r="I125" s="9"/>
      <c r="J125" s="13"/>
      <c r="K125" s="9"/>
      <c r="L125" s="9"/>
      <c r="M125" s="9"/>
      <c r="N125" s="9"/>
      <c r="O125" s="9"/>
      <c r="P125" s="9"/>
      <c r="Q125" s="9"/>
      <c r="R125" s="9"/>
      <c r="S125" s="9"/>
      <c r="T125" s="9"/>
      <c r="U125" s="11"/>
      <c r="V125" s="11"/>
      <c r="W125" s="11"/>
      <c r="X125" s="12"/>
      <c r="Y125" s="12"/>
      <c r="Z125" s="12"/>
      <c r="AA125" s="12"/>
      <c r="AB125" s="12"/>
      <c r="AC125" s="241"/>
      <c r="AE125" s="84"/>
      <c r="AH125" s="179"/>
      <c r="AI125" s="179"/>
      <c r="AJ125" s="179"/>
      <c r="AK125" s="179"/>
      <c r="AL125" s="179"/>
      <c r="AM125" s="179"/>
      <c r="AN125" s="153"/>
    </row>
    <row r="126" spans="1:42" ht="11.25" customHeight="1" x14ac:dyDescent="0.2">
      <c r="A126" s="141"/>
      <c r="B126" s="1366"/>
      <c r="C126" s="1366"/>
      <c r="D126" s="1366"/>
      <c r="E126" s="1366"/>
      <c r="F126" s="9"/>
      <c r="G126" s="9"/>
      <c r="H126" s="9"/>
      <c r="I126" s="9"/>
      <c r="J126" s="13"/>
      <c r="K126" s="9"/>
      <c r="L126" s="9"/>
      <c r="M126" s="9"/>
      <c r="N126" s="9"/>
      <c r="O126" s="9"/>
      <c r="P126" s="9"/>
      <c r="Q126" s="9"/>
      <c r="R126" s="9"/>
      <c r="S126" s="9"/>
      <c r="T126" s="9"/>
      <c r="U126" s="11"/>
      <c r="V126" s="11"/>
      <c r="W126" s="11"/>
      <c r="X126" s="12"/>
      <c r="Y126" s="12"/>
      <c r="Z126" s="12"/>
      <c r="AA126" s="12"/>
      <c r="AB126" s="12"/>
      <c r="AC126" s="241"/>
      <c r="AE126" s="84"/>
      <c r="AH126" s="179"/>
      <c r="AI126" s="179"/>
      <c r="AJ126" s="179"/>
      <c r="AK126" s="179"/>
      <c r="AL126" s="179"/>
      <c r="AM126" s="179"/>
      <c r="AN126" s="153"/>
    </row>
    <row r="127" spans="1:42" ht="11.25" customHeight="1" x14ac:dyDescent="0.2">
      <c r="A127" s="141"/>
      <c r="B127" s="1366" t="s">
        <v>22</v>
      </c>
      <c r="C127" s="1366"/>
      <c r="D127" s="1366"/>
      <c r="E127" s="1366"/>
      <c r="F127" s="9"/>
      <c r="G127" s="9"/>
      <c r="H127" s="9"/>
      <c r="I127" s="9"/>
      <c r="J127" s="13"/>
      <c r="K127" s="9"/>
      <c r="L127" s="9"/>
      <c r="M127" s="9"/>
      <c r="N127" s="9"/>
      <c r="O127" s="9"/>
      <c r="P127" s="9"/>
      <c r="Q127" s="9"/>
      <c r="R127" s="9"/>
      <c r="S127" s="9"/>
      <c r="T127" s="9"/>
      <c r="U127" s="11"/>
      <c r="V127" s="11"/>
      <c r="W127" s="11"/>
      <c r="X127" s="12"/>
      <c r="Y127" s="12"/>
      <c r="Z127" s="12"/>
      <c r="AA127" s="12"/>
      <c r="AB127" s="12"/>
      <c r="AC127" s="241"/>
      <c r="AE127" s="84"/>
      <c r="AH127" s="179"/>
      <c r="AI127" s="179"/>
      <c r="AJ127" s="179"/>
      <c r="AK127" s="179"/>
      <c r="AL127" s="179"/>
      <c r="AM127" s="179"/>
      <c r="AN127" s="153"/>
    </row>
    <row r="128" spans="1:42" ht="11.25" customHeight="1" x14ac:dyDescent="0.2">
      <c r="A128" s="141"/>
      <c r="B128" s="1366"/>
      <c r="C128" s="1366"/>
      <c r="D128" s="1366"/>
      <c r="E128" s="1366"/>
      <c r="F128" s="9"/>
      <c r="G128" s="9"/>
      <c r="H128" s="9"/>
      <c r="I128" s="9"/>
      <c r="J128" s="13"/>
      <c r="K128" s="9"/>
      <c r="L128" s="9"/>
      <c r="M128" s="9"/>
      <c r="N128" s="9"/>
      <c r="O128" s="9"/>
      <c r="P128" s="9"/>
      <c r="Q128" s="9"/>
      <c r="R128" s="9"/>
      <c r="S128" s="9"/>
      <c r="T128" s="9"/>
      <c r="U128" s="11"/>
      <c r="V128" s="11"/>
      <c r="W128" s="11"/>
      <c r="X128" s="12"/>
      <c r="Y128" s="12"/>
      <c r="Z128" s="12"/>
      <c r="AA128" s="12"/>
      <c r="AB128" s="12"/>
      <c r="AC128" s="241"/>
      <c r="AE128" s="84"/>
      <c r="AH128" s="179"/>
      <c r="AI128" s="179"/>
      <c r="AJ128" s="179"/>
      <c r="AK128" s="179"/>
      <c r="AL128" s="179"/>
      <c r="AM128" s="179"/>
      <c r="AN128" s="153"/>
    </row>
    <row r="129" spans="1:40" ht="11.25" customHeight="1" x14ac:dyDescent="0.2">
      <c r="A129" s="141"/>
      <c r="B129" s="1366" t="s">
        <v>25</v>
      </c>
      <c r="C129" s="1366"/>
      <c r="D129" s="1366"/>
      <c r="E129" s="1366"/>
      <c r="F129" s="9"/>
      <c r="G129" s="9"/>
      <c r="H129" s="9"/>
      <c r="I129" s="9"/>
      <c r="J129" s="13"/>
      <c r="K129" s="9"/>
      <c r="L129" s="9"/>
      <c r="M129" s="9"/>
      <c r="N129" s="9"/>
      <c r="O129" s="9"/>
      <c r="P129" s="9"/>
      <c r="Q129" s="9"/>
      <c r="R129" s="9"/>
      <c r="S129" s="9"/>
      <c r="T129" s="9"/>
      <c r="U129" s="11"/>
      <c r="V129" s="11"/>
      <c r="W129" s="11"/>
      <c r="X129" s="12"/>
      <c r="Y129" s="12"/>
      <c r="Z129" s="12"/>
      <c r="AA129" s="12"/>
      <c r="AB129" s="12"/>
      <c r="AC129" s="241"/>
      <c r="AE129" s="84"/>
      <c r="AH129" s="179"/>
      <c r="AI129" s="179"/>
      <c r="AJ129" s="179"/>
      <c r="AK129" s="179"/>
      <c r="AL129" s="179"/>
      <c r="AM129" s="179"/>
      <c r="AN129" s="153"/>
    </row>
    <row r="130" spans="1:40" ht="11.25" customHeight="1" x14ac:dyDescent="0.2">
      <c r="A130" s="141"/>
      <c r="B130" s="1366"/>
      <c r="C130" s="1366"/>
      <c r="D130" s="1366"/>
      <c r="E130" s="1366"/>
      <c r="F130" s="9"/>
      <c r="G130" s="9"/>
      <c r="H130" s="9"/>
      <c r="I130" s="9"/>
      <c r="J130" s="13"/>
      <c r="K130" s="9"/>
      <c r="L130" s="9"/>
      <c r="M130" s="9"/>
      <c r="N130" s="9"/>
      <c r="O130" s="9"/>
      <c r="P130" s="9"/>
      <c r="Q130" s="9"/>
      <c r="R130" s="9"/>
      <c r="S130" s="9"/>
      <c r="T130" s="9"/>
      <c r="U130" s="11"/>
      <c r="V130" s="11"/>
      <c r="W130" s="11"/>
      <c r="X130" s="12"/>
      <c r="Y130" s="12"/>
      <c r="Z130" s="12"/>
      <c r="AA130" s="12"/>
      <c r="AB130" s="12"/>
      <c r="AC130" s="241"/>
      <c r="AE130" s="84"/>
      <c r="AH130" s="179"/>
      <c r="AI130" s="179"/>
      <c r="AJ130" s="179"/>
      <c r="AK130" s="179"/>
      <c r="AL130" s="179"/>
      <c r="AM130" s="179"/>
      <c r="AN130" s="153"/>
    </row>
    <row r="131" spans="1:40" ht="11.25" customHeight="1" x14ac:dyDescent="0.2">
      <c r="A131" s="141"/>
      <c r="B131" s="1366" t="s">
        <v>18</v>
      </c>
      <c r="C131" s="1366"/>
      <c r="D131" s="1366"/>
      <c r="E131" s="1366"/>
      <c r="F131" s="9"/>
      <c r="G131" s="9"/>
      <c r="H131" s="9"/>
      <c r="I131" s="9"/>
      <c r="J131" s="13"/>
      <c r="K131" s="9"/>
      <c r="L131" s="9"/>
      <c r="M131" s="9"/>
      <c r="N131" s="9"/>
      <c r="O131" s="9"/>
      <c r="P131" s="9"/>
      <c r="Q131" s="9"/>
      <c r="R131" s="9"/>
      <c r="S131" s="9"/>
      <c r="T131" s="9"/>
      <c r="U131" s="11"/>
      <c r="V131" s="11"/>
      <c r="W131" s="11"/>
      <c r="X131" s="12"/>
      <c r="Y131" s="12"/>
      <c r="Z131" s="12"/>
      <c r="AA131" s="12"/>
      <c r="AB131" s="12"/>
      <c r="AC131" s="241"/>
      <c r="AE131" s="84"/>
      <c r="AH131" s="179"/>
      <c r="AI131" s="179"/>
      <c r="AJ131" s="179"/>
      <c r="AK131" s="179"/>
      <c r="AL131" s="179"/>
      <c r="AM131" s="179"/>
      <c r="AN131" s="153"/>
    </row>
    <row r="132" spans="1:40" ht="11.25" customHeight="1" x14ac:dyDescent="0.2">
      <c r="A132" s="141"/>
      <c r="B132" s="1366"/>
      <c r="C132" s="1366"/>
      <c r="D132" s="1366"/>
      <c r="E132" s="1366"/>
      <c r="F132" s="9"/>
      <c r="G132" s="9"/>
      <c r="H132" s="9"/>
      <c r="I132" s="9"/>
      <c r="J132" s="13"/>
      <c r="K132" s="9"/>
      <c r="L132" s="9"/>
      <c r="M132" s="9"/>
      <c r="N132" s="9"/>
      <c r="O132" s="9"/>
      <c r="P132" s="9"/>
      <c r="Q132" s="9"/>
      <c r="R132" s="9"/>
      <c r="S132" s="9"/>
      <c r="T132" s="9"/>
      <c r="U132" s="11"/>
      <c r="V132" s="11"/>
      <c r="W132" s="11"/>
      <c r="X132" s="12"/>
      <c r="Y132" s="12"/>
      <c r="Z132" s="12"/>
      <c r="AA132" s="12"/>
      <c r="AB132" s="12"/>
      <c r="AC132" s="241"/>
      <c r="AE132" s="84"/>
      <c r="AH132" s="179"/>
      <c r="AI132" s="179"/>
      <c r="AJ132" s="179"/>
      <c r="AK132" s="179"/>
      <c r="AL132" s="179"/>
      <c r="AM132" s="179"/>
      <c r="AN132" s="153"/>
    </row>
    <row r="133" spans="1:40" ht="11.25" customHeight="1" x14ac:dyDescent="0.2">
      <c r="A133" s="141"/>
      <c r="B133" s="1366" t="s">
        <v>19</v>
      </c>
      <c r="C133" s="1366"/>
      <c r="D133" s="1366"/>
      <c r="E133" s="1366"/>
      <c r="F133" s="9"/>
      <c r="G133" s="9"/>
      <c r="H133" s="9"/>
      <c r="I133" s="9"/>
      <c r="J133" s="13"/>
      <c r="K133" s="9"/>
      <c r="L133" s="9"/>
      <c r="M133" s="9"/>
      <c r="N133" s="9"/>
      <c r="O133" s="9"/>
      <c r="P133" s="9"/>
      <c r="Q133" s="9"/>
      <c r="R133" s="9"/>
      <c r="S133" s="9"/>
      <c r="T133" s="9"/>
      <c r="U133" s="11"/>
      <c r="V133" s="11"/>
      <c r="W133" s="11"/>
      <c r="X133" s="12"/>
      <c r="Y133" s="12"/>
      <c r="Z133" s="12"/>
      <c r="AA133" s="12"/>
      <c r="AB133" s="12"/>
      <c r="AC133" s="241"/>
      <c r="AE133" s="84"/>
      <c r="AH133" s="179"/>
      <c r="AI133" s="179"/>
      <c r="AJ133" s="179"/>
      <c r="AK133" s="179"/>
      <c r="AL133" s="179"/>
      <c r="AM133" s="179"/>
      <c r="AN133" s="153"/>
    </row>
    <row r="134" spans="1:40" ht="11.25" customHeight="1" x14ac:dyDescent="0.2">
      <c r="A134" s="141"/>
      <c r="B134" s="1366"/>
      <c r="C134" s="1366"/>
      <c r="D134" s="1366"/>
      <c r="E134" s="1366"/>
      <c r="F134" s="9"/>
      <c r="G134" s="9"/>
      <c r="H134" s="9"/>
      <c r="I134" s="9"/>
      <c r="J134" s="13"/>
      <c r="K134" s="9"/>
      <c r="L134" s="9"/>
      <c r="M134" s="9"/>
      <c r="N134" s="9"/>
      <c r="O134" s="9"/>
      <c r="P134" s="9"/>
      <c r="Q134" s="9"/>
      <c r="R134" s="9"/>
      <c r="S134" s="9"/>
      <c r="T134" s="9"/>
      <c r="U134" s="11"/>
      <c r="V134" s="11"/>
      <c r="W134" s="11"/>
      <c r="X134" s="12"/>
      <c r="Y134" s="12"/>
      <c r="Z134" s="12"/>
      <c r="AA134" s="12"/>
      <c r="AB134" s="12"/>
      <c r="AC134" s="241"/>
      <c r="AE134" s="84"/>
      <c r="AH134" s="179"/>
      <c r="AI134" s="179"/>
      <c r="AJ134" s="179"/>
      <c r="AK134" s="179"/>
      <c r="AL134" s="179"/>
      <c r="AM134" s="179"/>
      <c r="AN134" s="153"/>
    </row>
    <row r="135" spans="1:40" ht="11.25" customHeight="1" x14ac:dyDescent="0.2">
      <c r="A135" s="141"/>
      <c r="B135" s="1366" t="s">
        <v>20</v>
      </c>
      <c r="C135" s="1366"/>
      <c r="D135" s="1366"/>
      <c r="E135" s="1366"/>
      <c r="F135" s="9"/>
      <c r="G135" s="9"/>
      <c r="H135" s="9"/>
      <c r="I135" s="9"/>
      <c r="J135" s="13"/>
      <c r="K135" s="9"/>
      <c r="L135" s="9"/>
      <c r="M135" s="9"/>
      <c r="N135" s="9"/>
      <c r="O135" s="9"/>
      <c r="P135" s="9"/>
      <c r="Q135" s="9"/>
      <c r="R135" s="9"/>
      <c r="S135" s="9"/>
      <c r="T135" s="9"/>
      <c r="U135" s="11"/>
      <c r="V135" s="11"/>
      <c r="W135" s="11"/>
      <c r="X135" s="12"/>
      <c r="Y135" s="12"/>
      <c r="Z135" s="12"/>
      <c r="AA135" s="12"/>
      <c r="AB135" s="12"/>
      <c r="AC135" s="241"/>
      <c r="AE135" s="84"/>
      <c r="AH135" s="179"/>
      <c r="AI135" s="179"/>
      <c r="AJ135" s="179"/>
      <c r="AK135" s="179"/>
      <c r="AL135" s="179"/>
      <c r="AM135" s="179"/>
      <c r="AN135" s="153"/>
    </row>
    <row r="136" spans="1:40" ht="11.25" customHeight="1" x14ac:dyDescent="0.2">
      <c r="A136" s="141"/>
      <c r="B136" s="1366"/>
      <c r="C136" s="1366"/>
      <c r="D136" s="1366"/>
      <c r="E136" s="1366"/>
      <c r="F136" s="9"/>
      <c r="G136" s="9"/>
      <c r="H136" s="9"/>
      <c r="I136" s="9"/>
      <c r="J136" s="13"/>
      <c r="K136" s="9"/>
      <c r="L136" s="9"/>
      <c r="M136" s="9"/>
      <c r="N136" s="9"/>
      <c r="O136" s="9"/>
      <c r="P136" s="9"/>
      <c r="Q136" s="9"/>
      <c r="R136" s="9"/>
      <c r="S136" s="9"/>
      <c r="T136" s="9"/>
      <c r="U136" s="11"/>
      <c r="V136" s="11"/>
      <c r="W136" s="11"/>
      <c r="X136" s="12"/>
      <c r="Y136" s="12"/>
      <c r="Z136" s="12"/>
      <c r="AA136" s="12"/>
      <c r="AB136" s="12"/>
      <c r="AC136" s="241"/>
      <c r="AE136" s="84"/>
      <c r="AH136" s="179"/>
      <c r="AI136" s="179"/>
      <c r="AJ136" s="179"/>
      <c r="AK136" s="179"/>
      <c r="AL136" s="179"/>
      <c r="AM136" s="179"/>
      <c r="AN136" s="153"/>
    </row>
    <row r="137" spans="1:40" ht="11.25" customHeight="1" x14ac:dyDescent="0.2">
      <c r="A137" s="141"/>
      <c r="B137" s="1366" t="s">
        <v>26</v>
      </c>
      <c r="C137" s="1366"/>
      <c r="D137" s="1366"/>
      <c r="E137" s="1366"/>
      <c r="F137" s="9"/>
      <c r="G137" s="9"/>
      <c r="H137" s="9"/>
      <c r="I137" s="9"/>
      <c r="J137" s="13"/>
      <c r="K137" s="9"/>
      <c r="L137" s="9"/>
      <c r="M137" s="9"/>
      <c r="N137" s="9"/>
      <c r="O137" s="9"/>
      <c r="P137" s="9"/>
      <c r="Q137" s="9"/>
      <c r="R137" s="9"/>
      <c r="S137" s="9"/>
      <c r="T137" s="9"/>
      <c r="U137" s="11"/>
      <c r="V137" s="11"/>
      <c r="W137" s="11"/>
      <c r="X137" s="12"/>
      <c r="Y137" s="12"/>
      <c r="Z137" s="12"/>
      <c r="AA137" s="12"/>
      <c r="AB137" s="12"/>
      <c r="AC137" s="241"/>
      <c r="AE137" s="84"/>
      <c r="AH137" s="179"/>
      <c r="AI137" s="179"/>
      <c r="AJ137" s="179"/>
      <c r="AK137" s="179"/>
      <c r="AL137" s="179"/>
      <c r="AM137" s="179"/>
      <c r="AN137" s="153"/>
    </row>
    <row r="138" spans="1:40" ht="11.25" customHeight="1" x14ac:dyDescent="0.2">
      <c r="A138" s="141"/>
      <c r="B138" s="1366"/>
      <c r="C138" s="1366"/>
      <c r="D138" s="1366"/>
      <c r="E138" s="1366"/>
      <c r="F138" s="9"/>
      <c r="G138" s="9"/>
      <c r="H138" s="9"/>
      <c r="I138" s="9"/>
      <c r="J138" s="13"/>
      <c r="K138" s="9"/>
      <c r="L138" s="9"/>
      <c r="M138" s="9"/>
      <c r="N138" s="9"/>
      <c r="O138" s="9"/>
      <c r="P138" s="9"/>
      <c r="Q138" s="9"/>
      <c r="R138" s="9"/>
      <c r="S138" s="9"/>
      <c r="T138" s="9"/>
      <c r="U138" s="11"/>
      <c r="V138" s="11"/>
      <c r="W138" s="11"/>
      <c r="X138" s="12"/>
      <c r="Y138" s="12"/>
      <c r="Z138" s="12"/>
      <c r="AA138" s="12"/>
      <c r="AB138" s="12"/>
      <c r="AC138" s="241"/>
      <c r="AE138" s="84"/>
      <c r="AH138" s="179"/>
      <c r="AI138" s="179"/>
      <c r="AJ138" s="179"/>
      <c r="AK138" s="179"/>
      <c r="AL138" s="179"/>
      <c r="AM138" s="179"/>
      <c r="AN138" s="153"/>
    </row>
    <row r="139" spans="1:40" ht="11.25" customHeight="1" x14ac:dyDescent="0.2">
      <c r="A139" s="141"/>
      <c r="B139" s="1366" t="s">
        <v>21</v>
      </c>
      <c r="C139" s="1366"/>
      <c r="D139" s="1366"/>
      <c r="E139" s="1366"/>
      <c r="F139" s="9"/>
      <c r="G139" s="9"/>
      <c r="H139" s="9"/>
      <c r="I139" s="9"/>
      <c r="J139" s="13"/>
      <c r="K139" s="9"/>
      <c r="L139" s="9"/>
      <c r="M139" s="9"/>
      <c r="N139" s="9"/>
      <c r="O139" s="9"/>
      <c r="P139" s="9"/>
      <c r="Q139" s="9"/>
      <c r="R139" s="9"/>
      <c r="S139" s="9"/>
      <c r="T139" s="9"/>
      <c r="U139" s="11"/>
      <c r="V139" s="11"/>
      <c r="W139" s="11"/>
      <c r="X139" s="12"/>
      <c r="Y139" s="12"/>
      <c r="Z139" s="12"/>
      <c r="AA139" s="12"/>
      <c r="AB139" s="12"/>
      <c r="AC139" s="241"/>
      <c r="AE139" s="84"/>
      <c r="AH139" s="179"/>
      <c r="AI139" s="179"/>
      <c r="AJ139" s="179"/>
      <c r="AK139" s="179"/>
      <c r="AL139" s="179"/>
      <c r="AM139" s="179"/>
      <c r="AN139" s="153"/>
    </row>
    <row r="140" spans="1:40" ht="11.25" customHeight="1" x14ac:dyDescent="0.2">
      <c r="A140" s="141"/>
      <c r="B140" s="1366"/>
      <c r="C140" s="1366"/>
      <c r="D140" s="1366"/>
      <c r="E140" s="1366"/>
      <c r="F140" s="9"/>
      <c r="G140" s="9"/>
      <c r="H140" s="9"/>
      <c r="I140" s="9"/>
      <c r="J140" s="13"/>
      <c r="K140" s="9"/>
      <c r="L140" s="9"/>
      <c r="M140" s="9"/>
      <c r="N140" s="9"/>
      <c r="O140" s="9"/>
      <c r="P140" s="9"/>
      <c r="Q140" s="9"/>
      <c r="R140" s="9"/>
      <c r="S140" s="9"/>
      <c r="T140" s="9"/>
      <c r="U140" s="11"/>
      <c r="V140" s="11"/>
      <c r="W140" s="11"/>
      <c r="X140" s="12"/>
      <c r="Y140" s="12"/>
      <c r="Z140" s="12"/>
      <c r="AA140" s="12"/>
      <c r="AB140" s="12"/>
      <c r="AC140" s="241"/>
      <c r="AE140" s="84"/>
      <c r="AH140" s="179"/>
      <c r="AI140" s="179"/>
      <c r="AJ140" s="179"/>
      <c r="AK140" s="179"/>
      <c r="AL140" s="179"/>
      <c r="AM140" s="179"/>
      <c r="AN140" s="153"/>
    </row>
    <row r="141" spans="1:40" ht="11.25" customHeight="1" x14ac:dyDescent="0.2">
      <c r="A141" s="141"/>
      <c r="B141" s="1366" t="s">
        <v>930</v>
      </c>
      <c r="C141" s="1366"/>
      <c r="D141" s="1366"/>
      <c r="E141" s="1366"/>
      <c r="F141" s="9"/>
      <c r="G141" s="9"/>
      <c r="H141" s="9"/>
      <c r="I141" s="9"/>
      <c r="J141" s="13"/>
      <c r="K141" s="9"/>
      <c r="L141" s="9"/>
      <c r="M141" s="9"/>
      <c r="N141" s="9"/>
      <c r="O141" s="9"/>
      <c r="P141" s="9"/>
      <c r="Q141" s="9"/>
      <c r="R141" s="9"/>
      <c r="S141" s="9"/>
      <c r="T141" s="9"/>
      <c r="U141" s="11"/>
      <c r="V141" s="11"/>
      <c r="W141" s="11"/>
      <c r="X141" s="12"/>
      <c r="Y141" s="12"/>
      <c r="Z141" s="12"/>
      <c r="AA141" s="12"/>
      <c r="AB141" s="12"/>
      <c r="AC141" s="241"/>
      <c r="AE141" s="84"/>
      <c r="AH141" s="179"/>
      <c r="AI141" s="179"/>
      <c r="AJ141" s="179"/>
      <c r="AK141" s="179"/>
      <c r="AL141" s="179"/>
      <c r="AM141" s="179"/>
      <c r="AN141" s="153"/>
    </row>
    <row r="142" spans="1:40" ht="11.25" customHeight="1" x14ac:dyDescent="0.2">
      <c r="A142" s="141"/>
      <c r="B142" s="1366"/>
      <c r="C142" s="1366"/>
      <c r="D142" s="1366"/>
      <c r="E142" s="1366"/>
      <c r="F142" s="9"/>
      <c r="G142" s="9"/>
      <c r="H142" s="9"/>
      <c r="I142" s="9"/>
      <c r="J142" s="13"/>
      <c r="K142" s="9"/>
      <c r="L142" s="9"/>
      <c r="M142" s="9"/>
      <c r="N142" s="9"/>
      <c r="O142" s="9"/>
      <c r="P142" s="9"/>
      <c r="Q142" s="9"/>
      <c r="R142" s="9"/>
      <c r="S142" s="9"/>
      <c r="T142" s="9"/>
      <c r="U142" s="11"/>
      <c r="V142" s="11"/>
      <c r="W142" s="11"/>
      <c r="X142" s="12"/>
      <c r="Y142" s="12"/>
      <c r="Z142" s="12"/>
      <c r="AA142" s="12"/>
      <c r="AB142" s="12"/>
      <c r="AC142" s="241"/>
      <c r="AE142" s="84"/>
      <c r="AH142" s="179"/>
      <c r="AI142" s="179"/>
      <c r="AJ142" s="179"/>
      <c r="AK142" s="179"/>
      <c r="AL142" s="179"/>
      <c r="AM142" s="179"/>
      <c r="AN142" s="153"/>
    </row>
    <row r="143" spans="1:40" ht="11.25" customHeight="1" x14ac:dyDescent="0.2">
      <c r="A143" s="141"/>
      <c r="B143" s="1366" t="s">
        <v>680</v>
      </c>
      <c r="C143" s="1366"/>
      <c r="D143" s="1366"/>
      <c r="E143" s="1366"/>
      <c r="F143" s="9"/>
      <c r="G143" s="9"/>
      <c r="H143" s="9"/>
      <c r="I143" s="9"/>
      <c r="J143" s="13"/>
      <c r="K143" s="9"/>
      <c r="L143" s="9"/>
      <c r="M143" s="9"/>
      <c r="N143" s="9"/>
      <c r="O143" s="9"/>
      <c r="P143" s="9"/>
      <c r="Q143" s="9"/>
      <c r="R143" s="9"/>
      <c r="S143" s="9"/>
      <c r="T143" s="9"/>
      <c r="U143" s="11"/>
      <c r="V143" s="11"/>
      <c r="W143" s="11"/>
      <c r="X143" s="12"/>
      <c r="Y143" s="12"/>
      <c r="Z143" s="12"/>
      <c r="AA143" s="12"/>
      <c r="AB143" s="12"/>
      <c r="AC143" s="241"/>
      <c r="AE143" s="84"/>
      <c r="AH143" s="179"/>
      <c r="AI143" s="179"/>
      <c r="AJ143" s="179"/>
      <c r="AK143" s="179"/>
      <c r="AL143" s="179"/>
      <c r="AM143" s="179"/>
      <c r="AN143" s="153"/>
    </row>
    <row r="144" spans="1:40" ht="11.25" customHeight="1" x14ac:dyDescent="0.2">
      <c r="A144" s="141"/>
      <c r="B144" s="1366"/>
      <c r="C144" s="1366"/>
      <c r="D144" s="1366"/>
      <c r="E144" s="1366"/>
      <c r="F144" s="9"/>
      <c r="G144" s="9"/>
      <c r="H144" s="9"/>
      <c r="I144" s="9"/>
      <c r="J144" s="13"/>
      <c r="K144" s="9"/>
      <c r="L144" s="9"/>
      <c r="M144" s="9"/>
      <c r="N144" s="9"/>
      <c r="O144" s="9"/>
      <c r="P144" s="9"/>
      <c r="Q144" s="9"/>
      <c r="R144" s="9"/>
      <c r="S144" s="9"/>
      <c r="T144" s="9"/>
      <c r="U144" s="11"/>
      <c r="V144" s="11"/>
      <c r="W144" s="11"/>
      <c r="X144" s="12"/>
      <c r="Y144" s="12"/>
      <c r="Z144" s="12"/>
      <c r="AA144" s="12"/>
      <c r="AB144" s="12"/>
      <c r="AC144" s="241"/>
      <c r="AE144" s="84"/>
      <c r="AH144" s="179"/>
      <c r="AI144" s="179"/>
      <c r="AJ144" s="179"/>
      <c r="AK144" s="179"/>
      <c r="AL144" s="179"/>
      <c r="AM144" s="179"/>
      <c r="AN144" s="153"/>
    </row>
    <row r="145" spans="1:58" ht="11.25" customHeight="1" x14ac:dyDescent="0.2">
      <c r="A145" s="141"/>
      <c r="B145" s="1366" t="s">
        <v>32</v>
      </c>
      <c r="C145" s="1366"/>
      <c r="D145" s="1366"/>
      <c r="E145" s="1366"/>
      <c r="F145" s="9"/>
      <c r="G145" s="9"/>
      <c r="H145" s="9"/>
      <c r="I145" s="9"/>
      <c r="J145" s="13"/>
      <c r="K145" s="9"/>
      <c r="L145" s="9"/>
      <c r="M145" s="9"/>
      <c r="N145" s="9"/>
      <c r="O145" s="9"/>
      <c r="P145" s="9"/>
      <c r="Q145" s="9"/>
      <c r="R145" s="9"/>
      <c r="S145" s="9"/>
      <c r="T145" s="9"/>
      <c r="U145" s="11"/>
      <c r="V145" s="11"/>
      <c r="W145" s="11"/>
      <c r="X145" s="12"/>
      <c r="Y145" s="12"/>
      <c r="Z145" s="12"/>
      <c r="AA145" s="12"/>
      <c r="AB145" s="12"/>
      <c r="AC145" s="241"/>
      <c r="AE145" s="84"/>
      <c r="AH145" s="179"/>
      <c r="AI145" s="179"/>
      <c r="AJ145" s="179"/>
      <c r="AK145" s="179"/>
      <c r="AL145" s="179"/>
      <c r="AM145" s="179"/>
      <c r="AN145" s="153"/>
    </row>
    <row r="146" spans="1:58" ht="11.25" customHeight="1" x14ac:dyDescent="0.2">
      <c r="A146" s="141"/>
      <c r="B146" s="1366"/>
      <c r="C146" s="1366"/>
      <c r="D146" s="1366"/>
      <c r="E146" s="1366"/>
      <c r="F146" s="9"/>
      <c r="G146" s="9"/>
      <c r="H146" s="9"/>
      <c r="I146" s="9"/>
      <c r="J146" s="13"/>
      <c r="K146" s="9"/>
      <c r="L146" s="9"/>
      <c r="M146" s="9"/>
      <c r="N146" s="9"/>
      <c r="O146" s="9"/>
      <c r="P146" s="9"/>
      <c r="Q146" s="9"/>
      <c r="R146" s="9"/>
      <c r="S146" s="9"/>
      <c r="T146" s="9"/>
      <c r="U146" s="11"/>
      <c r="V146" s="11"/>
      <c r="W146" s="11"/>
      <c r="X146" s="12"/>
      <c r="Y146" s="12"/>
      <c r="Z146" s="12"/>
      <c r="AA146" s="12"/>
      <c r="AB146" s="12"/>
      <c r="AC146" s="241"/>
      <c r="AE146" s="84"/>
      <c r="AH146" s="179"/>
      <c r="AI146" s="179"/>
      <c r="AJ146" s="179"/>
      <c r="AK146" s="179"/>
      <c r="AL146" s="179"/>
      <c r="AM146" s="179"/>
      <c r="AN146" s="153"/>
    </row>
    <row r="147" spans="1:58" ht="11.25" customHeight="1" x14ac:dyDescent="0.2">
      <c r="A147" s="248"/>
      <c r="B147" s="1110"/>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1307"/>
      <c r="AE147" s="84"/>
      <c r="AH147" s="179"/>
      <c r="AI147" s="179"/>
      <c r="AJ147" s="179"/>
      <c r="AK147" s="179"/>
      <c r="AL147" s="179"/>
      <c r="AM147" s="179"/>
      <c r="AN147" s="242"/>
    </row>
    <row r="148" spans="1:58" ht="11.25" customHeight="1" x14ac:dyDescent="0.2">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E148" s="84"/>
      <c r="AH148" s="179"/>
      <c r="AI148" s="179"/>
      <c r="AJ148" s="179"/>
      <c r="AK148" s="179"/>
      <c r="AL148" s="179"/>
      <c r="AM148" s="179"/>
    </row>
    <row r="149" spans="1:58" ht="18.75" customHeight="1" x14ac:dyDescent="0.2">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E149" s="84"/>
      <c r="AH149" s="179"/>
      <c r="AI149" s="179"/>
      <c r="AJ149" s="179"/>
      <c r="AK149" s="179"/>
      <c r="AL149" s="179"/>
      <c r="AM149" s="179"/>
    </row>
    <row r="150" spans="1:58" s="82" customFormat="1" ht="11.25" customHeight="1" x14ac:dyDescent="0.2">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83"/>
      <c r="AE150" s="84"/>
      <c r="AF150" s="83"/>
      <c r="AG150" s="83"/>
      <c r="AH150" s="179"/>
      <c r="AI150" s="179"/>
      <c r="AJ150" s="179"/>
      <c r="AK150" s="179"/>
      <c r="AL150" s="179"/>
      <c r="AM150" s="179"/>
      <c r="AO150" s="76"/>
      <c r="AP150" s="76"/>
      <c r="AQ150" s="76"/>
      <c r="AR150" s="76"/>
      <c r="AS150" s="76"/>
      <c r="AT150" s="76"/>
      <c r="AU150" s="76"/>
      <c r="AV150" s="76"/>
      <c r="AW150" s="76"/>
      <c r="AX150" s="76"/>
      <c r="AY150" s="76"/>
      <c r="AZ150" s="76"/>
      <c r="BA150" s="76"/>
      <c r="BB150" s="76"/>
      <c r="BC150" s="76"/>
      <c r="BD150" s="76"/>
      <c r="BE150" s="76"/>
      <c r="BF150" s="76"/>
    </row>
    <row r="151" spans="1:58" ht="11.25" customHeight="1" x14ac:dyDescent="0.2">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E151" s="84"/>
      <c r="AH151" s="179"/>
      <c r="AI151" s="179"/>
      <c r="AJ151" s="179"/>
      <c r="AK151" s="179"/>
      <c r="AL151" s="179"/>
      <c r="AM151" s="179"/>
    </row>
    <row r="152" spans="1:58" ht="11.25" customHeight="1" x14ac:dyDescent="0.2">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E152" s="84"/>
      <c r="AH152" s="179"/>
      <c r="AI152" s="179"/>
      <c r="AJ152" s="179"/>
      <c r="AK152" s="179"/>
      <c r="AL152" s="179"/>
      <c r="AM152" s="179"/>
    </row>
    <row r="153" spans="1:58" ht="11.25" customHeight="1" x14ac:dyDescent="0.2">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E153" s="84"/>
      <c r="AH153" s="179"/>
      <c r="AI153" s="179"/>
      <c r="AJ153" s="179"/>
      <c r="AK153" s="179"/>
      <c r="AL153" s="179"/>
      <c r="AM153" s="179"/>
    </row>
    <row r="154" spans="1:58" ht="11.25" customHeight="1" x14ac:dyDescent="0.2">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E154" s="84"/>
      <c r="AH154" s="179"/>
      <c r="AI154" s="179"/>
      <c r="AJ154" s="179"/>
      <c r="AK154" s="179"/>
      <c r="AL154" s="179"/>
      <c r="AM154" s="179"/>
    </row>
    <row r="155" spans="1:58" ht="11.25" customHeight="1" x14ac:dyDescent="0.2">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E155" s="84"/>
      <c r="AH155" s="179"/>
      <c r="AI155" s="179"/>
      <c r="AJ155" s="179"/>
      <c r="AK155" s="179"/>
      <c r="AL155" s="179"/>
      <c r="AM155" s="179"/>
    </row>
    <row r="156" spans="1:58" ht="11.25" customHeight="1" x14ac:dyDescent="0.2">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E156" s="84"/>
      <c r="AH156" s="179"/>
      <c r="AI156" s="179"/>
      <c r="AJ156" s="179"/>
      <c r="AK156" s="179"/>
      <c r="AL156" s="179"/>
      <c r="AM156" s="179"/>
    </row>
    <row r="157" spans="1:58" ht="11.25" customHeight="1" x14ac:dyDescent="0.2">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E157" s="84"/>
      <c r="AH157" s="179"/>
      <c r="AI157" s="179"/>
      <c r="AJ157" s="179"/>
      <c r="AK157" s="179"/>
      <c r="AL157" s="179"/>
      <c r="AM157" s="179"/>
    </row>
    <row r="158" spans="1:58" ht="11.25" customHeight="1" x14ac:dyDescent="0.2">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E158" s="84"/>
      <c r="AH158" s="179"/>
      <c r="AI158" s="179"/>
      <c r="AJ158" s="179"/>
      <c r="AK158" s="179"/>
      <c r="AL158" s="179"/>
      <c r="AM158" s="179"/>
    </row>
    <row r="159" spans="1:58" ht="11.25" customHeight="1" x14ac:dyDescent="0.2">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E159" s="84"/>
      <c r="AH159" s="179"/>
      <c r="AI159" s="179"/>
      <c r="AJ159" s="179"/>
      <c r="AK159" s="179"/>
      <c r="AL159" s="179"/>
      <c r="AM159" s="179"/>
    </row>
    <row r="160" spans="1:58" ht="11.25" customHeight="1" x14ac:dyDescent="0.2">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E160" s="84"/>
      <c r="AH160" s="179"/>
      <c r="AI160" s="179"/>
      <c r="AJ160" s="179"/>
      <c r="AK160" s="179"/>
      <c r="AL160" s="179"/>
      <c r="AM160" s="179"/>
    </row>
    <row r="161" spans="1:39" ht="11.25" customHeight="1" x14ac:dyDescent="0.2">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E161" s="84"/>
      <c r="AH161" s="179"/>
      <c r="AI161" s="179"/>
      <c r="AJ161" s="179"/>
      <c r="AK161" s="179"/>
      <c r="AL161" s="179"/>
      <c r="AM161" s="179"/>
    </row>
    <row r="162" spans="1:39" ht="11.25" customHeight="1" x14ac:dyDescent="0.2">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E162" s="84"/>
      <c r="AH162" s="179"/>
      <c r="AI162" s="179"/>
      <c r="AJ162" s="179"/>
      <c r="AK162" s="179"/>
      <c r="AL162" s="179"/>
      <c r="AM162" s="179"/>
    </row>
    <row r="163" spans="1:39" ht="11.25" customHeight="1" x14ac:dyDescent="0.2">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E163" s="84"/>
      <c r="AH163" s="179"/>
      <c r="AI163" s="179"/>
      <c r="AJ163" s="179"/>
      <c r="AK163" s="179"/>
      <c r="AL163" s="179"/>
      <c r="AM163" s="179"/>
    </row>
    <row r="164" spans="1:39" ht="11.25" customHeight="1" x14ac:dyDescent="0.2">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E164" s="84"/>
      <c r="AH164" s="179"/>
      <c r="AI164" s="179"/>
      <c r="AJ164" s="179"/>
      <c r="AK164" s="179"/>
      <c r="AL164" s="179"/>
      <c r="AM164" s="179"/>
    </row>
    <row r="165" spans="1:39" ht="11.25" customHeight="1" x14ac:dyDescent="0.2">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441"/>
      <c r="AE165" s="1131"/>
      <c r="AF165" s="441"/>
      <c r="AG165" s="441"/>
      <c r="AH165" s="562"/>
      <c r="AI165" s="562"/>
      <c r="AJ165" s="562"/>
      <c r="AK165" s="562"/>
      <c r="AL165" s="562"/>
      <c r="AM165" s="562"/>
    </row>
    <row r="276" spans="41:41" ht="11.25" customHeight="1" x14ac:dyDescent="0.2">
      <c r="AO276" s="76" t="b">
        <v>1</v>
      </c>
    </row>
  </sheetData>
  <sheetProtection sheet="1" objects="1" scenarios="1"/>
  <mergeCells count="48">
    <mergeCell ref="BA39:BE39"/>
    <mergeCell ref="AV39:AZ39"/>
    <mergeCell ref="AU39:AU41"/>
    <mergeCell ref="AP39:AT39"/>
    <mergeCell ref="A107:U107"/>
    <mergeCell ref="B74:I75"/>
    <mergeCell ref="B76:B77"/>
    <mergeCell ref="B5:J6"/>
    <mergeCell ref="Y8:Y9"/>
    <mergeCell ref="Z8:Z9"/>
    <mergeCell ref="D7:H7"/>
    <mergeCell ref="T7:T9"/>
    <mergeCell ref="AA7:AE7"/>
    <mergeCell ref="Y7:Z7"/>
    <mergeCell ref="I7:J9"/>
    <mergeCell ref="L7:R7"/>
    <mergeCell ref="P8:Q8"/>
    <mergeCell ref="R8:R9"/>
    <mergeCell ref="P9:Q9"/>
    <mergeCell ref="A38:U38"/>
    <mergeCell ref="A39:U39"/>
    <mergeCell ref="B7:B9"/>
    <mergeCell ref="R35:T36"/>
    <mergeCell ref="B35:P36"/>
    <mergeCell ref="B121:E122"/>
    <mergeCell ref="B123:E124"/>
    <mergeCell ref="A108:U108"/>
    <mergeCell ref="Q65:T65"/>
    <mergeCell ref="M66:T66"/>
    <mergeCell ref="M65:O65"/>
    <mergeCell ref="A71:U71"/>
    <mergeCell ref="A72:U72"/>
    <mergeCell ref="B111:B112"/>
    <mergeCell ref="B113:E114"/>
    <mergeCell ref="B115:E116"/>
    <mergeCell ref="B117:E118"/>
    <mergeCell ref="B119:E120"/>
    <mergeCell ref="B125:E126"/>
    <mergeCell ref="B127:E128"/>
    <mergeCell ref="B129:E130"/>
    <mergeCell ref="B131:E132"/>
    <mergeCell ref="B133:E134"/>
    <mergeCell ref="B145:E146"/>
    <mergeCell ref="B135:E136"/>
    <mergeCell ref="B137:E138"/>
    <mergeCell ref="B139:E140"/>
    <mergeCell ref="B141:E142"/>
    <mergeCell ref="B143:E144"/>
  </mergeCells>
  <conditionalFormatting sqref="AA9:AE9">
    <cfRule type="cellIs" dxfId="30" priority="108" stopIfTrue="1" operator="equal">
      <formula>0</formula>
    </cfRule>
  </conditionalFormatting>
  <conditionalFormatting sqref="B10:B31 L10:P31 B52:C67 D10:H31 B78:B99 D78:H99 R10:R31">
    <cfRule type="containsErrors" dxfId="29" priority="1304">
      <formula>ISERROR(B10)</formula>
    </cfRule>
  </conditionalFormatting>
  <conditionalFormatting sqref="A10:A31">
    <cfRule type="cellIs" dxfId="28" priority="86" operator="equal">
      <formula>0</formula>
    </cfRule>
  </conditionalFormatting>
  <conditionalFormatting sqref="A78:A99">
    <cfRule type="cellIs" dxfId="27" priority="83" operator="equal">
      <formula>0</formula>
    </cfRule>
  </conditionalFormatting>
  <conditionalFormatting sqref="A1:A71 A73:A107 A166:A1048576">
    <cfRule type="containsErrors" dxfId="26" priority="81">
      <formula>ISERROR(A1)</formula>
    </cfRule>
  </conditionalFormatting>
  <conditionalFormatting sqref="AF10:AG28">
    <cfRule type="containsErrors" dxfId="25" priority="80">
      <formula>ISERROR(AF10)</formula>
    </cfRule>
  </conditionalFormatting>
  <conditionalFormatting sqref="AF10:AG21 AG11:AG28">
    <cfRule type="expression" dxfId="24" priority="79">
      <formula>$B10=$W$4</formula>
    </cfRule>
  </conditionalFormatting>
  <conditionalFormatting sqref="R10:R31">
    <cfRule type="containsErrors" dxfId="23" priority="1303">
      <formula>ISERROR(R10)</formula>
    </cfRule>
  </conditionalFormatting>
  <conditionalFormatting sqref="A72">
    <cfRule type="containsErrors" dxfId="22" priority="68">
      <formula>ISERROR(A72)</formula>
    </cfRule>
  </conditionalFormatting>
  <conditionalFormatting sqref="A108">
    <cfRule type="containsErrors" dxfId="21" priority="65">
      <formula>ISERROR(A108)</formula>
    </cfRule>
  </conditionalFormatting>
  <conditionalFormatting sqref="B10:B31 L10:P31 T10:T31 D10:H31 R10:R31 J10:J32 Q10:Q33 B52:C67 D78:H99 B78:B99">
    <cfRule type="expression" dxfId="20" priority="110">
      <formula>$B10=$Y$4</formula>
    </cfRule>
  </conditionalFormatting>
  <conditionalFormatting sqref="J10:J32">
    <cfRule type="containsErrors" dxfId="19" priority="63">
      <formula>ISERROR(J10)</formula>
    </cfRule>
  </conditionalFormatting>
  <conditionalFormatting sqref="J32">
    <cfRule type="containsErrors" dxfId="18" priority="61">
      <formula>ISERROR(J32)</formula>
    </cfRule>
  </conditionalFormatting>
  <conditionalFormatting sqref="J10:J32">
    <cfRule type="dataBar" priority="64">
      <dataBar showValue="0">
        <cfvo type="min"/>
        <cfvo type="max"/>
        <color theme="9"/>
      </dataBar>
      <extLst>
        <ext xmlns:x14="http://schemas.microsoft.com/office/spreadsheetml/2009/9/main" uri="{B025F937-C7B1-47D3-B67F-A62EFF666E3E}">
          <x14:id>{874AC8C9-90AB-4E28-A90A-1B633B7E3177}</x14:id>
        </ext>
      </extLst>
    </cfRule>
  </conditionalFormatting>
  <conditionalFormatting sqref="I10:I31">
    <cfRule type="containsErrors" dxfId="17" priority="37">
      <formula>ISERROR(I10)</formula>
    </cfRule>
    <cfRule type="expression" dxfId="16" priority="60">
      <formula>$B10=$Y$4</formula>
    </cfRule>
  </conditionalFormatting>
  <conditionalFormatting sqref="I10:I31">
    <cfRule type="containsErrors" dxfId="15" priority="59">
      <formula>ISERROR(I10)</formula>
    </cfRule>
  </conditionalFormatting>
  <conditionalFormatting sqref="I32">
    <cfRule type="containsErrors" dxfId="14" priority="58">
      <formula>ISERROR(I32)</formula>
    </cfRule>
  </conditionalFormatting>
  <conditionalFormatting sqref="K8:P8">
    <cfRule type="containsErrors" dxfId="13" priority="55">
      <formula>ISERROR(K8)</formula>
    </cfRule>
  </conditionalFormatting>
  <conditionalFormatting sqref="L9:P9">
    <cfRule type="containsErrors" dxfId="12" priority="56">
      <formula>ISERROR(L9)</formula>
    </cfRule>
  </conditionalFormatting>
  <conditionalFormatting sqref="D8:H8">
    <cfRule type="containsErrors" dxfId="11" priority="54">
      <formula>ISERROR(D8)</formula>
    </cfRule>
  </conditionalFormatting>
  <conditionalFormatting sqref="D9:H9">
    <cfRule type="containsErrors" dxfId="10" priority="57">
      <formula>ISERROR(D9)</formula>
    </cfRule>
  </conditionalFormatting>
  <conditionalFormatting sqref="Z3:AD3">
    <cfRule type="containsErrors" dxfId="9" priority="53">
      <formula>ISERROR(Z3)</formula>
    </cfRule>
  </conditionalFormatting>
  <conditionalFormatting sqref="Z2:AD2">
    <cfRule type="containsErrors" dxfId="8" priority="52">
      <formula>ISERROR(Z2)</formula>
    </cfRule>
  </conditionalFormatting>
  <conditionalFormatting sqref="Y2">
    <cfRule type="containsErrors" dxfId="7" priority="50">
      <formula>ISERROR(Y2)</formula>
    </cfRule>
  </conditionalFormatting>
  <conditionalFormatting sqref="Y3">
    <cfRule type="containsErrors" dxfId="6" priority="51">
      <formula>ISERROR(Y3)</formula>
    </cfRule>
  </conditionalFormatting>
  <conditionalFormatting sqref="Q32:Q33">
    <cfRule type="containsErrors" dxfId="5" priority="48">
      <formula>ISERROR(Q32)</formula>
    </cfRule>
  </conditionalFormatting>
  <conditionalFormatting sqref="Q10:Q33">
    <cfRule type="containsErrors" dxfId="4" priority="46">
      <formula>ISERROR(Q10)</formula>
    </cfRule>
    <cfRule type="dataBar" priority="47">
      <dataBar showValue="0">
        <cfvo type="min"/>
        <cfvo type="max"/>
        <color theme="9"/>
      </dataBar>
      <extLst>
        <ext xmlns:x14="http://schemas.microsoft.com/office/spreadsheetml/2009/9/main" uri="{B025F937-C7B1-47D3-B67F-A62EFF666E3E}">
          <x14:id>{21F141F2-05C7-4925-AF46-BF0AB5D6F6B5}</x14:id>
        </ext>
      </extLst>
    </cfRule>
  </conditionalFormatting>
  <conditionalFormatting sqref="D33:T33">
    <cfRule type="containsErrors" dxfId="3" priority="45">
      <formula>ISERROR(D33)</formula>
    </cfRule>
  </conditionalFormatting>
  <conditionalFormatting sqref="D76:H76">
    <cfRule type="containsErrors" dxfId="2" priority="39">
      <formula>ISERROR(D76)</formula>
    </cfRule>
  </conditionalFormatting>
  <conditionalFormatting sqref="D77:H77">
    <cfRule type="containsErrors" dxfId="1" priority="40">
      <formula>ISERROR(D77)</formula>
    </cfRule>
  </conditionalFormatting>
  <conditionalFormatting sqref="B101:H101">
    <cfRule type="containsErrors" dxfId="0" priority="38">
      <formula>ISERROR(B101)</formula>
    </cfRule>
  </conditionalFormatting>
  <hyperlinks>
    <hyperlink ref="B115:B116" location="Coverage!A1" display="Participating LA's" xr:uid="{BCC5D8B1-AB71-4C41-915E-7BAB8FC8741E}"/>
    <hyperlink ref="B117:B118" location="IDACI!A1" display="IDACI" xr:uid="{56C1F238-7DA9-4FEA-B85B-D0B49115C068}"/>
    <hyperlink ref="B145:B146" location="Adoption!A1" display="Adoption" xr:uid="{AA56B415-367A-45C3-B0DB-A2A08C6E7835}"/>
    <hyperlink ref="B139:B140" location="'Looked After Children'!A1" display="Looked After Children" xr:uid="{65611439-AB82-4C4A-8E4E-9A2FCC81625A}"/>
    <hyperlink ref="B137:B138" location="'Court Applications'!A1" display="Court Applications" xr:uid="{DCFAEEBF-2558-4E70-8C47-B03CE5E41DD8}"/>
    <hyperlink ref="B135:B136" location="'Child Protection Plans'!A1" display="Child Protection Plans" xr:uid="{06F3064E-AD53-498D-A005-27CC5CA73006}"/>
    <hyperlink ref="B133:B134" location="'Initial CP Conferences'!A1" display="Initial Child Protection Conferences" xr:uid="{283DE3A5-FDCA-4C49-837C-BE5813A9C355}"/>
    <hyperlink ref="B131:B132" location="'Section 47 Enquiries'!A1" display="Section 47 Enquiries" xr:uid="{8CFA6D67-CAF5-4CCE-8A6C-81AC04B47F09}"/>
    <hyperlink ref="B129:B130" location="'Children in Need'!A1" display="Children in Need" xr:uid="{3B02369E-B406-4EFD-90E9-AA916587A7C4}"/>
    <hyperlink ref="B127:B128" location="Assessments!A1" display="Assessments" xr:uid="{24311000-AC68-4768-954C-F7D689E56964}"/>
    <hyperlink ref="B125:B126" location="'Re-referrals'!A1" display="Re-referrals" xr:uid="{D4CA3599-0960-4F6C-BAA4-32292EF37878}"/>
    <hyperlink ref="B123:B124" location="Referral_Source!A1" display="Referral Source" xr:uid="{59C543C2-521E-428A-A1F8-AD5815F83CA9}"/>
    <hyperlink ref="B121:B122" location="Referrals!A1" display="Referrals" xr:uid="{1529C785-F1CE-4BDC-81D8-BD516FAE385C}"/>
    <hyperlink ref="B119:B120" location="Population!A1" display="Population" xr:uid="{1632DF43-4B61-4FB6-BC7B-4B36AF8BFD1A}"/>
    <hyperlink ref="B117:C118" location="IDACI!A1" display="IDACI" xr:uid="{E1B9B5FF-57B0-450A-8E82-5BAFBB1DF11B}"/>
    <hyperlink ref="B113:B114" location="Coverage!A1" display="Participating LA's" xr:uid="{FD96C240-4768-4B77-99D9-BDD0C744A3A3}"/>
    <hyperlink ref="B113:C114" location="Indicators!A1" display="Indicators" xr:uid="{9E53018A-C00D-4030-8719-7A7FAE4CC3B1}"/>
    <hyperlink ref="B143:B144" location="'Looked After Children'!A1" display="Looked After Children" xr:uid="{6606D9FE-D7B8-467F-A9E3-A003EDF3AC31}"/>
    <hyperlink ref="B141:B142" location="'Court Applications'!A1" display="Court Applications" xr:uid="{1EE7897D-6D5F-42F1-A4B8-6D6AED0389F6}"/>
    <hyperlink ref="B141:C142" location="New_Ceased_LAC!A1" display="New/ Ceased Looked After Children" xr:uid="{E2055CCD-157B-45AD-BB98-93B3FCD4994E}"/>
    <hyperlink ref="B143:C144" location="Care_Leavers!A1" display="Care Leavers" xr:uid="{B5AE5FFC-8C1D-4C58-85C9-D4BC91BEA50E}"/>
  </hyperlinks>
  <printOptions horizontalCentered="1" verticalCentered="1"/>
  <pageMargins left="0.55118110236220474" right="0.55118110236220474" top="0.55118110236220474" bottom="0.55118110236220474" header="0.39370078740157483" footer="0.74803149606299213"/>
  <pageSetup paperSize="9" orientation="landscape" r:id="rId1"/>
  <headerFooter alignWithMargins="0">
    <oddFooter>&amp;C&amp;"Arial,Bold"&amp;9&amp;F - Page &amp;P</oddFooter>
  </headerFooter>
  <rowBreaks count="2" manualBreakCount="2">
    <brk id="39" max="20" man="1"/>
    <brk id="72" max="20" man="1"/>
  </rowBreaks>
  <ignoredErrors>
    <ignoredError sqref="A78:A99 A10:A3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8545" r:id="rId4" name="Check Box 1">
              <controlPr defaultSize="0" autoFill="0" autoLine="0" autoPict="0" macro="[0]!CheckBox1_Click" altText="">
                <anchor>
                  <from>
                    <xdr:col>22</xdr:col>
                    <xdr:colOff>95250</xdr:colOff>
                    <xdr:row>40</xdr:row>
                    <xdr:rowOff>28575</xdr:rowOff>
                  </from>
                  <to>
                    <xdr:col>39</xdr:col>
                    <xdr:colOff>66675</xdr:colOff>
                    <xdr:row>42</xdr:row>
                    <xdr:rowOff>9525</xdr:rowOff>
                  </to>
                </anchor>
              </controlPr>
            </control>
          </mc:Choice>
        </mc:AlternateContent>
        <mc:AlternateContent xmlns:mc="http://schemas.openxmlformats.org/markup-compatibility/2006">
          <mc:Choice Requires="x14">
            <control shapeId="108546" r:id="rId5" name="Check Box 2">
              <controlPr defaultSize="0" autoFill="0" autoLine="0" autoPict="0" macro="[0]!CheckBox1_Click" altText="">
                <anchor>
                  <from>
                    <xdr:col>22</xdr:col>
                    <xdr:colOff>95250</xdr:colOff>
                    <xdr:row>41</xdr:row>
                    <xdr:rowOff>152400</xdr:rowOff>
                  </from>
                  <to>
                    <xdr:col>39</xdr:col>
                    <xdr:colOff>66675</xdr:colOff>
                    <xdr:row>43</xdr:row>
                    <xdr:rowOff>9525</xdr:rowOff>
                  </to>
                </anchor>
              </controlPr>
            </control>
          </mc:Choice>
        </mc:AlternateContent>
        <mc:AlternateContent xmlns:mc="http://schemas.openxmlformats.org/markup-compatibility/2006">
          <mc:Choice Requires="x14">
            <control shapeId="108547" r:id="rId6" name="Check Box 3">
              <controlPr defaultSize="0" autoFill="0" autoLine="0" autoPict="0" macro="[0]!CheckBox1_Click" altText="">
                <anchor>
                  <from>
                    <xdr:col>22</xdr:col>
                    <xdr:colOff>95250</xdr:colOff>
                    <xdr:row>42</xdr:row>
                    <xdr:rowOff>152400</xdr:rowOff>
                  </from>
                  <to>
                    <xdr:col>39</xdr:col>
                    <xdr:colOff>66675</xdr:colOff>
                    <xdr:row>44</xdr:row>
                    <xdr:rowOff>9525</xdr:rowOff>
                  </to>
                </anchor>
              </controlPr>
            </control>
          </mc:Choice>
        </mc:AlternateContent>
        <mc:AlternateContent xmlns:mc="http://schemas.openxmlformats.org/markup-compatibility/2006">
          <mc:Choice Requires="x14">
            <control shapeId="108548" r:id="rId7" name="Check Box 4">
              <controlPr defaultSize="0" autoFill="0" autoLine="0" autoPict="0" macro="[0]!CheckBox1_Click" altText="">
                <anchor>
                  <from>
                    <xdr:col>22</xdr:col>
                    <xdr:colOff>95250</xdr:colOff>
                    <xdr:row>43</xdr:row>
                    <xdr:rowOff>152400</xdr:rowOff>
                  </from>
                  <to>
                    <xdr:col>39</xdr:col>
                    <xdr:colOff>66675</xdr:colOff>
                    <xdr:row>45</xdr:row>
                    <xdr:rowOff>9525</xdr:rowOff>
                  </to>
                </anchor>
              </controlPr>
            </control>
          </mc:Choice>
        </mc:AlternateContent>
        <mc:AlternateContent xmlns:mc="http://schemas.openxmlformats.org/markup-compatibility/2006">
          <mc:Choice Requires="x14">
            <control shapeId="108549" r:id="rId8" name="Check Box 5">
              <controlPr defaultSize="0" autoFill="0" autoLine="0" autoPict="0" macro="[0]!CheckBox1_Click" altText="">
                <anchor>
                  <from>
                    <xdr:col>22</xdr:col>
                    <xdr:colOff>95250</xdr:colOff>
                    <xdr:row>44</xdr:row>
                    <xdr:rowOff>152400</xdr:rowOff>
                  </from>
                  <to>
                    <xdr:col>39</xdr:col>
                    <xdr:colOff>66675</xdr:colOff>
                    <xdr:row>46</xdr:row>
                    <xdr:rowOff>9525</xdr:rowOff>
                  </to>
                </anchor>
              </controlPr>
            </control>
          </mc:Choice>
        </mc:AlternateContent>
        <mc:AlternateContent xmlns:mc="http://schemas.openxmlformats.org/markup-compatibility/2006">
          <mc:Choice Requires="x14">
            <control shapeId="108550" r:id="rId9" name="Check Box 6">
              <controlPr defaultSize="0" autoFill="0" autoLine="0" autoPict="0" macro="[0]!CheckBox1_Click" altText="">
                <anchor>
                  <from>
                    <xdr:col>22</xdr:col>
                    <xdr:colOff>95250</xdr:colOff>
                    <xdr:row>45</xdr:row>
                    <xdr:rowOff>152400</xdr:rowOff>
                  </from>
                  <to>
                    <xdr:col>39</xdr:col>
                    <xdr:colOff>66675</xdr:colOff>
                    <xdr:row>47</xdr:row>
                    <xdr:rowOff>9525</xdr:rowOff>
                  </to>
                </anchor>
              </controlPr>
            </control>
          </mc:Choice>
        </mc:AlternateContent>
        <mc:AlternateContent xmlns:mc="http://schemas.openxmlformats.org/markup-compatibility/2006">
          <mc:Choice Requires="x14">
            <control shapeId="108551" r:id="rId10" name="Check Box 7">
              <controlPr defaultSize="0" autoFill="0" autoLine="0" autoPict="0" macro="[0]!CheckBox1_Click" altText="">
                <anchor>
                  <from>
                    <xdr:col>22</xdr:col>
                    <xdr:colOff>95250</xdr:colOff>
                    <xdr:row>46</xdr:row>
                    <xdr:rowOff>152400</xdr:rowOff>
                  </from>
                  <to>
                    <xdr:col>39</xdr:col>
                    <xdr:colOff>66675</xdr:colOff>
                    <xdr:row>48</xdr:row>
                    <xdr:rowOff>9525</xdr:rowOff>
                  </to>
                </anchor>
              </controlPr>
            </control>
          </mc:Choice>
        </mc:AlternateContent>
        <mc:AlternateContent xmlns:mc="http://schemas.openxmlformats.org/markup-compatibility/2006">
          <mc:Choice Requires="x14">
            <control shapeId="108552" r:id="rId11" name="Check Box 8">
              <controlPr defaultSize="0" autoFill="0" autoLine="0" autoPict="0" macro="[0]!CheckBox1_Click" altText="">
                <anchor>
                  <from>
                    <xdr:col>22</xdr:col>
                    <xdr:colOff>95250</xdr:colOff>
                    <xdr:row>47</xdr:row>
                    <xdr:rowOff>152400</xdr:rowOff>
                  </from>
                  <to>
                    <xdr:col>39</xdr:col>
                    <xdr:colOff>66675</xdr:colOff>
                    <xdr:row>49</xdr:row>
                    <xdr:rowOff>9525</xdr:rowOff>
                  </to>
                </anchor>
              </controlPr>
            </control>
          </mc:Choice>
        </mc:AlternateContent>
        <mc:AlternateContent xmlns:mc="http://schemas.openxmlformats.org/markup-compatibility/2006">
          <mc:Choice Requires="x14">
            <control shapeId="108553" r:id="rId12" name="Check Box 9">
              <controlPr defaultSize="0" autoFill="0" autoLine="0" autoPict="0" macro="[0]!CheckBox1_Click" altText="">
                <anchor>
                  <from>
                    <xdr:col>22</xdr:col>
                    <xdr:colOff>95250</xdr:colOff>
                    <xdr:row>48</xdr:row>
                    <xdr:rowOff>152400</xdr:rowOff>
                  </from>
                  <to>
                    <xdr:col>39</xdr:col>
                    <xdr:colOff>66675</xdr:colOff>
                    <xdr:row>50</xdr:row>
                    <xdr:rowOff>9525</xdr:rowOff>
                  </to>
                </anchor>
              </controlPr>
            </control>
          </mc:Choice>
        </mc:AlternateContent>
        <mc:AlternateContent xmlns:mc="http://schemas.openxmlformats.org/markup-compatibility/2006">
          <mc:Choice Requires="x14">
            <control shapeId="108554" r:id="rId13" name="Check Box 10">
              <controlPr defaultSize="0" autoFill="0" autoLine="0" autoPict="0" macro="[0]!CheckBox1_Click" altText="">
                <anchor>
                  <from>
                    <xdr:col>22</xdr:col>
                    <xdr:colOff>95250</xdr:colOff>
                    <xdr:row>49</xdr:row>
                    <xdr:rowOff>152400</xdr:rowOff>
                  </from>
                  <to>
                    <xdr:col>39</xdr:col>
                    <xdr:colOff>66675</xdr:colOff>
                    <xdr:row>51</xdr:row>
                    <xdr:rowOff>9525</xdr:rowOff>
                  </to>
                </anchor>
              </controlPr>
            </control>
          </mc:Choice>
        </mc:AlternateContent>
        <mc:AlternateContent xmlns:mc="http://schemas.openxmlformats.org/markup-compatibility/2006">
          <mc:Choice Requires="x14">
            <control shapeId="108555" r:id="rId14" name="Check Box 11">
              <controlPr defaultSize="0" autoFill="0" autoLine="0" autoPict="0" macro="[0]!CheckBox1_Click" altText="">
                <anchor>
                  <from>
                    <xdr:col>22</xdr:col>
                    <xdr:colOff>95250</xdr:colOff>
                    <xdr:row>50</xdr:row>
                    <xdr:rowOff>152400</xdr:rowOff>
                  </from>
                  <to>
                    <xdr:col>39</xdr:col>
                    <xdr:colOff>66675</xdr:colOff>
                    <xdr:row>52</xdr:row>
                    <xdr:rowOff>9525</xdr:rowOff>
                  </to>
                </anchor>
              </controlPr>
            </control>
          </mc:Choice>
        </mc:AlternateContent>
        <mc:AlternateContent xmlns:mc="http://schemas.openxmlformats.org/markup-compatibility/2006">
          <mc:Choice Requires="x14">
            <control shapeId="108556" r:id="rId15" name="Check Box 12">
              <controlPr defaultSize="0" autoFill="0" autoLine="0" autoPict="0" macro="[0]!CheckBox1_Click" altText="">
                <anchor>
                  <from>
                    <xdr:col>22</xdr:col>
                    <xdr:colOff>95250</xdr:colOff>
                    <xdr:row>51</xdr:row>
                    <xdr:rowOff>152400</xdr:rowOff>
                  </from>
                  <to>
                    <xdr:col>39</xdr:col>
                    <xdr:colOff>66675</xdr:colOff>
                    <xdr:row>53</xdr:row>
                    <xdr:rowOff>9525</xdr:rowOff>
                  </to>
                </anchor>
              </controlPr>
            </control>
          </mc:Choice>
        </mc:AlternateContent>
        <mc:AlternateContent xmlns:mc="http://schemas.openxmlformats.org/markup-compatibility/2006">
          <mc:Choice Requires="x14">
            <control shapeId="108557" r:id="rId16" name="Check Box 13">
              <controlPr defaultSize="0" autoFill="0" autoLine="0" autoPict="0" macro="[0]!CheckBox1_Click" altText="">
                <anchor>
                  <from>
                    <xdr:col>22</xdr:col>
                    <xdr:colOff>95250</xdr:colOff>
                    <xdr:row>52</xdr:row>
                    <xdr:rowOff>152400</xdr:rowOff>
                  </from>
                  <to>
                    <xdr:col>39</xdr:col>
                    <xdr:colOff>66675</xdr:colOff>
                    <xdr:row>54</xdr:row>
                    <xdr:rowOff>9525</xdr:rowOff>
                  </to>
                </anchor>
              </controlPr>
            </control>
          </mc:Choice>
        </mc:AlternateContent>
        <mc:AlternateContent xmlns:mc="http://schemas.openxmlformats.org/markup-compatibility/2006">
          <mc:Choice Requires="x14">
            <control shapeId="108558" r:id="rId17" name="Check Box 14">
              <controlPr defaultSize="0" autoFill="0" autoLine="0" autoPict="0" macro="[0]!CheckBox1_Click" altText="">
                <anchor>
                  <from>
                    <xdr:col>22</xdr:col>
                    <xdr:colOff>95250</xdr:colOff>
                    <xdr:row>53</xdr:row>
                    <xdr:rowOff>152400</xdr:rowOff>
                  </from>
                  <to>
                    <xdr:col>39</xdr:col>
                    <xdr:colOff>66675</xdr:colOff>
                    <xdr:row>55</xdr:row>
                    <xdr:rowOff>9525</xdr:rowOff>
                  </to>
                </anchor>
              </controlPr>
            </control>
          </mc:Choice>
        </mc:AlternateContent>
        <mc:AlternateContent xmlns:mc="http://schemas.openxmlformats.org/markup-compatibility/2006">
          <mc:Choice Requires="x14">
            <control shapeId="108559" r:id="rId18" name="Check Box 15">
              <controlPr defaultSize="0" autoFill="0" autoLine="0" autoPict="0" macro="[0]!CheckBox1_Click" altText="">
                <anchor>
                  <from>
                    <xdr:col>22</xdr:col>
                    <xdr:colOff>95250</xdr:colOff>
                    <xdr:row>54</xdr:row>
                    <xdr:rowOff>152400</xdr:rowOff>
                  </from>
                  <to>
                    <xdr:col>39</xdr:col>
                    <xdr:colOff>66675</xdr:colOff>
                    <xdr:row>56</xdr:row>
                    <xdr:rowOff>9525</xdr:rowOff>
                  </to>
                </anchor>
              </controlPr>
            </control>
          </mc:Choice>
        </mc:AlternateContent>
        <mc:AlternateContent xmlns:mc="http://schemas.openxmlformats.org/markup-compatibility/2006">
          <mc:Choice Requires="x14">
            <control shapeId="108560" r:id="rId19" name="Check Box 16">
              <controlPr defaultSize="0" autoFill="0" autoLine="0" autoPict="0" macro="[0]!CheckBox1_Click" altText="">
                <anchor>
                  <from>
                    <xdr:col>22</xdr:col>
                    <xdr:colOff>95250</xdr:colOff>
                    <xdr:row>55</xdr:row>
                    <xdr:rowOff>152400</xdr:rowOff>
                  </from>
                  <to>
                    <xdr:col>39</xdr:col>
                    <xdr:colOff>66675</xdr:colOff>
                    <xdr:row>57</xdr:row>
                    <xdr:rowOff>9525</xdr:rowOff>
                  </to>
                </anchor>
              </controlPr>
            </control>
          </mc:Choice>
        </mc:AlternateContent>
        <mc:AlternateContent xmlns:mc="http://schemas.openxmlformats.org/markup-compatibility/2006">
          <mc:Choice Requires="x14">
            <control shapeId="108561" r:id="rId20" name="Check Box 17">
              <controlPr defaultSize="0" autoFill="0" autoLine="0" autoPict="0" macro="[0]!CheckBox1_Click" altText="">
                <anchor>
                  <from>
                    <xdr:col>22</xdr:col>
                    <xdr:colOff>95250</xdr:colOff>
                    <xdr:row>58</xdr:row>
                    <xdr:rowOff>152400</xdr:rowOff>
                  </from>
                  <to>
                    <xdr:col>39</xdr:col>
                    <xdr:colOff>66675</xdr:colOff>
                    <xdr:row>60</xdr:row>
                    <xdr:rowOff>9525</xdr:rowOff>
                  </to>
                </anchor>
              </controlPr>
            </control>
          </mc:Choice>
        </mc:AlternateContent>
        <mc:AlternateContent xmlns:mc="http://schemas.openxmlformats.org/markup-compatibility/2006">
          <mc:Choice Requires="x14">
            <control shapeId="108562" r:id="rId21" name="Check Box 18">
              <controlPr defaultSize="0" autoFill="0" autoLine="0" autoPict="0" macro="[0]!CheckBox1_Click" altText="">
                <anchor>
                  <from>
                    <xdr:col>22</xdr:col>
                    <xdr:colOff>95250</xdr:colOff>
                    <xdr:row>59</xdr:row>
                    <xdr:rowOff>152400</xdr:rowOff>
                  </from>
                  <to>
                    <xdr:col>39</xdr:col>
                    <xdr:colOff>66675</xdr:colOff>
                    <xdr:row>61</xdr:row>
                    <xdr:rowOff>9525</xdr:rowOff>
                  </to>
                </anchor>
              </controlPr>
            </control>
          </mc:Choice>
        </mc:AlternateContent>
        <mc:AlternateContent xmlns:mc="http://schemas.openxmlformats.org/markup-compatibility/2006">
          <mc:Choice Requires="x14">
            <control shapeId="108563" r:id="rId22" name="Check Box 19">
              <controlPr defaultSize="0" autoFill="0" autoLine="0" autoPict="0" macro="[0]!CheckBox1_Click" altText="">
                <anchor>
                  <from>
                    <xdr:col>22</xdr:col>
                    <xdr:colOff>95250</xdr:colOff>
                    <xdr:row>60</xdr:row>
                    <xdr:rowOff>152400</xdr:rowOff>
                  </from>
                  <to>
                    <xdr:col>39</xdr:col>
                    <xdr:colOff>66675</xdr:colOff>
                    <xdr:row>62</xdr:row>
                    <xdr:rowOff>9525</xdr:rowOff>
                  </to>
                </anchor>
              </controlPr>
            </control>
          </mc:Choice>
        </mc:AlternateContent>
        <mc:AlternateContent xmlns:mc="http://schemas.openxmlformats.org/markup-compatibility/2006">
          <mc:Choice Requires="x14">
            <control shapeId="108564" r:id="rId23" name="Check Box 20">
              <controlPr defaultSize="0" autoFill="0" autoLine="0" autoPict="0" macro="[0]!CheckBox1_Click" altText="">
                <anchor>
                  <from>
                    <xdr:col>22</xdr:col>
                    <xdr:colOff>95250</xdr:colOff>
                    <xdr:row>61</xdr:row>
                    <xdr:rowOff>152400</xdr:rowOff>
                  </from>
                  <to>
                    <xdr:col>39</xdr:col>
                    <xdr:colOff>66675</xdr:colOff>
                    <xdr:row>63</xdr:row>
                    <xdr:rowOff>9525</xdr:rowOff>
                  </to>
                </anchor>
              </controlPr>
            </control>
          </mc:Choice>
        </mc:AlternateContent>
        <mc:AlternateContent xmlns:mc="http://schemas.openxmlformats.org/markup-compatibility/2006">
          <mc:Choice Requires="x14">
            <control shapeId="108565" r:id="rId24" name="Check Box 21">
              <controlPr defaultSize="0" autoFill="0" autoLine="0" autoPict="0" macro="[0]!CheckBox1_Click" altText="">
                <anchor>
                  <from>
                    <xdr:col>22</xdr:col>
                    <xdr:colOff>95250</xdr:colOff>
                    <xdr:row>62</xdr:row>
                    <xdr:rowOff>152400</xdr:rowOff>
                  </from>
                  <to>
                    <xdr:col>39</xdr:col>
                    <xdr:colOff>66675</xdr:colOff>
                    <xdr:row>64</xdr:row>
                    <xdr:rowOff>9525</xdr:rowOff>
                  </to>
                </anchor>
              </controlPr>
            </control>
          </mc:Choice>
        </mc:AlternateContent>
        <mc:AlternateContent xmlns:mc="http://schemas.openxmlformats.org/markup-compatibility/2006">
          <mc:Choice Requires="x14">
            <control shapeId="108566" r:id="rId25" name="Check Box 22">
              <controlPr defaultSize="0" autoFill="0" autoLine="0" autoPict="0" macro="[0]!CheckBox1_Click" altText="">
                <anchor>
                  <from>
                    <xdr:col>22</xdr:col>
                    <xdr:colOff>95250</xdr:colOff>
                    <xdr:row>56</xdr:row>
                    <xdr:rowOff>152400</xdr:rowOff>
                  </from>
                  <to>
                    <xdr:col>39</xdr:col>
                    <xdr:colOff>66675</xdr:colOff>
                    <xdr:row>58</xdr:row>
                    <xdr:rowOff>9525</xdr:rowOff>
                  </to>
                </anchor>
              </controlPr>
            </control>
          </mc:Choice>
        </mc:AlternateContent>
        <mc:AlternateContent xmlns:mc="http://schemas.openxmlformats.org/markup-compatibility/2006">
          <mc:Choice Requires="x14">
            <control shapeId="108567" r:id="rId26" name="Check Box 23">
              <controlPr defaultSize="0" autoFill="0" autoLine="0" autoPict="0" macro="[0]!CheckBox1_Click" altText="">
                <anchor>
                  <from>
                    <xdr:col>22</xdr:col>
                    <xdr:colOff>95250</xdr:colOff>
                    <xdr:row>57</xdr:row>
                    <xdr:rowOff>152400</xdr:rowOff>
                  </from>
                  <to>
                    <xdr:col>39</xdr:col>
                    <xdr:colOff>66675</xdr:colOff>
                    <xdr:row>59</xdr:row>
                    <xdr:rowOff>9525</xdr:rowOff>
                  </to>
                </anchor>
              </controlPr>
            </control>
          </mc:Choice>
        </mc:AlternateContent>
        <mc:AlternateContent xmlns:mc="http://schemas.openxmlformats.org/markup-compatibility/2006">
          <mc:Choice Requires="x14">
            <control shapeId="108568" r:id="rId27" name="Check Box 24">
              <controlPr defaultSize="0" autoFill="0" autoLine="0" autoPict="0" macro="[0]!CheckBox1_Click" altText="">
                <anchor>
                  <from>
                    <xdr:col>22</xdr:col>
                    <xdr:colOff>95250</xdr:colOff>
                    <xdr:row>63</xdr:row>
                    <xdr:rowOff>152400</xdr:rowOff>
                  </from>
                  <to>
                    <xdr:col>39</xdr:col>
                    <xdr:colOff>66675</xdr:colOff>
                    <xdr:row>65</xdr:row>
                    <xdr:rowOff>9525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874AC8C9-90AB-4E28-A90A-1B633B7E3177}">
            <x14:dataBar minLength="0" maxLength="100" gradient="0" negativeBarColorSameAsPositive="1" axisPosition="middle">
              <x14:cfvo type="autoMin"/>
              <x14:cfvo type="autoMax"/>
              <x14:axisColor theme="0" tint="-0.499984740745262"/>
            </x14:dataBar>
          </x14:cfRule>
          <xm:sqref>J10:J32</xm:sqref>
        </x14:conditionalFormatting>
        <x14:conditionalFormatting xmlns:xm="http://schemas.microsoft.com/office/excel/2006/main">
          <x14:cfRule type="dataBar" id="{21F141F2-05C7-4925-AF46-BF0AB5D6F6B5}">
            <x14:dataBar minLength="0" maxLength="100" gradient="0" negativeBarColorSameAsPositive="1">
              <x14:cfvo type="autoMin"/>
              <x14:cfvo type="autoMax"/>
              <x14:axisColor rgb="FF000000"/>
            </x14:dataBar>
          </x14:cfRule>
          <xm:sqref>Q10:Q33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99FFCC"/>
    <pageSetUpPr fitToPage="1"/>
  </sheetPr>
  <dimension ref="A1:Z108"/>
  <sheetViews>
    <sheetView workbookViewId="0">
      <selection activeCell="F15" sqref="F15"/>
    </sheetView>
  </sheetViews>
  <sheetFormatPr defaultColWidth="9.140625" defaultRowHeight="12.75" x14ac:dyDescent="0.2"/>
  <cols>
    <col min="1" max="1" width="4.42578125" style="444" customWidth="1"/>
    <col min="2" max="2" width="40.42578125" style="532" customWidth="1"/>
    <col min="3" max="4" width="5" style="444" customWidth="1"/>
    <col min="5" max="5" width="4.85546875" style="444" customWidth="1"/>
    <col min="6" max="17" width="5" style="444" customWidth="1"/>
    <col min="18" max="18" width="5.140625" style="444" customWidth="1"/>
    <col min="19" max="24" width="5" style="444" customWidth="1"/>
    <col min="25" max="25" width="6" style="786" customWidth="1"/>
    <col min="26" max="26" width="6.5703125" style="444" customWidth="1"/>
    <col min="27" max="16384" width="9.140625" style="444"/>
  </cols>
  <sheetData>
    <row r="1" spans="1:26" s="530" customFormat="1" ht="67.5" customHeight="1" x14ac:dyDescent="0.2">
      <c r="A1" s="777" t="str">
        <f>IF(Sheet1!$C$3="Quarterly",Sheet1!$E$22&amp;" "&amp;Sheet1!$E$23,Sheet1!$E$20)</f>
        <v>2015-16</v>
      </c>
      <c r="B1" s="777"/>
      <c r="C1" s="1205" t="s">
        <v>1152</v>
      </c>
      <c r="D1" s="1205" t="s">
        <v>1153</v>
      </c>
      <c r="E1" s="1205" t="s">
        <v>1154</v>
      </c>
      <c r="F1" s="1205" t="s">
        <v>1155</v>
      </c>
      <c r="G1" s="1205" t="s">
        <v>1156</v>
      </c>
      <c r="H1" s="1205" t="s">
        <v>1157</v>
      </c>
      <c r="I1" s="1205" t="s">
        <v>1158</v>
      </c>
      <c r="J1" s="1205" t="s">
        <v>1159</v>
      </c>
      <c r="K1" s="1205" t="s">
        <v>1160</v>
      </c>
      <c r="L1" s="1205" t="s">
        <v>1161</v>
      </c>
      <c r="M1" s="1205" t="s">
        <v>1162</v>
      </c>
      <c r="N1" s="1205" t="s">
        <v>1163</v>
      </c>
      <c r="O1" s="1207" t="s">
        <v>1164</v>
      </c>
      <c r="P1" s="1205" t="s">
        <v>1165</v>
      </c>
      <c r="Q1" s="1205" t="s">
        <v>1166</v>
      </c>
      <c r="R1" s="1205" t="s">
        <v>1167</v>
      </c>
      <c r="S1" s="1207" t="s">
        <v>1168</v>
      </c>
      <c r="T1" s="1207" t="s">
        <v>1169</v>
      </c>
      <c r="U1" s="1205" t="s">
        <v>1170</v>
      </c>
      <c r="V1" s="1205" t="s">
        <v>1171</v>
      </c>
      <c r="W1" s="1205" t="s">
        <v>1172</v>
      </c>
      <c r="X1" s="1205" t="s">
        <v>1173</v>
      </c>
      <c r="Y1" s="583" t="s">
        <v>1174</v>
      </c>
      <c r="Z1" s="584" t="s">
        <v>1175</v>
      </c>
    </row>
    <row r="2" spans="1:26" s="531" customFormat="1" ht="13.5" x14ac:dyDescent="0.2">
      <c r="A2" s="585">
        <v>1</v>
      </c>
      <c r="B2" s="778" t="s">
        <v>539</v>
      </c>
      <c r="C2" s="1231"/>
      <c r="D2" s="1231"/>
      <c r="E2" s="1231"/>
      <c r="F2" s="1231"/>
      <c r="G2" s="1231"/>
      <c r="H2" s="1231"/>
      <c r="I2" s="1231"/>
      <c r="J2" s="1231"/>
      <c r="K2" s="1231"/>
      <c r="L2" s="1231"/>
      <c r="M2" s="1231"/>
      <c r="N2" s="1231"/>
      <c r="O2" s="1231"/>
      <c r="P2" s="1231"/>
      <c r="Q2" s="1231"/>
      <c r="R2" s="1231"/>
      <c r="S2" s="1231"/>
      <c r="T2" s="1231"/>
      <c r="U2" s="1231"/>
      <c r="V2" s="1231"/>
      <c r="W2" s="1232"/>
      <c r="X2" s="1233"/>
      <c r="Y2" s="1234"/>
      <c r="Z2" s="1235"/>
    </row>
    <row r="3" spans="1:26" s="531" customFormat="1" ht="13.5" x14ac:dyDescent="0.2">
      <c r="A3" s="595">
        <v>2</v>
      </c>
      <c r="B3" s="779" t="s">
        <v>239</v>
      </c>
      <c r="C3" s="1214"/>
      <c r="D3" s="1214"/>
      <c r="E3" s="1214"/>
      <c r="F3" s="1214"/>
      <c r="G3" s="1214"/>
      <c r="H3" s="1214"/>
      <c r="I3" s="1214"/>
      <c r="J3" s="1214"/>
      <c r="K3" s="1214"/>
      <c r="L3" s="1214"/>
      <c r="M3" s="1214"/>
      <c r="N3" s="1214"/>
      <c r="O3" s="1214"/>
      <c r="P3" s="1214"/>
      <c r="Q3" s="1214"/>
      <c r="R3" s="1214"/>
      <c r="S3" s="1214"/>
      <c r="T3" s="1214"/>
      <c r="U3" s="1214"/>
      <c r="V3" s="1214"/>
      <c r="W3" s="1214"/>
      <c r="X3" s="1236"/>
      <c r="Y3" s="1215"/>
      <c r="Z3" s="1216"/>
    </row>
    <row r="4" spans="1:26" s="531" customFormat="1" ht="13.5" x14ac:dyDescent="0.2">
      <c r="A4" s="595">
        <v>3</v>
      </c>
      <c r="B4" s="779" t="s">
        <v>240</v>
      </c>
      <c r="C4" s="1214"/>
      <c r="D4" s="1214"/>
      <c r="E4" s="1214"/>
      <c r="F4" s="1214"/>
      <c r="G4" s="1214"/>
      <c r="H4" s="1214"/>
      <c r="I4" s="1214"/>
      <c r="J4" s="1214"/>
      <c r="K4" s="1214"/>
      <c r="L4" s="1214"/>
      <c r="M4" s="1214"/>
      <c r="N4" s="1214"/>
      <c r="O4" s="1214"/>
      <c r="P4" s="1214"/>
      <c r="Q4" s="1214"/>
      <c r="R4" s="1214"/>
      <c r="S4" s="1214"/>
      <c r="T4" s="1214"/>
      <c r="U4" s="1214"/>
      <c r="V4" s="1214"/>
      <c r="W4" s="1214"/>
      <c r="X4" s="1236"/>
      <c r="Y4" s="1215"/>
      <c r="Z4" s="1216"/>
    </row>
    <row r="5" spans="1:26" s="531" customFormat="1" ht="13.5" x14ac:dyDescent="0.2">
      <c r="A5" s="595">
        <v>4</v>
      </c>
      <c r="B5" s="779" t="s">
        <v>241</v>
      </c>
      <c r="C5" s="1214"/>
      <c r="D5" s="1214"/>
      <c r="E5" s="1214"/>
      <c r="F5" s="1214"/>
      <c r="G5" s="1214"/>
      <c r="H5" s="1214"/>
      <c r="I5" s="1214"/>
      <c r="J5" s="1214"/>
      <c r="K5" s="1214"/>
      <c r="L5" s="1214"/>
      <c r="M5" s="1214"/>
      <c r="N5" s="1214"/>
      <c r="O5" s="1214"/>
      <c r="P5" s="1214"/>
      <c r="Q5" s="1214"/>
      <c r="R5" s="1214"/>
      <c r="S5" s="1214"/>
      <c r="T5" s="1214"/>
      <c r="U5" s="1214"/>
      <c r="V5" s="1214"/>
      <c r="W5" s="1214"/>
      <c r="X5" s="1236"/>
      <c r="Y5" s="1215"/>
      <c r="Z5" s="1216"/>
    </row>
    <row r="6" spans="1:26" s="531" customFormat="1" ht="13.5" x14ac:dyDescent="0.2">
      <c r="A6" s="595">
        <v>5</v>
      </c>
      <c r="B6" s="779" t="s">
        <v>242</v>
      </c>
      <c r="C6" s="1214"/>
      <c r="D6" s="1214"/>
      <c r="E6" s="1214"/>
      <c r="F6" s="1214"/>
      <c r="G6" s="1214"/>
      <c r="H6" s="1214"/>
      <c r="I6" s="1214"/>
      <c r="J6" s="1214"/>
      <c r="K6" s="1214"/>
      <c r="L6" s="1214"/>
      <c r="M6" s="1214"/>
      <c r="N6" s="1217"/>
      <c r="O6" s="1214"/>
      <c r="P6" s="1214"/>
      <c r="Q6" s="1214"/>
      <c r="R6" s="1214"/>
      <c r="S6" s="1214"/>
      <c r="T6" s="1214"/>
      <c r="U6" s="1213"/>
      <c r="V6" s="1214"/>
      <c r="W6" s="1214"/>
      <c r="X6" s="1236"/>
      <c r="Y6" s="1215"/>
      <c r="Z6" s="1216"/>
    </row>
    <row r="7" spans="1:26" s="531" customFormat="1" ht="13.5" x14ac:dyDescent="0.2">
      <c r="A7" s="595">
        <v>6</v>
      </c>
      <c r="B7" s="779" t="s">
        <v>243</v>
      </c>
      <c r="C7" s="1214"/>
      <c r="D7" s="1214"/>
      <c r="E7" s="1214"/>
      <c r="F7" s="1214"/>
      <c r="G7" s="1214"/>
      <c r="H7" s="1214"/>
      <c r="I7" s="1214"/>
      <c r="J7" s="1214"/>
      <c r="K7" s="1214"/>
      <c r="L7" s="1214"/>
      <c r="M7" s="1214"/>
      <c r="N7" s="1217"/>
      <c r="O7" s="1214"/>
      <c r="P7" s="1214"/>
      <c r="Q7" s="1214"/>
      <c r="R7" s="1214"/>
      <c r="S7" s="1214"/>
      <c r="T7" s="1214"/>
      <c r="U7" s="1213"/>
      <c r="V7" s="1214"/>
      <c r="W7" s="1214"/>
      <c r="X7" s="1236"/>
      <c r="Y7" s="1215"/>
      <c r="Z7" s="1216"/>
    </row>
    <row r="8" spans="1:26" s="531" customFormat="1" ht="22.5" x14ac:dyDescent="0.2">
      <c r="A8" s="595">
        <v>7</v>
      </c>
      <c r="B8" s="780" t="s">
        <v>229</v>
      </c>
      <c r="C8" s="1237"/>
      <c r="D8" s="1237"/>
      <c r="E8" s="1237"/>
      <c r="F8" s="1237"/>
      <c r="G8" s="1237"/>
      <c r="H8" s="1237"/>
      <c r="I8" s="1237"/>
      <c r="J8" s="1237"/>
      <c r="K8" s="1237"/>
      <c r="L8" s="1237"/>
      <c r="M8" s="1237"/>
      <c r="N8" s="1237"/>
      <c r="O8" s="1237"/>
      <c r="P8" s="1237"/>
      <c r="Q8" s="1237"/>
      <c r="R8" s="1237"/>
      <c r="S8" s="1237"/>
      <c r="T8" s="1237"/>
      <c r="U8" s="1237"/>
      <c r="V8" s="1237"/>
      <c r="W8" s="1237"/>
      <c r="X8" s="1237"/>
      <c r="Y8" s="1237"/>
      <c r="Z8" s="780"/>
    </row>
    <row r="9" spans="1:26" s="531" customFormat="1" ht="13.5" x14ac:dyDescent="0.2">
      <c r="A9" s="595">
        <v>8</v>
      </c>
      <c r="B9" s="779" t="s">
        <v>244</v>
      </c>
      <c r="C9" s="1214"/>
      <c r="D9" s="1214"/>
      <c r="E9" s="1214"/>
      <c r="F9" s="1214"/>
      <c r="G9" s="1214"/>
      <c r="H9" s="1214"/>
      <c r="I9" s="1214"/>
      <c r="J9" s="1214"/>
      <c r="K9" s="1214"/>
      <c r="L9" s="1214"/>
      <c r="M9" s="1214"/>
      <c r="N9" s="1217"/>
      <c r="O9" s="1214"/>
      <c r="P9" s="1214"/>
      <c r="Q9" s="1214"/>
      <c r="R9" s="1214"/>
      <c r="S9" s="1214"/>
      <c r="T9" s="1214"/>
      <c r="U9" s="1213"/>
      <c r="V9" s="1214"/>
      <c r="W9" s="1214"/>
      <c r="X9" s="1236"/>
      <c r="Y9" s="1215"/>
      <c r="Z9" s="1216"/>
    </row>
    <row r="10" spans="1:26" s="531" customFormat="1" x14ac:dyDescent="0.2">
      <c r="A10" s="892">
        <v>9</v>
      </c>
      <c r="B10" s="781" t="s">
        <v>245</v>
      </c>
      <c r="C10" s="1214"/>
      <c r="D10" s="1214"/>
      <c r="E10" s="1214"/>
      <c r="F10" s="1214"/>
      <c r="G10" s="1214"/>
      <c r="H10" s="1214"/>
      <c r="I10" s="1214"/>
      <c r="J10" s="1214"/>
      <c r="K10" s="1214"/>
      <c r="L10" s="1214"/>
      <c r="M10" s="1214"/>
      <c r="N10" s="1217"/>
      <c r="O10" s="1214"/>
      <c r="P10" s="1214"/>
      <c r="Q10" s="1214"/>
      <c r="R10" s="1214"/>
      <c r="S10" s="1214"/>
      <c r="T10" s="1214"/>
      <c r="U10" s="1213"/>
      <c r="V10" s="1214"/>
      <c r="W10" s="1214"/>
      <c r="X10" s="1236"/>
      <c r="Y10" s="1215"/>
      <c r="Z10" s="1216"/>
    </row>
    <row r="11" spans="1:26" s="531" customFormat="1" ht="13.5" x14ac:dyDescent="0.2">
      <c r="A11" s="595">
        <v>10</v>
      </c>
      <c r="B11" s="779" t="s">
        <v>246</v>
      </c>
      <c r="C11" s="1214"/>
      <c r="D11" s="1214"/>
      <c r="E11" s="1214"/>
      <c r="F11" s="1214"/>
      <c r="G11" s="1214"/>
      <c r="H11" s="1214"/>
      <c r="I11" s="1214"/>
      <c r="J11" s="1214"/>
      <c r="K11" s="1214"/>
      <c r="L11" s="1214"/>
      <c r="M11" s="1214"/>
      <c r="N11" s="1217"/>
      <c r="O11" s="1214"/>
      <c r="P11" s="1214"/>
      <c r="Q11" s="1214"/>
      <c r="R11" s="1214"/>
      <c r="S11" s="1214"/>
      <c r="T11" s="1214"/>
      <c r="U11" s="1213"/>
      <c r="V11" s="1214"/>
      <c r="W11" s="1214"/>
      <c r="X11" s="1236"/>
      <c r="Y11" s="1215"/>
      <c r="Z11" s="1216"/>
    </row>
    <row r="12" spans="1:26" s="531" customFormat="1" ht="13.5" x14ac:dyDescent="0.2">
      <c r="A12" s="595">
        <v>11</v>
      </c>
      <c r="B12" s="779" t="s">
        <v>247</v>
      </c>
      <c r="C12" s="1166">
        <v>1306</v>
      </c>
      <c r="D12" s="1166">
        <v>3426</v>
      </c>
      <c r="E12" s="1166">
        <v>6958</v>
      </c>
      <c r="F12" s="1166">
        <v>3198</v>
      </c>
      <c r="G12" s="1166">
        <v>16666</v>
      </c>
      <c r="H12" s="1166">
        <v>2389</v>
      </c>
      <c r="I12" s="1166">
        <v>15342</v>
      </c>
      <c r="J12" s="1166">
        <v>3368</v>
      </c>
      <c r="K12" s="1166">
        <v>2769</v>
      </c>
      <c r="L12" s="1166">
        <v>6750</v>
      </c>
      <c r="M12" s="1166">
        <v>2093</v>
      </c>
      <c r="N12" s="1166">
        <v>3078</v>
      </c>
      <c r="O12" s="1166">
        <v>2774</v>
      </c>
      <c r="P12" s="1166">
        <v>4133</v>
      </c>
      <c r="Q12" s="1166">
        <v>4116</v>
      </c>
      <c r="R12" s="1166">
        <v>11768</v>
      </c>
      <c r="S12" s="1166">
        <v>3405</v>
      </c>
      <c r="T12" s="1166">
        <v>1988</v>
      </c>
      <c r="U12" s="1166">
        <v>1365</v>
      </c>
      <c r="V12" s="1166">
        <v>8147</v>
      </c>
      <c r="W12" s="1166">
        <v>1115</v>
      </c>
      <c r="X12" s="1238">
        <v>1131</v>
      </c>
      <c r="Y12" s="1168">
        <v>97760</v>
      </c>
      <c r="Z12" s="586">
        <v>621470</v>
      </c>
    </row>
    <row r="13" spans="1:26" s="531" customFormat="1" ht="13.5" x14ac:dyDescent="0.2">
      <c r="A13" s="595">
        <v>12</v>
      </c>
      <c r="B13" s="779" t="s">
        <v>248</v>
      </c>
      <c r="C13" s="1214"/>
      <c r="D13" s="1214"/>
      <c r="E13" s="1214"/>
      <c r="F13" s="1214"/>
      <c r="G13" s="1214"/>
      <c r="H13" s="1214"/>
      <c r="I13" s="1214"/>
      <c r="J13" s="1214"/>
      <c r="K13" s="1214"/>
      <c r="L13" s="1214"/>
      <c r="M13" s="1214"/>
      <c r="N13" s="1214"/>
      <c r="O13" s="1214"/>
      <c r="P13" s="1214"/>
      <c r="Q13" s="1214"/>
      <c r="R13" s="1214"/>
      <c r="S13" s="1214"/>
      <c r="T13" s="1214"/>
      <c r="U13" s="1214"/>
      <c r="V13" s="1214"/>
      <c r="W13" s="1214"/>
      <c r="X13" s="1236"/>
      <c r="Y13" s="1215"/>
      <c r="Z13" s="1216"/>
    </row>
    <row r="14" spans="1:26" s="531" customFormat="1" ht="13.5" x14ac:dyDescent="0.2">
      <c r="A14" s="595">
        <v>13</v>
      </c>
      <c r="B14" s="779" t="s">
        <v>249</v>
      </c>
      <c r="C14" s="1166">
        <v>1080</v>
      </c>
      <c r="D14" s="1166">
        <v>3099</v>
      </c>
      <c r="E14" s="1166">
        <v>5824</v>
      </c>
      <c r="F14" s="1166">
        <v>3117</v>
      </c>
      <c r="G14" s="1166">
        <v>14993</v>
      </c>
      <c r="H14" s="1166">
        <v>2133</v>
      </c>
      <c r="I14" s="1166">
        <v>15235</v>
      </c>
      <c r="J14" s="1166">
        <v>2964</v>
      </c>
      <c r="K14" s="1166">
        <v>2126</v>
      </c>
      <c r="L14" s="1166">
        <v>6185</v>
      </c>
      <c r="M14" s="1166">
        <v>2041</v>
      </c>
      <c r="N14" s="1166">
        <v>2770</v>
      </c>
      <c r="O14" s="1166">
        <v>2745</v>
      </c>
      <c r="P14" s="1166">
        <v>4108</v>
      </c>
      <c r="Q14" s="1166">
        <v>4116</v>
      </c>
      <c r="R14" s="1166">
        <v>11586</v>
      </c>
      <c r="S14" s="1166">
        <v>2993</v>
      </c>
      <c r="T14" s="1166">
        <v>1698</v>
      </c>
      <c r="U14" s="1166">
        <v>1365</v>
      </c>
      <c r="V14" s="1166">
        <v>7152</v>
      </c>
      <c r="W14" s="1166">
        <v>908</v>
      </c>
      <c r="X14" s="1238">
        <v>1131</v>
      </c>
      <c r="Y14" s="1168">
        <f t="shared" ref="Y14:Y40" si="0">SUM(C14:O14,Q14:R14,U14:X14)</f>
        <v>90570</v>
      </c>
      <c r="Z14" s="586">
        <v>559670</v>
      </c>
    </row>
    <row r="15" spans="1:26" s="531" customFormat="1" ht="13.5" x14ac:dyDescent="0.2">
      <c r="A15" s="595">
        <v>14</v>
      </c>
      <c r="B15" s="780" t="s">
        <v>230</v>
      </c>
      <c r="C15" s="1237"/>
      <c r="D15" s="1237"/>
      <c r="E15" s="1237"/>
      <c r="F15" s="1237"/>
      <c r="G15" s="1237"/>
      <c r="H15" s="1237"/>
      <c r="I15" s="1237"/>
      <c r="J15" s="1237"/>
      <c r="K15" s="1237"/>
      <c r="L15" s="1237"/>
      <c r="M15" s="1237"/>
      <c r="N15" s="1237"/>
      <c r="O15" s="1237"/>
      <c r="P15" s="1237"/>
      <c r="Q15" s="1237"/>
      <c r="R15" s="1237"/>
      <c r="S15" s="1237"/>
      <c r="T15" s="1237"/>
      <c r="U15" s="1237"/>
      <c r="V15" s="1237"/>
      <c r="W15" s="1237"/>
      <c r="X15" s="1237"/>
      <c r="Y15" s="1237"/>
      <c r="Z15" s="780"/>
    </row>
    <row r="16" spans="1:26" s="531" customFormat="1" ht="13.5" x14ac:dyDescent="0.2">
      <c r="A16" s="894"/>
      <c r="B16" s="782" t="s">
        <v>250</v>
      </c>
      <c r="C16" s="588">
        <v>153</v>
      </c>
      <c r="D16" s="1166">
        <v>179</v>
      </c>
      <c r="E16" s="1166">
        <v>560</v>
      </c>
      <c r="F16" s="1166">
        <v>157</v>
      </c>
      <c r="G16" s="1166">
        <v>1835</v>
      </c>
      <c r="H16" s="1166">
        <v>248</v>
      </c>
      <c r="I16" s="1166">
        <v>1577</v>
      </c>
      <c r="J16" s="1166">
        <v>375</v>
      </c>
      <c r="K16" s="1166">
        <v>219</v>
      </c>
      <c r="L16" s="1166">
        <v>490</v>
      </c>
      <c r="M16" s="1166">
        <v>228</v>
      </c>
      <c r="N16" s="1166">
        <v>231</v>
      </c>
      <c r="O16" s="1166">
        <v>177</v>
      </c>
      <c r="P16" s="1166">
        <v>512</v>
      </c>
      <c r="Q16" s="1166">
        <v>143</v>
      </c>
      <c r="R16" s="1166">
        <v>707</v>
      </c>
      <c r="S16" s="1166">
        <v>323</v>
      </c>
      <c r="T16" s="1166">
        <v>134</v>
      </c>
      <c r="U16" s="1166">
        <v>79</v>
      </c>
      <c r="V16" s="1166">
        <v>2017</v>
      </c>
      <c r="W16" s="1166">
        <v>105</v>
      </c>
      <c r="X16" s="1238">
        <v>368</v>
      </c>
      <c r="Y16" s="1168">
        <v>9850</v>
      </c>
      <c r="Z16" s="586">
        <v>57050</v>
      </c>
    </row>
    <row r="17" spans="1:26" s="531" customFormat="1" ht="13.5" x14ac:dyDescent="0.2">
      <c r="A17" s="894"/>
      <c r="B17" s="782" t="s">
        <v>251</v>
      </c>
      <c r="C17" s="1213"/>
      <c r="D17" s="1214"/>
      <c r="E17" s="1214"/>
      <c r="F17" s="1214"/>
      <c r="G17" s="1214"/>
      <c r="H17" s="1214"/>
      <c r="I17" s="1214"/>
      <c r="J17" s="1214"/>
      <c r="K17" s="1214"/>
      <c r="L17" s="1214"/>
      <c r="M17" s="1214"/>
      <c r="N17" s="1214"/>
      <c r="O17" s="1214"/>
      <c r="P17" s="1214"/>
      <c r="Q17" s="1214"/>
      <c r="R17" s="1214"/>
      <c r="S17" s="1214"/>
      <c r="T17" s="1214"/>
      <c r="U17" s="1214"/>
      <c r="V17" s="1214"/>
      <c r="W17" s="1214"/>
      <c r="X17" s="1236"/>
      <c r="Y17" s="1215"/>
      <c r="Z17" s="1216"/>
    </row>
    <row r="18" spans="1:26" s="531" customFormat="1" ht="13.5" x14ac:dyDescent="0.2">
      <c r="A18" s="894"/>
      <c r="B18" s="782" t="s">
        <v>252</v>
      </c>
      <c r="C18" s="1213"/>
      <c r="D18" s="1214"/>
      <c r="E18" s="1214"/>
      <c r="F18" s="1214"/>
      <c r="G18" s="1214"/>
      <c r="H18" s="1214"/>
      <c r="I18" s="1214"/>
      <c r="J18" s="1214"/>
      <c r="K18" s="1214"/>
      <c r="L18" s="1214"/>
      <c r="M18" s="1214"/>
      <c r="N18" s="1214"/>
      <c r="O18" s="1214"/>
      <c r="P18" s="1214"/>
      <c r="Q18" s="1214"/>
      <c r="R18" s="1214"/>
      <c r="S18" s="1214"/>
      <c r="T18" s="1214"/>
      <c r="U18" s="1214"/>
      <c r="V18" s="1214"/>
      <c r="W18" s="1214"/>
      <c r="X18" s="1236"/>
      <c r="Y18" s="1215"/>
      <c r="Z18" s="1216"/>
    </row>
    <row r="19" spans="1:26" s="531" customFormat="1" ht="13.5" x14ac:dyDescent="0.2">
      <c r="A19" s="894"/>
      <c r="B19" s="782" t="s">
        <v>253</v>
      </c>
      <c r="C19" s="1213"/>
      <c r="D19" s="1214"/>
      <c r="E19" s="1214"/>
      <c r="F19" s="1214"/>
      <c r="G19" s="1214"/>
      <c r="H19" s="1214"/>
      <c r="I19" s="1214"/>
      <c r="J19" s="1214"/>
      <c r="K19" s="1214"/>
      <c r="L19" s="1214"/>
      <c r="M19" s="1214"/>
      <c r="N19" s="1214"/>
      <c r="O19" s="1214"/>
      <c r="P19" s="1214"/>
      <c r="Q19" s="1214"/>
      <c r="R19" s="1214"/>
      <c r="S19" s="1214"/>
      <c r="T19" s="1214"/>
      <c r="U19" s="1214"/>
      <c r="V19" s="1214"/>
      <c r="W19" s="1214"/>
      <c r="X19" s="1236"/>
      <c r="Y19" s="1215"/>
      <c r="Z19" s="1216"/>
    </row>
    <row r="20" spans="1:26" s="531" customFormat="1" ht="13.5" x14ac:dyDescent="0.2">
      <c r="A20" s="894"/>
      <c r="B20" s="782" t="s">
        <v>254</v>
      </c>
      <c r="C20" s="588">
        <v>343</v>
      </c>
      <c r="D20" s="1166">
        <v>523</v>
      </c>
      <c r="E20" s="1166">
        <v>1650</v>
      </c>
      <c r="F20" s="1166">
        <v>241</v>
      </c>
      <c r="G20" s="1166">
        <v>4149</v>
      </c>
      <c r="H20" s="1166">
        <v>672</v>
      </c>
      <c r="I20" s="1166">
        <v>2617</v>
      </c>
      <c r="J20" s="1166">
        <v>848</v>
      </c>
      <c r="K20" s="1166">
        <v>620</v>
      </c>
      <c r="L20" s="1166">
        <v>964</v>
      </c>
      <c r="M20" s="1166">
        <v>341</v>
      </c>
      <c r="N20" s="587">
        <v>590</v>
      </c>
      <c r="O20" s="1166">
        <v>524</v>
      </c>
      <c r="P20" s="1166">
        <v>733</v>
      </c>
      <c r="Q20" s="1166">
        <v>819</v>
      </c>
      <c r="R20" s="1166">
        <v>1850</v>
      </c>
      <c r="S20" s="1166">
        <v>597</v>
      </c>
      <c r="T20" s="1166">
        <v>307</v>
      </c>
      <c r="U20" s="588">
        <v>224</v>
      </c>
      <c r="V20" s="1166">
        <v>1204</v>
      </c>
      <c r="W20" s="1166">
        <v>128</v>
      </c>
      <c r="X20" s="1238">
        <v>179</v>
      </c>
      <c r="Y20" s="1168">
        <v>18490</v>
      </c>
      <c r="Z20" s="586">
        <v>103670</v>
      </c>
    </row>
    <row r="21" spans="1:26" s="531" customFormat="1" ht="13.5" x14ac:dyDescent="0.2">
      <c r="A21" s="894"/>
      <c r="B21" s="782" t="s">
        <v>255</v>
      </c>
      <c r="C21" s="588">
        <v>19</v>
      </c>
      <c r="D21" s="1166">
        <v>76</v>
      </c>
      <c r="E21" s="1166" t="s">
        <v>73</v>
      </c>
      <c r="F21" s="1166">
        <v>20</v>
      </c>
      <c r="G21" s="1166">
        <v>0</v>
      </c>
      <c r="H21" s="1166">
        <v>0</v>
      </c>
      <c r="I21" s="1166">
        <v>216</v>
      </c>
      <c r="J21" s="1166">
        <v>57</v>
      </c>
      <c r="K21" s="1166">
        <v>69</v>
      </c>
      <c r="L21" s="1166">
        <v>322</v>
      </c>
      <c r="M21" s="1166">
        <v>45</v>
      </c>
      <c r="N21" s="587">
        <v>56</v>
      </c>
      <c r="O21" s="1166">
        <v>48</v>
      </c>
      <c r="P21" s="1166">
        <v>85</v>
      </c>
      <c r="Q21" s="1166">
        <v>11</v>
      </c>
      <c r="R21" s="1166">
        <v>126</v>
      </c>
      <c r="S21" s="1166">
        <v>22</v>
      </c>
      <c r="T21" s="1166">
        <v>0</v>
      </c>
      <c r="U21" s="588">
        <v>33</v>
      </c>
      <c r="V21" s="1166">
        <v>0</v>
      </c>
      <c r="W21" s="1166" t="s">
        <v>73</v>
      </c>
      <c r="X21" s="1238">
        <v>18</v>
      </c>
      <c r="Y21" s="1168">
        <v>1120</v>
      </c>
      <c r="Z21" s="586">
        <v>16900</v>
      </c>
    </row>
    <row r="22" spans="1:26" s="531" customFormat="1" ht="13.5" x14ac:dyDescent="0.2">
      <c r="A22" s="894"/>
      <c r="B22" s="782" t="s">
        <v>256</v>
      </c>
      <c r="C22" s="588">
        <v>118</v>
      </c>
      <c r="D22" s="1166">
        <v>488</v>
      </c>
      <c r="E22" s="1166">
        <v>1150</v>
      </c>
      <c r="F22" s="1166">
        <v>191</v>
      </c>
      <c r="G22" s="1166">
        <v>2148</v>
      </c>
      <c r="H22" s="1166">
        <v>278</v>
      </c>
      <c r="I22" s="1166">
        <v>2128</v>
      </c>
      <c r="J22" s="1166">
        <v>350</v>
      </c>
      <c r="K22" s="1166">
        <v>270</v>
      </c>
      <c r="L22" s="1166">
        <v>1035</v>
      </c>
      <c r="M22" s="1166">
        <v>300</v>
      </c>
      <c r="N22" s="587">
        <v>402</v>
      </c>
      <c r="O22" s="1166">
        <v>346</v>
      </c>
      <c r="P22" s="1166">
        <v>686</v>
      </c>
      <c r="Q22" s="1166">
        <v>585</v>
      </c>
      <c r="R22" s="1166">
        <v>1597</v>
      </c>
      <c r="S22" s="1166">
        <v>392</v>
      </c>
      <c r="T22" s="1166">
        <v>260</v>
      </c>
      <c r="U22" s="588">
        <v>146</v>
      </c>
      <c r="V22" s="1166">
        <v>765</v>
      </c>
      <c r="W22" s="1166">
        <v>111</v>
      </c>
      <c r="X22" s="1238">
        <v>53</v>
      </c>
      <c r="Y22" s="1168">
        <v>12460</v>
      </c>
      <c r="Z22" s="586">
        <v>89080</v>
      </c>
    </row>
    <row r="23" spans="1:26" s="531" customFormat="1" ht="13.5" x14ac:dyDescent="0.2">
      <c r="A23" s="894"/>
      <c r="B23" s="782" t="s">
        <v>257</v>
      </c>
      <c r="C23" s="1213"/>
      <c r="D23" s="1214"/>
      <c r="E23" s="1214"/>
      <c r="F23" s="1214"/>
      <c r="G23" s="1214"/>
      <c r="H23" s="1214"/>
      <c r="I23" s="1214"/>
      <c r="J23" s="1214"/>
      <c r="K23" s="1214"/>
      <c r="L23" s="1214"/>
      <c r="M23" s="1214"/>
      <c r="N23" s="1217"/>
      <c r="O23" s="1214"/>
      <c r="P23" s="1214"/>
      <c r="Q23" s="1214"/>
      <c r="R23" s="1214"/>
      <c r="S23" s="1214"/>
      <c r="T23" s="1214"/>
      <c r="U23" s="1213"/>
      <c r="V23" s="1214"/>
      <c r="W23" s="1214"/>
      <c r="X23" s="1236"/>
      <c r="Y23" s="1215"/>
      <c r="Z23" s="1216"/>
    </row>
    <row r="24" spans="1:26" s="531" customFormat="1" ht="13.5" x14ac:dyDescent="0.2">
      <c r="A24" s="894"/>
      <c r="B24" s="782" t="s">
        <v>258</v>
      </c>
      <c r="C24" s="1213"/>
      <c r="D24" s="1214"/>
      <c r="E24" s="1214"/>
      <c r="F24" s="1214"/>
      <c r="G24" s="1214"/>
      <c r="H24" s="1214"/>
      <c r="I24" s="1214"/>
      <c r="J24" s="1214"/>
      <c r="K24" s="1214"/>
      <c r="L24" s="1214"/>
      <c r="M24" s="1214"/>
      <c r="N24" s="1217"/>
      <c r="O24" s="1214"/>
      <c r="P24" s="1214"/>
      <c r="Q24" s="1214"/>
      <c r="R24" s="1214"/>
      <c r="S24" s="1214"/>
      <c r="T24" s="1214"/>
      <c r="U24" s="1213"/>
      <c r="V24" s="1214"/>
      <c r="W24" s="1214"/>
      <c r="X24" s="1236"/>
      <c r="Y24" s="1215"/>
      <c r="Z24" s="1216"/>
    </row>
    <row r="25" spans="1:26" s="531" customFormat="1" ht="13.5" x14ac:dyDescent="0.2">
      <c r="A25" s="894"/>
      <c r="B25" s="782" t="s">
        <v>259</v>
      </c>
      <c r="C25" s="1213"/>
      <c r="D25" s="1214"/>
      <c r="E25" s="1214"/>
      <c r="F25" s="1214"/>
      <c r="G25" s="1214"/>
      <c r="H25" s="1214"/>
      <c r="I25" s="1214"/>
      <c r="J25" s="1214"/>
      <c r="K25" s="1214"/>
      <c r="L25" s="1214"/>
      <c r="M25" s="1214"/>
      <c r="N25" s="1217"/>
      <c r="O25" s="1214"/>
      <c r="P25" s="1214"/>
      <c r="Q25" s="1214"/>
      <c r="R25" s="1214"/>
      <c r="S25" s="1214"/>
      <c r="T25" s="1214"/>
      <c r="U25" s="1213"/>
      <c r="V25" s="1214"/>
      <c r="W25" s="1214"/>
      <c r="X25" s="1236"/>
      <c r="Y25" s="1215"/>
      <c r="Z25" s="1216"/>
    </row>
    <row r="26" spans="1:26" s="531" customFormat="1" ht="13.5" x14ac:dyDescent="0.2">
      <c r="A26" s="894"/>
      <c r="B26" s="782" t="s">
        <v>260</v>
      </c>
      <c r="C26" s="1213"/>
      <c r="D26" s="1214"/>
      <c r="E26" s="1214"/>
      <c r="F26" s="1214"/>
      <c r="G26" s="1214"/>
      <c r="H26" s="1214"/>
      <c r="I26" s="1214"/>
      <c r="J26" s="1214"/>
      <c r="K26" s="1214"/>
      <c r="L26" s="1214"/>
      <c r="M26" s="1214"/>
      <c r="N26" s="1217"/>
      <c r="O26" s="1214"/>
      <c r="P26" s="1214"/>
      <c r="Q26" s="1214"/>
      <c r="R26" s="1214"/>
      <c r="S26" s="1214"/>
      <c r="T26" s="1214"/>
      <c r="U26" s="1213"/>
      <c r="V26" s="1214"/>
      <c r="W26" s="1214"/>
      <c r="X26" s="1236"/>
      <c r="Y26" s="1215"/>
      <c r="Z26" s="1216"/>
    </row>
    <row r="27" spans="1:26" s="531" customFormat="1" ht="13.5" x14ac:dyDescent="0.2">
      <c r="A27" s="894"/>
      <c r="B27" s="782" t="s">
        <v>261</v>
      </c>
      <c r="C27" s="1213"/>
      <c r="D27" s="1214"/>
      <c r="E27" s="1214"/>
      <c r="F27" s="1214"/>
      <c r="G27" s="1214"/>
      <c r="H27" s="1214"/>
      <c r="I27" s="1214"/>
      <c r="J27" s="1214"/>
      <c r="K27" s="1214"/>
      <c r="L27" s="1214"/>
      <c r="M27" s="1214"/>
      <c r="N27" s="1217"/>
      <c r="O27" s="1214"/>
      <c r="P27" s="1214"/>
      <c r="Q27" s="1214"/>
      <c r="R27" s="1214"/>
      <c r="S27" s="1214"/>
      <c r="T27" s="1214"/>
      <c r="U27" s="1213"/>
      <c r="V27" s="1214"/>
      <c r="W27" s="1214"/>
      <c r="X27" s="1236"/>
      <c r="Y27" s="1215"/>
      <c r="Z27" s="1216"/>
    </row>
    <row r="28" spans="1:26" s="531" customFormat="1" ht="13.5" x14ac:dyDescent="0.2">
      <c r="A28" s="894"/>
      <c r="B28" s="782" t="s">
        <v>262</v>
      </c>
      <c r="C28" s="588">
        <v>10</v>
      </c>
      <c r="D28" s="1166">
        <v>0</v>
      </c>
      <c r="E28" s="1166">
        <v>54</v>
      </c>
      <c r="F28" s="1166">
        <v>18</v>
      </c>
      <c r="G28" s="1166">
        <v>277</v>
      </c>
      <c r="H28" s="1166">
        <v>13</v>
      </c>
      <c r="I28" s="1166">
        <v>395</v>
      </c>
      <c r="J28" s="1166">
        <v>102</v>
      </c>
      <c r="K28" s="1166" t="s">
        <v>73</v>
      </c>
      <c r="L28" s="1166">
        <v>89</v>
      </c>
      <c r="M28" s="1166">
        <v>45</v>
      </c>
      <c r="N28" s="587">
        <v>123</v>
      </c>
      <c r="O28" s="1166">
        <v>21</v>
      </c>
      <c r="P28" s="1166" t="s">
        <v>73</v>
      </c>
      <c r="Q28" s="1166">
        <v>47</v>
      </c>
      <c r="R28" s="1166">
        <v>84</v>
      </c>
      <c r="S28" s="1166">
        <v>67</v>
      </c>
      <c r="T28" s="1166">
        <v>10</v>
      </c>
      <c r="U28" s="588">
        <v>54</v>
      </c>
      <c r="V28" s="1166">
        <v>141</v>
      </c>
      <c r="W28" s="1166">
        <v>11</v>
      </c>
      <c r="X28" s="1238" t="s">
        <v>73</v>
      </c>
      <c r="Y28" s="1168">
        <v>1540</v>
      </c>
      <c r="Z28" s="586">
        <v>9710</v>
      </c>
    </row>
    <row r="29" spans="1:26" s="531" customFormat="1" ht="13.5" x14ac:dyDescent="0.2">
      <c r="A29" s="894"/>
      <c r="B29" s="782" t="s">
        <v>263</v>
      </c>
      <c r="C29" s="588">
        <v>229</v>
      </c>
      <c r="D29" s="1166">
        <v>709</v>
      </c>
      <c r="E29" s="1166">
        <v>937</v>
      </c>
      <c r="F29" s="1166">
        <v>300</v>
      </c>
      <c r="G29" s="1166">
        <v>1596</v>
      </c>
      <c r="H29" s="1166">
        <v>214</v>
      </c>
      <c r="I29" s="1166">
        <v>1670</v>
      </c>
      <c r="J29" s="1166">
        <v>515</v>
      </c>
      <c r="K29" s="1166">
        <v>462</v>
      </c>
      <c r="L29" s="1166">
        <v>655</v>
      </c>
      <c r="M29" s="1166">
        <v>246</v>
      </c>
      <c r="N29" s="587">
        <v>254</v>
      </c>
      <c r="O29" s="1166">
        <v>553</v>
      </c>
      <c r="P29" s="1166">
        <v>624</v>
      </c>
      <c r="Q29" s="1166">
        <v>417</v>
      </c>
      <c r="R29" s="1166">
        <v>1079</v>
      </c>
      <c r="S29" s="1166">
        <v>266</v>
      </c>
      <c r="T29" s="1166">
        <v>466</v>
      </c>
      <c r="U29" s="588">
        <v>310</v>
      </c>
      <c r="V29" s="1166">
        <v>779</v>
      </c>
      <c r="W29" s="1166">
        <v>423</v>
      </c>
      <c r="X29" s="1238">
        <v>46</v>
      </c>
      <c r="Y29" s="1168">
        <v>11390</v>
      </c>
      <c r="Z29" s="586">
        <v>83250</v>
      </c>
    </row>
    <row r="30" spans="1:26" s="531" customFormat="1" ht="13.5" x14ac:dyDescent="0.2">
      <c r="A30" s="894"/>
      <c r="B30" s="782" t="s">
        <v>264</v>
      </c>
      <c r="C30" s="1213"/>
      <c r="D30" s="1214"/>
      <c r="E30" s="1214"/>
      <c r="F30" s="1214"/>
      <c r="G30" s="1214"/>
      <c r="H30" s="1214"/>
      <c r="I30" s="1214"/>
      <c r="J30" s="1214"/>
      <c r="K30" s="1214"/>
      <c r="L30" s="1214"/>
      <c r="M30" s="1214"/>
      <c r="N30" s="1217"/>
      <c r="O30" s="1214"/>
      <c r="P30" s="1214"/>
      <c r="Q30" s="1214"/>
      <c r="R30" s="1214"/>
      <c r="S30" s="1214"/>
      <c r="T30" s="1214"/>
      <c r="U30" s="1213"/>
      <c r="V30" s="1214"/>
      <c r="W30" s="1214"/>
      <c r="X30" s="1236"/>
      <c r="Y30" s="1215"/>
      <c r="Z30" s="1216"/>
    </row>
    <row r="31" spans="1:26" s="531" customFormat="1" ht="13.5" x14ac:dyDescent="0.2">
      <c r="A31" s="894"/>
      <c r="B31" s="782" t="s">
        <v>265</v>
      </c>
      <c r="C31" s="1213"/>
      <c r="D31" s="1214"/>
      <c r="E31" s="1214"/>
      <c r="F31" s="1214"/>
      <c r="G31" s="1214"/>
      <c r="H31" s="1214"/>
      <c r="I31" s="1214"/>
      <c r="J31" s="1214"/>
      <c r="K31" s="1214"/>
      <c r="L31" s="1214"/>
      <c r="M31" s="1214"/>
      <c r="N31" s="1217"/>
      <c r="O31" s="1214"/>
      <c r="P31" s="1214"/>
      <c r="Q31" s="1214"/>
      <c r="R31" s="1214"/>
      <c r="S31" s="1214"/>
      <c r="T31" s="1214"/>
      <c r="U31" s="1213"/>
      <c r="V31" s="1214"/>
      <c r="W31" s="1214"/>
      <c r="X31" s="1236"/>
      <c r="Y31" s="1215"/>
      <c r="Z31" s="1216"/>
    </row>
    <row r="32" spans="1:26" s="531" customFormat="1" ht="13.5" x14ac:dyDescent="0.2">
      <c r="A32" s="894"/>
      <c r="B32" s="782" t="s">
        <v>266</v>
      </c>
      <c r="C32" s="588">
        <v>317</v>
      </c>
      <c r="D32" s="1166">
        <v>844</v>
      </c>
      <c r="E32" s="1166">
        <v>1884</v>
      </c>
      <c r="F32" s="1166">
        <v>552</v>
      </c>
      <c r="G32" s="1166">
        <v>4346</v>
      </c>
      <c r="H32" s="1166">
        <v>606</v>
      </c>
      <c r="I32" s="1166">
        <v>3886</v>
      </c>
      <c r="J32" s="1166">
        <v>718</v>
      </c>
      <c r="K32" s="1166">
        <v>718</v>
      </c>
      <c r="L32" s="1166">
        <v>2323</v>
      </c>
      <c r="M32" s="1166">
        <v>655</v>
      </c>
      <c r="N32" s="587">
        <v>1014</v>
      </c>
      <c r="O32" s="1166">
        <v>917</v>
      </c>
      <c r="P32" s="1166">
        <v>955</v>
      </c>
      <c r="Q32" s="1166">
        <v>951</v>
      </c>
      <c r="R32" s="1166">
        <v>4858</v>
      </c>
      <c r="S32" s="1166">
        <v>1099</v>
      </c>
      <c r="T32" s="1166">
        <v>520</v>
      </c>
      <c r="U32" s="588">
        <v>285</v>
      </c>
      <c r="V32" s="1166">
        <v>2562</v>
      </c>
      <c r="W32" s="1166">
        <v>265</v>
      </c>
      <c r="X32" s="1238">
        <v>420</v>
      </c>
      <c r="Y32" s="1168">
        <v>28120</v>
      </c>
      <c r="Z32" s="586">
        <v>171380</v>
      </c>
    </row>
    <row r="33" spans="1:26" s="531" customFormat="1" ht="13.5" x14ac:dyDescent="0.2">
      <c r="A33" s="894"/>
      <c r="B33" s="782" t="s">
        <v>267</v>
      </c>
      <c r="C33" s="588">
        <v>21</v>
      </c>
      <c r="D33" s="1166">
        <v>69</v>
      </c>
      <c r="E33" s="1166">
        <v>158</v>
      </c>
      <c r="F33" s="1166">
        <v>57</v>
      </c>
      <c r="G33" s="1166">
        <v>370</v>
      </c>
      <c r="H33" s="1166">
        <v>53</v>
      </c>
      <c r="I33" s="1166">
        <v>1321</v>
      </c>
      <c r="J33" s="1166">
        <v>142</v>
      </c>
      <c r="K33" s="1166">
        <v>160</v>
      </c>
      <c r="L33" s="1166">
        <v>128</v>
      </c>
      <c r="M33" s="1166">
        <v>70</v>
      </c>
      <c r="N33" s="587">
        <v>135</v>
      </c>
      <c r="O33" s="1166">
        <v>68</v>
      </c>
      <c r="P33" s="1166">
        <v>107</v>
      </c>
      <c r="Q33" s="1166">
        <v>67</v>
      </c>
      <c r="R33" s="1166">
        <v>319</v>
      </c>
      <c r="S33" s="1166">
        <v>72</v>
      </c>
      <c r="T33" s="1166">
        <v>33</v>
      </c>
      <c r="U33" s="588">
        <v>24</v>
      </c>
      <c r="V33" s="1166">
        <v>336</v>
      </c>
      <c r="W33" s="1166">
        <v>28</v>
      </c>
      <c r="X33" s="1238">
        <v>0</v>
      </c>
      <c r="Y33" s="1168">
        <v>3530</v>
      </c>
      <c r="Z33" s="586">
        <v>20840</v>
      </c>
    </row>
    <row r="34" spans="1:26" s="531" customFormat="1" ht="13.5" x14ac:dyDescent="0.2">
      <c r="A34" s="894"/>
      <c r="B34" s="782" t="s">
        <v>268</v>
      </c>
      <c r="C34" s="588">
        <v>84</v>
      </c>
      <c r="D34" s="1166">
        <v>99</v>
      </c>
      <c r="E34" s="1166">
        <v>421</v>
      </c>
      <c r="F34" s="1166">
        <v>153</v>
      </c>
      <c r="G34" s="1166">
        <v>1255</v>
      </c>
      <c r="H34" s="1166">
        <v>241</v>
      </c>
      <c r="I34" s="1166">
        <v>1244</v>
      </c>
      <c r="J34" s="1166">
        <v>150</v>
      </c>
      <c r="K34" s="1166">
        <v>123</v>
      </c>
      <c r="L34" s="1166">
        <v>371</v>
      </c>
      <c r="M34" s="1166">
        <v>117</v>
      </c>
      <c r="N34" s="587">
        <v>204</v>
      </c>
      <c r="O34" s="1166">
        <v>89</v>
      </c>
      <c r="P34" s="1166">
        <v>185</v>
      </c>
      <c r="Q34" s="1166">
        <v>188</v>
      </c>
      <c r="R34" s="1166">
        <v>878</v>
      </c>
      <c r="S34" s="1166">
        <v>59</v>
      </c>
      <c r="T34" s="1166">
        <v>165</v>
      </c>
      <c r="U34" s="588">
        <v>207</v>
      </c>
      <c r="V34" s="1166">
        <v>67</v>
      </c>
      <c r="W34" s="1166">
        <v>33</v>
      </c>
      <c r="X34" s="1238" t="s">
        <v>73</v>
      </c>
      <c r="Y34" s="1168">
        <v>5930</v>
      </c>
      <c r="Z34" s="586">
        <v>38740</v>
      </c>
    </row>
    <row r="35" spans="1:26" s="531" customFormat="1" ht="13.5" x14ac:dyDescent="0.2">
      <c r="A35" s="894"/>
      <c r="B35" s="782" t="s">
        <v>269</v>
      </c>
      <c r="C35" s="588" t="s">
        <v>73</v>
      </c>
      <c r="D35" s="1166">
        <v>87</v>
      </c>
      <c r="E35" s="1166">
        <v>100</v>
      </c>
      <c r="F35" s="1166">
        <v>28</v>
      </c>
      <c r="G35" s="1166">
        <v>400</v>
      </c>
      <c r="H35" s="1166">
        <v>64</v>
      </c>
      <c r="I35" s="1166">
        <v>230</v>
      </c>
      <c r="J35" s="1166">
        <v>96</v>
      </c>
      <c r="K35" s="1166">
        <v>73</v>
      </c>
      <c r="L35" s="1166">
        <v>198</v>
      </c>
      <c r="M35" s="1166">
        <v>46</v>
      </c>
      <c r="N35" s="587">
        <v>22</v>
      </c>
      <c r="O35" s="1166">
        <v>31</v>
      </c>
      <c r="P35" s="1166">
        <v>184</v>
      </c>
      <c r="Q35" s="1166">
        <v>108</v>
      </c>
      <c r="R35" s="1166">
        <v>270</v>
      </c>
      <c r="S35" s="1166">
        <v>122</v>
      </c>
      <c r="T35" s="1166">
        <v>71</v>
      </c>
      <c r="U35" s="588" t="s">
        <v>73</v>
      </c>
      <c r="V35" s="1166">
        <v>0</v>
      </c>
      <c r="W35" s="1166">
        <v>7</v>
      </c>
      <c r="X35" s="1238">
        <v>39</v>
      </c>
      <c r="Y35" s="1168">
        <v>1810</v>
      </c>
      <c r="Z35" s="586">
        <v>13770</v>
      </c>
    </row>
    <row r="36" spans="1:26" s="531" customFormat="1" ht="13.5" x14ac:dyDescent="0.2">
      <c r="A36" s="894"/>
      <c r="B36" s="782" t="s">
        <v>270</v>
      </c>
      <c r="C36" s="588" t="s">
        <v>73</v>
      </c>
      <c r="D36" s="1166">
        <v>352</v>
      </c>
      <c r="E36" s="1166" t="s">
        <v>73</v>
      </c>
      <c r="F36" s="1166">
        <v>1481</v>
      </c>
      <c r="G36" s="1166">
        <v>290</v>
      </c>
      <c r="H36" s="1166">
        <v>0</v>
      </c>
      <c r="I36" s="1166">
        <v>58</v>
      </c>
      <c r="J36" s="1166">
        <v>15</v>
      </c>
      <c r="K36" s="1166" t="s">
        <v>73</v>
      </c>
      <c r="L36" s="1166">
        <v>175</v>
      </c>
      <c r="M36" s="1166">
        <v>0</v>
      </c>
      <c r="N36" s="587">
        <v>47</v>
      </c>
      <c r="O36" s="1166">
        <v>0</v>
      </c>
      <c r="P36" s="1166" t="s">
        <v>73</v>
      </c>
      <c r="Q36" s="1166">
        <v>780</v>
      </c>
      <c r="R36" s="1166">
        <v>0</v>
      </c>
      <c r="S36" s="1166">
        <v>386</v>
      </c>
      <c r="T36" s="1166">
        <v>22</v>
      </c>
      <c r="U36" s="588" t="s">
        <v>73</v>
      </c>
      <c r="V36" s="1166">
        <v>276</v>
      </c>
      <c r="W36" s="1166" t="s">
        <v>73</v>
      </c>
      <c r="X36" s="1238">
        <v>0</v>
      </c>
      <c r="Y36" s="1168">
        <v>3520</v>
      </c>
      <c r="Z36" s="586">
        <v>17080</v>
      </c>
    </row>
    <row r="37" spans="1:26" s="531" customFormat="1" ht="13.5" x14ac:dyDescent="0.2">
      <c r="A37" s="595">
        <v>15</v>
      </c>
      <c r="B37" s="783" t="s">
        <v>271</v>
      </c>
      <c r="C37" s="589">
        <v>224.99999999999991</v>
      </c>
      <c r="D37" s="1166">
        <v>1101.0000000000007</v>
      </c>
      <c r="E37" s="1166">
        <v>1840.9999999999973</v>
      </c>
      <c r="F37" s="1166">
        <v>465.00000000000011</v>
      </c>
      <c r="G37" s="1166">
        <v>4695</v>
      </c>
      <c r="H37" s="1166">
        <v>786</v>
      </c>
      <c r="I37" s="1166">
        <v>3197.0000000000027</v>
      </c>
      <c r="J37" s="1166">
        <v>556</v>
      </c>
      <c r="K37" s="1166">
        <v>580</v>
      </c>
      <c r="L37" s="1166">
        <v>1712</v>
      </c>
      <c r="M37" s="1166">
        <v>406.99999999999989</v>
      </c>
      <c r="N37" s="590">
        <v>646</v>
      </c>
      <c r="O37" s="1166">
        <v>522.00000000000011</v>
      </c>
      <c r="P37" s="1166">
        <v>985</v>
      </c>
      <c r="Q37" s="1166">
        <v>790</v>
      </c>
      <c r="R37" s="1166">
        <v>2840</v>
      </c>
      <c r="S37" s="1166">
        <v>948.99999999999989</v>
      </c>
      <c r="T37" s="1166">
        <v>574.00000000000011</v>
      </c>
      <c r="U37" s="589">
        <v>219</v>
      </c>
      <c r="V37" s="1166">
        <v>1986.999999999997</v>
      </c>
      <c r="W37" s="1166">
        <v>193</v>
      </c>
      <c r="X37" s="1238">
        <v>195</v>
      </c>
      <c r="Y37" s="1168">
        <v>22960</v>
      </c>
      <c r="Z37" s="586">
        <v>138700</v>
      </c>
    </row>
    <row r="38" spans="1:26" s="531" customFormat="1" ht="13.5" x14ac:dyDescent="0.2">
      <c r="A38" s="595">
        <v>16</v>
      </c>
      <c r="B38" s="783" t="s">
        <v>272</v>
      </c>
      <c r="C38" s="589">
        <v>1099</v>
      </c>
      <c r="D38" s="1166">
        <v>2868</v>
      </c>
      <c r="E38" s="1166">
        <v>5597</v>
      </c>
      <c r="F38" s="1166">
        <v>2485</v>
      </c>
      <c r="G38" s="1166">
        <v>16931</v>
      </c>
      <c r="H38" s="1166">
        <v>2395</v>
      </c>
      <c r="I38" s="1166">
        <v>16440</v>
      </c>
      <c r="J38" s="1166">
        <v>3114</v>
      </c>
      <c r="K38" s="1166">
        <v>2087</v>
      </c>
      <c r="L38" s="1166">
        <v>5516</v>
      </c>
      <c r="M38" s="1166">
        <v>1865</v>
      </c>
      <c r="N38" s="590">
        <v>2171</v>
      </c>
      <c r="O38" s="1166">
        <v>2588</v>
      </c>
      <c r="P38" s="1166">
        <v>4413</v>
      </c>
      <c r="Q38" s="1166">
        <v>3035</v>
      </c>
      <c r="R38" s="1166">
        <v>12174</v>
      </c>
      <c r="S38" s="1166">
        <v>3139</v>
      </c>
      <c r="T38" s="1166">
        <v>1558</v>
      </c>
      <c r="U38" s="589">
        <v>1434</v>
      </c>
      <c r="V38" s="1166">
        <v>7465</v>
      </c>
      <c r="W38" s="1166">
        <v>924</v>
      </c>
      <c r="X38" s="1238">
        <v>1128</v>
      </c>
      <c r="Y38" s="1168">
        <v>91320</v>
      </c>
      <c r="Z38" s="586">
        <v>571640</v>
      </c>
    </row>
    <row r="39" spans="1:26" s="531" customFormat="1" ht="22.5" x14ac:dyDescent="0.2">
      <c r="A39" s="595">
        <v>17</v>
      </c>
      <c r="B39" s="780" t="s">
        <v>231</v>
      </c>
      <c r="C39" s="1237"/>
      <c r="D39" s="1237"/>
      <c r="E39" s="1237"/>
      <c r="F39" s="1237"/>
      <c r="G39" s="1237"/>
      <c r="H39" s="1237"/>
      <c r="I39" s="1237"/>
      <c r="J39" s="1237"/>
      <c r="K39" s="1237"/>
      <c r="L39" s="1237"/>
      <c r="M39" s="1237"/>
      <c r="N39" s="1237"/>
      <c r="O39" s="1237"/>
      <c r="P39" s="1237"/>
      <c r="Q39" s="1237"/>
      <c r="R39" s="1237"/>
      <c r="S39" s="1237"/>
      <c r="T39" s="1237"/>
      <c r="U39" s="1237"/>
      <c r="V39" s="1237"/>
      <c r="W39" s="1237"/>
      <c r="X39" s="1237"/>
      <c r="Y39" s="1237"/>
      <c r="Z39" s="780"/>
    </row>
    <row r="40" spans="1:26" s="531" customFormat="1" ht="13.5" x14ac:dyDescent="0.2">
      <c r="A40" s="895"/>
      <c r="B40" s="779" t="s">
        <v>273</v>
      </c>
      <c r="C40" s="588">
        <v>268</v>
      </c>
      <c r="D40" s="1166">
        <v>358</v>
      </c>
      <c r="E40" s="1166">
        <v>601</v>
      </c>
      <c r="F40" s="1167">
        <v>322</v>
      </c>
      <c r="G40" s="1166">
        <v>3811</v>
      </c>
      <c r="H40" s="1166">
        <v>473</v>
      </c>
      <c r="I40" s="1166">
        <v>2185</v>
      </c>
      <c r="J40" s="1166">
        <v>211</v>
      </c>
      <c r="K40" s="1166">
        <v>543</v>
      </c>
      <c r="L40" s="1166">
        <v>585</v>
      </c>
      <c r="M40" s="1166">
        <v>812</v>
      </c>
      <c r="N40" s="587">
        <v>1042</v>
      </c>
      <c r="O40" s="1166">
        <v>135</v>
      </c>
      <c r="P40" s="1166">
        <v>733</v>
      </c>
      <c r="Q40" s="1166">
        <v>586</v>
      </c>
      <c r="R40" s="1166">
        <v>1162</v>
      </c>
      <c r="S40" s="1166">
        <v>653</v>
      </c>
      <c r="T40" s="1166">
        <v>461</v>
      </c>
      <c r="U40" s="588">
        <v>172</v>
      </c>
      <c r="V40" s="1166">
        <v>4808</v>
      </c>
      <c r="W40" s="1166">
        <v>188</v>
      </c>
      <c r="X40" s="1238">
        <v>678</v>
      </c>
      <c r="Y40" s="1168">
        <f t="shared" si="0"/>
        <v>18940</v>
      </c>
      <c r="Z40" s="586">
        <v>111520</v>
      </c>
    </row>
    <row r="41" spans="1:26" s="531" customFormat="1" ht="13.5" x14ac:dyDescent="0.2">
      <c r="A41" s="895"/>
      <c r="B41" s="779" t="s">
        <v>654</v>
      </c>
      <c r="C41" s="588">
        <v>320</v>
      </c>
      <c r="D41" s="1166">
        <v>247</v>
      </c>
      <c r="E41" s="1166">
        <v>1000</v>
      </c>
      <c r="F41" s="1167">
        <v>225</v>
      </c>
      <c r="G41" s="1166">
        <v>6196</v>
      </c>
      <c r="H41" s="1166">
        <v>777</v>
      </c>
      <c r="I41" s="1166">
        <v>2362</v>
      </c>
      <c r="J41" s="1166">
        <v>312</v>
      </c>
      <c r="K41" s="1166">
        <v>558</v>
      </c>
      <c r="L41" s="1166">
        <v>756</v>
      </c>
      <c r="M41" s="1166">
        <v>423</v>
      </c>
      <c r="N41" s="587">
        <v>274</v>
      </c>
      <c r="O41" s="1166">
        <v>233</v>
      </c>
      <c r="P41" s="1166">
        <v>666</v>
      </c>
      <c r="Q41" s="1166">
        <v>857</v>
      </c>
      <c r="R41" s="1166">
        <v>1791</v>
      </c>
      <c r="S41" s="1166">
        <v>365</v>
      </c>
      <c r="T41" s="1166">
        <v>369</v>
      </c>
      <c r="U41" s="588">
        <v>192</v>
      </c>
      <c r="V41" s="1166">
        <v>982</v>
      </c>
      <c r="W41" s="1166">
        <v>203</v>
      </c>
      <c r="X41" s="1238">
        <v>173</v>
      </c>
      <c r="Y41" s="1168">
        <v>17880</v>
      </c>
      <c r="Z41" s="586">
        <v>103480</v>
      </c>
    </row>
    <row r="42" spans="1:26" s="531" customFormat="1" ht="13.5" x14ac:dyDescent="0.2">
      <c r="A42" s="895"/>
      <c r="B42" s="779" t="s">
        <v>655</v>
      </c>
      <c r="C42" s="588">
        <v>184</v>
      </c>
      <c r="D42" s="1166">
        <v>275</v>
      </c>
      <c r="E42" s="1166">
        <v>1813</v>
      </c>
      <c r="F42" s="1167">
        <v>232</v>
      </c>
      <c r="G42" s="1166">
        <v>2819</v>
      </c>
      <c r="H42" s="1166">
        <v>407</v>
      </c>
      <c r="I42" s="1166">
        <v>4163</v>
      </c>
      <c r="J42" s="1166">
        <v>361</v>
      </c>
      <c r="K42" s="1166">
        <v>478</v>
      </c>
      <c r="L42" s="1166">
        <v>789</v>
      </c>
      <c r="M42" s="1166">
        <v>316</v>
      </c>
      <c r="N42" s="587">
        <v>193</v>
      </c>
      <c r="O42" s="1166">
        <v>287</v>
      </c>
      <c r="P42" s="1166">
        <v>694</v>
      </c>
      <c r="Q42" s="1166">
        <v>582</v>
      </c>
      <c r="R42" s="1166">
        <v>1648</v>
      </c>
      <c r="S42" s="1166">
        <v>387</v>
      </c>
      <c r="T42" s="1166">
        <v>261</v>
      </c>
      <c r="U42" s="588">
        <v>215</v>
      </c>
      <c r="V42" s="1166">
        <v>705</v>
      </c>
      <c r="W42" s="1166">
        <v>165</v>
      </c>
      <c r="X42" s="1238">
        <v>135</v>
      </c>
      <c r="Y42" s="1168">
        <v>15770</v>
      </c>
      <c r="Z42" s="586">
        <v>91190</v>
      </c>
    </row>
    <row r="43" spans="1:26" s="531" customFormat="1" ht="13.5" x14ac:dyDescent="0.2">
      <c r="A43" s="895"/>
      <c r="B43" s="779" t="s">
        <v>656</v>
      </c>
      <c r="C43" s="588">
        <v>289</v>
      </c>
      <c r="D43" s="1166">
        <v>520</v>
      </c>
      <c r="E43" s="1166">
        <v>1472</v>
      </c>
      <c r="F43" s="1167">
        <v>560</v>
      </c>
      <c r="G43" s="1166">
        <v>2116</v>
      </c>
      <c r="H43" s="1166">
        <v>410</v>
      </c>
      <c r="I43" s="1166">
        <v>6284</v>
      </c>
      <c r="J43" s="1166">
        <v>1712</v>
      </c>
      <c r="K43" s="1166">
        <v>368</v>
      </c>
      <c r="L43" s="1166">
        <v>1341</v>
      </c>
      <c r="M43" s="1166">
        <v>303</v>
      </c>
      <c r="N43" s="587">
        <v>301</v>
      </c>
      <c r="O43" s="1166">
        <v>1748</v>
      </c>
      <c r="P43" s="1166">
        <v>913</v>
      </c>
      <c r="Q43" s="1239">
        <v>550</v>
      </c>
      <c r="R43" s="1166">
        <v>3332</v>
      </c>
      <c r="S43" s="1166">
        <v>500</v>
      </c>
      <c r="T43" s="1166">
        <v>313</v>
      </c>
      <c r="U43" s="588">
        <v>655</v>
      </c>
      <c r="V43" s="1166">
        <v>708</v>
      </c>
      <c r="W43" s="1166">
        <v>193</v>
      </c>
      <c r="X43" s="1238">
        <v>88</v>
      </c>
      <c r="Y43" s="1168">
        <v>22950</v>
      </c>
      <c r="Z43" s="586">
        <v>170760</v>
      </c>
    </row>
    <row r="44" spans="1:26" s="531" customFormat="1" ht="13.5" x14ac:dyDescent="0.2">
      <c r="A44" s="895"/>
      <c r="B44" s="779" t="s">
        <v>274</v>
      </c>
      <c r="C44" s="588">
        <v>38</v>
      </c>
      <c r="D44" s="1166">
        <v>1468</v>
      </c>
      <c r="E44" s="1166">
        <v>711</v>
      </c>
      <c r="F44" s="1167">
        <v>1146</v>
      </c>
      <c r="G44" s="1166">
        <v>1989</v>
      </c>
      <c r="H44" s="1166">
        <v>328</v>
      </c>
      <c r="I44" s="1166">
        <v>1446</v>
      </c>
      <c r="J44" s="1166">
        <v>518</v>
      </c>
      <c r="K44" s="1166">
        <v>140</v>
      </c>
      <c r="L44" s="1166">
        <v>2045</v>
      </c>
      <c r="M44" s="1166">
        <v>9</v>
      </c>
      <c r="N44" s="587">
        <v>361</v>
      </c>
      <c r="O44" s="1166">
        <v>185</v>
      </c>
      <c r="P44" s="1166">
        <v>1407</v>
      </c>
      <c r="Q44" s="1239">
        <v>460</v>
      </c>
      <c r="R44" s="1166">
        <v>4241</v>
      </c>
      <c r="S44" s="1166">
        <v>1234</v>
      </c>
      <c r="T44" s="1166">
        <v>154</v>
      </c>
      <c r="U44" s="588">
        <v>200</v>
      </c>
      <c r="V44" s="1166">
        <v>262</v>
      </c>
      <c r="W44" s="1166">
        <v>175</v>
      </c>
      <c r="X44" s="1238">
        <v>54</v>
      </c>
      <c r="Y44" s="1168">
        <v>15790</v>
      </c>
      <c r="Z44" s="586">
        <v>94690</v>
      </c>
    </row>
    <row r="45" spans="1:26" s="531" customFormat="1" ht="13.5" x14ac:dyDescent="0.2">
      <c r="A45" s="595">
        <v>18</v>
      </c>
      <c r="B45" s="783" t="s">
        <v>275</v>
      </c>
      <c r="C45" s="1213"/>
      <c r="D45" s="1214"/>
      <c r="E45" s="1214"/>
      <c r="F45" s="1214"/>
      <c r="G45" s="1214"/>
      <c r="H45" s="1214"/>
      <c r="I45" s="1214"/>
      <c r="J45" s="1214"/>
      <c r="K45" s="1214"/>
      <c r="L45" s="1214"/>
      <c r="M45" s="1214"/>
      <c r="N45" s="1217"/>
      <c r="O45" s="1214"/>
      <c r="P45" s="1214"/>
      <c r="Q45" s="1214"/>
      <c r="R45" s="1214"/>
      <c r="S45" s="1214"/>
      <c r="T45" s="1214"/>
      <c r="U45" s="1213"/>
      <c r="V45" s="1214"/>
      <c r="W45" s="1214"/>
      <c r="X45" s="1236"/>
      <c r="Y45" s="1215"/>
      <c r="Z45" s="1216"/>
    </row>
    <row r="46" spans="1:26" s="531" customFormat="1" ht="13.5" x14ac:dyDescent="0.2">
      <c r="A46" s="595">
        <v>19</v>
      </c>
      <c r="B46" s="783" t="s">
        <v>276</v>
      </c>
      <c r="C46" s="1213"/>
      <c r="D46" s="1214"/>
      <c r="E46" s="1214"/>
      <c r="F46" s="1214"/>
      <c r="G46" s="1214"/>
      <c r="H46" s="1214"/>
      <c r="I46" s="1214"/>
      <c r="J46" s="1214"/>
      <c r="K46" s="1214"/>
      <c r="L46" s="1214"/>
      <c r="M46" s="1214"/>
      <c r="N46" s="1217"/>
      <c r="O46" s="1214"/>
      <c r="P46" s="1214"/>
      <c r="Q46" s="1214"/>
      <c r="R46" s="1214"/>
      <c r="S46" s="1214"/>
      <c r="T46" s="1214"/>
      <c r="U46" s="1213"/>
      <c r="V46" s="1214"/>
      <c r="W46" s="1214"/>
      <c r="X46" s="1236"/>
      <c r="Y46" s="1215"/>
      <c r="Z46" s="1216"/>
    </row>
    <row r="47" spans="1:26" s="531" customFormat="1" ht="13.5" x14ac:dyDescent="0.2">
      <c r="A47" s="595">
        <v>20</v>
      </c>
      <c r="B47" s="783" t="s">
        <v>277</v>
      </c>
      <c r="C47" s="589">
        <v>839</v>
      </c>
      <c r="D47" s="1166">
        <v>2347</v>
      </c>
      <c r="E47" s="1166">
        <v>2635</v>
      </c>
      <c r="F47" s="1166">
        <v>2999</v>
      </c>
      <c r="G47" s="1166">
        <v>8732</v>
      </c>
      <c r="H47" s="1166">
        <v>1302</v>
      </c>
      <c r="I47" s="1166">
        <v>9290</v>
      </c>
      <c r="J47" s="1166">
        <v>2618</v>
      </c>
      <c r="K47" s="1166">
        <v>1730</v>
      </c>
      <c r="L47" s="1166">
        <v>4636</v>
      </c>
      <c r="M47" s="1166">
        <v>1331</v>
      </c>
      <c r="N47" s="590">
        <v>1869</v>
      </c>
      <c r="O47" s="1166">
        <v>1601</v>
      </c>
      <c r="P47" s="1166">
        <v>2903</v>
      </c>
      <c r="Q47" s="1166">
        <v>3444</v>
      </c>
      <c r="R47" s="1166">
        <v>6227</v>
      </c>
      <c r="S47" s="1166">
        <v>1968</v>
      </c>
      <c r="T47" s="1166">
        <v>1180</v>
      </c>
      <c r="U47" s="589">
        <v>1054</v>
      </c>
      <c r="V47" s="1166">
        <v>3877</v>
      </c>
      <c r="W47" s="1166">
        <v>1013</v>
      </c>
      <c r="X47" s="1238">
        <v>563</v>
      </c>
      <c r="Y47" s="1168">
        <v>58110</v>
      </c>
      <c r="Z47" s="586">
        <v>394400</v>
      </c>
    </row>
    <row r="48" spans="1:26" s="531" customFormat="1" ht="13.5" x14ac:dyDescent="0.2">
      <c r="A48" s="595">
        <v>21</v>
      </c>
      <c r="B48" s="783" t="s">
        <v>278</v>
      </c>
      <c r="C48" s="589">
        <v>394</v>
      </c>
      <c r="D48" s="1166">
        <v>1143</v>
      </c>
      <c r="E48" s="1166">
        <v>1924</v>
      </c>
      <c r="F48" s="1166">
        <v>868</v>
      </c>
      <c r="G48" s="1166">
        <v>4182</v>
      </c>
      <c r="H48" s="1166">
        <v>676</v>
      </c>
      <c r="I48" s="1166">
        <v>4760</v>
      </c>
      <c r="J48" s="1166">
        <v>1631</v>
      </c>
      <c r="K48" s="1166">
        <v>569</v>
      </c>
      <c r="L48" s="1166">
        <v>1864</v>
      </c>
      <c r="M48" s="1166">
        <v>1148</v>
      </c>
      <c r="N48" s="590">
        <v>973</v>
      </c>
      <c r="O48" s="1166">
        <v>900</v>
      </c>
      <c r="P48" s="1166">
        <v>1297</v>
      </c>
      <c r="Q48" s="1166">
        <v>1888</v>
      </c>
      <c r="R48" s="1166">
        <v>4489</v>
      </c>
      <c r="S48" s="1166">
        <v>766</v>
      </c>
      <c r="T48" s="1166">
        <v>789</v>
      </c>
      <c r="U48" s="589">
        <v>644</v>
      </c>
      <c r="V48" s="1166">
        <v>1805</v>
      </c>
      <c r="W48" s="1166">
        <v>437</v>
      </c>
      <c r="X48" s="1238">
        <v>346</v>
      </c>
      <c r="Y48" s="1168">
        <v>30640</v>
      </c>
      <c r="Z48" s="586">
        <v>172290</v>
      </c>
    </row>
    <row r="49" spans="1:26" s="531" customFormat="1" ht="13.5" x14ac:dyDescent="0.2">
      <c r="A49" s="595">
        <v>22</v>
      </c>
      <c r="B49" s="783" t="s">
        <v>279</v>
      </c>
      <c r="C49" s="589">
        <v>158</v>
      </c>
      <c r="D49" s="1166">
        <v>544</v>
      </c>
      <c r="E49" s="1166">
        <v>749</v>
      </c>
      <c r="F49" s="1166">
        <v>483</v>
      </c>
      <c r="G49" s="1166">
        <v>1900</v>
      </c>
      <c r="H49" s="1166">
        <v>375</v>
      </c>
      <c r="I49" s="1166">
        <v>1549</v>
      </c>
      <c r="J49" s="1166">
        <v>607</v>
      </c>
      <c r="K49" s="1166">
        <v>120</v>
      </c>
      <c r="L49" s="1166">
        <v>778</v>
      </c>
      <c r="M49" s="1166">
        <v>336</v>
      </c>
      <c r="N49" s="590">
        <v>430</v>
      </c>
      <c r="O49" s="1166">
        <v>351</v>
      </c>
      <c r="P49" s="1166">
        <v>478</v>
      </c>
      <c r="Q49" s="1166">
        <v>555</v>
      </c>
      <c r="R49" s="1166">
        <v>1220</v>
      </c>
      <c r="S49" s="1166">
        <v>346</v>
      </c>
      <c r="T49" s="1166">
        <v>325</v>
      </c>
      <c r="U49" s="589">
        <v>240</v>
      </c>
      <c r="V49" s="1166">
        <v>671</v>
      </c>
      <c r="W49" s="1166">
        <v>200</v>
      </c>
      <c r="X49" s="1238">
        <v>145</v>
      </c>
      <c r="Y49" s="1168">
        <v>11410</v>
      </c>
      <c r="Z49" s="586">
        <v>73050</v>
      </c>
    </row>
    <row r="50" spans="1:26" s="531" customFormat="1" ht="13.5" x14ac:dyDescent="0.2">
      <c r="A50" s="595">
        <v>23</v>
      </c>
      <c r="B50" s="783" t="s">
        <v>280</v>
      </c>
      <c r="C50" s="589">
        <v>105</v>
      </c>
      <c r="D50" s="1166">
        <v>346</v>
      </c>
      <c r="E50" s="1166">
        <v>516</v>
      </c>
      <c r="F50" s="1212">
        <v>292</v>
      </c>
      <c r="G50" s="1166">
        <v>1346</v>
      </c>
      <c r="H50" s="1166">
        <v>214</v>
      </c>
      <c r="I50" s="1166">
        <v>1285</v>
      </c>
      <c r="J50" s="1166">
        <v>539</v>
      </c>
      <c r="K50" s="1166">
        <v>112</v>
      </c>
      <c r="L50" s="1166">
        <v>637</v>
      </c>
      <c r="M50" s="1166">
        <v>226</v>
      </c>
      <c r="N50" s="590">
        <v>290</v>
      </c>
      <c r="O50" s="1166">
        <v>286</v>
      </c>
      <c r="P50" s="1166">
        <v>461</v>
      </c>
      <c r="Q50" s="1166">
        <v>343</v>
      </c>
      <c r="R50" s="1166">
        <v>810</v>
      </c>
      <c r="S50" s="1166">
        <v>270</v>
      </c>
      <c r="T50" s="1166">
        <v>262</v>
      </c>
      <c r="U50" s="589">
        <v>226</v>
      </c>
      <c r="V50" s="1166">
        <v>355</v>
      </c>
      <c r="W50" s="1166">
        <v>172</v>
      </c>
      <c r="X50" s="1238">
        <v>140</v>
      </c>
      <c r="Y50" s="1168">
        <v>8240</v>
      </c>
      <c r="Z50" s="586">
        <v>56000</v>
      </c>
    </row>
    <row r="51" spans="1:26" s="531" customFormat="1" ht="13.5" x14ac:dyDescent="0.2">
      <c r="A51" s="595" t="s">
        <v>482</v>
      </c>
      <c r="B51" s="783" t="s">
        <v>281</v>
      </c>
      <c r="C51" s="589">
        <v>115</v>
      </c>
      <c r="D51" s="1166">
        <v>392</v>
      </c>
      <c r="E51" s="1166">
        <v>454</v>
      </c>
      <c r="F51" s="1166">
        <v>456</v>
      </c>
      <c r="G51" s="1166">
        <v>1441</v>
      </c>
      <c r="H51" s="1166">
        <v>214</v>
      </c>
      <c r="I51" s="1166">
        <v>1049</v>
      </c>
      <c r="J51" s="1166">
        <v>539</v>
      </c>
      <c r="K51" s="1166">
        <v>92</v>
      </c>
      <c r="L51" s="1166">
        <v>571</v>
      </c>
      <c r="M51" s="1166">
        <v>275</v>
      </c>
      <c r="N51" s="590">
        <v>252</v>
      </c>
      <c r="O51" s="1166">
        <v>230</v>
      </c>
      <c r="P51" s="1166">
        <v>280</v>
      </c>
      <c r="Q51" s="1166">
        <v>333</v>
      </c>
      <c r="R51" s="1166">
        <v>881</v>
      </c>
      <c r="S51" s="1166">
        <v>238</v>
      </c>
      <c r="T51" s="1166">
        <v>130</v>
      </c>
      <c r="U51" s="589">
        <v>145</v>
      </c>
      <c r="V51" s="1166">
        <v>417</v>
      </c>
      <c r="W51" s="1166">
        <v>145</v>
      </c>
      <c r="X51" s="1238">
        <v>65</v>
      </c>
      <c r="Y51" s="1168">
        <v>8070</v>
      </c>
      <c r="Z51" s="586">
        <v>50310</v>
      </c>
    </row>
    <row r="52" spans="1:26" s="531" customFormat="1" ht="13.5" x14ac:dyDescent="0.2">
      <c r="A52" s="595" t="s">
        <v>484</v>
      </c>
      <c r="B52" s="783" t="s">
        <v>282</v>
      </c>
      <c r="C52" s="589">
        <v>66</v>
      </c>
      <c r="D52" s="1166">
        <v>301</v>
      </c>
      <c r="E52" s="1166">
        <v>294</v>
      </c>
      <c r="F52" s="1166">
        <v>343</v>
      </c>
      <c r="G52" s="1166">
        <v>1117</v>
      </c>
      <c r="H52" s="1166">
        <v>145</v>
      </c>
      <c r="I52" s="1166">
        <v>710</v>
      </c>
      <c r="J52" s="1166">
        <v>395</v>
      </c>
      <c r="K52" s="1166">
        <v>46</v>
      </c>
      <c r="L52" s="1166">
        <v>393</v>
      </c>
      <c r="M52" s="1166">
        <v>218</v>
      </c>
      <c r="N52" s="590">
        <v>149</v>
      </c>
      <c r="O52" s="1166">
        <v>127</v>
      </c>
      <c r="P52" s="1166">
        <v>187</v>
      </c>
      <c r="Q52" s="1166">
        <v>200</v>
      </c>
      <c r="R52" s="1166">
        <v>618</v>
      </c>
      <c r="S52" s="1166">
        <v>160</v>
      </c>
      <c r="T52" s="1166">
        <v>106</v>
      </c>
      <c r="U52" s="589">
        <v>94</v>
      </c>
      <c r="V52" s="1166">
        <v>278</v>
      </c>
      <c r="W52" s="1166">
        <v>83</v>
      </c>
      <c r="X52" s="1238">
        <v>38</v>
      </c>
      <c r="Y52" s="1168">
        <v>5620</v>
      </c>
      <c r="Z52" s="586">
        <v>34580</v>
      </c>
    </row>
    <row r="53" spans="1:26" s="531" customFormat="1" ht="13.5" x14ac:dyDescent="0.2">
      <c r="A53" s="595" t="s">
        <v>486</v>
      </c>
      <c r="B53" s="783" t="s">
        <v>283</v>
      </c>
      <c r="C53" s="589">
        <v>65</v>
      </c>
      <c r="D53" s="1166">
        <v>295</v>
      </c>
      <c r="E53" s="1166">
        <v>273</v>
      </c>
      <c r="F53" s="1212">
        <v>335</v>
      </c>
      <c r="G53" s="1166">
        <v>987</v>
      </c>
      <c r="H53" s="1166">
        <v>141</v>
      </c>
      <c r="I53" s="1166">
        <v>710</v>
      </c>
      <c r="J53" s="1166">
        <v>391</v>
      </c>
      <c r="K53" s="1166">
        <v>44</v>
      </c>
      <c r="L53" s="1166">
        <v>376</v>
      </c>
      <c r="M53" s="1166">
        <v>204</v>
      </c>
      <c r="N53" s="590">
        <v>117</v>
      </c>
      <c r="O53" s="1166">
        <v>122</v>
      </c>
      <c r="P53" s="1166">
        <v>182</v>
      </c>
      <c r="Q53" s="1166">
        <v>144</v>
      </c>
      <c r="R53" s="1166">
        <v>601</v>
      </c>
      <c r="S53" s="1166">
        <v>151</v>
      </c>
      <c r="T53" s="1166">
        <v>96</v>
      </c>
      <c r="U53" s="589">
        <v>93</v>
      </c>
      <c r="V53" s="1166">
        <v>256</v>
      </c>
      <c r="W53" s="1166">
        <v>83</v>
      </c>
      <c r="X53" s="1238">
        <v>36</v>
      </c>
      <c r="Y53" s="1168">
        <v>5270</v>
      </c>
      <c r="Z53" s="586">
        <v>32410</v>
      </c>
    </row>
    <row r="54" spans="1:26" s="531" customFormat="1" ht="13.5" x14ac:dyDescent="0.2">
      <c r="A54" s="585" t="s">
        <v>488</v>
      </c>
      <c r="B54" s="784" t="s">
        <v>538</v>
      </c>
      <c r="C54" s="1240"/>
      <c r="D54" s="1231"/>
      <c r="E54" s="1231"/>
      <c r="F54" s="1231"/>
      <c r="G54" s="1231"/>
      <c r="H54" s="1231"/>
      <c r="I54" s="1231"/>
      <c r="J54" s="1231"/>
      <c r="K54" s="1231"/>
      <c r="L54" s="1231"/>
      <c r="M54" s="1231"/>
      <c r="N54" s="1241"/>
      <c r="O54" s="1231"/>
      <c r="P54" s="1231"/>
      <c r="Q54" s="1231"/>
      <c r="R54" s="1231"/>
      <c r="S54" s="1231"/>
      <c r="T54" s="1231"/>
      <c r="U54" s="1240"/>
      <c r="V54" s="1231"/>
      <c r="W54" s="1231"/>
      <c r="X54" s="1242"/>
      <c r="Y54" s="1234"/>
      <c r="Z54" s="1232"/>
    </row>
    <row r="55" spans="1:26" s="531" customFormat="1" ht="13.5" x14ac:dyDescent="0.2">
      <c r="A55" s="585" t="s">
        <v>490</v>
      </c>
      <c r="B55" s="784" t="s">
        <v>725</v>
      </c>
      <c r="C55" s="1240"/>
      <c r="D55" s="1231"/>
      <c r="E55" s="1231"/>
      <c r="F55" s="1231"/>
      <c r="G55" s="1231"/>
      <c r="H55" s="1231"/>
      <c r="I55" s="1231"/>
      <c r="J55" s="1231"/>
      <c r="K55" s="1231"/>
      <c r="L55" s="1231"/>
      <c r="M55" s="1231"/>
      <c r="N55" s="1241"/>
      <c r="O55" s="1231"/>
      <c r="P55" s="1231"/>
      <c r="Q55" s="1231"/>
      <c r="R55" s="1231"/>
      <c r="S55" s="1231"/>
      <c r="T55" s="1231"/>
      <c r="U55" s="1240"/>
      <c r="V55" s="1231"/>
      <c r="W55" s="1231"/>
      <c r="X55" s="1242"/>
      <c r="Y55" s="1234"/>
      <c r="Z55" s="1232"/>
    </row>
    <row r="56" spans="1:26" s="531" customFormat="1" ht="13.5" x14ac:dyDescent="0.2">
      <c r="A56" s="595" t="s">
        <v>492</v>
      </c>
      <c r="B56" s="783" t="s">
        <v>284</v>
      </c>
      <c r="C56" s="589">
        <v>148</v>
      </c>
      <c r="D56" s="1166">
        <v>352</v>
      </c>
      <c r="E56" s="1166">
        <v>479</v>
      </c>
      <c r="F56" s="1166">
        <v>469</v>
      </c>
      <c r="G56" s="1166">
        <v>1585</v>
      </c>
      <c r="H56" s="1166">
        <v>332</v>
      </c>
      <c r="I56" s="1166">
        <v>1511</v>
      </c>
      <c r="J56" s="1166">
        <v>492</v>
      </c>
      <c r="K56" s="1166">
        <v>74</v>
      </c>
      <c r="L56" s="1166">
        <v>705</v>
      </c>
      <c r="M56" s="1166">
        <v>260</v>
      </c>
      <c r="N56" s="590">
        <v>287</v>
      </c>
      <c r="O56" s="1166">
        <v>311</v>
      </c>
      <c r="P56" s="1166">
        <v>653</v>
      </c>
      <c r="Q56" s="1166">
        <v>553</v>
      </c>
      <c r="R56" s="1166">
        <v>1115</v>
      </c>
      <c r="S56" s="1166">
        <v>256</v>
      </c>
      <c r="T56" s="1166">
        <v>292</v>
      </c>
      <c r="U56" s="589">
        <v>183</v>
      </c>
      <c r="V56" s="1166">
        <v>595</v>
      </c>
      <c r="W56" s="1166">
        <v>94</v>
      </c>
      <c r="X56" s="1238">
        <v>97</v>
      </c>
      <c r="Y56" s="1168">
        <v>9640</v>
      </c>
      <c r="Z56" s="586">
        <v>62750</v>
      </c>
    </row>
    <row r="57" spans="1:26" s="531" customFormat="1" ht="13.5" x14ac:dyDescent="0.2">
      <c r="A57" s="595" t="s">
        <v>494</v>
      </c>
      <c r="B57" s="783" t="s">
        <v>285</v>
      </c>
      <c r="C57" s="589">
        <v>18</v>
      </c>
      <c r="D57" s="1166">
        <v>27</v>
      </c>
      <c r="E57" s="1166">
        <v>17</v>
      </c>
      <c r="F57" s="1166">
        <v>35</v>
      </c>
      <c r="G57" s="1166">
        <v>65</v>
      </c>
      <c r="H57" s="1166">
        <v>15</v>
      </c>
      <c r="I57" s="1166">
        <v>44</v>
      </c>
      <c r="J57" s="1166">
        <v>22</v>
      </c>
      <c r="K57" s="1166" t="s">
        <v>73</v>
      </c>
      <c r="L57" s="1166">
        <v>35</v>
      </c>
      <c r="M57" s="1166" t="s">
        <v>73</v>
      </c>
      <c r="N57" s="590">
        <v>9</v>
      </c>
      <c r="O57" s="1166" t="s">
        <v>73</v>
      </c>
      <c r="P57" s="1166">
        <v>31</v>
      </c>
      <c r="Q57" s="1166">
        <v>6</v>
      </c>
      <c r="R57" s="1166">
        <v>110</v>
      </c>
      <c r="S57" s="1166">
        <v>8</v>
      </c>
      <c r="T57" s="1166" t="s">
        <v>73</v>
      </c>
      <c r="U57" s="589" t="s">
        <v>73</v>
      </c>
      <c r="V57" s="1166">
        <v>21</v>
      </c>
      <c r="W57" s="1166">
        <v>0</v>
      </c>
      <c r="X57" s="1238" t="s">
        <v>73</v>
      </c>
      <c r="Y57" s="1168">
        <v>440</v>
      </c>
      <c r="Z57" s="586">
        <v>2410</v>
      </c>
    </row>
    <row r="58" spans="1:26" s="531" customFormat="1" ht="13.5" x14ac:dyDescent="0.2">
      <c r="A58" s="595" t="s">
        <v>232</v>
      </c>
      <c r="B58" s="783" t="s">
        <v>286</v>
      </c>
      <c r="C58" s="589">
        <v>141</v>
      </c>
      <c r="D58" s="1166">
        <v>435</v>
      </c>
      <c r="E58" s="1166">
        <v>612</v>
      </c>
      <c r="F58" s="1166">
        <v>445</v>
      </c>
      <c r="G58" s="1166">
        <v>1672</v>
      </c>
      <c r="H58" s="1166">
        <v>292</v>
      </c>
      <c r="I58" s="1166">
        <v>1319</v>
      </c>
      <c r="J58" s="1166">
        <v>556</v>
      </c>
      <c r="K58" s="1166">
        <v>109</v>
      </c>
      <c r="L58" s="1166">
        <v>708</v>
      </c>
      <c r="M58" s="1166">
        <v>297</v>
      </c>
      <c r="N58" s="590">
        <v>335</v>
      </c>
      <c r="O58" s="1166">
        <v>316</v>
      </c>
      <c r="P58" s="1166">
        <v>411</v>
      </c>
      <c r="Q58" s="1166">
        <v>490</v>
      </c>
      <c r="R58" s="1166">
        <v>1005</v>
      </c>
      <c r="S58" s="1166">
        <v>289</v>
      </c>
      <c r="T58" s="1166">
        <v>268</v>
      </c>
      <c r="U58" s="589">
        <v>204</v>
      </c>
      <c r="V58" s="1166">
        <v>544</v>
      </c>
      <c r="W58" s="1166">
        <v>175</v>
      </c>
      <c r="X58" s="1238">
        <v>114</v>
      </c>
      <c r="Y58" s="1168">
        <v>9770</v>
      </c>
      <c r="Z58" s="586">
        <v>63310</v>
      </c>
    </row>
    <row r="59" spans="1:26" s="531" customFormat="1" ht="13.5" x14ac:dyDescent="0.2">
      <c r="A59" s="595" t="s">
        <v>233</v>
      </c>
      <c r="B59" s="783" t="s">
        <v>287</v>
      </c>
      <c r="C59" s="589">
        <v>35</v>
      </c>
      <c r="D59" s="1166">
        <v>111</v>
      </c>
      <c r="E59" s="1166">
        <v>118</v>
      </c>
      <c r="F59" s="1166">
        <v>111</v>
      </c>
      <c r="G59" s="1166">
        <v>336</v>
      </c>
      <c r="H59" s="1166">
        <v>43</v>
      </c>
      <c r="I59" s="1166">
        <v>265</v>
      </c>
      <c r="J59" s="1166">
        <v>101</v>
      </c>
      <c r="K59" s="1166" t="s">
        <v>73</v>
      </c>
      <c r="L59" s="1166">
        <v>151</v>
      </c>
      <c r="M59" s="1166">
        <v>60</v>
      </c>
      <c r="N59" s="590">
        <v>73</v>
      </c>
      <c r="O59" s="1166">
        <v>53</v>
      </c>
      <c r="P59" s="1166">
        <v>104</v>
      </c>
      <c r="Q59" s="1166">
        <v>145</v>
      </c>
      <c r="R59" s="1166">
        <v>232</v>
      </c>
      <c r="S59" s="1166">
        <v>55</v>
      </c>
      <c r="T59" s="1166">
        <v>62</v>
      </c>
      <c r="U59" s="589">
        <v>22</v>
      </c>
      <c r="V59" s="1166">
        <v>124</v>
      </c>
      <c r="W59" s="1166">
        <v>24</v>
      </c>
      <c r="X59" s="1238">
        <v>17</v>
      </c>
      <c r="Y59" s="1168">
        <v>2020</v>
      </c>
      <c r="Z59" s="586">
        <v>11350</v>
      </c>
    </row>
    <row r="60" spans="1:26" s="531" customFormat="1" ht="13.5" x14ac:dyDescent="0.2">
      <c r="A60" s="595" t="s">
        <v>234</v>
      </c>
      <c r="B60" s="783" t="s">
        <v>288</v>
      </c>
      <c r="C60" s="1213"/>
      <c r="D60" s="1214"/>
      <c r="E60" s="1214"/>
      <c r="F60" s="1214"/>
      <c r="G60" s="1214"/>
      <c r="H60" s="1214"/>
      <c r="I60" s="1214"/>
      <c r="J60" s="1214"/>
      <c r="K60" s="1214"/>
      <c r="L60" s="1214"/>
      <c r="M60" s="1214"/>
      <c r="N60" s="1217"/>
      <c r="O60" s="1214"/>
      <c r="P60" s="1214"/>
      <c r="Q60" s="1214"/>
      <c r="R60" s="1214"/>
      <c r="S60" s="1214"/>
      <c r="T60" s="1214"/>
      <c r="U60" s="1213"/>
      <c r="V60" s="1214"/>
      <c r="W60" s="1214"/>
      <c r="X60" s="1236"/>
      <c r="Y60" s="1215"/>
      <c r="Z60" s="1216"/>
    </row>
    <row r="61" spans="1:26" s="531" customFormat="1" ht="13.5" x14ac:dyDescent="0.2">
      <c r="A61" s="595" t="s">
        <v>235</v>
      </c>
      <c r="B61" s="783" t="s">
        <v>289</v>
      </c>
      <c r="C61" s="589">
        <v>98</v>
      </c>
      <c r="D61" s="1166">
        <v>438</v>
      </c>
      <c r="E61" s="1166">
        <v>459</v>
      </c>
      <c r="F61" s="1166">
        <v>543</v>
      </c>
      <c r="G61" s="1166">
        <v>1305</v>
      </c>
      <c r="H61" s="1166">
        <v>204</v>
      </c>
      <c r="I61" s="1166">
        <v>2314</v>
      </c>
      <c r="J61" s="1166">
        <v>430</v>
      </c>
      <c r="K61" s="1166">
        <v>345</v>
      </c>
      <c r="L61" s="1166">
        <v>593</v>
      </c>
      <c r="M61" s="1166">
        <v>322</v>
      </c>
      <c r="N61" s="590">
        <v>220</v>
      </c>
      <c r="O61" s="1166">
        <v>179</v>
      </c>
      <c r="P61" s="1166">
        <v>501</v>
      </c>
      <c r="Q61" s="1166">
        <v>591</v>
      </c>
      <c r="R61" s="1166">
        <v>867</v>
      </c>
      <c r="S61" s="1166">
        <v>293</v>
      </c>
      <c r="T61" s="1166">
        <v>279</v>
      </c>
      <c r="U61" s="589">
        <v>157</v>
      </c>
      <c r="V61" s="1166">
        <v>639</v>
      </c>
      <c r="W61" s="1166">
        <v>89</v>
      </c>
      <c r="X61" s="1238">
        <v>81</v>
      </c>
      <c r="Y61" s="1168">
        <v>9870</v>
      </c>
      <c r="Z61" s="586">
        <v>70410</v>
      </c>
    </row>
    <row r="62" spans="1:26" s="531" customFormat="1" ht="18" customHeight="1" x14ac:dyDescent="0.2">
      <c r="A62" s="1157"/>
      <c r="B62" s="1155" t="s">
        <v>933</v>
      </c>
      <c r="C62" s="588"/>
      <c r="D62" s="1145"/>
      <c r="E62" s="1145"/>
      <c r="F62" s="1145"/>
      <c r="G62" s="1145"/>
      <c r="H62" s="1145"/>
      <c r="I62" s="1145"/>
      <c r="J62" s="1145"/>
      <c r="K62" s="1145"/>
      <c r="L62" s="1145"/>
      <c r="M62" s="1145"/>
      <c r="N62" s="587"/>
      <c r="O62" s="1145"/>
      <c r="P62" s="1145"/>
      <c r="Q62" s="1145"/>
      <c r="R62" s="1145"/>
      <c r="S62" s="1145"/>
      <c r="T62" s="1145"/>
      <c r="U62" s="588"/>
      <c r="V62" s="1145"/>
      <c r="W62" s="1145"/>
      <c r="X62" s="1145"/>
      <c r="Y62" s="1168">
        <f t="shared" ref="Y62:Y67" si="1">SUM(C62:O62,Q62:R62,U62:X62)</f>
        <v>0</v>
      </c>
      <c r="Z62" s="1146"/>
    </row>
    <row r="63" spans="1:26" s="531" customFormat="1" ht="13.5" x14ac:dyDescent="0.2">
      <c r="A63" s="594" t="s">
        <v>500</v>
      </c>
      <c r="B63" s="785" t="s">
        <v>586</v>
      </c>
      <c r="C63" s="589" t="s">
        <v>73</v>
      </c>
      <c r="D63" s="1166">
        <v>35</v>
      </c>
      <c r="E63" s="1166">
        <v>25</v>
      </c>
      <c r="F63" s="1166">
        <v>30</v>
      </c>
      <c r="G63" s="1166">
        <v>60</v>
      </c>
      <c r="H63" s="1166">
        <v>5</v>
      </c>
      <c r="I63" s="1166">
        <v>45</v>
      </c>
      <c r="J63" s="1166">
        <v>30</v>
      </c>
      <c r="K63" s="1166">
        <v>15</v>
      </c>
      <c r="L63" s="1166">
        <v>35</v>
      </c>
      <c r="M63" s="1166">
        <v>15</v>
      </c>
      <c r="N63" s="590">
        <v>20</v>
      </c>
      <c r="O63" s="1166">
        <v>15</v>
      </c>
      <c r="P63" s="1166">
        <v>30</v>
      </c>
      <c r="Q63" s="1166">
        <v>30</v>
      </c>
      <c r="R63" s="1166">
        <v>30</v>
      </c>
      <c r="S63" s="1166">
        <v>15</v>
      </c>
      <c r="T63" s="1166">
        <v>10</v>
      </c>
      <c r="U63" s="589" t="s">
        <v>73</v>
      </c>
      <c r="V63" s="1166">
        <v>30</v>
      </c>
      <c r="W63" s="1166" t="s">
        <v>73</v>
      </c>
      <c r="X63" s="1238" t="s">
        <v>73</v>
      </c>
      <c r="Y63" s="1168">
        <f t="shared" si="1"/>
        <v>420</v>
      </c>
      <c r="Z63" s="586">
        <v>3540</v>
      </c>
    </row>
    <row r="64" spans="1:26" s="531" customFormat="1" ht="13.5" x14ac:dyDescent="0.2">
      <c r="A64" s="895"/>
      <c r="B64" s="785" t="s">
        <v>587</v>
      </c>
      <c r="C64" s="589" t="s">
        <v>73</v>
      </c>
      <c r="D64" s="1166">
        <v>45</v>
      </c>
      <c r="E64" s="1166">
        <v>65</v>
      </c>
      <c r="F64" s="1166">
        <v>55</v>
      </c>
      <c r="G64" s="1166">
        <v>160</v>
      </c>
      <c r="H64" s="1166">
        <v>35</v>
      </c>
      <c r="I64" s="1166">
        <v>120</v>
      </c>
      <c r="J64" s="1166">
        <v>65</v>
      </c>
      <c r="K64" s="1166">
        <v>35</v>
      </c>
      <c r="L64" s="1166">
        <v>65</v>
      </c>
      <c r="M64" s="1166">
        <v>45</v>
      </c>
      <c r="N64" s="590">
        <v>25</v>
      </c>
      <c r="O64" s="1166">
        <v>20</v>
      </c>
      <c r="P64" s="1166">
        <v>50</v>
      </c>
      <c r="Q64" s="1166">
        <v>130</v>
      </c>
      <c r="R64" s="1166">
        <v>95</v>
      </c>
      <c r="S64" s="1166">
        <v>45</v>
      </c>
      <c r="T64" s="1166">
        <v>30</v>
      </c>
      <c r="U64" s="589">
        <v>15</v>
      </c>
      <c r="V64" s="1166">
        <v>75</v>
      </c>
      <c r="W64" s="1166" t="s">
        <v>73</v>
      </c>
      <c r="X64" s="1238">
        <v>10</v>
      </c>
      <c r="Y64" s="1168">
        <f t="shared" si="1"/>
        <v>1060</v>
      </c>
      <c r="Z64" s="586">
        <v>9140</v>
      </c>
    </row>
    <row r="65" spans="1:26" s="531" customFormat="1" ht="13.5" x14ac:dyDescent="0.2">
      <c r="A65" s="895"/>
      <c r="B65" s="785" t="s">
        <v>588</v>
      </c>
      <c r="C65" s="589">
        <v>15</v>
      </c>
      <c r="D65" s="1166">
        <v>60</v>
      </c>
      <c r="E65" s="1166">
        <v>85</v>
      </c>
      <c r="F65" s="1166">
        <v>125</v>
      </c>
      <c r="G65" s="1166">
        <v>290</v>
      </c>
      <c r="H65" s="1166">
        <v>35</v>
      </c>
      <c r="I65" s="1166">
        <v>305</v>
      </c>
      <c r="J65" s="1166">
        <v>85</v>
      </c>
      <c r="K65" s="1166">
        <v>60</v>
      </c>
      <c r="L65" s="1166">
        <v>100</v>
      </c>
      <c r="M65" s="1166">
        <v>70</v>
      </c>
      <c r="N65" s="590">
        <v>45</v>
      </c>
      <c r="O65" s="1166">
        <v>40</v>
      </c>
      <c r="P65" s="1166">
        <v>100</v>
      </c>
      <c r="Q65" s="1166">
        <v>165</v>
      </c>
      <c r="R65" s="1166">
        <v>135</v>
      </c>
      <c r="S65" s="1166">
        <v>50</v>
      </c>
      <c r="T65" s="1166">
        <v>70</v>
      </c>
      <c r="U65" s="589">
        <v>25</v>
      </c>
      <c r="V65" s="1166">
        <v>80</v>
      </c>
      <c r="W65" s="1166">
        <v>10</v>
      </c>
      <c r="X65" s="1238" t="s">
        <v>73</v>
      </c>
      <c r="Y65" s="1168">
        <f t="shared" si="1"/>
        <v>1730</v>
      </c>
      <c r="Z65" s="586">
        <v>14090</v>
      </c>
    </row>
    <row r="66" spans="1:26" s="531" customFormat="1" ht="13.5" x14ac:dyDescent="0.2">
      <c r="A66" s="895"/>
      <c r="B66" s="785" t="s">
        <v>589</v>
      </c>
      <c r="C66" s="589">
        <v>45</v>
      </c>
      <c r="D66" s="1166">
        <v>180</v>
      </c>
      <c r="E66" s="1166">
        <v>180</v>
      </c>
      <c r="F66" s="1166">
        <v>240</v>
      </c>
      <c r="G66" s="1166">
        <v>535</v>
      </c>
      <c r="H66" s="1166">
        <v>70</v>
      </c>
      <c r="I66" s="1166">
        <v>840</v>
      </c>
      <c r="J66" s="1166">
        <v>165</v>
      </c>
      <c r="K66" s="1166">
        <v>140</v>
      </c>
      <c r="L66" s="1166">
        <v>235</v>
      </c>
      <c r="M66" s="1166">
        <v>130</v>
      </c>
      <c r="N66" s="590">
        <v>85</v>
      </c>
      <c r="O66" s="1166">
        <v>75</v>
      </c>
      <c r="P66" s="1166">
        <v>210</v>
      </c>
      <c r="Q66" s="1166">
        <v>190</v>
      </c>
      <c r="R66" s="1166">
        <v>340</v>
      </c>
      <c r="S66" s="1166">
        <v>115</v>
      </c>
      <c r="T66" s="1166">
        <v>115</v>
      </c>
      <c r="U66" s="589">
        <v>60</v>
      </c>
      <c r="V66" s="1166">
        <v>270</v>
      </c>
      <c r="W66" s="1166">
        <v>40</v>
      </c>
      <c r="X66" s="1238">
        <v>40</v>
      </c>
      <c r="Y66" s="1168">
        <f t="shared" si="1"/>
        <v>3860</v>
      </c>
      <c r="Z66" s="586">
        <v>27220</v>
      </c>
    </row>
    <row r="67" spans="1:26" s="531" customFormat="1" ht="13.5" x14ac:dyDescent="0.2">
      <c r="A67" s="895"/>
      <c r="B67" s="785" t="s">
        <v>590</v>
      </c>
      <c r="C67" s="589">
        <v>30</v>
      </c>
      <c r="D67" s="1166">
        <v>120</v>
      </c>
      <c r="E67" s="1166">
        <v>100</v>
      </c>
      <c r="F67" s="1166">
        <v>95</v>
      </c>
      <c r="G67" s="1166">
        <v>260</v>
      </c>
      <c r="H67" s="1166">
        <v>55</v>
      </c>
      <c r="I67" s="1166">
        <v>995</v>
      </c>
      <c r="J67" s="1166">
        <v>80</v>
      </c>
      <c r="K67" s="1166">
        <v>90</v>
      </c>
      <c r="L67" s="1166">
        <v>155</v>
      </c>
      <c r="M67" s="1166">
        <v>65</v>
      </c>
      <c r="N67" s="590">
        <v>45</v>
      </c>
      <c r="O67" s="1166">
        <v>45</v>
      </c>
      <c r="P67" s="1166">
        <v>110</v>
      </c>
      <c r="Q67" s="1166">
        <v>75</v>
      </c>
      <c r="R67" s="1166">
        <v>275</v>
      </c>
      <c r="S67" s="1166">
        <v>75</v>
      </c>
      <c r="T67" s="1166">
        <v>50</v>
      </c>
      <c r="U67" s="589">
        <v>50</v>
      </c>
      <c r="V67" s="1166">
        <v>185</v>
      </c>
      <c r="W67" s="1166">
        <v>25</v>
      </c>
      <c r="X67" s="1238">
        <v>25</v>
      </c>
      <c r="Y67" s="1168">
        <f t="shared" si="1"/>
        <v>2770</v>
      </c>
      <c r="Z67" s="586">
        <v>16460</v>
      </c>
    </row>
    <row r="68" spans="1:26" s="531" customFormat="1" ht="13.5" x14ac:dyDescent="0.2">
      <c r="A68" s="595" t="s">
        <v>236</v>
      </c>
      <c r="B68" s="783" t="s">
        <v>290</v>
      </c>
      <c r="C68" s="589">
        <v>60</v>
      </c>
      <c r="D68" s="589">
        <v>320</v>
      </c>
      <c r="E68" s="589">
        <v>355</v>
      </c>
      <c r="F68" s="589">
        <v>450</v>
      </c>
      <c r="G68" s="589">
        <v>1045</v>
      </c>
      <c r="H68" s="589">
        <v>145</v>
      </c>
      <c r="I68" s="589">
        <v>1310</v>
      </c>
      <c r="J68" s="589">
        <v>345</v>
      </c>
      <c r="K68" s="589">
        <v>250</v>
      </c>
      <c r="L68" s="589">
        <v>435</v>
      </c>
      <c r="M68" s="589">
        <v>260</v>
      </c>
      <c r="N68" s="589">
        <v>175</v>
      </c>
      <c r="O68" s="589">
        <v>150</v>
      </c>
      <c r="P68" s="589">
        <v>390</v>
      </c>
      <c r="Q68" s="589">
        <v>515</v>
      </c>
      <c r="R68" s="589">
        <v>600</v>
      </c>
      <c r="S68" s="589">
        <v>225</v>
      </c>
      <c r="T68" s="589">
        <v>225</v>
      </c>
      <c r="U68" s="589">
        <v>100</v>
      </c>
      <c r="V68" s="589">
        <v>455</v>
      </c>
      <c r="W68" s="589">
        <v>50</v>
      </c>
      <c r="X68" s="589">
        <v>50</v>
      </c>
      <c r="Y68" s="1168">
        <v>7070</v>
      </c>
      <c r="Z68" s="589">
        <v>53990</v>
      </c>
    </row>
    <row r="69" spans="1:26" s="531" customFormat="1" ht="13.5" x14ac:dyDescent="0.2">
      <c r="A69" s="595" t="s">
        <v>704</v>
      </c>
      <c r="B69" s="783" t="s">
        <v>291</v>
      </c>
      <c r="C69" s="589">
        <v>25</v>
      </c>
      <c r="D69" s="1166">
        <v>140</v>
      </c>
      <c r="E69" s="1166">
        <v>150</v>
      </c>
      <c r="F69" s="1166">
        <v>240</v>
      </c>
      <c r="G69" s="1166">
        <v>420</v>
      </c>
      <c r="H69" s="1166">
        <v>60</v>
      </c>
      <c r="I69" s="1166">
        <v>565</v>
      </c>
      <c r="J69" s="1166">
        <v>130</v>
      </c>
      <c r="K69" s="1166">
        <v>110</v>
      </c>
      <c r="L69" s="1166">
        <v>120</v>
      </c>
      <c r="M69" s="1166">
        <v>110</v>
      </c>
      <c r="N69" s="590">
        <v>65</v>
      </c>
      <c r="O69" s="1166">
        <v>55</v>
      </c>
      <c r="P69" s="1166">
        <v>150</v>
      </c>
      <c r="Q69" s="1166">
        <v>195</v>
      </c>
      <c r="R69" s="1166">
        <v>235</v>
      </c>
      <c r="S69" s="1166">
        <v>65</v>
      </c>
      <c r="T69" s="1166">
        <v>120</v>
      </c>
      <c r="U69" s="589">
        <v>45</v>
      </c>
      <c r="V69" s="1166">
        <v>170</v>
      </c>
      <c r="W69" s="1166">
        <v>35</v>
      </c>
      <c r="X69" s="1238">
        <v>20</v>
      </c>
      <c r="Y69" s="1168">
        <v>2890</v>
      </c>
      <c r="Z69" s="586">
        <v>23640</v>
      </c>
    </row>
    <row r="70" spans="1:26" s="531" customFormat="1" ht="13.5" x14ac:dyDescent="0.2">
      <c r="A70" s="595" t="s">
        <v>705</v>
      </c>
      <c r="B70" s="785" t="s">
        <v>292</v>
      </c>
      <c r="C70" s="588">
        <v>15</v>
      </c>
      <c r="D70" s="1166">
        <v>90</v>
      </c>
      <c r="E70" s="1166">
        <v>95</v>
      </c>
      <c r="F70" s="1166">
        <v>155</v>
      </c>
      <c r="G70" s="1166">
        <v>280</v>
      </c>
      <c r="H70" s="1166">
        <v>40</v>
      </c>
      <c r="I70" s="1166">
        <v>390</v>
      </c>
      <c r="J70" s="1166">
        <v>95</v>
      </c>
      <c r="K70" s="1166">
        <v>60</v>
      </c>
      <c r="L70" s="1166">
        <v>80</v>
      </c>
      <c r="M70" s="1166">
        <v>60</v>
      </c>
      <c r="N70" s="590">
        <v>40</v>
      </c>
      <c r="O70" s="1166">
        <v>30</v>
      </c>
      <c r="P70" s="1166">
        <v>85</v>
      </c>
      <c r="Q70" s="1166">
        <v>135</v>
      </c>
      <c r="R70" s="1166">
        <v>165</v>
      </c>
      <c r="S70" s="1166">
        <v>40</v>
      </c>
      <c r="T70" s="1166">
        <v>55</v>
      </c>
      <c r="U70" s="589">
        <v>35</v>
      </c>
      <c r="V70" s="1166">
        <v>125</v>
      </c>
      <c r="W70" s="1166">
        <v>25</v>
      </c>
      <c r="X70" s="1238">
        <v>10</v>
      </c>
      <c r="Y70" s="1168">
        <v>1925</v>
      </c>
      <c r="Z70" s="586">
        <v>16190</v>
      </c>
    </row>
    <row r="71" spans="1:26" s="531" customFormat="1" ht="13.5" x14ac:dyDescent="0.2">
      <c r="A71" s="595" t="s">
        <v>706</v>
      </c>
      <c r="B71" s="785" t="s">
        <v>583</v>
      </c>
      <c r="C71" s="589" t="s">
        <v>1252</v>
      </c>
      <c r="D71" s="1166">
        <v>34</v>
      </c>
      <c r="E71" s="1166">
        <v>19</v>
      </c>
      <c r="F71" s="1166">
        <v>17</v>
      </c>
      <c r="G71" s="1166">
        <v>29</v>
      </c>
      <c r="H71" s="1166">
        <v>0</v>
      </c>
      <c r="I71" s="1166">
        <v>868</v>
      </c>
      <c r="J71" s="1166" t="s">
        <v>1252</v>
      </c>
      <c r="K71" s="1166">
        <v>41</v>
      </c>
      <c r="L71" s="1166">
        <v>58</v>
      </c>
      <c r="M71" s="1166">
        <v>32</v>
      </c>
      <c r="N71" s="590">
        <v>6</v>
      </c>
      <c r="O71" s="1166">
        <v>12</v>
      </c>
      <c r="P71" s="1166" t="s">
        <v>1252</v>
      </c>
      <c r="Q71" s="1166" t="s">
        <v>1252</v>
      </c>
      <c r="R71" s="1166">
        <v>151</v>
      </c>
      <c r="S71" s="1166">
        <v>14</v>
      </c>
      <c r="T71" s="1166">
        <v>0</v>
      </c>
      <c r="U71" s="589">
        <v>13</v>
      </c>
      <c r="V71" s="1166">
        <v>64</v>
      </c>
      <c r="W71" s="1166" t="s">
        <v>1252</v>
      </c>
      <c r="X71" s="1238" t="s">
        <v>1252</v>
      </c>
      <c r="Y71" s="529">
        <v>1360</v>
      </c>
      <c r="Z71" s="586">
        <v>4340</v>
      </c>
    </row>
    <row r="72" spans="1:26" s="531" customFormat="1" ht="13.5" x14ac:dyDescent="0.2">
      <c r="A72" s="594" t="s">
        <v>707</v>
      </c>
      <c r="B72" s="785" t="s">
        <v>534</v>
      </c>
      <c r="C72" s="589">
        <v>15</v>
      </c>
      <c r="D72" s="1166">
        <v>65</v>
      </c>
      <c r="E72" s="1166">
        <v>35</v>
      </c>
      <c r="F72" s="1166">
        <v>60</v>
      </c>
      <c r="G72" s="1166">
        <v>225</v>
      </c>
      <c r="H72" s="1166">
        <v>25</v>
      </c>
      <c r="I72" s="1166">
        <v>290</v>
      </c>
      <c r="J72" s="1166">
        <v>40</v>
      </c>
      <c r="K72" s="1166">
        <v>40</v>
      </c>
      <c r="L72" s="1166">
        <v>40</v>
      </c>
      <c r="M72" s="1166">
        <v>50</v>
      </c>
      <c r="N72" s="590">
        <v>20</v>
      </c>
      <c r="O72" s="1166">
        <v>25</v>
      </c>
      <c r="P72" s="1166">
        <v>65</v>
      </c>
      <c r="Q72" s="1166">
        <v>80</v>
      </c>
      <c r="R72" s="1166">
        <v>90</v>
      </c>
      <c r="S72" s="1166">
        <v>30</v>
      </c>
      <c r="T72" s="1166">
        <v>60</v>
      </c>
      <c r="U72" s="589">
        <v>10</v>
      </c>
      <c r="V72" s="1166">
        <v>70</v>
      </c>
      <c r="W72" s="1166">
        <v>15</v>
      </c>
      <c r="X72" s="1238">
        <v>10</v>
      </c>
      <c r="Y72" s="1168">
        <f t="shared" ref="Y72" si="2">SUM(C72:O72,Q72:R72,U72:X72)</f>
        <v>1205</v>
      </c>
      <c r="Z72" s="586">
        <v>7250</v>
      </c>
    </row>
    <row r="73" spans="1:26" s="531" customFormat="1" ht="13.5" x14ac:dyDescent="0.2">
      <c r="A73" s="594" t="s">
        <v>237</v>
      </c>
      <c r="B73" s="785" t="s">
        <v>575</v>
      </c>
      <c r="C73" s="1213"/>
      <c r="D73" s="1214"/>
      <c r="E73" s="1214"/>
      <c r="F73" s="1214"/>
      <c r="G73" s="1214"/>
      <c r="H73" s="1214"/>
      <c r="I73" s="1214"/>
      <c r="J73" s="1214"/>
      <c r="K73" s="1214"/>
      <c r="L73" s="1214"/>
      <c r="M73" s="1214"/>
      <c r="N73" s="1217"/>
      <c r="O73" s="1214"/>
      <c r="P73" s="1214"/>
      <c r="Q73" s="1214"/>
      <c r="R73" s="1214"/>
      <c r="S73" s="1214"/>
      <c r="T73" s="1214"/>
      <c r="U73" s="1213"/>
      <c r="V73" s="1214"/>
      <c r="W73" s="1214"/>
      <c r="X73" s="1236"/>
      <c r="Y73" s="1215"/>
      <c r="Z73" s="1216"/>
    </row>
    <row r="74" spans="1:26" s="531" customFormat="1" ht="13.5" x14ac:dyDescent="0.2">
      <c r="A74" s="594" t="s">
        <v>238</v>
      </c>
      <c r="B74" s="785" t="s">
        <v>576</v>
      </c>
      <c r="C74" s="1213"/>
      <c r="D74" s="1214"/>
      <c r="E74" s="1214"/>
      <c r="F74" s="1214"/>
      <c r="G74" s="1214"/>
      <c r="H74" s="1214"/>
      <c r="I74" s="1214"/>
      <c r="J74" s="1214"/>
      <c r="K74" s="1214"/>
      <c r="L74" s="1214"/>
      <c r="M74" s="1214"/>
      <c r="N74" s="1217"/>
      <c r="O74" s="1214"/>
      <c r="P74" s="1214"/>
      <c r="Q74" s="1214"/>
      <c r="R74" s="1214"/>
      <c r="S74" s="1214"/>
      <c r="T74" s="1214"/>
      <c r="U74" s="1213"/>
      <c r="V74" s="1214"/>
      <c r="W74" s="1214"/>
      <c r="X74" s="1236"/>
      <c r="Y74" s="1215"/>
      <c r="Z74" s="1216"/>
    </row>
    <row r="75" spans="1:26" s="531" customFormat="1" ht="13.5" x14ac:dyDescent="0.2">
      <c r="A75" s="585" t="s">
        <v>708</v>
      </c>
      <c r="B75" s="778" t="s">
        <v>535</v>
      </c>
      <c r="C75" s="589">
        <v>60</v>
      </c>
      <c r="D75" s="1166">
        <v>204</v>
      </c>
      <c r="E75" s="1166">
        <v>249</v>
      </c>
      <c r="F75" s="1166">
        <v>184</v>
      </c>
      <c r="G75" s="1166">
        <v>507</v>
      </c>
      <c r="H75" s="1166">
        <v>73</v>
      </c>
      <c r="I75" s="1166">
        <v>1504</v>
      </c>
      <c r="J75" s="1166">
        <v>208</v>
      </c>
      <c r="K75" s="1166">
        <v>183</v>
      </c>
      <c r="L75" s="1166">
        <v>357</v>
      </c>
      <c r="M75" s="1166">
        <v>128</v>
      </c>
      <c r="N75" s="587">
        <v>130</v>
      </c>
      <c r="O75" s="1166">
        <v>129</v>
      </c>
      <c r="P75" s="1166">
        <v>235</v>
      </c>
      <c r="Q75" s="1166">
        <v>214</v>
      </c>
      <c r="R75" s="1166">
        <v>489</v>
      </c>
      <c r="S75" s="1166">
        <v>181</v>
      </c>
      <c r="T75" s="1166">
        <v>96</v>
      </c>
      <c r="U75" s="588">
        <v>54</v>
      </c>
      <c r="V75" s="1166">
        <v>380</v>
      </c>
      <c r="W75" s="1166">
        <v>32</v>
      </c>
      <c r="X75" s="1238">
        <v>38</v>
      </c>
      <c r="Y75" s="1168">
        <v>5120</v>
      </c>
      <c r="Z75" s="586">
        <v>32170</v>
      </c>
    </row>
    <row r="76" spans="1:26" s="531" customFormat="1" ht="13.5" x14ac:dyDescent="0.2">
      <c r="A76" s="585" t="s">
        <v>709</v>
      </c>
      <c r="B76" s="778" t="s">
        <v>536</v>
      </c>
      <c r="C76" s="1240"/>
      <c r="D76" s="1231"/>
      <c r="E76" s="1231"/>
      <c r="F76" s="1231"/>
      <c r="G76" s="1231"/>
      <c r="H76" s="1231"/>
      <c r="I76" s="1231"/>
      <c r="J76" s="1231"/>
      <c r="K76" s="1231"/>
      <c r="L76" s="1231"/>
      <c r="M76" s="1231"/>
      <c r="N76" s="1241"/>
      <c r="O76" s="1231"/>
      <c r="P76" s="1231"/>
      <c r="Q76" s="1231"/>
      <c r="R76" s="1231"/>
      <c r="S76" s="1231"/>
      <c r="T76" s="1231"/>
      <c r="U76" s="1240"/>
      <c r="V76" s="1231"/>
      <c r="W76" s="1231"/>
      <c r="X76" s="1242"/>
      <c r="Y76" s="1234"/>
      <c r="Z76" s="1232"/>
    </row>
    <row r="77" spans="1:26" s="531" customFormat="1" ht="13.5" x14ac:dyDescent="0.2">
      <c r="A77" s="585" t="s">
        <v>710</v>
      </c>
      <c r="B77" s="778" t="s">
        <v>537</v>
      </c>
      <c r="C77" s="1240"/>
      <c r="D77" s="1231"/>
      <c r="E77" s="1231"/>
      <c r="F77" s="1231"/>
      <c r="G77" s="1231"/>
      <c r="H77" s="1231"/>
      <c r="I77" s="1231"/>
      <c r="J77" s="1231"/>
      <c r="K77" s="1231"/>
      <c r="L77" s="1231"/>
      <c r="M77" s="1231"/>
      <c r="N77" s="1241"/>
      <c r="O77" s="1231"/>
      <c r="P77" s="1231"/>
      <c r="Q77" s="1231"/>
      <c r="R77" s="1231"/>
      <c r="S77" s="1231"/>
      <c r="T77" s="1231"/>
      <c r="U77" s="1240"/>
      <c r="V77" s="1231"/>
      <c r="W77" s="1231"/>
      <c r="X77" s="1242"/>
      <c r="Y77" s="1234"/>
      <c r="Z77" s="1232"/>
    </row>
    <row r="78" spans="1:26" s="531" customFormat="1" ht="13.5" x14ac:dyDescent="0.2">
      <c r="A78" s="595">
        <v>30</v>
      </c>
      <c r="B78" s="785" t="s">
        <v>607</v>
      </c>
      <c r="C78" s="591">
        <v>5</v>
      </c>
      <c r="D78" s="1166">
        <v>15</v>
      </c>
      <c r="E78" s="1166">
        <v>25</v>
      </c>
      <c r="F78" s="1166">
        <v>30</v>
      </c>
      <c r="G78" s="1166">
        <v>60</v>
      </c>
      <c r="H78" s="1166" t="s">
        <v>73</v>
      </c>
      <c r="I78" s="1166">
        <v>50</v>
      </c>
      <c r="J78" s="1166">
        <v>25</v>
      </c>
      <c r="K78" s="1166" t="s">
        <v>73</v>
      </c>
      <c r="L78" s="1166">
        <v>20</v>
      </c>
      <c r="M78" s="1166">
        <v>20</v>
      </c>
      <c r="N78" s="590">
        <v>5</v>
      </c>
      <c r="O78" s="1166">
        <v>5</v>
      </c>
      <c r="P78" s="1166">
        <v>15</v>
      </c>
      <c r="Q78" s="1166">
        <v>60</v>
      </c>
      <c r="R78" s="1166">
        <v>35</v>
      </c>
      <c r="S78" s="1166">
        <v>5</v>
      </c>
      <c r="T78" s="1166">
        <v>10</v>
      </c>
      <c r="U78" s="589">
        <v>10</v>
      </c>
      <c r="V78" s="1166">
        <v>45</v>
      </c>
      <c r="W78" s="1166" t="s">
        <v>73</v>
      </c>
      <c r="X78" s="1238" t="s">
        <v>73</v>
      </c>
      <c r="Y78" s="1168">
        <f t="shared" ref="Y78" si="3">SUM(C78:O78,Q78:R78,U78:X78)</f>
        <v>410</v>
      </c>
      <c r="Z78" s="586">
        <v>2940</v>
      </c>
    </row>
    <row r="79" spans="1:26" s="531" customFormat="1" ht="13.5" x14ac:dyDescent="0.2">
      <c r="A79" s="595">
        <v>31</v>
      </c>
      <c r="B79" s="785" t="s">
        <v>293</v>
      </c>
      <c r="C79" s="588">
        <v>68</v>
      </c>
      <c r="D79" s="1166">
        <v>245</v>
      </c>
      <c r="E79" s="1166">
        <v>227</v>
      </c>
      <c r="F79" s="1166">
        <v>192</v>
      </c>
      <c r="G79" s="1166">
        <v>545</v>
      </c>
      <c r="H79" s="1166">
        <v>73</v>
      </c>
      <c r="I79" s="1166">
        <v>1079</v>
      </c>
      <c r="J79" s="1166">
        <v>210</v>
      </c>
      <c r="K79" s="1166">
        <v>186</v>
      </c>
      <c r="L79" s="1166">
        <v>280</v>
      </c>
      <c r="M79" s="1166">
        <v>126</v>
      </c>
      <c r="N79" s="590">
        <v>123</v>
      </c>
      <c r="O79" s="1166">
        <v>154</v>
      </c>
      <c r="P79" s="1166">
        <v>229</v>
      </c>
      <c r="Q79" s="1166">
        <v>205</v>
      </c>
      <c r="R79" s="1166">
        <v>405</v>
      </c>
      <c r="S79" s="1166">
        <v>139</v>
      </c>
      <c r="T79" s="1166">
        <v>125</v>
      </c>
      <c r="U79" s="589">
        <v>69</v>
      </c>
      <c r="V79" s="1166">
        <v>386</v>
      </c>
      <c r="W79" s="1166">
        <v>43</v>
      </c>
      <c r="X79" s="1238">
        <v>34</v>
      </c>
      <c r="Y79" s="529">
        <v>4650</v>
      </c>
      <c r="Z79" s="586">
        <v>31860</v>
      </c>
    </row>
    <row r="80" spans="1:26" s="531" customFormat="1" ht="13.5" x14ac:dyDescent="0.2">
      <c r="A80" s="595" t="s">
        <v>711</v>
      </c>
      <c r="B80" s="785" t="s">
        <v>294</v>
      </c>
      <c r="C80" s="591">
        <v>9</v>
      </c>
      <c r="D80" s="1166">
        <v>39</v>
      </c>
      <c r="E80" s="1166">
        <v>38</v>
      </c>
      <c r="F80" s="1166">
        <v>47</v>
      </c>
      <c r="G80" s="1166">
        <v>84</v>
      </c>
      <c r="H80" s="1166">
        <v>9</v>
      </c>
      <c r="I80" s="1166">
        <v>108</v>
      </c>
      <c r="J80" s="1166">
        <v>24</v>
      </c>
      <c r="K80" s="1166">
        <v>19</v>
      </c>
      <c r="L80" s="1166">
        <v>50</v>
      </c>
      <c r="M80" s="1166">
        <v>27</v>
      </c>
      <c r="N80" s="592">
        <v>25</v>
      </c>
      <c r="O80" s="1166">
        <v>16</v>
      </c>
      <c r="P80" s="1166">
        <v>51</v>
      </c>
      <c r="Q80" s="1166">
        <v>63</v>
      </c>
      <c r="R80" s="1166">
        <v>51</v>
      </c>
      <c r="S80" s="1166">
        <v>7</v>
      </c>
      <c r="T80" s="1166">
        <v>28</v>
      </c>
      <c r="U80" s="591">
        <v>7</v>
      </c>
      <c r="V80" s="1166">
        <v>33</v>
      </c>
      <c r="W80" s="1166">
        <v>7</v>
      </c>
      <c r="X80" s="1238" t="s">
        <v>1252</v>
      </c>
      <c r="Y80" s="1168">
        <v>660</v>
      </c>
      <c r="Z80" s="586">
        <v>4710</v>
      </c>
    </row>
    <row r="81" spans="1:26" s="531" customFormat="1" ht="13.5" x14ac:dyDescent="0.2">
      <c r="A81" s="595" t="s">
        <v>712</v>
      </c>
      <c r="B81" s="785" t="s">
        <v>295</v>
      </c>
      <c r="C81" s="1214"/>
      <c r="D81" s="1214"/>
      <c r="E81" s="1214"/>
      <c r="F81" s="1214"/>
      <c r="G81" s="1214"/>
      <c r="H81" s="1214"/>
      <c r="I81" s="1214"/>
      <c r="J81" s="1214"/>
      <c r="K81" s="1214"/>
      <c r="L81" s="1214"/>
      <c r="M81" s="1214"/>
      <c r="N81" s="1214"/>
      <c r="O81" s="1214"/>
      <c r="P81" s="1214"/>
      <c r="Q81" s="1214"/>
      <c r="R81" s="1214"/>
      <c r="S81" s="1214"/>
      <c r="T81" s="1214"/>
      <c r="U81" s="1214"/>
      <c r="V81" s="1214"/>
      <c r="W81" s="1214"/>
      <c r="X81" s="1236"/>
      <c r="Y81" s="1215"/>
      <c r="Z81" s="1216"/>
    </row>
    <row r="82" spans="1:26" s="531" customFormat="1" ht="22.5" x14ac:dyDescent="0.2">
      <c r="A82" s="595" t="s">
        <v>713</v>
      </c>
      <c r="B82" s="785" t="s">
        <v>296</v>
      </c>
      <c r="C82" s="1214"/>
      <c r="D82" s="1214"/>
      <c r="E82" s="1214"/>
      <c r="F82" s="1214"/>
      <c r="G82" s="1214"/>
      <c r="H82" s="1214"/>
      <c r="I82" s="1214"/>
      <c r="J82" s="1214"/>
      <c r="K82" s="1214"/>
      <c r="L82" s="1214"/>
      <c r="M82" s="1214"/>
      <c r="N82" s="1214"/>
      <c r="O82" s="1214"/>
      <c r="P82" s="1214"/>
      <c r="Q82" s="1214"/>
      <c r="R82" s="1214"/>
      <c r="S82" s="1214"/>
      <c r="T82" s="1214"/>
      <c r="U82" s="1214"/>
      <c r="V82" s="1214"/>
      <c r="W82" s="1214"/>
      <c r="X82" s="1236"/>
      <c r="Y82" s="1215"/>
      <c r="Z82" s="1216"/>
    </row>
    <row r="83" spans="1:26" s="531" customFormat="1" ht="13.5" x14ac:dyDescent="0.2">
      <c r="A83" s="585">
        <v>33</v>
      </c>
      <c r="B83" s="779" t="s">
        <v>529</v>
      </c>
      <c r="C83" s="1145">
        <v>12</v>
      </c>
      <c r="D83" s="1145">
        <v>59</v>
      </c>
      <c r="E83" s="1145">
        <v>55</v>
      </c>
      <c r="F83" s="1145">
        <v>49</v>
      </c>
      <c r="G83" s="1145">
        <v>142</v>
      </c>
      <c r="H83" s="1145">
        <v>27</v>
      </c>
      <c r="I83" s="1145">
        <v>396</v>
      </c>
      <c r="J83" s="1145">
        <v>36</v>
      </c>
      <c r="K83" s="1145">
        <v>44</v>
      </c>
      <c r="L83" s="1145">
        <v>73</v>
      </c>
      <c r="M83" s="1145">
        <v>24</v>
      </c>
      <c r="N83" s="1145">
        <v>29</v>
      </c>
      <c r="O83" s="1145">
        <v>21</v>
      </c>
      <c r="P83" s="1145">
        <v>45</v>
      </c>
      <c r="Q83" s="1145">
        <v>31</v>
      </c>
      <c r="R83" s="1145">
        <v>111</v>
      </c>
      <c r="S83" s="1145">
        <v>33</v>
      </c>
      <c r="T83" s="1145">
        <v>25</v>
      </c>
      <c r="U83" s="1145">
        <v>14</v>
      </c>
      <c r="V83" s="1145">
        <v>106</v>
      </c>
      <c r="W83" s="1145">
        <v>16</v>
      </c>
      <c r="X83" s="1145">
        <v>8</v>
      </c>
      <c r="Y83" s="529">
        <v>1250</v>
      </c>
      <c r="Z83" s="1000">
        <v>8000</v>
      </c>
    </row>
    <row r="84" spans="1:26" s="531" customFormat="1" ht="13.5" x14ac:dyDescent="0.2">
      <c r="A84" s="585" t="s">
        <v>714</v>
      </c>
      <c r="B84" s="779" t="s">
        <v>530</v>
      </c>
      <c r="C84" s="1145">
        <v>40</v>
      </c>
      <c r="D84" s="1145">
        <v>161</v>
      </c>
      <c r="E84" s="1145">
        <v>151</v>
      </c>
      <c r="F84" s="1145">
        <v>152</v>
      </c>
      <c r="G84" s="1145">
        <v>498</v>
      </c>
      <c r="H84" s="1145">
        <v>90</v>
      </c>
      <c r="I84" s="1145">
        <v>945</v>
      </c>
      <c r="J84" s="1145">
        <v>156</v>
      </c>
      <c r="K84" s="1145">
        <v>117</v>
      </c>
      <c r="L84" s="1145">
        <v>254</v>
      </c>
      <c r="M84" s="1145">
        <v>106</v>
      </c>
      <c r="N84" s="1145">
        <v>68</v>
      </c>
      <c r="O84" s="1145">
        <v>89</v>
      </c>
      <c r="P84" s="1145">
        <v>260</v>
      </c>
      <c r="Q84" s="1145">
        <v>130</v>
      </c>
      <c r="R84" s="1145">
        <v>363</v>
      </c>
      <c r="S84" s="1145">
        <v>142</v>
      </c>
      <c r="T84" s="1145">
        <v>96</v>
      </c>
      <c r="U84" s="1145">
        <v>55</v>
      </c>
      <c r="V84" s="1145">
        <v>305</v>
      </c>
      <c r="W84" s="1145">
        <v>42</v>
      </c>
      <c r="X84" s="1145">
        <v>31</v>
      </c>
      <c r="Y84" s="529">
        <v>3750</v>
      </c>
      <c r="Z84" s="1000">
        <v>26340</v>
      </c>
    </row>
    <row r="85" spans="1:26" s="531" customFormat="1" ht="13.5" x14ac:dyDescent="0.2">
      <c r="A85" s="585" t="s">
        <v>715</v>
      </c>
      <c r="B85" s="779" t="s">
        <v>531</v>
      </c>
      <c r="C85" s="1145"/>
      <c r="D85" s="1145"/>
      <c r="E85" s="1145"/>
      <c r="F85" s="1145"/>
      <c r="G85" s="1145"/>
      <c r="H85" s="1145"/>
      <c r="I85" s="1145"/>
      <c r="J85" s="1145"/>
      <c r="K85" s="1145"/>
      <c r="L85" s="1145"/>
      <c r="M85" s="1145"/>
      <c r="N85" s="1145"/>
      <c r="O85" s="1145"/>
      <c r="P85" s="1145"/>
      <c r="Q85" s="1145"/>
      <c r="R85" s="1145"/>
      <c r="S85" s="1145"/>
      <c r="T85" s="1145"/>
      <c r="U85" s="1145"/>
      <c r="V85" s="1145"/>
      <c r="W85" s="1145"/>
      <c r="X85" s="1145"/>
      <c r="Y85" s="529"/>
      <c r="Z85" s="1000"/>
    </row>
    <row r="86" spans="1:26" s="531" customFormat="1" ht="13.5" x14ac:dyDescent="0.2">
      <c r="A86" s="585" t="s">
        <v>716</v>
      </c>
      <c r="B86" s="779" t="s">
        <v>532</v>
      </c>
      <c r="C86" s="1145">
        <v>36</v>
      </c>
      <c r="D86" s="1145">
        <v>154</v>
      </c>
      <c r="E86" s="1145">
        <v>120</v>
      </c>
      <c r="F86" s="1145">
        <v>124</v>
      </c>
      <c r="G86" s="1145">
        <v>354</v>
      </c>
      <c r="H86" s="1145">
        <v>82</v>
      </c>
      <c r="I86" s="1145">
        <v>638</v>
      </c>
      <c r="J86" s="1145">
        <v>140</v>
      </c>
      <c r="K86" s="1145">
        <v>91</v>
      </c>
      <c r="L86" s="1145">
        <v>179</v>
      </c>
      <c r="M86" s="1145">
        <v>67</v>
      </c>
      <c r="N86" s="1145">
        <v>61</v>
      </c>
      <c r="O86" s="1145">
        <v>60</v>
      </c>
      <c r="P86" s="1145">
        <v>231</v>
      </c>
      <c r="Q86" s="1145">
        <v>82</v>
      </c>
      <c r="R86" s="1145">
        <v>306</v>
      </c>
      <c r="S86" s="1145">
        <v>120</v>
      </c>
      <c r="T86" s="1145">
        <v>90</v>
      </c>
      <c r="U86" s="1145">
        <v>38</v>
      </c>
      <c r="V86" s="1145">
        <v>259</v>
      </c>
      <c r="W86" s="1145">
        <v>29</v>
      </c>
      <c r="X86" s="1145">
        <v>24</v>
      </c>
      <c r="Y86" s="529">
        <v>2840</v>
      </c>
      <c r="Z86" s="1000">
        <v>21500</v>
      </c>
    </row>
    <row r="87" spans="1:26" s="531" customFormat="1" ht="13.5" x14ac:dyDescent="0.2">
      <c r="A87" s="585" t="s">
        <v>717</v>
      </c>
      <c r="B87" s="779" t="s">
        <v>533</v>
      </c>
      <c r="C87" s="1145"/>
      <c r="D87" s="1145"/>
      <c r="E87" s="1145"/>
      <c r="F87" s="1145"/>
      <c r="G87" s="1145"/>
      <c r="H87" s="1145"/>
      <c r="I87" s="1145"/>
      <c r="J87" s="1145"/>
      <c r="K87" s="1145"/>
      <c r="L87" s="1145"/>
      <c r="M87" s="1145"/>
      <c r="N87" s="1145"/>
      <c r="O87" s="1145"/>
      <c r="P87" s="1145"/>
      <c r="Q87" s="1145"/>
      <c r="R87" s="1145"/>
      <c r="S87" s="1145"/>
      <c r="T87" s="1145"/>
      <c r="U87" s="1145"/>
      <c r="V87" s="1145"/>
      <c r="W87" s="1145"/>
      <c r="X87" s="1145"/>
      <c r="Y87" s="529"/>
      <c r="Z87" s="1000"/>
    </row>
    <row r="88" spans="1:26" s="531" customFormat="1" ht="13.5" x14ac:dyDescent="0.2">
      <c r="A88" s="594">
        <v>35</v>
      </c>
      <c r="B88" s="785" t="s">
        <v>617</v>
      </c>
      <c r="C88" s="1166" t="s">
        <v>73</v>
      </c>
      <c r="D88" s="1166" t="s">
        <v>73</v>
      </c>
      <c r="E88" s="1166">
        <v>5</v>
      </c>
      <c r="F88" s="1166" t="s">
        <v>73</v>
      </c>
      <c r="G88" s="1166">
        <v>5</v>
      </c>
      <c r="H88" s="1166" t="s">
        <v>73</v>
      </c>
      <c r="I88" s="1166">
        <v>10</v>
      </c>
      <c r="J88" s="1166">
        <v>20</v>
      </c>
      <c r="K88" s="1166">
        <v>5</v>
      </c>
      <c r="L88" s="1166">
        <v>10</v>
      </c>
      <c r="M88" s="1166">
        <v>15</v>
      </c>
      <c r="N88" s="1166">
        <v>10</v>
      </c>
      <c r="O88" s="1166">
        <v>10</v>
      </c>
      <c r="P88" s="1166" t="s">
        <v>73</v>
      </c>
      <c r="Q88" s="1166" t="s">
        <v>73</v>
      </c>
      <c r="R88" s="1166">
        <v>15</v>
      </c>
      <c r="S88" s="1166" t="s">
        <v>73</v>
      </c>
      <c r="T88" s="1166">
        <v>5</v>
      </c>
      <c r="U88" s="1166">
        <v>10</v>
      </c>
      <c r="V88" s="1166" t="s">
        <v>73</v>
      </c>
      <c r="W88" s="1166" t="s">
        <v>73</v>
      </c>
      <c r="X88" s="1238">
        <v>0</v>
      </c>
      <c r="Y88" s="1168">
        <v>130</v>
      </c>
      <c r="Z88" s="1169">
        <v>1120</v>
      </c>
    </row>
    <row r="89" spans="1:26" s="531" customFormat="1" ht="13.5" x14ac:dyDescent="0.2">
      <c r="A89" s="594">
        <v>36</v>
      </c>
      <c r="B89" s="785" t="s">
        <v>618</v>
      </c>
      <c r="C89" s="1166">
        <v>10</v>
      </c>
      <c r="D89" s="1166">
        <v>40</v>
      </c>
      <c r="E89" s="1166">
        <v>20</v>
      </c>
      <c r="F89" s="1166">
        <v>20</v>
      </c>
      <c r="G89" s="1166">
        <v>45</v>
      </c>
      <c r="H89" s="1166">
        <v>10</v>
      </c>
      <c r="I89" s="1166">
        <v>45</v>
      </c>
      <c r="J89" s="1166">
        <v>25</v>
      </c>
      <c r="K89" s="1166">
        <v>20</v>
      </c>
      <c r="L89" s="1166">
        <v>30</v>
      </c>
      <c r="M89" s="1166">
        <v>15</v>
      </c>
      <c r="N89" s="1166">
        <v>20</v>
      </c>
      <c r="O89" s="1166">
        <v>25</v>
      </c>
      <c r="P89" s="1166">
        <v>15</v>
      </c>
      <c r="Q89" s="1166">
        <v>30</v>
      </c>
      <c r="R89" s="1166">
        <v>40</v>
      </c>
      <c r="S89" s="1166">
        <v>10</v>
      </c>
      <c r="T89" s="1166">
        <v>10</v>
      </c>
      <c r="U89" s="1166">
        <v>10</v>
      </c>
      <c r="V89" s="1166">
        <v>45</v>
      </c>
      <c r="W89" s="1166" t="s">
        <v>1012</v>
      </c>
      <c r="X89" s="1238" t="s">
        <v>1012</v>
      </c>
      <c r="Y89" s="1168">
        <f t="shared" ref="Y89" si="4">SUM(C89:O89,Q89:R89,U89:X89)</f>
        <v>450</v>
      </c>
      <c r="Z89" s="1169">
        <v>3860</v>
      </c>
    </row>
    <row r="90" spans="1:26" s="531" customFormat="1" ht="13.5" x14ac:dyDescent="0.2">
      <c r="A90" s="595" t="s">
        <v>514</v>
      </c>
      <c r="B90" s="785" t="s">
        <v>297</v>
      </c>
      <c r="C90" s="1214"/>
      <c r="D90" s="1214"/>
      <c r="E90" s="1214"/>
      <c r="F90" s="1214"/>
      <c r="G90" s="1214"/>
      <c r="H90" s="1214"/>
      <c r="I90" s="1214"/>
      <c r="J90" s="1214"/>
      <c r="K90" s="1214"/>
      <c r="L90" s="1214"/>
      <c r="M90" s="1214"/>
      <c r="N90" s="1214"/>
      <c r="O90" s="1214"/>
      <c r="P90" s="1214"/>
      <c r="Q90" s="1214"/>
      <c r="R90" s="1214"/>
      <c r="S90" s="1214"/>
      <c r="T90" s="1214"/>
      <c r="U90" s="1214"/>
      <c r="V90" s="1214"/>
      <c r="W90" s="1214"/>
      <c r="X90" s="1236"/>
      <c r="Y90" s="1215"/>
      <c r="Z90" s="1245"/>
    </row>
    <row r="91" spans="1:26" s="531" customFormat="1" ht="13.5" x14ac:dyDescent="0.2">
      <c r="A91" s="595" t="s">
        <v>718</v>
      </c>
      <c r="B91" s="785" t="s">
        <v>299</v>
      </c>
      <c r="C91" s="1214"/>
      <c r="D91" s="1214"/>
      <c r="E91" s="1214"/>
      <c r="F91" s="1214"/>
      <c r="G91" s="1214"/>
      <c r="H91" s="1214"/>
      <c r="I91" s="1214"/>
      <c r="J91" s="1214"/>
      <c r="K91" s="1214"/>
      <c r="L91" s="1214"/>
      <c r="M91" s="1214"/>
      <c r="N91" s="1214"/>
      <c r="O91" s="1214"/>
      <c r="P91" s="1214"/>
      <c r="Q91" s="1214"/>
      <c r="R91" s="1214"/>
      <c r="S91" s="1214"/>
      <c r="T91" s="1214"/>
      <c r="U91" s="1214"/>
      <c r="V91" s="1214"/>
      <c r="W91" s="1214"/>
      <c r="X91" s="1236"/>
      <c r="Y91" s="1215"/>
      <c r="Z91" s="1245"/>
    </row>
    <row r="92" spans="1:26" s="531" customFormat="1" ht="13.5" x14ac:dyDescent="0.2">
      <c r="A92" s="585">
        <v>39</v>
      </c>
      <c r="B92" s="779" t="s">
        <v>524</v>
      </c>
      <c r="C92" s="1231"/>
      <c r="D92" s="1231"/>
      <c r="E92" s="1231"/>
      <c r="F92" s="1231"/>
      <c r="G92" s="1231"/>
      <c r="H92" s="1231"/>
      <c r="I92" s="1231"/>
      <c r="J92" s="1231"/>
      <c r="K92" s="1231"/>
      <c r="L92" s="1231"/>
      <c r="M92" s="1231"/>
      <c r="N92" s="1231"/>
      <c r="O92" s="1231"/>
      <c r="P92" s="1231"/>
      <c r="Q92" s="1231"/>
      <c r="R92" s="1231"/>
      <c r="S92" s="1231"/>
      <c r="T92" s="1231"/>
      <c r="U92" s="1231"/>
      <c r="V92" s="1231"/>
      <c r="W92" s="1231"/>
      <c r="X92" s="1242"/>
      <c r="Y92" s="1234"/>
      <c r="Z92" s="1235"/>
    </row>
    <row r="93" spans="1:26" s="1170" customFormat="1" ht="13.5" x14ac:dyDescent="0.2">
      <c r="A93" s="595">
        <v>40</v>
      </c>
      <c r="B93" s="779" t="s">
        <v>525</v>
      </c>
      <c r="C93" s="1231"/>
      <c r="D93" s="1231"/>
      <c r="E93" s="1231"/>
      <c r="F93" s="1231"/>
      <c r="G93" s="1231"/>
      <c r="H93" s="1231"/>
      <c r="I93" s="1231"/>
      <c r="J93" s="1231"/>
      <c r="K93" s="1231"/>
      <c r="L93" s="1231"/>
      <c r="M93" s="1231"/>
      <c r="N93" s="1231"/>
      <c r="O93" s="1231"/>
      <c r="P93" s="1231"/>
      <c r="Q93" s="1231"/>
      <c r="R93" s="1231"/>
      <c r="S93" s="1231"/>
      <c r="T93" s="1231"/>
      <c r="U93" s="1231"/>
      <c r="V93" s="1231"/>
      <c r="W93" s="1231"/>
      <c r="X93" s="1242"/>
      <c r="Y93" s="1234"/>
      <c r="Z93" s="1235"/>
    </row>
    <row r="94" spans="1:26" s="531" customFormat="1" ht="13.5" x14ac:dyDescent="0.2">
      <c r="A94" s="585">
        <v>42</v>
      </c>
      <c r="B94" s="779" t="s">
        <v>526</v>
      </c>
      <c r="C94" s="1231"/>
      <c r="D94" s="1231"/>
      <c r="E94" s="1231"/>
      <c r="F94" s="1231"/>
      <c r="G94" s="1231"/>
      <c r="H94" s="1231"/>
      <c r="I94" s="1231"/>
      <c r="J94" s="1231"/>
      <c r="K94" s="1231"/>
      <c r="L94" s="1231"/>
      <c r="M94" s="1231"/>
      <c r="N94" s="1231"/>
      <c r="O94" s="1231"/>
      <c r="P94" s="1231"/>
      <c r="Q94" s="1231"/>
      <c r="R94" s="1231"/>
      <c r="S94" s="1231"/>
      <c r="T94" s="1231"/>
      <c r="U94" s="1231"/>
      <c r="V94" s="1231"/>
      <c r="W94" s="1231"/>
      <c r="X94" s="1242"/>
      <c r="Y94" s="1234"/>
      <c r="Z94" s="1235"/>
    </row>
    <row r="95" spans="1:26" s="531" customFormat="1" ht="13.5" x14ac:dyDescent="0.2">
      <c r="A95" s="585">
        <v>44</v>
      </c>
      <c r="B95" s="779" t="s">
        <v>527</v>
      </c>
      <c r="C95" s="1231"/>
      <c r="D95" s="1231"/>
      <c r="E95" s="1231"/>
      <c r="F95" s="1231"/>
      <c r="G95" s="1231"/>
      <c r="H95" s="1231"/>
      <c r="I95" s="1231"/>
      <c r="J95" s="1231"/>
      <c r="K95" s="1231"/>
      <c r="L95" s="1231"/>
      <c r="M95" s="1231"/>
      <c r="N95" s="1231"/>
      <c r="O95" s="1231"/>
      <c r="P95" s="1231"/>
      <c r="Q95" s="1231"/>
      <c r="R95" s="1231"/>
      <c r="S95" s="1231"/>
      <c r="T95" s="1231"/>
      <c r="U95" s="1231"/>
      <c r="V95" s="1231"/>
      <c r="W95" s="1231"/>
      <c r="X95" s="1242"/>
      <c r="Y95" s="1234"/>
      <c r="Z95" s="1235"/>
    </row>
    <row r="96" spans="1:26" s="531" customFormat="1" ht="13.5" x14ac:dyDescent="0.2">
      <c r="A96" s="585">
        <v>45</v>
      </c>
      <c r="B96" s="779" t="s">
        <v>528</v>
      </c>
      <c r="C96" s="1231"/>
      <c r="D96" s="1231"/>
      <c r="E96" s="1231"/>
      <c r="F96" s="1231"/>
      <c r="G96" s="1231"/>
      <c r="H96" s="1231"/>
      <c r="I96" s="1231"/>
      <c r="J96" s="1231"/>
      <c r="K96" s="1231"/>
      <c r="L96" s="1231"/>
      <c r="M96" s="1231"/>
      <c r="N96" s="1231"/>
      <c r="O96" s="1231"/>
      <c r="P96" s="1231"/>
      <c r="Q96" s="1231"/>
      <c r="R96" s="1231"/>
      <c r="S96" s="1231"/>
      <c r="T96" s="1231"/>
      <c r="U96" s="1231"/>
      <c r="V96" s="1231"/>
      <c r="W96" s="1231"/>
      <c r="X96" s="1242"/>
      <c r="Y96" s="1234"/>
      <c r="Z96" s="1235"/>
    </row>
    <row r="97" spans="1:26" s="531" customFormat="1" ht="13.5" x14ac:dyDescent="0.2">
      <c r="A97" s="585"/>
      <c r="B97" s="779" t="s">
        <v>1117</v>
      </c>
      <c r="C97" s="1145">
        <v>35</v>
      </c>
      <c r="D97" s="1145">
        <v>99</v>
      </c>
      <c r="E97" s="1145">
        <v>120</v>
      </c>
      <c r="F97" s="1145">
        <v>82</v>
      </c>
      <c r="G97" s="1145">
        <v>194</v>
      </c>
      <c r="H97" s="1145">
        <v>32</v>
      </c>
      <c r="I97" s="1145">
        <v>260</v>
      </c>
      <c r="J97" s="1145">
        <v>142</v>
      </c>
      <c r="K97" s="1145">
        <v>61</v>
      </c>
      <c r="L97" s="1145">
        <v>154</v>
      </c>
      <c r="M97" s="1145">
        <v>45</v>
      </c>
      <c r="N97" s="1145">
        <v>67</v>
      </c>
      <c r="O97" s="1145">
        <v>57</v>
      </c>
      <c r="P97" s="1145">
        <v>149</v>
      </c>
      <c r="Q97" s="1145">
        <v>93</v>
      </c>
      <c r="R97" s="1145">
        <v>141</v>
      </c>
      <c r="S97" s="1145">
        <v>53</v>
      </c>
      <c r="T97" s="1145">
        <v>55</v>
      </c>
      <c r="U97" s="1145">
        <v>49</v>
      </c>
      <c r="V97" s="1145">
        <v>138</v>
      </c>
      <c r="W97" s="1145">
        <v>17</v>
      </c>
      <c r="X97" s="1145">
        <v>21</v>
      </c>
      <c r="Y97" s="529">
        <v>1807</v>
      </c>
      <c r="Z97" s="1000">
        <v>12792</v>
      </c>
    </row>
    <row r="98" spans="1:26" s="531" customFormat="1" ht="13.5" x14ac:dyDescent="0.2">
      <c r="A98" s="585"/>
      <c r="B98" s="779" t="s">
        <v>1118</v>
      </c>
      <c r="C98" s="1145">
        <v>51</v>
      </c>
      <c r="D98" s="1145">
        <v>147</v>
      </c>
      <c r="E98" s="1145">
        <v>189</v>
      </c>
      <c r="F98" s="1145">
        <v>134</v>
      </c>
      <c r="G98" s="1145">
        <v>331</v>
      </c>
      <c r="H98" s="1145">
        <v>49</v>
      </c>
      <c r="I98" s="1145">
        <v>500</v>
      </c>
      <c r="J98" s="1145">
        <v>250</v>
      </c>
      <c r="K98" s="1145">
        <v>114</v>
      </c>
      <c r="L98" s="1145">
        <v>273</v>
      </c>
      <c r="M98" s="1145">
        <v>64</v>
      </c>
      <c r="N98" s="1145">
        <v>112</v>
      </c>
      <c r="O98" s="1145">
        <v>96</v>
      </c>
      <c r="P98" s="1145">
        <v>235</v>
      </c>
      <c r="Q98" s="1145">
        <v>155</v>
      </c>
      <c r="R98" s="1145">
        <v>245</v>
      </c>
      <c r="S98" s="1145">
        <v>94</v>
      </c>
      <c r="T98" s="1145">
        <v>91</v>
      </c>
      <c r="U98" s="1145">
        <v>74</v>
      </c>
      <c r="V98" s="1145">
        <v>216</v>
      </c>
      <c r="W98" s="1145">
        <v>21</v>
      </c>
      <c r="X98" s="1145">
        <v>31</v>
      </c>
      <c r="Y98" s="529">
        <f t="shared" ref="Y98" si="5">SUM(C98:O98,Q98:R98,U98:X98)</f>
        <v>3052</v>
      </c>
      <c r="Z98" s="1000">
        <v>21264</v>
      </c>
    </row>
    <row r="99" spans="1:26" s="531" customFormat="1" ht="13.5" x14ac:dyDescent="0.2">
      <c r="A99" s="585" t="s">
        <v>720</v>
      </c>
      <c r="B99" s="779" t="s">
        <v>951</v>
      </c>
      <c r="C99" s="1231"/>
      <c r="D99" s="1231"/>
      <c r="E99" s="1231"/>
      <c r="F99" s="1231"/>
      <c r="G99" s="1231"/>
      <c r="H99" s="1231"/>
      <c r="I99" s="1231"/>
      <c r="J99" s="1231"/>
      <c r="K99" s="1231"/>
      <c r="L99" s="1231"/>
      <c r="M99" s="1231"/>
      <c r="N99" s="1231"/>
      <c r="O99" s="1231"/>
      <c r="P99" s="1231"/>
      <c r="Q99" s="1231"/>
      <c r="R99" s="1231"/>
      <c r="S99" s="1231"/>
      <c r="T99" s="1231"/>
      <c r="U99" s="1231"/>
      <c r="V99" s="1231"/>
      <c r="W99" s="1231"/>
      <c r="X99" s="1242"/>
      <c r="Y99" s="1234"/>
      <c r="Z99" s="1235"/>
    </row>
    <row r="100" spans="1:26" s="531" customFormat="1" ht="13.5" x14ac:dyDescent="0.2">
      <c r="A100" s="585" t="s">
        <v>721</v>
      </c>
      <c r="B100" s="779" t="s">
        <v>952</v>
      </c>
      <c r="C100" s="1231"/>
      <c r="D100" s="1231"/>
      <c r="E100" s="1231"/>
      <c r="F100" s="1231"/>
      <c r="G100" s="1231"/>
      <c r="H100" s="1231"/>
      <c r="I100" s="1231"/>
      <c r="J100" s="1231"/>
      <c r="K100" s="1231"/>
      <c r="L100" s="1231"/>
      <c r="M100" s="1231"/>
      <c r="N100" s="1231"/>
      <c r="O100" s="1231"/>
      <c r="P100" s="1231"/>
      <c r="Q100" s="1231"/>
      <c r="R100" s="1231"/>
      <c r="S100" s="1231"/>
      <c r="T100" s="1231"/>
      <c r="U100" s="1231"/>
      <c r="V100" s="1231"/>
      <c r="W100" s="1231"/>
      <c r="X100" s="1242"/>
      <c r="Y100" s="1234"/>
      <c r="Z100" s="1235"/>
    </row>
    <row r="101" spans="1:26" s="531" customFormat="1" ht="13.5" x14ac:dyDescent="0.2">
      <c r="A101" s="585" t="s">
        <v>722</v>
      </c>
      <c r="B101" s="779" t="s">
        <v>953</v>
      </c>
      <c r="C101" s="1231"/>
      <c r="D101" s="1231"/>
      <c r="E101" s="1231"/>
      <c r="F101" s="1231"/>
      <c r="G101" s="1231"/>
      <c r="H101" s="1231"/>
      <c r="I101" s="1231"/>
      <c r="J101" s="1231"/>
      <c r="K101" s="1231"/>
      <c r="L101" s="1231"/>
      <c r="M101" s="1231"/>
      <c r="N101" s="1231"/>
      <c r="O101" s="1231"/>
      <c r="P101" s="1231"/>
      <c r="Q101" s="1231"/>
      <c r="R101" s="1231"/>
      <c r="S101" s="1231"/>
      <c r="T101" s="1231"/>
      <c r="U101" s="1231"/>
      <c r="V101" s="1231"/>
      <c r="W101" s="1231"/>
      <c r="X101" s="1242"/>
      <c r="Y101" s="1234"/>
      <c r="Z101" s="1235"/>
    </row>
    <row r="102" spans="1:26" s="531" customFormat="1" ht="13.5" x14ac:dyDescent="0.2">
      <c r="A102" s="585" t="s">
        <v>723</v>
      </c>
      <c r="B102" s="779" t="s">
        <v>954</v>
      </c>
      <c r="C102" s="1231">
        <v>72</v>
      </c>
      <c r="D102" s="1231">
        <v>248</v>
      </c>
      <c r="E102" s="1231">
        <v>277</v>
      </c>
      <c r="F102" s="1231">
        <v>424</v>
      </c>
      <c r="G102" s="1231">
        <v>1042</v>
      </c>
      <c r="H102" s="1231">
        <v>201</v>
      </c>
      <c r="I102" s="1231">
        <v>1751</v>
      </c>
      <c r="J102" s="1231">
        <v>281</v>
      </c>
      <c r="K102" s="1231">
        <v>231</v>
      </c>
      <c r="L102" s="1231">
        <v>404</v>
      </c>
      <c r="M102" s="1231">
        <v>300</v>
      </c>
      <c r="N102" s="1231">
        <v>127</v>
      </c>
      <c r="O102" s="1231">
        <v>156</v>
      </c>
      <c r="P102" s="1231">
        <v>525</v>
      </c>
      <c r="Q102" s="1231">
        <v>421</v>
      </c>
      <c r="R102" s="1231">
        <v>417</v>
      </c>
      <c r="S102" s="1231">
        <v>303</v>
      </c>
      <c r="T102" s="1231">
        <v>118</v>
      </c>
      <c r="U102" s="1231">
        <v>120</v>
      </c>
      <c r="V102" s="1231">
        <v>777</v>
      </c>
      <c r="W102" s="1231">
        <v>72</v>
      </c>
      <c r="X102" s="1242">
        <v>71</v>
      </c>
      <c r="Y102" s="1234">
        <v>7392</v>
      </c>
      <c r="Z102" s="1235">
        <v>52339</v>
      </c>
    </row>
    <row r="103" spans="1:26" s="531" customFormat="1" ht="13.5" x14ac:dyDescent="0.2">
      <c r="A103" s="585" t="s">
        <v>724</v>
      </c>
      <c r="B103" s="779" t="s">
        <v>955</v>
      </c>
      <c r="C103" s="1231">
        <v>29</v>
      </c>
      <c r="D103" s="1231">
        <v>133</v>
      </c>
      <c r="E103" s="1231">
        <v>112</v>
      </c>
      <c r="F103" s="1231">
        <v>174</v>
      </c>
      <c r="G103" s="1231">
        <v>447</v>
      </c>
      <c r="H103" s="1231">
        <v>106</v>
      </c>
      <c r="I103" s="1231">
        <v>747</v>
      </c>
      <c r="J103" s="1231">
        <v>114</v>
      </c>
      <c r="K103" s="1231">
        <v>71</v>
      </c>
      <c r="L103" s="1231">
        <v>134</v>
      </c>
      <c r="M103" s="1231">
        <v>163</v>
      </c>
      <c r="N103" s="1231">
        <v>67</v>
      </c>
      <c r="O103" s="1231">
        <v>64</v>
      </c>
      <c r="P103" s="1231">
        <v>194</v>
      </c>
      <c r="Q103" s="1231">
        <v>178</v>
      </c>
      <c r="R103" s="1231">
        <v>198</v>
      </c>
      <c r="S103" s="1231">
        <v>136</v>
      </c>
      <c r="T103" s="1231">
        <v>40</v>
      </c>
      <c r="U103" s="1231">
        <v>52</v>
      </c>
      <c r="V103" s="1231">
        <v>357</v>
      </c>
      <c r="W103" s="1231">
        <v>30</v>
      </c>
      <c r="X103" s="1242">
        <v>22</v>
      </c>
      <c r="Y103" s="1234">
        <v>3198</v>
      </c>
      <c r="Z103" s="1235">
        <v>22462</v>
      </c>
    </row>
    <row r="104" spans="1:26" x14ac:dyDescent="0.2">
      <c r="A104" s="893" t="s">
        <v>572</v>
      </c>
      <c r="B104" s="593" t="s">
        <v>301</v>
      </c>
      <c r="C104" s="586">
        <f>IF(SUM(C40:C43)&gt;0,SUM(C40:C43),NA())</f>
        <v>1061</v>
      </c>
      <c r="D104" s="586">
        <f t="shared" ref="D104:Z104" si="6">IF(SUM(D40:D43)&gt;0,SUM(D40:D43),NA())</f>
        <v>1400</v>
      </c>
      <c r="E104" s="586">
        <f t="shared" ref="E104" si="7">IF(SUM(E40:E43)&gt;0,SUM(E40:E43),NA())</f>
        <v>4886</v>
      </c>
      <c r="F104" s="586">
        <f t="shared" si="6"/>
        <v>1339</v>
      </c>
      <c r="G104" s="586">
        <f t="shared" si="6"/>
        <v>14942</v>
      </c>
      <c r="H104" s="586">
        <f t="shared" si="6"/>
        <v>2067</v>
      </c>
      <c r="I104" s="586">
        <f t="shared" si="6"/>
        <v>14994</v>
      </c>
      <c r="J104" s="586">
        <f t="shared" si="6"/>
        <v>2596</v>
      </c>
      <c r="K104" s="586">
        <f t="shared" si="6"/>
        <v>1947</v>
      </c>
      <c r="L104" s="586">
        <f t="shared" si="6"/>
        <v>3471</v>
      </c>
      <c r="M104" s="586">
        <f t="shared" si="6"/>
        <v>1854</v>
      </c>
      <c r="N104" s="586">
        <f t="shared" si="6"/>
        <v>1810</v>
      </c>
      <c r="O104" s="586">
        <f t="shared" si="6"/>
        <v>2403</v>
      </c>
      <c r="P104" s="586">
        <f t="shared" si="6"/>
        <v>3006</v>
      </c>
      <c r="Q104" s="586">
        <f t="shared" si="6"/>
        <v>2575</v>
      </c>
      <c r="R104" s="586">
        <f t="shared" si="6"/>
        <v>7933</v>
      </c>
      <c r="S104" s="586">
        <f t="shared" si="6"/>
        <v>1905</v>
      </c>
      <c r="T104" s="586">
        <f t="shared" si="6"/>
        <v>1404</v>
      </c>
      <c r="U104" s="586">
        <f t="shared" si="6"/>
        <v>1234</v>
      </c>
      <c r="V104" s="586">
        <f t="shared" si="6"/>
        <v>7203</v>
      </c>
      <c r="W104" s="586">
        <f t="shared" si="6"/>
        <v>749</v>
      </c>
      <c r="X104" s="586">
        <f t="shared" si="6"/>
        <v>1074</v>
      </c>
      <c r="Y104" s="586">
        <f t="shared" si="6"/>
        <v>75540</v>
      </c>
      <c r="Z104" s="586">
        <f t="shared" si="6"/>
        <v>476950</v>
      </c>
    </row>
    <row r="105" spans="1:26" x14ac:dyDescent="0.2">
      <c r="A105" s="893" t="s">
        <v>572</v>
      </c>
      <c r="B105" s="593" t="s">
        <v>302</v>
      </c>
      <c r="C105" s="586">
        <f>SUM(C40:C44)</f>
        <v>1099</v>
      </c>
      <c r="D105" s="586">
        <f t="shared" ref="D105:Z105" si="8">SUM(D40:D44)</f>
        <v>2868</v>
      </c>
      <c r="E105" s="586">
        <f t="shared" ref="E105" si="9">SUM(E40:E44)</f>
        <v>5597</v>
      </c>
      <c r="F105" s="586">
        <f t="shared" si="8"/>
        <v>2485</v>
      </c>
      <c r="G105" s="586">
        <f t="shared" si="8"/>
        <v>16931</v>
      </c>
      <c r="H105" s="586">
        <f t="shared" si="8"/>
        <v>2395</v>
      </c>
      <c r="I105" s="586">
        <f t="shared" si="8"/>
        <v>16440</v>
      </c>
      <c r="J105" s="586">
        <f t="shared" si="8"/>
        <v>3114</v>
      </c>
      <c r="K105" s="586">
        <f t="shared" si="8"/>
        <v>2087</v>
      </c>
      <c r="L105" s="586">
        <f t="shared" si="8"/>
        <v>5516</v>
      </c>
      <c r="M105" s="586">
        <f t="shared" si="8"/>
        <v>1863</v>
      </c>
      <c r="N105" s="586">
        <f t="shared" si="8"/>
        <v>2171</v>
      </c>
      <c r="O105" s="586">
        <f t="shared" si="8"/>
        <v>2588</v>
      </c>
      <c r="P105" s="586">
        <f t="shared" si="8"/>
        <v>4413</v>
      </c>
      <c r="Q105" s="586">
        <f t="shared" si="8"/>
        <v>3035</v>
      </c>
      <c r="R105" s="586">
        <f t="shared" si="8"/>
        <v>12174</v>
      </c>
      <c r="S105" s="586">
        <f t="shared" si="8"/>
        <v>3139</v>
      </c>
      <c r="T105" s="586">
        <f t="shared" si="8"/>
        <v>1558</v>
      </c>
      <c r="U105" s="586">
        <f t="shared" si="8"/>
        <v>1434</v>
      </c>
      <c r="V105" s="586">
        <f t="shared" si="8"/>
        <v>7465</v>
      </c>
      <c r="W105" s="586">
        <f t="shared" si="8"/>
        <v>924</v>
      </c>
      <c r="X105" s="586">
        <f t="shared" si="8"/>
        <v>1128</v>
      </c>
      <c r="Y105" s="586">
        <f t="shared" si="8"/>
        <v>91330</v>
      </c>
      <c r="Z105" s="586">
        <f t="shared" si="8"/>
        <v>571640</v>
      </c>
    </row>
    <row r="106" spans="1:26" s="531" customFormat="1" ht="13.5" x14ac:dyDescent="0.2">
      <c r="A106" s="595" t="s">
        <v>515</v>
      </c>
      <c r="B106" s="785" t="s">
        <v>298</v>
      </c>
      <c r="C106" s="1148"/>
      <c r="D106" s="1148"/>
      <c r="E106" s="1148"/>
      <c r="F106" s="1148"/>
      <c r="G106" s="1148"/>
      <c r="H106" s="1148"/>
      <c r="I106" s="1148"/>
      <c r="J106" s="1148"/>
      <c r="K106" s="1148"/>
      <c r="L106" s="1148"/>
      <c r="M106" s="1148"/>
      <c r="N106" s="1148"/>
      <c r="O106" s="1148"/>
      <c r="P106" s="1148"/>
      <c r="Q106" s="1148"/>
      <c r="R106" s="1148"/>
      <c r="S106" s="1148"/>
      <c r="T106" s="1148"/>
      <c r="U106" s="1148"/>
      <c r="V106" s="1148"/>
      <c r="W106" s="1148"/>
      <c r="X106" s="1148"/>
      <c r="Y106" s="1149"/>
      <c r="Z106" s="1150"/>
    </row>
    <row r="107" spans="1:26" s="531" customFormat="1" ht="13.5" x14ac:dyDescent="0.2">
      <c r="A107" s="595" t="s">
        <v>719</v>
      </c>
      <c r="B107" s="785" t="s">
        <v>300</v>
      </c>
      <c r="C107" s="1148"/>
      <c r="D107" s="1148"/>
      <c r="E107" s="1148"/>
      <c r="F107" s="1148"/>
      <c r="G107" s="1148"/>
      <c r="H107" s="1148"/>
      <c r="I107" s="1148"/>
      <c r="J107" s="1148"/>
      <c r="K107" s="1148"/>
      <c r="L107" s="1148"/>
      <c r="M107" s="1148"/>
      <c r="N107" s="1148"/>
      <c r="O107" s="1148"/>
      <c r="P107" s="1148"/>
      <c r="Q107" s="1148"/>
      <c r="R107" s="1148"/>
      <c r="S107" s="1148"/>
      <c r="T107" s="1148"/>
      <c r="U107" s="1148"/>
      <c r="V107" s="1148"/>
      <c r="W107" s="1148"/>
      <c r="X107" s="1148"/>
      <c r="Y107" s="1149"/>
      <c r="Z107" s="1150"/>
    </row>
    <row r="108" spans="1:26" x14ac:dyDescent="0.2">
      <c r="B108" s="532" t="s">
        <v>1249</v>
      </c>
      <c r="C108" s="444">
        <v>12</v>
      </c>
      <c r="D108" s="444">
        <v>87</v>
      </c>
      <c r="E108" s="444">
        <v>72</v>
      </c>
      <c r="F108" s="444">
        <v>64</v>
      </c>
      <c r="G108" s="444">
        <v>198</v>
      </c>
      <c r="H108" s="444">
        <v>27</v>
      </c>
      <c r="I108" s="444">
        <v>647</v>
      </c>
      <c r="J108" s="444">
        <v>36</v>
      </c>
      <c r="K108" s="444">
        <v>67</v>
      </c>
      <c r="L108" s="444">
        <v>103</v>
      </c>
      <c r="M108" s="444">
        <v>24</v>
      </c>
      <c r="N108" s="444">
        <v>29</v>
      </c>
      <c r="O108" s="444">
        <v>38</v>
      </c>
      <c r="P108" s="444">
        <v>45</v>
      </c>
      <c r="Q108" s="444">
        <v>47</v>
      </c>
      <c r="R108" s="444">
        <v>160</v>
      </c>
      <c r="S108" s="444">
        <v>50</v>
      </c>
      <c r="T108" s="444">
        <v>25</v>
      </c>
      <c r="U108" s="444">
        <v>14</v>
      </c>
      <c r="V108" s="444">
        <v>157</v>
      </c>
      <c r="W108" s="444">
        <v>16</v>
      </c>
      <c r="X108" s="444">
        <v>8</v>
      </c>
      <c r="Y108" s="786">
        <v>1860</v>
      </c>
      <c r="Z108" s="444">
        <v>11440</v>
      </c>
    </row>
  </sheetData>
  <conditionalFormatting sqref="C1:X1">
    <cfRule type="expression" dxfId="719" priority="4">
      <formula>SUM(C$2:C$96)=0</formula>
    </cfRule>
    <cfRule type="containsErrors" dxfId="718" priority="5">
      <formula>ISERROR(C1)</formula>
    </cfRule>
  </conditionalFormatting>
  <conditionalFormatting sqref="Q43:Q44">
    <cfRule type="containsErrors" dxfId="717" priority="1">
      <formula>ISERROR(Q43)</formula>
    </cfRule>
  </conditionalFormatting>
  <pageMargins left="0.70866141732283472" right="0.70866141732283472" top="0.35433070866141736" bottom="0.35433070866141736" header="0.31496062992125984" footer="0.31496062992125984"/>
  <pageSetup scale="48" orientation="portrait" r:id="rId1"/>
  <extLst>
    <ext xmlns:x14="http://schemas.microsoft.com/office/spreadsheetml/2009/9/main" uri="{78C0D931-6437-407d-A8EE-F0AAD7539E65}">
      <x14:conditionalFormattings>
        <x14:conditionalFormatting xmlns:xm="http://schemas.microsoft.com/office/excel/2006/main">
          <x14:cfRule type="expression" priority="3" id="{05C448F4-D1AB-45AE-B7FE-305D0706AF26}">
            <xm:f>C$1=Sheet1!$AR$3</xm:f>
            <x14:dxf>
              <fill>
                <patternFill>
                  <bgColor rgb="FF66FF99"/>
                </patternFill>
              </fill>
            </x14:dxf>
          </x14:cfRule>
          <xm:sqref>C1:X1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99FFCC"/>
    <pageSetUpPr fitToPage="1"/>
  </sheetPr>
  <dimension ref="A1:Z108"/>
  <sheetViews>
    <sheetView workbookViewId="0">
      <selection activeCell="F15" sqref="F15"/>
    </sheetView>
  </sheetViews>
  <sheetFormatPr defaultColWidth="9.140625" defaultRowHeight="12.75" x14ac:dyDescent="0.2"/>
  <cols>
    <col min="1" max="1" width="4.42578125" style="444" customWidth="1"/>
    <col min="2" max="2" width="40.42578125" style="532" customWidth="1"/>
    <col min="3" max="17" width="5" style="444" customWidth="1"/>
    <col min="18" max="18" width="5.85546875" style="444" customWidth="1"/>
    <col min="19" max="24" width="5" style="444" customWidth="1"/>
    <col min="25" max="25" width="6" style="786" customWidth="1"/>
    <col min="26" max="26" width="7" style="444" bestFit="1" customWidth="1"/>
    <col min="27" max="16384" width="9.140625" style="444"/>
  </cols>
  <sheetData>
    <row r="1" spans="1:26" s="530" customFormat="1" ht="67.5" customHeight="1" x14ac:dyDescent="0.2">
      <c r="A1" s="777" t="str">
        <f>IF(Sheet1!$C$3="Quarterly",Sheet1!$F$22&amp;" "&amp;Sheet1!$F$23,Sheet1!$F$20)</f>
        <v>2016-17</v>
      </c>
      <c r="B1" s="777"/>
      <c r="C1" s="1205" t="s">
        <v>1176</v>
      </c>
      <c r="D1" s="1205" t="s">
        <v>1177</v>
      </c>
      <c r="E1" s="1205" t="s">
        <v>1178</v>
      </c>
      <c r="F1" s="1205" t="s">
        <v>1179</v>
      </c>
      <c r="G1" s="1205" t="s">
        <v>1180</v>
      </c>
      <c r="H1" s="1205" t="s">
        <v>1181</v>
      </c>
      <c r="I1" s="1205" t="s">
        <v>1182</v>
      </c>
      <c r="J1" s="1205" t="s">
        <v>1183</v>
      </c>
      <c r="K1" s="1205" t="s">
        <v>1184</v>
      </c>
      <c r="L1" s="1205" t="s">
        <v>1185</v>
      </c>
      <c r="M1" s="1205" t="s">
        <v>1186</v>
      </c>
      <c r="N1" s="1205" t="s">
        <v>1187</v>
      </c>
      <c r="O1" s="1207" t="s">
        <v>1188</v>
      </c>
      <c r="P1" s="1205" t="s">
        <v>1189</v>
      </c>
      <c r="Q1" s="1205" t="s">
        <v>1190</v>
      </c>
      <c r="R1" s="1205" t="s">
        <v>1191</v>
      </c>
      <c r="S1" s="1207" t="s">
        <v>1192</v>
      </c>
      <c r="T1" s="1207" t="s">
        <v>1193</v>
      </c>
      <c r="U1" s="1205" t="s">
        <v>1194</v>
      </c>
      <c r="V1" s="1205" t="s">
        <v>1195</v>
      </c>
      <c r="W1" s="1205" t="s">
        <v>1196</v>
      </c>
      <c r="X1" s="1205" t="s">
        <v>1197</v>
      </c>
      <c r="Y1" s="583" t="s">
        <v>1198</v>
      </c>
      <c r="Z1" s="584" t="s">
        <v>1199</v>
      </c>
    </row>
    <row r="2" spans="1:26" s="531" customFormat="1" ht="13.5" x14ac:dyDescent="0.2">
      <c r="A2" s="585">
        <v>1</v>
      </c>
      <c r="B2" s="778" t="s">
        <v>555</v>
      </c>
      <c r="C2" s="1231"/>
      <c r="D2" s="1231"/>
      <c r="E2" s="1231"/>
      <c r="F2" s="1231"/>
      <c r="G2" s="1231"/>
      <c r="H2" s="1231"/>
      <c r="I2" s="1231"/>
      <c r="J2" s="1231"/>
      <c r="K2" s="1231"/>
      <c r="L2" s="1231"/>
      <c r="M2" s="1231"/>
      <c r="N2" s="1231"/>
      <c r="O2" s="1231"/>
      <c r="P2" s="1231"/>
      <c r="Q2" s="1231"/>
      <c r="R2" s="1231"/>
      <c r="S2" s="1231"/>
      <c r="T2" s="1231"/>
      <c r="U2" s="1231"/>
      <c r="V2" s="1231"/>
      <c r="W2" s="1232"/>
      <c r="X2" s="1233"/>
      <c r="Y2" s="1234"/>
      <c r="Z2" s="1235"/>
    </row>
    <row r="3" spans="1:26" s="531" customFormat="1" ht="13.5" x14ac:dyDescent="0.2">
      <c r="A3" s="595">
        <v>2</v>
      </c>
      <c r="B3" s="779" t="s">
        <v>303</v>
      </c>
      <c r="C3" s="1214"/>
      <c r="D3" s="1214"/>
      <c r="E3" s="1214"/>
      <c r="F3" s="1214"/>
      <c r="G3" s="1214"/>
      <c r="H3" s="1214"/>
      <c r="I3" s="1214"/>
      <c r="J3" s="1214"/>
      <c r="K3" s="1214"/>
      <c r="L3" s="1214"/>
      <c r="M3" s="1214"/>
      <c r="N3" s="1214"/>
      <c r="O3" s="1214"/>
      <c r="P3" s="1214"/>
      <c r="Q3" s="1214"/>
      <c r="R3" s="1214"/>
      <c r="S3" s="1214"/>
      <c r="T3" s="1214"/>
      <c r="U3" s="1214"/>
      <c r="V3" s="1214"/>
      <c r="W3" s="1214"/>
      <c r="X3" s="1236"/>
      <c r="Y3" s="1215"/>
      <c r="Z3" s="1216"/>
    </row>
    <row r="4" spans="1:26" s="531" customFormat="1" ht="13.5" x14ac:dyDescent="0.2">
      <c r="A4" s="595">
        <v>3</v>
      </c>
      <c r="B4" s="779" t="s">
        <v>304</v>
      </c>
      <c r="C4" s="1214"/>
      <c r="D4" s="1214"/>
      <c r="E4" s="1214"/>
      <c r="F4" s="1214"/>
      <c r="G4" s="1214"/>
      <c r="H4" s="1214"/>
      <c r="I4" s="1214"/>
      <c r="J4" s="1214"/>
      <c r="K4" s="1214"/>
      <c r="L4" s="1214"/>
      <c r="M4" s="1214"/>
      <c r="N4" s="1214"/>
      <c r="O4" s="1214"/>
      <c r="P4" s="1214"/>
      <c r="Q4" s="1214"/>
      <c r="R4" s="1214"/>
      <c r="S4" s="1214"/>
      <c r="T4" s="1214"/>
      <c r="U4" s="1214"/>
      <c r="V4" s="1214"/>
      <c r="W4" s="1214"/>
      <c r="X4" s="1236"/>
      <c r="Y4" s="1215"/>
      <c r="Z4" s="1216"/>
    </row>
    <row r="5" spans="1:26" s="531" customFormat="1" ht="13.5" x14ac:dyDescent="0.2">
      <c r="A5" s="595">
        <v>4</v>
      </c>
      <c r="B5" s="779" t="s">
        <v>305</v>
      </c>
      <c r="C5" s="1214"/>
      <c r="D5" s="1214"/>
      <c r="E5" s="1214"/>
      <c r="F5" s="1214"/>
      <c r="G5" s="1214"/>
      <c r="H5" s="1214"/>
      <c r="I5" s="1214"/>
      <c r="J5" s="1214"/>
      <c r="K5" s="1214"/>
      <c r="L5" s="1214"/>
      <c r="M5" s="1214"/>
      <c r="N5" s="1214"/>
      <c r="O5" s="1214"/>
      <c r="P5" s="1214"/>
      <c r="Q5" s="1214"/>
      <c r="R5" s="1214"/>
      <c r="S5" s="1214"/>
      <c r="T5" s="1214"/>
      <c r="U5" s="1214"/>
      <c r="V5" s="1214"/>
      <c r="W5" s="1214"/>
      <c r="X5" s="1236"/>
      <c r="Y5" s="1215"/>
      <c r="Z5" s="1216"/>
    </row>
    <row r="6" spans="1:26" s="531" customFormat="1" ht="13.5" x14ac:dyDescent="0.2">
      <c r="A6" s="595">
        <v>5</v>
      </c>
      <c r="B6" s="779" t="s">
        <v>306</v>
      </c>
      <c r="C6" s="1214"/>
      <c r="D6" s="1214"/>
      <c r="E6" s="1214"/>
      <c r="F6" s="1214"/>
      <c r="G6" s="1214"/>
      <c r="H6" s="1214"/>
      <c r="I6" s="1214"/>
      <c r="J6" s="1214"/>
      <c r="K6" s="1214"/>
      <c r="L6" s="1214"/>
      <c r="M6" s="1214"/>
      <c r="N6" s="1217"/>
      <c r="O6" s="1214"/>
      <c r="P6" s="1214"/>
      <c r="Q6" s="1214"/>
      <c r="R6" s="1214"/>
      <c r="S6" s="1214"/>
      <c r="T6" s="1214"/>
      <c r="U6" s="1213"/>
      <c r="V6" s="1214"/>
      <c r="W6" s="1214"/>
      <c r="X6" s="1236"/>
      <c r="Y6" s="1215"/>
      <c r="Z6" s="1216"/>
    </row>
    <row r="7" spans="1:26" s="531" customFormat="1" ht="13.5" x14ac:dyDescent="0.2">
      <c r="A7" s="595">
        <v>6</v>
      </c>
      <c r="B7" s="779" t="s">
        <v>307</v>
      </c>
      <c r="C7" s="1214"/>
      <c r="D7" s="1214"/>
      <c r="E7" s="1214"/>
      <c r="F7" s="1214"/>
      <c r="G7" s="1214"/>
      <c r="H7" s="1214"/>
      <c r="I7" s="1214"/>
      <c r="J7" s="1214"/>
      <c r="K7" s="1214"/>
      <c r="L7" s="1214"/>
      <c r="M7" s="1214"/>
      <c r="N7" s="1217"/>
      <c r="O7" s="1214"/>
      <c r="P7" s="1214"/>
      <c r="Q7" s="1214"/>
      <c r="R7" s="1214"/>
      <c r="S7" s="1214"/>
      <c r="T7" s="1214"/>
      <c r="U7" s="1213"/>
      <c r="V7" s="1214"/>
      <c r="W7" s="1214"/>
      <c r="X7" s="1236"/>
      <c r="Y7" s="1215"/>
      <c r="Z7" s="1216"/>
    </row>
    <row r="8" spans="1:26" s="531" customFormat="1" ht="22.5" x14ac:dyDescent="0.2">
      <c r="A8" s="595">
        <v>7</v>
      </c>
      <c r="B8" s="780" t="s">
        <v>229</v>
      </c>
      <c r="C8" s="1237"/>
      <c r="D8" s="1237"/>
      <c r="E8" s="1237"/>
      <c r="F8" s="1237"/>
      <c r="G8" s="1237"/>
      <c r="H8" s="1237"/>
      <c r="I8" s="1237"/>
      <c r="J8" s="1237"/>
      <c r="K8" s="1237"/>
      <c r="L8" s="1237"/>
      <c r="M8" s="1237"/>
      <c r="N8" s="1237"/>
      <c r="O8" s="1237"/>
      <c r="P8" s="1237"/>
      <c r="Q8" s="1237"/>
      <c r="R8" s="1237"/>
      <c r="S8" s="1237"/>
      <c r="T8" s="1237"/>
      <c r="U8" s="1237"/>
      <c r="V8" s="1237"/>
      <c r="W8" s="1237"/>
      <c r="X8" s="1237"/>
      <c r="Y8" s="1247"/>
      <c r="Z8" s="1247"/>
    </row>
    <row r="9" spans="1:26" s="531" customFormat="1" ht="13.5" x14ac:dyDescent="0.2">
      <c r="A9" s="595">
        <v>8</v>
      </c>
      <c r="B9" s="779" t="s">
        <v>308</v>
      </c>
      <c r="C9" s="1214"/>
      <c r="D9" s="1214"/>
      <c r="E9" s="1214"/>
      <c r="F9" s="1214"/>
      <c r="G9" s="1214"/>
      <c r="H9" s="1214"/>
      <c r="I9" s="1214"/>
      <c r="J9" s="1214"/>
      <c r="K9" s="1214"/>
      <c r="L9" s="1214"/>
      <c r="M9" s="1214"/>
      <c r="N9" s="1217"/>
      <c r="O9" s="1214"/>
      <c r="P9" s="1214"/>
      <c r="Q9" s="1214"/>
      <c r="R9" s="1214"/>
      <c r="S9" s="1214"/>
      <c r="T9" s="1214"/>
      <c r="U9" s="1213"/>
      <c r="V9" s="1214"/>
      <c r="W9" s="1214"/>
      <c r="X9" s="1236"/>
      <c r="Y9" s="1215"/>
      <c r="Z9" s="1216"/>
    </row>
    <row r="10" spans="1:26" s="531" customFormat="1" x14ac:dyDescent="0.2">
      <c r="A10" s="892">
        <v>9</v>
      </c>
      <c r="B10" s="781" t="s">
        <v>309</v>
      </c>
      <c r="C10" s="1214"/>
      <c r="D10" s="1214"/>
      <c r="E10" s="1214"/>
      <c r="F10" s="1214"/>
      <c r="G10" s="1214"/>
      <c r="H10" s="1214"/>
      <c r="I10" s="1214"/>
      <c r="J10" s="1214"/>
      <c r="K10" s="1214"/>
      <c r="L10" s="1214"/>
      <c r="M10" s="1214"/>
      <c r="N10" s="1217"/>
      <c r="O10" s="1214"/>
      <c r="P10" s="1214"/>
      <c r="Q10" s="1214"/>
      <c r="R10" s="1214"/>
      <c r="S10" s="1214"/>
      <c r="T10" s="1214"/>
      <c r="U10" s="1213"/>
      <c r="V10" s="1214"/>
      <c r="W10" s="1214"/>
      <c r="X10" s="1236"/>
      <c r="Y10" s="1215"/>
      <c r="Z10" s="1216"/>
    </row>
    <row r="11" spans="1:26" s="531" customFormat="1" ht="13.5" x14ac:dyDescent="0.2">
      <c r="A11" s="595">
        <v>10</v>
      </c>
      <c r="B11" s="779" t="s">
        <v>310</v>
      </c>
      <c r="C11" s="1214"/>
      <c r="D11" s="1214"/>
      <c r="E11" s="1214"/>
      <c r="F11" s="1214"/>
      <c r="G11" s="1214"/>
      <c r="H11" s="1214"/>
      <c r="I11" s="1214"/>
      <c r="J11" s="1214"/>
      <c r="K11" s="1214"/>
      <c r="L11" s="1214"/>
      <c r="M11" s="1214"/>
      <c r="N11" s="1217"/>
      <c r="O11" s="1214"/>
      <c r="P11" s="1214"/>
      <c r="Q11" s="1214"/>
      <c r="R11" s="1214"/>
      <c r="S11" s="1214"/>
      <c r="T11" s="1214"/>
      <c r="U11" s="1213"/>
      <c r="V11" s="1214"/>
      <c r="W11" s="1214"/>
      <c r="X11" s="1236"/>
      <c r="Y11" s="1215"/>
      <c r="Z11" s="1216"/>
    </row>
    <row r="12" spans="1:26" s="531" customFormat="1" ht="13.5" x14ac:dyDescent="0.2">
      <c r="A12" s="595">
        <v>11</v>
      </c>
      <c r="B12" s="779" t="s">
        <v>311</v>
      </c>
      <c r="C12" s="1166">
        <v>1644</v>
      </c>
      <c r="D12" s="1166">
        <v>3405</v>
      </c>
      <c r="E12" s="1166">
        <v>9204</v>
      </c>
      <c r="F12" s="1166">
        <v>3676</v>
      </c>
      <c r="G12" s="1166">
        <v>19435</v>
      </c>
      <c r="H12" s="1166">
        <v>2613</v>
      </c>
      <c r="I12" s="1166">
        <v>15805</v>
      </c>
      <c r="J12" s="1166">
        <v>2732</v>
      </c>
      <c r="K12" s="1166">
        <v>3083</v>
      </c>
      <c r="L12" s="1166">
        <v>7066</v>
      </c>
      <c r="M12" s="1166">
        <v>2487</v>
      </c>
      <c r="N12" s="1166">
        <v>3267</v>
      </c>
      <c r="O12" s="1166">
        <v>5688</v>
      </c>
      <c r="P12" s="1166">
        <v>4777</v>
      </c>
      <c r="Q12" s="1166">
        <v>3044</v>
      </c>
      <c r="R12" s="1166">
        <v>11679</v>
      </c>
      <c r="S12" s="1166">
        <v>3021</v>
      </c>
      <c r="T12" s="1166">
        <v>1616</v>
      </c>
      <c r="U12" s="1166">
        <v>1652</v>
      </c>
      <c r="V12" s="1166">
        <v>8741</v>
      </c>
      <c r="W12" s="1166">
        <v>992</v>
      </c>
      <c r="X12" s="1238">
        <v>907</v>
      </c>
      <c r="Y12" s="1168">
        <f t="shared" ref="Y12" si="0">SUM(C12:O12,Q12:R12,U12:X12)</f>
        <v>107120</v>
      </c>
      <c r="Z12" s="586">
        <v>646120</v>
      </c>
    </row>
    <row r="13" spans="1:26" s="531" customFormat="1" ht="13.5" x14ac:dyDescent="0.2">
      <c r="A13" s="595">
        <v>12</v>
      </c>
      <c r="B13" s="779" t="s">
        <v>312</v>
      </c>
      <c r="C13" s="1214"/>
      <c r="D13" s="1214"/>
      <c r="E13" s="1214"/>
      <c r="F13" s="1214"/>
      <c r="G13" s="1214"/>
      <c r="H13" s="1214"/>
      <c r="I13" s="1214"/>
      <c r="J13" s="1214"/>
      <c r="K13" s="1214"/>
      <c r="L13" s="1214"/>
      <c r="M13" s="1214"/>
      <c r="N13" s="1214"/>
      <c r="O13" s="1214"/>
      <c r="P13" s="1214"/>
      <c r="Q13" s="1214"/>
      <c r="R13" s="1214"/>
      <c r="S13" s="1214"/>
      <c r="T13" s="1214"/>
      <c r="U13" s="1214"/>
      <c r="V13" s="1214"/>
      <c r="W13" s="1214"/>
      <c r="X13" s="1236"/>
      <c r="Y13" s="1215"/>
      <c r="Z13" s="1216"/>
    </row>
    <row r="14" spans="1:26" s="531" customFormat="1" ht="13.5" x14ac:dyDescent="0.2">
      <c r="A14" s="595">
        <v>13</v>
      </c>
      <c r="B14" s="779" t="s">
        <v>313</v>
      </c>
      <c r="C14" s="1166">
        <v>1440</v>
      </c>
      <c r="D14" s="1166">
        <v>3073</v>
      </c>
      <c r="E14" s="1166">
        <v>8257</v>
      </c>
      <c r="F14" s="1166">
        <v>3608</v>
      </c>
      <c r="G14" s="1166">
        <v>16051</v>
      </c>
      <c r="H14" s="1166">
        <v>2189</v>
      </c>
      <c r="I14" s="1166">
        <v>15720</v>
      </c>
      <c r="J14" s="1166">
        <v>2503</v>
      </c>
      <c r="K14" s="1166">
        <v>2518</v>
      </c>
      <c r="L14" s="1166">
        <v>6597</v>
      </c>
      <c r="M14" s="1166">
        <v>2374</v>
      </c>
      <c r="N14" s="1166">
        <v>3107</v>
      </c>
      <c r="O14" s="1166">
        <v>2228</v>
      </c>
      <c r="P14" s="1166">
        <v>4742</v>
      </c>
      <c r="Q14" s="1166">
        <v>3036</v>
      </c>
      <c r="R14" s="1166">
        <v>11571</v>
      </c>
      <c r="S14" s="1166">
        <v>2922</v>
      </c>
      <c r="T14" s="1166">
        <v>1386</v>
      </c>
      <c r="U14" s="1166">
        <v>1652</v>
      </c>
      <c r="V14" s="1166">
        <v>7614</v>
      </c>
      <c r="W14" s="1166">
        <v>876</v>
      </c>
      <c r="X14" s="1238">
        <v>900</v>
      </c>
      <c r="Y14" s="1168">
        <v>95310</v>
      </c>
      <c r="Z14" s="586">
        <v>580080</v>
      </c>
    </row>
    <row r="15" spans="1:26" s="531" customFormat="1" ht="13.5" x14ac:dyDescent="0.2">
      <c r="A15" s="595">
        <v>14</v>
      </c>
      <c r="B15" s="780" t="s">
        <v>230</v>
      </c>
      <c r="C15" s="1237"/>
      <c r="D15" s="1237"/>
      <c r="E15" s="1237"/>
      <c r="F15" s="1237"/>
      <c r="G15" s="1237"/>
      <c r="H15" s="1237"/>
      <c r="I15" s="1237"/>
      <c r="J15" s="1237"/>
      <c r="K15" s="1237"/>
      <c r="L15" s="1237"/>
      <c r="M15" s="1237"/>
      <c r="N15" s="1237"/>
      <c r="O15" s="1237"/>
      <c r="P15" s="1237"/>
      <c r="Q15" s="1237"/>
      <c r="R15" s="1237"/>
      <c r="S15" s="1237"/>
      <c r="T15" s="1237"/>
      <c r="U15" s="1237"/>
      <c r="V15" s="1237"/>
      <c r="W15" s="1237"/>
      <c r="X15" s="1237"/>
      <c r="Y15" s="1247"/>
      <c r="Z15" s="1247"/>
    </row>
    <row r="16" spans="1:26" s="531" customFormat="1" ht="13.5" x14ac:dyDescent="0.2">
      <c r="A16" s="894"/>
      <c r="B16" s="782" t="s">
        <v>314</v>
      </c>
      <c r="C16" s="588">
        <v>170</v>
      </c>
      <c r="D16" s="1166">
        <v>176</v>
      </c>
      <c r="E16" s="1166">
        <v>682</v>
      </c>
      <c r="F16" s="1166">
        <v>279</v>
      </c>
      <c r="G16" s="1166">
        <v>2165</v>
      </c>
      <c r="H16" s="1166">
        <v>244</v>
      </c>
      <c r="I16" s="1166">
        <v>1596</v>
      </c>
      <c r="J16" s="1166">
        <v>343</v>
      </c>
      <c r="K16" s="1166">
        <v>255</v>
      </c>
      <c r="L16" s="1166">
        <v>536</v>
      </c>
      <c r="M16" s="1166">
        <v>196</v>
      </c>
      <c r="N16" s="1166">
        <v>166</v>
      </c>
      <c r="O16" s="1166">
        <v>261</v>
      </c>
      <c r="P16" s="1166">
        <v>621</v>
      </c>
      <c r="Q16" s="1166">
        <v>98</v>
      </c>
      <c r="R16" s="1166">
        <v>642</v>
      </c>
      <c r="S16" s="1166">
        <v>220</v>
      </c>
      <c r="T16" s="1166">
        <v>127</v>
      </c>
      <c r="U16" s="1166">
        <v>134</v>
      </c>
      <c r="V16" s="1166">
        <v>2111</v>
      </c>
      <c r="W16" s="1166">
        <v>37</v>
      </c>
      <c r="X16" s="1238">
        <v>92</v>
      </c>
      <c r="Y16" s="1168">
        <v>10180</v>
      </c>
      <c r="Z16" s="586">
        <v>53120</v>
      </c>
    </row>
    <row r="17" spans="1:26" s="531" customFormat="1" ht="13.5" x14ac:dyDescent="0.2">
      <c r="A17" s="894"/>
      <c r="B17" s="782" t="s">
        <v>315</v>
      </c>
      <c r="C17" s="1213"/>
      <c r="D17" s="1214"/>
      <c r="E17" s="1214"/>
      <c r="F17" s="1214"/>
      <c r="G17" s="1214"/>
      <c r="H17" s="1214"/>
      <c r="I17" s="1214"/>
      <c r="J17" s="1214"/>
      <c r="K17" s="1214"/>
      <c r="L17" s="1214"/>
      <c r="M17" s="1214"/>
      <c r="N17" s="1214"/>
      <c r="O17" s="1214"/>
      <c r="P17" s="1214"/>
      <c r="Q17" s="1214"/>
      <c r="R17" s="1214"/>
      <c r="S17" s="1214"/>
      <c r="T17" s="1214"/>
      <c r="U17" s="1214"/>
      <c r="V17" s="1214"/>
      <c r="W17" s="1214"/>
      <c r="X17" s="1236"/>
      <c r="Y17" s="1215"/>
      <c r="Z17" s="1216"/>
    </row>
    <row r="18" spans="1:26" s="531" customFormat="1" ht="13.5" x14ac:dyDescent="0.2">
      <c r="A18" s="894"/>
      <c r="B18" s="782" t="s">
        <v>316</v>
      </c>
      <c r="C18" s="1213"/>
      <c r="D18" s="1214"/>
      <c r="E18" s="1214"/>
      <c r="F18" s="1214"/>
      <c r="G18" s="1214"/>
      <c r="H18" s="1214"/>
      <c r="I18" s="1214"/>
      <c r="J18" s="1214"/>
      <c r="K18" s="1214"/>
      <c r="L18" s="1214"/>
      <c r="M18" s="1214"/>
      <c r="N18" s="1214"/>
      <c r="O18" s="1214"/>
      <c r="P18" s="1214"/>
      <c r="Q18" s="1214"/>
      <c r="R18" s="1214"/>
      <c r="S18" s="1214"/>
      <c r="T18" s="1214"/>
      <c r="U18" s="1214"/>
      <c r="V18" s="1214"/>
      <c r="W18" s="1214"/>
      <c r="X18" s="1236"/>
      <c r="Y18" s="1215"/>
      <c r="Z18" s="1216"/>
    </row>
    <row r="19" spans="1:26" s="531" customFormat="1" ht="13.5" x14ac:dyDescent="0.2">
      <c r="A19" s="894"/>
      <c r="B19" s="782" t="s">
        <v>317</v>
      </c>
      <c r="C19" s="1213"/>
      <c r="D19" s="1214"/>
      <c r="E19" s="1214"/>
      <c r="F19" s="1214"/>
      <c r="G19" s="1214"/>
      <c r="H19" s="1214"/>
      <c r="I19" s="1214"/>
      <c r="J19" s="1214"/>
      <c r="K19" s="1214"/>
      <c r="L19" s="1214"/>
      <c r="M19" s="1214"/>
      <c r="N19" s="1214"/>
      <c r="O19" s="1214"/>
      <c r="P19" s="1214"/>
      <c r="Q19" s="1214"/>
      <c r="R19" s="1214"/>
      <c r="S19" s="1214"/>
      <c r="T19" s="1214"/>
      <c r="U19" s="1214"/>
      <c r="V19" s="1214"/>
      <c r="W19" s="1214"/>
      <c r="X19" s="1236"/>
      <c r="Y19" s="1215"/>
      <c r="Z19" s="1216"/>
    </row>
    <row r="20" spans="1:26" s="531" customFormat="1" ht="13.5" x14ac:dyDescent="0.2">
      <c r="A20" s="894"/>
      <c r="B20" s="782" t="s">
        <v>318</v>
      </c>
      <c r="C20" s="588">
        <v>353</v>
      </c>
      <c r="D20" s="1166">
        <v>629</v>
      </c>
      <c r="E20" s="1166">
        <v>2287</v>
      </c>
      <c r="F20" s="1166">
        <v>588</v>
      </c>
      <c r="G20" s="1166">
        <v>4551</v>
      </c>
      <c r="H20" s="1166">
        <v>681</v>
      </c>
      <c r="I20" s="1166">
        <v>2620</v>
      </c>
      <c r="J20" s="1166">
        <v>575</v>
      </c>
      <c r="K20" s="1166">
        <v>791</v>
      </c>
      <c r="L20" s="1166">
        <v>1347</v>
      </c>
      <c r="M20" s="1166">
        <v>454</v>
      </c>
      <c r="N20" s="587">
        <v>536</v>
      </c>
      <c r="O20" s="1166">
        <v>712</v>
      </c>
      <c r="P20" s="1166">
        <v>809</v>
      </c>
      <c r="Q20" s="1166">
        <v>789</v>
      </c>
      <c r="R20" s="1166">
        <v>2095</v>
      </c>
      <c r="S20" s="1166">
        <v>620</v>
      </c>
      <c r="T20" s="1166">
        <v>391</v>
      </c>
      <c r="U20" s="588">
        <v>318</v>
      </c>
      <c r="V20" s="1166">
        <v>1554</v>
      </c>
      <c r="W20" s="1166">
        <v>142</v>
      </c>
      <c r="X20" s="1238">
        <v>142</v>
      </c>
      <c r="Y20" s="1168">
        <v>21160</v>
      </c>
      <c r="Z20" s="586">
        <v>114530</v>
      </c>
    </row>
    <row r="21" spans="1:26" s="531" customFormat="1" ht="13.5" x14ac:dyDescent="0.2">
      <c r="A21" s="894"/>
      <c r="B21" s="782" t="s">
        <v>319</v>
      </c>
      <c r="C21" s="588">
        <v>32</v>
      </c>
      <c r="D21" s="1166">
        <v>42</v>
      </c>
      <c r="E21" s="1166">
        <v>105</v>
      </c>
      <c r="F21" s="1166">
        <v>93</v>
      </c>
      <c r="G21" s="1166">
        <v>8</v>
      </c>
      <c r="H21" s="1166">
        <v>0</v>
      </c>
      <c r="I21" s="1166">
        <v>145</v>
      </c>
      <c r="J21" s="1166">
        <v>23</v>
      </c>
      <c r="K21" s="1166">
        <v>33</v>
      </c>
      <c r="L21" s="1166">
        <v>175</v>
      </c>
      <c r="M21" s="1166">
        <v>26</v>
      </c>
      <c r="N21" s="587">
        <v>12</v>
      </c>
      <c r="O21" s="1166">
        <v>62</v>
      </c>
      <c r="P21" s="1166">
        <v>104</v>
      </c>
      <c r="Q21" s="1166">
        <v>14</v>
      </c>
      <c r="R21" s="1166">
        <v>86</v>
      </c>
      <c r="S21" s="1166">
        <v>9</v>
      </c>
      <c r="T21" s="1166">
        <v>0</v>
      </c>
      <c r="U21" s="588">
        <v>25</v>
      </c>
      <c r="V21" s="1166">
        <v>0</v>
      </c>
      <c r="W21" s="1166">
        <v>23</v>
      </c>
      <c r="X21" s="1238">
        <v>16</v>
      </c>
      <c r="Y21" s="1168">
        <v>920</v>
      </c>
      <c r="Z21" s="586">
        <v>17030</v>
      </c>
    </row>
    <row r="22" spans="1:26" s="531" customFormat="1" ht="13.5" x14ac:dyDescent="0.2">
      <c r="A22" s="894"/>
      <c r="B22" s="782" t="s">
        <v>320</v>
      </c>
      <c r="C22" s="588">
        <v>132</v>
      </c>
      <c r="D22" s="1166">
        <v>336</v>
      </c>
      <c r="E22" s="1166">
        <v>1587</v>
      </c>
      <c r="F22" s="1166">
        <v>384</v>
      </c>
      <c r="G22" s="1166">
        <v>2603</v>
      </c>
      <c r="H22" s="1166">
        <v>307</v>
      </c>
      <c r="I22" s="1166">
        <v>1938</v>
      </c>
      <c r="J22" s="1166">
        <v>250</v>
      </c>
      <c r="K22" s="1166">
        <v>331</v>
      </c>
      <c r="L22" s="1166">
        <v>1092</v>
      </c>
      <c r="M22" s="1166">
        <v>325</v>
      </c>
      <c r="N22" s="587">
        <v>481</v>
      </c>
      <c r="O22" s="1166">
        <v>690</v>
      </c>
      <c r="P22" s="1166">
        <v>670</v>
      </c>
      <c r="Q22" s="1166">
        <v>373</v>
      </c>
      <c r="R22" s="1166">
        <v>1622</v>
      </c>
      <c r="S22" s="1166">
        <v>265</v>
      </c>
      <c r="T22" s="1166">
        <v>162</v>
      </c>
      <c r="U22" s="588">
        <v>131</v>
      </c>
      <c r="V22" s="1166">
        <v>998</v>
      </c>
      <c r="W22" s="1166">
        <v>71</v>
      </c>
      <c r="X22" s="1238">
        <v>129</v>
      </c>
      <c r="Y22" s="1168">
        <v>13780</v>
      </c>
      <c r="Z22" s="586">
        <v>93330</v>
      </c>
    </row>
    <row r="23" spans="1:26" s="531" customFormat="1" ht="13.5" x14ac:dyDescent="0.2">
      <c r="A23" s="894"/>
      <c r="B23" s="782" t="s">
        <v>321</v>
      </c>
      <c r="C23" s="1213"/>
      <c r="D23" s="1214"/>
      <c r="E23" s="1214"/>
      <c r="F23" s="1214"/>
      <c r="G23" s="1214"/>
      <c r="H23" s="1214"/>
      <c r="I23" s="1214"/>
      <c r="J23" s="1214"/>
      <c r="K23" s="1214"/>
      <c r="L23" s="1214"/>
      <c r="M23" s="1214"/>
      <c r="N23" s="1217"/>
      <c r="O23" s="1214"/>
      <c r="P23" s="1214"/>
      <c r="Q23" s="1214"/>
      <c r="R23" s="1214"/>
      <c r="S23" s="1214"/>
      <c r="T23" s="1214"/>
      <c r="U23" s="1213"/>
      <c r="V23" s="1214"/>
      <c r="W23" s="1214"/>
      <c r="X23" s="1236"/>
      <c r="Y23" s="1215"/>
      <c r="Z23" s="1216"/>
    </row>
    <row r="24" spans="1:26" s="531" customFormat="1" ht="13.5" x14ac:dyDescent="0.2">
      <c r="A24" s="894"/>
      <c r="B24" s="782" t="s">
        <v>322</v>
      </c>
      <c r="C24" s="1213"/>
      <c r="D24" s="1214"/>
      <c r="E24" s="1214"/>
      <c r="F24" s="1214"/>
      <c r="G24" s="1214"/>
      <c r="H24" s="1214"/>
      <c r="I24" s="1214"/>
      <c r="J24" s="1214"/>
      <c r="K24" s="1214"/>
      <c r="L24" s="1214"/>
      <c r="M24" s="1214"/>
      <c r="N24" s="1217"/>
      <c r="O24" s="1214"/>
      <c r="P24" s="1214"/>
      <c r="Q24" s="1214"/>
      <c r="R24" s="1214"/>
      <c r="S24" s="1214"/>
      <c r="T24" s="1214"/>
      <c r="U24" s="1213"/>
      <c r="V24" s="1214"/>
      <c r="W24" s="1214"/>
      <c r="X24" s="1236"/>
      <c r="Y24" s="1215"/>
      <c r="Z24" s="1216"/>
    </row>
    <row r="25" spans="1:26" s="531" customFormat="1" ht="13.5" x14ac:dyDescent="0.2">
      <c r="A25" s="894"/>
      <c r="B25" s="782" t="s">
        <v>323</v>
      </c>
      <c r="C25" s="1213"/>
      <c r="D25" s="1214"/>
      <c r="E25" s="1214"/>
      <c r="F25" s="1214"/>
      <c r="G25" s="1214"/>
      <c r="H25" s="1214"/>
      <c r="I25" s="1214"/>
      <c r="J25" s="1214"/>
      <c r="K25" s="1214"/>
      <c r="L25" s="1214"/>
      <c r="M25" s="1214"/>
      <c r="N25" s="1217"/>
      <c r="O25" s="1214"/>
      <c r="P25" s="1214"/>
      <c r="Q25" s="1214"/>
      <c r="R25" s="1214"/>
      <c r="S25" s="1214"/>
      <c r="T25" s="1214"/>
      <c r="U25" s="1213"/>
      <c r="V25" s="1214"/>
      <c r="W25" s="1214"/>
      <c r="X25" s="1236"/>
      <c r="Y25" s="1215"/>
      <c r="Z25" s="1216"/>
    </row>
    <row r="26" spans="1:26" s="531" customFormat="1" ht="13.5" x14ac:dyDescent="0.2">
      <c r="A26" s="894"/>
      <c r="B26" s="782" t="s">
        <v>324</v>
      </c>
      <c r="C26" s="1213"/>
      <c r="D26" s="1214"/>
      <c r="E26" s="1214"/>
      <c r="F26" s="1214"/>
      <c r="G26" s="1214"/>
      <c r="H26" s="1214"/>
      <c r="I26" s="1214"/>
      <c r="J26" s="1214"/>
      <c r="K26" s="1214"/>
      <c r="L26" s="1214"/>
      <c r="M26" s="1214"/>
      <c r="N26" s="1217"/>
      <c r="O26" s="1214"/>
      <c r="P26" s="1214"/>
      <c r="Q26" s="1214"/>
      <c r="R26" s="1214"/>
      <c r="S26" s="1214"/>
      <c r="T26" s="1214"/>
      <c r="U26" s="1213"/>
      <c r="V26" s="1214"/>
      <c r="W26" s="1214"/>
      <c r="X26" s="1236"/>
      <c r="Y26" s="1215"/>
      <c r="Z26" s="1216"/>
    </row>
    <row r="27" spans="1:26" s="531" customFormat="1" ht="13.5" x14ac:dyDescent="0.2">
      <c r="A27" s="894"/>
      <c r="B27" s="782" t="s">
        <v>325</v>
      </c>
      <c r="C27" s="1213"/>
      <c r="D27" s="1214"/>
      <c r="E27" s="1214"/>
      <c r="F27" s="1214"/>
      <c r="G27" s="1214"/>
      <c r="H27" s="1214"/>
      <c r="I27" s="1214"/>
      <c r="J27" s="1214"/>
      <c r="K27" s="1214"/>
      <c r="L27" s="1214"/>
      <c r="M27" s="1214"/>
      <c r="N27" s="1217"/>
      <c r="O27" s="1214"/>
      <c r="P27" s="1214"/>
      <c r="Q27" s="1214"/>
      <c r="R27" s="1214"/>
      <c r="S27" s="1214"/>
      <c r="T27" s="1214"/>
      <c r="U27" s="1213"/>
      <c r="V27" s="1214"/>
      <c r="W27" s="1214"/>
      <c r="X27" s="1236"/>
      <c r="Y27" s="1215"/>
      <c r="Z27" s="1216"/>
    </row>
    <row r="28" spans="1:26" s="531" customFormat="1" ht="13.5" x14ac:dyDescent="0.2">
      <c r="A28" s="894"/>
      <c r="B28" s="782" t="s">
        <v>326</v>
      </c>
      <c r="C28" s="588">
        <v>19</v>
      </c>
      <c r="D28" s="1166">
        <v>39</v>
      </c>
      <c r="E28" s="1166">
        <v>93</v>
      </c>
      <c r="F28" s="1166">
        <v>35</v>
      </c>
      <c r="G28" s="1166">
        <v>233</v>
      </c>
      <c r="H28" s="1166">
        <v>41</v>
      </c>
      <c r="I28" s="1166">
        <v>366</v>
      </c>
      <c r="J28" s="1166">
        <v>81</v>
      </c>
      <c r="K28" s="1166" t="s">
        <v>73</v>
      </c>
      <c r="L28" s="1166">
        <v>73</v>
      </c>
      <c r="M28" s="1166">
        <v>69</v>
      </c>
      <c r="N28" s="587">
        <v>113</v>
      </c>
      <c r="O28" s="1166" t="s">
        <v>73</v>
      </c>
      <c r="P28" s="1166">
        <v>61</v>
      </c>
      <c r="Q28" s="1166">
        <v>64</v>
      </c>
      <c r="R28" s="1166">
        <v>118</v>
      </c>
      <c r="S28" s="1166">
        <v>33</v>
      </c>
      <c r="T28" s="1166">
        <v>20</v>
      </c>
      <c r="U28" s="588">
        <v>35</v>
      </c>
      <c r="V28" s="1166">
        <v>120</v>
      </c>
      <c r="W28" s="1166" t="s">
        <v>73</v>
      </c>
      <c r="X28" s="1238">
        <v>10</v>
      </c>
      <c r="Y28" s="1168">
        <v>1550</v>
      </c>
      <c r="Z28" s="586">
        <v>9970</v>
      </c>
    </row>
    <row r="29" spans="1:26" s="531" customFormat="1" ht="13.5" x14ac:dyDescent="0.2">
      <c r="A29" s="894"/>
      <c r="B29" s="782" t="s">
        <v>327</v>
      </c>
      <c r="C29" s="588">
        <v>290</v>
      </c>
      <c r="D29" s="1166">
        <v>632</v>
      </c>
      <c r="E29" s="1166">
        <v>1023</v>
      </c>
      <c r="F29" s="1166">
        <v>815</v>
      </c>
      <c r="G29" s="1166">
        <v>1606</v>
      </c>
      <c r="H29" s="1166">
        <v>231</v>
      </c>
      <c r="I29" s="1166">
        <v>1976</v>
      </c>
      <c r="J29" s="1166">
        <v>394</v>
      </c>
      <c r="K29" s="1166">
        <v>529</v>
      </c>
      <c r="L29" s="1166">
        <v>722</v>
      </c>
      <c r="M29" s="1166">
        <v>253</v>
      </c>
      <c r="N29" s="587">
        <v>308</v>
      </c>
      <c r="O29" s="1166">
        <v>997</v>
      </c>
      <c r="P29" s="1166">
        <v>638</v>
      </c>
      <c r="Q29" s="1166">
        <v>536</v>
      </c>
      <c r="R29" s="1166">
        <v>1086</v>
      </c>
      <c r="S29" s="1166">
        <v>266</v>
      </c>
      <c r="T29" s="1166">
        <v>370</v>
      </c>
      <c r="U29" s="588">
        <v>410</v>
      </c>
      <c r="V29" s="1166">
        <v>662</v>
      </c>
      <c r="W29" s="1166">
        <v>410</v>
      </c>
      <c r="X29" s="1238">
        <v>97</v>
      </c>
      <c r="Y29" s="1168">
        <v>12980</v>
      </c>
      <c r="Z29" s="586">
        <v>88150</v>
      </c>
    </row>
    <row r="30" spans="1:26" s="531" customFormat="1" ht="13.5" x14ac:dyDescent="0.2">
      <c r="A30" s="894"/>
      <c r="B30" s="782" t="s">
        <v>328</v>
      </c>
      <c r="C30" s="1213"/>
      <c r="D30" s="1214"/>
      <c r="E30" s="1214"/>
      <c r="F30" s="1214"/>
      <c r="G30" s="1214"/>
      <c r="H30" s="1214"/>
      <c r="I30" s="1214"/>
      <c r="J30" s="1214"/>
      <c r="K30" s="1214"/>
      <c r="L30" s="1214"/>
      <c r="M30" s="1214"/>
      <c r="N30" s="1217"/>
      <c r="O30" s="1214"/>
      <c r="P30" s="1214"/>
      <c r="Q30" s="1214"/>
      <c r="R30" s="1214"/>
      <c r="S30" s="1214"/>
      <c r="T30" s="1214"/>
      <c r="U30" s="1213"/>
      <c r="V30" s="1214"/>
      <c r="W30" s="1214"/>
      <c r="X30" s="1236"/>
      <c r="Y30" s="1215"/>
      <c r="Z30" s="1216"/>
    </row>
    <row r="31" spans="1:26" s="531" customFormat="1" ht="13.5" x14ac:dyDescent="0.2">
      <c r="A31" s="894"/>
      <c r="B31" s="782" t="s">
        <v>329</v>
      </c>
      <c r="C31" s="1213"/>
      <c r="D31" s="1214"/>
      <c r="E31" s="1214"/>
      <c r="F31" s="1214"/>
      <c r="G31" s="1214"/>
      <c r="H31" s="1214"/>
      <c r="I31" s="1214"/>
      <c r="J31" s="1214"/>
      <c r="K31" s="1214"/>
      <c r="L31" s="1214"/>
      <c r="M31" s="1214"/>
      <c r="N31" s="1217"/>
      <c r="O31" s="1214"/>
      <c r="P31" s="1214"/>
      <c r="Q31" s="1214"/>
      <c r="R31" s="1214"/>
      <c r="S31" s="1214"/>
      <c r="T31" s="1214"/>
      <c r="U31" s="1213"/>
      <c r="V31" s="1214"/>
      <c r="W31" s="1214"/>
      <c r="X31" s="1236"/>
      <c r="Y31" s="1215"/>
      <c r="Z31" s="1216"/>
    </row>
    <row r="32" spans="1:26" s="531" customFormat="1" ht="13.5" x14ac:dyDescent="0.2">
      <c r="A32" s="894"/>
      <c r="B32" s="782" t="s">
        <v>330</v>
      </c>
      <c r="C32" s="588">
        <v>323</v>
      </c>
      <c r="D32" s="1166">
        <v>871</v>
      </c>
      <c r="E32" s="1166">
        <v>2528</v>
      </c>
      <c r="F32" s="1166">
        <v>1039</v>
      </c>
      <c r="G32" s="1166">
        <v>5360</v>
      </c>
      <c r="H32" s="1166">
        <v>766</v>
      </c>
      <c r="I32" s="1166">
        <v>4508</v>
      </c>
      <c r="J32" s="1166">
        <v>770</v>
      </c>
      <c r="K32" s="1166">
        <v>785</v>
      </c>
      <c r="L32" s="1166">
        <v>2385</v>
      </c>
      <c r="M32" s="1166">
        <v>825</v>
      </c>
      <c r="N32" s="587">
        <v>1198</v>
      </c>
      <c r="O32" s="1166">
        <v>2192</v>
      </c>
      <c r="P32" s="1166">
        <v>1336</v>
      </c>
      <c r="Q32" s="1166">
        <v>799</v>
      </c>
      <c r="R32" s="1166">
        <v>4629</v>
      </c>
      <c r="S32" s="1166">
        <v>1122</v>
      </c>
      <c r="T32" s="1166">
        <v>351</v>
      </c>
      <c r="U32" s="588">
        <v>468</v>
      </c>
      <c r="V32" s="1166">
        <v>2690</v>
      </c>
      <c r="W32" s="1166">
        <v>274</v>
      </c>
      <c r="X32" s="1238">
        <v>332</v>
      </c>
      <c r="Y32" s="1168">
        <v>32740</v>
      </c>
      <c r="Z32" s="586">
        <v>177470</v>
      </c>
    </row>
    <row r="33" spans="1:26" s="531" customFormat="1" ht="13.5" x14ac:dyDescent="0.2">
      <c r="A33" s="894"/>
      <c r="B33" s="782" t="s">
        <v>331</v>
      </c>
      <c r="C33" s="588">
        <v>42</v>
      </c>
      <c r="D33" s="1166">
        <v>82</v>
      </c>
      <c r="E33" s="1166">
        <v>225</v>
      </c>
      <c r="F33" s="1166">
        <v>172</v>
      </c>
      <c r="G33" s="1166">
        <v>447</v>
      </c>
      <c r="H33" s="1166">
        <v>33</v>
      </c>
      <c r="I33" s="1166">
        <v>735</v>
      </c>
      <c r="J33" s="1166">
        <v>89</v>
      </c>
      <c r="K33" s="1166">
        <v>70</v>
      </c>
      <c r="L33" s="1166">
        <v>150</v>
      </c>
      <c r="M33" s="1166">
        <v>105</v>
      </c>
      <c r="N33" s="587">
        <v>79</v>
      </c>
      <c r="O33" s="1166">
        <v>574</v>
      </c>
      <c r="P33" s="1166">
        <v>136</v>
      </c>
      <c r="Q33" s="1166">
        <v>47</v>
      </c>
      <c r="R33" s="1166">
        <v>361</v>
      </c>
      <c r="S33" s="1166">
        <v>66</v>
      </c>
      <c r="T33" s="1166">
        <v>19</v>
      </c>
      <c r="U33" s="588">
        <v>47</v>
      </c>
      <c r="V33" s="1166">
        <v>310</v>
      </c>
      <c r="W33" s="1166">
        <v>8</v>
      </c>
      <c r="X33" s="1238">
        <v>51</v>
      </c>
      <c r="Y33" s="1168">
        <v>3630</v>
      </c>
      <c r="Z33" s="586">
        <v>22230</v>
      </c>
    </row>
    <row r="34" spans="1:26" s="531" customFormat="1" ht="13.5" x14ac:dyDescent="0.2">
      <c r="A34" s="894"/>
      <c r="B34" s="782" t="s">
        <v>332</v>
      </c>
      <c r="C34" s="588">
        <v>114</v>
      </c>
      <c r="D34" s="1166">
        <v>193</v>
      </c>
      <c r="E34" s="1166">
        <v>505</v>
      </c>
      <c r="F34" s="1166">
        <v>190</v>
      </c>
      <c r="G34" s="1166">
        <v>1765</v>
      </c>
      <c r="H34" s="1166">
        <v>262</v>
      </c>
      <c r="I34" s="1166">
        <v>1563</v>
      </c>
      <c r="J34" s="1166">
        <v>107</v>
      </c>
      <c r="K34" s="1166">
        <v>165</v>
      </c>
      <c r="L34" s="1166">
        <v>371</v>
      </c>
      <c r="M34" s="1166">
        <v>198</v>
      </c>
      <c r="N34" s="587">
        <v>292</v>
      </c>
      <c r="O34" s="1166">
        <v>164</v>
      </c>
      <c r="P34" s="1166">
        <v>211</v>
      </c>
      <c r="Q34" s="1166">
        <v>210</v>
      </c>
      <c r="R34" s="1166">
        <v>827</v>
      </c>
      <c r="S34" s="1166">
        <v>180</v>
      </c>
      <c r="T34" s="1166">
        <v>91</v>
      </c>
      <c r="U34" s="588">
        <v>67</v>
      </c>
      <c r="V34" s="1166">
        <v>39</v>
      </c>
      <c r="W34" s="1166">
        <v>18</v>
      </c>
      <c r="X34" s="1238">
        <v>18</v>
      </c>
      <c r="Y34" s="1168">
        <v>7070</v>
      </c>
      <c r="Z34" s="586">
        <v>40770</v>
      </c>
    </row>
    <row r="35" spans="1:26" s="531" customFormat="1" ht="13.5" x14ac:dyDescent="0.2">
      <c r="A35" s="894"/>
      <c r="B35" s="782" t="s">
        <v>333</v>
      </c>
      <c r="C35" s="588">
        <v>22</v>
      </c>
      <c r="D35" s="1166">
        <v>66</v>
      </c>
      <c r="E35" s="1166">
        <v>143</v>
      </c>
      <c r="F35" s="1166">
        <v>75</v>
      </c>
      <c r="G35" s="1166">
        <v>478</v>
      </c>
      <c r="H35" s="1166">
        <v>48</v>
      </c>
      <c r="I35" s="1166">
        <v>294</v>
      </c>
      <c r="J35" s="1166">
        <v>100</v>
      </c>
      <c r="K35" s="1166">
        <v>90</v>
      </c>
      <c r="L35" s="1166">
        <v>192</v>
      </c>
      <c r="M35" s="1166">
        <v>36</v>
      </c>
      <c r="N35" s="587">
        <v>35</v>
      </c>
      <c r="O35" s="1166">
        <v>32</v>
      </c>
      <c r="P35" s="1166">
        <v>191</v>
      </c>
      <c r="Q35" s="1166">
        <v>91</v>
      </c>
      <c r="R35" s="1166">
        <v>213</v>
      </c>
      <c r="S35" s="1166">
        <v>77</v>
      </c>
      <c r="T35" s="1166">
        <v>44</v>
      </c>
      <c r="U35" s="588">
        <v>17</v>
      </c>
      <c r="V35" s="1166">
        <v>0</v>
      </c>
      <c r="W35" s="1166" t="s">
        <v>73</v>
      </c>
      <c r="X35" s="1238">
        <v>20</v>
      </c>
      <c r="Y35" s="1168">
        <v>1950</v>
      </c>
      <c r="Z35" s="586">
        <v>14510</v>
      </c>
    </row>
    <row r="36" spans="1:26" s="531" customFormat="1" ht="13.5" x14ac:dyDescent="0.2">
      <c r="A36" s="894"/>
      <c r="B36" s="782" t="s">
        <v>334</v>
      </c>
      <c r="C36" s="588">
        <v>147</v>
      </c>
      <c r="D36" s="1166">
        <v>339</v>
      </c>
      <c r="E36" s="1166">
        <v>26</v>
      </c>
      <c r="F36" s="1166">
        <v>6</v>
      </c>
      <c r="G36" s="1166">
        <v>219</v>
      </c>
      <c r="H36" s="1166">
        <v>0</v>
      </c>
      <c r="I36" s="1166">
        <v>64</v>
      </c>
      <c r="J36" s="1166">
        <v>0</v>
      </c>
      <c r="K36" s="1166" t="s">
        <v>73</v>
      </c>
      <c r="L36" s="1166">
        <v>23</v>
      </c>
      <c r="M36" s="1166">
        <v>0</v>
      </c>
      <c r="N36" s="587">
        <v>47</v>
      </c>
      <c r="O36" s="1166" t="s">
        <v>73</v>
      </c>
      <c r="P36" s="1166">
        <v>0</v>
      </c>
      <c r="Q36" s="1166">
        <v>23</v>
      </c>
      <c r="R36" s="1166">
        <v>0</v>
      </c>
      <c r="S36" s="1166">
        <v>163</v>
      </c>
      <c r="T36" s="1166">
        <v>41</v>
      </c>
      <c r="U36" s="588">
        <v>0</v>
      </c>
      <c r="V36" s="1166">
        <v>257</v>
      </c>
      <c r="W36" s="1166">
        <v>7</v>
      </c>
      <c r="X36" s="1238">
        <v>0</v>
      </c>
      <c r="Y36" s="1168">
        <v>1160</v>
      </c>
      <c r="Z36" s="586">
        <v>15010</v>
      </c>
    </row>
    <row r="37" spans="1:26" s="531" customFormat="1" ht="13.5" x14ac:dyDescent="0.2">
      <c r="A37" s="595">
        <v>15</v>
      </c>
      <c r="B37" s="783" t="s">
        <v>335</v>
      </c>
      <c r="C37" s="589">
        <v>387</v>
      </c>
      <c r="D37" s="1166">
        <v>841</v>
      </c>
      <c r="E37" s="1166">
        <v>3029</v>
      </c>
      <c r="F37" s="1166">
        <v>547</v>
      </c>
      <c r="G37" s="1166">
        <v>5966</v>
      </c>
      <c r="H37" s="1166">
        <v>792</v>
      </c>
      <c r="I37" s="1166">
        <v>3636</v>
      </c>
      <c r="J37" s="1166">
        <v>481</v>
      </c>
      <c r="K37" s="1166">
        <v>588</v>
      </c>
      <c r="L37" s="1166">
        <v>1405</v>
      </c>
      <c r="M37" s="1166">
        <v>645</v>
      </c>
      <c r="N37" s="590">
        <v>930</v>
      </c>
      <c r="O37" s="1166">
        <v>1652</v>
      </c>
      <c r="P37" s="1166">
        <v>950</v>
      </c>
      <c r="Q37" s="1166">
        <v>810</v>
      </c>
      <c r="R37" s="1166">
        <v>2896</v>
      </c>
      <c r="S37" s="1166">
        <v>804</v>
      </c>
      <c r="T37" s="1166">
        <v>437</v>
      </c>
      <c r="U37" s="589">
        <v>390</v>
      </c>
      <c r="V37" s="1166">
        <v>2209</v>
      </c>
      <c r="W37" s="1166">
        <v>117</v>
      </c>
      <c r="X37" s="1238">
        <v>170</v>
      </c>
      <c r="Y37" s="1168">
        <v>27490</v>
      </c>
      <c r="Z37" s="586">
        <v>141560</v>
      </c>
    </row>
    <row r="38" spans="1:26" s="531" customFormat="1" ht="13.5" x14ac:dyDescent="0.2">
      <c r="A38" s="595">
        <v>16</v>
      </c>
      <c r="B38" s="783" t="s">
        <v>336</v>
      </c>
      <c r="C38" s="589">
        <v>1393</v>
      </c>
      <c r="D38" s="1166">
        <v>3020</v>
      </c>
      <c r="E38" s="1166">
        <v>6680</v>
      </c>
      <c r="F38" s="1166">
        <v>3143</v>
      </c>
      <c r="G38" s="1166">
        <v>19841</v>
      </c>
      <c r="H38" s="1166">
        <v>2691</v>
      </c>
      <c r="I38" s="1166">
        <v>16366</v>
      </c>
      <c r="J38" s="1166">
        <v>2818</v>
      </c>
      <c r="K38" s="1166">
        <v>2517</v>
      </c>
      <c r="L38" s="1166">
        <v>6720</v>
      </c>
      <c r="M38" s="1166">
        <v>2950</v>
      </c>
      <c r="N38" s="590">
        <v>2945</v>
      </c>
      <c r="O38" s="1166">
        <v>2339</v>
      </c>
      <c r="P38" s="1166">
        <v>4944</v>
      </c>
      <c r="Q38" s="1166">
        <v>2655</v>
      </c>
      <c r="R38" s="1166">
        <v>12022</v>
      </c>
      <c r="S38" s="1166">
        <v>2994</v>
      </c>
      <c r="T38" s="1166">
        <v>1012</v>
      </c>
      <c r="U38" s="589">
        <v>1503</v>
      </c>
      <c r="V38" s="1166">
        <v>7633</v>
      </c>
      <c r="W38" s="1166">
        <v>668</v>
      </c>
      <c r="X38" s="1238">
        <v>875</v>
      </c>
      <c r="Y38" s="1168">
        <v>98780</v>
      </c>
      <c r="Z38" s="586">
        <v>606920</v>
      </c>
    </row>
    <row r="39" spans="1:26" s="531" customFormat="1" ht="22.5" x14ac:dyDescent="0.2">
      <c r="A39" s="595">
        <v>17</v>
      </c>
      <c r="B39" s="780" t="s">
        <v>231</v>
      </c>
      <c r="C39" s="1237"/>
      <c r="D39" s="1237"/>
      <c r="E39" s="1237"/>
      <c r="F39" s="1237"/>
      <c r="G39" s="1237"/>
      <c r="H39" s="1237"/>
      <c r="I39" s="1237"/>
      <c r="J39" s="1237"/>
      <c r="K39" s="1237"/>
      <c r="L39" s="1237"/>
      <c r="M39" s="1237"/>
      <c r="N39" s="1237"/>
      <c r="O39" s="1237"/>
      <c r="P39" s="1237"/>
      <c r="Q39" s="1237"/>
      <c r="R39" s="1237"/>
      <c r="S39" s="1237"/>
      <c r="T39" s="1237"/>
      <c r="U39" s="1237"/>
      <c r="V39" s="1237"/>
      <c r="W39" s="1237"/>
      <c r="X39" s="1237"/>
      <c r="Y39" s="1247"/>
      <c r="Z39" s="1248"/>
    </row>
    <row r="40" spans="1:26" s="531" customFormat="1" ht="13.5" x14ac:dyDescent="0.2">
      <c r="A40" s="895"/>
      <c r="B40" s="779" t="s">
        <v>337</v>
      </c>
      <c r="C40" s="588">
        <v>264</v>
      </c>
      <c r="D40" s="1166">
        <v>515</v>
      </c>
      <c r="E40" s="1166">
        <v>1110</v>
      </c>
      <c r="F40" s="1167">
        <v>325</v>
      </c>
      <c r="G40" s="1166">
        <v>4875</v>
      </c>
      <c r="H40" s="1166">
        <v>520</v>
      </c>
      <c r="I40" s="1166">
        <v>1956</v>
      </c>
      <c r="J40" s="1166">
        <v>175</v>
      </c>
      <c r="K40" s="1166">
        <v>499</v>
      </c>
      <c r="L40" s="1166">
        <v>573</v>
      </c>
      <c r="M40" s="1166">
        <v>900</v>
      </c>
      <c r="N40" s="587">
        <v>355</v>
      </c>
      <c r="O40" s="1166">
        <v>80</v>
      </c>
      <c r="P40" s="1166">
        <v>1044</v>
      </c>
      <c r="Q40" s="1166">
        <v>291</v>
      </c>
      <c r="R40" s="1166">
        <v>1103</v>
      </c>
      <c r="S40" s="1166">
        <v>327</v>
      </c>
      <c r="T40" s="1166">
        <v>123</v>
      </c>
      <c r="U40" s="588">
        <v>164</v>
      </c>
      <c r="V40" s="1166">
        <v>5394</v>
      </c>
      <c r="W40" s="1166">
        <v>56</v>
      </c>
      <c r="X40" s="1238">
        <v>76</v>
      </c>
      <c r="Y40" s="529">
        <v>19240</v>
      </c>
      <c r="Z40" s="586">
        <v>100030</v>
      </c>
    </row>
    <row r="41" spans="1:26" s="531" customFormat="1" ht="13.5" x14ac:dyDescent="0.2">
      <c r="A41" s="895"/>
      <c r="B41" s="779" t="s">
        <v>651</v>
      </c>
      <c r="C41" s="588">
        <v>304</v>
      </c>
      <c r="D41" s="1166">
        <v>368</v>
      </c>
      <c r="E41" s="1166">
        <v>1116</v>
      </c>
      <c r="F41" s="1167">
        <v>384</v>
      </c>
      <c r="G41" s="1166">
        <v>7448</v>
      </c>
      <c r="H41" s="1166">
        <v>854</v>
      </c>
      <c r="I41" s="1166">
        <v>2110</v>
      </c>
      <c r="J41" s="1166">
        <v>310</v>
      </c>
      <c r="K41" s="1166">
        <v>539</v>
      </c>
      <c r="L41" s="1166">
        <v>722</v>
      </c>
      <c r="M41" s="1166">
        <v>655</v>
      </c>
      <c r="N41" s="587">
        <v>438</v>
      </c>
      <c r="O41" s="1166">
        <v>240</v>
      </c>
      <c r="P41" s="1166">
        <v>902</v>
      </c>
      <c r="Q41" s="1166">
        <v>500</v>
      </c>
      <c r="R41" s="1166">
        <v>2383</v>
      </c>
      <c r="S41" s="1166">
        <v>445</v>
      </c>
      <c r="T41" s="1166">
        <v>381</v>
      </c>
      <c r="U41" s="588">
        <v>239</v>
      </c>
      <c r="V41" s="1166">
        <v>928</v>
      </c>
      <c r="W41" s="1166">
        <v>115</v>
      </c>
      <c r="X41" s="1238">
        <v>173</v>
      </c>
      <c r="Y41" s="1168">
        <v>19830</v>
      </c>
      <c r="Z41" s="586">
        <v>113730</v>
      </c>
    </row>
    <row r="42" spans="1:26" s="531" customFormat="1" ht="13.5" x14ac:dyDescent="0.2">
      <c r="A42" s="895"/>
      <c r="B42" s="779" t="s">
        <v>652</v>
      </c>
      <c r="C42" s="588">
        <v>261</v>
      </c>
      <c r="D42" s="1166">
        <v>511</v>
      </c>
      <c r="E42" s="1166">
        <v>1915</v>
      </c>
      <c r="F42" s="1167">
        <v>531</v>
      </c>
      <c r="G42" s="1166">
        <v>3377</v>
      </c>
      <c r="H42" s="1166">
        <v>410</v>
      </c>
      <c r="I42" s="1166">
        <v>4208</v>
      </c>
      <c r="J42" s="1166">
        <v>830</v>
      </c>
      <c r="K42" s="1166">
        <v>494</v>
      </c>
      <c r="L42" s="1166">
        <v>774</v>
      </c>
      <c r="M42" s="1166">
        <v>628</v>
      </c>
      <c r="N42" s="587">
        <v>368</v>
      </c>
      <c r="O42" s="1166">
        <v>570</v>
      </c>
      <c r="P42" s="1166">
        <v>1042</v>
      </c>
      <c r="Q42" s="1166">
        <v>396</v>
      </c>
      <c r="R42" s="1166">
        <v>1641</v>
      </c>
      <c r="S42" s="1166">
        <v>432</v>
      </c>
      <c r="T42" s="1166">
        <v>145</v>
      </c>
      <c r="U42" s="588">
        <v>205</v>
      </c>
      <c r="V42" s="1166">
        <v>569</v>
      </c>
      <c r="W42" s="1166">
        <v>73</v>
      </c>
      <c r="X42" s="1238">
        <v>290</v>
      </c>
      <c r="Y42" s="1168">
        <v>18050</v>
      </c>
      <c r="Z42" s="586">
        <v>102200</v>
      </c>
    </row>
    <row r="43" spans="1:26" s="531" customFormat="1" ht="13.5" x14ac:dyDescent="0.2">
      <c r="A43" s="895"/>
      <c r="B43" s="779" t="s">
        <v>653</v>
      </c>
      <c r="C43" s="588">
        <v>420</v>
      </c>
      <c r="D43" s="1166">
        <v>730</v>
      </c>
      <c r="E43" s="1166">
        <v>2065</v>
      </c>
      <c r="F43" s="1167">
        <v>831</v>
      </c>
      <c r="G43" s="1166">
        <v>2085</v>
      </c>
      <c r="H43" s="1166">
        <v>347</v>
      </c>
      <c r="I43" s="1166">
        <v>6817</v>
      </c>
      <c r="J43" s="1166">
        <v>1386</v>
      </c>
      <c r="K43" s="1166">
        <v>738</v>
      </c>
      <c r="L43" s="1166">
        <v>1411</v>
      </c>
      <c r="M43" s="1166">
        <v>594</v>
      </c>
      <c r="N43" s="587">
        <v>896</v>
      </c>
      <c r="O43" s="1166">
        <v>1116</v>
      </c>
      <c r="P43" s="1166">
        <v>1422</v>
      </c>
      <c r="Q43" s="1166">
        <v>618</v>
      </c>
      <c r="R43" s="1166">
        <v>3951</v>
      </c>
      <c r="S43" s="1166">
        <v>565</v>
      </c>
      <c r="T43" s="1166">
        <v>148</v>
      </c>
      <c r="U43" s="588">
        <v>845</v>
      </c>
      <c r="V43" s="1166">
        <v>508</v>
      </c>
      <c r="W43" s="1166">
        <v>140</v>
      </c>
      <c r="X43" s="1238">
        <v>210</v>
      </c>
      <c r="Y43" s="529">
        <v>25710</v>
      </c>
      <c r="Z43" s="586">
        <v>187350</v>
      </c>
    </row>
    <row r="44" spans="1:26" s="531" customFormat="1" ht="13.5" x14ac:dyDescent="0.2">
      <c r="A44" s="895"/>
      <c r="B44" s="779" t="s">
        <v>338</v>
      </c>
      <c r="C44" s="588">
        <v>143</v>
      </c>
      <c r="D44" s="1166">
        <v>896</v>
      </c>
      <c r="E44" s="1166">
        <v>474</v>
      </c>
      <c r="F44" s="1167">
        <v>1072</v>
      </c>
      <c r="G44" s="1166">
        <v>2056</v>
      </c>
      <c r="H44" s="1166">
        <v>560</v>
      </c>
      <c r="I44" s="1166">
        <v>1275</v>
      </c>
      <c r="J44" s="1166">
        <v>117</v>
      </c>
      <c r="K44" s="1166">
        <v>247</v>
      </c>
      <c r="L44" s="1166">
        <v>3240</v>
      </c>
      <c r="M44" s="1166">
        <v>173</v>
      </c>
      <c r="N44" s="587">
        <v>888</v>
      </c>
      <c r="O44" s="1166">
        <v>333</v>
      </c>
      <c r="P44" s="1166">
        <v>534</v>
      </c>
      <c r="Q44" s="1166">
        <v>850</v>
      </c>
      <c r="R44" s="1166">
        <v>2944</v>
      </c>
      <c r="S44" s="1166">
        <v>1225</v>
      </c>
      <c r="T44" s="1166">
        <v>180</v>
      </c>
      <c r="U44" s="588">
        <v>50</v>
      </c>
      <c r="V44" s="1166">
        <v>234</v>
      </c>
      <c r="W44" s="1166">
        <v>284</v>
      </c>
      <c r="X44" s="1238">
        <v>126</v>
      </c>
      <c r="Y44" s="1168">
        <v>15970</v>
      </c>
      <c r="Z44" s="586">
        <v>103570</v>
      </c>
    </row>
    <row r="45" spans="1:26" s="531" customFormat="1" ht="13.5" x14ac:dyDescent="0.2">
      <c r="A45" s="595">
        <v>18</v>
      </c>
      <c r="B45" s="783" t="s">
        <v>339</v>
      </c>
      <c r="C45" s="1213"/>
      <c r="D45" s="1214"/>
      <c r="E45" s="1214"/>
      <c r="F45" s="1214"/>
      <c r="G45" s="1214"/>
      <c r="H45" s="1214"/>
      <c r="I45" s="1214"/>
      <c r="J45" s="1214"/>
      <c r="K45" s="1214"/>
      <c r="L45" s="1214"/>
      <c r="M45" s="1214"/>
      <c r="N45" s="1217"/>
      <c r="O45" s="1214"/>
      <c r="P45" s="1214"/>
      <c r="Q45" s="1214"/>
      <c r="R45" s="1214"/>
      <c r="S45" s="1214"/>
      <c r="T45" s="1214"/>
      <c r="U45" s="1213"/>
      <c r="V45" s="1214"/>
      <c r="W45" s="1214"/>
      <c r="X45" s="1236"/>
      <c r="Y45" s="1215"/>
      <c r="Z45" s="1216"/>
    </row>
    <row r="46" spans="1:26" s="531" customFormat="1" ht="13.5" x14ac:dyDescent="0.2">
      <c r="A46" s="595">
        <v>19</v>
      </c>
      <c r="B46" s="783" t="s">
        <v>340</v>
      </c>
      <c r="C46" s="1213"/>
      <c r="D46" s="1214"/>
      <c r="E46" s="1214"/>
      <c r="F46" s="1214"/>
      <c r="G46" s="1214"/>
      <c r="H46" s="1214"/>
      <c r="I46" s="1214"/>
      <c r="J46" s="1214"/>
      <c r="K46" s="1214"/>
      <c r="L46" s="1214"/>
      <c r="M46" s="1214"/>
      <c r="N46" s="1217"/>
      <c r="O46" s="1214"/>
      <c r="P46" s="1214"/>
      <c r="Q46" s="1214"/>
      <c r="R46" s="1214"/>
      <c r="S46" s="1214"/>
      <c r="T46" s="1214"/>
      <c r="U46" s="1213"/>
      <c r="V46" s="1214"/>
      <c r="W46" s="1214"/>
      <c r="X46" s="1236"/>
      <c r="Y46" s="1215"/>
      <c r="Z46" s="1216"/>
    </row>
    <row r="47" spans="1:26" s="531" customFormat="1" ht="13.5" x14ac:dyDescent="0.2">
      <c r="A47" s="595">
        <v>20</v>
      </c>
      <c r="B47" s="783" t="s">
        <v>341</v>
      </c>
      <c r="C47" s="589">
        <v>981</v>
      </c>
      <c r="D47" s="1166">
        <v>2166</v>
      </c>
      <c r="E47" s="1166">
        <v>3363</v>
      </c>
      <c r="F47" s="1166">
        <v>3140</v>
      </c>
      <c r="G47" s="1166">
        <v>8713</v>
      </c>
      <c r="H47" s="1166">
        <v>1247</v>
      </c>
      <c r="I47" s="1166">
        <v>10005</v>
      </c>
      <c r="J47" s="1166">
        <v>1776</v>
      </c>
      <c r="K47" s="1166">
        <v>2025</v>
      </c>
      <c r="L47" s="1166">
        <v>4808</v>
      </c>
      <c r="M47" s="1166">
        <v>1432</v>
      </c>
      <c r="N47" s="590">
        <v>1781</v>
      </c>
      <c r="O47" s="1166">
        <v>1212</v>
      </c>
      <c r="P47" s="1166">
        <v>3109</v>
      </c>
      <c r="Q47" s="1166">
        <v>2287</v>
      </c>
      <c r="R47" s="1166">
        <v>6125</v>
      </c>
      <c r="S47" s="1166">
        <v>1919</v>
      </c>
      <c r="T47" s="1166">
        <v>1196</v>
      </c>
      <c r="U47" s="589">
        <v>984</v>
      </c>
      <c r="V47" s="1166">
        <v>4802</v>
      </c>
      <c r="W47" s="1166">
        <v>959</v>
      </c>
      <c r="X47" s="1238">
        <v>667</v>
      </c>
      <c r="Y47" s="1168">
        <v>58470</v>
      </c>
      <c r="Z47" s="586">
        <v>389430</v>
      </c>
    </row>
    <row r="48" spans="1:26" s="531" customFormat="1" ht="13.5" x14ac:dyDescent="0.2">
      <c r="A48" s="595">
        <v>21</v>
      </c>
      <c r="B48" s="783" t="s">
        <v>342</v>
      </c>
      <c r="C48" s="589">
        <v>560</v>
      </c>
      <c r="D48" s="1166">
        <v>863</v>
      </c>
      <c r="E48" s="1166">
        <v>2576</v>
      </c>
      <c r="F48" s="1166">
        <v>1127</v>
      </c>
      <c r="G48" s="1166">
        <v>4211</v>
      </c>
      <c r="H48" s="1166">
        <v>549</v>
      </c>
      <c r="I48" s="1166">
        <v>4893</v>
      </c>
      <c r="J48" s="1166">
        <v>1072</v>
      </c>
      <c r="K48" s="1166">
        <v>776</v>
      </c>
      <c r="L48" s="1166">
        <v>1926</v>
      </c>
      <c r="M48" s="1166">
        <v>1240</v>
      </c>
      <c r="N48" s="590">
        <v>1090</v>
      </c>
      <c r="O48" s="1166">
        <v>876</v>
      </c>
      <c r="P48" s="1166">
        <v>1577</v>
      </c>
      <c r="Q48" s="1166">
        <v>1352</v>
      </c>
      <c r="R48" s="1166">
        <v>4268</v>
      </c>
      <c r="S48" s="1166">
        <v>918</v>
      </c>
      <c r="T48" s="1166">
        <v>760</v>
      </c>
      <c r="U48" s="589">
        <v>553</v>
      </c>
      <c r="V48" s="1166">
        <v>2169</v>
      </c>
      <c r="W48" s="1166">
        <v>457</v>
      </c>
      <c r="X48" s="1238">
        <v>263</v>
      </c>
      <c r="Y48" s="1168">
        <v>30820</v>
      </c>
      <c r="Z48" s="586">
        <v>185450</v>
      </c>
    </row>
    <row r="49" spans="1:26" s="531" customFormat="1" ht="13.5" x14ac:dyDescent="0.2">
      <c r="A49" s="595">
        <v>22</v>
      </c>
      <c r="B49" s="783" t="s">
        <v>343</v>
      </c>
      <c r="C49" s="589">
        <v>261</v>
      </c>
      <c r="D49" s="1166">
        <v>471</v>
      </c>
      <c r="E49" s="1166">
        <v>866</v>
      </c>
      <c r="F49" s="1166">
        <v>627</v>
      </c>
      <c r="G49" s="1166">
        <v>1869</v>
      </c>
      <c r="H49" s="1166">
        <v>288</v>
      </c>
      <c r="I49" s="1166">
        <v>1494</v>
      </c>
      <c r="J49" s="1166">
        <v>351</v>
      </c>
      <c r="K49" s="1166">
        <v>147</v>
      </c>
      <c r="L49" s="1166">
        <v>920</v>
      </c>
      <c r="M49" s="1166">
        <v>299</v>
      </c>
      <c r="N49" s="590">
        <v>528</v>
      </c>
      <c r="O49" s="1166">
        <v>338</v>
      </c>
      <c r="P49" s="1166">
        <v>661</v>
      </c>
      <c r="Q49" s="1166">
        <v>463</v>
      </c>
      <c r="R49" s="1166">
        <v>1352</v>
      </c>
      <c r="S49" s="1166">
        <v>387</v>
      </c>
      <c r="T49" s="1166">
        <v>362</v>
      </c>
      <c r="U49" s="589">
        <v>248</v>
      </c>
      <c r="V49" s="1166">
        <v>680</v>
      </c>
      <c r="W49" s="1166">
        <v>194</v>
      </c>
      <c r="X49" s="1238">
        <v>89</v>
      </c>
      <c r="Y49" s="1168">
        <v>11490</v>
      </c>
      <c r="Z49" s="586">
        <v>76930</v>
      </c>
    </row>
    <row r="50" spans="1:26" s="531" customFormat="1" ht="13.5" x14ac:dyDescent="0.2">
      <c r="A50" s="595">
        <v>23</v>
      </c>
      <c r="B50" s="783" t="s">
        <v>344</v>
      </c>
      <c r="C50" s="589">
        <v>193</v>
      </c>
      <c r="D50" s="1166">
        <v>311</v>
      </c>
      <c r="E50" s="1166">
        <v>603</v>
      </c>
      <c r="F50" s="1212">
        <v>375</v>
      </c>
      <c r="G50" s="1166">
        <v>1435</v>
      </c>
      <c r="H50" s="1166">
        <v>218</v>
      </c>
      <c r="I50" s="1166">
        <v>1260</v>
      </c>
      <c r="J50" s="1166">
        <v>310</v>
      </c>
      <c r="K50" s="1166">
        <v>128</v>
      </c>
      <c r="L50" s="1166">
        <v>822</v>
      </c>
      <c r="M50" s="1166">
        <v>232</v>
      </c>
      <c r="N50" s="590">
        <v>447</v>
      </c>
      <c r="O50" s="1166">
        <v>276</v>
      </c>
      <c r="P50" s="1166">
        <v>622</v>
      </c>
      <c r="Q50" s="1166">
        <v>315</v>
      </c>
      <c r="R50" s="1166">
        <v>925</v>
      </c>
      <c r="S50" s="1166">
        <v>253</v>
      </c>
      <c r="T50" s="1166">
        <v>326</v>
      </c>
      <c r="U50" s="589">
        <v>240</v>
      </c>
      <c r="V50" s="1166">
        <v>291</v>
      </c>
      <c r="W50" s="1166">
        <v>161</v>
      </c>
      <c r="X50" s="1238">
        <v>71</v>
      </c>
      <c r="Y50" s="1168">
        <v>8620</v>
      </c>
      <c r="Z50" s="586">
        <v>59410</v>
      </c>
    </row>
    <row r="51" spans="1:26" s="531" customFormat="1" ht="13.5" x14ac:dyDescent="0.2">
      <c r="A51" s="595" t="s">
        <v>482</v>
      </c>
      <c r="B51" s="783" t="s">
        <v>345</v>
      </c>
      <c r="C51" s="589">
        <v>176</v>
      </c>
      <c r="D51" s="1166">
        <v>367</v>
      </c>
      <c r="E51" s="1166">
        <v>553</v>
      </c>
      <c r="F51" s="1166">
        <v>475</v>
      </c>
      <c r="G51" s="1166">
        <v>1263</v>
      </c>
      <c r="H51" s="1166">
        <v>199</v>
      </c>
      <c r="I51" s="1166">
        <v>1185</v>
      </c>
      <c r="J51" s="1166">
        <v>313</v>
      </c>
      <c r="K51" s="1166">
        <v>90</v>
      </c>
      <c r="L51" s="1166">
        <v>609</v>
      </c>
      <c r="M51" s="1166">
        <v>242</v>
      </c>
      <c r="N51" s="590">
        <v>349</v>
      </c>
      <c r="O51" s="1166">
        <v>153</v>
      </c>
      <c r="P51" s="1166">
        <v>413</v>
      </c>
      <c r="Q51" s="1166">
        <v>276</v>
      </c>
      <c r="R51" s="1166">
        <v>843</v>
      </c>
      <c r="S51" s="1166">
        <v>244</v>
      </c>
      <c r="T51" s="1166">
        <v>212</v>
      </c>
      <c r="U51" s="589">
        <v>155</v>
      </c>
      <c r="V51" s="1166">
        <v>549</v>
      </c>
      <c r="W51" s="1166">
        <v>141</v>
      </c>
      <c r="X51" s="1238">
        <v>46</v>
      </c>
      <c r="Y51" s="1168">
        <v>7980</v>
      </c>
      <c r="Z51" s="586">
        <v>51080</v>
      </c>
    </row>
    <row r="52" spans="1:26" s="531" customFormat="1" ht="13.5" x14ac:dyDescent="0.2">
      <c r="A52" s="595" t="s">
        <v>484</v>
      </c>
      <c r="B52" s="783" t="s">
        <v>346</v>
      </c>
      <c r="C52" s="589">
        <v>132</v>
      </c>
      <c r="D52" s="1166">
        <v>254</v>
      </c>
      <c r="E52" s="1166">
        <v>350</v>
      </c>
      <c r="F52" s="1166">
        <v>330</v>
      </c>
      <c r="G52" s="1166">
        <v>918</v>
      </c>
      <c r="H52" s="1166">
        <v>128</v>
      </c>
      <c r="I52" s="1166">
        <v>863</v>
      </c>
      <c r="J52" s="1166">
        <v>232</v>
      </c>
      <c r="K52" s="1166">
        <v>49</v>
      </c>
      <c r="L52" s="1166">
        <v>419</v>
      </c>
      <c r="M52" s="1166">
        <v>174</v>
      </c>
      <c r="N52" s="590">
        <v>236</v>
      </c>
      <c r="O52" s="1166">
        <v>112</v>
      </c>
      <c r="P52" s="1166">
        <v>246</v>
      </c>
      <c r="Q52" s="1166">
        <v>188</v>
      </c>
      <c r="R52" s="1166">
        <v>618</v>
      </c>
      <c r="S52" s="1166">
        <v>157</v>
      </c>
      <c r="T52" s="1166">
        <v>131</v>
      </c>
      <c r="U52" s="589">
        <v>82</v>
      </c>
      <c r="V52" s="1166">
        <v>379</v>
      </c>
      <c r="W52" s="1166">
        <v>97</v>
      </c>
      <c r="X52" s="1238">
        <v>29</v>
      </c>
      <c r="Y52" s="1168">
        <v>5590</v>
      </c>
      <c r="Z52" s="586">
        <v>34960</v>
      </c>
    </row>
    <row r="53" spans="1:26" s="531" customFormat="1" ht="13.5" x14ac:dyDescent="0.2">
      <c r="A53" s="595" t="s">
        <v>486</v>
      </c>
      <c r="B53" s="783" t="s">
        <v>347</v>
      </c>
      <c r="C53" s="589">
        <v>129</v>
      </c>
      <c r="D53" s="1166">
        <v>185</v>
      </c>
      <c r="E53" s="1166">
        <v>296</v>
      </c>
      <c r="F53" s="1212">
        <v>304</v>
      </c>
      <c r="G53" s="1166">
        <v>804</v>
      </c>
      <c r="H53" s="1166">
        <v>112</v>
      </c>
      <c r="I53" s="1166">
        <v>863</v>
      </c>
      <c r="J53" s="1166">
        <v>227</v>
      </c>
      <c r="K53" s="1166">
        <v>49</v>
      </c>
      <c r="L53" s="1166">
        <v>407</v>
      </c>
      <c r="M53" s="1166">
        <v>173</v>
      </c>
      <c r="N53" s="590">
        <v>8</v>
      </c>
      <c r="O53" s="1166">
        <v>108</v>
      </c>
      <c r="P53" s="1166">
        <v>235</v>
      </c>
      <c r="Q53" s="1166">
        <v>141</v>
      </c>
      <c r="R53" s="1166">
        <v>604</v>
      </c>
      <c r="S53" s="1166">
        <v>144</v>
      </c>
      <c r="T53" s="1166">
        <v>106</v>
      </c>
      <c r="U53" s="589">
        <v>81</v>
      </c>
      <c r="V53" s="1166">
        <v>316</v>
      </c>
      <c r="W53" s="1166">
        <v>94</v>
      </c>
      <c r="X53" s="1238">
        <v>28</v>
      </c>
      <c r="Y53" s="1168">
        <v>4930</v>
      </c>
      <c r="Z53" s="586">
        <v>32230</v>
      </c>
    </row>
    <row r="54" spans="1:26" s="531" customFormat="1" ht="13.5" x14ac:dyDescent="0.2">
      <c r="A54" s="585" t="s">
        <v>488</v>
      </c>
      <c r="B54" s="784" t="s">
        <v>554</v>
      </c>
      <c r="C54" s="1240"/>
      <c r="D54" s="1231"/>
      <c r="E54" s="1231"/>
      <c r="F54" s="1231"/>
      <c r="G54" s="1231"/>
      <c r="H54" s="1231"/>
      <c r="I54" s="1231"/>
      <c r="J54" s="1231"/>
      <c r="K54" s="1231"/>
      <c r="L54" s="1231"/>
      <c r="M54" s="1231"/>
      <c r="N54" s="1241"/>
      <c r="O54" s="1231"/>
      <c r="P54" s="1231"/>
      <c r="Q54" s="1231"/>
      <c r="R54" s="1231"/>
      <c r="S54" s="1231"/>
      <c r="T54" s="1231"/>
      <c r="U54" s="1240"/>
      <c r="V54" s="1231"/>
      <c r="W54" s="1231"/>
      <c r="X54" s="1242"/>
      <c r="Y54" s="1234"/>
      <c r="Z54" s="1232"/>
    </row>
    <row r="55" spans="1:26" s="531" customFormat="1" ht="13.5" x14ac:dyDescent="0.2">
      <c r="A55" s="585" t="s">
        <v>490</v>
      </c>
      <c r="B55" s="784" t="s">
        <v>726</v>
      </c>
      <c r="C55" s="1240"/>
      <c r="D55" s="1231"/>
      <c r="E55" s="1231"/>
      <c r="F55" s="1231"/>
      <c r="G55" s="1231"/>
      <c r="H55" s="1231"/>
      <c r="I55" s="1231"/>
      <c r="J55" s="1231"/>
      <c r="K55" s="1231"/>
      <c r="L55" s="1231"/>
      <c r="M55" s="1231"/>
      <c r="N55" s="1241"/>
      <c r="O55" s="1231"/>
      <c r="P55" s="1231"/>
      <c r="Q55" s="1231"/>
      <c r="R55" s="1231"/>
      <c r="S55" s="1231"/>
      <c r="T55" s="1231"/>
      <c r="U55" s="1240"/>
      <c r="V55" s="1231"/>
      <c r="W55" s="1231"/>
      <c r="X55" s="1242"/>
      <c r="Y55" s="1234"/>
      <c r="Z55" s="1232"/>
    </row>
    <row r="56" spans="1:26" s="531" customFormat="1" ht="13.5" x14ac:dyDescent="0.2">
      <c r="A56" s="595" t="s">
        <v>492</v>
      </c>
      <c r="B56" s="783" t="s">
        <v>348</v>
      </c>
      <c r="C56" s="589">
        <v>157</v>
      </c>
      <c r="D56" s="1166">
        <v>432</v>
      </c>
      <c r="E56" s="1166">
        <v>626</v>
      </c>
      <c r="F56" s="1166">
        <v>496</v>
      </c>
      <c r="G56" s="1166">
        <v>1759</v>
      </c>
      <c r="H56" s="1166">
        <v>244</v>
      </c>
      <c r="I56" s="1166">
        <v>1164</v>
      </c>
      <c r="J56" s="1166">
        <v>552</v>
      </c>
      <c r="K56" s="1166">
        <v>140</v>
      </c>
      <c r="L56" s="1166">
        <v>762</v>
      </c>
      <c r="M56" s="1166">
        <v>304</v>
      </c>
      <c r="N56" s="590">
        <v>305</v>
      </c>
      <c r="O56" s="1166">
        <v>365</v>
      </c>
      <c r="P56" s="1166">
        <v>450</v>
      </c>
      <c r="Q56" s="1166">
        <v>424</v>
      </c>
      <c r="R56" s="1166">
        <v>1076</v>
      </c>
      <c r="S56" s="1166">
        <v>309</v>
      </c>
      <c r="T56" s="1166">
        <v>217</v>
      </c>
      <c r="U56" s="589">
        <v>200</v>
      </c>
      <c r="V56" s="1166">
        <v>529</v>
      </c>
      <c r="W56" s="1166">
        <v>176</v>
      </c>
      <c r="X56" s="1238">
        <v>105</v>
      </c>
      <c r="Y56" s="1168">
        <v>9820</v>
      </c>
      <c r="Z56" s="586">
        <v>65420</v>
      </c>
    </row>
    <row r="57" spans="1:26" s="531" customFormat="1" ht="13.5" x14ac:dyDescent="0.2">
      <c r="A57" s="595" t="s">
        <v>494</v>
      </c>
      <c r="B57" s="783" t="s">
        <v>349</v>
      </c>
      <c r="C57" s="589">
        <v>14</v>
      </c>
      <c r="D57" s="1166">
        <v>14</v>
      </c>
      <c r="E57" s="1166">
        <v>15</v>
      </c>
      <c r="F57" s="1166">
        <v>44</v>
      </c>
      <c r="G57" s="1166">
        <v>86</v>
      </c>
      <c r="H57" s="1166">
        <v>9</v>
      </c>
      <c r="I57" s="1166">
        <v>44</v>
      </c>
      <c r="J57" s="1166">
        <v>33</v>
      </c>
      <c r="K57" s="1166">
        <v>0</v>
      </c>
      <c r="L57" s="1166">
        <v>34</v>
      </c>
      <c r="M57" s="1166">
        <v>12</v>
      </c>
      <c r="N57" s="590">
        <v>8</v>
      </c>
      <c r="O57" s="1166" t="s">
        <v>73</v>
      </c>
      <c r="P57" s="1166">
        <v>9</v>
      </c>
      <c r="Q57" s="1166">
        <v>18</v>
      </c>
      <c r="R57" s="1166">
        <v>60</v>
      </c>
      <c r="S57" s="1166">
        <v>11</v>
      </c>
      <c r="T57" s="1166" t="s">
        <v>73</v>
      </c>
      <c r="U57" s="589" t="s">
        <v>73</v>
      </c>
      <c r="V57" s="1166">
        <v>35</v>
      </c>
      <c r="W57" s="1166" t="s">
        <v>73</v>
      </c>
      <c r="X57" s="1238">
        <v>0</v>
      </c>
      <c r="Y57" s="1168">
        <v>440</v>
      </c>
      <c r="Z57" s="586">
        <v>2230</v>
      </c>
    </row>
    <row r="58" spans="1:26" s="531" customFormat="1" ht="13.5" x14ac:dyDescent="0.2">
      <c r="A58" s="595" t="s">
        <v>232</v>
      </c>
      <c r="B58" s="783" t="s">
        <v>350</v>
      </c>
      <c r="C58" s="589">
        <v>218</v>
      </c>
      <c r="D58" s="1166">
        <v>411</v>
      </c>
      <c r="E58" s="1166">
        <v>725</v>
      </c>
      <c r="F58" s="1166">
        <v>523</v>
      </c>
      <c r="G58" s="1166">
        <v>1582</v>
      </c>
      <c r="H58" s="1166">
        <v>231</v>
      </c>
      <c r="I58" s="1166">
        <v>1300</v>
      </c>
      <c r="J58" s="1166">
        <v>328</v>
      </c>
      <c r="K58" s="1166">
        <v>138</v>
      </c>
      <c r="L58" s="1166">
        <v>800</v>
      </c>
      <c r="M58" s="1166">
        <v>271</v>
      </c>
      <c r="N58" s="590">
        <v>419</v>
      </c>
      <c r="O58" s="1166">
        <v>292</v>
      </c>
      <c r="P58" s="1166">
        <v>584</v>
      </c>
      <c r="Q58" s="1166">
        <v>379</v>
      </c>
      <c r="R58" s="1166">
        <v>1038</v>
      </c>
      <c r="S58" s="1166">
        <v>352</v>
      </c>
      <c r="T58" s="1166">
        <v>297</v>
      </c>
      <c r="U58" s="589">
        <v>211</v>
      </c>
      <c r="V58" s="1166">
        <v>633</v>
      </c>
      <c r="W58" s="1166">
        <v>172</v>
      </c>
      <c r="X58" s="1238">
        <v>86</v>
      </c>
      <c r="Y58" s="1168">
        <v>9760</v>
      </c>
      <c r="Z58" s="586">
        <v>66410</v>
      </c>
    </row>
    <row r="59" spans="1:26" s="531" customFormat="1" ht="13.5" x14ac:dyDescent="0.2">
      <c r="A59" s="595" t="s">
        <v>233</v>
      </c>
      <c r="B59" s="783" t="s">
        <v>351</v>
      </c>
      <c r="C59" s="589">
        <v>57</v>
      </c>
      <c r="D59" s="1166">
        <v>90</v>
      </c>
      <c r="E59" s="1166">
        <v>104</v>
      </c>
      <c r="F59" s="1166">
        <v>148</v>
      </c>
      <c r="G59" s="1166">
        <v>384</v>
      </c>
      <c r="H59" s="1166">
        <v>48</v>
      </c>
      <c r="I59" s="1166">
        <v>252</v>
      </c>
      <c r="J59" s="1166">
        <v>68</v>
      </c>
      <c r="K59" s="1166">
        <v>12</v>
      </c>
      <c r="L59" s="1166">
        <v>147</v>
      </c>
      <c r="M59" s="1166">
        <v>55</v>
      </c>
      <c r="N59" s="590">
        <v>121</v>
      </c>
      <c r="O59" s="1166">
        <v>66</v>
      </c>
      <c r="P59" s="1166">
        <v>113</v>
      </c>
      <c r="Q59" s="1166">
        <v>108</v>
      </c>
      <c r="R59" s="1166">
        <v>233</v>
      </c>
      <c r="S59" s="1166">
        <v>71</v>
      </c>
      <c r="T59" s="1166">
        <v>63</v>
      </c>
      <c r="U59" s="589">
        <v>48</v>
      </c>
      <c r="V59" s="1166">
        <v>144</v>
      </c>
      <c r="W59" s="1166">
        <v>53</v>
      </c>
      <c r="X59" s="1238">
        <v>28</v>
      </c>
      <c r="Y59" s="1168">
        <v>2170</v>
      </c>
      <c r="Z59" s="586">
        <v>12420</v>
      </c>
    </row>
    <row r="60" spans="1:26" s="531" customFormat="1" ht="13.5" x14ac:dyDescent="0.2">
      <c r="A60" s="595" t="s">
        <v>234</v>
      </c>
      <c r="B60" s="783" t="s">
        <v>352</v>
      </c>
      <c r="C60" s="1213"/>
      <c r="D60" s="1214"/>
      <c r="E60" s="1214"/>
      <c r="F60" s="1214"/>
      <c r="G60" s="1214"/>
      <c r="H60" s="1214"/>
      <c r="I60" s="1214"/>
      <c r="J60" s="1214"/>
      <c r="K60" s="1214"/>
      <c r="L60" s="1214"/>
      <c r="M60" s="1214"/>
      <c r="N60" s="1217"/>
      <c r="O60" s="1214"/>
      <c r="P60" s="1214"/>
      <c r="Q60" s="1214"/>
      <c r="R60" s="1214"/>
      <c r="S60" s="1214"/>
      <c r="T60" s="1214"/>
      <c r="U60" s="1213"/>
      <c r="V60" s="1214"/>
      <c r="W60" s="1214"/>
      <c r="X60" s="1236"/>
      <c r="Y60" s="1215"/>
      <c r="Z60" s="1216"/>
    </row>
    <row r="61" spans="1:26" s="531" customFormat="1" ht="13.5" x14ac:dyDescent="0.2">
      <c r="A61" s="595" t="s">
        <v>235</v>
      </c>
      <c r="B61" s="783" t="s">
        <v>353</v>
      </c>
      <c r="C61" s="589">
        <v>116</v>
      </c>
      <c r="D61" s="1166">
        <v>456</v>
      </c>
      <c r="E61" s="1166">
        <v>454</v>
      </c>
      <c r="F61" s="1166">
        <v>555</v>
      </c>
      <c r="G61" s="1166">
        <v>1440</v>
      </c>
      <c r="H61" s="1166">
        <v>228</v>
      </c>
      <c r="I61" s="1166">
        <v>1901</v>
      </c>
      <c r="J61" s="1166">
        <v>390</v>
      </c>
      <c r="K61" s="1166">
        <v>396</v>
      </c>
      <c r="L61" s="1166">
        <v>666</v>
      </c>
      <c r="M61" s="1166">
        <v>358</v>
      </c>
      <c r="N61" s="590">
        <v>263</v>
      </c>
      <c r="O61" s="1166">
        <v>190</v>
      </c>
      <c r="P61" s="1166">
        <v>476</v>
      </c>
      <c r="Q61" s="1166">
        <v>540</v>
      </c>
      <c r="R61" s="1166">
        <v>869</v>
      </c>
      <c r="S61" s="1166">
        <v>330</v>
      </c>
      <c r="T61" s="1166">
        <v>289</v>
      </c>
      <c r="U61" s="589">
        <v>161</v>
      </c>
      <c r="V61" s="1166">
        <v>663</v>
      </c>
      <c r="W61" s="1166">
        <v>109</v>
      </c>
      <c r="X61" s="1238">
        <v>75</v>
      </c>
      <c r="Y61" s="1168">
        <v>9830</v>
      </c>
      <c r="Z61" s="586">
        <v>72610</v>
      </c>
    </row>
    <row r="62" spans="1:26" s="531" customFormat="1" ht="18" customHeight="1" x14ac:dyDescent="0.2">
      <c r="A62" s="1157"/>
      <c r="B62" s="1155" t="s">
        <v>933</v>
      </c>
      <c r="C62" s="589"/>
      <c r="D62" s="999"/>
      <c r="E62" s="999"/>
      <c r="F62" s="999"/>
      <c r="G62" s="999"/>
      <c r="H62" s="999"/>
      <c r="I62" s="999"/>
      <c r="J62" s="999"/>
      <c r="K62" s="999"/>
      <c r="L62" s="999"/>
      <c r="M62" s="999"/>
      <c r="N62" s="590"/>
      <c r="O62" s="999"/>
      <c r="P62" s="999"/>
      <c r="Q62" s="999"/>
      <c r="R62" s="999"/>
      <c r="S62" s="999"/>
      <c r="T62" s="999"/>
      <c r="U62" s="589"/>
      <c r="V62" s="999"/>
      <c r="W62" s="999"/>
      <c r="X62" s="999"/>
      <c r="Y62" s="1168">
        <f t="shared" ref="Y62" si="1">SUM(C62:O62,Q62:R62,U62:X62)</f>
        <v>0</v>
      </c>
      <c r="Z62" s="1146"/>
    </row>
    <row r="63" spans="1:26" s="531" customFormat="1" ht="13.5" x14ac:dyDescent="0.2">
      <c r="A63" s="594" t="s">
        <v>500</v>
      </c>
      <c r="B63" s="785" t="s">
        <v>591</v>
      </c>
      <c r="C63" s="589">
        <v>6</v>
      </c>
      <c r="D63" s="1166">
        <v>19</v>
      </c>
      <c r="E63" s="1166">
        <v>18</v>
      </c>
      <c r="F63" s="1166">
        <v>27</v>
      </c>
      <c r="G63" s="1166">
        <v>53</v>
      </c>
      <c r="H63" s="1166">
        <v>9</v>
      </c>
      <c r="I63" s="1166">
        <v>54</v>
      </c>
      <c r="J63" s="1166">
        <v>24</v>
      </c>
      <c r="K63" s="1166">
        <v>22</v>
      </c>
      <c r="L63" s="1166">
        <v>46</v>
      </c>
      <c r="M63" s="1166">
        <v>15</v>
      </c>
      <c r="N63" s="590">
        <v>18</v>
      </c>
      <c r="O63" s="1166">
        <v>17</v>
      </c>
      <c r="P63" s="1166">
        <v>25</v>
      </c>
      <c r="Q63" s="1166">
        <v>22</v>
      </c>
      <c r="R63" s="1166">
        <v>40</v>
      </c>
      <c r="S63" s="1166">
        <v>18</v>
      </c>
      <c r="T63" s="1166">
        <v>17</v>
      </c>
      <c r="U63" s="589">
        <v>6</v>
      </c>
      <c r="V63" s="1166">
        <v>42</v>
      </c>
      <c r="W63" s="1166" t="s">
        <v>73</v>
      </c>
      <c r="X63" s="1238" t="s">
        <v>73</v>
      </c>
      <c r="Y63" s="1168">
        <v>440</v>
      </c>
      <c r="Z63" s="586">
        <v>3820</v>
      </c>
    </row>
    <row r="64" spans="1:26" s="531" customFormat="1" ht="13.5" x14ac:dyDescent="0.2">
      <c r="A64" s="895"/>
      <c r="B64" s="785" t="s">
        <v>592</v>
      </c>
      <c r="C64" s="589">
        <v>8</v>
      </c>
      <c r="D64" s="1166">
        <v>50</v>
      </c>
      <c r="E64" s="1166">
        <v>65</v>
      </c>
      <c r="F64" s="1166">
        <v>62</v>
      </c>
      <c r="G64" s="1166">
        <v>198</v>
      </c>
      <c r="H64" s="1166">
        <v>34</v>
      </c>
      <c r="I64" s="1166">
        <v>133</v>
      </c>
      <c r="J64" s="1166">
        <v>51</v>
      </c>
      <c r="K64" s="1166">
        <v>56</v>
      </c>
      <c r="L64" s="1166">
        <v>71</v>
      </c>
      <c r="M64" s="1166">
        <v>45</v>
      </c>
      <c r="N64" s="590">
        <v>33</v>
      </c>
      <c r="O64" s="1166">
        <v>17</v>
      </c>
      <c r="P64" s="1166">
        <v>43</v>
      </c>
      <c r="Q64" s="1166">
        <v>87</v>
      </c>
      <c r="R64" s="1166">
        <v>71</v>
      </c>
      <c r="S64" s="1166">
        <v>50</v>
      </c>
      <c r="T64" s="1166">
        <v>32</v>
      </c>
      <c r="U64" s="589">
        <v>16</v>
      </c>
      <c r="V64" s="1166">
        <v>72</v>
      </c>
      <c r="W64" s="1166" t="s">
        <v>73</v>
      </c>
      <c r="X64" s="1238" t="s">
        <v>73</v>
      </c>
      <c r="Y64" s="1168">
        <v>1090</v>
      </c>
      <c r="Z64" s="586">
        <v>9170</v>
      </c>
    </row>
    <row r="65" spans="1:26" s="531" customFormat="1" ht="13.5" x14ac:dyDescent="0.2">
      <c r="A65" s="895"/>
      <c r="B65" s="785" t="s">
        <v>593</v>
      </c>
      <c r="C65" s="589">
        <v>19</v>
      </c>
      <c r="D65" s="1166">
        <v>72</v>
      </c>
      <c r="E65" s="1166">
        <v>83</v>
      </c>
      <c r="F65" s="1166">
        <v>119</v>
      </c>
      <c r="G65" s="1166">
        <v>289</v>
      </c>
      <c r="H65" s="1166">
        <v>46</v>
      </c>
      <c r="I65" s="1166">
        <v>255</v>
      </c>
      <c r="J65" s="1166">
        <v>87</v>
      </c>
      <c r="K65" s="1166">
        <v>73</v>
      </c>
      <c r="L65" s="1166">
        <v>120</v>
      </c>
      <c r="M65" s="1166">
        <v>58</v>
      </c>
      <c r="N65" s="590">
        <v>54</v>
      </c>
      <c r="O65" s="1166">
        <v>25</v>
      </c>
      <c r="P65" s="1166">
        <v>85</v>
      </c>
      <c r="Q65" s="1166">
        <v>159</v>
      </c>
      <c r="R65" s="1166">
        <v>135</v>
      </c>
      <c r="S65" s="1166">
        <v>69</v>
      </c>
      <c r="T65" s="1166">
        <v>60</v>
      </c>
      <c r="U65" s="589">
        <v>32</v>
      </c>
      <c r="V65" s="1166">
        <v>97</v>
      </c>
      <c r="W65" s="1166">
        <v>16</v>
      </c>
      <c r="X65" s="1238" t="s">
        <v>73</v>
      </c>
      <c r="Y65" s="1168">
        <v>1740</v>
      </c>
      <c r="Z65" s="586">
        <v>14100</v>
      </c>
    </row>
    <row r="66" spans="1:26" s="531" customFormat="1" ht="13.5" x14ac:dyDescent="0.2">
      <c r="A66" s="895"/>
      <c r="B66" s="785" t="s">
        <v>594</v>
      </c>
      <c r="C66" s="589">
        <v>50</v>
      </c>
      <c r="D66" s="1166">
        <v>183</v>
      </c>
      <c r="E66" s="1166">
        <v>187</v>
      </c>
      <c r="F66" s="1166">
        <v>223</v>
      </c>
      <c r="G66" s="1166">
        <v>606</v>
      </c>
      <c r="H66" s="1166">
        <v>81</v>
      </c>
      <c r="I66" s="1166">
        <v>749</v>
      </c>
      <c r="J66" s="1166">
        <v>157</v>
      </c>
      <c r="K66" s="1166">
        <v>153</v>
      </c>
      <c r="L66" s="1166">
        <v>271</v>
      </c>
      <c r="M66" s="1166">
        <v>154</v>
      </c>
      <c r="N66" s="590">
        <v>98</v>
      </c>
      <c r="O66" s="1166">
        <v>81</v>
      </c>
      <c r="P66" s="1166">
        <v>206</v>
      </c>
      <c r="Q66" s="1166">
        <v>196</v>
      </c>
      <c r="R66" s="1166">
        <v>331</v>
      </c>
      <c r="S66" s="1166">
        <v>124</v>
      </c>
      <c r="T66" s="1166">
        <v>125</v>
      </c>
      <c r="U66" s="589">
        <v>69</v>
      </c>
      <c r="V66" s="1166">
        <v>259</v>
      </c>
      <c r="W66" s="1166">
        <v>42</v>
      </c>
      <c r="X66" s="1238">
        <v>33</v>
      </c>
      <c r="Y66" s="1168">
        <v>3920</v>
      </c>
      <c r="Z66" s="586">
        <v>28540</v>
      </c>
    </row>
    <row r="67" spans="1:26" s="531" customFormat="1" ht="13.5" x14ac:dyDescent="0.2">
      <c r="A67" s="895"/>
      <c r="B67" s="785" t="s">
        <v>595</v>
      </c>
      <c r="C67" s="589">
        <v>33</v>
      </c>
      <c r="D67" s="1166">
        <v>130</v>
      </c>
      <c r="E67" s="1166">
        <v>101</v>
      </c>
      <c r="F67" s="1166">
        <v>127</v>
      </c>
      <c r="G67" s="1166">
        <v>294</v>
      </c>
      <c r="H67" s="1166">
        <v>56</v>
      </c>
      <c r="I67" s="1166">
        <v>707</v>
      </c>
      <c r="J67" s="1166">
        <v>71</v>
      </c>
      <c r="K67" s="1166">
        <v>91</v>
      </c>
      <c r="L67" s="1166">
        <v>159</v>
      </c>
      <c r="M67" s="1166">
        <v>86</v>
      </c>
      <c r="N67" s="590">
        <v>59</v>
      </c>
      <c r="O67" s="1166">
        <v>51</v>
      </c>
      <c r="P67" s="1166">
        <v>117</v>
      </c>
      <c r="Q67" s="1166">
        <v>76</v>
      </c>
      <c r="R67" s="1166">
        <v>294</v>
      </c>
      <c r="S67" s="1166">
        <v>66</v>
      </c>
      <c r="T67" s="1166">
        <v>50</v>
      </c>
      <c r="U67" s="589">
        <v>38</v>
      </c>
      <c r="V67" s="1166">
        <v>194</v>
      </c>
      <c r="W67" s="1166">
        <v>36</v>
      </c>
      <c r="X67" s="1238">
        <v>31</v>
      </c>
      <c r="Y67" s="1168">
        <v>2630</v>
      </c>
      <c r="Z67" s="586">
        <v>17040</v>
      </c>
    </row>
    <row r="68" spans="1:26" s="531" customFormat="1" ht="13.5" x14ac:dyDescent="0.2">
      <c r="A68" s="595" t="s">
        <v>236</v>
      </c>
      <c r="B68" s="783" t="s">
        <v>354</v>
      </c>
      <c r="C68" s="999">
        <v>83</v>
      </c>
      <c r="D68" s="999">
        <v>324</v>
      </c>
      <c r="E68" s="999">
        <v>353</v>
      </c>
      <c r="F68" s="999">
        <v>431</v>
      </c>
      <c r="G68" s="999">
        <v>1146</v>
      </c>
      <c r="H68" s="999">
        <v>170</v>
      </c>
      <c r="I68" s="999">
        <v>1191</v>
      </c>
      <c r="J68" s="999">
        <v>319</v>
      </c>
      <c r="K68" s="999">
        <v>304</v>
      </c>
      <c r="L68" s="999">
        <v>508</v>
      </c>
      <c r="M68" s="999">
        <v>272</v>
      </c>
      <c r="N68" s="999">
        <v>203</v>
      </c>
      <c r="O68" s="999">
        <v>140</v>
      </c>
      <c r="P68" s="999">
        <v>359</v>
      </c>
      <c r="Q68" s="999">
        <v>464</v>
      </c>
      <c r="R68" s="999">
        <v>577</v>
      </c>
      <c r="S68" s="999">
        <v>261</v>
      </c>
      <c r="T68" s="999">
        <v>234</v>
      </c>
      <c r="U68" s="999">
        <v>123</v>
      </c>
      <c r="V68" s="999">
        <v>470</v>
      </c>
      <c r="W68" s="999">
        <v>58</v>
      </c>
      <c r="X68" s="999">
        <v>33</v>
      </c>
      <c r="Y68" s="1249">
        <v>7190</v>
      </c>
      <c r="Z68" s="586">
        <v>55630</v>
      </c>
    </row>
    <row r="69" spans="1:26" s="531" customFormat="1" ht="13.5" x14ac:dyDescent="0.2">
      <c r="A69" s="595" t="s">
        <v>704</v>
      </c>
      <c r="B69" s="783" t="s">
        <v>355</v>
      </c>
      <c r="C69" s="589">
        <v>35</v>
      </c>
      <c r="D69" s="1166">
        <v>130</v>
      </c>
      <c r="E69" s="1166">
        <v>140</v>
      </c>
      <c r="F69" s="1166">
        <v>220</v>
      </c>
      <c r="G69" s="1166">
        <v>475</v>
      </c>
      <c r="H69" s="1166">
        <v>55</v>
      </c>
      <c r="I69" s="1166">
        <v>550</v>
      </c>
      <c r="J69" s="1166">
        <v>150</v>
      </c>
      <c r="K69" s="1166">
        <v>120</v>
      </c>
      <c r="L69" s="1166">
        <v>130</v>
      </c>
      <c r="M69" s="1166">
        <v>125</v>
      </c>
      <c r="N69" s="590">
        <v>60</v>
      </c>
      <c r="O69" s="1166">
        <v>50</v>
      </c>
      <c r="P69" s="1166">
        <v>150</v>
      </c>
      <c r="Q69" s="1166">
        <v>230</v>
      </c>
      <c r="R69" s="1166">
        <v>220</v>
      </c>
      <c r="S69" s="1166">
        <v>60</v>
      </c>
      <c r="T69" s="1166">
        <v>125</v>
      </c>
      <c r="U69" s="589">
        <v>55</v>
      </c>
      <c r="V69" s="1166">
        <v>150</v>
      </c>
      <c r="W69" s="1166">
        <v>35</v>
      </c>
      <c r="X69" s="1238">
        <v>20</v>
      </c>
      <c r="Y69" s="1168">
        <v>2950</v>
      </c>
      <c r="Z69" s="586">
        <v>24020</v>
      </c>
    </row>
    <row r="70" spans="1:26" s="531" customFormat="1" ht="13.5" x14ac:dyDescent="0.2">
      <c r="A70" s="595" t="s">
        <v>705</v>
      </c>
      <c r="B70" s="785" t="s">
        <v>356</v>
      </c>
      <c r="C70" s="588">
        <v>20</v>
      </c>
      <c r="D70" s="1166">
        <v>95</v>
      </c>
      <c r="E70" s="1166">
        <v>100</v>
      </c>
      <c r="F70" s="1166">
        <v>155</v>
      </c>
      <c r="G70" s="1166">
        <v>325</v>
      </c>
      <c r="H70" s="1166">
        <v>35</v>
      </c>
      <c r="I70" s="1166">
        <v>380</v>
      </c>
      <c r="J70" s="1166">
        <v>115</v>
      </c>
      <c r="K70" s="1166">
        <v>75</v>
      </c>
      <c r="L70" s="1166">
        <v>90</v>
      </c>
      <c r="M70" s="1166">
        <v>75</v>
      </c>
      <c r="N70" s="590">
        <v>45</v>
      </c>
      <c r="O70" s="1166">
        <v>30</v>
      </c>
      <c r="P70" s="1166">
        <v>90</v>
      </c>
      <c r="Q70" s="1166">
        <v>150</v>
      </c>
      <c r="R70" s="1166">
        <v>140</v>
      </c>
      <c r="S70" s="1166">
        <v>45</v>
      </c>
      <c r="T70" s="1166">
        <v>70</v>
      </c>
      <c r="U70" s="589">
        <v>35</v>
      </c>
      <c r="V70" s="1166">
        <v>115</v>
      </c>
      <c r="W70" s="1166">
        <v>25</v>
      </c>
      <c r="X70" s="1238">
        <v>10</v>
      </c>
      <c r="Y70" s="1168">
        <v>2015</v>
      </c>
      <c r="Z70" s="586">
        <v>16860</v>
      </c>
    </row>
    <row r="71" spans="1:26" s="531" customFormat="1" ht="13.5" x14ac:dyDescent="0.2">
      <c r="A71" s="595" t="s">
        <v>706</v>
      </c>
      <c r="B71" s="785" t="s">
        <v>584</v>
      </c>
      <c r="C71" s="589" t="s">
        <v>1252</v>
      </c>
      <c r="D71" s="1166">
        <v>38</v>
      </c>
      <c r="E71" s="1166">
        <v>24</v>
      </c>
      <c r="F71" s="1166">
        <v>24</v>
      </c>
      <c r="G71" s="1166">
        <v>80</v>
      </c>
      <c r="H71" s="1166" t="s">
        <v>1252</v>
      </c>
      <c r="I71" s="1166">
        <v>484</v>
      </c>
      <c r="J71" s="1166" t="s">
        <v>1252</v>
      </c>
      <c r="K71" s="1166">
        <v>41</v>
      </c>
      <c r="L71" s="1166">
        <v>54</v>
      </c>
      <c r="M71" s="1166">
        <v>45</v>
      </c>
      <c r="N71" s="590">
        <v>11</v>
      </c>
      <c r="O71" s="1166">
        <v>14</v>
      </c>
      <c r="P71" s="1166">
        <v>14</v>
      </c>
      <c r="Q71" s="1166">
        <v>11</v>
      </c>
      <c r="R71" s="1166">
        <v>142</v>
      </c>
      <c r="S71" s="1166">
        <v>21</v>
      </c>
      <c r="T71" s="1166" t="s">
        <v>1252</v>
      </c>
      <c r="U71" s="589">
        <v>16</v>
      </c>
      <c r="V71" s="1166">
        <v>73</v>
      </c>
      <c r="W71" s="1166">
        <v>7</v>
      </c>
      <c r="X71" s="1238">
        <v>8</v>
      </c>
      <c r="Y71" s="1168">
        <v>1080</v>
      </c>
      <c r="Z71" s="586">
        <v>4700</v>
      </c>
    </row>
    <row r="72" spans="1:26" s="531" customFormat="1" ht="13.5" x14ac:dyDescent="0.2">
      <c r="A72" s="594" t="s">
        <v>707</v>
      </c>
      <c r="B72" s="785" t="s">
        <v>550</v>
      </c>
      <c r="C72" s="589">
        <v>10</v>
      </c>
      <c r="D72" s="1166">
        <v>55</v>
      </c>
      <c r="E72" s="1166">
        <v>35</v>
      </c>
      <c r="F72" s="1166">
        <v>75</v>
      </c>
      <c r="G72" s="1166">
        <v>225</v>
      </c>
      <c r="H72" s="1166">
        <v>25</v>
      </c>
      <c r="I72" s="1166">
        <v>240</v>
      </c>
      <c r="J72" s="1166">
        <v>45</v>
      </c>
      <c r="K72" s="1166">
        <v>35</v>
      </c>
      <c r="L72" s="1166">
        <v>55</v>
      </c>
      <c r="M72" s="1166">
        <v>55</v>
      </c>
      <c r="N72" s="590">
        <v>10</v>
      </c>
      <c r="O72" s="1166">
        <v>25</v>
      </c>
      <c r="P72" s="1166">
        <v>50</v>
      </c>
      <c r="Q72" s="1166">
        <v>65</v>
      </c>
      <c r="R72" s="1166">
        <v>70</v>
      </c>
      <c r="S72" s="1166">
        <v>40</v>
      </c>
      <c r="T72" s="1166">
        <v>75</v>
      </c>
      <c r="U72" s="589">
        <v>15</v>
      </c>
      <c r="V72" s="1166">
        <v>80</v>
      </c>
      <c r="W72" s="1166">
        <v>15</v>
      </c>
      <c r="X72" s="1238">
        <v>15</v>
      </c>
      <c r="Y72" s="1168">
        <v>1150</v>
      </c>
      <c r="Z72" s="586">
        <v>7520</v>
      </c>
    </row>
    <row r="73" spans="1:26" s="531" customFormat="1" ht="13.5" x14ac:dyDescent="0.2">
      <c r="A73" s="594" t="s">
        <v>237</v>
      </c>
      <c r="B73" s="785" t="s">
        <v>577</v>
      </c>
      <c r="C73" s="1213"/>
      <c r="D73" s="1214"/>
      <c r="E73" s="1214"/>
      <c r="F73" s="1214"/>
      <c r="G73" s="1214"/>
      <c r="H73" s="1214"/>
      <c r="I73" s="1214"/>
      <c r="J73" s="1214"/>
      <c r="K73" s="1214"/>
      <c r="L73" s="1214"/>
      <c r="M73" s="1214"/>
      <c r="N73" s="1217"/>
      <c r="O73" s="1214"/>
      <c r="P73" s="1214"/>
      <c r="Q73" s="1214"/>
      <c r="R73" s="1214"/>
      <c r="S73" s="1214"/>
      <c r="T73" s="1214"/>
      <c r="U73" s="1213"/>
      <c r="V73" s="1214"/>
      <c r="W73" s="1214"/>
      <c r="X73" s="1236"/>
      <c r="Y73" s="1215"/>
      <c r="Z73" s="1216"/>
    </row>
    <row r="74" spans="1:26" s="531" customFormat="1" ht="13.5" x14ac:dyDescent="0.2">
      <c r="A74" s="594" t="s">
        <v>238</v>
      </c>
      <c r="B74" s="785" t="s">
        <v>578</v>
      </c>
      <c r="C74" s="1213"/>
      <c r="D74" s="1214"/>
      <c r="E74" s="1214"/>
      <c r="F74" s="1214"/>
      <c r="G74" s="1214"/>
      <c r="H74" s="1214"/>
      <c r="I74" s="1214"/>
      <c r="J74" s="1214"/>
      <c r="K74" s="1214"/>
      <c r="L74" s="1214"/>
      <c r="M74" s="1214"/>
      <c r="N74" s="1217"/>
      <c r="O74" s="1214"/>
      <c r="P74" s="1214"/>
      <c r="Q74" s="1214"/>
      <c r="R74" s="1214"/>
      <c r="S74" s="1214"/>
      <c r="T74" s="1214"/>
      <c r="U74" s="1213"/>
      <c r="V74" s="1214"/>
      <c r="W74" s="1214"/>
      <c r="X74" s="1236"/>
      <c r="Y74" s="1215"/>
      <c r="Z74" s="1216"/>
    </row>
    <row r="75" spans="1:26" s="531" customFormat="1" ht="13.5" x14ac:dyDescent="0.2">
      <c r="A75" s="585" t="s">
        <v>708</v>
      </c>
      <c r="B75" s="778" t="s">
        <v>551</v>
      </c>
      <c r="C75" s="589">
        <v>67</v>
      </c>
      <c r="D75" s="1166">
        <v>194</v>
      </c>
      <c r="E75" s="1166">
        <v>207</v>
      </c>
      <c r="F75" s="1166">
        <v>198</v>
      </c>
      <c r="G75" s="1166">
        <v>647</v>
      </c>
      <c r="H75" s="1166">
        <v>99</v>
      </c>
      <c r="I75" s="1166">
        <v>890</v>
      </c>
      <c r="J75" s="1166">
        <v>145</v>
      </c>
      <c r="K75" s="1166">
        <v>197</v>
      </c>
      <c r="L75" s="1166">
        <v>353</v>
      </c>
      <c r="M75" s="1166">
        <v>159</v>
      </c>
      <c r="N75" s="587">
        <v>142</v>
      </c>
      <c r="O75" s="1166">
        <v>118</v>
      </c>
      <c r="P75" s="1166">
        <v>230</v>
      </c>
      <c r="Q75" s="1166">
        <v>168</v>
      </c>
      <c r="R75" s="1166">
        <v>410</v>
      </c>
      <c r="S75" s="1166">
        <v>182</v>
      </c>
      <c r="T75" s="1166">
        <v>115</v>
      </c>
      <c r="U75" s="588">
        <v>74</v>
      </c>
      <c r="V75" s="1166">
        <v>377</v>
      </c>
      <c r="W75" s="1166">
        <v>53</v>
      </c>
      <c r="X75" s="1238">
        <v>25</v>
      </c>
      <c r="Y75" s="1168">
        <v>4520</v>
      </c>
      <c r="Z75" s="586">
        <v>32940</v>
      </c>
    </row>
    <row r="76" spans="1:26" s="531" customFormat="1" ht="13.5" x14ac:dyDescent="0.2">
      <c r="A76" s="585" t="s">
        <v>709</v>
      </c>
      <c r="B76" s="778" t="s">
        <v>552</v>
      </c>
      <c r="C76" s="1240"/>
      <c r="D76" s="1231"/>
      <c r="E76" s="1231"/>
      <c r="F76" s="1231"/>
      <c r="G76" s="1231"/>
      <c r="H76" s="1231"/>
      <c r="I76" s="1231"/>
      <c r="J76" s="1231"/>
      <c r="K76" s="1231"/>
      <c r="L76" s="1231"/>
      <c r="M76" s="1231"/>
      <c r="N76" s="1241"/>
      <c r="O76" s="1231"/>
      <c r="P76" s="1231"/>
      <c r="Q76" s="1231"/>
      <c r="R76" s="1231"/>
      <c r="S76" s="1231"/>
      <c r="T76" s="1231"/>
      <c r="U76" s="1240"/>
      <c r="V76" s="1231"/>
      <c r="W76" s="1231"/>
      <c r="X76" s="1242"/>
      <c r="Y76" s="1234"/>
      <c r="Z76" s="1232"/>
    </row>
    <row r="77" spans="1:26" s="531" customFormat="1" ht="13.5" x14ac:dyDescent="0.2">
      <c r="A77" s="585" t="s">
        <v>710</v>
      </c>
      <c r="B77" s="778" t="s">
        <v>553</v>
      </c>
      <c r="C77" s="1240"/>
      <c r="D77" s="1231"/>
      <c r="E77" s="1231"/>
      <c r="F77" s="1231"/>
      <c r="G77" s="1231"/>
      <c r="H77" s="1231"/>
      <c r="I77" s="1231"/>
      <c r="J77" s="1231"/>
      <c r="K77" s="1231"/>
      <c r="L77" s="1231"/>
      <c r="M77" s="1231"/>
      <c r="N77" s="1241"/>
      <c r="O77" s="1231"/>
      <c r="P77" s="1231"/>
      <c r="Q77" s="1231"/>
      <c r="R77" s="1231"/>
      <c r="S77" s="1231"/>
      <c r="T77" s="1231"/>
      <c r="U77" s="1240"/>
      <c r="V77" s="1231"/>
      <c r="W77" s="1231"/>
      <c r="X77" s="1242"/>
      <c r="Y77" s="1234"/>
      <c r="Z77" s="1232"/>
    </row>
    <row r="78" spans="1:26" s="531" customFormat="1" ht="13.5" x14ac:dyDescent="0.2">
      <c r="A78" s="595">
        <v>30</v>
      </c>
      <c r="B78" s="785" t="s">
        <v>608</v>
      </c>
      <c r="C78" s="591" t="s">
        <v>73</v>
      </c>
      <c r="D78" s="1166">
        <v>31</v>
      </c>
      <c r="E78" s="1166">
        <v>14</v>
      </c>
      <c r="F78" s="1166">
        <v>30</v>
      </c>
      <c r="G78" s="1166">
        <v>41</v>
      </c>
      <c r="H78" s="1166">
        <v>10</v>
      </c>
      <c r="I78" s="1166">
        <v>55</v>
      </c>
      <c r="J78" s="1166">
        <v>36</v>
      </c>
      <c r="K78" s="1166">
        <v>6</v>
      </c>
      <c r="L78" s="1166">
        <v>27</v>
      </c>
      <c r="M78" s="1166" t="s">
        <v>73</v>
      </c>
      <c r="N78" s="590" t="s">
        <v>73</v>
      </c>
      <c r="O78" s="1166">
        <v>8</v>
      </c>
      <c r="P78" s="1166">
        <v>16</v>
      </c>
      <c r="Q78" s="1166">
        <v>40</v>
      </c>
      <c r="R78" s="1166">
        <v>22</v>
      </c>
      <c r="S78" s="1166" t="s">
        <v>73</v>
      </c>
      <c r="T78" s="1166">
        <v>14</v>
      </c>
      <c r="U78" s="589" t="s">
        <v>73</v>
      </c>
      <c r="V78" s="1166">
        <v>30</v>
      </c>
      <c r="W78" s="1166" t="s">
        <v>73</v>
      </c>
      <c r="X78" s="1238" t="s">
        <v>73</v>
      </c>
      <c r="Y78" s="1168">
        <v>380</v>
      </c>
      <c r="Z78" s="586">
        <v>2520</v>
      </c>
    </row>
    <row r="79" spans="1:26" s="531" customFormat="1" ht="13.5" x14ac:dyDescent="0.2">
      <c r="A79" s="595">
        <v>31</v>
      </c>
      <c r="B79" s="785" t="s">
        <v>357</v>
      </c>
      <c r="C79" s="588">
        <v>49</v>
      </c>
      <c r="D79" s="1166">
        <v>179</v>
      </c>
      <c r="E79" s="1166">
        <v>215</v>
      </c>
      <c r="F79" s="1166">
        <v>185</v>
      </c>
      <c r="G79" s="1166">
        <v>532</v>
      </c>
      <c r="H79" s="1166">
        <v>76</v>
      </c>
      <c r="I79" s="1166">
        <v>1316</v>
      </c>
      <c r="J79" s="1166">
        <v>187</v>
      </c>
      <c r="K79" s="1166">
        <v>152</v>
      </c>
      <c r="L79" s="1166">
        <v>286</v>
      </c>
      <c r="M79" s="1166">
        <v>123</v>
      </c>
      <c r="N79" s="590">
        <v>100</v>
      </c>
      <c r="O79" s="1166">
        <v>112</v>
      </c>
      <c r="P79" s="1166">
        <v>261</v>
      </c>
      <c r="Q79" s="1166">
        <v>221</v>
      </c>
      <c r="R79" s="1166">
        <v>419</v>
      </c>
      <c r="S79" s="1166">
        <v>150</v>
      </c>
      <c r="T79" s="1166">
        <v>108</v>
      </c>
      <c r="U79" s="589">
        <v>74</v>
      </c>
      <c r="V79" s="1166">
        <v>357</v>
      </c>
      <c r="W79" s="1166">
        <v>35</v>
      </c>
      <c r="X79" s="1238">
        <v>31</v>
      </c>
      <c r="Y79" s="529">
        <v>4650</v>
      </c>
      <c r="Z79" s="586">
        <v>31400</v>
      </c>
    </row>
    <row r="80" spans="1:26" s="531" customFormat="1" ht="13.5" x14ac:dyDescent="0.2">
      <c r="A80" s="595" t="s">
        <v>711</v>
      </c>
      <c r="B80" s="785" t="s">
        <v>358</v>
      </c>
      <c r="C80" s="591" t="s">
        <v>1252</v>
      </c>
      <c r="D80" s="1166">
        <v>23</v>
      </c>
      <c r="E80" s="1166">
        <v>38</v>
      </c>
      <c r="F80" s="1166">
        <v>37</v>
      </c>
      <c r="G80" s="1166">
        <v>70</v>
      </c>
      <c r="H80" s="1166">
        <v>16</v>
      </c>
      <c r="I80" s="1166">
        <v>80</v>
      </c>
      <c r="J80" s="1166">
        <v>33</v>
      </c>
      <c r="K80" s="1166">
        <v>10</v>
      </c>
      <c r="L80" s="1166">
        <v>38</v>
      </c>
      <c r="M80" s="1166">
        <v>35</v>
      </c>
      <c r="N80" s="592">
        <v>16</v>
      </c>
      <c r="O80" s="1166">
        <v>11</v>
      </c>
      <c r="P80" s="1166">
        <v>34</v>
      </c>
      <c r="Q80" s="1166">
        <v>77</v>
      </c>
      <c r="R80" s="1166">
        <v>51</v>
      </c>
      <c r="S80" s="1166">
        <v>19</v>
      </c>
      <c r="T80" s="1166">
        <v>14</v>
      </c>
      <c r="U80" s="591">
        <v>12</v>
      </c>
      <c r="V80" s="1166">
        <v>46</v>
      </c>
      <c r="W80" s="1166">
        <v>6</v>
      </c>
      <c r="X80" s="1238" t="s">
        <v>1252</v>
      </c>
      <c r="Y80" s="1168">
        <v>610</v>
      </c>
      <c r="Z80" s="586">
        <v>4370</v>
      </c>
    </row>
    <row r="81" spans="1:26" s="531" customFormat="1" ht="13.5" x14ac:dyDescent="0.2">
      <c r="A81" s="595" t="s">
        <v>712</v>
      </c>
      <c r="B81" s="785" t="s">
        <v>359</v>
      </c>
      <c r="C81" s="1214"/>
      <c r="D81" s="1214"/>
      <c r="E81" s="1214"/>
      <c r="F81" s="1214"/>
      <c r="G81" s="1214"/>
      <c r="H81" s="1214"/>
      <c r="I81" s="1214"/>
      <c r="J81" s="1214"/>
      <c r="K81" s="1214"/>
      <c r="L81" s="1214"/>
      <c r="M81" s="1214"/>
      <c r="N81" s="1214"/>
      <c r="O81" s="1214"/>
      <c r="P81" s="1214"/>
      <c r="Q81" s="1214"/>
      <c r="R81" s="1214"/>
      <c r="S81" s="1214"/>
      <c r="T81" s="1214"/>
      <c r="U81" s="1214"/>
      <c r="V81" s="1214"/>
      <c r="W81" s="1214"/>
      <c r="X81" s="1236"/>
      <c r="Y81" s="1215"/>
      <c r="Z81" s="1216"/>
    </row>
    <row r="82" spans="1:26" s="531" customFormat="1" ht="22.5" x14ac:dyDescent="0.2">
      <c r="A82" s="595" t="s">
        <v>713</v>
      </c>
      <c r="B82" s="785" t="s">
        <v>360</v>
      </c>
      <c r="C82" s="1214"/>
      <c r="D82" s="1214"/>
      <c r="E82" s="1214"/>
      <c r="F82" s="1214"/>
      <c r="G82" s="1214"/>
      <c r="H82" s="1214"/>
      <c r="I82" s="1214"/>
      <c r="J82" s="1214"/>
      <c r="K82" s="1214"/>
      <c r="L82" s="1214"/>
      <c r="M82" s="1214"/>
      <c r="N82" s="1214"/>
      <c r="O82" s="1214"/>
      <c r="P82" s="1214"/>
      <c r="Q82" s="1214"/>
      <c r="R82" s="1214"/>
      <c r="S82" s="1214"/>
      <c r="T82" s="1214"/>
      <c r="U82" s="1214"/>
      <c r="V82" s="1214"/>
      <c r="W82" s="1214"/>
      <c r="X82" s="1236"/>
      <c r="Y82" s="1215"/>
      <c r="Z82" s="1216"/>
    </row>
    <row r="83" spans="1:26" s="531" customFormat="1" ht="13.5" x14ac:dyDescent="0.2">
      <c r="A83" s="585">
        <v>33</v>
      </c>
      <c r="B83" s="779" t="s">
        <v>545</v>
      </c>
      <c r="C83" s="1145">
        <v>19</v>
      </c>
      <c r="D83" s="1145">
        <v>62</v>
      </c>
      <c r="E83" s="1145">
        <v>55</v>
      </c>
      <c r="F83" s="1145">
        <v>53</v>
      </c>
      <c r="G83" s="1145">
        <v>145</v>
      </c>
      <c r="H83" s="1145">
        <v>20</v>
      </c>
      <c r="I83" s="1145">
        <v>541</v>
      </c>
      <c r="J83" s="1145">
        <v>39</v>
      </c>
      <c r="K83" s="1145">
        <v>42</v>
      </c>
      <c r="L83" s="1145">
        <v>78</v>
      </c>
      <c r="M83" s="1145">
        <v>29</v>
      </c>
      <c r="N83" s="1145">
        <v>24</v>
      </c>
      <c r="O83" s="1145">
        <v>24</v>
      </c>
      <c r="P83" s="1145">
        <v>60</v>
      </c>
      <c r="Q83" s="1145">
        <v>41</v>
      </c>
      <c r="R83" s="1145">
        <v>133</v>
      </c>
      <c r="S83" s="1145">
        <v>43</v>
      </c>
      <c r="T83" s="1145">
        <v>24</v>
      </c>
      <c r="U83" s="1145">
        <v>33</v>
      </c>
      <c r="V83" s="1145">
        <v>111</v>
      </c>
      <c r="W83" s="1145">
        <v>14</v>
      </c>
      <c r="X83" s="1145">
        <v>8</v>
      </c>
      <c r="Y83" s="529">
        <v>1470</v>
      </c>
      <c r="Z83" s="1000">
        <v>8730</v>
      </c>
    </row>
    <row r="84" spans="1:26" s="531" customFormat="1" ht="13.5" x14ac:dyDescent="0.2">
      <c r="A84" s="585" t="s">
        <v>714</v>
      </c>
      <c r="B84" s="779" t="s">
        <v>546</v>
      </c>
      <c r="C84" s="1145">
        <v>32</v>
      </c>
      <c r="D84" s="1145">
        <v>174</v>
      </c>
      <c r="E84" s="1145">
        <v>170</v>
      </c>
      <c r="F84" s="1145">
        <v>149</v>
      </c>
      <c r="G84" s="1145">
        <v>505</v>
      </c>
      <c r="H84" s="1145">
        <v>94</v>
      </c>
      <c r="I84" s="1145">
        <v>1081</v>
      </c>
      <c r="J84" s="1145">
        <v>117</v>
      </c>
      <c r="K84" s="1145">
        <v>137</v>
      </c>
      <c r="L84" s="1145">
        <v>230</v>
      </c>
      <c r="M84" s="1145">
        <v>113</v>
      </c>
      <c r="N84" s="1145">
        <v>78</v>
      </c>
      <c r="O84" s="1145">
        <v>83</v>
      </c>
      <c r="P84" s="1145">
        <v>220</v>
      </c>
      <c r="Q84" s="1145">
        <v>124</v>
      </c>
      <c r="R84" s="1145">
        <v>380</v>
      </c>
      <c r="S84" s="1145">
        <v>127</v>
      </c>
      <c r="T84" s="1145">
        <v>94</v>
      </c>
      <c r="U84" s="1145">
        <v>56</v>
      </c>
      <c r="V84" s="1145">
        <v>321</v>
      </c>
      <c r="W84" s="1145">
        <v>45</v>
      </c>
      <c r="X84" s="1145">
        <v>32</v>
      </c>
      <c r="Y84" s="529">
        <v>3920</v>
      </c>
      <c r="Z84" s="1000">
        <v>27010</v>
      </c>
    </row>
    <row r="85" spans="1:26" s="531" customFormat="1" ht="13.5" x14ac:dyDescent="0.2">
      <c r="A85" s="585" t="s">
        <v>715</v>
      </c>
      <c r="B85" s="779" t="s">
        <v>547</v>
      </c>
      <c r="C85" s="1145">
        <v>32</v>
      </c>
      <c r="D85" s="1145" t="s">
        <v>73</v>
      </c>
      <c r="E85" s="1145">
        <v>125</v>
      </c>
      <c r="F85" s="1145">
        <v>127</v>
      </c>
      <c r="G85" s="1145">
        <v>414</v>
      </c>
      <c r="H85" s="1145">
        <v>78</v>
      </c>
      <c r="I85" s="1145">
        <v>877</v>
      </c>
      <c r="J85" s="1145" t="s">
        <v>73</v>
      </c>
      <c r="K85" s="1145">
        <v>113</v>
      </c>
      <c r="L85" s="1145">
        <v>198</v>
      </c>
      <c r="M85" s="1145">
        <v>90</v>
      </c>
      <c r="N85" s="1145">
        <v>71</v>
      </c>
      <c r="O85" s="1145">
        <v>64</v>
      </c>
      <c r="P85" s="1145">
        <v>214</v>
      </c>
      <c r="Q85" s="1145">
        <v>108</v>
      </c>
      <c r="R85" s="1145">
        <v>329</v>
      </c>
      <c r="S85" s="1145" t="s">
        <v>73</v>
      </c>
      <c r="T85" s="1145">
        <v>83</v>
      </c>
      <c r="U85" s="1145">
        <v>36</v>
      </c>
      <c r="V85" s="1145">
        <v>309</v>
      </c>
      <c r="W85" s="1145">
        <v>39</v>
      </c>
      <c r="X85" s="1145" t="s">
        <v>73</v>
      </c>
      <c r="Y85" s="529">
        <v>3330</v>
      </c>
      <c r="Z85" s="1000">
        <v>23780</v>
      </c>
    </row>
    <row r="86" spans="1:26" s="531" customFormat="1" ht="13.5" x14ac:dyDescent="0.2">
      <c r="A86" s="585" t="s">
        <v>716</v>
      </c>
      <c r="B86" s="779" t="s">
        <v>548</v>
      </c>
      <c r="C86" s="1145">
        <v>31</v>
      </c>
      <c r="D86" s="1145">
        <v>164</v>
      </c>
      <c r="E86" s="1145">
        <v>117</v>
      </c>
      <c r="F86" s="1145">
        <v>114</v>
      </c>
      <c r="G86" s="1145">
        <v>381</v>
      </c>
      <c r="H86" s="1145">
        <v>67</v>
      </c>
      <c r="I86" s="1145">
        <v>823</v>
      </c>
      <c r="J86" s="1145">
        <v>103</v>
      </c>
      <c r="K86" s="1145">
        <v>113</v>
      </c>
      <c r="L86" s="1145">
        <v>186</v>
      </c>
      <c r="M86" s="1145">
        <v>74</v>
      </c>
      <c r="N86" s="1145">
        <v>69</v>
      </c>
      <c r="O86" s="1145">
        <v>57</v>
      </c>
      <c r="P86" s="1145">
        <v>203</v>
      </c>
      <c r="Q86" s="1145">
        <v>96</v>
      </c>
      <c r="R86" s="1145">
        <v>317</v>
      </c>
      <c r="S86" s="1145">
        <v>106</v>
      </c>
      <c r="T86" s="1145">
        <v>89</v>
      </c>
      <c r="U86" s="1145">
        <v>36</v>
      </c>
      <c r="V86" s="1145">
        <v>290</v>
      </c>
      <c r="W86" s="1145">
        <v>35</v>
      </c>
      <c r="X86" s="1145">
        <v>27</v>
      </c>
      <c r="Y86" s="529">
        <v>3100</v>
      </c>
      <c r="Z86" s="1000">
        <v>22180</v>
      </c>
    </row>
    <row r="87" spans="1:26" s="531" customFormat="1" ht="13.5" x14ac:dyDescent="0.2">
      <c r="A87" s="585" t="s">
        <v>717</v>
      </c>
      <c r="B87" s="779" t="s">
        <v>549</v>
      </c>
      <c r="C87" s="1145"/>
      <c r="D87" s="1145"/>
      <c r="E87" s="1145"/>
      <c r="F87" s="1145"/>
      <c r="G87" s="1145"/>
      <c r="H87" s="1145"/>
      <c r="I87" s="1145"/>
      <c r="J87" s="1145"/>
      <c r="K87" s="1145"/>
      <c r="L87" s="1145"/>
      <c r="M87" s="1145"/>
      <c r="N87" s="1145"/>
      <c r="O87" s="1145"/>
      <c r="P87" s="1145"/>
      <c r="Q87" s="1145"/>
      <c r="R87" s="1145"/>
      <c r="S87" s="1145"/>
      <c r="T87" s="1145"/>
      <c r="U87" s="1145"/>
      <c r="V87" s="1145"/>
      <c r="W87" s="1145"/>
      <c r="X87" s="1145"/>
      <c r="Y87" s="529"/>
      <c r="Z87" s="1000"/>
    </row>
    <row r="88" spans="1:26" s="531" customFormat="1" ht="13.5" x14ac:dyDescent="0.2">
      <c r="A88" s="594">
        <v>35</v>
      </c>
      <c r="B88" s="785" t="s">
        <v>615</v>
      </c>
      <c r="C88" s="1166" t="s">
        <v>73</v>
      </c>
      <c r="D88" s="1166" t="s">
        <v>73</v>
      </c>
      <c r="E88" s="1166">
        <v>8</v>
      </c>
      <c r="F88" s="1166" t="s">
        <v>73</v>
      </c>
      <c r="G88" s="1166">
        <v>21</v>
      </c>
      <c r="H88" s="1166" t="s">
        <v>73</v>
      </c>
      <c r="I88" s="1166">
        <v>11</v>
      </c>
      <c r="J88" s="1166">
        <v>12</v>
      </c>
      <c r="K88" s="1166" t="s">
        <v>73</v>
      </c>
      <c r="L88" s="1166">
        <v>20</v>
      </c>
      <c r="M88" s="1166" t="s">
        <v>73</v>
      </c>
      <c r="N88" s="1166">
        <v>0</v>
      </c>
      <c r="O88" s="1166">
        <v>9</v>
      </c>
      <c r="P88" s="1166">
        <v>12</v>
      </c>
      <c r="Q88" s="1166" t="s">
        <v>73</v>
      </c>
      <c r="R88" s="1166">
        <v>7</v>
      </c>
      <c r="S88" s="1166">
        <v>10</v>
      </c>
      <c r="T88" s="1166">
        <v>12</v>
      </c>
      <c r="U88" s="1166">
        <v>7</v>
      </c>
      <c r="V88" s="1166">
        <v>0</v>
      </c>
      <c r="W88" s="1166" t="s">
        <v>73</v>
      </c>
      <c r="X88" s="1238" t="s">
        <v>73</v>
      </c>
      <c r="Y88" s="1168">
        <v>130</v>
      </c>
      <c r="Z88" s="1169">
        <v>1200</v>
      </c>
    </row>
    <row r="89" spans="1:26" s="531" customFormat="1" ht="13.5" x14ac:dyDescent="0.2">
      <c r="A89" s="594">
        <v>36</v>
      </c>
      <c r="B89" s="785" t="s">
        <v>616</v>
      </c>
      <c r="C89" s="1166">
        <v>10</v>
      </c>
      <c r="D89" s="1166">
        <v>17</v>
      </c>
      <c r="E89" s="1166">
        <v>18</v>
      </c>
      <c r="F89" s="1166">
        <v>30</v>
      </c>
      <c r="G89" s="1166">
        <v>51</v>
      </c>
      <c r="H89" s="1166" t="s">
        <v>73</v>
      </c>
      <c r="I89" s="1166">
        <v>54</v>
      </c>
      <c r="J89" s="1166">
        <v>28</v>
      </c>
      <c r="K89" s="1166">
        <v>27</v>
      </c>
      <c r="L89" s="1166">
        <v>16</v>
      </c>
      <c r="M89" s="1166">
        <v>12</v>
      </c>
      <c r="N89" s="1166">
        <v>8</v>
      </c>
      <c r="O89" s="1166">
        <v>10</v>
      </c>
      <c r="P89" s="1166">
        <v>30</v>
      </c>
      <c r="Q89" s="1166">
        <v>35</v>
      </c>
      <c r="R89" s="1166">
        <v>56</v>
      </c>
      <c r="S89" s="1166">
        <v>19</v>
      </c>
      <c r="T89" s="1166">
        <v>16</v>
      </c>
      <c r="U89" s="1166" t="s">
        <v>73</v>
      </c>
      <c r="V89" s="1166">
        <v>30</v>
      </c>
      <c r="W89" s="1166" t="s">
        <v>73</v>
      </c>
      <c r="X89" s="1238" t="s">
        <v>73</v>
      </c>
      <c r="Y89" s="1168">
        <v>460</v>
      </c>
      <c r="Z89" s="1169">
        <v>3690</v>
      </c>
    </row>
    <row r="90" spans="1:26" s="531" customFormat="1" ht="13.5" x14ac:dyDescent="0.2">
      <c r="A90" s="595" t="s">
        <v>514</v>
      </c>
      <c r="B90" s="785" t="s">
        <v>361</v>
      </c>
      <c r="C90" s="1214"/>
      <c r="D90" s="1214"/>
      <c r="E90" s="1214"/>
      <c r="F90" s="1214"/>
      <c r="G90" s="1214"/>
      <c r="H90" s="1214"/>
      <c r="I90" s="1214"/>
      <c r="J90" s="1214"/>
      <c r="K90" s="1214"/>
      <c r="L90" s="1214"/>
      <c r="M90" s="1214"/>
      <c r="N90" s="1214"/>
      <c r="O90" s="1214"/>
      <c r="P90" s="1214"/>
      <c r="Q90" s="1214"/>
      <c r="R90" s="1214"/>
      <c r="S90" s="1214"/>
      <c r="T90" s="1214"/>
      <c r="U90" s="1214"/>
      <c r="V90" s="1214"/>
      <c r="W90" s="1214"/>
      <c r="X90" s="1236"/>
      <c r="Y90" s="1215"/>
      <c r="Z90" s="1245"/>
    </row>
    <row r="91" spans="1:26" s="531" customFormat="1" ht="13.5" x14ac:dyDescent="0.2">
      <c r="A91" s="595" t="s">
        <v>718</v>
      </c>
      <c r="B91" s="785" t="s">
        <v>363</v>
      </c>
      <c r="C91" s="1214"/>
      <c r="D91" s="1214"/>
      <c r="E91" s="1214"/>
      <c r="F91" s="1214"/>
      <c r="G91" s="1214"/>
      <c r="H91" s="1214"/>
      <c r="I91" s="1214"/>
      <c r="J91" s="1214"/>
      <c r="K91" s="1214"/>
      <c r="L91" s="1214"/>
      <c r="M91" s="1214"/>
      <c r="N91" s="1214"/>
      <c r="O91" s="1214"/>
      <c r="P91" s="1214"/>
      <c r="Q91" s="1214"/>
      <c r="R91" s="1214"/>
      <c r="S91" s="1214"/>
      <c r="T91" s="1214"/>
      <c r="U91" s="1214"/>
      <c r="V91" s="1214"/>
      <c r="W91" s="1214"/>
      <c r="X91" s="1236"/>
      <c r="Y91" s="1215"/>
      <c r="Z91" s="1245"/>
    </row>
    <row r="92" spans="1:26" s="531" customFormat="1" ht="13.5" x14ac:dyDescent="0.2">
      <c r="A92" s="585">
        <v>39</v>
      </c>
      <c r="B92" s="779" t="s">
        <v>540</v>
      </c>
      <c r="C92" s="1231"/>
      <c r="D92" s="1231"/>
      <c r="E92" s="1231"/>
      <c r="F92" s="1231"/>
      <c r="G92" s="1231"/>
      <c r="H92" s="1231"/>
      <c r="I92" s="1231"/>
      <c r="J92" s="1231"/>
      <c r="K92" s="1231"/>
      <c r="L92" s="1231"/>
      <c r="M92" s="1231"/>
      <c r="N92" s="1231"/>
      <c r="O92" s="1231"/>
      <c r="P92" s="1231"/>
      <c r="Q92" s="1231"/>
      <c r="R92" s="1231"/>
      <c r="S92" s="1231"/>
      <c r="T92" s="1231"/>
      <c r="U92" s="1231"/>
      <c r="V92" s="1231"/>
      <c r="W92" s="1231"/>
      <c r="X92" s="1242"/>
      <c r="Y92" s="1234"/>
      <c r="Z92" s="1235"/>
    </row>
    <row r="93" spans="1:26" s="1170" customFormat="1" ht="13.5" x14ac:dyDescent="0.2">
      <c r="A93" s="595">
        <v>40</v>
      </c>
      <c r="B93" s="779" t="s">
        <v>541</v>
      </c>
      <c r="C93" s="1231"/>
      <c r="D93" s="1231"/>
      <c r="E93" s="1231"/>
      <c r="F93" s="1231"/>
      <c r="G93" s="1231"/>
      <c r="H93" s="1231"/>
      <c r="I93" s="1231"/>
      <c r="J93" s="1231"/>
      <c r="K93" s="1231"/>
      <c r="L93" s="1231"/>
      <c r="M93" s="1231"/>
      <c r="N93" s="1231"/>
      <c r="O93" s="1231"/>
      <c r="P93" s="1231"/>
      <c r="Q93" s="1231"/>
      <c r="R93" s="1231"/>
      <c r="S93" s="1231"/>
      <c r="T93" s="1231"/>
      <c r="U93" s="1231"/>
      <c r="V93" s="1231"/>
      <c r="W93" s="1231"/>
      <c r="X93" s="1242"/>
      <c r="Y93" s="1234"/>
      <c r="Z93" s="1235"/>
    </row>
    <row r="94" spans="1:26" s="531" customFormat="1" ht="13.5" x14ac:dyDescent="0.2">
      <c r="A94" s="585">
        <v>42</v>
      </c>
      <c r="B94" s="779" t="s">
        <v>542</v>
      </c>
      <c r="C94" s="1231"/>
      <c r="D94" s="1231"/>
      <c r="E94" s="1231"/>
      <c r="F94" s="1231"/>
      <c r="G94" s="1231"/>
      <c r="H94" s="1231"/>
      <c r="I94" s="1231"/>
      <c r="J94" s="1231"/>
      <c r="K94" s="1231"/>
      <c r="L94" s="1231"/>
      <c r="M94" s="1231"/>
      <c r="N94" s="1231"/>
      <c r="O94" s="1231"/>
      <c r="P94" s="1231"/>
      <c r="Q94" s="1231"/>
      <c r="R94" s="1231"/>
      <c r="S94" s="1231"/>
      <c r="T94" s="1231"/>
      <c r="U94" s="1231"/>
      <c r="V94" s="1231"/>
      <c r="W94" s="1231"/>
      <c r="X94" s="1242"/>
      <c r="Y94" s="1234"/>
      <c r="Z94" s="1235"/>
    </row>
    <row r="95" spans="1:26" s="531" customFormat="1" ht="13.5" x14ac:dyDescent="0.2">
      <c r="A95" s="585">
        <v>44</v>
      </c>
      <c r="B95" s="779" t="s">
        <v>543</v>
      </c>
      <c r="C95" s="1231"/>
      <c r="D95" s="1231"/>
      <c r="E95" s="1231"/>
      <c r="F95" s="1231"/>
      <c r="G95" s="1231"/>
      <c r="H95" s="1231"/>
      <c r="I95" s="1231"/>
      <c r="J95" s="1231"/>
      <c r="K95" s="1231"/>
      <c r="L95" s="1231"/>
      <c r="M95" s="1231"/>
      <c r="N95" s="1231"/>
      <c r="O95" s="1231"/>
      <c r="P95" s="1231"/>
      <c r="Q95" s="1231"/>
      <c r="R95" s="1231"/>
      <c r="S95" s="1231"/>
      <c r="T95" s="1231"/>
      <c r="U95" s="1231"/>
      <c r="V95" s="1231"/>
      <c r="W95" s="1231"/>
      <c r="X95" s="1242"/>
      <c r="Y95" s="1234"/>
      <c r="Z95" s="1235"/>
    </row>
    <row r="96" spans="1:26" s="531" customFormat="1" ht="13.5" x14ac:dyDescent="0.2">
      <c r="A96" s="585">
        <v>45</v>
      </c>
      <c r="B96" s="779" t="s">
        <v>544</v>
      </c>
      <c r="C96" s="1231"/>
      <c r="D96" s="1231"/>
      <c r="E96" s="1231"/>
      <c r="F96" s="1231"/>
      <c r="G96" s="1231"/>
      <c r="H96" s="1231"/>
      <c r="I96" s="1231"/>
      <c r="J96" s="1231"/>
      <c r="K96" s="1231"/>
      <c r="L96" s="1231"/>
      <c r="M96" s="1231"/>
      <c r="N96" s="1231"/>
      <c r="O96" s="1231"/>
      <c r="P96" s="1231"/>
      <c r="Q96" s="1231"/>
      <c r="R96" s="1231"/>
      <c r="S96" s="1231"/>
      <c r="T96" s="1231"/>
      <c r="U96" s="1231"/>
      <c r="V96" s="1231"/>
      <c r="W96" s="1231"/>
      <c r="X96" s="1242"/>
      <c r="Y96" s="1234"/>
      <c r="Z96" s="1235"/>
    </row>
    <row r="97" spans="1:26" s="531" customFormat="1" ht="13.5" x14ac:dyDescent="0.2">
      <c r="A97" s="585"/>
      <c r="B97" s="779" t="s">
        <v>1119</v>
      </c>
      <c r="C97" s="1145">
        <v>35</v>
      </c>
      <c r="D97" s="1145">
        <v>104</v>
      </c>
      <c r="E97" s="1145">
        <v>102</v>
      </c>
      <c r="F97" s="1145">
        <v>99</v>
      </c>
      <c r="G97" s="1145">
        <v>227</v>
      </c>
      <c r="H97" s="1145">
        <v>43</v>
      </c>
      <c r="I97" s="1145">
        <v>305</v>
      </c>
      <c r="J97" s="1145">
        <v>59</v>
      </c>
      <c r="K97" s="1145">
        <v>82</v>
      </c>
      <c r="L97" s="1145">
        <v>159</v>
      </c>
      <c r="M97" s="1145">
        <v>48</v>
      </c>
      <c r="N97" s="1145">
        <v>78</v>
      </c>
      <c r="O97" s="1145">
        <v>52</v>
      </c>
      <c r="P97" s="1145">
        <v>146</v>
      </c>
      <c r="Q97" s="1145">
        <v>87</v>
      </c>
      <c r="R97" s="1145">
        <v>180</v>
      </c>
      <c r="S97" s="1145">
        <v>78</v>
      </c>
      <c r="T97" s="1145">
        <v>56</v>
      </c>
      <c r="U97" s="1145">
        <v>39</v>
      </c>
      <c r="V97" s="1145">
        <v>161</v>
      </c>
      <c r="W97" s="1145">
        <v>26</v>
      </c>
      <c r="X97" s="1145">
        <v>18</v>
      </c>
      <c r="Y97" s="529">
        <v>1904</v>
      </c>
      <c r="Z97" s="1000">
        <v>14599</v>
      </c>
    </row>
    <row r="98" spans="1:26" s="531" customFormat="1" ht="13.5" x14ac:dyDescent="0.2">
      <c r="A98" s="585"/>
      <c r="B98" s="779" t="s">
        <v>1120</v>
      </c>
      <c r="C98" s="1145">
        <v>53</v>
      </c>
      <c r="D98" s="1145">
        <v>165</v>
      </c>
      <c r="E98" s="1145">
        <v>176</v>
      </c>
      <c r="F98" s="1145">
        <v>158</v>
      </c>
      <c r="G98" s="1145">
        <v>399</v>
      </c>
      <c r="H98" s="1145">
        <v>57</v>
      </c>
      <c r="I98" s="1145">
        <v>522</v>
      </c>
      <c r="J98" s="1145">
        <v>93</v>
      </c>
      <c r="K98" s="1145">
        <v>159</v>
      </c>
      <c r="L98" s="1145">
        <v>258</v>
      </c>
      <c r="M98" s="1145">
        <v>82</v>
      </c>
      <c r="N98" s="1145">
        <v>122</v>
      </c>
      <c r="O98" s="1145">
        <v>69</v>
      </c>
      <c r="P98" s="1145">
        <v>244</v>
      </c>
      <c r="Q98" s="1145">
        <v>158</v>
      </c>
      <c r="R98" s="1145">
        <v>286</v>
      </c>
      <c r="S98" s="1145">
        <v>135</v>
      </c>
      <c r="T98" s="1145">
        <v>74</v>
      </c>
      <c r="U98" s="1145">
        <v>74</v>
      </c>
      <c r="V98" s="1145">
        <v>237</v>
      </c>
      <c r="W98" s="1145">
        <v>34</v>
      </c>
      <c r="X98" s="1145">
        <v>27</v>
      </c>
      <c r="Y98" s="529">
        <f t="shared" ref="Y98" si="2">SUM(C98:O98,Q98:R98,U98:X98)</f>
        <v>3129</v>
      </c>
      <c r="Z98" s="1000">
        <v>24094</v>
      </c>
    </row>
    <row r="99" spans="1:26" s="531" customFormat="1" ht="13.5" x14ac:dyDescent="0.2">
      <c r="A99" s="585" t="s">
        <v>720</v>
      </c>
      <c r="B99" s="779" t="s">
        <v>956</v>
      </c>
      <c r="C99" s="1231"/>
      <c r="D99" s="1231"/>
      <c r="E99" s="1231"/>
      <c r="F99" s="1231"/>
      <c r="G99" s="1231"/>
      <c r="H99" s="1231"/>
      <c r="I99" s="1231"/>
      <c r="J99" s="1231"/>
      <c r="K99" s="1231"/>
      <c r="L99" s="1231"/>
      <c r="M99" s="1231"/>
      <c r="N99" s="1231"/>
      <c r="O99" s="1231"/>
      <c r="P99" s="1231"/>
      <c r="Q99" s="1231"/>
      <c r="R99" s="1231"/>
      <c r="S99" s="1231"/>
      <c r="T99" s="1231"/>
      <c r="U99" s="1231"/>
      <c r="V99" s="1231"/>
      <c r="W99" s="1231"/>
      <c r="X99" s="1242"/>
      <c r="Y99" s="1234"/>
      <c r="Z99" s="1235"/>
    </row>
    <row r="100" spans="1:26" s="531" customFormat="1" ht="13.5" x14ac:dyDescent="0.2">
      <c r="A100" s="585" t="s">
        <v>721</v>
      </c>
      <c r="B100" s="779" t="s">
        <v>957</v>
      </c>
      <c r="C100" s="1231"/>
      <c r="D100" s="1231"/>
      <c r="E100" s="1231"/>
      <c r="F100" s="1231"/>
      <c r="G100" s="1231"/>
      <c r="H100" s="1231"/>
      <c r="I100" s="1231"/>
      <c r="J100" s="1231"/>
      <c r="K100" s="1231"/>
      <c r="L100" s="1231"/>
      <c r="M100" s="1231"/>
      <c r="N100" s="1231"/>
      <c r="O100" s="1231"/>
      <c r="P100" s="1231"/>
      <c r="Q100" s="1231"/>
      <c r="R100" s="1246"/>
      <c r="S100" s="1231"/>
      <c r="T100" s="1231"/>
      <c r="U100" s="1231"/>
      <c r="V100" s="1231"/>
      <c r="W100" s="1231"/>
      <c r="X100" s="1242"/>
      <c r="Y100" s="1234"/>
      <c r="Z100" s="1235"/>
    </row>
    <row r="101" spans="1:26" s="531" customFormat="1" ht="13.5" x14ac:dyDescent="0.2">
      <c r="A101" s="585" t="s">
        <v>722</v>
      </c>
      <c r="B101" s="779" t="s">
        <v>958</v>
      </c>
      <c r="C101" s="1231"/>
      <c r="D101" s="1231"/>
      <c r="E101" s="1231"/>
      <c r="F101" s="1231"/>
      <c r="G101" s="1231"/>
      <c r="H101" s="1231"/>
      <c r="I101" s="1231"/>
      <c r="J101" s="1231"/>
      <c r="K101" s="1231"/>
      <c r="L101" s="1231"/>
      <c r="M101" s="1231"/>
      <c r="N101" s="1231"/>
      <c r="O101" s="1231"/>
      <c r="P101" s="1231"/>
      <c r="Q101" s="1231"/>
      <c r="R101" s="1231"/>
      <c r="S101" s="1231"/>
      <c r="T101" s="1231"/>
      <c r="U101" s="1231"/>
      <c r="V101" s="1231"/>
      <c r="W101" s="1231"/>
      <c r="X101" s="1242"/>
      <c r="Y101" s="1234"/>
      <c r="Z101" s="1235"/>
    </row>
    <row r="102" spans="1:26" s="531" customFormat="1" ht="13.5" x14ac:dyDescent="0.2">
      <c r="A102" s="585" t="s">
        <v>723</v>
      </c>
      <c r="B102" s="779" t="s">
        <v>959</v>
      </c>
      <c r="C102" s="1231">
        <v>61</v>
      </c>
      <c r="D102" s="1231">
        <v>180</v>
      </c>
      <c r="E102" s="1231">
        <v>213</v>
      </c>
      <c r="F102" s="1231">
        <v>359</v>
      </c>
      <c r="G102" s="1231">
        <v>883</v>
      </c>
      <c r="H102" s="1231">
        <v>175</v>
      </c>
      <c r="I102" s="1231">
        <v>1321</v>
      </c>
      <c r="J102" s="1231">
        <v>250</v>
      </c>
      <c r="K102" s="1231">
        <v>195</v>
      </c>
      <c r="L102" s="1231">
        <v>351</v>
      </c>
      <c r="M102" s="1231">
        <v>269</v>
      </c>
      <c r="N102" s="1231">
        <v>121</v>
      </c>
      <c r="O102" s="1231">
        <v>123</v>
      </c>
      <c r="P102" s="1231">
        <v>403</v>
      </c>
      <c r="Q102" s="1231">
        <v>325</v>
      </c>
      <c r="R102" s="1231">
        <v>326</v>
      </c>
      <c r="S102" s="1231">
        <v>279</v>
      </c>
      <c r="T102" s="1231">
        <v>98</v>
      </c>
      <c r="U102" s="1231">
        <v>112</v>
      </c>
      <c r="V102" s="1231">
        <v>649</v>
      </c>
      <c r="W102" s="1231">
        <v>73</v>
      </c>
      <c r="X102" s="1242">
        <v>50</v>
      </c>
      <c r="Y102" s="1234">
        <v>6036</v>
      </c>
      <c r="Z102" s="1235">
        <v>45042</v>
      </c>
    </row>
    <row r="103" spans="1:26" s="531" customFormat="1" ht="13.5" x14ac:dyDescent="0.2">
      <c r="A103" s="585" t="s">
        <v>724</v>
      </c>
      <c r="B103" s="779" t="s">
        <v>960</v>
      </c>
      <c r="C103" s="1231">
        <v>19</v>
      </c>
      <c r="D103" s="1231">
        <v>88</v>
      </c>
      <c r="E103" s="1231">
        <v>76</v>
      </c>
      <c r="F103" s="1231">
        <v>159</v>
      </c>
      <c r="G103" s="1231">
        <v>372</v>
      </c>
      <c r="H103" s="1231">
        <v>112</v>
      </c>
      <c r="I103" s="1231">
        <v>485</v>
      </c>
      <c r="J103" s="1231">
        <v>102</v>
      </c>
      <c r="K103" s="1231">
        <v>67</v>
      </c>
      <c r="L103" s="1231">
        <v>120</v>
      </c>
      <c r="M103" s="1231">
        <v>128</v>
      </c>
      <c r="N103" s="1231">
        <v>53</v>
      </c>
      <c r="O103" s="1231">
        <v>55</v>
      </c>
      <c r="P103" s="1231">
        <v>145</v>
      </c>
      <c r="Q103" s="1231">
        <v>137</v>
      </c>
      <c r="R103" s="1231">
        <v>137</v>
      </c>
      <c r="S103" s="1231">
        <v>118</v>
      </c>
      <c r="T103" s="1231">
        <v>27</v>
      </c>
      <c r="U103" s="1231">
        <v>46</v>
      </c>
      <c r="V103" s="1231">
        <v>225</v>
      </c>
      <c r="W103" s="1231">
        <v>23</v>
      </c>
      <c r="X103" s="1242">
        <v>22</v>
      </c>
      <c r="Y103" s="1234">
        <v>2426</v>
      </c>
      <c r="Z103" s="1235">
        <v>19186</v>
      </c>
    </row>
    <row r="104" spans="1:26" x14ac:dyDescent="0.2">
      <c r="A104" s="893" t="s">
        <v>572</v>
      </c>
      <c r="B104" s="593" t="s">
        <v>365</v>
      </c>
      <c r="C104" s="586">
        <f>IF(SUM(C40:C43)&gt;0,SUM(C40:C43),NA())</f>
        <v>1249</v>
      </c>
      <c r="D104" s="586">
        <f t="shared" ref="D104:Z104" si="3">IF(SUM(D40:D43)&gt;0,SUM(D40:D43),NA())</f>
        <v>2124</v>
      </c>
      <c r="E104" s="586">
        <f t="shared" si="3"/>
        <v>6206</v>
      </c>
      <c r="F104" s="586">
        <f t="shared" si="3"/>
        <v>2071</v>
      </c>
      <c r="G104" s="586">
        <f t="shared" si="3"/>
        <v>17785</v>
      </c>
      <c r="H104" s="586">
        <f t="shared" si="3"/>
        <v>2131</v>
      </c>
      <c r="I104" s="586">
        <f t="shared" si="3"/>
        <v>15091</v>
      </c>
      <c r="J104" s="586">
        <f t="shared" si="3"/>
        <v>2701</v>
      </c>
      <c r="K104" s="586">
        <f t="shared" si="3"/>
        <v>2270</v>
      </c>
      <c r="L104" s="586">
        <f t="shared" si="3"/>
        <v>3480</v>
      </c>
      <c r="M104" s="586">
        <f t="shared" si="3"/>
        <v>2777</v>
      </c>
      <c r="N104" s="586">
        <f t="shared" si="3"/>
        <v>2057</v>
      </c>
      <c r="O104" s="586">
        <f t="shared" si="3"/>
        <v>2006</v>
      </c>
      <c r="P104" s="586">
        <f t="shared" si="3"/>
        <v>4410</v>
      </c>
      <c r="Q104" s="586">
        <f t="shared" si="3"/>
        <v>1805</v>
      </c>
      <c r="R104" s="586">
        <f t="shared" si="3"/>
        <v>9078</v>
      </c>
      <c r="S104" s="586">
        <f t="shared" si="3"/>
        <v>1769</v>
      </c>
      <c r="T104" s="586">
        <f t="shared" si="3"/>
        <v>797</v>
      </c>
      <c r="U104" s="586">
        <f t="shared" si="3"/>
        <v>1453</v>
      </c>
      <c r="V104" s="586">
        <f t="shared" si="3"/>
        <v>7399</v>
      </c>
      <c r="W104" s="586">
        <f t="shared" si="3"/>
        <v>384</v>
      </c>
      <c r="X104" s="586">
        <f t="shared" si="3"/>
        <v>749</v>
      </c>
      <c r="Y104" s="586">
        <f t="shared" si="3"/>
        <v>82830</v>
      </c>
      <c r="Z104" s="586">
        <f t="shared" si="3"/>
        <v>503310</v>
      </c>
    </row>
    <row r="105" spans="1:26" x14ac:dyDescent="0.2">
      <c r="A105" s="893" t="s">
        <v>572</v>
      </c>
      <c r="B105" s="593" t="s">
        <v>366</v>
      </c>
      <c r="C105" s="586">
        <f>SUM(C40:C44)</f>
        <v>1392</v>
      </c>
      <c r="D105" s="586">
        <f t="shared" ref="D105:W105" si="4">SUM(D40:D44)</f>
        <v>3020</v>
      </c>
      <c r="E105" s="586">
        <f t="shared" si="4"/>
        <v>6680</v>
      </c>
      <c r="F105" s="586">
        <f t="shared" si="4"/>
        <v>3143</v>
      </c>
      <c r="G105" s="586">
        <f t="shared" si="4"/>
        <v>19841</v>
      </c>
      <c r="H105" s="586">
        <f t="shared" si="4"/>
        <v>2691</v>
      </c>
      <c r="I105" s="586">
        <f t="shared" si="4"/>
        <v>16366</v>
      </c>
      <c r="J105" s="586">
        <f t="shared" si="4"/>
        <v>2818</v>
      </c>
      <c r="K105" s="586">
        <f t="shared" si="4"/>
        <v>2517</v>
      </c>
      <c r="L105" s="586">
        <f t="shared" si="4"/>
        <v>6720</v>
      </c>
      <c r="M105" s="586">
        <f t="shared" si="4"/>
        <v>2950</v>
      </c>
      <c r="N105" s="586">
        <f t="shared" si="4"/>
        <v>2945</v>
      </c>
      <c r="O105" s="586">
        <f t="shared" si="4"/>
        <v>2339</v>
      </c>
      <c r="P105" s="586">
        <f t="shared" si="4"/>
        <v>4944</v>
      </c>
      <c r="Q105" s="586">
        <f t="shared" si="4"/>
        <v>2655</v>
      </c>
      <c r="R105" s="586">
        <f t="shared" si="4"/>
        <v>12022</v>
      </c>
      <c r="S105" s="586">
        <f t="shared" si="4"/>
        <v>2994</v>
      </c>
      <c r="T105" s="586">
        <f t="shared" si="4"/>
        <v>977</v>
      </c>
      <c r="U105" s="586">
        <f t="shared" si="4"/>
        <v>1503</v>
      </c>
      <c r="V105" s="586">
        <f t="shared" si="4"/>
        <v>7633</v>
      </c>
      <c r="W105" s="586">
        <f t="shared" si="4"/>
        <v>668</v>
      </c>
      <c r="X105" s="586">
        <f>SUM(X40:X44)</f>
        <v>875</v>
      </c>
      <c r="Y105" s="586">
        <f t="shared" ref="Y105:Z105" si="5">SUM(Y40:Y44)</f>
        <v>98800</v>
      </c>
      <c r="Z105" s="586">
        <f t="shared" si="5"/>
        <v>606880</v>
      </c>
    </row>
    <row r="106" spans="1:26" s="531" customFormat="1" ht="13.5" x14ac:dyDescent="0.2">
      <c r="A106" s="595" t="s">
        <v>515</v>
      </c>
      <c r="B106" s="785" t="s">
        <v>362</v>
      </c>
      <c r="C106" s="1148"/>
      <c r="D106" s="1148"/>
      <c r="E106" s="1148"/>
      <c r="F106" s="1148"/>
      <c r="G106" s="1148"/>
      <c r="H106" s="1148"/>
      <c r="I106" s="1148"/>
      <c r="J106" s="1148"/>
      <c r="K106" s="1148"/>
      <c r="L106" s="1148"/>
      <c r="M106" s="1148"/>
      <c r="N106" s="1148"/>
      <c r="O106" s="1148"/>
      <c r="P106" s="1148"/>
      <c r="Q106" s="1148"/>
      <c r="R106" s="1148"/>
      <c r="S106" s="1148"/>
      <c r="T106" s="1148"/>
      <c r="U106" s="1148"/>
      <c r="V106" s="1148"/>
      <c r="W106" s="1148"/>
      <c r="X106" s="1148"/>
      <c r="Y106" s="1149"/>
      <c r="Z106" s="1150"/>
    </row>
    <row r="107" spans="1:26" s="531" customFormat="1" ht="13.5" x14ac:dyDescent="0.2">
      <c r="A107" s="595" t="s">
        <v>719</v>
      </c>
      <c r="B107" s="785" t="s">
        <v>364</v>
      </c>
      <c r="C107" s="1148"/>
      <c r="D107" s="1148"/>
      <c r="E107" s="1148"/>
      <c r="F107" s="1148"/>
      <c r="G107" s="1148"/>
      <c r="H107" s="1148"/>
      <c r="I107" s="1148"/>
      <c r="J107" s="1148"/>
      <c r="K107" s="1148"/>
      <c r="L107" s="1148"/>
      <c r="M107" s="1148"/>
      <c r="N107" s="1148"/>
      <c r="O107" s="1148"/>
      <c r="P107" s="1148"/>
      <c r="Q107" s="1148"/>
      <c r="R107" s="1148"/>
      <c r="S107" s="1148"/>
      <c r="T107" s="1148"/>
      <c r="U107" s="1148"/>
      <c r="V107" s="1148"/>
      <c r="W107" s="1148"/>
      <c r="X107" s="1148"/>
      <c r="Y107" s="1149"/>
      <c r="Z107" s="1150"/>
    </row>
    <row r="108" spans="1:26" x14ac:dyDescent="0.2">
      <c r="B108" s="532" t="s">
        <v>1249</v>
      </c>
      <c r="C108" s="444">
        <v>19</v>
      </c>
      <c r="D108" s="444">
        <v>81</v>
      </c>
      <c r="E108" s="444">
        <v>68</v>
      </c>
      <c r="F108" s="444">
        <v>53</v>
      </c>
      <c r="G108" s="444">
        <v>192</v>
      </c>
      <c r="H108" s="444">
        <v>27</v>
      </c>
      <c r="I108" s="444">
        <v>882</v>
      </c>
      <c r="J108" s="444">
        <v>58</v>
      </c>
      <c r="K108" s="444">
        <v>61</v>
      </c>
      <c r="L108" s="444">
        <v>99</v>
      </c>
      <c r="M108" s="444">
        <v>39</v>
      </c>
      <c r="N108" s="444">
        <v>24</v>
      </c>
      <c r="O108" s="444">
        <v>35</v>
      </c>
      <c r="P108" s="444">
        <v>76</v>
      </c>
      <c r="Q108" s="444">
        <v>58</v>
      </c>
      <c r="R108" s="444">
        <v>170</v>
      </c>
      <c r="S108" s="444">
        <v>43</v>
      </c>
      <c r="T108" s="444">
        <v>38</v>
      </c>
      <c r="U108" s="444">
        <v>33</v>
      </c>
      <c r="V108" s="444">
        <v>152</v>
      </c>
      <c r="W108" s="444">
        <v>14</v>
      </c>
      <c r="X108" s="444">
        <v>8</v>
      </c>
      <c r="Y108" s="786">
        <v>2120</v>
      </c>
      <c r="Z108" s="444">
        <v>12250</v>
      </c>
    </row>
  </sheetData>
  <conditionalFormatting sqref="C1:X1">
    <cfRule type="expression" dxfId="715" priority="2">
      <formula>SUM(C$2:C$96)=0</formula>
    </cfRule>
    <cfRule type="containsErrors" dxfId="714" priority="3">
      <formula>ISERROR(C1)</formula>
    </cfRule>
  </conditionalFormatting>
  <pageMargins left="0.70866141732283472" right="0.70866141732283472" top="0.35433070866141736" bottom="0.35433070866141736" header="0.31496062992125984" footer="0.31496062992125984"/>
  <pageSetup scale="48" orientation="portrait" r:id="rId1"/>
  <extLst>
    <ext xmlns:x14="http://schemas.microsoft.com/office/spreadsheetml/2009/9/main" uri="{78C0D931-6437-407d-A8EE-F0AAD7539E65}">
      <x14:conditionalFormattings>
        <x14:conditionalFormatting xmlns:xm="http://schemas.microsoft.com/office/excel/2006/main">
          <x14:cfRule type="expression" priority="1" id="{800A4E44-B0A9-445A-9189-93B1FCC7398A}">
            <xm:f>C$1=Sheet1!$AR$3</xm:f>
            <x14:dxf>
              <fill>
                <patternFill>
                  <bgColor rgb="FF66FF99"/>
                </patternFill>
              </fill>
            </x14:dxf>
          </x14:cfRule>
          <xm:sqref>C1:X1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99FFCC"/>
    <pageSetUpPr fitToPage="1"/>
  </sheetPr>
  <dimension ref="A1:Z133"/>
  <sheetViews>
    <sheetView topLeftCell="A24" workbookViewId="0">
      <selection activeCell="C16" sqref="C16:E39"/>
    </sheetView>
  </sheetViews>
  <sheetFormatPr defaultColWidth="9.140625" defaultRowHeight="12.75" x14ac:dyDescent="0.2"/>
  <cols>
    <col min="1" max="1" width="4.42578125" style="444" customWidth="1"/>
    <col min="2" max="2" width="40.42578125" style="532" customWidth="1"/>
    <col min="3" max="4" width="5" style="444" customWidth="1"/>
    <col min="5" max="5" width="5.28515625" style="444" bestFit="1" customWidth="1"/>
    <col min="6" max="17" width="5" style="444" customWidth="1"/>
    <col min="18" max="18" width="6.140625" style="444" customWidth="1"/>
    <col min="19" max="24" width="5" style="444" customWidth="1"/>
    <col min="25" max="25" width="6" style="786" customWidth="1"/>
    <col min="26" max="26" width="7" style="444" bestFit="1" customWidth="1"/>
    <col min="27" max="27" width="9.140625" style="444" customWidth="1"/>
    <col min="28" max="16384" width="9.140625" style="444"/>
  </cols>
  <sheetData>
    <row r="1" spans="1:26" s="530" customFormat="1" ht="67.5" customHeight="1" x14ac:dyDescent="0.2">
      <c r="A1" s="777" t="str">
        <f>IF(Sheet1!$C$3="Quarterly",Sheet1!$G$22&amp;" "&amp;Sheet1!$G$23,Sheet1!$G$20)</f>
        <v>2017-18</v>
      </c>
      <c r="B1" s="777"/>
      <c r="C1" s="1205" t="s">
        <v>1200</v>
      </c>
      <c r="D1" s="1205" t="s">
        <v>1201</v>
      </c>
      <c r="E1" s="1205" t="s">
        <v>1202</v>
      </c>
      <c r="F1" s="1205" t="s">
        <v>1203</v>
      </c>
      <c r="G1" s="1205" t="s">
        <v>1204</v>
      </c>
      <c r="H1" s="1205" t="s">
        <v>1205</v>
      </c>
      <c r="I1" s="1205" t="s">
        <v>1206</v>
      </c>
      <c r="J1" s="1205" t="s">
        <v>1207</v>
      </c>
      <c r="K1" s="1205" t="s">
        <v>1208</v>
      </c>
      <c r="L1" s="1205" t="s">
        <v>1209</v>
      </c>
      <c r="M1" s="1205" t="s">
        <v>1210</v>
      </c>
      <c r="N1" s="1205" t="s">
        <v>1211</v>
      </c>
      <c r="O1" s="1207" t="s">
        <v>1212</v>
      </c>
      <c r="P1" s="1205" t="s">
        <v>1213</v>
      </c>
      <c r="Q1" s="1205" t="s">
        <v>1214</v>
      </c>
      <c r="R1" s="1205" t="s">
        <v>1215</v>
      </c>
      <c r="S1" s="1207" t="s">
        <v>1216</v>
      </c>
      <c r="T1" s="1207" t="s">
        <v>1217</v>
      </c>
      <c r="U1" s="1205" t="s">
        <v>1218</v>
      </c>
      <c r="V1" s="1205" t="s">
        <v>1219</v>
      </c>
      <c r="W1" s="1205" t="s">
        <v>1220</v>
      </c>
      <c r="X1" s="1205" t="s">
        <v>1221</v>
      </c>
      <c r="Y1" s="583" t="s">
        <v>1222</v>
      </c>
      <c r="Z1" s="584" t="s">
        <v>1223</v>
      </c>
    </row>
    <row r="2" spans="1:26" s="531" customFormat="1" ht="13.5" x14ac:dyDescent="0.2">
      <c r="A2" s="585">
        <v>1</v>
      </c>
      <c r="B2" s="778" t="s">
        <v>571</v>
      </c>
      <c r="C2" s="1231"/>
      <c r="D2" s="1231"/>
      <c r="E2" s="1231"/>
      <c r="F2" s="1231"/>
      <c r="G2" s="1231"/>
      <c r="H2" s="1231"/>
      <c r="I2" s="1231"/>
      <c r="J2" s="1231"/>
      <c r="K2" s="1231"/>
      <c r="L2" s="1231"/>
      <c r="M2" s="1231"/>
      <c r="N2" s="1231"/>
      <c r="O2" s="1231"/>
      <c r="P2" s="1231"/>
      <c r="Q2" s="1231"/>
      <c r="R2" s="1231"/>
      <c r="S2" s="1231"/>
      <c r="T2" s="1231"/>
      <c r="U2" s="1231"/>
      <c r="V2" s="1231"/>
      <c r="W2" s="1232"/>
      <c r="X2" s="1233"/>
      <c r="Y2" s="1234"/>
      <c r="Z2" s="1235"/>
    </row>
    <row r="3" spans="1:26" s="531" customFormat="1" ht="13.5" x14ac:dyDescent="0.2">
      <c r="A3" s="595">
        <v>2</v>
      </c>
      <c r="B3" s="779" t="s">
        <v>367</v>
      </c>
      <c r="C3" s="1214"/>
      <c r="D3" s="1214"/>
      <c r="E3" s="1214"/>
      <c r="F3" s="1214"/>
      <c r="G3" s="1214"/>
      <c r="H3" s="1214"/>
      <c r="I3" s="1214"/>
      <c r="J3" s="1214"/>
      <c r="K3" s="1214"/>
      <c r="L3" s="1214"/>
      <c r="M3" s="1214"/>
      <c r="N3" s="1214"/>
      <c r="O3" s="1214"/>
      <c r="P3" s="1214"/>
      <c r="Q3" s="1214"/>
      <c r="R3" s="1214"/>
      <c r="S3" s="1214"/>
      <c r="T3" s="1214"/>
      <c r="U3" s="1214"/>
      <c r="V3" s="1214"/>
      <c r="W3" s="1214"/>
      <c r="X3" s="1236"/>
      <c r="Y3" s="1215"/>
      <c r="Z3" s="1216"/>
    </row>
    <row r="4" spans="1:26" s="531" customFormat="1" ht="13.5" x14ac:dyDescent="0.2">
      <c r="A4" s="595">
        <v>3</v>
      </c>
      <c r="B4" s="779" t="s">
        <v>368</v>
      </c>
      <c r="C4" s="1214"/>
      <c r="D4" s="1214"/>
      <c r="E4" s="1214"/>
      <c r="F4" s="1214"/>
      <c r="G4" s="1214"/>
      <c r="H4" s="1214"/>
      <c r="I4" s="1214"/>
      <c r="J4" s="1214"/>
      <c r="K4" s="1214"/>
      <c r="L4" s="1214"/>
      <c r="M4" s="1214"/>
      <c r="N4" s="1214"/>
      <c r="O4" s="1214"/>
      <c r="P4" s="1214"/>
      <c r="Q4" s="1214"/>
      <c r="R4" s="1214"/>
      <c r="S4" s="1214"/>
      <c r="T4" s="1214"/>
      <c r="U4" s="1214"/>
      <c r="V4" s="1214"/>
      <c r="W4" s="1214"/>
      <c r="X4" s="1236"/>
      <c r="Y4" s="1215"/>
      <c r="Z4" s="1216"/>
    </row>
    <row r="5" spans="1:26" s="531" customFormat="1" ht="13.5" x14ac:dyDescent="0.2">
      <c r="A5" s="595">
        <v>4</v>
      </c>
      <c r="B5" s="779" t="s">
        <v>369</v>
      </c>
      <c r="C5" s="1214"/>
      <c r="D5" s="1214"/>
      <c r="E5" s="1214"/>
      <c r="F5" s="1214"/>
      <c r="G5" s="1214"/>
      <c r="H5" s="1214"/>
      <c r="I5" s="1214"/>
      <c r="J5" s="1214"/>
      <c r="K5" s="1214"/>
      <c r="L5" s="1214"/>
      <c r="M5" s="1214"/>
      <c r="N5" s="1214"/>
      <c r="O5" s="1214"/>
      <c r="P5" s="1214"/>
      <c r="Q5" s="1214"/>
      <c r="R5" s="1214"/>
      <c r="S5" s="1214"/>
      <c r="T5" s="1214"/>
      <c r="U5" s="1214"/>
      <c r="V5" s="1214"/>
      <c r="W5" s="1214"/>
      <c r="X5" s="1236"/>
      <c r="Y5" s="1215"/>
      <c r="Z5" s="1216"/>
    </row>
    <row r="6" spans="1:26" s="531" customFormat="1" ht="13.5" x14ac:dyDescent="0.2">
      <c r="A6" s="595">
        <v>5</v>
      </c>
      <c r="B6" s="779" t="s">
        <v>370</v>
      </c>
      <c r="C6" s="1214"/>
      <c r="D6" s="1214"/>
      <c r="E6" s="1214"/>
      <c r="F6" s="1214"/>
      <c r="G6" s="1214"/>
      <c r="H6" s="1214"/>
      <c r="I6" s="1214"/>
      <c r="J6" s="1214"/>
      <c r="K6" s="1214"/>
      <c r="L6" s="1214"/>
      <c r="M6" s="1214"/>
      <c r="N6" s="1217"/>
      <c r="O6" s="1214"/>
      <c r="P6" s="1214"/>
      <c r="Q6" s="1214"/>
      <c r="R6" s="1214"/>
      <c r="S6" s="1214"/>
      <c r="T6" s="1214"/>
      <c r="U6" s="1213"/>
      <c r="V6" s="1214"/>
      <c r="W6" s="1214"/>
      <c r="X6" s="1236"/>
      <c r="Y6" s="1215"/>
      <c r="Z6" s="1216"/>
    </row>
    <row r="7" spans="1:26" s="531" customFormat="1" ht="13.5" x14ac:dyDescent="0.2">
      <c r="A7" s="595">
        <v>6</v>
      </c>
      <c r="B7" s="779" t="s">
        <v>371</v>
      </c>
      <c r="C7" s="1214"/>
      <c r="D7" s="1214"/>
      <c r="E7" s="1214"/>
      <c r="F7" s="1214"/>
      <c r="G7" s="1214"/>
      <c r="H7" s="1214"/>
      <c r="I7" s="1214"/>
      <c r="J7" s="1214"/>
      <c r="K7" s="1214"/>
      <c r="L7" s="1214"/>
      <c r="M7" s="1214"/>
      <c r="N7" s="1217"/>
      <c r="O7" s="1214"/>
      <c r="P7" s="1214"/>
      <c r="Q7" s="1214"/>
      <c r="R7" s="1214"/>
      <c r="S7" s="1214"/>
      <c r="T7" s="1214"/>
      <c r="U7" s="1213"/>
      <c r="V7" s="1214"/>
      <c r="W7" s="1214"/>
      <c r="X7" s="1236"/>
      <c r="Y7" s="1215"/>
      <c r="Z7" s="1216"/>
    </row>
    <row r="8" spans="1:26" s="531" customFormat="1" ht="22.5" x14ac:dyDescent="0.2">
      <c r="A8" s="595">
        <v>7</v>
      </c>
      <c r="B8" s="780" t="s">
        <v>229</v>
      </c>
      <c r="C8" s="1237"/>
      <c r="D8" s="1237"/>
      <c r="E8" s="1237"/>
      <c r="F8" s="1237"/>
      <c r="G8" s="1237"/>
      <c r="H8" s="1237"/>
      <c r="I8" s="1237"/>
      <c r="J8" s="1237"/>
      <c r="K8" s="1237"/>
      <c r="L8" s="1237"/>
      <c r="M8" s="1237"/>
      <c r="N8" s="1237"/>
      <c r="O8" s="1237"/>
      <c r="P8" s="1237"/>
      <c r="Q8" s="1237"/>
      <c r="R8" s="1237"/>
      <c r="S8" s="1237"/>
      <c r="T8" s="1237"/>
      <c r="U8" s="1237"/>
      <c r="V8" s="1237"/>
      <c r="W8" s="1237"/>
      <c r="X8" s="1237"/>
      <c r="Y8" s="1247"/>
      <c r="Z8" s="1248"/>
    </row>
    <row r="9" spans="1:26" s="531" customFormat="1" ht="13.5" x14ac:dyDescent="0.2">
      <c r="A9" s="595">
        <v>8</v>
      </c>
      <c r="B9" s="779" t="s">
        <v>372</v>
      </c>
      <c r="C9" s="1214"/>
      <c r="D9" s="1214"/>
      <c r="E9" s="1214"/>
      <c r="F9" s="1214"/>
      <c r="G9" s="1214"/>
      <c r="H9" s="1214"/>
      <c r="I9" s="1214"/>
      <c r="J9" s="1214"/>
      <c r="K9" s="1214"/>
      <c r="L9" s="1214"/>
      <c r="M9" s="1214"/>
      <c r="N9" s="1217"/>
      <c r="O9" s="1214"/>
      <c r="P9" s="1214"/>
      <c r="Q9" s="1214"/>
      <c r="R9" s="1214"/>
      <c r="S9" s="1214"/>
      <c r="T9" s="1214"/>
      <c r="U9" s="1213"/>
      <c r="V9" s="1214"/>
      <c r="W9" s="1214"/>
      <c r="X9" s="1236"/>
      <c r="Y9" s="1215"/>
      <c r="Z9" s="1216"/>
    </row>
    <row r="10" spans="1:26" s="531" customFormat="1" x14ac:dyDescent="0.2">
      <c r="A10" s="892">
        <v>9</v>
      </c>
      <c r="B10" s="781" t="s">
        <v>373</v>
      </c>
      <c r="C10" s="1214"/>
      <c r="D10" s="1214"/>
      <c r="E10" s="1214"/>
      <c r="F10" s="1214"/>
      <c r="G10" s="1214"/>
      <c r="H10" s="1214"/>
      <c r="I10" s="1214"/>
      <c r="J10" s="1214"/>
      <c r="K10" s="1214"/>
      <c r="L10" s="1214"/>
      <c r="M10" s="1214"/>
      <c r="N10" s="1217"/>
      <c r="O10" s="1214"/>
      <c r="P10" s="1214"/>
      <c r="Q10" s="1214"/>
      <c r="R10" s="1214"/>
      <c r="S10" s="1214"/>
      <c r="T10" s="1214"/>
      <c r="U10" s="1213"/>
      <c r="V10" s="1214"/>
      <c r="W10" s="1214"/>
      <c r="X10" s="1236"/>
      <c r="Y10" s="1215"/>
      <c r="Z10" s="1216"/>
    </row>
    <row r="11" spans="1:26" s="531" customFormat="1" ht="13.5" x14ac:dyDescent="0.2">
      <c r="A11" s="595">
        <v>10</v>
      </c>
      <c r="B11" s="779" t="s">
        <v>374</v>
      </c>
      <c r="C11" s="1214"/>
      <c r="D11" s="1214"/>
      <c r="E11" s="1214"/>
      <c r="F11" s="1214"/>
      <c r="G11" s="1214"/>
      <c r="H11" s="1214"/>
      <c r="I11" s="1214"/>
      <c r="J11" s="1214"/>
      <c r="K11" s="1214"/>
      <c r="L11" s="1214"/>
      <c r="M11" s="1214"/>
      <c r="N11" s="1217"/>
      <c r="O11" s="1214"/>
      <c r="P11" s="1214"/>
      <c r="Q11" s="1214"/>
      <c r="R11" s="1214"/>
      <c r="S11" s="1214"/>
      <c r="T11" s="1214"/>
      <c r="U11" s="1213"/>
      <c r="V11" s="1214"/>
      <c r="W11" s="1214"/>
      <c r="X11" s="1236"/>
      <c r="Y11" s="1215"/>
      <c r="Z11" s="1216"/>
    </row>
    <row r="12" spans="1:26" s="531" customFormat="1" ht="13.5" x14ac:dyDescent="0.2">
      <c r="A12" s="595">
        <v>11</v>
      </c>
      <c r="B12" s="779" t="s">
        <v>375</v>
      </c>
      <c r="C12" s="1166">
        <v>1819</v>
      </c>
      <c r="D12" s="1166">
        <v>3344</v>
      </c>
      <c r="E12" s="1166">
        <v>10337</v>
      </c>
      <c r="F12" s="1166">
        <v>4367</v>
      </c>
      <c r="G12" s="1166">
        <v>16115</v>
      </c>
      <c r="H12" s="1166">
        <v>2212</v>
      </c>
      <c r="I12" s="1166">
        <v>19373</v>
      </c>
      <c r="J12" s="1166">
        <v>2612</v>
      </c>
      <c r="K12" s="1166">
        <v>2359</v>
      </c>
      <c r="L12" s="1166">
        <v>6814</v>
      </c>
      <c r="M12" s="1166">
        <v>2845</v>
      </c>
      <c r="N12" s="1166">
        <v>2628</v>
      </c>
      <c r="O12" s="1166">
        <v>1591</v>
      </c>
      <c r="P12" s="1166">
        <v>5165</v>
      </c>
      <c r="Q12" s="1166">
        <v>2613</v>
      </c>
      <c r="R12" s="1166">
        <v>13626</v>
      </c>
      <c r="S12" s="1166">
        <v>3627</v>
      </c>
      <c r="T12" s="1166">
        <v>1805</v>
      </c>
      <c r="U12" s="1166">
        <v>1512</v>
      </c>
      <c r="V12" s="1166">
        <v>9995</v>
      </c>
      <c r="W12" s="1166">
        <v>1061</v>
      </c>
      <c r="X12" s="1238">
        <v>1371</v>
      </c>
      <c r="Y12" s="1168">
        <v>106590</v>
      </c>
      <c r="Z12" s="586">
        <v>655630</v>
      </c>
    </row>
    <row r="13" spans="1:26" s="531" customFormat="1" ht="13.5" x14ac:dyDescent="0.2">
      <c r="A13" s="595">
        <v>12</v>
      </c>
      <c r="B13" s="779" t="s">
        <v>376</v>
      </c>
      <c r="C13" s="1214"/>
      <c r="D13" s="1214"/>
      <c r="E13" s="1214"/>
      <c r="F13" s="1214"/>
      <c r="G13" s="1214"/>
      <c r="H13" s="1214"/>
      <c r="I13" s="1214"/>
      <c r="J13" s="1214"/>
      <c r="K13" s="1214"/>
      <c r="L13" s="1214"/>
      <c r="M13" s="1214"/>
      <c r="N13" s="1214"/>
      <c r="O13" s="1214"/>
      <c r="P13" s="1214"/>
      <c r="Q13" s="1214"/>
      <c r="R13" s="1214"/>
      <c r="S13" s="1214"/>
      <c r="T13" s="1214"/>
      <c r="U13" s="1214"/>
      <c r="V13" s="1214"/>
      <c r="W13" s="1214"/>
      <c r="X13" s="1236"/>
      <c r="Y13" s="1215"/>
      <c r="Z13" s="1216"/>
    </row>
    <row r="14" spans="1:26" s="531" customFormat="1" ht="13.5" x14ac:dyDescent="0.2">
      <c r="A14" s="595">
        <v>13</v>
      </c>
      <c r="B14" s="779" t="s">
        <v>377</v>
      </c>
      <c r="C14" s="1166">
        <v>1688</v>
      </c>
      <c r="D14" s="1166">
        <v>3039</v>
      </c>
      <c r="E14" s="1166">
        <v>7660</v>
      </c>
      <c r="F14" s="1166">
        <v>4286</v>
      </c>
      <c r="G14" s="1166">
        <v>13472</v>
      </c>
      <c r="H14" s="1166">
        <v>1783</v>
      </c>
      <c r="I14" s="1166">
        <v>19225</v>
      </c>
      <c r="J14" s="1166">
        <v>2417</v>
      </c>
      <c r="K14" s="1166">
        <v>1926</v>
      </c>
      <c r="L14" s="1166">
        <v>5413</v>
      </c>
      <c r="M14" s="1166">
        <v>2792</v>
      </c>
      <c r="N14" s="1166">
        <v>2597</v>
      </c>
      <c r="O14" s="1166">
        <v>1579</v>
      </c>
      <c r="P14" s="1166">
        <v>5047</v>
      </c>
      <c r="Q14" s="1166">
        <v>2601</v>
      </c>
      <c r="R14" s="1166">
        <v>13529</v>
      </c>
      <c r="S14" s="1166">
        <v>3351</v>
      </c>
      <c r="T14" s="1166">
        <v>1587</v>
      </c>
      <c r="U14" s="1166">
        <v>1512</v>
      </c>
      <c r="V14" s="1166">
        <v>9995</v>
      </c>
      <c r="W14" s="1166">
        <v>910</v>
      </c>
      <c r="X14" s="1238">
        <v>1322</v>
      </c>
      <c r="Y14" s="1168">
        <v>97740</v>
      </c>
      <c r="Z14" s="586">
        <v>593940</v>
      </c>
    </row>
    <row r="15" spans="1:26" s="531" customFormat="1" ht="13.5" x14ac:dyDescent="0.2">
      <c r="A15" s="595">
        <v>14</v>
      </c>
      <c r="B15" s="780" t="s">
        <v>230</v>
      </c>
      <c r="C15" s="1237"/>
      <c r="D15" s="1237"/>
      <c r="E15" s="1237"/>
      <c r="F15" s="1237"/>
      <c r="G15" s="1237"/>
      <c r="H15" s="1237"/>
      <c r="I15" s="1237"/>
      <c r="J15" s="1237"/>
      <c r="K15" s="1237"/>
      <c r="L15" s="1237"/>
      <c r="M15" s="1237"/>
      <c r="N15" s="1237"/>
      <c r="O15" s="1237"/>
      <c r="P15" s="1237"/>
      <c r="Q15" s="1237"/>
      <c r="R15" s="1237"/>
      <c r="S15" s="1237"/>
      <c r="T15" s="1237"/>
      <c r="U15" s="1237"/>
      <c r="V15" s="1237"/>
      <c r="W15" s="1237"/>
      <c r="X15" s="1237"/>
      <c r="Y15" s="1247"/>
      <c r="Z15" s="1248"/>
    </row>
    <row r="16" spans="1:26" s="531" customFormat="1" ht="13.5" x14ac:dyDescent="0.2">
      <c r="A16" s="894"/>
      <c r="B16" s="782" t="s">
        <v>378</v>
      </c>
      <c r="C16" s="588">
        <v>117</v>
      </c>
      <c r="D16" s="1166">
        <v>155</v>
      </c>
      <c r="E16" s="1166">
        <v>751</v>
      </c>
      <c r="F16" s="1166">
        <v>415</v>
      </c>
      <c r="G16" s="1166">
        <v>1837</v>
      </c>
      <c r="H16" s="1166">
        <v>215</v>
      </c>
      <c r="I16" s="1166">
        <v>2168</v>
      </c>
      <c r="J16" s="1166">
        <v>247</v>
      </c>
      <c r="K16" s="1166">
        <v>214</v>
      </c>
      <c r="L16" s="1166">
        <v>383</v>
      </c>
      <c r="M16" s="1166">
        <v>246</v>
      </c>
      <c r="N16" s="1166">
        <v>168</v>
      </c>
      <c r="O16" s="1166">
        <v>110</v>
      </c>
      <c r="P16" s="1166">
        <v>641</v>
      </c>
      <c r="Q16" s="1166">
        <v>99</v>
      </c>
      <c r="R16" s="1166">
        <v>654</v>
      </c>
      <c r="S16" s="1166">
        <v>319</v>
      </c>
      <c r="T16" s="1166">
        <v>141</v>
      </c>
      <c r="U16" s="1166">
        <v>139</v>
      </c>
      <c r="V16" s="1166">
        <v>919</v>
      </c>
      <c r="W16" s="1166">
        <v>147</v>
      </c>
      <c r="X16" s="1238">
        <v>121</v>
      </c>
      <c r="Y16" s="1168">
        <v>9110</v>
      </c>
      <c r="Z16" s="586">
        <v>52870</v>
      </c>
    </row>
    <row r="17" spans="1:26" s="531" customFormat="1" ht="13.5" x14ac:dyDescent="0.2">
      <c r="A17" s="894"/>
      <c r="B17" s="782" t="s">
        <v>379</v>
      </c>
      <c r="C17" s="1213"/>
      <c r="D17" s="1214"/>
      <c r="E17" s="1214"/>
      <c r="F17" s="1214"/>
      <c r="G17" s="1214"/>
      <c r="H17" s="1214"/>
      <c r="I17" s="1214"/>
      <c r="J17" s="1214"/>
      <c r="K17" s="1214"/>
      <c r="L17" s="1214"/>
      <c r="M17" s="1214"/>
      <c r="N17" s="1214"/>
      <c r="O17" s="1214"/>
      <c r="P17" s="1214"/>
      <c r="Q17" s="1214"/>
      <c r="R17" s="1214"/>
      <c r="S17" s="1214"/>
      <c r="T17" s="1214"/>
      <c r="U17" s="1214"/>
      <c r="V17" s="1214"/>
      <c r="W17" s="1214"/>
      <c r="X17" s="1236"/>
      <c r="Y17" s="1215"/>
      <c r="Z17" s="1216"/>
    </row>
    <row r="18" spans="1:26" s="531" customFormat="1" ht="13.5" x14ac:dyDescent="0.2">
      <c r="A18" s="894"/>
      <c r="B18" s="782" t="s">
        <v>380</v>
      </c>
      <c r="C18" s="1213"/>
      <c r="D18" s="1214"/>
      <c r="E18" s="1214"/>
      <c r="F18" s="1214"/>
      <c r="G18" s="1214"/>
      <c r="H18" s="1214"/>
      <c r="I18" s="1214"/>
      <c r="J18" s="1214"/>
      <c r="K18" s="1214"/>
      <c r="L18" s="1214"/>
      <c r="M18" s="1214"/>
      <c r="N18" s="1214"/>
      <c r="O18" s="1214"/>
      <c r="P18" s="1214"/>
      <c r="Q18" s="1214"/>
      <c r="R18" s="1214"/>
      <c r="S18" s="1214"/>
      <c r="T18" s="1214"/>
      <c r="U18" s="1214"/>
      <c r="V18" s="1214"/>
      <c r="W18" s="1214"/>
      <c r="X18" s="1236"/>
      <c r="Y18" s="1215"/>
      <c r="Z18" s="1216"/>
    </row>
    <row r="19" spans="1:26" s="531" customFormat="1" ht="13.5" x14ac:dyDescent="0.2">
      <c r="A19" s="894"/>
      <c r="B19" s="782" t="s">
        <v>381</v>
      </c>
      <c r="C19" s="1213"/>
      <c r="D19" s="1214"/>
      <c r="E19" s="1214"/>
      <c r="F19" s="1214"/>
      <c r="G19" s="1214"/>
      <c r="H19" s="1214"/>
      <c r="I19" s="1214"/>
      <c r="J19" s="1214"/>
      <c r="K19" s="1214"/>
      <c r="L19" s="1214"/>
      <c r="M19" s="1214"/>
      <c r="N19" s="1214"/>
      <c r="O19" s="1214"/>
      <c r="P19" s="1214"/>
      <c r="Q19" s="1214"/>
      <c r="R19" s="1214"/>
      <c r="S19" s="1214"/>
      <c r="T19" s="1214"/>
      <c r="U19" s="1214"/>
      <c r="V19" s="1214"/>
      <c r="W19" s="1214"/>
      <c r="X19" s="1236"/>
      <c r="Y19" s="1215"/>
      <c r="Z19" s="1216"/>
    </row>
    <row r="20" spans="1:26" s="531" customFormat="1" ht="13.5" x14ac:dyDescent="0.2">
      <c r="A20" s="894"/>
      <c r="B20" s="782" t="s">
        <v>382</v>
      </c>
      <c r="C20" s="588">
        <v>497</v>
      </c>
      <c r="D20" s="1166">
        <v>560</v>
      </c>
      <c r="E20" s="1166">
        <v>2000</v>
      </c>
      <c r="F20" s="1166">
        <v>824</v>
      </c>
      <c r="G20" s="1166">
        <v>3772</v>
      </c>
      <c r="H20" s="1166">
        <v>667</v>
      </c>
      <c r="I20" s="1166">
        <v>3172</v>
      </c>
      <c r="J20" s="1166">
        <v>519</v>
      </c>
      <c r="K20" s="1166">
        <v>441</v>
      </c>
      <c r="L20" s="1166">
        <v>861</v>
      </c>
      <c r="M20" s="1166">
        <v>517</v>
      </c>
      <c r="N20" s="587">
        <v>444</v>
      </c>
      <c r="O20" s="1166">
        <v>266</v>
      </c>
      <c r="P20" s="1166">
        <v>669</v>
      </c>
      <c r="Q20" s="1166">
        <v>552</v>
      </c>
      <c r="R20" s="1166">
        <v>2652</v>
      </c>
      <c r="S20" s="1166">
        <v>724</v>
      </c>
      <c r="T20" s="1166">
        <v>382</v>
      </c>
      <c r="U20" s="588">
        <v>296</v>
      </c>
      <c r="V20" s="1166">
        <v>1877</v>
      </c>
      <c r="W20" s="1166">
        <v>97</v>
      </c>
      <c r="X20" s="1238">
        <v>208</v>
      </c>
      <c r="Y20" s="1168">
        <v>20220</v>
      </c>
      <c r="Z20" s="586">
        <v>119030</v>
      </c>
    </row>
    <row r="21" spans="1:26" s="531" customFormat="1" ht="13.5" x14ac:dyDescent="0.2">
      <c r="A21" s="894"/>
      <c r="B21" s="782" t="s">
        <v>383</v>
      </c>
      <c r="C21" s="588">
        <v>39</v>
      </c>
      <c r="D21" s="1166">
        <v>62</v>
      </c>
      <c r="E21" s="1166">
        <v>51</v>
      </c>
      <c r="F21" s="1166">
        <v>67</v>
      </c>
      <c r="G21" s="1166">
        <v>0</v>
      </c>
      <c r="H21" s="1166">
        <v>0</v>
      </c>
      <c r="I21" s="1166">
        <v>133</v>
      </c>
      <c r="J21" s="1166">
        <v>35</v>
      </c>
      <c r="K21" s="1166">
        <v>27</v>
      </c>
      <c r="L21" s="1166">
        <v>35</v>
      </c>
      <c r="M21" s="1166">
        <v>15</v>
      </c>
      <c r="N21" s="587">
        <v>38</v>
      </c>
      <c r="O21" s="1166">
        <v>12</v>
      </c>
      <c r="P21" s="1166">
        <v>67</v>
      </c>
      <c r="Q21" s="1166">
        <v>7</v>
      </c>
      <c r="R21" s="1166">
        <v>106</v>
      </c>
      <c r="S21" s="1166">
        <v>6</v>
      </c>
      <c r="T21" s="1166">
        <v>0</v>
      </c>
      <c r="U21" s="588">
        <v>33</v>
      </c>
      <c r="V21" s="1166">
        <v>0</v>
      </c>
      <c r="W21" s="1166">
        <v>0</v>
      </c>
      <c r="X21" s="1238" t="s">
        <v>73</v>
      </c>
      <c r="Y21" s="1168">
        <v>670</v>
      </c>
      <c r="Z21" s="586">
        <v>13150</v>
      </c>
    </row>
    <row r="22" spans="1:26" s="531" customFormat="1" ht="13.5" x14ac:dyDescent="0.2">
      <c r="A22" s="894"/>
      <c r="B22" s="782" t="s">
        <v>384</v>
      </c>
      <c r="C22" s="588">
        <v>136</v>
      </c>
      <c r="D22" s="1166">
        <v>370</v>
      </c>
      <c r="E22" s="1166">
        <v>1708</v>
      </c>
      <c r="F22" s="1166">
        <v>445</v>
      </c>
      <c r="G22" s="1166">
        <v>2167</v>
      </c>
      <c r="H22" s="1166">
        <v>283</v>
      </c>
      <c r="I22" s="1166">
        <v>2375</v>
      </c>
      <c r="J22" s="1166">
        <v>316</v>
      </c>
      <c r="K22" s="1166">
        <v>298</v>
      </c>
      <c r="L22" s="1166">
        <v>621</v>
      </c>
      <c r="M22" s="1166">
        <v>437</v>
      </c>
      <c r="N22" s="587">
        <v>397</v>
      </c>
      <c r="O22" s="1166">
        <v>200</v>
      </c>
      <c r="P22" s="1166">
        <v>806</v>
      </c>
      <c r="Q22" s="1166">
        <v>342</v>
      </c>
      <c r="R22" s="1166">
        <v>1778</v>
      </c>
      <c r="S22" s="1166">
        <v>460</v>
      </c>
      <c r="T22" s="1166">
        <v>261</v>
      </c>
      <c r="U22" s="588">
        <v>187</v>
      </c>
      <c r="V22" s="1166">
        <v>1083</v>
      </c>
      <c r="W22" s="1166">
        <v>133</v>
      </c>
      <c r="X22" s="1238">
        <v>175</v>
      </c>
      <c r="Y22" s="1168">
        <v>13450</v>
      </c>
      <c r="Z22" s="586">
        <v>96780</v>
      </c>
    </row>
    <row r="23" spans="1:26" s="531" customFormat="1" ht="13.5" x14ac:dyDescent="0.2">
      <c r="A23" s="894"/>
      <c r="B23" s="782" t="s">
        <v>385</v>
      </c>
      <c r="C23" s="1213"/>
      <c r="D23" s="1214"/>
      <c r="E23" s="1214"/>
      <c r="F23" s="1214"/>
      <c r="G23" s="1214"/>
      <c r="H23" s="1214"/>
      <c r="I23" s="1214"/>
      <c r="J23" s="1214"/>
      <c r="K23" s="1214"/>
      <c r="L23" s="1214"/>
      <c r="M23" s="1214"/>
      <c r="N23" s="1217"/>
      <c r="O23" s="1214"/>
      <c r="P23" s="1214"/>
      <c r="Q23" s="1214"/>
      <c r="R23" s="1214"/>
      <c r="S23" s="1214"/>
      <c r="T23" s="1214"/>
      <c r="U23" s="1213"/>
      <c r="V23" s="1214"/>
      <c r="W23" s="1214"/>
      <c r="X23" s="1236"/>
      <c r="Y23" s="1215"/>
      <c r="Z23" s="1216"/>
    </row>
    <row r="24" spans="1:26" s="531" customFormat="1" ht="13.5" x14ac:dyDescent="0.2">
      <c r="A24" s="894"/>
      <c r="B24" s="782" t="s">
        <v>386</v>
      </c>
      <c r="C24" s="1213"/>
      <c r="D24" s="1214"/>
      <c r="E24" s="1214"/>
      <c r="F24" s="1214"/>
      <c r="G24" s="1214"/>
      <c r="H24" s="1214"/>
      <c r="I24" s="1214"/>
      <c r="J24" s="1214"/>
      <c r="K24" s="1214"/>
      <c r="L24" s="1214"/>
      <c r="M24" s="1214"/>
      <c r="N24" s="1217"/>
      <c r="O24" s="1214"/>
      <c r="P24" s="1214"/>
      <c r="Q24" s="1214"/>
      <c r="R24" s="1214"/>
      <c r="S24" s="1214"/>
      <c r="T24" s="1214"/>
      <c r="U24" s="1213"/>
      <c r="V24" s="1214"/>
      <c r="W24" s="1214"/>
      <c r="X24" s="1236"/>
      <c r="Y24" s="1215"/>
      <c r="Z24" s="1216"/>
    </row>
    <row r="25" spans="1:26" s="531" customFormat="1" ht="13.5" x14ac:dyDescent="0.2">
      <c r="A25" s="894"/>
      <c r="B25" s="782" t="s">
        <v>387</v>
      </c>
      <c r="C25" s="1213"/>
      <c r="D25" s="1214"/>
      <c r="E25" s="1214"/>
      <c r="F25" s="1214"/>
      <c r="G25" s="1214"/>
      <c r="H25" s="1214"/>
      <c r="I25" s="1214"/>
      <c r="J25" s="1214"/>
      <c r="K25" s="1214"/>
      <c r="L25" s="1214"/>
      <c r="M25" s="1214"/>
      <c r="N25" s="1217"/>
      <c r="O25" s="1214"/>
      <c r="P25" s="1214"/>
      <c r="Q25" s="1214"/>
      <c r="R25" s="1214"/>
      <c r="S25" s="1214"/>
      <c r="T25" s="1214"/>
      <c r="U25" s="1213"/>
      <c r="V25" s="1214"/>
      <c r="W25" s="1214"/>
      <c r="X25" s="1236"/>
      <c r="Y25" s="1215"/>
      <c r="Z25" s="1216"/>
    </row>
    <row r="26" spans="1:26" s="531" customFormat="1" ht="13.5" x14ac:dyDescent="0.2">
      <c r="A26" s="894"/>
      <c r="B26" s="782" t="s">
        <v>388</v>
      </c>
      <c r="C26" s="1213"/>
      <c r="D26" s="1214"/>
      <c r="E26" s="1214"/>
      <c r="F26" s="1214"/>
      <c r="G26" s="1214"/>
      <c r="H26" s="1214"/>
      <c r="I26" s="1214"/>
      <c r="J26" s="1214"/>
      <c r="K26" s="1214"/>
      <c r="L26" s="1214"/>
      <c r="M26" s="1214"/>
      <c r="N26" s="1217"/>
      <c r="O26" s="1214"/>
      <c r="P26" s="1214"/>
      <c r="Q26" s="1214"/>
      <c r="R26" s="1214"/>
      <c r="S26" s="1214"/>
      <c r="T26" s="1214"/>
      <c r="U26" s="1236"/>
      <c r="V26" s="1214"/>
      <c r="W26" s="1214"/>
      <c r="X26" s="1236"/>
      <c r="Y26" s="1215"/>
      <c r="Z26" s="1216"/>
    </row>
    <row r="27" spans="1:26" s="531" customFormat="1" ht="13.5" x14ac:dyDescent="0.2">
      <c r="A27" s="894"/>
      <c r="B27" s="782" t="s">
        <v>389</v>
      </c>
      <c r="C27" s="1213"/>
      <c r="D27" s="1214"/>
      <c r="E27" s="1214"/>
      <c r="F27" s="1214"/>
      <c r="G27" s="1214"/>
      <c r="H27" s="1214"/>
      <c r="I27" s="1214"/>
      <c r="J27" s="1214"/>
      <c r="K27" s="1214"/>
      <c r="L27" s="1214"/>
      <c r="M27" s="1214"/>
      <c r="N27" s="1217"/>
      <c r="O27" s="1214"/>
      <c r="P27" s="1214"/>
      <c r="Q27" s="1214"/>
      <c r="R27" s="1214"/>
      <c r="S27" s="1214"/>
      <c r="T27" s="1214"/>
      <c r="U27" s="1213"/>
      <c r="V27" s="1214"/>
      <c r="W27" s="1214"/>
      <c r="X27" s="1236"/>
      <c r="Y27" s="1215"/>
      <c r="Z27" s="1216"/>
    </row>
    <row r="28" spans="1:26" s="531" customFormat="1" ht="13.5" x14ac:dyDescent="0.2">
      <c r="A28" s="894"/>
      <c r="B28" s="782" t="s">
        <v>390</v>
      </c>
      <c r="C28" s="588">
        <v>24</v>
      </c>
      <c r="D28" s="1166">
        <v>55</v>
      </c>
      <c r="E28" s="1166">
        <v>88</v>
      </c>
      <c r="F28" s="1166">
        <v>40</v>
      </c>
      <c r="G28" s="1166">
        <v>170</v>
      </c>
      <c r="H28" s="1166">
        <v>33</v>
      </c>
      <c r="I28" s="1166">
        <v>406</v>
      </c>
      <c r="J28" s="1166">
        <v>64</v>
      </c>
      <c r="K28" s="1166" t="s">
        <v>73</v>
      </c>
      <c r="L28" s="1166">
        <v>35</v>
      </c>
      <c r="M28" s="1166">
        <v>85</v>
      </c>
      <c r="N28" s="587">
        <v>66</v>
      </c>
      <c r="O28" s="1166" t="s">
        <v>73</v>
      </c>
      <c r="P28" s="1166">
        <v>28</v>
      </c>
      <c r="Q28" s="1166">
        <v>37</v>
      </c>
      <c r="R28" s="1166">
        <v>126</v>
      </c>
      <c r="S28" s="1166">
        <v>46</v>
      </c>
      <c r="T28" s="1166">
        <v>9</v>
      </c>
      <c r="U28" s="588">
        <v>28</v>
      </c>
      <c r="V28" s="1166">
        <v>182</v>
      </c>
      <c r="W28" s="1166">
        <v>7</v>
      </c>
      <c r="X28" s="1238">
        <v>10</v>
      </c>
      <c r="Y28" s="1168">
        <v>1480</v>
      </c>
      <c r="Z28" s="586">
        <v>9440</v>
      </c>
    </row>
    <row r="29" spans="1:26" s="531" customFormat="1" ht="13.5" x14ac:dyDescent="0.2">
      <c r="A29" s="894"/>
      <c r="B29" s="782" t="s">
        <v>391</v>
      </c>
      <c r="C29" s="588">
        <v>372</v>
      </c>
      <c r="D29" s="1166">
        <v>531</v>
      </c>
      <c r="E29" s="1166">
        <v>995</v>
      </c>
      <c r="F29" s="1166">
        <v>771</v>
      </c>
      <c r="G29" s="1166">
        <v>1608</v>
      </c>
      <c r="H29" s="1166">
        <v>265</v>
      </c>
      <c r="I29" s="1166">
        <v>2198</v>
      </c>
      <c r="J29" s="1166">
        <v>349</v>
      </c>
      <c r="K29" s="1166">
        <v>406</v>
      </c>
      <c r="L29" s="1166">
        <v>492</v>
      </c>
      <c r="M29" s="1166">
        <v>353</v>
      </c>
      <c r="N29" s="587">
        <v>279</v>
      </c>
      <c r="O29" s="1166">
        <v>368</v>
      </c>
      <c r="P29" s="1166">
        <v>565</v>
      </c>
      <c r="Q29" s="1166">
        <v>482</v>
      </c>
      <c r="R29" s="1166">
        <v>1746</v>
      </c>
      <c r="S29" s="1166">
        <v>250</v>
      </c>
      <c r="T29" s="1166">
        <v>278</v>
      </c>
      <c r="U29" s="588">
        <v>254</v>
      </c>
      <c r="V29" s="1166">
        <v>1819</v>
      </c>
      <c r="W29" s="1166">
        <v>105</v>
      </c>
      <c r="X29" s="1238">
        <v>141</v>
      </c>
      <c r="Y29" s="1168">
        <v>13530</v>
      </c>
      <c r="Z29" s="586">
        <v>89360</v>
      </c>
    </row>
    <row r="30" spans="1:26" s="531" customFormat="1" ht="13.5" x14ac:dyDescent="0.2">
      <c r="A30" s="894"/>
      <c r="B30" s="782" t="s">
        <v>392</v>
      </c>
      <c r="C30" s="1213"/>
      <c r="D30" s="1214"/>
      <c r="E30" s="1214"/>
      <c r="F30" s="1214"/>
      <c r="G30" s="1214"/>
      <c r="H30" s="1214"/>
      <c r="I30" s="1214"/>
      <c r="J30" s="1214"/>
      <c r="K30" s="1214"/>
      <c r="L30" s="1214"/>
      <c r="M30" s="1214"/>
      <c r="N30" s="1217"/>
      <c r="O30" s="1214"/>
      <c r="P30" s="1214"/>
      <c r="Q30" s="1214"/>
      <c r="R30" s="1214"/>
      <c r="S30" s="1214"/>
      <c r="T30" s="1214"/>
      <c r="U30" s="1213"/>
      <c r="V30" s="1214"/>
      <c r="W30" s="1214"/>
      <c r="X30" s="1236"/>
      <c r="Y30" s="1215"/>
      <c r="Z30" s="1216"/>
    </row>
    <row r="31" spans="1:26" s="531" customFormat="1" ht="13.5" x14ac:dyDescent="0.2">
      <c r="A31" s="894"/>
      <c r="B31" s="782" t="s">
        <v>393</v>
      </c>
      <c r="C31" s="1213"/>
      <c r="D31" s="1214"/>
      <c r="E31" s="1214"/>
      <c r="F31" s="1214"/>
      <c r="G31" s="1214"/>
      <c r="H31" s="1214"/>
      <c r="I31" s="1214"/>
      <c r="J31" s="1214"/>
      <c r="K31" s="1214"/>
      <c r="L31" s="1214"/>
      <c r="M31" s="1214"/>
      <c r="N31" s="1217"/>
      <c r="O31" s="1214"/>
      <c r="P31" s="1214"/>
      <c r="Q31" s="1214"/>
      <c r="R31" s="1214"/>
      <c r="S31" s="1214"/>
      <c r="T31" s="1214"/>
      <c r="U31" s="1213"/>
      <c r="V31" s="1214"/>
      <c r="W31" s="1214"/>
      <c r="X31" s="1236"/>
      <c r="Y31" s="1215"/>
      <c r="Z31" s="1216"/>
    </row>
    <row r="32" spans="1:26" s="531" customFormat="1" ht="13.5" x14ac:dyDescent="0.2">
      <c r="A32" s="894"/>
      <c r="B32" s="782" t="s">
        <v>394</v>
      </c>
      <c r="C32" s="588">
        <v>412</v>
      </c>
      <c r="D32" s="1166">
        <v>863</v>
      </c>
      <c r="E32" s="1166">
        <v>3532</v>
      </c>
      <c r="F32" s="1166">
        <v>1191</v>
      </c>
      <c r="G32" s="1166">
        <v>4198</v>
      </c>
      <c r="H32" s="1166">
        <v>478</v>
      </c>
      <c r="I32" s="1166">
        <v>6675</v>
      </c>
      <c r="J32" s="1166">
        <v>817</v>
      </c>
      <c r="K32" s="1166">
        <v>666</v>
      </c>
      <c r="L32" s="1166">
        <v>1998</v>
      </c>
      <c r="M32" s="1166">
        <v>887</v>
      </c>
      <c r="N32" s="587">
        <v>1014</v>
      </c>
      <c r="O32" s="1166">
        <v>515</v>
      </c>
      <c r="P32" s="1166">
        <v>1651</v>
      </c>
      <c r="Q32" s="1166">
        <v>800</v>
      </c>
      <c r="R32" s="1166">
        <v>5199</v>
      </c>
      <c r="S32" s="1166">
        <v>1281</v>
      </c>
      <c r="T32" s="1166">
        <v>435</v>
      </c>
      <c r="U32" s="588">
        <v>478</v>
      </c>
      <c r="V32" s="1166">
        <v>2913</v>
      </c>
      <c r="W32" s="1166">
        <v>372</v>
      </c>
      <c r="X32" s="1238">
        <v>581</v>
      </c>
      <c r="Y32" s="1168">
        <v>33590</v>
      </c>
      <c r="Z32" s="586">
        <v>186920</v>
      </c>
    </row>
    <row r="33" spans="1:26" s="531" customFormat="1" ht="13.5" x14ac:dyDescent="0.2">
      <c r="A33" s="894"/>
      <c r="B33" s="782" t="s">
        <v>395</v>
      </c>
      <c r="C33" s="588">
        <v>26</v>
      </c>
      <c r="D33" s="1166">
        <v>83</v>
      </c>
      <c r="E33" s="1166">
        <v>245</v>
      </c>
      <c r="F33" s="1166">
        <v>173</v>
      </c>
      <c r="G33" s="1166">
        <v>381</v>
      </c>
      <c r="H33" s="1166">
        <v>39</v>
      </c>
      <c r="I33" s="1166">
        <v>719</v>
      </c>
      <c r="J33" s="1166">
        <v>76</v>
      </c>
      <c r="K33" s="1166">
        <v>141</v>
      </c>
      <c r="L33" s="1166">
        <v>80</v>
      </c>
      <c r="M33" s="1166">
        <v>126</v>
      </c>
      <c r="N33" s="587">
        <v>70</v>
      </c>
      <c r="O33" s="1166">
        <v>45</v>
      </c>
      <c r="P33" s="1166">
        <v>176</v>
      </c>
      <c r="Q33" s="1166">
        <v>67</v>
      </c>
      <c r="R33" s="1166">
        <v>367</v>
      </c>
      <c r="S33" s="1166">
        <v>84</v>
      </c>
      <c r="T33" s="1166">
        <v>23</v>
      </c>
      <c r="U33" s="588" t="s">
        <v>73</v>
      </c>
      <c r="V33" s="1166">
        <v>363</v>
      </c>
      <c r="W33" s="1166">
        <v>14</v>
      </c>
      <c r="X33" s="1238">
        <v>41</v>
      </c>
      <c r="Y33" s="1168">
        <v>3070</v>
      </c>
      <c r="Z33" s="586">
        <v>22890</v>
      </c>
    </row>
    <row r="34" spans="1:26" s="531" customFormat="1" ht="13.5" x14ac:dyDescent="0.2">
      <c r="A34" s="894"/>
      <c r="B34" s="782" t="s">
        <v>396</v>
      </c>
      <c r="C34" s="588">
        <v>135</v>
      </c>
      <c r="D34" s="1166">
        <v>153</v>
      </c>
      <c r="E34" s="1166">
        <v>456</v>
      </c>
      <c r="F34" s="1166">
        <v>343</v>
      </c>
      <c r="G34" s="1166">
        <v>1159</v>
      </c>
      <c r="H34" s="1166">
        <v>169</v>
      </c>
      <c r="I34" s="1166">
        <v>1050</v>
      </c>
      <c r="J34" s="1166">
        <v>81</v>
      </c>
      <c r="K34" s="1166">
        <v>95</v>
      </c>
      <c r="L34" s="1166">
        <v>1754</v>
      </c>
      <c r="M34" s="1166">
        <v>130</v>
      </c>
      <c r="N34" s="587">
        <v>122</v>
      </c>
      <c r="O34" s="1166">
        <v>29</v>
      </c>
      <c r="P34" s="1166">
        <v>343</v>
      </c>
      <c r="Q34" s="1166">
        <v>159</v>
      </c>
      <c r="R34" s="1166">
        <v>803</v>
      </c>
      <c r="S34" s="1166">
        <v>210</v>
      </c>
      <c r="T34" s="1166">
        <v>156</v>
      </c>
      <c r="U34" s="588">
        <v>53</v>
      </c>
      <c r="V34" s="1166">
        <v>690</v>
      </c>
      <c r="W34" s="1166">
        <v>30</v>
      </c>
      <c r="X34" s="1238">
        <v>62</v>
      </c>
      <c r="Y34" s="1168">
        <v>7470</v>
      </c>
      <c r="Z34" s="586">
        <v>38440</v>
      </c>
    </row>
    <row r="35" spans="1:26" s="531" customFormat="1" ht="13.5" x14ac:dyDescent="0.2">
      <c r="A35" s="894"/>
      <c r="B35" s="782" t="s">
        <v>397</v>
      </c>
      <c r="C35" s="588">
        <v>55</v>
      </c>
      <c r="D35" s="1166">
        <v>42</v>
      </c>
      <c r="E35" s="1166">
        <v>305</v>
      </c>
      <c r="F35" s="1166">
        <v>76</v>
      </c>
      <c r="G35" s="1166">
        <v>370</v>
      </c>
      <c r="H35" s="1166">
        <v>0</v>
      </c>
      <c r="I35" s="1166">
        <v>413</v>
      </c>
      <c r="J35" s="1166">
        <v>83</v>
      </c>
      <c r="K35" s="1166">
        <v>48</v>
      </c>
      <c r="L35" s="1166">
        <v>128</v>
      </c>
      <c r="M35" s="1166">
        <v>49</v>
      </c>
      <c r="N35" s="587" t="s">
        <v>73</v>
      </c>
      <c r="O35" s="1166">
        <v>43</v>
      </c>
      <c r="P35" s="1166">
        <v>207</v>
      </c>
      <c r="Q35" s="1166">
        <v>68</v>
      </c>
      <c r="R35" s="1166">
        <v>195</v>
      </c>
      <c r="S35" s="1166">
        <v>144</v>
      </c>
      <c r="T35" s="1166">
        <v>61</v>
      </c>
      <c r="U35" s="588">
        <v>24</v>
      </c>
      <c r="V35" s="1166">
        <v>0</v>
      </c>
      <c r="W35" s="1166">
        <v>23</v>
      </c>
      <c r="X35" s="1238">
        <v>18</v>
      </c>
      <c r="Y35" s="1168">
        <v>1970</v>
      </c>
      <c r="Z35" s="586">
        <v>15890</v>
      </c>
    </row>
    <row r="36" spans="1:26" s="531" customFormat="1" ht="13.5" x14ac:dyDescent="0.2">
      <c r="A36" s="894"/>
      <c r="B36" s="782" t="s">
        <v>398</v>
      </c>
      <c r="C36" s="588">
        <v>6</v>
      </c>
      <c r="D36" s="1166">
        <v>470</v>
      </c>
      <c r="E36" s="1166">
        <v>206</v>
      </c>
      <c r="F36" s="1166">
        <v>22</v>
      </c>
      <c r="G36" s="1166">
        <v>453</v>
      </c>
      <c r="H36" s="1166">
        <v>63</v>
      </c>
      <c r="I36" s="1166">
        <v>64</v>
      </c>
      <c r="J36" s="1166">
        <v>25</v>
      </c>
      <c r="K36" s="1166" t="s">
        <v>73</v>
      </c>
      <c r="L36" s="1166">
        <v>427</v>
      </c>
      <c r="M36" s="1166">
        <v>0</v>
      </c>
      <c r="N36" s="587" t="s">
        <v>73</v>
      </c>
      <c r="O36" s="1238" t="s">
        <v>73</v>
      </c>
      <c r="P36" s="1166">
        <v>12</v>
      </c>
      <c r="Q36" s="1166">
        <v>0</v>
      </c>
      <c r="R36" s="1166">
        <v>0</v>
      </c>
      <c r="S36" s="1166">
        <v>103</v>
      </c>
      <c r="T36" s="1166">
        <v>59</v>
      </c>
      <c r="U36" s="1238" t="s">
        <v>73</v>
      </c>
      <c r="V36" s="1166">
        <v>149</v>
      </c>
      <c r="W36" s="1166">
        <v>133</v>
      </c>
      <c r="X36" s="1238" t="s">
        <v>73</v>
      </c>
      <c r="Y36" s="529">
        <v>2040</v>
      </c>
      <c r="Z36" s="586">
        <v>10680</v>
      </c>
    </row>
    <row r="37" spans="1:26" s="531" customFormat="1" ht="13.5" x14ac:dyDescent="0.2">
      <c r="A37" s="595">
        <v>15</v>
      </c>
      <c r="B37" s="783" t="s">
        <v>399</v>
      </c>
      <c r="C37" s="589">
        <v>428</v>
      </c>
      <c r="D37" s="1166">
        <v>947</v>
      </c>
      <c r="E37" s="1166">
        <v>3217</v>
      </c>
      <c r="F37" s="1166">
        <v>772</v>
      </c>
      <c r="G37" s="1166">
        <v>4772</v>
      </c>
      <c r="H37" s="1166">
        <v>679</v>
      </c>
      <c r="I37" s="1166">
        <v>4472</v>
      </c>
      <c r="J37" s="1166">
        <v>444</v>
      </c>
      <c r="K37" s="1166">
        <v>485</v>
      </c>
      <c r="L37" s="1166">
        <v>1268</v>
      </c>
      <c r="M37" s="1166">
        <v>647</v>
      </c>
      <c r="N37" s="590">
        <v>588</v>
      </c>
      <c r="O37" s="1166">
        <v>390</v>
      </c>
      <c r="P37" s="1166">
        <v>1104</v>
      </c>
      <c r="Q37" s="1166">
        <v>530</v>
      </c>
      <c r="R37" s="1166">
        <v>3724</v>
      </c>
      <c r="S37" s="1166">
        <v>877</v>
      </c>
      <c r="T37" s="1166">
        <v>444</v>
      </c>
      <c r="U37" s="589">
        <v>407</v>
      </c>
      <c r="V37" s="1166">
        <v>2679</v>
      </c>
      <c r="W37" s="1166">
        <v>166</v>
      </c>
      <c r="X37" s="1238">
        <v>227</v>
      </c>
      <c r="Y37" s="1168">
        <v>26840</v>
      </c>
      <c r="Z37" s="586">
        <v>143810</v>
      </c>
    </row>
    <row r="38" spans="1:26" s="531" customFormat="1" ht="13.5" x14ac:dyDescent="0.2">
      <c r="A38" s="595">
        <v>16</v>
      </c>
      <c r="B38" s="783" t="s">
        <v>400</v>
      </c>
      <c r="C38" s="589">
        <v>1670</v>
      </c>
      <c r="D38" s="1166">
        <v>2701</v>
      </c>
      <c r="E38" s="1166">
        <v>8366</v>
      </c>
      <c r="F38" s="1166">
        <v>3580</v>
      </c>
      <c r="G38" s="1166">
        <v>17660</v>
      </c>
      <c r="H38" s="1166">
        <v>2679</v>
      </c>
      <c r="I38" s="1166">
        <v>18827</v>
      </c>
      <c r="J38" s="1166">
        <v>2509</v>
      </c>
      <c r="K38" s="1166">
        <v>2213</v>
      </c>
      <c r="L38" s="1166">
        <v>5790</v>
      </c>
      <c r="M38" s="1166">
        <v>3190</v>
      </c>
      <c r="N38" s="590">
        <v>2791</v>
      </c>
      <c r="O38" s="1166">
        <v>1541</v>
      </c>
      <c r="P38" s="1166">
        <v>5585</v>
      </c>
      <c r="Q38" s="1166">
        <v>2318</v>
      </c>
      <c r="R38" s="1166">
        <v>12579</v>
      </c>
      <c r="S38" s="1166">
        <v>3151</v>
      </c>
      <c r="T38" s="1166">
        <v>1885</v>
      </c>
      <c r="U38" s="589">
        <v>1780</v>
      </c>
      <c r="V38" s="1166">
        <v>10004</v>
      </c>
      <c r="W38" s="1166">
        <v>927</v>
      </c>
      <c r="X38" s="1238">
        <v>1096</v>
      </c>
      <c r="Y38" s="1168">
        <v>102220</v>
      </c>
      <c r="Z38" s="586">
        <v>631090</v>
      </c>
    </row>
    <row r="39" spans="1:26" s="531" customFormat="1" ht="22.5" x14ac:dyDescent="0.2">
      <c r="A39" s="595">
        <v>17</v>
      </c>
      <c r="B39" s="780" t="s">
        <v>231</v>
      </c>
      <c r="C39" s="1237"/>
      <c r="D39" s="1237"/>
      <c r="E39" s="1237"/>
      <c r="F39" s="1237"/>
      <c r="G39" s="1237"/>
      <c r="H39" s="1237"/>
      <c r="I39" s="1237"/>
      <c r="J39" s="1237"/>
      <c r="K39" s="1237"/>
      <c r="L39" s="1237"/>
      <c r="M39" s="1237"/>
      <c r="N39" s="1237"/>
      <c r="O39" s="1237"/>
      <c r="P39" s="1237"/>
      <c r="Q39" s="1237"/>
      <c r="R39" s="1237"/>
      <c r="S39" s="1237"/>
      <c r="T39" s="1237"/>
      <c r="U39" s="1237"/>
      <c r="V39" s="1237"/>
      <c r="W39" s="1237"/>
      <c r="X39" s="1237"/>
      <c r="Y39" s="1247"/>
      <c r="Z39" s="1248"/>
    </row>
    <row r="40" spans="1:26" s="531" customFormat="1" ht="13.5" x14ac:dyDescent="0.2">
      <c r="A40" s="895"/>
      <c r="B40" s="779" t="s">
        <v>401</v>
      </c>
      <c r="C40" s="588">
        <v>291</v>
      </c>
      <c r="D40" s="1166">
        <v>495</v>
      </c>
      <c r="E40" s="1166">
        <v>1455</v>
      </c>
      <c r="F40" s="1167">
        <v>305</v>
      </c>
      <c r="G40" s="1166">
        <v>5282</v>
      </c>
      <c r="H40" s="1166">
        <v>741</v>
      </c>
      <c r="I40" s="1166">
        <v>1442</v>
      </c>
      <c r="J40" s="1166">
        <v>147</v>
      </c>
      <c r="K40" s="1166">
        <v>619</v>
      </c>
      <c r="L40" s="1166">
        <v>256</v>
      </c>
      <c r="M40" s="1166">
        <v>970</v>
      </c>
      <c r="N40" s="587">
        <v>509</v>
      </c>
      <c r="O40" s="1166">
        <v>0</v>
      </c>
      <c r="P40" s="1166">
        <v>1133</v>
      </c>
      <c r="Q40" s="1166">
        <v>220</v>
      </c>
      <c r="R40" s="1166">
        <v>745</v>
      </c>
      <c r="S40" s="1166">
        <v>296</v>
      </c>
      <c r="T40" s="1166">
        <v>231</v>
      </c>
      <c r="U40" s="588">
        <v>430</v>
      </c>
      <c r="V40" s="1166">
        <v>8059</v>
      </c>
      <c r="W40" s="1166">
        <v>0</v>
      </c>
      <c r="X40" s="1238">
        <v>129</v>
      </c>
      <c r="Y40" s="1168">
        <v>22190</v>
      </c>
      <c r="Z40" s="586">
        <v>103220</v>
      </c>
    </row>
    <row r="41" spans="1:26" s="531" customFormat="1" ht="13.5" x14ac:dyDescent="0.2">
      <c r="A41" s="895"/>
      <c r="B41" s="779" t="s">
        <v>645</v>
      </c>
      <c r="C41" s="588">
        <v>371</v>
      </c>
      <c r="D41" s="1166">
        <v>375</v>
      </c>
      <c r="E41" s="1166">
        <v>1090</v>
      </c>
      <c r="F41" s="1167">
        <v>512</v>
      </c>
      <c r="G41" s="1166">
        <v>7382</v>
      </c>
      <c r="H41" s="1166">
        <v>762</v>
      </c>
      <c r="I41" s="1166">
        <v>2166</v>
      </c>
      <c r="J41" s="1166">
        <v>247</v>
      </c>
      <c r="K41" s="1166">
        <v>609</v>
      </c>
      <c r="L41" s="1166">
        <v>559</v>
      </c>
      <c r="M41" s="1166">
        <v>818</v>
      </c>
      <c r="N41" s="587">
        <v>353</v>
      </c>
      <c r="O41" s="1166">
        <v>113</v>
      </c>
      <c r="P41" s="1166">
        <v>915</v>
      </c>
      <c r="Q41" s="1166">
        <v>361</v>
      </c>
      <c r="R41" s="1166">
        <v>2116</v>
      </c>
      <c r="S41" s="1166">
        <v>646</v>
      </c>
      <c r="T41" s="1166">
        <v>406</v>
      </c>
      <c r="U41" s="588">
        <v>240</v>
      </c>
      <c r="V41" s="1166">
        <v>833</v>
      </c>
      <c r="W41" s="1166">
        <v>95</v>
      </c>
      <c r="X41" s="1238">
        <v>162</v>
      </c>
      <c r="Y41" s="529">
        <v>19160</v>
      </c>
      <c r="Z41" s="586">
        <v>107490</v>
      </c>
    </row>
    <row r="42" spans="1:26" s="531" customFormat="1" ht="13.5" x14ac:dyDescent="0.2">
      <c r="A42" s="895"/>
      <c r="B42" s="779" t="s">
        <v>646</v>
      </c>
      <c r="C42" s="588">
        <v>317</v>
      </c>
      <c r="D42" s="1166">
        <v>728</v>
      </c>
      <c r="E42" s="1166">
        <v>1819</v>
      </c>
      <c r="F42" s="1167">
        <v>555</v>
      </c>
      <c r="G42" s="1166">
        <v>1802</v>
      </c>
      <c r="H42" s="1166">
        <v>420</v>
      </c>
      <c r="I42" s="1166">
        <v>4455</v>
      </c>
      <c r="J42" s="1166">
        <v>388</v>
      </c>
      <c r="K42" s="1166">
        <v>463</v>
      </c>
      <c r="L42" s="1166">
        <v>725</v>
      </c>
      <c r="M42" s="1166">
        <v>599</v>
      </c>
      <c r="N42" s="587">
        <v>437</v>
      </c>
      <c r="O42" s="1166">
        <v>309</v>
      </c>
      <c r="P42" s="1166">
        <v>1023</v>
      </c>
      <c r="Q42" s="1166">
        <v>311</v>
      </c>
      <c r="R42" s="1166">
        <v>2219</v>
      </c>
      <c r="S42" s="1166">
        <v>602</v>
      </c>
      <c r="T42" s="1166">
        <v>267</v>
      </c>
      <c r="U42" s="588">
        <v>201</v>
      </c>
      <c r="V42" s="1166">
        <v>478</v>
      </c>
      <c r="W42" s="1166">
        <v>86</v>
      </c>
      <c r="X42" s="1238">
        <v>214</v>
      </c>
      <c r="Y42" s="1168">
        <v>16530</v>
      </c>
      <c r="Z42" s="586">
        <v>103210</v>
      </c>
    </row>
    <row r="43" spans="1:26" s="531" customFormat="1" ht="13.5" x14ac:dyDescent="0.2">
      <c r="A43" s="895"/>
      <c r="B43" s="779" t="s">
        <v>647</v>
      </c>
      <c r="C43" s="588">
        <v>532</v>
      </c>
      <c r="D43" s="1166">
        <v>802</v>
      </c>
      <c r="E43" s="1166">
        <v>2690</v>
      </c>
      <c r="F43" s="1167">
        <v>799</v>
      </c>
      <c r="G43" s="1166">
        <v>1640</v>
      </c>
      <c r="H43" s="1166">
        <v>384</v>
      </c>
      <c r="I43" s="1166">
        <v>8290</v>
      </c>
      <c r="J43" s="1166">
        <v>1374</v>
      </c>
      <c r="K43" s="1166">
        <v>251</v>
      </c>
      <c r="L43" s="1166">
        <v>1453</v>
      </c>
      <c r="M43" s="1166">
        <v>598</v>
      </c>
      <c r="N43" s="587">
        <v>1107</v>
      </c>
      <c r="O43" s="1166">
        <v>419</v>
      </c>
      <c r="P43" s="1166">
        <v>1434</v>
      </c>
      <c r="Q43" s="596">
        <v>1030</v>
      </c>
      <c r="R43" s="1166">
        <v>4462</v>
      </c>
      <c r="S43" s="1166">
        <v>715</v>
      </c>
      <c r="T43" s="1166">
        <v>454</v>
      </c>
      <c r="U43" s="588">
        <v>878</v>
      </c>
      <c r="V43" s="1166">
        <v>412</v>
      </c>
      <c r="W43" s="1166">
        <v>324</v>
      </c>
      <c r="X43" s="1238">
        <v>296</v>
      </c>
      <c r="Y43" s="1168">
        <v>27750</v>
      </c>
      <c r="Z43" s="586">
        <v>207950</v>
      </c>
    </row>
    <row r="44" spans="1:26" s="531" customFormat="1" ht="13.5" x14ac:dyDescent="0.2">
      <c r="A44" s="895"/>
      <c r="B44" s="779" t="s">
        <v>402</v>
      </c>
      <c r="C44" s="588">
        <v>159</v>
      </c>
      <c r="D44" s="1166">
        <v>301</v>
      </c>
      <c r="E44" s="1166">
        <v>1312</v>
      </c>
      <c r="F44" s="1167">
        <v>1409</v>
      </c>
      <c r="G44" s="1166">
        <v>1554</v>
      </c>
      <c r="H44" s="1166">
        <v>372</v>
      </c>
      <c r="I44" s="1166">
        <v>2474</v>
      </c>
      <c r="J44" s="1166">
        <v>353</v>
      </c>
      <c r="K44" s="1166">
        <v>271</v>
      </c>
      <c r="L44" s="1166">
        <v>2797</v>
      </c>
      <c r="M44" s="1166">
        <v>205</v>
      </c>
      <c r="N44" s="587">
        <v>385</v>
      </c>
      <c r="O44" s="1166">
        <v>645</v>
      </c>
      <c r="P44" s="1166">
        <v>1080</v>
      </c>
      <c r="Q44" s="596">
        <v>396</v>
      </c>
      <c r="R44" s="1166">
        <v>3037</v>
      </c>
      <c r="S44" s="1166">
        <v>892</v>
      </c>
      <c r="T44" s="1166">
        <v>527</v>
      </c>
      <c r="U44" s="588">
        <v>31</v>
      </c>
      <c r="V44" s="1166">
        <v>222</v>
      </c>
      <c r="W44" s="1166">
        <v>379</v>
      </c>
      <c r="X44" s="1238">
        <v>295</v>
      </c>
      <c r="Y44" s="1168">
        <v>16590</v>
      </c>
      <c r="Z44" s="586">
        <v>109180</v>
      </c>
    </row>
    <row r="45" spans="1:26" s="531" customFormat="1" ht="13.5" x14ac:dyDescent="0.2">
      <c r="A45" s="595">
        <v>18</v>
      </c>
      <c r="B45" s="783" t="s">
        <v>403</v>
      </c>
      <c r="C45" s="1213"/>
      <c r="D45" s="1214"/>
      <c r="E45" s="1214"/>
      <c r="F45" s="1214"/>
      <c r="G45" s="1214"/>
      <c r="H45" s="1214"/>
      <c r="I45" s="1214"/>
      <c r="J45" s="1214"/>
      <c r="K45" s="1214"/>
      <c r="L45" s="1214"/>
      <c r="M45" s="1214"/>
      <c r="N45" s="1217"/>
      <c r="O45" s="1214"/>
      <c r="P45" s="1214"/>
      <c r="Q45" s="1214"/>
      <c r="R45" s="1214"/>
      <c r="S45" s="1214"/>
      <c r="T45" s="1214"/>
      <c r="U45" s="1213"/>
      <c r="V45" s="1214"/>
      <c r="W45" s="1214"/>
      <c r="X45" s="1236"/>
      <c r="Y45" s="1215"/>
      <c r="Z45" s="1216"/>
    </row>
    <row r="46" spans="1:26" s="531" customFormat="1" ht="13.5" x14ac:dyDescent="0.2">
      <c r="A46" s="595">
        <v>19</v>
      </c>
      <c r="B46" s="783" t="s">
        <v>404</v>
      </c>
      <c r="C46" s="1213"/>
      <c r="D46" s="1214"/>
      <c r="E46" s="1214"/>
      <c r="F46" s="1214"/>
      <c r="G46" s="1214"/>
      <c r="H46" s="1214"/>
      <c r="I46" s="1214"/>
      <c r="J46" s="1214"/>
      <c r="K46" s="1214"/>
      <c r="L46" s="1214"/>
      <c r="M46" s="1214"/>
      <c r="N46" s="1217"/>
      <c r="O46" s="1214"/>
      <c r="P46" s="1214"/>
      <c r="Q46" s="1214"/>
      <c r="R46" s="1214"/>
      <c r="S46" s="1214"/>
      <c r="T46" s="1214"/>
      <c r="U46" s="1213"/>
      <c r="V46" s="1214"/>
      <c r="W46" s="1214"/>
      <c r="X46" s="1236"/>
      <c r="Y46" s="1215"/>
      <c r="Z46" s="1216"/>
    </row>
    <row r="47" spans="1:26" s="531" customFormat="1" ht="13.5" x14ac:dyDescent="0.2">
      <c r="A47" s="595">
        <v>20</v>
      </c>
      <c r="B47" s="783" t="s">
        <v>405</v>
      </c>
      <c r="C47" s="589">
        <v>993</v>
      </c>
      <c r="D47" s="1166">
        <v>2175</v>
      </c>
      <c r="E47" s="1166">
        <v>3714</v>
      </c>
      <c r="F47" s="1166">
        <v>3134</v>
      </c>
      <c r="G47" s="1166">
        <v>8285</v>
      </c>
      <c r="H47" s="1166">
        <v>1230</v>
      </c>
      <c r="I47" s="1166">
        <v>10019</v>
      </c>
      <c r="J47" s="1166">
        <v>1945</v>
      </c>
      <c r="K47" s="1166">
        <v>1874</v>
      </c>
      <c r="L47" s="1166">
        <v>4293</v>
      </c>
      <c r="M47" s="1166">
        <v>1748</v>
      </c>
      <c r="N47" s="590">
        <v>1683</v>
      </c>
      <c r="O47" s="1166">
        <v>1223</v>
      </c>
      <c r="P47" s="1166">
        <v>3193</v>
      </c>
      <c r="Q47" s="1166">
        <v>2394</v>
      </c>
      <c r="R47" s="1166">
        <v>7019</v>
      </c>
      <c r="S47" s="1166">
        <v>2713</v>
      </c>
      <c r="T47" s="1166">
        <v>1159</v>
      </c>
      <c r="U47" s="589">
        <v>1021</v>
      </c>
      <c r="V47" s="1166">
        <v>7233</v>
      </c>
      <c r="W47" s="1166">
        <v>767</v>
      </c>
      <c r="X47" s="1238">
        <v>969</v>
      </c>
      <c r="Y47" s="1168">
        <v>61720</v>
      </c>
      <c r="Z47" s="586">
        <v>404710</v>
      </c>
    </row>
    <row r="48" spans="1:26" s="531" customFormat="1" ht="13.5" x14ac:dyDescent="0.2">
      <c r="A48" s="595">
        <v>21</v>
      </c>
      <c r="B48" s="783" t="s">
        <v>406</v>
      </c>
      <c r="C48" s="589">
        <v>632</v>
      </c>
      <c r="D48" s="1166">
        <v>879</v>
      </c>
      <c r="E48" s="1166">
        <v>2472</v>
      </c>
      <c r="F48" s="1166">
        <v>1334</v>
      </c>
      <c r="G48" s="1166">
        <v>3844</v>
      </c>
      <c r="H48" s="1166">
        <v>557</v>
      </c>
      <c r="I48" s="1166">
        <v>6259</v>
      </c>
      <c r="J48" s="1166">
        <v>1181</v>
      </c>
      <c r="K48" s="1166">
        <v>558</v>
      </c>
      <c r="L48" s="1166">
        <v>1805</v>
      </c>
      <c r="M48" s="1166">
        <v>1025</v>
      </c>
      <c r="N48" s="590">
        <v>840</v>
      </c>
      <c r="O48" s="1166">
        <v>708</v>
      </c>
      <c r="P48" s="1166">
        <v>1529</v>
      </c>
      <c r="Q48" s="1166">
        <v>1692</v>
      </c>
      <c r="R48" s="1166">
        <v>4165</v>
      </c>
      <c r="S48" s="1166">
        <v>1014</v>
      </c>
      <c r="T48" s="1166">
        <v>692</v>
      </c>
      <c r="U48" s="589">
        <v>621</v>
      </c>
      <c r="V48" s="1166">
        <v>3003</v>
      </c>
      <c r="W48" s="1166">
        <v>350</v>
      </c>
      <c r="X48" s="1238">
        <v>471</v>
      </c>
      <c r="Y48" s="1168">
        <v>32400</v>
      </c>
      <c r="Z48" s="586">
        <v>198090</v>
      </c>
    </row>
    <row r="49" spans="1:26" s="531" customFormat="1" ht="13.5" x14ac:dyDescent="0.2">
      <c r="A49" s="595">
        <v>22</v>
      </c>
      <c r="B49" s="783" t="s">
        <v>407</v>
      </c>
      <c r="C49" s="589">
        <v>235</v>
      </c>
      <c r="D49" s="1166">
        <v>481</v>
      </c>
      <c r="E49" s="1166">
        <v>862</v>
      </c>
      <c r="F49" s="1166">
        <v>711</v>
      </c>
      <c r="G49" s="1166">
        <v>1784</v>
      </c>
      <c r="H49" s="1166">
        <v>271</v>
      </c>
      <c r="I49" s="1166">
        <v>1762</v>
      </c>
      <c r="J49" s="1166">
        <v>403</v>
      </c>
      <c r="K49" s="1166">
        <v>175</v>
      </c>
      <c r="L49" s="1166">
        <v>878</v>
      </c>
      <c r="M49" s="1166">
        <v>309</v>
      </c>
      <c r="N49" s="590">
        <v>415</v>
      </c>
      <c r="O49" s="1166">
        <v>274</v>
      </c>
      <c r="P49" s="1166">
        <v>586</v>
      </c>
      <c r="Q49" s="1166">
        <v>514</v>
      </c>
      <c r="R49" s="1166">
        <v>1485</v>
      </c>
      <c r="S49" s="1166">
        <v>574</v>
      </c>
      <c r="T49" s="1166">
        <v>362</v>
      </c>
      <c r="U49" s="589">
        <v>275</v>
      </c>
      <c r="V49" s="1166">
        <v>1079</v>
      </c>
      <c r="W49" s="1166">
        <v>137</v>
      </c>
      <c r="X49" s="1238">
        <v>181</v>
      </c>
      <c r="Y49" s="1168">
        <v>12230</v>
      </c>
      <c r="Z49" s="586">
        <v>79470</v>
      </c>
    </row>
    <row r="50" spans="1:26" s="531" customFormat="1" ht="13.5" x14ac:dyDescent="0.2">
      <c r="A50" s="595">
        <v>23</v>
      </c>
      <c r="B50" s="783" t="s">
        <v>408</v>
      </c>
      <c r="C50" s="589">
        <v>194</v>
      </c>
      <c r="D50" s="1166">
        <v>420</v>
      </c>
      <c r="E50" s="1166">
        <v>631</v>
      </c>
      <c r="F50" s="1212">
        <v>410</v>
      </c>
      <c r="G50" s="1166">
        <v>1375</v>
      </c>
      <c r="H50" s="1166">
        <v>230</v>
      </c>
      <c r="I50" s="1166">
        <v>1320</v>
      </c>
      <c r="J50" s="1166">
        <v>353</v>
      </c>
      <c r="K50" s="1166">
        <v>166</v>
      </c>
      <c r="L50" s="1166">
        <v>781</v>
      </c>
      <c r="M50" s="1166">
        <v>222</v>
      </c>
      <c r="N50" s="590">
        <v>313</v>
      </c>
      <c r="O50" s="1166">
        <v>207</v>
      </c>
      <c r="P50" s="1166">
        <v>547</v>
      </c>
      <c r="Q50" s="1166">
        <v>380</v>
      </c>
      <c r="R50" s="1166">
        <v>764</v>
      </c>
      <c r="S50" s="1166">
        <v>486</v>
      </c>
      <c r="T50" s="1166">
        <v>242</v>
      </c>
      <c r="U50" s="589">
        <v>265</v>
      </c>
      <c r="V50" s="1166">
        <v>918</v>
      </c>
      <c r="W50" s="1166">
        <v>73</v>
      </c>
      <c r="X50" s="1238">
        <v>149</v>
      </c>
      <c r="Y50" s="1168">
        <v>9170</v>
      </c>
      <c r="Z50" s="586">
        <v>61150</v>
      </c>
    </row>
    <row r="51" spans="1:26" s="531" customFormat="1" ht="13.5" x14ac:dyDescent="0.2">
      <c r="A51" s="595" t="s">
        <v>482</v>
      </c>
      <c r="B51" s="783" t="s">
        <v>409</v>
      </c>
      <c r="C51" s="589">
        <v>105</v>
      </c>
      <c r="D51" s="1166">
        <v>395</v>
      </c>
      <c r="E51" s="1166">
        <v>638</v>
      </c>
      <c r="F51" s="1166">
        <v>560</v>
      </c>
      <c r="G51" s="1166">
        <v>1294</v>
      </c>
      <c r="H51" s="1166">
        <v>193</v>
      </c>
      <c r="I51" s="1166">
        <v>1462</v>
      </c>
      <c r="J51" s="1166">
        <v>344</v>
      </c>
      <c r="K51" s="1166">
        <v>104</v>
      </c>
      <c r="L51" s="1166">
        <v>687</v>
      </c>
      <c r="M51" s="1166">
        <v>286</v>
      </c>
      <c r="N51" s="590">
        <v>290</v>
      </c>
      <c r="O51" s="1166">
        <v>161</v>
      </c>
      <c r="P51" s="1166">
        <v>428</v>
      </c>
      <c r="Q51" s="1166">
        <v>324</v>
      </c>
      <c r="R51" s="1166">
        <v>996</v>
      </c>
      <c r="S51" s="1166">
        <v>362</v>
      </c>
      <c r="T51" s="1166">
        <v>141</v>
      </c>
      <c r="U51" s="589">
        <v>168</v>
      </c>
      <c r="V51" s="1166">
        <v>775</v>
      </c>
      <c r="W51" s="1166">
        <v>74</v>
      </c>
      <c r="X51" s="1238">
        <v>126</v>
      </c>
      <c r="Y51" s="1168">
        <v>8980</v>
      </c>
      <c r="Z51" s="586">
        <v>53790</v>
      </c>
    </row>
    <row r="52" spans="1:26" s="531" customFormat="1" ht="13.5" x14ac:dyDescent="0.2">
      <c r="A52" s="595" t="s">
        <v>484</v>
      </c>
      <c r="B52" s="783" t="s">
        <v>410</v>
      </c>
      <c r="C52" s="589">
        <v>65</v>
      </c>
      <c r="D52" s="1166">
        <v>283</v>
      </c>
      <c r="E52" s="1166">
        <v>487</v>
      </c>
      <c r="F52" s="1166">
        <v>383</v>
      </c>
      <c r="G52" s="1166">
        <v>951</v>
      </c>
      <c r="H52" s="1166">
        <v>152</v>
      </c>
      <c r="I52" s="1166">
        <v>1153</v>
      </c>
      <c r="J52" s="1166">
        <v>264</v>
      </c>
      <c r="K52" s="1166">
        <v>68</v>
      </c>
      <c r="L52" s="1166">
        <v>494</v>
      </c>
      <c r="M52" s="1166">
        <v>217</v>
      </c>
      <c r="N52" s="590">
        <v>217</v>
      </c>
      <c r="O52" s="1166">
        <v>97</v>
      </c>
      <c r="P52" s="1166">
        <v>305</v>
      </c>
      <c r="Q52" s="1166">
        <v>236</v>
      </c>
      <c r="R52" s="1166">
        <v>660</v>
      </c>
      <c r="S52" s="1166">
        <v>262</v>
      </c>
      <c r="T52" s="1166">
        <v>85</v>
      </c>
      <c r="U52" s="589">
        <v>93</v>
      </c>
      <c r="V52" s="1166">
        <v>592</v>
      </c>
      <c r="W52" s="1166">
        <v>55</v>
      </c>
      <c r="X52" s="1238">
        <v>78</v>
      </c>
      <c r="Y52" s="1168">
        <v>6550</v>
      </c>
      <c r="Z52" s="586">
        <v>37540</v>
      </c>
    </row>
    <row r="53" spans="1:26" s="531" customFormat="1" ht="13.5" x14ac:dyDescent="0.2">
      <c r="A53" s="595" t="s">
        <v>486</v>
      </c>
      <c r="B53" s="783" t="s">
        <v>411</v>
      </c>
      <c r="C53" s="589">
        <v>64</v>
      </c>
      <c r="D53" s="1166">
        <v>281</v>
      </c>
      <c r="E53" s="1166">
        <v>428</v>
      </c>
      <c r="F53" s="1212">
        <v>347</v>
      </c>
      <c r="G53" s="1166">
        <v>761</v>
      </c>
      <c r="H53" s="1166">
        <v>145</v>
      </c>
      <c r="I53" s="1166">
        <v>1149</v>
      </c>
      <c r="J53" s="1166">
        <v>251</v>
      </c>
      <c r="K53" s="1166">
        <v>67</v>
      </c>
      <c r="L53" s="1166">
        <v>463</v>
      </c>
      <c r="M53" s="1166">
        <v>217</v>
      </c>
      <c r="N53" s="590">
        <v>155</v>
      </c>
      <c r="O53" s="1166">
        <v>38</v>
      </c>
      <c r="P53" s="1166">
        <v>293</v>
      </c>
      <c r="Q53" s="1166">
        <v>170</v>
      </c>
      <c r="R53" s="1166">
        <v>627</v>
      </c>
      <c r="S53" s="1166">
        <v>258</v>
      </c>
      <c r="T53" s="1166">
        <v>63</v>
      </c>
      <c r="U53" s="589">
        <v>93</v>
      </c>
      <c r="V53" s="1166">
        <v>525</v>
      </c>
      <c r="W53" s="1166">
        <v>44</v>
      </c>
      <c r="X53" s="1238">
        <v>78</v>
      </c>
      <c r="Y53" s="1168">
        <v>5900</v>
      </c>
      <c r="Z53" s="586">
        <v>33980</v>
      </c>
    </row>
    <row r="54" spans="1:26" s="531" customFormat="1" ht="13.5" x14ac:dyDescent="0.2">
      <c r="A54" s="585" t="s">
        <v>488</v>
      </c>
      <c r="B54" s="784" t="s">
        <v>570</v>
      </c>
      <c r="C54" s="1240"/>
      <c r="D54" s="1231"/>
      <c r="E54" s="1231"/>
      <c r="F54" s="1231"/>
      <c r="G54" s="1231"/>
      <c r="H54" s="1231"/>
      <c r="I54" s="1231"/>
      <c r="J54" s="1231"/>
      <c r="K54" s="1231"/>
      <c r="L54" s="1231"/>
      <c r="M54" s="1231"/>
      <c r="N54" s="1241"/>
      <c r="O54" s="1231"/>
      <c r="P54" s="1231"/>
      <c r="Q54" s="1231"/>
      <c r="R54" s="1231"/>
      <c r="S54" s="1231"/>
      <c r="T54" s="1231"/>
      <c r="U54" s="1240"/>
      <c r="V54" s="1231"/>
      <c r="W54" s="1231"/>
      <c r="X54" s="1242"/>
      <c r="Y54" s="1234"/>
      <c r="Z54" s="1232"/>
    </row>
    <row r="55" spans="1:26" s="531" customFormat="1" ht="13.5" x14ac:dyDescent="0.2">
      <c r="A55" s="585" t="s">
        <v>490</v>
      </c>
      <c r="B55" s="784" t="s">
        <v>727</v>
      </c>
      <c r="C55" s="1240"/>
      <c r="D55" s="1231"/>
      <c r="E55" s="1231"/>
      <c r="F55" s="1231"/>
      <c r="G55" s="1231"/>
      <c r="H55" s="1231"/>
      <c r="I55" s="1231"/>
      <c r="J55" s="1231"/>
      <c r="K55" s="1231"/>
      <c r="L55" s="1231"/>
      <c r="M55" s="1231"/>
      <c r="N55" s="1241"/>
      <c r="O55" s="1231"/>
      <c r="P55" s="1231"/>
      <c r="Q55" s="1231"/>
      <c r="R55" s="1231"/>
      <c r="S55" s="1231"/>
      <c r="T55" s="1231"/>
      <c r="U55" s="1240"/>
      <c r="V55" s="1231"/>
      <c r="W55" s="1231"/>
      <c r="X55" s="1242"/>
      <c r="Y55" s="1234"/>
      <c r="Z55" s="1232"/>
    </row>
    <row r="56" spans="1:26" s="531" customFormat="1" ht="13.5" x14ac:dyDescent="0.2">
      <c r="A56" s="595" t="s">
        <v>492</v>
      </c>
      <c r="B56" s="783" t="s">
        <v>412</v>
      </c>
      <c r="C56" s="589">
        <v>235</v>
      </c>
      <c r="D56" s="1166">
        <v>396</v>
      </c>
      <c r="E56" s="1166">
        <v>632</v>
      </c>
      <c r="F56" s="1166">
        <v>540</v>
      </c>
      <c r="G56" s="1166">
        <v>1501</v>
      </c>
      <c r="H56" s="1166">
        <v>225</v>
      </c>
      <c r="I56" s="1166">
        <v>1283</v>
      </c>
      <c r="J56" s="1166">
        <v>334</v>
      </c>
      <c r="K56" s="1166">
        <v>148</v>
      </c>
      <c r="L56" s="1166">
        <v>684</v>
      </c>
      <c r="M56" s="1166">
        <v>241</v>
      </c>
      <c r="N56" s="590">
        <v>408</v>
      </c>
      <c r="O56" s="1166">
        <v>232</v>
      </c>
      <c r="P56" s="1166">
        <v>506</v>
      </c>
      <c r="Q56" s="1166">
        <v>392</v>
      </c>
      <c r="R56" s="1166">
        <v>991</v>
      </c>
      <c r="S56" s="1166">
        <v>382</v>
      </c>
      <c r="T56" s="1166">
        <v>364</v>
      </c>
      <c r="U56" s="589">
        <v>225</v>
      </c>
      <c r="V56" s="1166">
        <v>740</v>
      </c>
      <c r="W56" s="1166">
        <v>193</v>
      </c>
      <c r="X56" s="1238">
        <v>70</v>
      </c>
      <c r="Y56" s="1168">
        <f t="shared" ref="Y56" si="0">SUM(C56:O56,Q56:R56,U56:X56)</f>
        <v>9470</v>
      </c>
      <c r="Z56" s="586">
        <v>65920</v>
      </c>
    </row>
    <row r="57" spans="1:26" s="531" customFormat="1" ht="13.5" x14ac:dyDescent="0.2">
      <c r="A57" s="595" t="s">
        <v>494</v>
      </c>
      <c r="B57" s="783" t="s">
        <v>413</v>
      </c>
      <c r="C57" s="589">
        <v>0</v>
      </c>
      <c r="D57" s="1166">
        <v>30</v>
      </c>
      <c r="E57" s="1166">
        <v>20</v>
      </c>
      <c r="F57" s="1166">
        <v>49</v>
      </c>
      <c r="G57" s="1166">
        <v>108</v>
      </c>
      <c r="H57" s="1166">
        <v>13</v>
      </c>
      <c r="I57" s="1166">
        <v>53</v>
      </c>
      <c r="J57" s="1166">
        <v>17</v>
      </c>
      <c r="K57" s="1166">
        <v>0</v>
      </c>
      <c r="L57" s="1166">
        <v>28</v>
      </c>
      <c r="M57" s="1166">
        <v>14</v>
      </c>
      <c r="N57" s="590">
        <v>15</v>
      </c>
      <c r="O57" s="1166" t="s">
        <v>73</v>
      </c>
      <c r="P57" s="1166">
        <v>6</v>
      </c>
      <c r="Q57" s="1166">
        <v>12</v>
      </c>
      <c r="R57" s="1166">
        <v>60</v>
      </c>
      <c r="S57" s="1166">
        <v>6</v>
      </c>
      <c r="T57" s="1166">
        <v>12</v>
      </c>
      <c r="U57" s="589">
        <v>5</v>
      </c>
      <c r="V57" s="1166">
        <v>26</v>
      </c>
      <c r="W57" s="1166" t="s">
        <v>73</v>
      </c>
      <c r="X57" s="1238">
        <v>0</v>
      </c>
      <c r="Y57" s="1168">
        <v>460</v>
      </c>
      <c r="Z57" s="586">
        <v>2250</v>
      </c>
    </row>
    <row r="58" spans="1:26" s="531" customFormat="1" ht="13.5" x14ac:dyDescent="0.2">
      <c r="A58" s="595" t="s">
        <v>232</v>
      </c>
      <c r="B58" s="783" t="s">
        <v>414</v>
      </c>
      <c r="C58" s="589">
        <v>169</v>
      </c>
      <c r="D58" s="1166">
        <v>424</v>
      </c>
      <c r="E58" s="1166">
        <v>724</v>
      </c>
      <c r="F58" s="1166">
        <v>624</v>
      </c>
      <c r="G58" s="1166">
        <v>1536</v>
      </c>
      <c r="H58" s="1166">
        <v>219</v>
      </c>
      <c r="I58" s="1166">
        <v>1559</v>
      </c>
      <c r="J58" s="1166">
        <v>365</v>
      </c>
      <c r="K58" s="1166">
        <v>162</v>
      </c>
      <c r="L58" s="1166">
        <v>773</v>
      </c>
      <c r="M58" s="1166">
        <v>285</v>
      </c>
      <c r="N58" s="590">
        <v>350</v>
      </c>
      <c r="O58" s="1166">
        <v>240</v>
      </c>
      <c r="P58" s="1166">
        <v>530</v>
      </c>
      <c r="Q58" s="1166">
        <v>431</v>
      </c>
      <c r="R58" s="1166">
        <v>1151</v>
      </c>
      <c r="S58" s="1166">
        <v>491</v>
      </c>
      <c r="T58" s="1166">
        <v>290</v>
      </c>
      <c r="U58" s="589">
        <v>242</v>
      </c>
      <c r="V58" s="1166">
        <v>964</v>
      </c>
      <c r="W58" s="1166">
        <v>126</v>
      </c>
      <c r="X58" s="1238">
        <v>150</v>
      </c>
      <c r="Y58" s="1168">
        <v>10490</v>
      </c>
      <c r="Z58" s="586">
        <v>68770</v>
      </c>
    </row>
    <row r="59" spans="1:26" s="531" customFormat="1" ht="13.5" x14ac:dyDescent="0.2">
      <c r="A59" s="595" t="s">
        <v>233</v>
      </c>
      <c r="B59" s="783" t="s">
        <v>415</v>
      </c>
      <c r="C59" s="589">
        <v>30</v>
      </c>
      <c r="D59" s="1166">
        <v>101</v>
      </c>
      <c r="E59" s="1166">
        <v>136</v>
      </c>
      <c r="F59" s="1166">
        <v>156</v>
      </c>
      <c r="G59" s="1166">
        <v>354</v>
      </c>
      <c r="H59" s="1166">
        <v>51</v>
      </c>
      <c r="I59" s="1166">
        <v>318</v>
      </c>
      <c r="J59" s="1166">
        <v>82</v>
      </c>
      <c r="K59" s="1166">
        <v>13</v>
      </c>
      <c r="L59" s="1166">
        <v>181</v>
      </c>
      <c r="M59" s="1166">
        <v>74</v>
      </c>
      <c r="N59" s="590">
        <v>62</v>
      </c>
      <c r="O59" s="1166">
        <v>56</v>
      </c>
      <c r="P59" s="1166">
        <v>112</v>
      </c>
      <c r="Q59" s="1166">
        <v>132</v>
      </c>
      <c r="R59" s="1166">
        <v>281</v>
      </c>
      <c r="S59" s="1166">
        <v>97</v>
      </c>
      <c r="T59" s="1166">
        <v>78</v>
      </c>
      <c r="U59" s="589">
        <v>44</v>
      </c>
      <c r="V59" s="1166">
        <v>235</v>
      </c>
      <c r="W59" s="1166">
        <v>26</v>
      </c>
      <c r="X59" s="1238">
        <v>36</v>
      </c>
      <c r="Y59" s="1168">
        <v>2370</v>
      </c>
      <c r="Z59" s="586">
        <v>13900</v>
      </c>
    </row>
    <row r="60" spans="1:26" s="531" customFormat="1" ht="13.5" x14ac:dyDescent="0.2">
      <c r="A60" s="595" t="s">
        <v>234</v>
      </c>
      <c r="B60" s="783" t="s">
        <v>416</v>
      </c>
      <c r="C60" s="1213"/>
      <c r="D60" s="1214"/>
      <c r="E60" s="1214"/>
      <c r="F60" s="1214"/>
      <c r="G60" s="1214"/>
      <c r="H60" s="1214"/>
      <c r="I60" s="1214"/>
      <c r="J60" s="1214"/>
      <c r="K60" s="1214"/>
      <c r="L60" s="1214"/>
      <c r="M60" s="1214"/>
      <c r="N60" s="1217"/>
      <c r="O60" s="1214"/>
      <c r="P60" s="1214"/>
      <c r="Q60" s="1214"/>
      <c r="R60" s="1214"/>
      <c r="S60" s="1214"/>
      <c r="T60" s="1214"/>
      <c r="U60" s="1213"/>
      <c r="V60" s="1214"/>
      <c r="W60" s="1214"/>
      <c r="X60" s="1236"/>
      <c r="Y60" s="1215"/>
      <c r="Z60" s="1216"/>
    </row>
    <row r="61" spans="1:26" s="531" customFormat="1" ht="13.5" x14ac:dyDescent="0.2">
      <c r="A61" s="595" t="s">
        <v>235</v>
      </c>
      <c r="B61" s="783" t="s">
        <v>417</v>
      </c>
      <c r="C61" s="589">
        <v>138</v>
      </c>
      <c r="D61" s="1166">
        <v>419</v>
      </c>
      <c r="E61" s="1166">
        <v>472</v>
      </c>
      <c r="F61" s="1166">
        <v>602</v>
      </c>
      <c r="G61" s="1166">
        <v>1594</v>
      </c>
      <c r="H61" s="1166">
        <v>226</v>
      </c>
      <c r="I61" s="1166">
        <v>1641</v>
      </c>
      <c r="J61" s="1166">
        <v>414</v>
      </c>
      <c r="K61" s="1166">
        <v>394</v>
      </c>
      <c r="L61" s="1166">
        <v>684</v>
      </c>
      <c r="M61" s="1166">
        <v>415</v>
      </c>
      <c r="N61" s="590">
        <v>279</v>
      </c>
      <c r="O61" s="1166">
        <v>206</v>
      </c>
      <c r="P61" s="1166">
        <v>517</v>
      </c>
      <c r="Q61" s="1166">
        <v>522</v>
      </c>
      <c r="R61" s="1166">
        <v>930</v>
      </c>
      <c r="S61" s="1166">
        <v>360</v>
      </c>
      <c r="T61" s="1166">
        <v>329</v>
      </c>
      <c r="U61" s="589">
        <v>145</v>
      </c>
      <c r="V61" s="1166">
        <v>704</v>
      </c>
      <c r="W61" s="1166">
        <v>107</v>
      </c>
      <c r="X61" s="1238">
        <v>106</v>
      </c>
      <c r="Y61" s="1168">
        <v>10000</v>
      </c>
      <c r="Z61" s="586">
        <v>75370</v>
      </c>
    </row>
    <row r="62" spans="1:26" s="531" customFormat="1" ht="18" customHeight="1" x14ac:dyDescent="0.2">
      <c r="A62" s="1157"/>
      <c r="B62" s="1155" t="s">
        <v>933</v>
      </c>
      <c r="C62" s="588"/>
      <c r="D62" s="1145"/>
      <c r="E62" s="1145"/>
      <c r="F62" s="1145"/>
      <c r="G62" s="1145"/>
      <c r="H62" s="1145"/>
      <c r="I62" s="1145"/>
      <c r="J62" s="1145"/>
      <c r="K62" s="1145"/>
      <c r="L62" s="1145"/>
      <c r="M62" s="1145"/>
      <c r="N62" s="587"/>
      <c r="O62" s="1145"/>
      <c r="P62" s="1145"/>
      <c r="Q62" s="1145"/>
      <c r="R62" s="1145"/>
      <c r="S62" s="1145"/>
      <c r="T62" s="1145"/>
      <c r="U62" s="588"/>
      <c r="V62" s="1145"/>
      <c r="W62" s="1145"/>
      <c r="X62" s="1145"/>
      <c r="Y62" s="1168">
        <f t="shared" ref="Y62" si="1">SUM(C62:O62,Q62:R62,U62:X62)</f>
        <v>0</v>
      </c>
      <c r="Z62" s="1146"/>
    </row>
    <row r="63" spans="1:26" s="531" customFormat="1" ht="13.5" x14ac:dyDescent="0.2">
      <c r="A63" s="594" t="s">
        <v>500</v>
      </c>
      <c r="B63" s="785" t="s">
        <v>596</v>
      </c>
      <c r="C63" s="589">
        <v>7</v>
      </c>
      <c r="D63" s="1166">
        <v>23</v>
      </c>
      <c r="E63" s="1166">
        <v>20</v>
      </c>
      <c r="F63" s="1167">
        <v>36</v>
      </c>
      <c r="G63" s="1166">
        <v>67</v>
      </c>
      <c r="H63" s="1166">
        <v>9</v>
      </c>
      <c r="I63" s="1166">
        <v>64</v>
      </c>
      <c r="J63" s="1166">
        <v>29</v>
      </c>
      <c r="K63" s="1166">
        <v>23</v>
      </c>
      <c r="L63" s="1166">
        <v>36</v>
      </c>
      <c r="M63" s="1166">
        <v>16</v>
      </c>
      <c r="N63" s="590">
        <v>21</v>
      </c>
      <c r="O63" s="1166">
        <v>12</v>
      </c>
      <c r="P63" s="1166">
        <v>38</v>
      </c>
      <c r="Q63" s="1166">
        <v>40</v>
      </c>
      <c r="R63" s="1166">
        <v>45</v>
      </c>
      <c r="S63" s="1166">
        <v>21</v>
      </c>
      <c r="T63" s="1166">
        <v>29</v>
      </c>
      <c r="U63" s="589" t="s">
        <v>73</v>
      </c>
      <c r="V63" s="1166">
        <v>43</v>
      </c>
      <c r="W63" s="1166" t="s">
        <v>73</v>
      </c>
      <c r="X63" s="1238">
        <v>7</v>
      </c>
      <c r="Y63" s="1168">
        <v>500</v>
      </c>
      <c r="Z63" s="586">
        <v>3820</v>
      </c>
    </row>
    <row r="64" spans="1:26" s="531" customFormat="1" ht="13.5" x14ac:dyDescent="0.2">
      <c r="A64" s="895"/>
      <c r="B64" s="785" t="s">
        <v>597</v>
      </c>
      <c r="C64" s="589">
        <v>12</v>
      </c>
      <c r="D64" s="1166">
        <v>50</v>
      </c>
      <c r="E64" s="1166">
        <v>52</v>
      </c>
      <c r="F64" s="1167">
        <v>82</v>
      </c>
      <c r="G64" s="1166">
        <v>213</v>
      </c>
      <c r="H64" s="1166">
        <v>29</v>
      </c>
      <c r="I64" s="1166">
        <v>112</v>
      </c>
      <c r="J64" s="1166">
        <v>57</v>
      </c>
      <c r="K64" s="1166">
        <v>55</v>
      </c>
      <c r="L64" s="1166">
        <v>75</v>
      </c>
      <c r="M64" s="1166">
        <v>47</v>
      </c>
      <c r="N64" s="590">
        <v>45</v>
      </c>
      <c r="O64" s="1166">
        <v>26</v>
      </c>
      <c r="P64" s="1166">
        <v>52</v>
      </c>
      <c r="Q64" s="1166">
        <v>64</v>
      </c>
      <c r="R64" s="1166">
        <v>80</v>
      </c>
      <c r="S64" s="1166">
        <v>61</v>
      </c>
      <c r="T64" s="1166">
        <v>40</v>
      </c>
      <c r="U64" s="589" t="s">
        <v>73</v>
      </c>
      <c r="V64" s="1166">
        <v>83</v>
      </c>
      <c r="W64" s="1166" t="s">
        <v>73</v>
      </c>
      <c r="X64" s="1238">
        <v>10</v>
      </c>
      <c r="Y64" s="1168">
        <v>1120</v>
      </c>
      <c r="Z64" s="586">
        <v>9170</v>
      </c>
    </row>
    <row r="65" spans="1:26" s="531" customFormat="1" ht="13.5" x14ac:dyDescent="0.2">
      <c r="A65" s="895"/>
      <c r="B65" s="785" t="s">
        <v>598</v>
      </c>
      <c r="C65" s="589">
        <v>20</v>
      </c>
      <c r="D65" s="1166">
        <v>64</v>
      </c>
      <c r="E65" s="1166">
        <v>75</v>
      </c>
      <c r="F65" s="1167">
        <v>119</v>
      </c>
      <c r="G65" s="1166">
        <v>317</v>
      </c>
      <c r="H65" s="1166">
        <v>57</v>
      </c>
      <c r="I65" s="1166">
        <v>237</v>
      </c>
      <c r="J65" s="1166">
        <v>84</v>
      </c>
      <c r="K65" s="1166">
        <v>82</v>
      </c>
      <c r="L65" s="1166">
        <v>119</v>
      </c>
      <c r="M65" s="1166">
        <v>58</v>
      </c>
      <c r="N65" s="590">
        <v>56</v>
      </c>
      <c r="O65" s="1166">
        <v>40</v>
      </c>
      <c r="P65" s="1166">
        <v>78</v>
      </c>
      <c r="Q65" s="1166">
        <v>132</v>
      </c>
      <c r="R65" s="1166">
        <v>154</v>
      </c>
      <c r="S65" s="1166">
        <v>76</v>
      </c>
      <c r="T65" s="1166">
        <v>59</v>
      </c>
      <c r="U65" s="589">
        <v>24</v>
      </c>
      <c r="V65" s="1166">
        <v>109</v>
      </c>
      <c r="W65" s="1166">
        <v>16</v>
      </c>
      <c r="X65" s="1238">
        <v>14</v>
      </c>
      <c r="Y65" s="1168">
        <v>1780</v>
      </c>
      <c r="Z65" s="586">
        <v>14100</v>
      </c>
    </row>
    <row r="66" spans="1:26" s="531" customFormat="1" ht="13.5" x14ac:dyDescent="0.2">
      <c r="A66" s="895"/>
      <c r="B66" s="785" t="s">
        <v>599</v>
      </c>
      <c r="C66" s="589">
        <v>64</v>
      </c>
      <c r="D66" s="1166">
        <v>164</v>
      </c>
      <c r="E66" s="1166">
        <v>206</v>
      </c>
      <c r="F66" s="1167">
        <v>229</v>
      </c>
      <c r="G66" s="1166">
        <v>641</v>
      </c>
      <c r="H66" s="1166">
        <v>91</v>
      </c>
      <c r="I66" s="1166">
        <v>692</v>
      </c>
      <c r="J66" s="1166">
        <v>171</v>
      </c>
      <c r="K66" s="1166">
        <v>158</v>
      </c>
      <c r="L66" s="1166">
        <v>284</v>
      </c>
      <c r="M66" s="1166">
        <v>173</v>
      </c>
      <c r="N66" s="590">
        <v>104</v>
      </c>
      <c r="O66" s="1166">
        <v>73</v>
      </c>
      <c r="P66" s="1166">
        <v>223</v>
      </c>
      <c r="Q66" s="1166">
        <v>205</v>
      </c>
      <c r="R66" s="1166">
        <v>375</v>
      </c>
      <c r="S66" s="1166">
        <v>121</v>
      </c>
      <c r="T66" s="1166">
        <v>141</v>
      </c>
      <c r="U66" s="589">
        <v>66</v>
      </c>
      <c r="V66" s="1166">
        <v>265</v>
      </c>
      <c r="W66" s="1166">
        <v>45</v>
      </c>
      <c r="X66" s="1238">
        <v>39</v>
      </c>
      <c r="Y66" s="1168">
        <v>4050</v>
      </c>
      <c r="Z66" s="586">
        <v>28540</v>
      </c>
    </row>
    <row r="67" spans="1:26" s="531" customFormat="1" ht="13.5" x14ac:dyDescent="0.2">
      <c r="A67" s="895"/>
      <c r="B67" s="785" t="s">
        <v>600</v>
      </c>
      <c r="C67" s="589">
        <v>35</v>
      </c>
      <c r="D67" s="1166">
        <v>117</v>
      </c>
      <c r="E67" s="1166">
        <v>122</v>
      </c>
      <c r="F67" s="1167">
        <v>137</v>
      </c>
      <c r="G67" s="1166">
        <v>356</v>
      </c>
      <c r="H67" s="1166">
        <v>40</v>
      </c>
      <c r="I67" s="1166">
        <v>540</v>
      </c>
      <c r="J67" s="1166">
        <v>73</v>
      </c>
      <c r="K67" s="1166">
        <v>73</v>
      </c>
      <c r="L67" s="1166">
        <v>171</v>
      </c>
      <c r="M67" s="1166">
        <v>121</v>
      </c>
      <c r="N67" s="590">
        <v>52</v>
      </c>
      <c r="O67" s="1166">
        <v>55</v>
      </c>
      <c r="P67" s="1166">
        <v>131</v>
      </c>
      <c r="Q67" s="1166">
        <v>81</v>
      </c>
      <c r="R67" s="1166">
        <v>274</v>
      </c>
      <c r="S67" s="1166">
        <v>81</v>
      </c>
      <c r="T67" s="1166">
        <v>58</v>
      </c>
      <c r="U67" s="589">
        <v>38</v>
      </c>
      <c r="V67" s="1166">
        <v>204</v>
      </c>
      <c r="W67" s="1166">
        <v>33</v>
      </c>
      <c r="X67" s="1238">
        <v>36</v>
      </c>
      <c r="Y67" s="1168">
        <v>2560</v>
      </c>
      <c r="Z67" s="586">
        <v>17040</v>
      </c>
    </row>
    <row r="68" spans="1:26" s="531" customFormat="1" ht="13.5" x14ac:dyDescent="0.2">
      <c r="A68" s="595" t="s">
        <v>236</v>
      </c>
      <c r="B68" s="783" t="s">
        <v>418</v>
      </c>
      <c r="C68" s="589">
        <v>103</v>
      </c>
      <c r="D68" s="589">
        <v>301</v>
      </c>
      <c r="E68" s="589">
        <v>353</v>
      </c>
      <c r="F68" s="589">
        <v>466</v>
      </c>
      <c r="G68" s="589">
        <v>1238</v>
      </c>
      <c r="H68" s="589">
        <v>186</v>
      </c>
      <c r="I68" s="589">
        <v>1105</v>
      </c>
      <c r="J68" s="589">
        <v>341</v>
      </c>
      <c r="K68" s="589">
        <v>318</v>
      </c>
      <c r="L68" s="589">
        <v>514</v>
      </c>
      <c r="M68" s="589">
        <v>294</v>
      </c>
      <c r="N68" s="589">
        <v>226</v>
      </c>
      <c r="O68" s="589">
        <v>151</v>
      </c>
      <c r="P68" s="589">
        <v>391</v>
      </c>
      <c r="Q68" s="589">
        <v>441</v>
      </c>
      <c r="R68" s="589">
        <v>654</v>
      </c>
      <c r="S68" s="589">
        <v>279</v>
      </c>
      <c r="T68" s="589">
        <v>269</v>
      </c>
      <c r="U68" s="589">
        <v>90</v>
      </c>
      <c r="V68" s="589">
        <v>500</v>
      </c>
      <c r="W68" s="589">
        <v>61</v>
      </c>
      <c r="X68" s="589">
        <v>70</v>
      </c>
      <c r="Y68" s="1250">
        <v>7450</v>
      </c>
      <c r="Z68" s="1251">
        <v>55630</v>
      </c>
    </row>
    <row r="69" spans="1:26" s="531" customFormat="1" ht="13.5" x14ac:dyDescent="0.2">
      <c r="A69" s="595" t="s">
        <v>704</v>
      </c>
      <c r="B69" s="783" t="s">
        <v>419</v>
      </c>
      <c r="C69" s="589">
        <v>25</v>
      </c>
      <c r="D69" s="1166">
        <v>122</v>
      </c>
      <c r="E69" s="1166">
        <v>141</v>
      </c>
      <c r="F69" s="1166">
        <v>207</v>
      </c>
      <c r="G69" s="1166">
        <v>507</v>
      </c>
      <c r="H69" s="1166">
        <v>65</v>
      </c>
      <c r="I69" s="1166">
        <v>566</v>
      </c>
      <c r="J69" s="1166">
        <v>167</v>
      </c>
      <c r="K69" s="1166">
        <v>128</v>
      </c>
      <c r="L69" s="1166">
        <v>162</v>
      </c>
      <c r="M69" s="1166">
        <v>119</v>
      </c>
      <c r="N69" s="590">
        <v>84</v>
      </c>
      <c r="O69" s="1166">
        <v>46</v>
      </c>
      <c r="P69" s="1166">
        <v>163</v>
      </c>
      <c r="Q69" s="1166">
        <v>234</v>
      </c>
      <c r="R69" s="1166">
        <v>244</v>
      </c>
      <c r="S69" s="1166">
        <v>67</v>
      </c>
      <c r="T69" s="1166">
        <v>132</v>
      </c>
      <c r="U69" s="589">
        <v>55</v>
      </c>
      <c r="V69" s="1166">
        <v>156</v>
      </c>
      <c r="W69" s="1166">
        <v>31</v>
      </c>
      <c r="X69" s="1238">
        <v>20</v>
      </c>
      <c r="Y69" s="1168">
        <v>3080</v>
      </c>
      <c r="Z69" s="586">
        <v>24680</v>
      </c>
    </row>
    <row r="70" spans="1:26" s="531" customFormat="1" ht="13.5" x14ac:dyDescent="0.2">
      <c r="A70" s="595" t="s">
        <v>705</v>
      </c>
      <c r="B70" s="785" t="s">
        <v>420</v>
      </c>
      <c r="C70" s="588">
        <v>14</v>
      </c>
      <c r="D70" s="1166">
        <v>84</v>
      </c>
      <c r="E70" s="1166">
        <v>99</v>
      </c>
      <c r="F70" s="1166">
        <v>146</v>
      </c>
      <c r="G70" s="1166">
        <v>367</v>
      </c>
      <c r="H70" s="1166">
        <v>48</v>
      </c>
      <c r="I70" s="1166">
        <v>384</v>
      </c>
      <c r="J70" s="1166">
        <v>112</v>
      </c>
      <c r="K70" s="1166">
        <v>73</v>
      </c>
      <c r="L70" s="1166">
        <v>106</v>
      </c>
      <c r="M70" s="1166">
        <v>74</v>
      </c>
      <c r="N70" s="590">
        <v>53</v>
      </c>
      <c r="O70" s="1166">
        <v>33</v>
      </c>
      <c r="P70" s="1166">
        <v>101</v>
      </c>
      <c r="Q70" s="1166">
        <v>166</v>
      </c>
      <c r="R70" s="1166">
        <v>164</v>
      </c>
      <c r="S70" s="1166">
        <v>41</v>
      </c>
      <c r="T70" s="1166">
        <v>75</v>
      </c>
      <c r="U70" s="589">
        <v>35</v>
      </c>
      <c r="V70" s="1166">
        <v>109</v>
      </c>
      <c r="W70" s="1166">
        <v>22</v>
      </c>
      <c r="X70" s="1238">
        <v>15</v>
      </c>
      <c r="Y70" s="1168">
        <v>2100</v>
      </c>
      <c r="Z70" s="586">
        <v>17230</v>
      </c>
    </row>
    <row r="71" spans="1:26" s="531" customFormat="1" ht="13.5" x14ac:dyDescent="0.2">
      <c r="A71" s="595" t="s">
        <v>706</v>
      </c>
      <c r="B71" s="785" t="s">
        <v>585</v>
      </c>
      <c r="C71" s="589" t="s">
        <v>1252</v>
      </c>
      <c r="D71" s="1166">
        <v>30</v>
      </c>
      <c r="E71" s="1166">
        <v>35</v>
      </c>
      <c r="F71" s="1166">
        <v>20</v>
      </c>
      <c r="G71" s="1166">
        <v>113</v>
      </c>
      <c r="H71" s="1166">
        <v>7</v>
      </c>
      <c r="I71" s="1166">
        <v>234</v>
      </c>
      <c r="J71" s="1166" t="s">
        <v>1252</v>
      </c>
      <c r="K71" s="1166">
        <v>30</v>
      </c>
      <c r="L71" s="1166">
        <v>57</v>
      </c>
      <c r="M71" s="1166">
        <v>72</v>
      </c>
      <c r="N71" s="590">
        <v>9</v>
      </c>
      <c r="O71" s="1166">
        <v>8</v>
      </c>
      <c r="P71" s="1166">
        <v>28</v>
      </c>
      <c r="Q71" s="1166">
        <v>15</v>
      </c>
      <c r="R71" s="1166">
        <v>111</v>
      </c>
      <c r="S71" s="1166">
        <v>26</v>
      </c>
      <c r="T71" s="1166" t="s">
        <v>1252</v>
      </c>
      <c r="U71" s="589">
        <v>16</v>
      </c>
      <c r="V71" s="1166">
        <v>69</v>
      </c>
      <c r="W71" s="1166">
        <v>7</v>
      </c>
      <c r="X71" s="1238">
        <v>14</v>
      </c>
      <c r="Y71" s="1168">
        <v>850</v>
      </c>
      <c r="Z71" s="586">
        <v>4550</v>
      </c>
    </row>
    <row r="72" spans="1:26" s="531" customFormat="1" ht="13.5" x14ac:dyDescent="0.2">
      <c r="A72" s="594" t="s">
        <v>707</v>
      </c>
      <c r="B72" s="785" t="s">
        <v>566</v>
      </c>
      <c r="C72" s="589">
        <v>19</v>
      </c>
      <c r="D72" s="1166">
        <v>40</v>
      </c>
      <c r="E72" s="1166">
        <v>28</v>
      </c>
      <c r="F72" s="1166">
        <v>67</v>
      </c>
      <c r="G72" s="1166">
        <v>262</v>
      </c>
      <c r="H72" s="1166">
        <v>41</v>
      </c>
      <c r="I72" s="1166">
        <v>193</v>
      </c>
      <c r="J72" s="1166">
        <v>41</v>
      </c>
      <c r="K72" s="1166">
        <v>44</v>
      </c>
      <c r="L72" s="1166">
        <v>77</v>
      </c>
      <c r="M72" s="1166">
        <v>60</v>
      </c>
      <c r="N72" s="590">
        <v>32</v>
      </c>
      <c r="O72" s="1166">
        <v>33</v>
      </c>
      <c r="P72" s="1166">
        <v>80</v>
      </c>
      <c r="Q72" s="1166">
        <v>50</v>
      </c>
      <c r="R72" s="1166">
        <v>71</v>
      </c>
      <c r="S72" s="1166">
        <v>44</v>
      </c>
      <c r="T72" s="1166">
        <v>83</v>
      </c>
      <c r="U72" s="589">
        <v>8</v>
      </c>
      <c r="V72" s="1166">
        <v>99</v>
      </c>
      <c r="W72" s="1166">
        <v>14</v>
      </c>
      <c r="X72" s="1238">
        <v>14</v>
      </c>
      <c r="Y72" s="1168">
        <v>1190</v>
      </c>
      <c r="Z72" s="586">
        <v>7890</v>
      </c>
    </row>
    <row r="73" spans="1:26" s="531" customFormat="1" ht="13.5" x14ac:dyDescent="0.2">
      <c r="A73" s="594" t="s">
        <v>237</v>
      </c>
      <c r="B73" s="785" t="s">
        <v>579</v>
      </c>
      <c r="C73" s="1213"/>
      <c r="D73" s="1214"/>
      <c r="E73" s="1214"/>
      <c r="F73" s="1214"/>
      <c r="G73" s="1214"/>
      <c r="H73" s="1214"/>
      <c r="I73" s="1214"/>
      <c r="J73" s="1214"/>
      <c r="K73" s="1214"/>
      <c r="L73" s="1214"/>
      <c r="M73" s="1214"/>
      <c r="N73" s="1217"/>
      <c r="O73" s="1214"/>
      <c r="P73" s="1214"/>
      <c r="Q73" s="1214"/>
      <c r="R73" s="1214"/>
      <c r="S73" s="1214"/>
      <c r="T73" s="1214"/>
      <c r="U73" s="1213"/>
      <c r="V73" s="1214"/>
      <c r="W73" s="1214"/>
      <c r="X73" s="1236"/>
      <c r="Y73" s="1215"/>
      <c r="Z73" s="1216"/>
    </row>
    <row r="74" spans="1:26" s="531" customFormat="1" ht="13.5" x14ac:dyDescent="0.2">
      <c r="A74" s="594" t="s">
        <v>238</v>
      </c>
      <c r="B74" s="785" t="s">
        <v>580</v>
      </c>
      <c r="C74" s="1213"/>
      <c r="D74" s="1214"/>
      <c r="E74" s="1214"/>
      <c r="F74" s="1214"/>
      <c r="G74" s="1214"/>
      <c r="H74" s="1214"/>
      <c r="I74" s="1214"/>
      <c r="J74" s="1214"/>
      <c r="K74" s="1214"/>
      <c r="L74" s="1214"/>
      <c r="M74" s="1214"/>
      <c r="N74" s="1217"/>
      <c r="O74" s="1214"/>
      <c r="P74" s="1214"/>
      <c r="Q74" s="1214"/>
      <c r="R74" s="1214"/>
      <c r="S74" s="1214"/>
      <c r="T74" s="1214"/>
      <c r="U74" s="1213"/>
      <c r="V74" s="1214"/>
      <c r="W74" s="1214"/>
      <c r="X74" s="1236"/>
      <c r="Y74" s="1215"/>
      <c r="Z74" s="1216"/>
    </row>
    <row r="75" spans="1:26" s="531" customFormat="1" ht="13.5" x14ac:dyDescent="0.2">
      <c r="A75" s="585" t="s">
        <v>708</v>
      </c>
      <c r="B75" s="778" t="s">
        <v>567</v>
      </c>
      <c r="C75" s="589">
        <v>84</v>
      </c>
      <c r="D75" s="1166">
        <v>140</v>
      </c>
      <c r="E75" s="1166">
        <v>193</v>
      </c>
      <c r="F75" s="1166">
        <v>203</v>
      </c>
      <c r="G75" s="1166">
        <v>629</v>
      </c>
      <c r="H75" s="1166">
        <v>76</v>
      </c>
      <c r="I75" s="1166">
        <v>768</v>
      </c>
      <c r="J75" s="1166">
        <v>175</v>
      </c>
      <c r="K75" s="1166">
        <v>140</v>
      </c>
      <c r="L75" s="1166">
        <v>303</v>
      </c>
      <c r="M75" s="1166">
        <v>237</v>
      </c>
      <c r="N75" s="587">
        <v>107</v>
      </c>
      <c r="O75" s="1166">
        <v>125</v>
      </c>
      <c r="P75" s="1166">
        <v>258</v>
      </c>
      <c r="Q75" s="1166">
        <v>178</v>
      </c>
      <c r="R75" s="1166">
        <v>456</v>
      </c>
      <c r="S75" s="1166">
        <v>178</v>
      </c>
      <c r="T75" s="1166">
        <v>138</v>
      </c>
      <c r="U75" s="588">
        <v>68</v>
      </c>
      <c r="V75" s="1166">
        <v>378</v>
      </c>
      <c r="W75" s="1166">
        <v>46</v>
      </c>
      <c r="X75" s="1238">
        <v>66</v>
      </c>
      <c r="Y75" s="1168">
        <v>4370</v>
      </c>
      <c r="Z75" s="586">
        <v>32190</v>
      </c>
    </row>
    <row r="76" spans="1:26" s="531" customFormat="1" ht="13.5" x14ac:dyDescent="0.2">
      <c r="A76" s="585" t="s">
        <v>709</v>
      </c>
      <c r="B76" s="778" t="s">
        <v>568</v>
      </c>
      <c r="C76" s="1240"/>
      <c r="D76" s="1231"/>
      <c r="E76" s="1231"/>
      <c r="F76" s="1231"/>
      <c r="G76" s="1231"/>
      <c r="H76" s="1231"/>
      <c r="I76" s="1231"/>
      <c r="J76" s="1231"/>
      <c r="K76" s="1231"/>
      <c r="L76" s="1231"/>
      <c r="M76" s="1231"/>
      <c r="N76" s="1241"/>
      <c r="O76" s="1231"/>
      <c r="P76" s="1231"/>
      <c r="Q76" s="1231"/>
      <c r="R76" s="1231"/>
      <c r="S76" s="1231"/>
      <c r="T76" s="1231"/>
      <c r="U76" s="1240"/>
      <c r="V76" s="1231"/>
      <c r="W76" s="1231"/>
      <c r="X76" s="1242"/>
      <c r="Y76" s="1234"/>
      <c r="Z76" s="1232"/>
    </row>
    <row r="77" spans="1:26" s="531" customFormat="1" ht="13.5" x14ac:dyDescent="0.2">
      <c r="A77" s="585" t="s">
        <v>710</v>
      </c>
      <c r="B77" s="778" t="s">
        <v>569</v>
      </c>
      <c r="C77" s="1240"/>
      <c r="D77" s="1231"/>
      <c r="E77" s="1231"/>
      <c r="F77" s="1231"/>
      <c r="G77" s="1231"/>
      <c r="H77" s="1231"/>
      <c r="I77" s="1231"/>
      <c r="J77" s="1231"/>
      <c r="K77" s="1231"/>
      <c r="L77" s="1231"/>
      <c r="M77" s="1231"/>
      <c r="N77" s="1241"/>
      <c r="O77" s="1231"/>
      <c r="P77" s="1231"/>
      <c r="Q77" s="1231"/>
      <c r="R77" s="1231"/>
      <c r="S77" s="1231"/>
      <c r="T77" s="1231"/>
      <c r="U77" s="1240"/>
      <c r="V77" s="1231"/>
      <c r="W77" s="1231"/>
      <c r="X77" s="1242"/>
      <c r="Y77" s="1234"/>
      <c r="Z77" s="1232"/>
    </row>
    <row r="78" spans="1:26" s="531" customFormat="1" ht="13.5" x14ac:dyDescent="0.2">
      <c r="A78" s="595">
        <v>30</v>
      </c>
      <c r="B78" s="785" t="s">
        <v>609</v>
      </c>
      <c r="C78" s="591" t="s">
        <v>73</v>
      </c>
      <c r="D78" s="1166">
        <v>19</v>
      </c>
      <c r="E78" s="1166">
        <v>9</v>
      </c>
      <c r="F78" s="1166">
        <v>26</v>
      </c>
      <c r="G78" s="1166">
        <v>55</v>
      </c>
      <c r="H78" s="1166" t="s">
        <v>73</v>
      </c>
      <c r="I78" s="1166">
        <v>56</v>
      </c>
      <c r="J78" s="1166">
        <v>23</v>
      </c>
      <c r="K78" s="1166" t="s">
        <v>73</v>
      </c>
      <c r="L78" s="1166">
        <v>19</v>
      </c>
      <c r="M78" s="1166" t="s">
        <v>73</v>
      </c>
      <c r="N78" s="590">
        <v>12</v>
      </c>
      <c r="O78" s="1166">
        <v>8</v>
      </c>
      <c r="P78" s="1166" t="s">
        <v>73</v>
      </c>
      <c r="Q78" s="1166">
        <v>28</v>
      </c>
      <c r="R78" s="1166">
        <v>14</v>
      </c>
      <c r="S78" s="1166" t="s">
        <v>73</v>
      </c>
      <c r="T78" s="1166">
        <v>7</v>
      </c>
      <c r="U78" s="589" t="s">
        <v>73</v>
      </c>
      <c r="V78" s="1166">
        <v>41</v>
      </c>
      <c r="W78" s="1166" t="s">
        <v>73</v>
      </c>
      <c r="X78" s="1238" t="s">
        <v>73</v>
      </c>
      <c r="Y78" s="1168">
        <v>340</v>
      </c>
      <c r="Z78" s="586">
        <v>2230</v>
      </c>
    </row>
    <row r="79" spans="1:26" s="531" customFormat="1" ht="13.5" x14ac:dyDescent="0.2">
      <c r="A79" s="595">
        <v>31</v>
      </c>
      <c r="B79" s="785" t="s">
        <v>421</v>
      </c>
      <c r="C79" s="588">
        <v>67</v>
      </c>
      <c r="D79" s="1166">
        <v>176</v>
      </c>
      <c r="E79" s="1166">
        <v>180</v>
      </c>
      <c r="F79" s="1166">
        <v>162</v>
      </c>
      <c r="G79" s="1166">
        <v>486</v>
      </c>
      <c r="H79" s="1166">
        <v>82</v>
      </c>
      <c r="I79" s="1166">
        <v>1049</v>
      </c>
      <c r="J79" s="1166">
        <v>159</v>
      </c>
      <c r="K79" s="1166">
        <v>145</v>
      </c>
      <c r="L79" s="1166">
        <v>298</v>
      </c>
      <c r="M79" s="1166">
        <v>186</v>
      </c>
      <c r="N79" s="590">
        <v>92</v>
      </c>
      <c r="O79" s="1166">
        <v>112</v>
      </c>
      <c r="P79" s="1166">
        <v>223</v>
      </c>
      <c r="Q79" s="1166">
        <v>197</v>
      </c>
      <c r="R79" s="1166">
        <v>409</v>
      </c>
      <c r="S79" s="1166">
        <v>155</v>
      </c>
      <c r="T79" s="1166">
        <v>102</v>
      </c>
      <c r="U79" s="589">
        <v>86</v>
      </c>
      <c r="V79" s="1166">
        <v>338</v>
      </c>
      <c r="W79" s="1166">
        <v>49</v>
      </c>
      <c r="X79" s="1238">
        <v>36</v>
      </c>
      <c r="Y79" s="1168">
        <v>4310</v>
      </c>
      <c r="Z79" s="586">
        <v>30050</v>
      </c>
    </row>
    <row r="80" spans="1:26" s="531" customFormat="1" ht="13.5" x14ac:dyDescent="0.2">
      <c r="A80" s="595" t="s">
        <v>711</v>
      </c>
      <c r="B80" s="785" t="s">
        <v>422</v>
      </c>
      <c r="C80" s="591" t="s">
        <v>1252</v>
      </c>
      <c r="D80" s="1166">
        <v>32</v>
      </c>
      <c r="E80" s="1166">
        <v>23</v>
      </c>
      <c r="F80" s="1166">
        <v>32</v>
      </c>
      <c r="G80" s="1166">
        <v>55</v>
      </c>
      <c r="H80" s="1166">
        <v>13</v>
      </c>
      <c r="I80" s="1166">
        <v>104</v>
      </c>
      <c r="J80" s="1166">
        <v>35</v>
      </c>
      <c r="K80" s="1166">
        <v>9</v>
      </c>
      <c r="L80" s="1166">
        <v>36</v>
      </c>
      <c r="M80" s="1166">
        <v>30</v>
      </c>
      <c r="N80" s="592">
        <v>13</v>
      </c>
      <c r="O80" s="1166">
        <v>13</v>
      </c>
      <c r="P80" s="1166">
        <v>31</v>
      </c>
      <c r="Q80" s="1166">
        <v>54</v>
      </c>
      <c r="R80" s="1166">
        <v>33</v>
      </c>
      <c r="S80" s="1166">
        <v>16</v>
      </c>
      <c r="T80" s="1166">
        <v>20</v>
      </c>
      <c r="U80" s="591" t="s">
        <v>1252</v>
      </c>
      <c r="V80" s="1166">
        <v>35</v>
      </c>
      <c r="W80" s="1166" t="s">
        <v>1252</v>
      </c>
      <c r="X80" s="1238" t="s">
        <v>1252</v>
      </c>
      <c r="Y80" s="1168">
        <v>530</v>
      </c>
      <c r="Z80" s="586">
        <v>3850</v>
      </c>
    </row>
    <row r="81" spans="1:26" s="531" customFormat="1" ht="13.5" x14ac:dyDescent="0.2">
      <c r="A81" s="595" t="s">
        <v>712</v>
      </c>
      <c r="B81" s="785" t="s">
        <v>423</v>
      </c>
      <c r="C81" s="1214"/>
      <c r="D81" s="1214"/>
      <c r="E81" s="1214"/>
      <c r="F81" s="1214"/>
      <c r="G81" s="1214"/>
      <c r="H81" s="1214"/>
      <c r="I81" s="1214"/>
      <c r="J81" s="1214"/>
      <c r="K81" s="1214"/>
      <c r="L81" s="1214"/>
      <c r="M81" s="1214"/>
      <c r="N81" s="1214"/>
      <c r="O81" s="1214"/>
      <c r="P81" s="1214"/>
      <c r="Q81" s="1214"/>
      <c r="R81" s="1214"/>
      <c r="S81" s="1214"/>
      <c r="T81" s="1214"/>
      <c r="U81" s="1214"/>
      <c r="V81" s="1214"/>
      <c r="W81" s="1214"/>
      <c r="X81" s="1236"/>
      <c r="Y81" s="1215"/>
      <c r="Z81" s="1216"/>
    </row>
    <row r="82" spans="1:26" s="531" customFormat="1" ht="22.5" x14ac:dyDescent="0.2">
      <c r="A82" s="595" t="s">
        <v>713</v>
      </c>
      <c r="B82" s="785" t="s">
        <v>424</v>
      </c>
      <c r="C82" s="1214"/>
      <c r="D82" s="1214"/>
      <c r="E82" s="1214"/>
      <c r="F82" s="1214"/>
      <c r="G82" s="1214"/>
      <c r="H82" s="1214"/>
      <c r="I82" s="1214"/>
      <c r="J82" s="1214"/>
      <c r="K82" s="1214"/>
      <c r="L82" s="1214"/>
      <c r="M82" s="1214"/>
      <c r="N82" s="1214"/>
      <c r="O82" s="1214"/>
      <c r="P82" s="1214"/>
      <c r="Q82" s="1214"/>
      <c r="R82" s="1214"/>
      <c r="S82" s="1214"/>
      <c r="T82" s="1214"/>
      <c r="U82" s="1214"/>
      <c r="V82" s="1214"/>
      <c r="W82" s="1214"/>
      <c r="X82" s="1236"/>
      <c r="Y82" s="1252"/>
      <c r="Z82" s="1216"/>
    </row>
    <row r="83" spans="1:26" s="531" customFormat="1" ht="13.5" x14ac:dyDescent="0.2">
      <c r="A83" s="585">
        <v>33</v>
      </c>
      <c r="B83" s="779" t="s">
        <v>561</v>
      </c>
      <c r="C83" s="1145">
        <v>18</v>
      </c>
      <c r="D83" s="1145">
        <v>68</v>
      </c>
      <c r="E83" s="1145">
        <v>47</v>
      </c>
      <c r="F83" s="1145">
        <v>56</v>
      </c>
      <c r="G83" s="1145">
        <v>146</v>
      </c>
      <c r="H83" s="1145">
        <v>28</v>
      </c>
      <c r="I83" s="1145">
        <v>430</v>
      </c>
      <c r="J83" s="1145">
        <v>41</v>
      </c>
      <c r="K83" s="1145">
        <v>46</v>
      </c>
      <c r="L83" s="1145">
        <v>90</v>
      </c>
      <c r="M83" s="1145">
        <v>50</v>
      </c>
      <c r="N83" s="1145">
        <v>35</v>
      </c>
      <c r="O83" s="1145">
        <v>28</v>
      </c>
      <c r="P83" s="1145">
        <v>58</v>
      </c>
      <c r="Q83" s="1145">
        <v>33</v>
      </c>
      <c r="R83" s="1145">
        <v>171</v>
      </c>
      <c r="S83" s="1145">
        <v>37</v>
      </c>
      <c r="T83" s="1145" t="s">
        <v>73</v>
      </c>
      <c r="U83" s="1145">
        <v>23</v>
      </c>
      <c r="V83" s="1145">
        <v>105</v>
      </c>
      <c r="W83" s="1145">
        <v>20</v>
      </c>
      <c r="X83" s="1145">
        <v>15</v>
      </c>
      <c r="Y83" s="529">
        <v>1450</v>
      </c>
      <c r="Z83" s="1000">
        <v>9260</v>
      </c>
    </row>
    <row r="84" spans="1:26" s="531" customFormat="1" ht="13.5" x14ac:dyDescent="0.2">
      <c r="A84" s="585" t="s">
        <v>714</v>
      </c>
      <c r="B84" s="779" t="s">
        <v>562</v>
      </c>
      <c r="C84" s="1145">
        <v>42</v>
      </c>
      <c r="D84" s="1145">
        <v>195</v>
      </c>
      <c r="E84" s="1145">
        <v>199</v>
      </c>
      <c r="F84" s="1145">
        <v>154</v>
      </c>
      <c r="G84" s="1145">
        <v>530</v>
      </c>
      <c r="H84" s="1145">
        <v>89</v>
      </c>
      <c r="I84" s="1145">
        <v>1349</v>
      </c>
      <c r="J84" s="1145">
        <v>112</v>
      </c>
      <c r="K84" s="1145">
        <v>149</v>
      </c>
      <c r="L84" s="1145">
        <v>242</v>
      </c>
      <c r="M84" s="1145">
        <v>115</v>
      </c>
      <c r="N84" s="1145">
        <v>87</v>
      </c>
      <c r="O84" s="1145">
        <v>89</v>
      </c>
      <c r="P84" s="1145">
        <v>201</v>
      </c>
      <c r="Q84" s="1145">
        <v>124</v>
      </c>
      <c r="R84" s="1145">
        <v>418</v>
      </c>
      <c r="S84" s="1145">
        <v>124</v>
      </c>
      <c r="T84" s="1145">
        <v>107</v>
      </c>
      <c r="U84" s="1145">
        <v>78</v>
      </c>
      <c r="V84" s="1145">
        <v>348</v>
      </c>
      <c r="W84" s="1145">
        <v>48</v>
      </c>
      <c r="X84" s="1145">
        <v>28</v>
      </c>
      <c r="Y84" s="529">
        <v>4400</v>
      </c>
      <c r="Z84" s="1000">
        <v>28510</v>
      </c>
    </row>
    <row r="85" spans="1:26" s="531" customFormat="1" ht="13.5" x14ac:dyDescent="0.2">
      <c r="A85" s="585" t="s">
        <v>715</v>
      </c>
      <c r="B85" s="779" t="s">
        <v>563</v>
      </c>
      <c r="C85" s="1145">
        <v>42</v>
      </c>
      <c r="D85" s="1145" t="s">
        <v>73</v>
      </c>
      <c r="E85" s="1145">
        <v>157</v>
      </c>
      <c r="F85" s="1145">
        <v>122</v>
      </c>
      <c r="G85" s="1145">
        <v>425</v>
      </c>
      <c r="H85" s="1145" t="s">
        <v>73</v>
      </c>
      <c r="I85" s="1145">
        <v>1100</v>
      </c>
      <c r="J85" s="1145" t="s">
        <v>73</v>
      </c>
      <c r="K85" s="1145">
        <v>129</v>
      </c>
      <c r="L85" s="1145">
        <v>198</v>
      </c>
      <c r="M85" s="1145">
        <v>88</v>
      </c>
      <c r="N85" s="1145">
        <v>73</v>
      </c>
      <c r="O85" s="1145">
        <v>74</v>
      </c>
      <c r="P85" s="1145" t="s">
        <v>73</v>
      </c>
      <c r="Q85" s="1145">
        <v>107</v>
      </c>
      <c r="R85" s="1145">
        <v>351</v>
      </c>
      <c r="S85" s="1145">
        <v>124</v>
      </c>
      <c r="T85" s="1145" t="s">
        <v>73</v>
      </c>
      <c r="U85" s="1145">
        <v>58</v>
      </c>
      <c r="V85" s="1145">
        <v>323</v>
      </c>
      <c r="W85" s="1145">
        <v>40</v>
      </c>
      <c r="X85" s="1145" t="s">
        <v>73</v>
      </c>
      <c r="Y85" s="529">
        <v>3700</v>
      </c>
      <c r="Z85" s="1000">
        <v>25130</v>
      </c>
    </row>
    <row r="86" spans="1:26" s="531" customFormat="1" ht="13.5" x14ac:dyDescent="0.2">
      <c r="A86" s="585" t="s">
        <v>716</v>
      </c>
      <c r="B86" s="779" t="s">
        <v>564</v>
      </c>
      <c r="C86" s="1145">
        <v>42</v>
      </c>
      <c r="D86" s="1145">
        <v>178</v>
      </c>
      <c r="E86" s="1145">
        <v>153</v>
      </c>
      <c r="F86" s="1145">
        <v>119</v>
      </c>
      <c r="G86" s="1145">
        <v>375</v>
      </c>
      <c r="H86" s="1145" t="s">
        <v>73</v>
      </c>
      <c r="I86" s="1145">
        <v>1029</v>
      </c>
      <c r="J86" s="1145">
        <v>104</v>
      </c>
      <c r="K86" s="1145">
        <v>119</v>
      </c>
      <c r="L86" s="1145">
        <v>187</v>
      </c>
      <c r="M86" s="1145">
        <v>80</v>
      </c>
      <c r="N86" s="1145">
        <v>68</v>
      </c>
      <c r="O86" s="1145">
        <v>60</v>
      </c>
      <c r="P86" s="1145">
        <v>187</v>
      </c>
      <c r="Q86" s="1145">
        <v>99</v>
      </c>
      <c r="R86" s="1145">
        <v>341</v>
      </c>
      <c r="S86" s="1145">
        <v>110</v>
      </c>
      <c r="T86" s="1145" t="s">
        <v>73</v>
      </c>
      <c r="U86" s="1145">
        <v>55</v>
      </c>
      <c r="V86" s="1145">
        <v>318</v>
      </c>
      <c r="W86" s="1145">
        <v>33</v>
      </c>
      <c r="X86" s="1145" t="s">
        <v>73</v>
      </c>
      <c r="Y86" s="529">
        <v>3470</v>
      </c>
      <c r="Z86" s="1000">
        <v>23510</v>
      </c>
    </row>
    <row r="87" spans="1:26" s="531" customFormat="1" ht="13.5" x14ac:dyDescent="0.2">
      <c r="A87" s="585" t="s">
        <v>717</v>
      </c>
      <c r="B87" s="779" t="s">
        <v>565</v>
      </c>
      <c r="C87" s="1145">
        <v>28</v>
      </c>
      <c r="D87" s="1145">
        <v>135</v>
      </c>
      <c r="E87" s="1145">
        <v>102</v>
      </c>
      <c r="F87" s="1145">
        <v>80</v>
      </c>
      <c r="G87" s="1145">
        <v>238</v>
      </c>
      <c r="H87" s="1145">
        <v>47</v>
      </c>
      <c r="I87" s="1145">
        <v>702</v>
      </c>
      <c r="J87" s="1145" t="s">
        <v>73</v>
      </c>
      <c r="K87" s="1145">
        <v>68</v>
      </c>
      <c r="L87" s="1145">
        <v>117</v>
      </c>
      <c r="M87" s="1145">
        <v>43</v>
      </c>
      <c r="N87" s="1145">
        <v>37</v>
      </c>
      <c r="O87" s="1145">
        <v>34</v>
      </c>
      <c r="P87" s="1145">
        <v>116</v>
      </c>
      <c r="Q87" s="1145">
        <v>51</v>
      </c>
      <c r="R87" s="1145">
        <v>235</v>
      </c>
      <c r="S87" s="1145">
        <v>74</v>
      </c>
      <c r="T87" s="1145" t="s">
        <v>73</v>
      </c>
      <c r="U87" s="1145">
        <v>38</v>
      </c>
      <c r="V87" s="1145">
        <v>249</v>
      </c>
      <c r="W87" s="1145">
        <v>25</v>
      </c>
      <c r="X87" s="1145">
        <v>17</v>
      </c>
      <c r="Y87" s="529">
        <v>2300</v>
      </c>
      <c r="Z87" s="1000">
        <v>14640</v>
      </c>
    </row>
    <row r="88" spans="1:26" s="531" customFormat="1" ht="13.5" x14ac:dyDescent="0.2">
      <c r="A88" s="594">
        <v>35</v>
      </c>
      <c r="B88" s="785" t="s">
        <v>613</v>
      </c>
      <c r="C88" s="1166" t="s">
        <v>73</v>
      </c>
      <c r="D88" s="1166">
        <v>7</v>
      </c>
      <c r="E88" s="1166" t="s">
        <v>73</v>
      </c>
      <c r="F88" s="1167" t="s">
        <v>73</v>
      </c>
      <c r="G88" s="1166">
        <v>20</v>
      </c>
      <c r="H88" s="1166" t="s">
        <v>73</v>
      </c>
      <c r="I88" s="1166">
        <v>16</v>
      </c>
      <c r="J88" s="1166" t="s">
        <v>73</v>
      </c>
      <c r="K88" s="1166" t="s">
        <v>73</v>
      </c>
      <c r="L88" s="1166">
        <v>8</v>
      </c>
      <c r="M88" s="1166">
        <v>8</v>
      </c>
      <c r="N88" s="1166" t="s">
        <v>73</v>
      </c>
      <c r="O88" s="1166" t="s">
        <v>73</v>
      </c>
      <c r="P88" s="1166">
        <v>6</v>
      </c>
      <c r="Q88" s="1166">
        <v>13</v>
      </c>
      <c r="R88" s="1166">
        <v>13</v>
      </c>
      <c r="S88" s="1166">
        <v>8</v>
      </c>
      <c r="T88" s="1166">
        <v>6</v>
      </c>
      <c r="U88" s="1166">
        <v>9</v>
      </c>
      <c r="V88" s="1166">
        <v>0</v>
      </c>
      <c r="W88" s="1166" t="s">
        <v>73</v>
      </c>
      <c r="X88" s="1238">
        <v>0</v>
      </c>
      <c r="Y88" s="1168">
        <v>120</v>
      </c>
      <c r="Z88" s="1169">
        <v>1170</v>
      </c>
    </row>
    <row r="89" spans="1:26" s="531" customFormat="1" ht="13.5" x14ac:dyDescent="0.2">
      <c r="A89" s="594">
        <v>36</v>
      </c>
      <c r="B89" s="785" t="s">
        <v>614</v>
      </c>
      <c r="C89" s="1166" t="s">
        <v>73</v>
      </c>
      <c r="D89" s="1166">
        <v>25</v>
      </c>
      <c r="E89" s="1166">
        <v>31</v>
      </c>
      <c r="F89" s="1167">
        <v>18</v>
      </c>
      <c r="G89" s="1166">
        <v>56</v>
      </c>
      <c r="H89" s="1166" t="s">
        <v>73</v>
      </c>
      <c r="I89" s="1166">
        <v>43</v>
      </c>
      <c r="J89" s="1166">
        <v>19</v>
      </c>
      <c r="K89" s="1166">
        <v>36</v>
      </c>
      <c r="L89" s="1166">
        <v>44</v>
      </c>
      <c r="M89" s="1166">
        <v>22</v>
      </c>
      <c r="N89" s="1166">
        <v>14</v>
      </c>
      <c r="O89" s="1166">
        <v>14</v>
      </c>
      <c r="P89" s="1166">
        <v>28</v>
      </c>
      <c r="Q89" s="1166">
        <v>39</v>
      </c>
      <c r="R89" s="1166">
        <v>51</v>
      </c>
      <c r="S89" s="1166">
        <v>28</v>
      </c>
      <c r="T89" s="1166">
        <v>10</v>
      </c>
      <c r="U89" s="1166">
        <v>20</v>
      </c>
      <c r="V89" s="1166">
        <v>37</v>
      </c>
      <c r="W89" s="1166" t="s">
        <v>73</v>
      </c>
      <c r="X89" s="1238" t="s">
        <v>73</v>
      </c>
      <c r="Y89" s="1168">
        <v>500</v>
      </c>
      <c r="Z89" s="1169">
        <v>3430</v>
      </c>
    </row>
    <row r="90" spans="1:26" s="531" customFormat="1" ht="13.5" x14ac:dyDescent="0.2">
      <c r="A90" s="595" t="s">
        <v>514</v>
      </c>
      <c r="B90" s="785" t="s">
        <v>425</v>
      </c>
      <c r="C90" s="1214"/>
      <c r="D90" s="1214"/>
      <c r="E90" s="1214"/>
      <c r="F90" s="1214"/>
      <c r="G90" s="1214"/>
      <c r="H90" s="1214"/>
      <c r="I90" s="1214"/>
      <c r="J90" s="1214"/>
      <c r="K90" s="1214"/>
      <c r="L90" s="1214"/>
      <c r="M90" s="1214"/>
      <c r="N90" s="1214"/>
      <c r="O90" s="1214"/>
      <c r="P90" s="1214"/>
      <c r="Q90" s="1214"/>
      <c r="R90" s="1214"/>
      <c r="S90" s="1214"/>
      <c r="T90" s="1214"/>
      <c r="U90" s="1214"/>
      <c r="V90" s="1214"/>
      <c r="W90" s="1214"/>
      <c r="X90" s="1236"/>
      <c r="Y90" s="1215"/>
      <c r="Z90" s="1245"/>
    </row>
    <row r="91" spans="1:26" s="531" customFormat="1" ht="13.5" x14ac:dyDescent="0.2">
      <c r="A91" s="595" t="s">
        <v>718</v>
      </c>
      <c r="B91" s="785" t="s">
        <v>427</v>
      </c>
      <c r="C91" s="1214"/>
      <c r="D91" s="1214"/>
      <c r="E91" s="1214"/>
      <c r="F91" s="1214"/>
      <c r="G91" s="1214"/>
      <c r="H91" s="1214"/>
      <c r="I91" s="1214"/>
      <c r="J91" s="1214"/>
      <c r="K91" s="1214"/>
      <c r="L91" s="1214"/>
      <c r="M91" s="1214"/>
      <c r="N91" s="1214"/>
      <c r="O91" s="1214"/>
      <c r="P91" s="1214"/>
      <c r="Q91" s="1214"/>
      <c r="R91" s="1214"/>
      <c r="S91" s="1214"/>
      <c r="T91" s="1214"/>
      <c r="U91" s="1214"/>
      <c r="V91" s="1214"/>
      <c r="W91" s="1214"/>
      <c r="X91" s="1236"/>
      <c r="Y91" s="1215"/>
      <c r="Z91" s="1245"/>
    </row>
    <row r="92" spans="1:26" s="531" customFormat="1" ht="13.5" x14ac:dyDescent="0.2">
      <c r="A92" s="585">
        <v>39</v>
      </c>
      <c r="B92" s="779" t="s">
        <v>560</v>
      </c>
      <c r="C92" s="1231"/>
      <c r="D92" s="1231"/>
      <c r="E92" s="1231"/>
      <c r="F92" s="1231"/>
      <c r="G92" s="1231"/>
      <c r="H92" s="1231"/>
      <c r="I92" s="1231"/>
      <c r="J92" s="1231"/>
      <c r="K92" s="1231"/>
      <c r="L92" s="1231"/>
      <c r="M92" s="1231"/>
      <c r="N92" s="1231"/>
      <c r="O92" s="1231"/>
      <c r="P92" s="1231"/>
      <c r="Q92" s="1231"/>
      <c r="R92" s="1231"/>
      <c r="S92" s="1231"/>
      <c r="T92" s="1231"/>
      <c r="U92" s="1231"/>
      <c r="V92" s="1231"/>
      <c r="W92" s="1231"/>
      <c r="X92" s="1242"/>
      <c r="Y92" s="1234"/>
      <c r="Z92" s="1235"/>
    </row>
    <row r="93" spans="1:26" s="1170" customFormat="1" ht="13.5" x14ac:dyDescent="0.2">
      <c r="A93" s="595">
        <v>40</v>
      </c>
      <c r="B93" s="779" t="s">
        <v>556</v>
      </c>
      <c r="C93" s="1231"/>
      <c r="D93" s="1231"/>
      <c r="E93" s="1231"/>
      <c r="F93" s="1231"/>
      <c r="G93" s="1231"/>
      <c r="H93" s="1231"/>
      <c r="I93" s="1231"/>
      <c r="J93" s="1231"/>
      <c r="K93" s="1231"/>
      <c r="L93" s="1231"/>
      <c r="M93" s="1231"/>
      <c r="N93" s="1231"/>
      <c r="O93" s="1231"/>
      <c r="P93" s="1231"/>
      <c r="Q93" s="1231"/>
      <c r="R93" s="1231"/>
      <c r="S93" s="1231"/>
      <c r="T93" s="1231"/>
      <c r="U93" s="1231"/>
      <c r="V93" s="1231"/>
      <c r="W93" s="1231"/>
      <c r="X93" s="1242"/>
      <c r="Y93" s="1234"/>
      <c r="Z93" s="1235"/>
    </row>
    <row r="94" spans="1:26" s="531" customFormat="1" ht="13.5" x14ac:dyDescent="0.2">
      <c r="A94" s="585">
        <v>42</v>
      </c>
      <c r="B94" s="779" t="s">
        <v>557</v>
      </c>
      <c r="C94" s="1231"/>
      <c r="D94" s="1231"/>
      <c r="E94" s="1231"/>
      <c r="F94" s="1231"/>
      <c r="G94" s="1231"/>
      <c r="H94" s="1231"/>
      <c r="I94" s="1231"/>
      <c r="J94" s="1231"/>
      <c r="K94" s="1231"/>
      <c r="L94" s="1231"/>
      <c r="M94" s="1231"/>
      <c r="N94" s="1231"/>
      <c r="O94" s="1231"/>
      <c r="P94" s="1231"/>
      <c r="Q94" s="1231"/>
      <c r="R94" s="1231"/>
      <c r="S94" s="1231"/>
      <c r="T94" s="1231"/>
      <c r="U94" s="1231"/>
      <c r="V94" s="1231"/>
      <c r="W94" s="1231"/>
      <c r="X94" s="1242"/>
      <c r="Y94" s="1234"/>
      <c r="Z94" s="1235"/>
    </row>
    <row r="95" spans="1:26" s="531" customFormat="1" ht="13.5" x14ac:dyDescent="0.2">
      <c r="A95" s="585">
        <v>44</v>
      </c>
      <c r="B95" s="779" t="s">
        <v>558</v>
      </c>
      <c r="C95" s="1231"/>
      <c r="D95" s="1231"/>
      <c r="E95" s="1231"/>
      <c r="F95" s="1231"/>
      <c r="G95" s="1231"/>
      <c r="H95" s="1231"/>
      <c r="I95" s="1231"/>
      <c r="J95" s="1231"/>
      <c r="K95" s="1231"/>
      <c r="L95" s="1231"/>
      <c r="M95" s="1231"/>
      <c r="N95" s="1231"/>
      <c r="O95" s="1231"/>
      <c r="P95" s="1231"/>
      <c r="Q95" s="1231"/>
      <c r="R95" s="1231"/>
      <c r="S95" s="1231"/>
      <c r="T95" s="1231"/>
      <c r="U95" s="1231"/>
      <c r="V95" s="1231"/>
      <c r="W95" s="1231"/>
      <c r="X95" s="1242"/>
      <c r="Y95" s="1234"/>
      <c r="Z95" s="1235"/>
    </row>
    <row r="96" spans="1:26" s="531" customFormat="1" ht="13.5" x14ac:dyDescent="0.2">
      <c r="A96" s="585">
        <v>45</v>
      </c>
      <c r="B96" s="779" t="s">
        <v>559</v>
      </c>
      <c r="C96" s="1231"/>
      <c r="D96" s="1231"/>
      <c r="E96" s="1231"/>
      <c r="F96" s="1231"/>
      <c r="G96" s="1231"/>
      <c r="H96" s="1231"/>
      <c r="I96" s="1231"/>
      <c r="J96" s="1231"/>
      <c r="K96" s="1231"/>
      <c r="L96" s="1231"/>
      <c r="M96" s="1231"/>
      <c r="N96" s="1231"/>
      <c r="O96" s="1231"/>
      <c r="P96" s="1231"/>
      <c r="Q96" s="1231"/>
      <c r="R96" s="1231"/>
      <c r="S96" s="1231"/>
      <c r="T96" s="1231"/>
      <c r="U96" s="1231"/>
      <c r="V96" s="1231"/>
      <c r="W96" s="1231"/>
      <c r="X96" s="1242"/>
      <c r="Y96" s="1234"/>
      <c r="Z96" s="1235"/>
    </row>
    <row r="97" spans="1:26" ht="13.5" x14ac:dyDescent="0.2">
      <c r="A97" s="585"/>
      <c r="B97" s="779" t="s">
        <v>1250</v>
      </c>
      <c r="C97" s="1145">
        <v>55</v>
      </c>
      <c r="D97" s="1145">
        <v>77</v>
      </c>
      <c r="E97" s="1145">
        <v>87</v>
      </c>
      <c r="F97" s="1145">
        <v>90</v>
      </c>
      <c r="G97" s="1145">
        <v>259</v>
      </c>
      <c r="H97" s="1145">
        <v>41</v>
      </c>
      <c r="I97" s="1145">
        <v>296</v>
      </c>
      <c r="J97" s="1145">
        <v>84</v>
      </c>
      <c r="K97" s="1145">
        <v>59</v>
      </c>
      <c r="L97" s="1145">
        <v>135</v>
      </c>
      <c r="M97" s="1145">
        <v>73</v>
      </c>
      <c r="N97" s="1145">
        <v>63</v>
      </c>
      <c r="O97" s="1145">
        <v>57</v>
      </c>
      <c r="P97" s="1145">
        <v>132</v>
      </c>
      <c r="Q97" s="1145">
        <v>90</v>
      </c>
      <c r="R97" s="1145">
        <v>205</v>
      </c>
      <c r="S97" s="1145">
        <v>86</v>
      </c>
      <c r="T97" s="1145">
        <v>60</v>
      </c>
      <c r="U97" s="1145">
        <v>36</v>
      </c>
      <c r="V97" s="1145">
        <v>164</v>
      </c>
      <c r="W97" s="1145">
        <v>19</v>
      </c>
      <c r="X97" s="1145">
        <v>21</v>
      </c>
      <c r="Y97" s="529">
        <v>1911</v>
      </c>
      <c r="Z97" s="1000">
        <v>14216</v>
      </c>
    </row>
    <row r="98" spans="1:26" ht="13.5" x14ac:dyDescent="0.2">
      <c r="A98" s="585"/>
      <c r="B98" s="779" t="s">
        <v>1251</v>
      </c>
      <c r="C98" s="1145">
        <v>86</v>
      </c>
      <c r="D98" s="1145">
        <v>123</v>
      </c>
      <c r="E98" s="1145">
        <v>142</v>
      </c>
      <c r="F98" s="1145">
        <v>139</v>
      </c>
      <c r="G98" s="1145">
        <v>450</v>
      </c>
      <c r="H98" s="1145">
        <v>79</v>
      </c>
      <c r="I98" s="1145">
        <v>488</v>
      </c>
      <c r="J98" s="1145">
        <v>142</v>
      </c>
      <c r="K98" s="1145">
        <v>103</v>
      </c>
      <c r="L98" s="1145">
        <v>235</v>
      </c>
      <c r="M98" s="1145">
        <v>118</v>
      </c>
      <c r="N98" s="1145">
        <v>89</v>
      </c>
      <c r="O98" s="1145">
        <v>91</v>
      </c>
      <c r="P98" s="1145">
        <v>202</v>
      </c>
      <c r="Q98" s="1145">
        <v>131</v>
      </c>
      <c r="R98" s="1145">
        <v>356</v>
      </c>
      <c r="S98" s="1145">
        <v>140</v>
      </c>
      <c r="T98" s="1145">
        <v>94</v>
      </c>
      <c r="U98" s="1145">
        <v>71</v>
      </c>
      <c r="V98" s="1145">
        <v>271</v>
      </c>
      <c r="W98" s="1145">
        <v>32</v>
      </c>
      <c r="X98" s="1145">
        <v>44</v>
      </c>
      <c r="Y98" s="529">
        <f>SUM(C98:O98,Q98:R98,U98:X98)</f>
        <v>3190</v>
      </c>
      <c r="Z98" s="1000">
        <v>23606</v>
      </c>
    </row>
    <row r="99" spans="1:26" s="531" customFormat="1" ht="13.5" x14ac:dyDescent="0.2">
      <c r="A99" s="585" t="s">
        <v>720</v>
      </c>
      <c r="B99" s="779" t="s">
        <v>961</v>
      </c>
      <c r="C99" s="1231"/>
      <c r="D99" s="1231"/>
      <c r="E99" s="1231"/>
      <c r="F99" s="1231"/>
      <c r="G99" s="1231"/>
      <c r="H99" s="1231"/>
      <c r="I99" s="1231"/>
      <c r="J99" s="1231"/>
      <c r="K99" s="1231"/>
      <c r="L99" s="1231"/>
      <c r="M99" s="1231"/>
      <c r="N99" s="1231"/>
      <c r="O99" s="1231"/>
      <c r="P99" s="1231"/>
      <c r="Q99" s="1231"/>
      <c r="R99" s="1231"/>
      <c r="S99" s="1231"/>
      <c r="T99" s="1231"/>
      <c r="U99" s="1231"/>
      <c r="V99" s="1231"/>
      <c r="W99" s="1231"/>
      <c r="X99" s="1242"/>
      <c r="Y99" s="1234"/>
      <c r="Z99" s="1235"/>
    </row>
    <row r="100" spans="1:26" s="531" customFormat="1" ht="13.5" x14ac:dyDescent="0.2">
      <c r="A100" s="585" t="s">
        <v>721</v>
      </c>
      <c r="B100" s="779" t="s">
        <v>1014</v>
      </c>
      <c r="C100" s="1231"/>
      <c r="D100" s="1231"/>
      <c r="E100" s="1231"/>
      <c r="F100" s="1231"/>
      <c r="G100" s="1231"/>
      <c r="H100" s="1231"/>
      <c r="I100" s="1231"/>
      <c r="J100" s="1231"/>
      <c r="K100" s="1231"/>
      <c r="L100" s="1231"/>
      <c r="M100" s="1231"/>
      <c r="N100" s="1231"/>
      <c r="O100" s="1231"/>
      <c r="P100" s="1231"/>
      <c r="Q100" s="1231"/>
      <c r="R100" s="1231"/>
      <c r="S100" s="1231"/>
      <c r="T100" s="1231"/>
      <c r="U100" s="1231"/>
      <c r="V100" s="1231"/>
      <c r="W100" s="1231"/>
      <c r="X100" s="1242"/>
      <c r="Y100" s="1234"/>
      <c r="Z100" s="1235"/>
    </row>
    <row r="101" spans="1:26" s="531" customFormat="1" ht="13.5" x14ac:dyDescent="0.2">
      <c r="A101" s="585" t="s">
        <v>722</v>
      </c>
      <c r="B101" s="779" t="s">
        <v>962</v>
      </c>
      <c r="C101" s="1231"/>
      <c r="D101" s="1231"/>
      <c r="E101" s="1231"/>
      <c r="F101" s="1231"/>
      <c r="G101" s="1231"/>
      <c r="H101" s="1231"/>
      <c r="I101" s="1231"/>
      <c r="J101" s="1231"/>
      <c r="K101" s="1231"/>
      <c r="L101" s="1231"/>
      <c r="M101" s="1231"/>
      <c r="N101" s="1231"/>
      <c r="O101" s="1231"/>
      <c r="P101" s="1231"/>
      <c r="Q101" s="1231"/>
      <c r="R101" s="1231"/>
      <c r="S101" s="1231"/>
      <c r="T101" s="1231"/>
      <c r="U101" s="1231"/>
      <c r="V101" s="1231"/>
      <c r="W101" s="1231"/>
      <c r="X101" s="1242"/>
      <c r="Y101" s="1234"/>
      <c r="Z101" s="1235"/>
    </row>
    <row r="102" spans="1:26" s="531" customFormat="1" ht="13.5" x14ac:dyDescent="0.2">
      <c r="A102" s="585" t="s">
        <v>723</v>
      </c>
      <c r="B102" s="779" t="s">
        <v>963</v>
      </c>
      <c r="C102" s="1231">
        <v>49</v>
      </c>
      <c r="D102" s="1231">
        <v>160</v>
      </c>
      <c r="E102" s="1231">
        <v>241</v>
      </c>
      <c r="F102" s="1231">
        <v>301</v>
      </c>
      <c r="G102" s="1231">
        <v>684</v>
      </c>
      <c r="H102" s="1231">
        <v>128</v>
      </c>
      <c r="I102" s="1231">
        <v>883</v>
      </c>
      <c r="J102" s="1231">
        <v>196</v>
      </c>
      <c r="K102" s="1231">
        <v>201</v>
      </c>
      <c r="L102" s="1231">
        <v>304</v>
      </c>
      <c r="M102" s="1231">
        <v>140</v>
      </c>
      <c r="N102" s="1231">
        <v>124</v>
      </c>
      <c r="O102" s="1231">
        <v>145</v>
      </c>
      <c r="P102" s="1231">
        <v>324</v>
      </c>
      <c r="Q102" s="1231">
        <v>249</v>
      </c>
      <c r="R102" s="1231">
        <v>234</v>
      </c>
      <c r="S102" s="1231">
        <v>283</v>
      </c>
      <c r="T102" s="1231">
        <v>89</v>
      </c>
      <c r="U102" s="1231">
        <v>83</v>
      </c>
      <c r="V102" s="1231">
        <v>491</v>
      </c>
      <c r="W102" s="1231">
        <v>59</v>
      </c>
      <c r="X102" s="1242">
        <v>65</v>
      </c>
      <c r="Y102" s="1234">
        <v>4737</v>
      </c>
      <c r="Z102" s="1235">
        <v>38324</v>
      </c>
    </row>
    <row r="103" spans="1:26" s="531" customFormat="1" ht="13.5" x14ac:dyDescent="0.2">
      <c r="A103" s="585" t="s">
        <v>724</v>
      </c>
      <c r="B103" s="779" t="s">
        <v>964</v>
      </c>
      <c r="C103" s="1231">
        <v>14</v>
      </c>
      <c r="D103" s="1231">
        <v>75</v>
      </c>
      <c r="E103" s="1231">
        <v>103</v>
      </c>
      <c r="F103" s="1231">
        <v>145</v>
      </c>
      <c r="G103" s="1231">
        <v>273</v>
      </c>
      <c r="H103" s="1231">
        <v>71</v>
      </c>
      <c r="I103" s="1231">
        <v>304</v>
      </c>
      <c r="J103" s="1231">
        <v>83</v>
      </c>
      <c r="K103" s="1231">
        <v>50</v>
      </c>
      <c r="L103" s="1231">
        <v>112</v>
      </c>
      <c r="M103" s="1231">
        <v>72</v>
      </c>
      <c r="N103" s="1231">
        <v>40</v>
      </c>
      <c r="O103" s="1231">
        <v>62</v>
      </c>
      <c r="P103" s="1231">
        <v>113</v>
      </c>
      <c r="Q103" s="1231">
        <v>116</v>
      </c>
      <c r="R103" s="1231">
        <v>93</v>
      </c>
      <c r="S103" s="1231">
        <v>114</v>
      </c>
      <c r="T103" s="1231">
        <v>35</v>
      </c>
      <c r="U103" s="1231">
        <v>31</v>
      </c>
      <c r="V103" s="1231">
        <v>186</v>
      </c>
      <c r="W103" s="1231">
        <v>16</v>
      </c>
      <c r="X103" s="1242">
        <v>13</v>
      </c>
      <c r="Y103" s="1234">
        <v>1859</v>
      </c>
      <c r="Z103" s="1235">
        <v>16184</v>
      </c>
    </row>
    <row r="104" spans="1:26" x14ac:dyDescent="0.2">
      <c r="A104" s="893" t="s">
        <v>572</v>
      </c>
      <c r="B104" s="593" t="s">
        <v>429</v>
      </c>
      <c r="C104" s="586">
        <f>IF(SUM(C40:C43)&gt;0,SUM(C40:C43),NA())</f>
        <v>1511</v>
      </c>
      <c r="D104" s="586">
        <f t="shared" ref="D104:Z104" si="2">IF(SUM(D40:D43)&gt;0,SUM(D40:D43),NA())</f>
        <v>2400</v>
      </c>
      <c r="E104" s="586">
        <f t="shared" si="2"/>
        <v>7054</v>
      </c>
      <c r="F104" s="586">
        <f t="shared" si="2"/>
        <v>2171</v>
      </c>
      <c r="G104" s="586">
        <f t="shared" si="2"/>
        <v>16106</v>
      </c>
      <c r="H104" s="586">
        <f t="shared" si="2"/>
        <v>2307</v>
      </c>
      <c r="I104" s="586">
        <f t="shared" si="2"/>
        <v>16353</v>
      </c>
      <c r="J104" s="586">
        <f t="shared" si="2"/>
        <v>2156</v>
      </c>
      <c r="K104" s="586">
        <f t="shared" si="2"/>
        <v>1942</v>
      </c>
      <c r="L104" s="586">
        <f t="shared" si="2"/>
        <v>2993</v>
      </c>
      <c r="M104" s="586">
        <f t="shared" si="2"/>
        <v>2985</v>
      </c>
      <c r="N104" s="586">
        <f t="shared" si="2"/>
        <v>2406</v>
      </c>
      <c r="O104" s="586">
        <f t="shared" si="2"/>
        <v>841</v>
      </c>
      <c r="P104" s="586">
        <f t="shared" si="2"/>
        <v>4505</v>
      </c>
      <c r="Q104" s="586">
        <f t="shared" si="2"/>
        <v>1922</v>
      </c>
      <c r="R104" s="586">
        <f t="shared" si="2"/>
        <v>9542</v>
      </c>
      <c r="S104" s="586">
        <f t="shared" si="2"/>
        <v>2259</v>
      </c>
      <c r="T104" s="586">
        <f t="shared" si="2"/>
        <v>1358</v>
      </c>
      <c r="U104" s="586">
        <f t="shared" si="2"/>
        <v>1749</v>
      </c>
      <c r="V104" s="586">
        <f t="shared" si="2"/>
        <v>9782</v>
      </c>
      <c r="W104" s="586">
        <f t="shared" si="2"/>
        <v>505</v>
      </c>
      <c r="X104" s="586">
        <f t="shared" si="2"/>
        <v>801</v>
      </c>
      <c r="Y104" s="586">
        <f t="shared" si="2"/>
        <v>85630</v>
      </c>
      <c r="Z104" s="586">
        <f t="shared" si="2"/>
        <v>521870</v>
      </c>
    </row>
    <row r="105" spans="1:26" x14ac:dyDescent="0.2">
      <c r="A105" s="893" t="s">
        <v>572</v>
      </c>
      <c r="B105" s="593" t="s">
        <v>430</v>
      </c>
      <c r="C105" s="586">
        <f>SUM(C40:C44)</f>
        <v>1670</v>
      </c>
      <c r="D105" s="586">
        <f t="shared" ref="D105:Z105" si="3">SUM(D40:D44)</f>
        <v>2701</v>
      </c>
      <c r="E105" s="586">
        <f t="shared" si="3"/>
        <v>8366</v>
      </c>
      <c r="F105" s="586">
        <f t="shared" si="3"/>
        <v>3580</v>
      </c>
      <c r="G105" s="586">
        <f t="shared" si="3"/>
        <v>17660</v>
      </c>
      <c r="H105" s="586">
        <f t="shared" si="3"/>
        <v>2679</v>
      </c>
      <c r="I105" s="586">
        <f t="shared" si="3"/>
        <v>18827</v>
      </c>
      <c r="J105" s="586">
        <f t="shared" si="3"/>
        <v>2509</v>
      </c>
      <c r="K105" s="586">
        <f t="shared" si="3"/>
        <v>2213</v>
      </c>
      <c r="L105" s="586">
        <f t="shared" si="3"/>
        <v>5790</v>
      </c>
      <c r="M105" s="586">
        <f t="shared" si="3"/>
        <v>3190</v>
      </c>
      <c r="N105" s="586">
        <f t="shared" si="3"/>
        <v>2791</v>
      </c>
      <c r="O105" s="586">
        <f t="shared" si="3"/>
        <v>1486</v>
      </c>
      <c r="P105" s="586">
        <f t="shared" si="3"/>
        <v>5585</v>
      </c>
      <c r="Q105" s="586">
        <f t="shared" si="3"/>
        <v>2318</v>
      </c>
      <c r="R105" s="586">
        <f t="shared" si="3"/>
        <v>12579</v>
      </c>
      <c r="S105" s="586">
        <f t="shared" si="3"/>
        <v>3151</v>
      </c>
      <c r="T105" s="586">
        <f t="shared" si="3"/>
        <v>1885</v>
      </c>
      <c r="U105" s="586">
        <f t="shared" si="3"/>
        <v>1780</v>
      </c>
      <c r="V105" s="586">
        <f t="shared" si="3"/>
        <v>10004</v>
      </c>
      <c r="W105" s="586">
        <f t="shared" si="3"/>
        <v>884</v>
      </c>
      <c r="X105" s="586">
        <f t="shared" si="3"/>
        <v>1096</v>
      </c>
      <c r="Y105" s="586">
        <f t="shared" si="3"/>
        <v>102220</v>
      </c>
      <c r="Z105" s="586">
        <f t="shared" si="3"/>
        <v>631050</v>
      </c>
    </row>
    <row r="106" spans="1:26" ht="13.5" x14ac:dyDescent="0.2">
      <c r="A106" s="595" t="s">
        <v>515</v>
      </c>
      <c r="B106" s="785" t="s">
        <v>426</v>
      </c>
      <c r="C106" s="1148"/>
      <c r="D106" s="1148"/>
      <c r="E106" s="1148"/>
      <c r="F106" s="1148"/>
      <c r="G106" s="1148"/>
      <c r="H106" s="1148"/>
      <c r="I106" s="1148"/>
      <c r="J106" s="1148"/>
      <c r="K106" s="1148"/>
      <c r="L106" s="1148"/>
      <c r="M106" s="1148"/>
      <c r="N106" s="1148"/>
      <c r="O106" s="1148"/>
      <c r="P106" s="1148"/>
      <c r="Q106" s="1148"/>
      <c r="R106" s="1148"/>
      <c r="S106" s="1148"/>
      <c r="T106" s="1148"/>
      <c r="U106" s="1148"/>
      <c r="V106" s="1148"/>
      <c r="W106" s="1148"/>
      <c r="X106" s="1148"/>
      <c r="Y106" s="1149"/>
      <c r="Z106" s="1150"/>
    </row>
    <row r="107" spans="1:26" ht="13.5" x14ac:dyDescent="0.2">
      <c r="A107" s="595" t="s">
        <v>719</v>
      </c>
      <c r="B107" s="785" t="s">
        <v>428</v>
      </c>
      <c r="C107" s="1148"/>
      <c r="D107" s="1148"/>
      <c r="E107" s="1148"/>
      <c r="F107" s="1148"/>
      <c r="G107" s="1148"/>
      <c r="H107" s="1148"/>
      <c r="I107" s="1148"/>
      <c r="J107" s="1148"/>
      <c r="K107" s="1148"/>
      <c r="L107" s="1148"/>
      <c r="M107" s="1148"/>
      <c r="N107" s="1148"/>
      <c r="O107" s="1148"/>
      <c r="P107" s="1148"/>
      <c r="Q107" s="1148"/>
      <c r="R107" s="1148"/>
      <c r="S107" s="1148"/>
      <c r="T107" s="1148"/>
      <c r="U107" s="1148"/>
      <c r="V107" s="1148"/>
      <c r="W107" s="1148"/>
      <c r="X107" s="1148"/>
      <c r="Y107" s="1149"/>
      <c r="Z107" s="1150"/>
    </row>
    <row r="108" spans="1:26" x14ac:dyDescent="0.2">
      <c r="B108" s="532" t="s">
        <v>1249</v>
      </c>
      <c r="C108" s="444">
        <v>18</v>
      </c>
      <c r="D108" s="444">
        <v>68</v>
      </c>
      <c r="E108" s="444">
        <v>47</v>
      </c>
      <c r="F108" s="444">
        <v>56</v>
      </c>
      <c r="G108" s="444">
        <v>219</v>
      </c>
      <c r="H108" s="444">
        <v>36</v>
      </c>
      <c r="I108" s="444">
        <v>649</v>
      </c>
      <c r="J108" s="444">
        <v>41</v>
      </c>
      <c r="K108" s="444">
        <v>66</v>
      </c>
      <c r="L108" s="444">
        <v>112</v>
      </c>
      <c r="M108" s="444">
        <v>87</v>
      </c>
      <c r="N108" s="444">
        <v>35</v>
      </c>
      <c r="O108" s="444">
        <v>38</v>
      </c>
      <c r="P108" s="444">
        <v>58</v>
      </c>
      <c r="Q108" s="444">
        <v>50</v>
      </c>
      <c r="R108" s="444">
        <v>200</v>
      </c>
      <c r="S108" s="444">
        <v>50</v>
      </c>
      <c r="T108" s="444">
        <v>22</v>
      </c>
      <c r="U108" s="444">
        <v>23</v>
      </c>
      <c r="V108" s="444">
        <v>142</v>
      </c>
      <c r="W108" s="444">
        <v>20</v>
      </c>
      <c r="X108" s="444">
        <v>21</v>
      </c>
      <c r="Y108" s="786">
        <v>1990</v>
      </c>
      <c r="Z108" s="444">
        <v>12520</v>
      </c>
    </row>
    <row r="113" spans="2:25" x14ac:dyDescent="0.2">
      <c r="B113" s="444"/>
      <c r="Y113" s="444"/>
    </row>
    <row r="114" spans="2:25" x14ac:dyDescent="0.2">
      <c r="B114" s="444"/>
      <c r="Y114" s="444"/>
    </row>
    <row r="115" spans="2:25" x14ac:dyDescent="0.2">
      <c r="B115" s="444"/>
      <c r="Y115" s="444"/>
    </row>
    <row r="116" spans="2:25" x14ac:dyDescent="0.2">
      <c r="B116" s="444"/>
      <c r="Y116" s="444"/>
    </row>
    <row r="117" spans="2:25" x14ac:dyDescent="0.2">
      <c r="B117" s="444"/>
      <c r="Y117" s="444"/>
    </row>
    <row r="118" spans="2:25" x14ac:dyDescent="0.2">
      <c r="B118" s="444"/>
      <c r="Y118" s="444"/>
    </row>
    <row r="119" spans="2:25" x14ac:dyDescent="0.2">
      <c r="B119" s="444"/>
      <c r="Y119" s="444"/>
    </row>
    <row r="120" spans="2:25" x14ac:dyDescent="0.2">
      <c r="B120" s="444"/>
      <c r="Y120" s="444"/>
    </row>
    <row r="121" spans="2:25" x14ac:dyDescent="0.2">
      <c r="B121" s="444"/>
      <c r="Y121" s="444"/>
    </row>
    <row r="122" spans="2:25" x14ac:dyDescent="0.2">
      <c r="B122" s="444"/>
      <c r="Y122" s="444"/>
    </row>
    <row r="123" spans="2:25" x14ac:dyDescent="0.2">
      <c r="B123" s="444"/>
      <c r="Y123" s="444"/>
    </row>
    <row r="124" spans="2:25" x14ac:dyDescent="0.2">
      <c r="B124" s="444"/>
      <c r="Y124" s="444"/>
    </row>
    <row r="125" spans="2:25" x14ac:dyDescent="0.2">
      <c r="B125" s="444"/>
      <c r="Y125" s="444"/>
    </row>
    <row r="126" spans="2:25" x14ac:dyDescent="0.2">
      <c r="B126" s="444"/>
      <c r="Y126" s="444"/>
    </row>
    <row r="127" spans="2:25" x14ac:dyDescent="0.2">
      <c r="B127" s="444"/>
      <c r="Y127" s="444"/>
    </row>
    <row r="128" spans="2:25" x14ac:dyDescent="0.2">
      <c r="B128" s="444"/>
      <c r="Y128" s="444"/>
    </row>
    <row r="129" spans="2:25" x14ac:dyDescent="0.2">
      <c r="B129" s="444"/>
      <c r="Y129" s="444"/>
    </row>
    <row r="130" spans="2:25" x14ac:dyDescent="0.2">
      <c r="B130" s="444"/>
      <c r="Y130" s="444"/>
    </row>
    <row r="131" spans="2:25" x14ac:dyDescent="0.2">
      <c r="B131" s="444"/>
      <c r="Y131" s="444"/>
    </row>
    <row r="132" spans="2:25" x14ac:dyDescent="0.2">
      <c r="B132" s="444"/>
      <c r="Y132" s="444"/>
    </row>
    <row r="133" spans="2:25" x14ac:dyDescent="0.2">
      <c r="B133" s="444"/>
      <c r="Y133" s="444"/>
    </row>
  </sheetData>
  <conditionalFormatting sqref="C1:X1">
    <cfRule type="expression" dxfId="712" priority="4">
      <formula>SUM(C$2:C$96)=0</formula>
    </cfRule>
    <cfRule type="containsErrors" dxfId="711" priority="5">
      <formula>ISERROR(C1)</formula>
    </cfRule>
  </conditionalFormatting>
  <conditionalFormatting sqref="Q43:Q44">
    <cfRule type="containsErrors" dxfId="710" priority="1">
      <formula>ISERROR(Q43)</formula>
    </cfRule>
  </conditionalFormatting>
  <pageMargins left="0.70866141732283472" right="0.70866141732283472" top="0.35433070866141736" bottom="0.35433070866141736" header="0.31496062992125984" footer="0.31496062992125984"/>
  <pageSetup scale="48" orientation="portrait" r:id="rId1"/>
  <extLst>
    <ext xmlns:x14="http://schemas.microsoft.com/office/spreadsheetml/2009/9/main" uri="{78C0D931-6437-407d-A8EE-F0AAD7539E65}">
      <x14:conditionalFormattings>
        <x14:conditionalFormatting xmlns:xm="http://schemas.microsoft.com/office/excel/2006/main">
          <x14:cfRule type="expression" priority="3" id="{F2D854C0-52DA-44C3-9F4D-C987C08C2771}">
            <xm:f>C$1=Sheet1!$AR$3</xm:f>
            <x14:dxf>
              <fill>
                <patternFill>
                  <bgColor rgb="FF66FF99"/>
                </patternFill>
              </fill>
            </x14:dxf>
          </x14:cfRule>
          <xm:sqref>C1:X1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99FFCC"/>
    <pageSetUpPr fitToPage="1"/>
  </sheetPr>
  <dimension ref="A1:AA133"/>
  <sheetViews>
    <sheetView topLeftCell="A88" workbookViewId="0">
      <selection activeCell="C99" sqref="C99:Z103"/>
    </sheetView>
  </sheetViews>
  <sheetFormatPr defaultColWidth="9.140625" defaultRowHeight="12.75" x14ac:dyDescent="0.2"/>
  <cols>
    <col min="1" max="1" width="4.42578125" style="444" customWidth="1"/>
    <col min="2" max="2" width="40.5703125" style="532" customWidth="1"/>
    <col min="3" max="6" width="5" style="444" customWidth="1"/>
    <col min="7" max="7" width="6.140625" style="444" bestFit="1" customWidth="1"/>
    <col min="8" max="24" width="5" style="444" customWidth="1"/>
    <col min="25" max="25" width="6" style="786" customWidth="1"/>
    <col min="26" max="26" width="7" style="444" bestFit="1" customWidth="1"/>
    <col min="27" max="27" width="9.140625" style="444"/>
    <col min="28" max="46" width="4.85546875" style="444" customWidth="1"/>
    <col min="47" max="16384" width="9.140625" style="444"/>
  </cols>
  <sheetData>
    <row r="1" spans="1:27" s="530" customFormat="1" ht="61.5" x14ac:dyDescent="0.2">
      <c r="A1" s="777" t="str">
        <f>IF(Sheet1!$C$3="Quarterly",Sheet1!$H$22&amp;" "&amp;Sheet1!$H$23,Sheet1!$H$20)</f>
        <v>2018-19</v>
      </c>
      <c r="B1" s="777"/>
      <c r="C1" s="1205" t="s">
        <v>1224</v>
      </c>
      <c r="D1" s="1205" t="s">
        <v>1225</v>
      </c>
      <c r="E1" s="1205" t="s">
        <v>1226</v>
      </c>
      <c r="F1" s="1205" t="s">
        <v>1227</v>
      </c>
      <c r="G1" s="1205" t="s">
        <v>1228</v>
      </c>
      <c r="H1" s="1205" t="s">
        <v>1229</v>
      </c>
      <c r="I1" s="1205" t="s">
        <v>1230</v>
      </c>
      <c r="J1" s="1205" t="s">
        <v>1231</v>
      </c>
      <c r="K1" s="1205" t="s">
        <v>1232</v>
      </c>
      <c r="L1" s="1205" t="s">
        <v>1233</v>
      </c>
      <c r="M1" s="1205" t="s">
        <v>1234</v>
      </c>
      <c r="N1" s="1205" t="s">
        <v>1235</v>
      </c>
      <c r="O1" s="1205" t="s">
        <v>1236</v>
      </c>
      <c r="P1" s="1205" t="s">
        <v>1237</v>
      </c>
      <c r="Q1" s="1205" t="s">
        <v>1238</v>
      </c>
      <c r="R1" s="1205" t="s">
        <v>1239</v>
      </c>
      <c r="S1" s="1207" t="s">
        <v>1240</v>
      </c>
      <c r="T1" s="1207" t="s">
        <v>1241</v>
      </c>
      <c r="U1" s="1205" t="s">
        <v>1242</v>
      </c>
      <c r="V1" s="1205" t="s">
        <v>1243</v>
      </c>
      <c r="W1" s="1205" t="s">
        <v>1244</v>
      </c>
      <c r="X1" s="1205" t="s">
        <v>1245</v>
      </c>
      <c r="Y1" s="583" t="s">
        <v>1246</v>
      </c>
      <c r="Z1" s="584" t="s">
        <v>1247</v>
      </c>
    </row>
    <row r="2" spans="1:27" s="530" customFormat="1" ht="13.5" x14ac:dyDescent="0.2">
      <c r="A2" s="585">
        <v>1</v>
      </c>
      <c r="B2" s="778" t="s">
        <v>431</v>
      </c>
      <c r="C2" s="1231"/>
      <c r="D2" s="1231"/>
      <c r="E2" s="1231"/>
      <c r="F2" s="1231"/>
      <c r="G2" s="1231"/>
      <c r="H2" s="1231"/>
      <c r="I2" s="1231"/>
      <c r="J2" s="1231"/>
      <c r="K2" s="1231"/>
      <c r="L2" s="1231"/>
      <c r="M2" s="1231"/>
      <c r="N2" s="1231"/>
      <c r="O2" s="1231"/>
      <c r="P2" s="1231"/>
      <c r="Q2" s="1231"/>
      <c r="R2" s="1231"/>
      <c r="S2" s="1231"/>
      <c r="T2" s="1231"/>
      <c r="U2" s="1231"/>
      <c r="V2" s="1231"/>
      <c r="W2" s="1232"/>
      <c r="X2" s="1233"/>
      <c r="Y2" s="1234"/>
      <c r="Z2" s="1235"/>
    </row>
    <row r="3" spans="1:27" s="531" customFormat="1" ht="13.5" x14ac:dyDescent="0.2">
      <c r="A3" s="595">
        <v>2</v>
      </c>
      <c r="B3" s="779" t="s">
        <v>432</v>
      </c>
      <c r="C3" s="1214"/>
      <c r="D3" s="1214"/>
      <c r="E3" s="1214"/>
      <c r="F3" s="1214"/>
      <c r="G3" s="1214"/>
      <c r="H3" s="1214"/>
      <c r="I3" s="1214"/>
      <c r="J3" s="1214"/>
      <c r="K3" s="1214"/>
      <c r="L3" s="1214"/>
      <c r="M3" s="1214"/>
      <c r="N3" s="1217"/>
      <c r="O3" s="1214"/>
      <c r="P3" s="1214"/>
      <c r="Q3" s="1214"/>
      <c r="R3" s="1214"/>
      <c r="S3" s="1214"/>
      <c r="T3" s="1214"/>
      <c r="U3" s="1213"/>
      <c r="V3" s="1214"/>
      <c r="W3" s="1214"/>
      <c r="X3" s="1236"/>
      <c r="Y3" s="1215"/>
      <c r="Z3" s="1216"/>
      <c r="AA3" s="530"/>
    </row>
    <row r="4" spans="1:27" s="531" customFormat="1" ht="13.5" x14ac:dyDescent="0.2">
      <c r="A4" s="595">
        <v>3</v>
      </c>
      <c r="B4" s="779" t="s">
        <v>433</v>
      </c>
      <c r="C4" s="1214"/>
      <c r="D4" s="1214"/>
      <c r="E4" s="1214"/>
      <c r="F4" s="1214"/>
      <c r="G4" s="1214"/>
      <c r="H4" s="1214"/>
      <c r="I4" s="1214"/>
      <c r="J4" s="1214"/>
      <c r="K4" s="1214"/>
      <c r="L4" s="1214"/>
      <c r="M4" s="1214"/>
      <c r="N4" s="1217"/>
      <c r="O4" s="1214"/>
      <c r="P4" s="1214"/>
      <c r="Q4" s="1214"/>
      <c r="R4" s="1214"/>
      <c r="S4" s="1214"/>
      <c r="T4" s="1214"/>
      <c r="U4" s="1213"/>
      <c r="V4" s="1214"/>
      <c r="W4" s="1214"/>
      <c r="X4" s="1236"/>
      <c r="Y4" s="1215"/>
      <c r="Z4" s="1216"/>
      <c r="AA4" s="530"/>
    </row>
    <row r="5" spans="1:27" s="531" customFormat="1" ht="13.5" x14ac:dyDescent="0.2">
      <c r="A5" s="595">
        <v>4</v>
      </c>
      <c r="B5" s="779" t="s">
        <v>434</v>
      </c>
      <c r="C5" s="1214"/>
      <c r="D5" s="1214"/>
      <c r="E5" s="1214"/>
      <c r="F5" s="1214"/>
      <c r="G5" s="1214"/>
      <c r="H5" s="1214"/>
      <c r="I5" s="1214"/>
      <c r="J5" s="1214"/>
      <c r="K5" s="1214"/>
      <c r="L5" s="1214"/>
      <c r="M5" s="1214"/>
      <c r="N5" s="1217"/>
      <c r="O5" s="1214"/>
      <c r="P5" s="1214"/>
      <c r="Q5" s="1214"/>
      <c r="R5" s="1214"/>
      <c r="S5" s="1214"/>
      <c r="T5" s="1214"/>
      <c r="U5" s="1213"/>
      <c r="V5" s="1214"/>
      <c r="W5" s="1214"/>
      <c r="X5" s="1236"/>
      <c r="Y5" s="1215"/>
      <c r="Z5" s="1216"/>
      <c r="AA5" s="530"/>
    </row>
    <row r="6" spans="1:27" s="531" customFormat="1" ht="13.5" x14ac:dyDescent="0.2">
      <c r="A6" s="595">
        <v>5</v>
      </c>
      <c r="B6" s="779" t="s">
        <v>435</v>
      </c>
      <c r="C6" s="1214"/>
      <c r="D6" s="1214"/>
      <c r="E6" s="1214"/>
      <c r="F6" s="1214"/>
      <c r="G6" s="1214"/>
      <c r="H6" s="1214"/>
      <c r="I6" s="1214"/>
      <c r="J6" s="1214"/>
      <c r="K6" s="1214"/>
      <c r="L6" s="1214"/>
      <c r="M6" s="1214"/>
      <c r="N6" s="1217"/>
      <c r="O6" s="1214"/>
      <c r="P6" s="1214"/>
      <c r="Q6" s="1214"/>
      <c r="R6" s="1214"/>
      <c r="S6" s="1214"/>
      <c r="T6" s="1214"/>
      <c r="U6" s="1213"/>
      <c r="V6" s="1214"/>
      <c r="W6" s="1214"/>
      <c r="X6" s="1236"/>
      <c r="Y6" s="1215"/>
      <c r="Z6" s="1216"/>
      <c r="AA6" s="530"/>
    </row>
    <row r="7" spans="1:27" s="531" customFormat="1" ht="13.5" x14ac:dyDescent="0.2">
      <c r="A7" s="595">
        <v>6</v>
      </c>
      <c r="B7" s="779" t="s">
        <v>436</v>
      </c>
      <c r="C7" s="1214"/>
      <c r="D7" s="1214"/>
      <c r="E7" s="1214"/>
      <c r="F7" s="1214"/>
      <c r="G7" s="1214"/>
      <c r="H7" s="1214"/>
      <c r="I7" s="1214"/>
      <c r="J7" s="1214"/>
      <c r="K7" s="1214"/>
      <c r="L7" s="1214"/>
      <c r="M7" s="1214"/>
      <c r="N7" s="1217"/>
      <c r="O7" s="1214"/>
      <c r="P7" s="1214"/>
      <c r="Q7" s="1214"/>
      <c r="R7" s="1214"/>
      <c r="S7" s="1214"/>
      <c r="T7" s="1214"/>
      <c r="U7" s="1213"/>
      <c r="V7" s="1214"/>
      <c r="W7" s="1214"/>
      <c r="X7" s="1236"/>
      <c r="Y7" s="1215"/>
      <c r="Z7" s="1216"/>
      <c r="AA7" s="530"/>
    </row>
    <row r="8" spans="1:27" s="531" customFormat="1" ht="22.5" x14ac:dyDescent="0.2">
      <c r="A8" s="595">
        <v>7</v>
      </c>
      <c r="B8" s="780" t="s">
        <v>229</v>
      </c>
      <c r="C8" s="1237"/>
      <c r="D8" s="1237"/>
      <c r="E8" s="1237"/>
      <c r="F8" s="1237"/>
      <c r="G8" s="1237"/>
      <c r="H8" s="1237"/>
      <c r="I8" s="1237"/>
      <c r="J8" s="1237"/>
      <c r="K8" s="1237"/>
      <c r="L8" s="1237"/>
      <c r="M8" s="1237"/>
      <c r="N8" s="1237"/>
      <c r="O8" s="1237"/>
      <c r="P8" s="1237"/>
      <c r="Q8" s="1237"/>
      <c r="R8" s="1237"/>
      <c r="S8" s="1237"/>
      <c r="T8" s="1237"/>
      <c r="U8" s="1237"/>
      <c r="V8" s="1237"/>
      <c r="W8" s="1237"/>
      <c r="X8" s="1237"/>
      <c r="Y8" s="1247"/>
      <c r="Z8" s="1248"/>
      <c r="AA8" s="530"/>
    </row>
    <row r="9" spans="1:27" s="531" customFormat="1" ht="13.5" x14ac:dyDescent="0.2">
      <c r="A9" s="595">
        <v>8</v>
      </c>
      <c r="B9" s="779" t="s">
        <v>437</v>
      </c>
      <c r="C9" s="1214"/>
      <c r="D9" s="1214"/>
      <c r="E9" s="1214"/>
      <c r="F9" s="1214"/>
      <c r="G9" s="1214"/>
      <c r="H9" s="1214"/>
      <c r="I9" s="1214"/>
      <c r="J9" s="1214"/>
      <c r="K9" s="1214"/>
      <c r="L9" s="1214"/>
      <c r="M9" s="1214"/>
      <c r="N9" s="1217"/>
      <c r="O9" s="1214"/>
      <c r="P9" s="1214"/>
      <c r="Q9" s="1214"/>
      <c r="R9" s="1214"/>
      <c r="S9" s="1214"/>
      <c r="T9" s="1214"/>
      <c r="U9" s="1213"/>
      <c r="V9" s="1214"/>
      <c r="W9" s="1214"/>
      <c r="X9" s="1236"/>
      <c r="Y9" s="1215"/>
      <c r="Z9" s="1216"/>
      <c r="AA9" s="530"/>
    </row>
    <row r="10" spans="1:27" s="531" customFormat="1" x14ac:dyDescent="0.2">
      <c r="A10" s="892">
        <v>9</v>
      </c>
      <c r="B10" s="781" t="s">
        <v>438</v>
      </c>
      <c r="C10" s="1214"/>
      <c r="D10" s="1214"/>
      <c r="E10" s="1214"/>
      <c r="F10" s="1214"/>
      <c r="G10" s="1214"/>
      <c r="H10" s="1214"/>
      <c r="I10" s="1214"/>
      <c r="J10" s="1214"/>
      <c r="K10" s="1214"/>
      <c r="L10" s="1214"/>
      <c r="M10" s="1214"/>
      <c r="N10" s="1217"/>
      <c r="O10" s="1214"/>
      <c r="P10" s="1214"/>
      <c r="Q10" s="1214"/>
      <c r="R10" s="1214"/>
      <c r="S10" s="1214"/>
      <c r="T10" s="1214"/>
      <c r="U10" s="1213"/>
      <c r="V10" s="1214"/>
      <c r="W10" s="1214"/>
      <c r="X10" s="1236"/>
      <c r="Y10" s="1215"/>
      <c r="Z10" s="1216"/>
      <c r="AA10" s="530"/>
    </row>
    <row r="11" spans="1:27" s="531" customFormat="1" ht="13.5" x14ac:dyDescent="0.2">
      <c r="A11" s="595">
        <v>10</v>
      </c>
      <c r="B11" s="779" t="s">
        <v>439</v>
      </c>
      <c r="C11" s="1214"/>
      <c r="D11" s="1214"/>
      <c r="E11" s="1214"/>
      <c r="F11" s="1214"/>
      <c r="G11" s="1214"/>
      <c r="H11" s="1214"/>
      <c r="I11" s="1214"/>
      <c r="J11" s="1214"/>
      <c r="K11" s="1214"/>
      <c r="L11" s="1214"/>
      <c r="M11" s="1214"/>
      <c r="N11" s="1217"/>
      <c r="O11" s="1214"/>
      <c r="P11" s="1214"/>
      <c r="Q11" s="1214"/>
      <c r="R11" s="1214"/>
      <c r="S11" s="1214"/>
      <c r="T11" s="1214"/>
      <c r="U11" s="1213"/>
      <c r="V11" s="1214"/>
      <c r="W11" s="1214"/>
      <c r="X11" s="1236"/>
      <c r="Y11" s="1215"/>
      <c r="Z11" s="1216"/>
      <c r="AA11" s="530"/>
    </row>
    <row r="12" spans="1:27" s="531" customFormat="1" ht="13.5" x14ac:dyDescent="0.2">
      <c r="A12" s="595">
        <v>11</v>
      </c>
      <c r="B12" s="779" t="s">
        <v>440</v>
      </c>
      <c r="C12" s="1166">
        <v>2240</v>
      </c>
      <c r="D12" s="1166">
        <v>3239</v>
      </c>
      <c r="E12" s="1166">
        <v>7640</v>
      </c>
      <c r="F12" s="1166">
        <v>4315</v>
      </c>
      <c r="G12" s="1166">
        <v>18408</v>
      </c>
      <c r="H12" s="1166">
        <v>2424</v>
      </c>
      <c r="I12" s="1166">
        <v>18283</v>
      </c>
      <c r="J12" s="1166">
        <v>4025</v>
      </c>
      <c r="K12" s="1166">
        <v>2717</v>
      </c>
      <c r="L12" s="1166">
        <v>6779</v>
      </c>
      <c r="M12" s="1166">
        <v>2844</v>
      </c>
      <c r="N12" s="1166">
        <v>2739</v>
      </c>
      <c r="O12" s="1166">
        <v>1985</v>
      </c>
      <c r="P12" s="1166">
        <v>3830</v>
      </c>
      <c r="Q12" s="1166">
        <v>2598</v>
      </c>
      <c r="R12" s="1166">
        <v>10635</v>
      </c>
      <c r="S12" s="1166">
        <v>3242</v>
      </c>
      <c r="T12" s="1166">
        <v>1766</v>
      </c>
      <c r="U12" s="1166">
        <v>1686</v>
      </c>
      <c r="V12" s="1166">
        <v>9490</v>
      </c>
      <c r="W12" s="1166">
        <v>1135</v>
      </c>
      <c r="X12" s="1238">
        <v>1705</v>
      </c>
      <c r="Y12" s="1168">
        <v>104890</v>
      </c>
      <c r="Z12" s="586">
        <v>650930</v>
      </c>
      <c r="AA12" s="530"/>
    </row>
    <row r="13" spans="1:27" s="531" customFormat="1" ht="13.5" x14ac:dyDescent="0.2">
      <c r="A13" s="595">
        <v>12</v>
      </c>
      <c r="B13" s="779" t="s">
        <v>441</v>
      </c>
      <c r="C13" s="1214"/>
      <c r="D13" s="1214"/>
      <c r="E13" s="1214"/>
      <c r="F13" s="1214"/>
      <c r="G13" s="1214"/>
      <c r="H13" s="1214"/>
      <c r="I13" s="1214"/>
      <c r="J13" s="1214"/>
      <c r="K13" s="1214"/>
      <c r="L13" s="1214"/>
      <c r="M13" s="1214"/>
      <c r="N13" s="1214"/>
      <c r="O13" s="1214"/>
      <c r="P13" s="1214"/>
      <c r="Q13" s="1214"/>
      <c r="R13" s="1214"/>
      <c r="S13" s="1214"/>
      <c r="T13" s="1214"/>
      <c r="U13" s="1214"/>
      <c r="V13" s="1214"/>
      <c r="W13" s="1214"/>
      <c r="X13" s="1236"/>
      <c r="Y13" s="1215"/>
      <c r="Z13" s="1216"/>
      <c r="AA13" s="530"/>
    </row>
    <row r="14" spans="1:27" s="531" customFormat="1" ht="13.5" x14ac:dyDescent="0.2">
      <c r="A14" s="595">
        <v>13</v>
      </c>
      <c r="B14" s="779" t="s">
        <v>442</v>
      </c>
      <c r="C14" s="1166">
        <v>1610</v>
      </c>
      <c r="D14" s="1166">
        <v>2995</v>
      </c>
      <c r="E14" s="1166">
        <v>5607</v>
      </c>
      <c r="F14" s="1166">
        <v>4235</v>
      </c>
      <c r="G14" s="1166">
        <v>15738</v>
      </c>
      <c r="H14" s="1166">
        <v>1887</v>
      </c>
      <c r="I14" s="1166">
        <v>18179</v>
      </c>
      <c r="J14" s="1166">
        <v>3730</v>
      </c>
      <c r="K14" s="1166">
        <v>2261</v>
      </c>
      <c r="L14" s="1166">
        <v>5618</v>
      </c>
      <c r="M14" s="1166">
        <v>2771</v>
      </c>
      <c r="N14" s="1166">
        <v>2701</v>
      </c>
      <c r="O14" s="1166">
        <v>1896</v>
      </c>
      <c r="P14" s="1166">
        <v>3635</v>
      </c>
      <c r="Q14" s="1166">
        <v>2269</v>
      </c>
      <c r="R14" s="1166">
        <v>10489</v>
      </c>
      <c r="S14" s="1166">
        <v>3032</v>
      </c>
      <c r="T14" s="1166">
        <v>1539</v>
      </c>
      <c r="U14" s="1166">
        <v>1686</v>
      </c>
      <c r="V14" s="1166">
        <v>9490</v>
      </c>
      <c r="W14" s="1166">
        <v>1073</v>
      </c>
      <c r="X14" s="1238">
        <v>1684</v>
      </c>
      <c r="Y14" s="1168">
        <v>95920</v>
      </c>
      <c r="Z14" s="586">
        <v>598320</v>
      </c>
      <c r="AA14" s="530"/>
    </row>
    <row r="15" spans="1:27" s="531" customFormat="1" ht="13.5" x14ac:dyDescent="0.2">
      <c r="A15" s="595">
        <v>14</v>
      </c>
      <c r="B15" s="780" t="s">
        <v>230</v>
      </c>
      <c r="C15" s="1237"/>
      <c r="D15" s="1237"/>
      <c r="E15" s="1237"/>
      <c r="F15" s="1237"/>
      <c r="G15" s="1237"/>
      <c r="H15" s="1237"/>
      <c r="I15" s="1237"/>
      <c r="J15" s="1237"/>
      <c r="K15" s="1237"/>
      <c r="L15" s="1237"/>
      <c r="M15" s="1237"/>
      <c r="N15" s="1237"/>
      <c r="O15" s="1237"/>
      <c r="P15" s="1237"/>
      <c r="Q15" s="1237"/>
      <c r="R15" s="1237"/>
      <c r="S15" s="1237"/>
      <c r="T15" s="1237"/>
      <c r="U15" s="1237"/>
      <c r="V15" s="1237"/>
      <c r="W15" s="1237"/>
      <c r="X15" s="1237"/>
      <c r="Y15" s="1247"/>
      <c r="Z15" s="1248"/>
      <c r="AA15" s="530"/>
    </row>
    <row r="16" spans="1:27" s="531" customFormat="1" ht="13.5" x14ac:dyDescent="0.2">
      <c r="A16" s="894"/>
      <c r="B16" s="782" t="s">
        <v>443</v>
      </c>
      <c r="C16" s="588">
        <v>215</v>
      </c>
      <c r="D16" s="1166">
        <v>105</v>
      </c>
      <c r="E16" s="1166">
        <v>571</v>
      </c>
      <c r="F16" s="1166">
        <v>458</v>
      </c>
      <c r="G16" s="1166">
        <v>1906</v>
      </c>
      <c r="H16" s="1166">
        <v>176</v>
      </c>
      <c r="I16" s="1166">
        <v>1561</v>
      </c>
      <c r="J16" s="1166">
        <v>415</v>
      </c>
      <c r="K16" s="1166">
        <v>287</v>
      </c>
      <c r="L16" s="1166">
        <v>392</v>
      </c>
      <c r="M16" s="1166">
        <v>220</v>
      </c>
      <c r="N16" s="1166">
        <v>176</v>
      </c>
      <c r="O16" s="1166">
        <v>138</v>
      </c>
      <c r="P16" s="1166">
        <v>92</v>
      </c>
      <c r="Q16" s="1166">
        <v>565</v>
      </c>
      <c r="R16" s="1166">
        <v>194</v>
      </c>
      <c r="S16" s="1166">
        <v>820</v>
      </c>
      <c r="T16" s="1166">
        <v>89</v>
      </c>
      <c r="U16" s="1166">
        <v>142</v>
      </c>
      <c r="V16" s="1166">
        <v>497</v>
      </c>
      <c r="W16" s="1166">
        <v>179</v>
      </c>
      <c r="X16" s="1238">
        <v>143</v>
      </c>
      <c r="Y16" s="1168">
        <v>8520</v>
      </c>
      <c r="Z16" s="586">
        <v>51950</v>
      </c>
      <c r="AA16" s="530"/>
    </row>
    <row r="17" spans="1:27" s="531" customFormat="1" ht="13.5" x14ac:dyDescent="0.2">
      <c r="A17" s="894"/>
      <c r="B17" s="782" t="s">
        <v>444</v>
      </c>
      <c r="C17" s="1213"/>
      <c r="D17" s="1214"/>
      <c r="E17" s="1214"/>
      <c r="F17" s="1214"/>
      <c r="G17" s="1214"/>
      <c r="H17" s="1214"/>
      <c r="I17" s="1214"/>
      <c r="J17" s="1214"/>
      <c r="K17" s="1214"/>
      <c r="L17" s="1214"/>
      <c r="M17" s="1214"/>
      <c r="N17" s="1214"/>
      <c r="O17" s="1214"/>
      <c r="P17" s="1214"/>
      <c r="Q17" s="1214"/>
      <c r="R17" s="1214"/>
      <c r="S17" s="1214"/>
      <c r="T17" s="1214"/>
      <c r="U17" s="1214"/>
      <c r="V17" s="1214"/>
      <c r="W17" s="1214"/>
      <c r="X17" s="1236"/>
      <c r="Y17" s="1215"/>
      <c r="Z17" s="1216"/>
      <c r="AA17" s="530"/>
    </row>
    <row r="18" spans="1:27" s="531" customFormat="1" ht="13.5" x14ac:dyDescent="0.2">
      <c r="A18" s="894"/>
      <c r="B18" s="782" t="s">
        <v>445</v>
      </c>
      <c r="C18" s="1213"/>
      <c r="D18" s="1214"/>
      <c r="E18" s="1214"/>
      <c r="F18" s="1214"/>
      <c r="G18" s="1214"/>
      <c r="H18" s="1214"/>
      <c r="I18" s="1214"/>
      <c r="J18" s="1214"/>
      <c r="K18" s="1214"/>
      <c r="L18" s="1214"/>
      <c r="M18" s="1214"/>
      <c r="N18" s="1214"/>
      <c r="O18" s="1214"/>
      <c r="P18" s="1214"/>
      <c r="Q18" s="1214"/>
      <c r="R18" s="1214"/>
      <c r="S18" s="1214"/>
      <c r="T18" s="1214"/>
      <c r="U18" s="1214"/>
      <c r="V18" s="1214"/>
      <c r="W18" s="1214"/>
      <c r="X18" s="1236"/>
      <c r="Y18" s="1215"/>
      <c r="Z18" s="1216"/>
      <c r="AA18" s="530"/>
    </row>
    <row r="19" spans="1:27" s="531" customFormat="1" ht="13.5" x14ac:dyDescent="0.2">
      <c r="A19" s="894"/>
      <c r="B19" s="782" t="s">
        <v>446</v>
      </c>
      <c r="C19" s="1213"/>
      <c r="D19" s="1214"/>
      <c r="E19" s="1214"/>
      <c r="F19" s="1214"/>
      <c r="G19" s="1214"/>
      <c r="H19" s="1214"/>
      <c r="I19" s="1214"/>
      <c r="J19" s="1214"/>
      <c r="K19" s="1214"/>
      <c r="L19" s="1214"/>
      <c r="M19" s="1214"/>
      <c r="N19" s="1214"/>
      <c r="O19" s="1214"/>
      <c r="P19" s="1214"/>
      <c r="Q19" s="1214"/>
      <c r="R19" s="1214"/>
      <c r="S19" s="1214"/>
      <c r="T19" s="1214"/>
      <c r="U19" s="1214"/>
      <c r="V19" s="1214"/>
      <c r="W19" s="1214"/>
      <c r="X19" s="1236"/>
      <c r="Y19" s="1215"/>
      <c r="Z19" s="1216"/>
      <c r="AA19" s="530"/>
    </row>
    <row r="20" spans="1:27" s="531" customFormat="1" ht="13.5" x14ac:dyDescent="0.2">
      <c r="A20" s="894"/>
      <c r="B20" s="782" t="s">
        <v>447</v>
      </c>
      <c r="C20" s="588">
        <v>592</v>
      </c>
      <c r="D20" s="1166">
        <v>508</v>
      </c>
      <c r="E20" s="1166">
        <v>1537</v>
      </c>
      <c r="F20" s="1166">
        <v>669</v>
      </c>
      <c r="G20" s="1166">
        <v>4431</v>
      </c>
      <c r="H20" s="1166">
        <v>679</v>
      </c>
      <c r="I20" s="1166">
        <v>3213</v>
      </c>
      <c r="J20" s="1166">
        <v>819</v>
      </c>
      <c r="K20" s="1166">
        <v>567</v>
      </c>
      <c r="L20" s="1166">
        <v>1387</v>
      </c>
      <c r="M20" s="1166">
        <v>548</v>
      </c>
      <c r="N20" s="587">
        <v>458</v>
      </c>
      <c r="O20" s="1166">
        <v>459</v>
      </c>
      <c r="P20" s="1166">
        <v>561</v>
      </c>
      <c r="Q20" s="1166">
        <v>1842</v>
      </c>
      <c r="R20" s="1166">
        <v>219</v>
      </c>
      <c r="S20" s="1166">
        <v>2046</v>
      </c>
      <c r="T20" s="1166">
        <v>172</v>
      </c>
      <c r="U20" s="588">
        <v>334</v>
      </c>
      <c r="V20" s="1166">
        <v>527</v>
      </c>
      <c r="W20" s="1166">
        <v>632</v>
      </c>
      <c r="X20" s="1238">
        <v>295</v>
      </c>
      <c r="Y20" s="1168">
        <v>21040</v>
      </c>
      <c r="Z20" s="586">
        <v>117190</v>
      </c>
      <c r="AA20" s="530"/>
    </row>
    <row r="21" spans="1:27" s="531" customFormat="1" ht="13.5" x14ac:dyDescent="0.2">
      <c r="A21" s="894"/>
      <c r="B21" s="782" t="s">
        <v>448</v>
      </c>
      <c r="C21" s="588">
        <v>0</v>
      </c>
      <c r="D21" s="1166">
        <v>101</v>
      </c>
      <c r="E21" s="1166">
        <v>19</v>
      </c>
      <c r="F21" s="1166">
        <v>189</v>
      </c>
      <c r="G21" s="1166">
        <v>0</v>
      </c>
      <c r="H21" s="1166">
        <v>0</v>
      </c>
      <c r="I21" s="1166">
        <v>93</v>
      </c>
      <c r="J21" s="1166">
        <v>52</v>
      </c>
      <c r="K21" s="1166">
        <v>0</v>
      </c>
      <c r="L21" s="1166">
        <v>32</v>
      </c>
      <c r="M21" s="1166">
        <v>18</v>
      </c>
      <c r="N21" s="587">
        <v>77</v>
      </c>
      <c r="O21" s="1166">
        <v>0</v>
      </c>
      <c r="P21" s="1166">
        <v>0</v>
      </c>
      <c r="Q21" s="1166">
        <v>416</v>
      </c>
      <c r="R21" s="1166">
        <v>104</v>
      </c>
      <c r="S21" s="1166">
        <v>0</v>
      </c>
      <c r="T21" s="1166">
        <v>12</v>
      </c>
      <c r="U21" s="588">
        <v>11</v>
      </c>
      <c r="V21" s="1166">
        <v>51</v>
      </c>
      <c r="W21" s="1166">
        <v>21</v>
      </c>
      <c r="X21" s="1238">
        <v>0</v>
      </c>
      <c r="Y21" s="1168">
        <v>1200</v>
      </c>
      <c r="Z21" s="586">
        <v>15580</v>
      </c>
      <c r="AA21" s="530"/>
    </row>
    <row r="22" spans="1:27" s="531" customFormat="1" ht="13.5" x14ac:dyDescent="0.2">
      <c r="A22" s="894"/>
      <c r="B22" s="782" t="s">
        <v>449</v>
      </c>
      <c r="C22" s="588">
        <v>254</v>
      </c>
      <c r="D22" s="1166">
        <v>305</v>
      </c>
      <c r="E22" s="1166">
        <v>1182</v>
      </c>
      <c r="F22" s="1166">
        <v>408</v>
      </c>
      <c r="G22" s="1166">
        <v>3063</v>
      </c>
      <c r="H22" s="1166">
        <v>308</v>
      </c>
      <c r="I22" s="1166">
        <v>2326</v>
      </c>
      <c r="J22" s="1166">
        <v>359</v>
      </c>
      <c r="K22" s="1166">
        <v>332</v>
      </c>
      <c r="L22" s="1166">
        <v>623</v>
      </c>
      <c r="M22" s="1166">
        <v>371</v>
      </c>
      <c r="N22" s="587">
        <v>397</v>
      </c>
      <c r="O22" s="1166">
        <v>209</v>
      </c>
      <c r="P22" s="1166">
        <v>363</v>
      </c>
      <c r="Q22" s="1166">
        <v>1437</v>
      </c>
      <c r="R22" s="1166">
        <v>150</v>
      </c>
      <c r="S22" s="1166">
        <v>1139</v>
      </c>
      <c r="T22" s="1166">
        <v>130</v>
      </c>
      <c r="U22" s="588">
        <v>253</v>
      </c>
      <c r="V22" s="1166">
        <v>608</v>
      </c>
      <c r="W22" s="1166">
        <v>414</v>
      </c>
      <c r="X22" s="1238">
        <v>235</v>
      </c>
      <c r="Y22" s="1168">
        <v>13610</v>
      </c>
      <c r="Z22" s="586">
        <v>95070</v>
      </c>
      <c r="AA22" s="530"/>
    </row>
    <row r="23" spans="1:27" s="531" customFormat="1" ht="13.5" x14ac:dyDescent="0.2">
      <c r="A23" s="894"/>
      <c r="B23" s="782" t="s">
        <v>450</v>
      </c>
      <c r="C23" s="1213"/>
      <c r="D23" s="1214"/>
      <c r="E23" s="1214"/>
      <c r="F23" s="1214"/>
      <c r="G23" s="1214"/>
      <c r="H23" s="1214"/>
      <c r="I23" s="1214"/>
      <c r="J23" s="1214"/>
      <c r="K23" s="1214"/>
      <c r="L23" s="1214"/>
      <c r="M23" s="1214"/>
      <c r="N23" s="1217"/>
      <c r="O23" s="1214"/>
      <c r="P23" s="1214"/>
      <c r="Q23" s="1214"/>
      <c r="R23" s="1214"/>
      <c r="S23" s="1214"/>
      <c r="T23" s="1214"/>
      <c r="U23" s="1213"/>
      <c r="V23" s="1214"/>
      <c r="W23" s="1214"/>
      <c r="X23" s="1236"/>
      <c r="Y23" s="1215"/>
      <c r="Z23" s="1216"/>
      <c r="AA23" s="530"/>
    </row>
    <row r="24" spans="1:27" s="531" customFormat="1" ht="13.5" x14ac:dyDescent="0.2">
      <c r="A24" s="894"/>
      <c r="B24" s="782" t="s">
        <v>451</v>
      </c>
      <c r="C24" s="1213"/>
      <c r="D24" s="1214"/>
      <c r="E24" s="1214"/>
      <c r="F24" s="1214"/>
      <c r="G24" s="1214"/>
      <c r="H24" s="1214"/>
      <c r="I24" s="1214"/>
      <c r="J24" s="1214"/>
      <c r="K24" s="1214"/>
      <c r="L24" s="1214"/>
      <c r="M24" s="1214"/>
      <c r="N24" s="1217"/>
      <c r="O24" s="1214"/>
      <c r="P24" s="1214"/>
      <c r="Q24" s="1214"/>
      <c r="R24" s="1214"/>
      <c r="S24" s="1214"/>
      <c r="T24" s="1214"/>
      <c r="U24" s="1213"/>
      <c r="V24" s="1214"/>
      <c r="W24" s="1214"/>
      <c r="X24" s="1236"/>
      <c r="Y24" s="1215"/>
      <c r="Z24" s="1216"/>
      <c r="AA24" s="530"/>
    </row>
    <row r="25" spans="1:27" s="531" customFormat="1" ht="13.5" x14ac:dyDescent="0.2">
      <c r="A25" s="894"/>
      <c r="B25" s="782" t="s">
        <v>452</v>
      </c>
      <c r="C25" s="1213"/>
      <c r="D25" s="1214"/>
      <c r="E25" s="1214"/>
      <c r="F25" s="1214"/>
      <c r="G25" s="1214"/>
      <c r="H25" s="1214"/>
      <c r="I25" s="1214"/>
      <c r="J25" s="1214"/>
      <c r="K25" s="1214"/>
      <c r="L25" s="1214"/>
      <c r="M25" s="1214"/>
      <c r="N25" s="1217"/>
      <c r="O25" s="1214"/>
      <c r="P25" s="1214"/>
      <c r="Q25" s="1214"/>
      <c r="R25" s="1214"/>
      <c r="S25" s="1214"/>
      <c r="T25" s="1214"/>
      <c r="U25" s="1213"/>
      <c r="V25" s="1214"/>
      <c r="W25" s="1214"/>
      <c r="X25" s="1236"/>
      <c r="Y25" s="1215"/>
      <c r="Z25" s="1216"/>
      <c r="AA25" s="530"/>
    </row>
    <row r="26" spans="1:27" s="531" customFormat="1" ht="13.5" x14ac:dyDescent="0.2">
      <c r="A26" s="894"/>
      <c r="B26" s="782" t="s">
        <v>453</v>
      </c>
      <c r="C26" s="1213"/>
      <c r="D26" s="1214"/>
      <c r="E26" s="1214"/>
      <c r="F26" s="1214"/>
      <c r="G26" s="1214"/>
      <c r="H26" s="1214"/>
      <c r="I26" s="1214"/>
      <c r="J26" s="1214"/>
      <c r="K26" s="1214"/>
      <c r="L26" s="1214"/>
      <c r="M26" s="1214"/>
      <c r="N26" s="1217"/>
      <c r="O26" s="1214"/>
      <c r="P26" s="1214"/>
      <c r="Q26" s="1214"/>
      <c r="R26" s="1214"/>
      <c r="S26" s="1214"/>
      <c r="T26" s="1214"/>
      <c r="U26" s="1236"/>
      <c r="V26" s="1214"/>
      <c r="W26" s="1214"/>
      <c r="X26" s="1236"/>
      <c r="Y26" s="1215"/>
      <c r="Z26" s="1216"/>
      <c r="AA26" s="530"/>
    </row>
    <row r="27" spans="1:27" s="531" customFormat="1" ht="13.5" x14ac:dyDescent="0.2">
      <c r="A27" s="894"/>
      <c r="B27" s="782" t="s">
        <v>454</v>
      </c>
      <c r="C27" s="1213"/>
      <c r="D27" s="1214"/>
      <c r="E27" s="1214"/>
      <c r="F27" s="1214"/>
      <c r="G27" s="1214"/>
      <c r="H27" s="1214"/>
      <c r="I27" s="1214"/>
      <c r="J27" s="1214"/>
      <c r="K27" s="1214"/>
      <c r="L27" s="1214"/>
      <c r="M27" s="1214"/>
      <c r="N27" s="1217"/>
      <c r="O27" s="1214"/>
      <c r="P27" s="1214"/>
      <c r="Q27" s="1214"/>
      <c r="R27" s="1214"/>
      <c r="S27" s="1214"/>
      <c r="T27" s="1214"/>
      <c r="U27" s="1213"/>
      <c r="V27" s="1214"/>
      <c r="W27" s="1214"/>
      <c r="X27" s="1236"/>
      <c r="Y27" s="1215"/>
      <c r="Z27" s="1216"/>
      <c r="AA27" s="530"/>
    </row>
    <row r="28" spans="1:27" s="531" customFormat="1" ht="13.5" x14ac:dyDescent="0.2">
      <c r="A28" s="894"/>
      <c r="B28" s="782" t="s">
        <v>455</v>
      </c>
      <c r="C28" s="588">
        <v>30</v>
      </c>
      <c r="D28" s="1166">
        <v>41</v>
      </c>
      <c r="E28" s="1166">
        <v>66</v>
      </c>
      <c r="F28" s="1166">
        <v>98</v>
      </c>
      <c r="G28" s="1166">
        <v>0</v>
      </c>
      <c r="H28" s="1166">
        <v>0</v>
      </c>
      <c r="I28" s="1166">
        <v>363</v>
      </c>
      <c r="J28" s="1166">
        <v>67</v>
      </c>
      <c r="K28" s="1166">
        <v>43</v>
      </c>
      <c r="L28" s="1166">
        <v>53</v>
      </c>
      <c r="M28" s="1166">
        <v>108</v>
      </c>
      <c r="N28" s="587">
        <v>76</v>
      </c>
      <c r="O28" s="1166">
        <v>0</v>
      </c>
      <c r="P28" s="1166">
        <v>0</v>
      </c>
      <c r="Q28" s="1166">
        <v>145</v>
      </c>
      <c r="R28" s="1166">
        <v>32</v>
      </c>
      <c r="S28" s="1166">
        <v>143</v>
      </c>
      <c r="T28" s="1166">
        <v>10</v>
      </c>
      <c r="U28" s="588">
        <v>9</v>
      </c>
      <c r="V28" s="1166">
        <v>32</v>
      </c>
      <c r="W28" s="1166">
        <v>38</v>
      </c>
      <c r="X28" s="1238">
        <v>0</v>
      </c>
      <c r="Y28" s="1168">
        <v>1540</v>
      </c>
      <c r="Z28" s="586">
        <v>8540</v>
      </c>
      <c r="AA28" s="530"/>
    </row>
    <row r="29" spans="1:27" s="531" customFormat="1" ht="13.5" x14ac:dyDescent="0.2">
      <c r="A29" s="894"/>
      <c r="B29" s="782" t="s">
        <v>456</v>
      </c>
      <c r="C29" s="588">
        <v>466</v>
      </c>
      <c r="D29" s="1166">
        <v>419</v>
      </c>
      <c r="E29" s="1166">
        <v>766</v>
      </c>
      <c r="F29" s="1166">
        <v>706</v>
      </c>
      <c r="G29" s="1166">
        <v>1661</v>
      </c>
      <c r="H29" s="1166">
        <v>227</v>
      </c>
      <c r="I29" s="1166">
        <v>2281</v>
      </c>
      <c r="J29" s="1166">
        <v>506</v>
      </c>
      <c r="K29" s="1166">
        <v>418</v>
      </c>
      <c r="L29" s="1166">
        <v>331</v>
      </c>
      <c r="M29" s="1166">
        <v>513</v>
      </c>
      <c r="N29" s="587">
        <v>249</v>
      </c>
      <c r="O29" s="1166">
        <v>331</v>
      </c>
      <c r="P29" s="1166">
        <v>433</v>
      </c>
      <c r="Q29" s="1166">
        <v>1299</v>
      </c>
      <c r="R29" s="1166">
        <v>300</v>
      </c>
      <c r="S29" s="1166">
        <v>1493</v>
      </c>
      <c r="T29" s="1166">
        <v>77</v>
      </c>
      <c r="U29" s="588">
        <v>151</v>
      </c>
      <c r="V29" s="1166">
        <v>578</v>
      </c>
      <c r="W29" s="1166">
        <v>271</v>
      </c>
      <c r="X29" s="1238">
        <v>266</v>
      </c>
      <c r="Y29" s="1168">
        <v>12630</v>
      </c>
      <c r="Z29" s="586">
        <v>86810</v>
      </c>
      <c r="AA29" s="530"/>
    </row>
    <row r="30" spans="1:27" s="531" customFormat="1" ht="13.5" x14ac:dyDescent="0.2">
      <c r="A30" s="894"/>
      <c r="B30" s="782" t="s">
        <v>457</v>
      </c>
      <c r="C30" s="1213"/>
      <c r="D30" s="1214"/>
      <c r="E30" s="1214"/>
      <c r="F30" s="1214"/>
      <c r="G30" s="1214"/>
      <c r="H30" s="1214"/>
      <c r="I30" s="1214"/>
      <c r="J30" s="1214"/>
      <c r="K30" s="1214"/>
      <c r="L30" s="1214"/>
      <c r="M30" s="1214"/>
      <c r="N30" s="1217"/>
      <c r="O30" s="1214"/>
      <c r="P30" s="1214"/>
      <c r="Q30" s="1214"/>
      <c r="R30" s="1214"/>
      <c r="S30" s="1214"/>
      <c r="T30" s="1214"/>
      <c r="U30" s="1213"/>
      <c r="V30" s="1214"/>
      <c r="W30" s="1214"/>
      <c r="X30" s="1236"/>
      <c r="Y30" s="1215"/>
      <c r="Z30" s="1216"/>
      <c r="AA30" s="530"/>
    </row>
    <row r="31" spans="1:27" s="531" customFormat="1" ht="13.5" x14ac:dyDescent="0.2">
      <c r="A31" s="894"/>
      <c r="B31" s="782" t="s">
        <v>458</v>
      </c>
      <c r="C31" s="1213"/>
      <c r="D31" s="1214"/>
      <c r="E31" s="1214"/>
      <c r="F31" s="1214"/>
      <c r="G31" s="1214"/>
      <c r="H31" s="1214"/>
      <c r="I31" s="1214"/>
      <c r="J31" s="1214"/>
      <c r="K31" s="1214"/>
      <c r="L31" s="1214"/>
      <c r="M31" s="1214"/>
      <c r="N31" s="1217"/>
      <c r="O31" s="1214"/>
      <c r="P31" s="1214"/>
      <c r="Q31" s="1214"/>
      <c r="R31" s="1214"/>
      <c r="S31" s="1214"/>
      <c r="T31" s="1214"/>
      <c r="U31" s="1213"/>
      <c r="V31" s="1214"/>
      <c r="W31" s="1214"/>
      <c r="X31" s="1236"/>
      <c r="Y31" s="1215"/>
      <c r="Z31" s="1216"/>
      <c r="AA31" s="530"/>
    </row>
    <row r="32" spans="1:27" s="531" customFormat="1" ht="13.5" x14ac:dyDescent="0.2">
      <c r="A32" s="894"/>
      <c r="B32" s="782" t="s">
        <v>459</v>
      </c>
      <c r="C32" s="588">
        <v>443</v>
      </c>
      <c r="D32" s="1166">
        <v>780</v>
      </c>
      <c r="E32" s="1166">
        <v>2712</v>
      </c>
      <c r="F32" s="1166">
        <v>1148</v>
      </c>
      <c r="G32" s="1166">
        <v>4559</v>
      </c>
      <c r="H32" s="1166">
        <v>555</v>
      </c>
      <c r="I32" s="1166">
        <v>6290</v>
      </c>
      <c r="J32" s="1166">
        <v>1341</v>
      </c>
      <c r="K32" s="1166">
        <v>754</v>
      </c>
      <c r="L32" s="1166">
        <v>2080</v>
      </c>
      <c r="M32" s="1166">
        <v>700</v>
      </c>
      <c r="N32" s="587">
        <v>1062</v>
      </c>
      <c r="O32" s="1166">
        <v>624</v>
      </c>
      <c r="P32" s="1166">
        <v>813</v>
      </c>
      <c r="Q32" s="1166">
        <v>3862</v>
      </c>
      <c r="R32" s="1166">
        <v>545</v>
      </c>
      <c r="S32" s="1166">
        <v>2556</v>
      </c>
      <c r="T32" s="1166">
        <v>401</v>
      </c>
      <c r="U32" s="588">
        <v>617</v>
      </c>
      <c r="V32" s="1166">
        <v>1008</v>
      </c>
      <c r="W32" s="1166">
        <v>1214</v>
      </c>
      <c r="X32" s="1238">
        <v>514</v>
      </c>
      <c r="Y32" s="1253">
        <v>31840</v>
      </c>
      <c r="Z32" s="586">
        <v>189910</v>
      </c>
      <c r="AA32" s="530"/>
    </row>
    <row r="33" spans="1:27" s="531" customFormat="1" ht="13.5" x14ac:dyDescent="0.2">
      <c r="A33" s="894"/>
      <c r="B33" s="782" t="s">
        <v>460</v>
      </c>
      <c r="C33" s="588">
        <v>53</v>
      </c>
      <c r="D33" s="1166">
        <v>80</v>
      </c>
      <c r="E33" s="1166">
        <v>244</v>
      </c>
      <c r="F33" s="1166">
        <v>217</v>
      </c>
      <c r="G33" s="1166">
        <v>593</v>
      </c>
      <c r="H33" s="1166">
        <v>59</v>
      </c>
      <c r="I33" s="1166">
        <v>884</v>
      </c>
      <c r="J33" s="1166">
        <v>135</v>
      </c>
      <c r="K33" s="1166">
        <v>107</v>
      </c>
      <c r="L33" s="1166">
        <v>73</v>
      </c>
      <c r="M33" s="1166">
        <v>151</v>
      </c>
      <c r="N33" s="587">
        <v>71</v>
      </c>
      <c r="O33" s="1166">
        <v>69</v>
      </c>
      <c r="P33" s="1166">
        <v>65</v>
      </c>
      <c r="Q33" s="1166">
        <v>340</v>
      </c>
      <c r="R33" s="1166">
        <v>47</v>
      </c>
      <c r="S33" s="1166">
        <v>292</v>
      </c>
      <c r="T33" s="1166">
        <v>27</v>
      </c>
      <c r="U33" s="588">
        <v>41</v>
      </c>
      <c r="V33" s="1166">
        <v>136</v>
      </c>
      <c r="W33" s="1166">
        <v>124</v>
      </c>
      <c r="X33" s="1238">
        <v>29</v>
      </c>
      <c r="Y33" s="1168">
        <v>3550</v>
      </c>
      <c r="Z33" s="586">
        <v>23780</v>
      </c>
      <c r="AA33" s="530"/>
    </row>
    <row r="34" spans="1:27" s="531" customFormat="1" ht="13.5" x14ac:dyDescent="0.2">
      <c r="A34" s="894"/>
      <c r="B34" s="782" t="s">
        <v>461</v>
      </c>
      <c r="C34" s="588">
        <v>95</v>
      </c>
      <c r="D34" s="1166">
        <v>156</v>
      </c>
      <c r="E34" s="1166">
        <v>345</v>
      </c>
      <c r="F34" s="1166">
        <v>318</v>
      </c>
      <c r="G34" s="1166">
        <v>1248</v>
      </c>
      <c r="H34" s="1166">
        <v>301</v>
      </c>
      <c r="I34" s="1166">
        <v>698</v>
      </c>
      <c r="J34" s="1166">
        <v>163</v>
      </c>
      <c r="K34" s="1166">
        <v>106</v>
      </c>
      <c r="L34" s="1166">
        <v>975</v>
      </c>
      <c r="M34" s="1166">
        <v>149</v>
      </c>
      <c r="N34" s="587">
        <v>138</v>
      </c>
      <c r="O34" s="1166">
        <v>124</v>
      </c>
      <c r="P34" s="1166">
        <v>179</v>
      </c>
      <c r="Q34" s="1166">
        <v>587</v>
      </c>
      <c r="R34" s="1166">
        <v>38</v>
      </c>
      <c r="S34" s="1166">
        <v>609</v>
      </c>
      <c r="T34" s="1166">
        <v>148</v>
      </c>
      <c r="U34" s="588">
        <v>87</v>
      </c>
      <c r="V34" s="1166">
        <v>234</v>
      </c>
      <c r="W34" s="1166">
        <v>78</v>
      </c>
      <c r="X34" s="1238">
        <v>163</v>
      </c>
      <c r="Y34" s="1253">
        <v>6460</v>
      </c>
      <c r="Z34" s="586">
        <v>35780</v>
      </c>
      <c r="AA34" s="530"/>
    </row>
    <row r="35" spans="1:27" s="531" customFormat="1" ht="13.5" x14ac:dyDescent="0.2">
      <c r="A35" s="894"/>
      <c r="B35" s="782" t="s">
        <v>462</v>
      </c>
      <c r="C35" s="588">
        <v>65</v>
      </c>
      <c r="D35" s="1166">
        <v>44</v>
      </c>
      <c r="E35" s="1166">
        <v>186</v>
      </c>
      <c r="F35" s="1166">
        <v>82</v>
      </c>
      <c r="G35" s="1166">
        <v>495</v>
      </c>
      <c r="H35" s="1166">
        <v>0</v>
      </c>
      <c r="I35" s="1166">
        <v>375</v>
      </c>
      <c r="J35" s="1166">
        <v>89</v>
      </c>
      <c r="K35" s="1166">
        <v>63</v>
      </c>
      <c r="L35" s="1166">
        <v>70</v>
      </c>
      <c r="M35" s="1166">
        <v>66</v>
      </c>
      <c r="N35" s="587">
        <v>35</v>
      </c>
      <c r="O35" s="1166">
        <v>21</v>
      </c>
      <c r="P35" s="1166">
        <v>56</v>
      </c>
      <c r="Q35" s="1166">
        <v>142</v>
      </c>
      <c r="R35" s="1166">
        <v>37</v>
      </c>
      <c r="S35" s="1166">
        <v>0</v>
      </c>
      <c r="T35" s="1166">
        <v>19</v>
      </c>
      <c r="U35" s="588">
        <v>28</v>
      </c>
      <c r="V35" s="1166">
        <v>152</v>
      </c>
      <c r="W35" s="1166">
        <v>96</v>
      </c>
      <c r="X35" s="1238">
        <v>78</v>
      </c>
      <c r="Y35" s="1168">
        <v>1870</v>
      </c>
      <c r="Z35" s="586">
        <v>15580</v>
      </c>
      <c r="AA35" s="530"/>
    </row>
    <row r="36" spans="1:27" s="531" customFormat="1" ht="13.5" x14ac:dyDescent="0.2">
      <c r="A36" s="894"/>
      <c r="B36" s="782" t="s">
        <v>463</v>
      </c>
      <c r="C36" s="588">
        <v>0</v>
      </c>
      <c r="D36" s="1166">
        <v>700</v>
      </c>
      <c r="E36" s="1166">
        <v>12</v>
      </c>
      <c r="F36" s="1166">
        <v>22</v>
      </c>
      <c r="G36" s="1166">
        <v>263</v>
      </c>
      <c r="H36" s="1166">
        <v>61</v>
      </c>
      <c r="I36" s="1166">
        <v>199</v>
      </c>
      <c r="J36" s="1166">
        <v>79</v>
      </c>
      <c r="K36" s="1166">
        <v>0</v>
      </c>
      <c r="L36" s="1166">
        <v>763</v>
      </c>
      <c r="M36" s="1166">
        <v>0</v>
      </c>
      <c r="N36" s="587">
        <v>0</v>
      </c>
      <c r="O36" s="1238">
        <v>0</v>
      </c>
      <c r="P36" s="1166">
        <v>24</v>
      </c>
      <c r="Q36" s="1166">
        <v>0</v>
      </c>
      <c r="R36" s="1166">
        <v>20</v>
      </c>
      <c r="S36" s="1166">
        <v>392</v>
      </c>
      <c r="T36" s="1166">
        <v>50</v>
      </c>
      <c r="U36" s="1238">
        <v>32</v>
      </c>
      <c r="V36" s="1166">
        <v>7</v>
      </c>
      <c r="W36" s="1166">
        <v>175</v>
      </c>
      <c r="X36" s="1238">
        <v>34</v>
      </c>
      <c r="Y36" s="1253">
        <v>2630</v>
      </c>
      <c r="Z36" s="586">
        <v>10730</v>
      </c>
      <c r="AA36" s="530"/>
    </row>
    <row r="37" spans="1:27" s="531" customFormat="1" ht="13.5" x14ac:dyDescent="0.2">
      <c r="A37" s="595">
        <v>15</v>
      </c>
      <c r="B37" s="783" t="s">
        <v>464</v>
      </c>
      <c r="C37" s="589">
        <v>616</v>
      </c>
      <c r="D37" s="1166">
        <v>795</v>
      </c>
      <c r="E37" s="1166">
        <v>2424</v>
      </c>
      <c r="F37" s="1166">
        <v>815</v>
      </c>
      <c r="G37" s="1166">
        <v>5359</v>
      </c>
      <c r="H37" s="1166">
        <v>827</v>
      </c>
      <c r="I37" s="1166">
        <v>4772</v>
      </c>
      <c r="J37" s="1166">
        <v>576</v>
      </c>
      <c r="K37" s="1166">
        <v>539</v>
      </c>
      <c r="L37" s="1166">
        <v>1240</v>
      </c>
      <c r="M37" s="1166">
        <v>729</v>
      </c>
      <c r="N37" s="590">
        <v>746</v>
      </c>
      <c r="O37" s="1166">
        <v>293</v>
      </c>
      <c r="P37" s="1166">
        <v>914</v>
      </c>
      <c r="Q37" s="1166">
        <v>441</v>
      </c>
      <c r="R37" s="1166">
        <v>2715</v>
      </c>
      <c r="S37" s="1166">
        <v>582</v>
      </c>
      <c r="T37" s="1166">
        <v>466</v>
      </c>
      <c r="U37" s="589">
        <v>441</v>
      </c>
      <c r="V37" s="1166">
        <v>2446</v>
      </c>
      <c r="W37" s="1166">
        <v>238</v>
      </c>
      <c r="X37" s="1238">
        <v>359</v>
      </c>
      <c r="Y37" s="1253">
        <v>26840</v>
      </c>
      <c r="Z37" s="586">
        <v>147150</v>
      </c>
      <c r="AA37" s="530"/>
    </row>
    <row r="38" spans="1:27" s="531" customFormat="1" ht="13.5" x14ac:dyDescent="0.2">
      <c r="A38" s="595">
        <v>16</v>
      </c>
      <c r="B38" s="783" t="s">
        <v>465</v>
      </c>
      <c r="C38" s="589">
        <v>1703</v>
      </c>
      <c r="D38" s="1166">
        <v>2470</v>
      </c>
      <c r="E38" s="1166">
        <v>7819</v>
      </c>
      <c r="F38" s="1166">
        <v>3598</v>
      </c>
      <c r="G38" s="1166">
        <v>18003</v>
      </c>
      <c r="H38" s="1166">
        <v>1965</v>
      </c>
      <c r="I38" s="1166">
        <v>17703</v>
      </c>
      <c r="J38" s="1166">
        <v>3420</v>
      </c>
      <c r="K38" s="1166">
        <v>2249</v>
      </c>
      <c r="L38" s="1166">
        <v>5404</v>
      </c>
      <c r="M38" s="1166">
        <v>3737</v>
      </c>
      <c r="N38" s="590">
        <v>2676</v>
      </c>
      <c r="O38" s="1166">
        <v>1853</v>
      </c>
      <c r="P38" s="1166">
        <v>4112</v>
      </c>
      <c r="Q38" s="1166">
        <v>2448</v>
      </c>
      <c r="R38" s="1166">
        <v>11842</v>
      </c>
      <c r="S38" s="1166">
        <v>4204</v>
      </c>
      <c r="T38" s="1166">
        <v>1877</v>
      </c>
      <c r="U38" s="589">
        <v>2069</v>
      </c>
      <c r="V38" s="1166">
        <v>10412</v>
      </c>
      <c r="W38" s="1166">
        <v>861</v>
      </c>
      <c r="X38" s="1238">
        <v>1733</v>
      </c>
      <c r="Y38" s="1168">
        <v>102220</v>
      </c>
      <c r="Z38" s="586">
        <v>631090</v>
      </c>
      <c r="AA38" s="530"/>
    </row>
    <row r="39" spans="1:27" s="531" customFormat="1" ht="22.5" x14ac:dyDescent="0.2">
      <c r="A39" s="595">
        <v>17</v>
      </c>
      <c r="B39" s="780" t="s">
        <v>231</v>
      </c>
      <c r="C39" s="1237"/>
      <c r="D39" s="1237"/>
      <c r="E39" s="1237"/>
      <c r="F39" s="1237"/>
      <c r="G39" s="1237"/>
      <c r="H39" s="1237"/>
      <c r="I39" s="1237"/>
      <c r="J39" s="1237"/>
      <c r="K39" s="1237"/>
      <c r="L39" s="1237"/>
      <c r="M39" s="1237"/>
      <c r="N39" s="1237"/>
      <c r="O39" s="1237"/>
      <c r="P39" s="1237"/>
      <c r="Q39" s="1237"/>
      <c r="R39" s="1237"/>
      <c r="S39" s="1237"/>
      <c r="T39" s="1237"/>
      <c r="U39" s="1237"/>
      <c r="V39" s="1237"/>
      <c r="W39" s="1237"/>
      <c r="X39" s="1237"/>
      <c r="Y39" s="1247"/>
      <c r="Z39" s="1248"/>
      <c r="AA39" s="530"/>
    </row>
    <row r="40" spans="1:27" s="531" customFormat="1" ht="13.5" x14ac:dyDescent="0.2">
      <c r="A40" s="895"/>
      <c r="B40" s="779" t="s">
        <v>466</v>
      </c>
      <c r="C40" s="588">
        <v>319</v>
      </c>
      <c r="D40" s="1166">
        <v>321</v>
      </c>
      <c r="E40" s="1166">
        <v>1748</v>
      </c>
      <c r="F40" s="1167">
        <v>283</v>
      </c>
      <c r="G40" s="1166">
        <v>4210</v>
      </c>
      <c r="H40" s="1166">
        <v>577</v>
      </c>
      <c r="I40" s="1166">
        <v>1473</v>
      </c>
      <c r="J40" s="1166">
        <v>134</v>
      </c>
      <c r="K40" s="1166">
        <v>593</v>
      </c>
      <c r="L40" s="1166">
        <v>287</v>
      </c>
      <c r="M40" s="1166">
        <v>1391</v>
      </c>
      <c r="N40" s="587">
        <v>360</v>
      </c>
      <c r="O40" s="1166">
        <v>77</v>
      </c>
      <c r="P40" s="1166">
        <v>455</v>
      </c>
      <c r="Q40" s="1166">
        <v>297</v>
      </c>
      <c r="R40" s="1166">
        <v>645</v>
      </c>
      <c r="S40" s="1166">
        <v>934</v>
      </c>
      <c r="T40" s="1166">
        <v>128</v>
      </c>
      <c r="U40" s="588">
        <v>779</v>
      </c>
      <c r="V40" s="1166">
        <v>3135</v>
      </c>
      <c r="W40" s="1166">
        <v>0</v>
      </c>
      <c r="X40" s="1166">
        <v>195</v>
      </c>
      <c r="Y40" s="1168">
        <v>16870</v>
      </c>
      <c r="Z40" s="586">
        <v>95560</v>
      </c>
      <c r="AA40" s="530"/>
    </row>
    <row r="41" spans="1:27" s="531" customFormat="1" ht="13.5" x14ac:dyDescent="0.2">
      <c r="A41" s="895"/>
      <c r="B41" s="779" t="s">
        <v>648</v>
      </c>
      <c r="C41" s="588">
        <v>664</v>
      </c>
      <c r="D41" s="1166">
        <v>289</v>
      </c>
      <c r="E41" s="1166">
        <v>816</v>
      </c>
      <c r="F41" s="1167">
        <v>460</v>
      </c>
      <c r="G41" s="1166">
        <v>8167</v>
      </c>
      <c r="H41" s="1166">
        <v>826</v>
      </c>
      <c r="I41" s="1166">
        <v>2241</v>
      </c>
      <c r="J41" s="1166">
        <v>288</v>
      </c>
      <c r="K41" s="1166">
        <v>685</v>
      </c>
      <c r="L41" s="1166">
        <v>519</v>
      </c>
      <c r="M41" s="1166">
        <v>752</v>
      </c>
      <c r="N41" s="587">
        <v>673</v>
      </c>
      <c r="O41" s="1166">
        <v>149</v>
      </c>
      <c r="P41" s="1166">
        <v>626</v>
      </c>
      <c r="Q41" s="1166">
        <v>372</v>
      </c>
      <c r="R41" s="1166">
        <v>2030</v>
      </c>
      <c r="S41" s="1166">
        <v>937</v>
      </c>
      <c r="T41" s="1166">
        <v>322</v>
      </c>
      <c r="U41" s="588">
        <v>249</v>
      </c>
      <c r="V41" s="1166">
        <v>823</v>
      </c>
      <c r="W41" s="1166">
        <v>76</v>
      </c>
      <c r="X41" s="1166">
        <v>374</v>
      </c>
      <c r="Y41" s="1168">
        <v>20450</v>
      </c>
      <c r="Z41" s="586">
        <v>110460</v>
      </c>
      <c r="AA41" s="530"/>
    </row>
    <row r="42" spans="1:27" s="531" customFormat="1" ht="13.5" x14ac:dyDescent="0.2">
      <c r="A42" s="895"/>
      <c r="B42" s="779" t="s">
        <v>649</v>
      </c>
      <c r="C42" s="588">
        <v>291</v>
      </c>
      <c r="D42" s="1166">
        <v>644</v>
      </c>
      <c r="E42" s="1166">
        <v>880</v>
      </c>
      <c r="F42" s="1167">
        <v>470</v>
      </c>
      <c r="G42" s="1166">
        <v>2295</v>
      </c>
      <c r="H42" s="1166">
        <v>208</v>
      </c>
      <c r="I42" s="1166">
        <v>4452</v>
      </c>
      <c r="J42" s="1166">
        <v>345</v>
      </c>
      <c r="K42" s="1166">
        <v>461</v>
      </c>
      <c r="L42" s="1166">
        <v>670</v>
      </c>
      <c r="M42" s="1166">
        <v>720</v>
      </c>
      <c r="N42" s="587">
        <v>539</v>
      </c>
      <c r="O42" s="1166">
        <v>406</v>
      </c>
      <c r="P42" s="1166">
        <v>898</v>
      </c>
      <c r="Q42" s="1166">
        <v>275</v>
      </c>
      <c r="R42" s="1166">
        <v>1662</v>
      </c>
      <c r="S42" s="1166">
        <v>690</v>
      </c>
      <c r="T42" s="1166">
        <v>298</v>
      </c>
      <c r="U42" s="588">
        <v>200</v>
      </c>
      <c r="V42" s="1166">
        <v>1115</v>
      </c>
      <c r="W42" s="1166">
        <v>60</v>
      </c>
      <c r="X42" s="1166">
        <v>413</v>
      </c>
      <c r="Y42" s="529">
        <v>16110</v>
      </c>
      <c r="Z42" s="586">
        <v>104990</v>
      </c>
      <c r="AA42" s="530"/>
    </row>
    <row r="43" spans="1:27" s="531" customFormat="1" ht="13.5" x14ac:dyDescent="0.2">
      <c r="A43" s="895"/>
      <c r="B43" s="779" t="s">
        <v>650</v>
      </c>
      <c r="C43" s="588">
        <v>319</v>
      </c>
      <c r="D43" s="1166">
        <v>922</v>
      </c>
      <c r="E43" s="1166">
        <v>2299</v>
      </c>
      <c r="F43" s="1167">
        <v>871</v>
      </c>
      <c r="G43" s="1166">
        <v>1684</v>
      </c>
      <c r="H43" s="1166">
        <v>271</v>
      </c>
      <c r="I43" s="1166">
        <v>8141</v>
      </c>
      <c r="J43" s="1166">
        <v>1392</v>
      </c>
      <c r="K43" s="1166">
        <v>372</v>
      </c>
      <c r="L43" s="1166">
        <v>1676</v>
      </c>
      <c r="M43" s="1166">
        <v>695</v>
      </c>
      <c r="N43" s="587">
        <v>788</v>
      </c>
      <c r="O43" s="1166">
        <v>845</v>
      </c>
      <c r="P43" s="1166">
        <v>1148</v>
      </c>
      <c r="Q43" s="596">
        <v>674</v>
      </c>
      <c r="R43" s="1166">
        <v>4315</v>
      </c>
      <c r="S43" s="1166">
        <v>780</v>
      </c>
      <c r="T43" s="1166">
        <v>561</v>
      </c>
      <c r="U43" s="588">
        <v>763</v>
      </c>
      <c r="V43" s="1166">
        <v>3819</v>
      </c>
      <c r="W43" s="1166">
        <v>369</v>
      </c>
      <c r="X43" s="1166">
        <v>325</v>
      </c>
      <c r="Y43" s="1168">
        <v>30550</v>
      </c>
      <c r="Z43" s="586">
        <v>225060</v>
      </c>
      <c r="AA43" s="530"/>
    </row>
    <row r="44" spans="1:27" s="531" customFormat="1" ht="13.5" x14ac:dyDescent="0.2">
      <c r="A44" s="895"/>
      <c r="B44" s="779" t="s">
        <v>467</v>
      </c>
      <c r="C44" s="588">
        <v>110</v>
      </c>
      <c r="D44" s="1254">
        <v>294</v>
      </c>
      <c r="E44" s="1254">
        <v>2076</v>
      </c>
      <c r="F44" s="1255">
        <v>1514</v>
      </c>
      <c r="G44" s="1254">
        <v>1647</v>
      </c>
      <c r="H44" s="1254">
        <v>83</v>
      </c>
      <c r="I44" s="1254">
        <v>1396</v>
      </c>
      <c r="J44" s="1254">
        <v>1261</v>
      </c>
      <c r="K44" s="1254">
        <v>138</v>
      </c>
      <c r="L44" s="1254">
        <v>2252</v>
      </c>
      <c r="M44" s="1254">
        <v>179</v>
      </c>
      <c r="N44" s="587">
        <v>316</v>
      </c>
      <c r="O44" s="1254">
        <v>376</v>
      </c>
      <c r="P44" s="1254">
        <v>985</v>
      </c>
      <c r="Q44" s="596">
        <v>830</v>
      </c>
      <c r="R44" s="1254">
        <v>3190</v>
      </c>
      <c r="S44" s="1254">
        <v>863</v>
      </c>
      <c r="T44" s="1254">
        <v>451</v>
      </c>
      <c r="U44" s="588">
        <v>62</v>
      </c>
      <c r="V44" s="1254">
        <v>1518</v>
      </c>
      <c r="W44" s="1254">
        <v>315</v>
      </c>
      <c r="X44" s="1254">
        <v>426</v>
      </c>
      <c r="Y44" s="1168">
        <v>18000</v>
      </c>
      <c r="Z44" s="1244">
        <v>108650</v>
      </c>
      <c r="AA44" s="530"/>
    </row>
    <row r="45" spans="1:27" s="531" customFormat="1" ht="13.5" x14ac:dyDescent="0.2">
      <c r="A45" s="595">
        <v>18</v>
      </c>
      <c r="B45" s="783" t="s">
        <v>468</v>
      </c>
      <c r="C45" s="1213"/>
      <c r="D45" s="1214"/>
      <c r="E45" s="1214"/>
      <c r="F45" s="1214"/>
      <c r="G45" s="1214"/>
      <c r="H45" s="1214"/>
      <c r="I45" s="1214"/>
      <c r="J45" s="1214"/>
      <c r="K45" s="1214"/>
      <c r="L45" s="1214"/>
      <c r="M45" s="1214"/>
      <c r="N45" s="1217"/>
      <c r="O45" s="1214"/>
      <c r="P45" s="1214"/>
      <c r="Q45" s="1214"/>
      <c r="R45" s="1214"/>
      <c r="S45" s="1214"/>
      <c r="T45" s="1214"/>
      <c r="U45" s="1213"/>
      <c r="V45" s="1214"/>
      <c r="W45" s="1214"/>
      <c r="X45" s="1236"/>
      <c r="Y45" s="1215"/>
      <c r="Z45" s="1216"/>
      <c r="AA45" s="530"/>
    </row>
    <row r="46" spans="1:27" s="531" customFormat="1" ht="13.5" x14ac:dyDescent="0.2">
      <c r="A46" s="595">
        <v>19</v>
      </c>
      <c r="B46" s="783" t="s">
        <v>469</v>
      </c>
      <c r="C46" s="1213"/>
      <c r="D46" s="1214"/>
      <c r="E46" s="1214"/>
      <c r="F46" s="1214"/>
      <c r="G46" s="1214"/>
      <c r="H46" s="1214"/>
      <c r="I46" s="1214"/>
      <c r="J46" s="1214"/>
      <c r="K46" s="1214"/>
      <c r="L46" s="1214"/>
      <c r="M46" s="1214"/>
      <c r="N46" s="1217"/>
      <c r="O46" s="1214"/>
      <c r="P46" s="1214"/>
      <c r="Q46" s="1214"/>
      <c r="R46" s="1214"/>
      <c r="S46" s="1214"/>
      <c r="T46" s="1214"/>
      <c r="U46" s="1213"/>
      <c r="V46" s="1214"/>
      <c r="W46" s="1214"/>
      <c r="X46" s="1236"/>
      <c r="Y46" s="1215"/>
      <c r="Z46" s="1216"/>
      <c r="AA46" s="530"/>
    </row>
    <row r="47" spans="1:27" s="531" customFormat="1" ht="13.5" x14ac:dyDescent="0.2">
      <c r="A47" s="595">
        <v>20</v>
      </c>
      <c r="B47" s="783" t="s">
        <v>470</v>
      </c>
      <c r="C47" s="589">
        <v>1043</v>
      </c>
      <c r="D47" s="1166">
        <v>2039</v>
      </c>
      <c r="E47" s="1166">
        <v>3338</v>
      </c>
      <c r="F47" s="1166">
        <v>3135</v>
      </c>
      <c r="G47" s="1166">
        <v>8585</v>
      </c>
      <c r="H47" s="1166">
        <v>1178</v>
      </c>
      <c r="I47" s="1166">
        <v>10370</v>
      </c>
      <c r="J47" s="1166">
        <v>2417</v>
      </c>
      <c r="K47" s="1166">
        <v>2156</v>
      </c>
      <c r="L47" s="1166">
        <v>4511</v>
      </c>
      <c r="M47" s="1166">
        <v>1645</v>
      </c>
      <c r="N47" s="590">
        <v>1635</v>
      </c>
      <c r="O47" s="1166">
        <v>1426</v>
      </c>
      <c r="P47" s="1166">
        <v>2608</v>
      </c>
      <c r="Q47" s="1166">
        <v>2657</v>
      </c>
      <c r="R47" s="1166">
        <v>5932</v>
      </c>
      <c r="S47" s="1166">
        <v>2277</v>
      </c>
      <c r="T47" s="1166">
        <v>1067</v>
      </c>
      <c r="U47" s="589">
        <v>1065</v>
      </c>
      <c r="V47" s="1166">
        <v>4699</v>
      </c>
      <c r="W47" s="1166">
        <v>737</v>
      </c>
      <c r="X47" s="1238">
        <v>898</v>
      </c>
      <c r="Y47" s="1168">
        <v>59470</v>
      </c>
      <c r="Z47" s="586">
        <v>399510</v>
      </c>
      <c r="AA47" s="530"/>
    </row>
    <row r="48" spans="1:27" s="531" customFormat="1" ht="13.5" x14ac:dyDescent="0.2">
      <c r="A48" s="595">
        <v>21</v>
      </c>
      <c r="B48" s="783" t="s">
        <v>471</v>
      </c>
      <c r="C48" s="589">
        <v>702</v>
      </c>
      <c r="D48" s="1166">
        <v>778</v>
      </c>
      <c r="E48" s="1166">
        <v>2174</v>
      </c>
      <c r="F48" s="1166">
        <v>1329</v>
      </c>
      <c r="G48" s="1166">
        <v>4317</v>
      </c>
      <c r="H48" s="1166">
        <v>501</v>
      </c>
      <c r="I48" s="1166">
        <v>6015</v>
      </c>
      <c r="J48" s="1166">
        <v>1509</v>
      </c>
      <c r="K48" s="1166">
        <v>603</v>
      </c>
      <c r="L48" s="1166">
        <v>1873</v>
      </c>
      <c r="M48" s="1166">
        <v>1313</v>
      </c>
      <c r="N48" s="590">
        <v>1031</v>
      </c>
      <c r="O48" s="1166">
        <v>1064</v>
      </c>
      <c r="P48" s="1166">
        <v>1221</v>
      </c>
      <c r="Q48" s="1166">
        <v>1713</v>
      </c>
      <c r="R48" s="1166">
        <v>4139</v>
      </c>
      <c r="S48" s="1166">
        <v>1058</v>
      </c>
      <c r="T48" s="1166">
        <v>776</v>
      </c>
      <c r="U48" s="589">
        <v>556</v>
      </c>
      <c r="V48" s="1166">
        <v>2894</v>
      </c>
      <c r="W48" s="1166">
        <v>522</v>
      </c>
      <c r="X48" s="1238">
        <v>655</v>
      </c>
      <c r="Y48" s="1168">
        <v>33690</v>
      </c>
      <c r="Z48" s="586">
        <v>201170</v>
      </c>
      <c r="AA48" s="530"/>
    </row>
    <row r="49" spans="1:27" s="531" customFormat="1" ht="13.5" x14ac:dyDescent="0.2">
      <c r="A49" s="595">
        <v>22</v>
      </c>
      <c r="B49" s="783" t="s">
        <v>472</v>
      </c>
      <c r="C49" s="589">
        <v>253</v>
      </c>
      <c r="D49" s="1166">
        <v>391</v>
      </c>
      <c r="E49" s="1166">
        <v>797</v>
      </c>
      <c r="F49" s="1166">
        <v>717</v>
      </c>
      <c r="G49" s="1166">
        <v>1762</v>
      </c>
      <c r="H49" s="1166">
        <v>231</v>
      </c>
      <c r="I49" s="1166">
        <v>1573</v>
      </c>
      <c r="J49" s="1166">
        <v>554</v>
      </c>
      <c r="K49" s="1166">
        <v>222</v>
      </c>
      <c r="L49" s="1166">
        <v>845</v>
      </c>
      <c r="M49" s="1166">
        <v>290</v>
      </c>
      <c r="N49" s="590">
        <v>424</v>
      </c>
      <c r="O49" s="1166">
        <v>343</v>
      </c>
      <c r="P49" s="1166">
        <v>515</v>
      </c>
      <c r="Q49" s="1166">
        <v>479</v>
      </c>
      <c r="R49" s="1166">
        <v>1507</v>
      </c>
      <c r="S49" s="1166">
        <v>495</v>
      </c>
      <c r="T49" s="1166">
        <v>307</v>
      </c>
      <c r="U49" s="589">
        <v>259</v>
      </c>
      <c r="V49" s="1166">
        <v>874</v>
      </c>
      <c r="W49" s="1166">
        <v>121</v>
      </c>
      <c r="X49" s="1238">
        <v>256</v>
      </c>
      <c r="Y49" s="1168">
        <v>11900</v>
      </c>
      <c r="Z49" s="586">
        <v>77440</v>
      </c>
      <c r="AA49" s="530"/>
    </row>
    <row r="50" spans="1:27" s="531" customFormat="1" ht="13.5" x14ac:dyDescent="0.2">
      <c r="A50" s="595">
        <v>23</v>
      </c>
      <c r="B50" s="783" t="s">
        <v>473</v>
      </c>
      <c r="C50" s="589">
        <v>199</v>
      </c>
      <c r="D50" s="1166">
        <v>324</v>
      </c>
      <c r="E50" s="1166">
        <v>586</v>
      </c>
      <c r="F50" s="1212">
        <v>539</v>
      </c>
      <c r="G50" s="1166">
        <v>1327</v>
      </c>
      <c r="H50" s="1166">
        <v>187</v>
      </c>
      <c r="I50" s="1166">
        <v>1377</v>
      </c>
      <c r="J50" s="1166">
        <v>415</v>
      </c>
      <c r="K50" s="1166">
        <v>194</v>
      </c>
      <c r="L50" s="1166">
        <v>690</v>
      </c>
      <c r="M50" s="1166">
        <v>237</v>
      </c>
      <c r="N50" s="590">
        <v>256</v>
      </c>
      <c r="O50" s="1166">
        <v>236</v>
      </c>
      <c r="P50" s="1166">
        <v>476</v>
      </c>
      <c r="Q50" s="1166">
        <v>341</v>
      </c>
      <c r="R50" s="1166">
        <v>1174</v>
      </c>
      <c r="S50" s="1166">
        <v>339</v>
      </c>
      <c r="T50" s="1166">
        <v>225</v>
      </c>
      <c r="U50" s="589">
        <v>249</v>
      </c>
      <c r="V50" s="1166">
        <v>607</v>
      </c>
      <c r="W50" s="1166">
        <v>78</v>
      </c>
      <c r="X50" s="1238">
        <v>168</v>
      </c>
      <c r="Y50" s="1168">
        <v>9190</v>
      </c>
      <c r="Z50" s="586">
        <v>60950</v>
      </c>
      <c r="AA50" s="530"/>
    </row>
    <row r="51" spans="1:27" s="531" customFormat="1" ht="13.5" x14ac:dyDescent="0.2">
      <c r="A51" s="595" t="s">
        <v>482</v>
      </c>
      <c r="B51" s="783" t="s">
        <v>474</v>
      </c>
      <c r="C51" s="589">
        <v>130</v>
      </c>
      <c r="D51" s="1166">
        <v>316</v>
      </c>
      <c r="E51" s="1166">
        <v>562</v>
      </c>
      <c r="F51" s="1166">
        <v>569</v>
      </c>
      <c r="G51" s="1166">
        <v>1097</v>
      </c>
      <c r="H51" s="1166">
        <v>165</v>
      </c>
      <c r="I51" s="1166">
        <v>1303</v>
      </c>
      <c r="J51" s="1166">
        <v>355</v>
      </c>
      <c r="K51" s="1166">
        <v>136</v>
      </c>
      <c r="L51" s="1166">
        <v>592</v>
      </c>
      <c r="M51" s="1166">
        <v>195</v>
      </c>
      <c r="N51" s="590">
        <v>255</v>
      </c>
      <c r="O51" s="1166">
        <v>218</v>
      </c>
      <c r="P51" s="1166">
        <v>402</v>
      </c>
      <c r="Q51" s="1166">
        <v>305</v>
      </c>
      <c r="R51" s="1166">
        <v>959</v>
      </c>
      <c r="S51" s="1166">
        <v>333</v>
      </c>
      <c r="T51" s="1166">
        <v>179</v>
      </c>
      <c r="U51" s="589">
        <v>118</v>
      </c>
      <c r="V51" s="1166">
        <v>621</v>
      </c>
      <c r="W51" s="1166">
        <v>90</v>
      </c>
      <c r="X51" s="1238">
        <v>127</v>
      </c>
      <c r="Y51" s="1168">
        <v>8110</v>
      </c>
      <c r="Z51" s="586">
        <v>52260</v>
      </c>
      <c r="AA51" s="530"/>
    </row>
    <row r="52" spans="1:27" s="531" customFormat="1" ht="13.5" x14ac:dyDescent="0.2">
      <c r="A52" s="595" t="s">
        <v>484</v>
      </c>
      <c r="B52" s="783" t="s">
        <v>475</v>
      </c>
      <c r="C52" s="589">
        <v>69</v>
      </c>
      <c r="D52" s="1166">
        <v>247</v>
      </c>
      <c r="E52" s="1166">
        <v>391</v>
      </c>
      <c r="F52" s="1166">
        <v>449</v>
      </c>
      <c r="G52" s="1166">
        <v>823</v>
      </c>
      <c r="H52" s="1166">
        <v>125</v>
      </c>
      <c r="I52" s="1166">
        <v>922</v>
      </c>
      <c r="J52" s="1166">
        <v>241</v>
      </c>
      <c r="K52" s="1166">
        <v>86</v>
      </c>
      <c r="L52" s="1166">
        <v>413</v>
      </c>
      <c r="M52" s="1166">
        <v>143</v>
      </c>
      <c r="N52" s="590">
        <v>175</v>
      </c>
      <c r="O52" s="1166">
        <v>141</v>
      </c>
      <c r="P52" s="1166">
        <v>272</v>
      </c>
      <c r="Q52" s="1166">
        <v>199</v>
      </c>
      <c r="R52" s="1166">
        <v>783</v>
      </c>
      <c r="S52" s="1166">
        <v>265</v>
      </c>
      <c r="T52" s="1166">
        <v>116</v>
      </c>
      <c r="U52" s="589">
        <v>76</v>
      </c>
      <c r="V52" s="1166">
        <v>431</v>
      </c>
      <c r="W52" s="1166">
        <v>60</v>
      </c>
      <c r="X52" s="1238">
        <v>85</v>
      </c>
      <c r="Y52" s="1168">
        <v>5860</v>
      </c>
      <c r="Z52" s="586">
        <v>35570</v>
      </c>
      <c r="AA52" s="530"/>
    </row>
    <row r="53" spans="1:27" s="531" customFormat="1" ht="13.5" x14ac:dyDescent="0.2">
      <c r="A53" s="595" t="s">
        <v>486</v>
      </c>
      <c r="B53" s="783" t="s">
        <v>476</v>
      </c>
      <c r="C53" s="589">
        <v>67</v>
      </c>
      <c r="D53" s="1166">
        <v>238</v>
      </c>
      <c r="E53" s="1166">
        <v>334</v>
      </c>
      <c r="F53" s="1212">
        <v>427</v>
      </c>
      <c r="G53" s="1166">
        <v>687</v>
      </c>
      <c r="H53" s="1166">
        <v>124</v>
      </c>
      <c r="I53" s="1166">
        <v>921</v>
      </c>
      <c r="J53" s="1166">
        <v>239</v>
      </c>
      <c r="K53" s="1166">
        <v>83</v>
      </c>
      <c r="L53" s="1166">
        <v>380</v>
      </c>
      <c r="M53" s="1166">
        <v>143</v>
      </c>
      <c r="N53" s="590">
        <v>136</v>
      </c>
      <c r="O53" s="1166">
        <v>127</v>
      </c>
      <c r="P53" s="1166">
        <v>245</v>
      </c>
      <c r="Q53" s="1166">
        <v>123</v>
      </c>
      <c r="R53" s="1166">
        <v>695</v>
      </c>
      <c r="S53" s="1166">
        <v>247</v>
      </c>
      <c r="T53" s="1166">
        <v>97</v>
      </c>
      <c r="U53" s="589">
        <v>75</v>
      </c>
      <c r="V53" s="1166">
        <v>380</v>
      </c>
      <c r="W53" s="1166">
        <v>57</v>
      </c>
      <c r="X53" s="1238">
        <v>80</v>
      </c>
      <c r="Y53" s="1168">
        <v>5320</v>
      </c>
      <c r="Z53" s="586">
        <v>32640</v>
      </c>
      <c r="AA53" s="530"/>
    </row>
    <row r="54" spans="1:27" s="531" customFormat="1" ht="13.5" x14ac:dyDescent="0.2">
      <c r="A54" s="585" t="s">
        <v>488</v>
      </c>
      <c r="B54" s="784" t="s">
        <v>619</v>
      </c>
      <c r="C54" s="1240"/>
      <c r="D54" s="1231"/>
      <c r="E54" s="1231"/>
      <c r="F54" s="1231"/>
      <c r="G54" s="1231"/>
      <c r="H54" s="1231"/>
      <c r="I54" s="1231"/>
      <c r="J54" s="1231"/>
      <c r="K54" s="1231"/>
      <c r="L54" s="1231"/>
      <c r="M54" s="1231"/>
      <c r="N54" s="1241"/>
      <c r="O54" s="1231"/>
      <c r="P54" s="1231"/>
      <c r="Q54" s="1231"/>
      <c r="R54" s="1231"/>
      <c r="S54" s="1231"/>
      <c r="T54" s="1231"/>
      <c r="U54" s="1240"/>
      <c r="V54" s="1231"/>
      <c r="W54" s="1231"/>
      <c r="X54" s="1242"/>
      <c r="Y54" s="1234"/>
      <c r="Z54" s="1232"/>
      <c r="AA54" s="530"/>
    </row>
    <row r="55" spans="1:27" s="531" customFormat="1" ht="13.5" x14ac:dyDescent="0.2">
      <c r="A55" s="585" t="s">
        <v>490</v>
      </c>
      <c r="B55" s="784" t="s">
        <v>703</v>
      </c>
      <c r="C55" s="1240">
        <v>0</v>
      </c>
      <c r="D55" s="1231">
        <v>12</v>
      </c>
      <c r="E55" s="1231">
        <v>14</v>
      </c>
      <c r="F55" s="1231">
        <v>25</v>
      </c>
      <c r="G55" s="1231">
        <v>35</v>
      </c>
      <c r="H55" s="1231" t="s">
        <v>73</v>
      </c>
      <c r="I55" s="1231">
        <v>34</v>
      </c>
      <c r="J55" s="1231">
        <v>12</v>
      </c>
      <c r="K55" s="1231" t="s">
        <v>73</v>
      </c>
      <c r="L55" s="1231">
        <v>37</v>
      </c>
      <c r="M55" s="1231" t="s">
        <v>73</v>
      </c>
      <c r="N55" s="1241">
        <v>10</v>
      </c>
      <c r="O55" s="1231" t="s">
        <v>73</v>
      </c>
      <c r="P55" s="1231">
        <v>8</v>
      </c>
      <c r="Q55" s="1231" t="s">
        <v>73</v>
      </c>
      <c r="R55" s="1231">
        <v>16</v>
      </c>
      <c r="S55" s="1231">
        <v>6</v>
      </c>
      <c r="T55" s="1231">
        <v>0</v>
      </c>
      <c r="U55" s="1240">
        <v>0</v>
      </c>
      <c r="V55" s="1231">
        <v>19</v>
      </c>
      <c r="W55" s="1231" t="s">
        <v>73</v>
      </c>
      <c r="X55" s="1242">
        <v>0</v>
      </c>
      <c r="Y55" s="1234">
        <v>230</v>
      </c>
      <c r="Z55" s="1232">
        <v>1120</v>
      </c>
      <c r="AA55" s="530"/>
    </row>
    <row r="56" spans="1:27" s="531" customFormat="1" ht="13.5" x14ac:dyDescent="0.2">
      <c r="A56" s="595" t="s">
        <v>492</v>
      </c>
      <c r="B56" s="783" t="s">
        <v>477</v>
      </c>
      <c r="C56" s="589">
        <v>162</v>
      </c>
      <c r="D56" s="1166">
        <v>404</v>
      </c>
      <c r="E56" s="1166">
        <v>772</v>
      </c>
      <c r="F56" s="1166">
        <v>620</v>
      </c>
      <c r="G56" s="1166">
        <v>1669</v>
      </c>
      <c r="H56" s="1166">
        <v>229</v>
      </c>
      <c r="I56" s="1166">
        <v>1558</v>
      </c>
      <c r="J56" s="1166">
        <v>458</v>
      </c>
      <c r="K56" s="1166">
        <v>171</v>
      </c>
      <c r="L56" s="1166">
        <v>839</v>
      </c>
      <c r="M56" s="1166">
        <v>344</v>
      </c>
      <c r="N56" s="590">
        <v>371</v>
      </c>
      <c r="O56" s="1166">
        <v>210</v>
      </c>
      <c r="P56" s="1166">
        <v>509</v>
      </c>
      <c r="Q56" s="1166">
        <v>407</v>
      </c>
      <c r="R56" s="1166">
        <v>1173</v>
      </c>
      <c r="S56" s="1166">
        <v>448</v>
      </c>
      <c r="T56" s="1166">
        <v>211</v>
      </c>
      <c r="U56" s="589">
        <v>251</v>
      </c>
      <c r="V56" s="1166">
        <v>859</v>
      </c>
      <c r="W56" s="1166">
        <v>76</v>
      </c>
      <c r="X56" s="1238">
        <v>195</v>
      </c>
      <c r="Y56" s="1168">
        <v>10770</v>
      </c>
      <c r="Z56" s="586">
        <v>67910</v>
      </c>
      <c r="AA56" s="530"/>
    </row>
    <row r="57" spans="1:27" s="531" customFormat="1" ht="13.5" x14ac:dyDescent="0.2">
      <c r="A57" s="595" t="s">
        <v>494</v>
      </c>
      <c r="B57" s="783" t="s">
        <v>478</v>
      </c>
      <c r="C57" s="589" t="s">
        <v>73</v>
      </c>
      <c r="D57" s="1166">
        <v>21</v>
      </c>
      <c r="E57" s="1166">
        <v>24</v>
      </c>
      <c r="F57" s="1166">
        <v>45</v>
      </c>
      <c r="G57" s="1166">
        <v>73</v>
      </c>
      <c r="H57" s="1166">
        <v>12</v>
      </c>
      <c r="I57" s="1166">
        <v>89</v>
      </c>
      <c r="J57" s="1166">
        <v>33</v>
      </c>
      <c r="K57" s="1166" t="s">
        <v>73</v>
      </c>
      <c r="L57" s="1166">
        <v>57</v>
      </c>
      <c r="M57" s="1166">
        <v>20</v>
      </c>
      <c r="N57" s="590">
        <v>14</v>
      </c>
      <c r="O57" s="1166" t="s">
        <v>73</v>
      </c>
      <c r="P57" s="1166">
        <v>21</v>
      </c>
      <c r="Q57" s="1166">
        <v>7</v>
      </c>
      <c r="R57" s="1166">
        <v>53</v>
      </c>
      <c r="S57" s="1166">
        <v>19</v>
      </c>
      <c r="T57" s="1166" t="s">
        <v>73</v>
      </c>
      <c r="U57" s="589" t="s">
        <v>73</v>
      </c>
      <c r="V57" s="1166">
        <v>28</v>
      </c>
      <c r="W57" s="1166" t="s">
        <v>73</v>
      </c>
      <c r="X57" s="1238">
        <v>8</v>
      </c>
      <c r="Y57" s="1168">
        <v>500</v>
      </c>
      <c r="Z57" s="586">
        <v>2270</v>
      </c>
      <c r="AA57" s="530"/>
    </row>
    <row r="58" spans="1:27" s="531" customFormat="1" ht="13.5" x14ac:dyDescent="0.2">
      <c r="A58" s="595" t="s">
        <v>232</v>
      </c>
      <c r="B58" s="783" t="s">
        <v>479</v>
      </c>
      <c r="C58" s="589">
        <v>187</v>
      </c>
      <c r="D58" s="1166">
        <v>325</v>
      </c>
      <c r="E58" s="1166">
        <v>696</v>
      </c>
      <c r="F58" s="1166">
        <v>631</v>
      </c>
      <c r="G58" s="1166">
        <v>1476</v>
      </c>
      <c r="H58" s="1166">
        <v>202</v>
      </c>
      <c r="I58" s="1166">
        <v>1404</v>
      </c>
      <c r="J58" s="1166">
        <v>469</v>
      </c>
      <c r="K58" s="1166">
        <v>202</v>
      </c>
      <c r="L58" s="1166">
        <v>744</v>
      </c>
      <c r="M58" s="1166">
        <v>253</v>
      </c>
      <c r="N58" s="590">
        <v>331</v>
      </c>
      <c r="O58" s="1166">
        <v>263</v>
      </c>
      <c r="P58" s="1166">
        <v>483</v>
      </c>
      <c r="Q58" s="1166">
        <v>383</v>
      </c>
      <c r="R58" s="1166">
        <v>1136</v>
      </c>
      <c r="S58" s="1166">
        <v>420</v>
      </c>
      <c r="T58" s="1166">
        <v>244</v>
      </c>
      <c r="U58" s="589">
        <v>202</v>
      </c>
      <c r="V58" s="1166">
        <v>814</v>
      </c>
      <c r="W58" s="1166">
        <v>92</v>
      </c>
      <c r="X58" s="1238">
        <v>196</v>
      </c>
      <c r="Y58" s="1168">
        <v>10010</v>
      </c>
      <c r="Z58" s="586">
        <v>66680</v>
      </c>
      <c r="AA58" s="530"/>
    </row>
    <row r="59" spans="1:27" s="531" customFormat="1" ht="13.5" x14ac:dyDescent="0.2">
      <c r="A59" s="595" t="s">
        <v>233</v>
      </c>
      <c r="B59" s="783" t="s">
        <v>480</v>
      </c>
      <c r="C59" s="589">
        <v>44</v>
      </c>
      <c r="D59" s="1166">
        <v>90</v>
      </c>
      <c r="E59" s="1166">
        <v>140</v>
      </c>
      <c r="F59" s="1166">
        <v>138</v>
      </c>
      <c r="G59" s="1166">
        <v>317</v>
      </c>
      <c r="H59" s="1166">
        <v>44</v>
      </c>
      <c r="I59" s="1166">
        <v>268</v>
      </c>
      <c r="J59" s="1166">
        <v>82</v>
      </c>
      <c r="K59" s="1166">
        <v>28</v>
      </c>
      <c r="L59" s="1166">
        <v>163</v>
      </c>
      <c r="M59" s="1166">
        <v>50</v>
      </c>
      <c r="N59" s="590">
        <v>95</v>
      </c>
      <c r="O59" s="1166">
        <v>54</v>
      </c>
      <c r="P59" s="1166">
        <v>98</v>
      </c>
      <c r="Q59" s="1166">
        <v>77</v>
      </c>
      <c r="R59" s="1166">
        <v>249</v>
      </c>
      <c r="S59" s="1166">
        <v>51</v>
      </c>
      <c r="T59" s="1166">
        <v>77</v>
      </c>
      <c r="U59" s="589">
        <v>50</v>
      </c>
      <c r="V59" s="1166">
        <v>183</v>
      </c>
      <c r="W59" s="1166">
        <v>11</v>
      </c>
      <c r="X59" s="1238">
        <v>29</v>
      </c>
      <c r="Y59" s="1168">
        <v>2110</v>
      </c>
      <c r="Z59" s="586">
        <v>13860</v>
      </c>
      <c r="AA59" s="530"/>
    </row>
    <row r="60" spans="1:27" s="531" customFormat="1" ht="13.5" x14ac:dyDescent="0.2">
      <c r="A60" s="595" t="s">
        <v>234</v>
      </c>
      <c r="B60" s="783" t="s">
        <v>481</v>
      </c>
      <c r="C60" s="1213"/>
      <c r="D60" s="1214"/>
      <c r="E60" s="1214"/>
      <c r="F60" s="1214"/>
      <c r="G60" s="1214"/>
      <c r="H60" s="1214"/>
      <c r="I60" s="1214"/>
      <c r="J60" s="1214"/>
      <c r="K60" s="1214"/>
      <c r="L60" s="1214"/>
      <c r="M60" s="1214"/>
      <c r="N60" s="1217"/>
      <c r="O60" s="1214"/>
      <c r="P60" s="1214"/>
      <c r="Q60" s="1214"/>
      <c r="R60" s="1214"/>
      <c r="S60" s="1214"/>
      <c r="T60" s="1214"/>
      <c r="U60" s="1213"/>
      <c r="V60" s="1214"/>
      <c r="W60" s="1214"/>
      <c r="X60" s="1236"/>
      <c r="Y60" s="1215"/>
      <c r="Z60" s="1216"/>
      <c r="AA60" s="530"/>
    </row>
    <row r="61" spans="1:27" s="531" customFormat="1" ht="13.5" x14ac:dyDescent="0.2">
      <c r="A61" s="595" t="s">
        <v>235</v>
      </c>
      <c r="B61" s="783" t="s">
        <v>483</v>
      </c>
      <c r="C61" s="589">
        <v>158</v>
      </c>
      <c r="D61" s="1166">
        <v>391</v>
      </c>
      <c r="E61" s="1166">
        <v>515</v>
      </c>
      <c r="F61" s="1166">
        <v>600</v>
      </c>
      <c r="G61" s="1166">
        <v>1664</v>
      </c>
      <c r="H61" s="1166">
        <v>243</v>
      </c>
      <c r="I61" s="1166">
        <v>1590</v>
      </c>
      <c r="J61" s="1166">
        <v>424</v>
      </c>
      <c r="K61" s="1166">
        <v>381</v>
      </c>
      <c r="L61" s="1166">
        <v>779</v>
      </c>
      <c r="M61" s="1166">
        <v>486</v>
      </c>
      <c r="N61" s="590">
        <v>273</v>
      </c>
      <c r="O61" s="1166">
        <v>213</v>
      </c>
      <c r="P61" s="1166">
        <v>534</v>
      </c>
      <c r="Q61" s="1166">
        <v>481</v>
      </c>
      <c r="R61" s="1166">
        <v>973</v>
      </c>
      <c r="S61" s="1166">
        <v>348</v>
      </c>
      <c r="T61" s="1166">
        <v>362</v>
      </c>
      <c r="U61" s="589">
        <v>172</v>
      </c>
      <c r="V61" s="1166">
        <v>704</v>
      </c>
      <c r="W61" s="1166">
        <v>124</v>
      </c>
      <c r="X61" s="1238">
        <v>110</v>
      </c>
      <c r="Y61" s="1168">
        <v>10280</v>
      </c>
      <c r="Z61" s="586">
        <v>78150</v>
      </c>
      <c r="AA61" s="530"/>
    </row>
    <row r="62" spans="1:27" s="531" customFormat="1" ht="13.5" x14ac:dyDescent="0.2">
      <c r="A62" s="1156"/>
      <c r="B62" s="1155" t="s">
        <v>933</v>
      </c>
      <c r="C62" s="589"/>
      <c r="D62" s="999"/>
      <c r="E62" s="999"/>
      <c r="F62" s="1145"/>
      <c r="G62" s="1145"/>
      <c r="H62" s="1145"/>
      <c r="I62" s="1145"/>
      <c r="J62" s="1145"/>
      <c r="K62" s="1145"/>
      <c r="L62" s="1145"/>
      <c r="M62" s="1145"/>
      <c r="N62" s="587"/>
      <c r="O62" s="1145"/>
      <c r="P62" s="1145"/>
      <c r="Q62" s="1145"/>
      <c r="R62" s="1145"/>
      <c r="S62" s="1145"/>
      <c r="T62" s="1145"/>
      <c r="U62" s="588"/>
      <c r="V62" s="999"/>
      <c r="W62" s="999"/>
      <c r="X62" s="999"/>
      <c r="Y62" s="529">
        <f t="shared" ref="Y62" si="0">SUM(C62:O62,Q62:R62,U62:X62)</f>
        <v>0</v>
      </c>
      <c r="Z62" s="1146"/>
      <c r="AA62" s="530"/>
    </row>
    <row r="63" spans="1:27" s="531" customFormat="1" ht="13.5" x14ac:dyDescent="0.2">
      <c r="A63" s="594" t="s">
        <v>500</v>
      </c>
      <c r="B63" s="785" t="s">
        <v>601</v>
      </c>
      <c r="C63" s="589" t="s">
        <v>73</v>
      </c>
      <c r="D63" s="1166">
        <v>14</v>
      </c>
      <c r="E63" s="1166">
        <v>21</v>
      </c>
      <c r="F63" s="1167">
        <v>32</v>
      </c>
      <c r="G63" s="1166">
        <v>62</v>
      </c>
      <c r="H63" s="1166">
        <v>13</v>
      </c>
      <c r="I63" s="1166">
        <v>64</v>
      </c>
      <c r="J63" s="1166">
        <v>30</v>
      </c>
      <c r="K63" s="1166">
        <v>28</v>
      </c>
      <c r="L63" s="1166">
        <v>33</v>
      </c>
      <c r="M63" s="1166">
        <v>18</v>
      </c>
      <c r="N63" s="590">
        <v>20</v>
      </c>
      <c r="O63" s="1166">
        <v>17</v>
      </c>
      <c r="P63" s="1166">
        <v>31</v>
      </c>
      <c r="Q63" s="1166">
        <v>25</v>
      </c>
      <c r="R63" s="1166">
        <v>37</v>
      </c>
      <c r="S63" s="1166">
        <v>15</v>
      </c>
      <c r="T63" s="1166">
        <v>13</v>
      </c>
      <c r="U63" s="589">
        <v>10</v>
      </c>
      <c r="V63" s="1166">
        <v>51</v>
      </c>
      <c r="W63" s="1166" t="s">
        <v>73</v>
      </c>
      <c r="X63" s="1238">
        <v>7</v>
      </c>
      <c r="Y63" s="1168">
        <v>490</v>
      </c>
      <c r="Z63" s="586">
        <v>4090</v>
      </c>
      <c r="AA63" s="530"/>
    </row>
    <row r="64" spans="1:27" s="531" customFormat="1" ht="13.5" x14ac:dyDescent="0.2">
      <c r="A64" s="895"/>
      <c r="B64" s="785" t="s">
        <v>602</v>
      </c>
      <c r="C64" s="589" t="s">
        <v>73</v>
      </c>
      <c r="D64" s="1166">
        <v>33</v>
      </c>
      <c r="E64" s="1166">
        <v>62</v>
      </c>
      <c r="F64" s="1167">
        <v>83</v>
      </c>
      <c r="G64" s="1166">
        <v>200</v>
      </c>
      <c r="H64" s="1166">
        <v>38</v>
      </c>
      <c r="I64" s="1166">
        <v>84</v>
      </c>
      <c r="J64" s="1166">
        <v>53</v>
      </c>
      <c r="K64" s="1166">
        <v>51</v>
      </c>
      <c r="L64" s="1166">
        <v>94</v>
      </c>
      <c r="M64" s="1166">
        <v>57</v>
      </c>
      <c r="N64" s="590">
        <v>34</v>
      </c>
      <c r="O64" s="1166">
        <v>33</v>
      </c>
      <c r="P64" s="1166">
        <v>80</v>
      </c>
      <c r="Q64" s="1166">
        <v>55</v>
      </c>
      <c r="R64" s="1166">
        <v>93</v>
      </c>
      <c r="S64" s="1166">
        <v>54</v>
      </c>
      <c r="T64" s="1166">
        <v>54</v>
      </c>
      <c r="U64" s="589">
        <v>10</v>
      </c>
      <c r="V64" s="1166">
        <v>80</v>
      </c>
      <c r="W64" s="1166" t="s">
        <v>73</v>
      </c>
      <c r="X64" s="1238">
        <v>12</v>
      </c>
      <c r="Y64" s="1168">
        <v>1100</v>
      </c>
      <c r="Z64" s="586">
        <v>10490</v>
      </c>
      <c r="AA64" s="530"/>
    </row>
    <row r="65" spans="1:27" s="531" customFormat="1" ht="13.5" x14ac:dyDescent="0.2">
      <c r="A65" s="895"/>
      <c r="B65" s="785" t="s">
        <v>603</v>
      </c>
      <c r="C65" s="589">
        <v>24</v>
      </c>
      <c r="D65" s="1166">
        <v>67</v>
      </c>
      <c r="E65" s="1166">
        <v>78</v>
      </c>
      <c r="F65" s="1167">
        <v>116</v>
      </c>
      <c r="G65" s="1166">
        <v>356</v>
      </c>
      <c r="H65" s="1166">
        <v>58</v>
      </c>
      <c r="I65" s="1166">
        <v>200</v>
      </c>
      <c r="J65" s="1166">
        <v>74</v>
      </c>
      <c r="K65" s="1166">
        <v>87</v>
      </c>
      <c r="L65" s="1166">
        <v>154</v>
      </c>
      <c r="M65" s="1166">
        <v>63</v>
      </c>
      <c r="N65" s="590">
        <v>57</v>
      </c>
      <c r="O65" s="1166">
        <v>31</v>
      </c>
      <c r="P65" s="1166">
        <v>82</v>
      </c>
      <c r="Q65" s="1166">
        <v>115</v>
      </c>
      <c r="R65" s="1166">
        <v>180</v>
      </c>
      <c r="S65" s="1166">
        <v>77</v>
      </c>
      <c r="T65" s="1166">
        <v>64</v>
      </c>
      <c r="U65" s="589">
        <v>23</v>
      </c>
      <c r="V65" s="1166">
        <v>102</v>
      </c>
      <c r="W65" s="1166">
        <v>15</v>
      </c>
      <c r="X65" s="1238">
        <v>18</v>
      </c>
      <c r="Y65" s="1168">
        <v>1820</v>
      </c>
      <c r="Z65" s="586">
        <v>14420</v>
      </c>
      <c r="AA65" s="530"/>
    </row>
    <row r="66" spans="1:27" s="531" customFormat="1" ht="13.5" x14ac:dyDescent="0.2">
      <c r="A66" s="895"/>
      <c r="B66" s="785" t="s">
        <v>604</v>
      </c>
      <c r="C66" s="589">
        <v>74</v>
      </c>
      <c r="D66" s="1166">
        <v>156</v>
      </c>
      <c r="E66" s="1166">
        <v>219</v>
      </c>
      <c r="F66" s="1167">
        <v>250</v>
      </c>
      <c r="G66" s="1166">
        <v>648</v>
      </c>
      <c r="H66" s="1166">
        <v>95</v>
      </c>
      <c r="I66" s="1166">
        <v>693</v>
      </c>
      <c r="J66" s="1166">
        <v>179</v>
      </c>
      <c r="K66" s="1166">
        <v>150</v>
      </c>
      <c r="L66" s="1166">
        <v>299</v>
      </c>
      <c r="M66" s="1166">
        <v>190</v>
      </c>
      <c r="N66" s="590">
        <v>110</v>
      </c>
      <c r="O66" s="1166">
        <v>83</v>
      </c>
      <c r="P66" s="1166">
        <v>203</v>
      </c>
      <c r="Q66" s="1166">
        <v>214</v>
      </c>
      <c r="R66" s="1166">
        <v>370</v>
      </c>
      <c r="S66" s="1166">
        <v>110</v>
      </c>
      <c r="T66" s="1166">
        <v>167</v>
      </c>
      <c r="U66" s="589">
        <v>63</v>
      </c>
      <c r="V66" s="1166">
        <v>275</v>
      </c>
      <c r="W66" s="1166">
        <v>52</v>
      </c>
      <c r="X66" s="1238">
        <v>36</v>
      </c>
      <c r="Y66" s="1168">
        <v>4160</v>
      </c>
      <c r="Z66" s="586">
        <v>30780</v>
      </c>
      <c r="AA66" s="530"/>
    </row>
    <row r="67" spans="1:27" s="531" customFormat="1" ht="13.5" x14ac:dyDescent="0.2">
      <c r="A67" s="895"/>
      <c r="B67" s="785" t="s">
        <v>605</v>
      </c>
      <c r="C67" s="589">
        <v>38</v>
      </c>
      <c r="D67" s="1166">
        <v>121</v>
      </c>
      <c r="E67" s="1166">
        <v>135</v>
      </c>
      <c r="F67" s="1167">
        <v>119</v>
      </c>
      <c r="G67" s="1166">
        <v>398</v>
      </c>
      <c r="H67" s="1166">
        <v>39</v>
      </c>
      <c r="I67" s="1166">
        <v>549</v>
      </c>
      <c r="J67" s="1166">
        <v>88</v>
      </c>
      <c r="K67" s="1166">
        <v>65</v>
      </c>
      <c r="L67" s="1166">
        <v>199</v>
      </c>
      <c r="M67" s="1166">
        <v>158</v>
      </c>
      <c r="N67" s="590">
        <v>52</v>
      </c>
      <c r="O67" s="1166">
        <v>49</v>
      </c>
      <c r="P67" s="1166">
        <v>138</v>
      </c>
      <c r="Q67" s="1166">
        <v>72</v>
      </c>
      <c r="R67" s="1166">
        <v>293</v>
      </c>
      <c r="S67" s="1166">
        <v>92</v>
      </c>
      <c r="T67" s="1166">
        <v>64</v>
      </c>
      <c r="U67" s="589">
        <v>66</v>
      </c>
      <c r="V67" s="1166">
        <v>196</v>
      </c>
      <c r="W67" s="1166">
        <v>42</v>
      </c>
      <c r="X67" s="1238">
        <v>37</v>
      </c>
      <c r="Y67" s="1168">
        <v>2720</v>
      </c>
      <c r="Z67" s="586">
        <v>18380</v>
      </c>
      <c r="AA67" s="530"/>
    </row>
    <row r="68" spans="1:27" s="531" customFormat="1" ht="13.5" x14ac:dyDescent="0.2">
      <c r="A68" s="595" t="s">
        <v>236</v>
      </c>
      <c r="B68" s="783" t="s">
        <v>485</v>
      </c>
      <c r="C68" s="589">
        <v>98</v>
      </c>
      <c r="D68" s="589">
        <v>270</v>
      </c>
      <c r="E68" s="589">
        <v>380</v>
      </c>
      <c r="F68" s="589">
        <v>481</v>
      </c>
      <c r="G68" s="589">
        <v>1266</v>
      </c>
      <c r="H68" s="589">
        <v>204</v>
      </c>
      <c r="I68" s="589">
        <v>1041</v>
      </c>
      <c r="J68" s="589">
        <v>336</v>
      </c>
      <c r="K68" s="589">
        <v>316</v>
      </c>
      <c r="L68" s="589">
        <v>580</v>
      </c>
      <c r="M68" s="589">
        <v>328</v>
      </c>
      <c r="N68" s="589">
        <v>221</v>
      </c>
      <c r="O68" s="589">
        <v>164</v>
      </c>
      <c r="P68" s="589">
        <v>396</v>
      </c>
      <c r="Q68" s="589">
        <v>409</v>
      </c>
      <c r="R68" s="589">
        <v>680</v>
      </c>
      <c r="S68" s="589">
        <v>256</v>
      </c>
      <c r="T68" s="589">
        <v>298</v>
      </c>
      <c r="U68" s="589">
        <v>106</v>
      </c>
      <c r="V68" s="589">
        <v>508</v>
      </c>
      <c r="W68" s="589">
        <v>67</v>
      </c>
      <c r="X68" s="589">
        <v>73</v>
      </c>
      <c r="Y68" s="589">
        <v>7570</v>
      </c>
      <c r="Z68" s="589">
        <v>59780</v>
      </c>
      <c r="AA68" s="530"/>
    </row>
    <row r="69" spans="1:27" s="531" customFormat="1" ht="13.5" x14ac:dyDescent="0.2">
      <c r="A69" s="595" t="s">
        <v>704</v>
      </c>
      <c r="B69" s="783" t="s">
        <v>487</v>
      </c>
      <c r="C69" s="589">
        <v>31</v>
      </c>
      <c r="D69" s="1166">
        <v>113</v>
      </c>
      <c r="E69" s="1166">
        <v>172</v>
      </c>
      <c r="F69" s="1166">
        <v>221</v>
      </c>
      <c r="G69" s="1166">
        <v>533</v>
      </c>
      <c r="H69" s="1166">
        <v>95</v>
      </c>
      <c r="I69" s="1166">
        <v>548</v>
      </c>
      <c r="J69" s="1166">
        <v>170</v>
      </c>
      <c r="K69" s="1166">
        <v>150</v>
      </c>
      <c r="L69" s="1166">
        <v>189</v>
      </c>
      <c r="M69" s="1166">
        <v>125</v>
      </c>
      <c r="N69" s="590">
        <v>97</v>
      </c>
      <c r="O69" s="1166">
        <v>54</v>
      </c>
      <c r="P69" s="1166">
        <v>160</v>
      </c>
      <c r="Q69" s="1166">
        <v>235</v>
      </c>
      <c r="R69" s="1166">
        <v>250</v>
      </c>
      <c r="S69" s="1166">
        <v>106</v>
      </c>
      <c r="T69" s="1166">
        <v>129</v>
      </c>
      <c r="U69" s="589">
        <v>50</v>
      </c>
      <c r="V69" s="1166">
        <v>181</v>
      </c>
      <c r="W69" s="1166">
        <v>25</v>
      </c>
      <c r="X69" s="1238">
        <v>15</v>
      </c>
      <c r="Y69" s="1168">
        <v>3250</v>
      </c>
      <c r="Z69" s="586">
        <v>25750</v>
      </c>
      <c r="AA69" s="530"/>
    </row>
    <row r="70" spans="1:27" s="531" customFormat="1" ht="13.5" x14ac:dyDescent="0.2">
      <c r="A70" s="595" t="s">
        <v>705</v>
      </c>
      <c r="B70" s="785" t="s">
        <v>489</v>
      </c>
      <c r="C70" s="588">
        <v>20</v>
      </c>
      <c r="D70" s="1166">
        <v>72</v>
      </c>
      <c r="E70" s="1166">
        <v>125</v>
      </c>
      <c r="F70" s="1166">
        <v>154</v>
      </c>
      <c r="G70" s="1166">
        <v>359</v>
      </c>
      <c r="H70" s="1166">
        <v>59</v>
      </c>
      <c r="I70" s="1166">
        <v>386</v>
      </c>
      <c r="J70" s="1166">
        <v>121</v>
      </c>
      <c r="K70" s="1166">
        <v>99</v>
      </c>
      <c r="L70" s="1166">
        <v>133</v>
      </c>
      <c r="M70" s="1166">
        <v>83</v>
      </c>
      <c r="N70" s="590">
        <v>64</v>
      </c>
      <c r="O70" s="1166">
        <v>35</v>
      </c>
      <c r="P70" s="1166">
        <v>100</v>
      </c>
      <c r="Q70" s="1166">
        <v>152</v>
      </c>
      <c r="R70" s="1166">
        <v>162</v>
      </c>
      <c r="S70" s="1166">
        <v>62</v>
      </c>
      <c r="T70" s="1166">
        <v>83</v>
      </c>
      <c r="U70" s="589">
        <v>27</v>
      </c>
      <c r="V70" s="1166">
        <v>120</v>
      </c>
      <c r="W70" s="1166">
        <v>19</v>
      </c>
      <c r="X70" s="1238">
        <v>12</v>
      </c>
      <c r="Y70" s="1168">
        <v>2200</v>
      </c>
      <c r="Z70" s="586">
        <v>17680</v>
      </c>
      <c r="AA70" s="530"/>
    </row>
    <row r="71" spans="1:27" s="531" customFormat="1" ht="13.5" x14ac:dyDescent="0.2">
      <c r="A71" s="595" t="s">
        <v>706</v>
      </c>
      <c r="B71" s="785" t="s">
        <v>520</v>
      </c>
      <c r="C71" s="589" t="s">
        <v>73</v>
      </c>
      <c r="D71" s="1166">
        <v>38</v>
      </c>
      <c r="E71" s="1166">
        <v>31</v>
      </c>
      <c r="F71" s="1166">
        <v>36</v>
      </c>
      <c r="G71" s="1166">
        <v>133</v>
      </c>
      <c r="H71" s="1166">
        <v>6</v>
      </c>
      <c r="I71" s="1166">
        <v>255</v>
      </c>
      <c r="J71" s="1166">
        <v>11</v>
      </c>
      <c r="K71" s="1166">
        <v>23</v>
      </c>
      <c r="L71" s="1166">
        <v>64</v>
      </c>
      <c r="M71" s="1166">
        <v>101</v>
      </c>
      <c r="N71" s="590" t="s">
        <v>73</v>
      </c>
      <c r="O71" s="1166" t="s">
        <v>73</v>
      </c>
      <c r="P71" s="1166">
        <v>13</v>
      </c>
      <c r="Q71" s="1166">
        <v>15</v>
      </c>
      <c r="R71" s="1166">
        <v>114</v>
      </c>
      <c r="S71" s="1166">
        <v>24</v>
      </c>
      <c r="T71" s="1166" t="s">
        <v>73</v>
      </c>
      <c r="U71" s="589">
        <v>30</v>
      </c>
      <c r="V71" s="1166">
        <v>72</v>
      </c>
      <c r="W71" s="1166">
        <v>10</v>
      </c>
      <c r="X71" s="1238">
        <v>12</v>
      </c>
      <c r="Y71" s="1168">
        <v>960</v>
      </c>
      <c r="Z71" s="586">
        <v>5070</v>
      </c>
      <c r="AA71" s="530"/>
    </row>
    <row r="72" spans="1:27" s="531" customFormat="1" ht="13.5" x14ac:dyDescent="0.2">
      <c r="A72" s="594" t="s">
        <v>707</v>
      </c>
      <c r="B72" s="785" t="s">
        <v>491</v>
      </c>
      <c r="C72" s="589">
        <v>31</v>
      </c>
      <c r="D72" s="1166">
        <v>32</v>
      </c>
      <c r="E72" s="1166">
        <v>46</v>
      </c>
      <c r="F72" s="1166">
        <v>72</v>
      </c>
      <c r="G72" s="1166">
        <v>265</v>
      </c>
      <c r="H72" s="1166">
        <v>24</v>
      </c>
      <c r="I72" s="1166">
        <v>165</v>
      </c>
      <c r="J72" s="1166">
        <v>40</v>
      </c>
      <c r="K72" s="1166">
        <v>41</v>
      </c>
      <c r="L72" s="1166">
        <v>72</v>
      </c>
      <c r="M72" s="1166">
        <v>77</v>
      </c>
      <c r="N72" s="590">
        <v>33</v>
      </c>
      <c r="O72" s="1166">
        <v>23</v>
      </c>
      <c r="P72" s="1166">
        <v>77</v>
      </c>
      <c r="Q72" s="1166">
        <v>60</v>
      </c>
      <c r="R72" s="1166">
        <v>88</v>
      </c>
      <c r="S72" s="1166">
        <v>25</v>
      </c>
      <c r="T72" s="1166">
        <v>40</v>
      </c>
      <c r="U72" s="589">
        <v>17</v>
      </c>
      <c r="V72" s="1166">
        <v>72</v>
      </c>
      <c r="W72" s="1166">
        <v>19</v>
      </c>
      <c r="X72" s="1238">
        <v>11</v>
      </c>
      <c r="Y72" s="1168">
        <v>1190</v>
      </c>
      <c r="Z72" s="586">
        <v>8110</v>
      </c>
      <c r="AA72" s="530"/>
    </row>
    <row r="73" spans="1:27" s="531" customFormat="1" ht="13.5" x14ac:dyDescent="0.2">
      <c r="A73" s="594" t="s">
        <v>237</v>
      </c>
      <c r="B73" s="785" t="s">
        <v>581</v>
      </c>
      <c r="C73" s="1213"/>
      <c r="D73" s="1214"/>
      <c r="E73" s="1214"/>
      <c r="F73" s="1214"/>
      <c r="G73" s="1214"/>
      <c r="H73" s="1214"/>
      <c r="I73" s="1214"/>
      <c r="J73" s="1214"/>
      <c r="K73" s="1214"/>
      <c r="L73" s="1214"/>
      <c r="M73" s="1214"/>
      <c r="N73" s="1217"/>
      <c r="O73" s="1214"/>
      <c r="P73" s="1214"/>
      <c r="Q73" s="1214"/>
      <c r="R73" s="1214"/>
      <c r="S73" s="1214"/>
      <c r="T73" s="1214"/>
      <c r="U73" s="1213"/>
      <c r="V73" s="1214"/>
      <c r="W73" s="1214"/>
      <c r="X73" s="1236"/>
      <c r="Y73" s="1215"/>
      <c r="Z73" s="1216"/>
      <c r="AA73" s="530"/>
    </row>
    <row r="74" spans="1:27" s="531" customFormat="1" ht="13.5" x14ac:dyDescent="0.2">
      <c r="A74" s="594" t="s">
        <v>238</v>
      </c>
      <c r="B74" s="785" t="s">
        <v>582</v>
      </c>
      <c r="C74" s="1213"/>
      <c r="D74" s="1214"/>
      <c r="E74" s="1214"/>
      <c r="F74" s="1214"/>
      <c r="G74" s="1214"/>
      <c r="H74" s="1214"/>
      <c r="I74" s="1214"/>
      <c r="J74" s="1214"/>
      <c r="K74" s="1214"/>
      <c r="L74" s="1214"/>
      <c r="M74" s="1214"/>
      <c r="N74" s="1217"/>
      <c r="O74" s="1214"/>
      <c r="P74" s="1214"/>
      <c r="Q74" s="1214"/>
      <c r="R74" s="1214"/>
      <c r="S74" s="1214"/>
      <c r="T74" s="1214"/>
      <c r="U74" s="1213"/>
      <c r="V74" s="1214"/>
      <c r="W74" s="1214"/>
      <c r="X74" s="1236"/>
      <c r="Y74" s="1215"/>
      <c r="Z74" s="1216"/>
      <c r="AA74" s="530"/>
    </row>
    <row r="75" spans="1:27" s="531" customFormat="1" ht="13.5" x14ac:dyDescent="0.2">
      <c r="A75" s="585" t="s">
        <v>708</v>
      </c>
      <c r="B75" s="778" t="s">
        <v>493</v>
      </c>
      <c r="C75" s="589">
        <v>84</v>
      </c>
      <c r="D75" s="1166">
        <v>157</v>
      </c>
      <c r="E75" s="1166">
        <v>209</v>
      </c>
      <c r="F75" s="1166">
        <v>192</v>
      </c>
      <c r="G75" s="1166">
        <v>652</v>
      </c>
      <c r="H75" s="1166">
        <v>74</v>
      </c>
      <c r="I75" s="1166">
        <v>696</v>
      </c>
      <c r="J75" s="1166">
        <v>167</v>
      </c>
      <c r="K75" s="1166">
        <v>162</v>
      </c>
      <c r="L75" s="1166">
        <v>355</v>
      </c>
      <c r="M75" s="1166">
        <v>229</v>
      </c>
      <c r="N75" s="587">
        <v>89</v>
      </c>
      <c r="O75" s="1166">
        <v>134</v>
      </c>
      <c r="P75" s="1166">
        <v>194</v>
      </c>
      <c r="Q75" s="1166">
        <v>170</v>
      </c>
      <c r="R75" s="1166">
        <v>435</v>
      </c>
      <c r="S75" s="1166">
        <v>137</v>
      </c>
      <c r="T75" s="1166">
        <v>147</v>
      </c>
      <c r="U75" s="588">
        <v>79</v>
      </c>
      <c r="V75" s="1166">
        <v>346</v>
      </c>
      <c r="W75" s="1166">
        <v>65</v>
      </c>
      <c r="X75" s="1238">
        <v>62</v>
      </c>
      <c r="Y75" s="1168">
        <v>4360</v>
      </c>
      <c r="Z75" s="586">
        <v>31680</v>
      </c>
      <c r="AA75" s="530"/>
    </row>
    <row r="76" spans="1:27" s="531" customFormat="1" ht="13.5" x14ac:dyDescent="0.2">
      <c r="A76" s="585" t="s">
        <v>709</v>
      </c>
      <c r="B76" s="778" t="s">
        <v>495</v>
      </c>
      <c r="C76" s="1240"/>
      <c r="D76" s="1231"/>
      <c r="E76" s="1231"/>
      <c r="F76" s="1231"/>
      <c r="G76" s="1231"/>
      <c r="H76" s="1231"/>
      <c r="I76" s="1231"/>
      <c r="J76" s="1231"/>
      <c r="K76" s="1231"/>
      <c r="L76" s="1231"/>
      <c r="M76" s="1231"/>
      <c r="N76" s="1241"/>
      <c r="O76" s="1231"/>
      <c r="P76" s="1231"/>
      <c r="Q76" s="1231"/>
      <c r="R76" s="1231"/>
      <c r="S76" s="1231"/>
      <c r="T76" s="1231"/>
      <c r="U76" s="1240"/>
      <c r="V76" s="1231"/>
      <c r="W76" s="1231"/>
      <c r="X76" s="1242"/>
      <c r="Y76" s="1234"/>
      <c r="Z76" s="1232"/>
      <c r="AA76" s="530"/>
    </row>
    <row r="77" spans="1:27" s="531" customFormat="1" ht="13.5" x14ac:dyDescent="0.2">
      <c r="A77" s="585" t="s">
        <v>710</v>
      </c>
      <c r="B77" s="778" t="s">
        <v>496</v>
      </c>
      <c r="C77" s="1240" t="s">
        <v>73</v>
      </c>
      <c r="D77" s="1231" t="s">
        <v>73</v>
      </c>
      <c r="E77" s="1231" t="s">
        <v>73</v>
      </c>
      <c r="F77" s="1231" t="s">
        <v>73</v>
      </c>
      <c r="G77" s="1231">
        <v>12</v>
      </c>
      <c r="H77" s="1231" t="s">
        <v>73</v>
      </c>
      <c r="I77" s="1231" t="s">
        <v>73</v>
      </c>
      <c r="J77" s="1231" t="s">
        <v>73</v>
      </c>
      <c r="K77" s="1231" t="s">
        <v>73</v>
      </c>
      <c r="L77" s="1231" t="s">
        <v>73</v>
      </c>
      <c r="M77" s="1231" t="s">
        <v>73</v>
      </c>
      <c r="N77" s="1241" t="s">
        <v>73</v>
      </c>
      <c r="O77" s="1231">
        <v>8</v>
      </c>
      <c r="P77" s="1231" t="s">
        <v>73</v>
      </c>
      <c r="Q77" s="1231">
        <v>8</v>
      </c>
      <c r="R77" s="1231" t="s">
        <v>73</v>
      </c>
      <c r="S77" s="1231" t="s">
        <v>73</v>
      </c>
      <c r="T77" s="1231">
        <v>0</v>
      </c>
      <c r="U77" s="1240">
        <v>0</v>
      </c>
      <c r="V77" s="1231" t="s">
        <v>73</v>
      </c>
      <c r="W77" s="1231">
        <v>0</v>
      </c>
      <c r="X77" s="1242" t="s">
        <v>73</v>
      </c>
      <c r="Y77" s="1234">
        <v>70</v>
      </c>
      <c r="Z77" s="1232">
        <v>780</v>
      </c>
      <c r="AA77" s="530"/>
    </row>
    <row r="78" spans="1:27" s="531" customFormat="1" ht="13.5" x14ac:dyDescent="0.2">
      <c r="A78" s="595">
        <v>30</v>
      </c>
      <c r="B78" s="785" t="s">
        <v>610</v>
      </c>
      <c r="C78" s="591" t="s">
        <v>73</v>
      </c>
      <c r="D78" s="1166">
        <v>10</v>
      </c>
      <c r="E78" s="1166">
        <v>18</v>
      </c>
      <c r="F78" s="1166" t="s">
        <v>73</v>
      </c>
      <c r="G78" s="1166">
        <v>48</v>
      </c>
      <c r="H78" s="1166" t="s">
        <v>73</v>
      </c>
      <c r="I78" s="1166">
        <v>38</v>
      </c>
      <c r="J78" s="1166">
        <v>10</v>
      </c>
      <c r="K78" s="1166">
        <v>6</v>
      </c>
      <c r="L78" s="1166">
        <v>29</v>
      </c>
      <c r="M78" s="1166" t="s">
        <v>73</v>
      </c>
      <c r="N78" s="590">
        <v>7</v>
      </c>
      <c r="O78" s="1166" t="s">
        <v>73</v>
      </c>
      <c r="P78" s="1166" t="s">
        <v>73</v>
      </c>
      <c r="Q78" s="1166">
        <v>13</v>
      </c>
      <c r="R78" s="1166">
        <v>13</v>
      </c>
      <c r="S78" s="1166">
        <v>10</v>
      </c>
      <c r="T78" s="1166">
        <v>21</v>
      </c>
      <c r="U78" s="589" t="s">
        <v>73</v>
      </c>
      <c r="V78" s="1166">
        <v>35</v>
      </c>
      <c r="W78" s="1166" t="s">
        <v>73</v>
      </c>
      <c r="X78" s="1238" t="s">
        <v>73</v>
      </c>
      <c r="Y78" s="1168">
        <v>280</v>
      </c>
      <c r="Z78" s="586">
        <v>2190</v>
      </c>
      <c r="AA78" s="530"/>
    </row>
    <row r="79" spans="1:27" s="531" customFormat="1" ht="13.5" x14ac:dyDescent="0.2">
      <c r="A79" s="595">
        <v>31</v>
      </c>
      <c r="B79" s="785" t="s">
        <v>497</v>
      </c>
      <c r="C79" s="588">
        <v>65</v>
      </c>
      <c r="D79" s="1166">
        <v>187</v>
      </c>
      <c r="E79" s="1166">
        <v>170</v>
      </c>
      <c r="F79" s="1166">
        <v>192</v>
      </c>
      <c r="G79" s="1166">
        <v>593</v>
      </c>
      <c r="H79" s="1166">
        <v>61</v>
      </c>
      <c r="I79" s="1166">
        <v>763</v>
      </c>
      <c r="J79" s="1166">
        <v>158</v>
      </c>
      <c r="K79" s="1166">
        <v>173</v>
      </c>
      <c r="L79" s="1166">
        <v>273</v>
      </c>
      <c r="M79" s="1166">
        <v>161</v>
      </c>
      <c r="N79" s="590">
        <v>95</v>
      </c>
      <c r="O79" s="1166">
        <v>127</v>
      </c>
      <c r="P79" s="1166">
        <v>184</v>
      </c>
      <c r="Q79" s="1166">
        <v>214</v>
      </c>
      <c r="R79" s="1166">
        <v>394</v>
      </c>
      <c r="S79" s="1166">
        <v>149</v>
      </c>
      <c r="T79" s="1166">
        <v>118</v>
      </c>
      <c r="U79" s="589">
        <v>53</v>
      </c>
      <c r="V79" s="1166">
        <v>354</v>
      </c>
      <c r="W79" s="1166">
        <v>52</v>
      </c>
      <c r="X79" s="1238">
        <v>58</v>
      </c>
      <c r="Y79" s="1168">
        <v>4140</v>
      </c>
      <c r="Z79" s="586">
        <v>29460</v>
      </c>
      <c r="AA79" s="530"/>
    </row>
    <row r="80" spans="1:27" s="531" customFormat="1" ht="13.5" x14ac:dyDescent="0.2">
      <c r="A80" s="595" t="s">
        <v>711</v>
      </c>
      <c r="B80" s="785" t="s">
        <v>498</v>
      </c>
      <c r="C80" s="591">
        <v>7</v>
      </c>
      <c r="D80" s="1166">
        <v>34</v>
      </c>
      <c r="E80" s="1166">
        <v>18</v>
      </c>
      <c r="F80" s="1166">
        <v>30</v>
      </c>
      <c r="G80" s="1166">
        <v>69</v>
      </c>
      <c r="H80" s="1166">
        <v>11</v>
      </c>
      <c r="I80" s="1166">
        <v>96</v>
      </c>
      <c r="J80" s="1166">
        <v>24</v>
      </c>
      <c r="K80" s="1166">
        <v>20</v>
      </c>
      <c r="L80" s="1166">
        <v>25</v>
      </c>
      <c r="M80" s="1166">
        <v>15</v>
      </c>
      <c r="N80" s="592">
        <v>20</v>
      </c>
      <c r="O80" s="1166">
        <v>14</v>
      </c>
      <c r="P80" s="1166">
        <v>23</v>
      </c>
      <c r="Q80" s="1166">
        <v>48</v>
      </c>
      <c r="R80" s="1166">
        <v>24</v>
      </c>
      <c r="S80" s="1166">
        <v>16</v>
      </c>
      <c r="T80" s="1166">
        <v>11</v>
      </c>
      <c r="U80" s="591">
        <v>6</v>
      </c>
      <c r="V80" s="1166">
        <v>42</v>
      </c>
      <c r="W80" s="1166">
        <v>7</v>
      </c>
      <c r="X80" s="1238" t="s">
        <v>73</v>
      </c>
      <c r="Y80" s="1168">
        <v>510</v>
      </c>
      <c r="Z80" s="586">
        <v>3570</v>
      </c>
      <c r="AA80" s="530"/>
    </row>
    <row r="81" spans="1:27" s="531" customFormat="1" ht="13.5" x14ac:dyDescent="0.2">
      <c r="A81" s="595" t="s">
        <v>712</v>
      </c>
      <c r="B81" s="785" t="s">
        <v>499</v>
      </c>
      <c r="C81" s="1214"/>
      <c r="D81" s="1214"/>
      <c r="E81" s="1214"/>
      <c r="F81" s="1214"/>
      <c r="G81" s="1214"/>
      <c r="H81" s="1214"/>
      <c r="I81" s="1214"/>
      <c r="J81" s="1214"/>
      <c r="K81" s="1214"/>
      <c r="L81" s="1214"/>
      <c r="M81" s="1214"/>
      <c r="N81" s="1214"/>
      <c r="O81" s="1214"/>
      <c r="P81" s="1214"/>
      <c r="Q81" s="1214"/>
      <c r="R81" s="1214"/>
      <c r="S81" s="1214"/>
      <c r="T81" s="1214"/>
      <c r="U81" s="1214"/>
      <c r="V81" s="1214"/>
      <c r="W81" s="1214"/>
      <c r="X81" s="1236"/>
      <c r="Y81" s="1215"/>
      <c r="Z81" s="1216"/>
      <c r="AA81" s="530"/>
    </row>
    <row r="82" spans="1:27" s="531" customFormat="1" ht="22.5" x14ac:dyDescent="0.2">
      <c r="A82" s="595" t="s">
        <v>713</v>
      </c>
      <c r="B82" s="785" t="s">
        <v>501</v>
      </c>
      <c r="C82" s="1214"/>
      <c r="D82" s="1214"/>
      <c r="E82" s="1214"/>
      <c r="F82" s="1214"/>
      <c r="G82" s="1214"/>
      <c r="H82" s="1214"/>
      <c r="I82" s="1214"/>
      <c r="J82" s="1214"/>
      <c r="K82" s="1214"/>
      <c r="L82" s="1214"/>
      <c r="M82" s="1214"/>
      <c r="N82" s="1214"/>
      <c r="O82" s="1214"/>
      <c r="P82" s="1214"/>
      <c r="Q82" s="1214"/>
      <c r="R82" s="1214"/>
      <c r="S82" s="1214"/>
      <c r="T82" s="1214"/>
      <c r="U82" s="1214"/>
      <c r="V82" s="1214"/>
      <c r="W82" s="1214"/>
      <c r="X82" s="1236"/>
      <c r="Y82" s="1252"/>
      <c r="Z82" s="1216"/>
      <c r="AA82" s="530"/>
    </row>
    <row r="83" spans="1:27" ht="13.5" x14ac:dyDescent="0.2">
      <c r="A83" s="585">
        <v>33</v>
      </c>
      <c r="B83" s="779" t="s">
        <v>502</v>
      </c>
      <c r="C83" s="1231"/>
      <c r="D83" s="1231"/>
      <c r="E83" s="1231"/>
      <c r="F83" s="1231"/>
      <c r="G83" s="1231"/>
      <c r="H83" s="1231"/>
      <c r="I83" s="1231"/>
      <c r="J83" s="1231"/>
      <c r="K83" s="1231"/>
      <c r="L83" s="1231"/>
      <c r="M83" s="1231"/>
      <c r="N83" s="1231"/>
      <c r="O83" s="1231"/>
      <c r="P83" s="1231"/>
      <c r="Q83" s="1231"/>
      <c r="R83" s="1231"/>
      <c r="S83" s="1231"/>
      <c r="T83" s="1231"/>
      <c r="U83" s="1231"/>
      <c r="V83" s="1231"/>
      <c r="W83" s="1231"/>
      <c r="X83" s="1242"/>
      <c r="Y83" s="1234"/>
      <c r="Z83" s="1235"/>
      <c r="AA83" s="530"/>
    </row>
    <row r="84" spans="1:27" ht="13.5" x14ac:dyDescent="0.2">
      <c r="A84" s="585" t="s">
        <v>714</v>
      </c>
      <c r="B84" s="779" t="s">
        <v>503</v>
      </c>
      <c r="C84" s="1231">
        <v>47</v>
      </c>
      <c r="D84" s="1231">
        <v>219</v>
      </c>
      <c r="E84" s="1231">
        <v>186</v>
      </c>
      <c r="F84" s="1231">
        <v>167</v>
      </c>
      <c r="G84" s="1231">
        <v>514</v>
      </c>
      <c r="H84" s="1231">
        <v>89</v>
      </c>
      <c r="I84" s="1231">
        <v>1519</v>
      </c>
      <c r="J84" s="1231">
        <v>119</v>
      </c>
      <c r="K84" s="1231">
        <v>167</v>
      </c>
      <c r="L84" s="1231">
        <v>275</v>
      </c>
      <c r="M84" s="1231">
        <v>123</v>
      </c>
      <c r="N84" s="1231">
        <v>98</v>
      </c>
      <c r="O84" s="1231">
        <v>87</v>
      </c>
      <c r="P84" s="1231">
        <v>181</v>
      </c>
      <c r="Q84" s="1231">
        <v>127</v>
      </c>
      <c r="R84" s="1231">
        <v>475</v>
      </c>
      <c r="S84" s="1231">
        <v>135</v>
      </c>
      <c r="T84" s="1231">
        <v>104</v>
      </c>
      <c r="U84" s="1231">
        <v>76</v>
      </c>
      <c r="V84" s="1231">
        <v>363</v>
      </c>
      <c r="W84" s="1231">
        <v>56</v>
      </c>
      <c r="X84" s="1242">
        <v>38</v>
      </c>
      <c r="Y84" s="1234">
        <v>4750</v>
      </c>
      <c r="Z84" s="1235">
        <v>29930</v>
      </c>
      <c r="AA84" s="530"/>
    </row>
    <row r="85" spans="1:27" ht="13.5" x14ac:dyDescent="0.2">
      <c r="A85" s="585" t="s">
        <v>715</v>
      </c>
      <c r="B85" s="779" t="s">
        <v>504</v>
      </c>
      <c r="C85" s="1231">
        <v>25</v>
      </c>
      <c r="D85" s="1231">
        <v>211</v>
      </c>
      <c r="E85" s="1231">
        <v>178</v>
      </c>
      <c r="F85" s="1231">
        <v>142</v>
      </c>
      <c r="G85" s="1231">
        <v>375</v>
      </c>
      <c r="H85" s="1231">
        <v>89</v>
      </c>
      <c r="I85" s="1231">
        <v>1260</v>
      </c>
      <c r="J85" s="1231">
        <v>59</v>
      </c>
      <c r="K85" s="1231">
        <v>152</v>
      </c>
      <c r="L85" s="1231">
        <v>225</v>
      </c>
      <c r="M85" s="1231">
        <v>95</v>
      </c>
      <c r="N85" s="1231">
        <v>48</v>
      </c>
      <c r="O85" s="1231">
        <v>79</v>
      </c>
      <c r="P85" s="1231">
        <v>104</v>
      </c>
      <c r="Q85" s="1231">
        <v>119</v>
      </c>
      <c r="R85" s="1231">
        <v>433</v>
      </c>
      <c r="S85" s="1231">
        <v>128</v>
      </c>
      <c r="T85" s="1231">
        <v>58</v>
      </c>
      <c r="U85" s="1231">
        <v>67</v>
      </c>
      <c r="V85" s="1231">
        <v>334</v>
      </c>
      <c r="W85" s="1231">
        <v>49</v>
      </c>
      <c r="X85" s="1242">
        <v>38</v>
      </c>
      <c r="Y85" s="1234">
        <v>4110</v>
      </c>
      <c r="Z85" s="1235">
        <v>27200</v>
      </c>
      <c r="AA85" s="530"/>
    </row>
    <row r="86" spans="1:27" ht="13.5" x14ac:dyDescent="0.2">
      <c r="A86" s="585" t="s">
        <v>716</v>
      </c>
      <c r="B86" s="779" t="s">
        <v>505</v>
      </c>
      <c r="C86" s="1231" t="s">
        <v>73</v>
      </c>
      <c r="D86" s="1231">
        <v>198</v>
      </c>
      <c r="E86" s="1231">
        <v>166</v>
      </c>
      <c r="F86" s="1231">
        <v>131</v>
      </c>
      <c r="G86" s="1231">
        <v>338</v>
      </c>
      <c r="H86" s="1231">
        <v>79</v>
      </c>
      <c r="I86" s="1231">
        <v>1169</v>
      </c>
      <c r="J86" s="1231">
        <v>108</v>
      </c>
      <c r="K86" s="1231">
        <v>136</v>
      </c>
      <c r="L86" s="1231">
        <v>205</v>
      </c>
      <c r="M86" s="1231">
        <v>84</v>
      </c>
      <c r="N86" s="1231">
        <v>86</v>
      </c>
      <c r="O86" s="1231">
        <v>69</v>
      </c>
      <c r="P86" s="1231" t="s">
        <v>73</v>
      </c>
      <c r="Q86" s="1231">
        <v>106</v>
      </c>
      <c r="R86" s="1231">
        <v>403</v>
      </c>
      <c r="S86" s="1231">
        <v>111</v>
      </c>
      <c r="T86" s="1231">
        <v>95</v>
      </c>
      <c r="U86" s="1231" t="s">
        <v>73</v>
      </c>
      <c r="V86" s="1231">
        <v>318</v>
      </c>
      <c r="W86" s="1231">
        <v>49</v>
      </c>
      <c r="X86" s="1242" t="s">
        <v>73</v>
      </c>
      <c r="Y86" s="1234">
        <v>3790</v>
      </c>
      <c r="Z86" s="1235">
        <v>25050</v>
      </c>
      <c r="AA86" s="530"/>
    </row>
    <row r="87" spans="1:27" ht="13.5" x14ac:dyDescent="0.2">
      <c r="A87" s="585" t="s">
        <v>717</v>
      </c>
      <c r="B87" s="779" t="s">
        <v>506</v>
      </c>
      <c r="C87" s="1231">
        <v>25</v>
      </c>
      <c r="D87" s="1231">
        <v>152</v>
      </c>
      <c r="E87" s="1231">
        <v>104</v>
      </c>
      <c r="F87" s="1231">
        <v>87</v>
      </c>
      <c r="G87" s="1231">
        <v>231</v>
      </c>
      <c r="H87" s="1231">
        <v>53</v>
      </c>
      <c r="I87" s="1231">
        <v>833</v>
      </c>
      <c r="J87" s="1231" t="s">
        <v>73</v>
      </c>
      <c r="K87" s="1231">
        <v>67</v>
      </c>
      <c r="L87" s="1231">
        <v>136</v>
      </c>
      <c r="M87" s="1231">
        <v>55</v>
      </c>
      <c r="N87" s="1231" t="s">
        <v>73</v>
      </c>
      <c r="O87" s="1231">
        <v>51</v>
      </c>
      <c r="P87" s="1231">
        <v>104</v>
      </c>
      <c r="Q87" s="1231">
        <v>57</v>
      </c>
      <c r="R87" s="1231">
        <v>275</v>
      </c>
      <c r="S87" s="1231">
        <v>70</v>
      </c>
      <c r="T87" s="1231">
        <v>58</v>
      </c>
      <c r="U87" s="1231">
        <v>35</v>
      </c>
      <c r="V87" s="1231">
        <v>239</v>
      </c>
      <c r="W87" s="1231">
        <v>31</v>
      </c>
      <c r="X87" s="1242">
        <v>21</v>
      </c>
      <c r="Y87" s="1234">
        <v>2560</v>
      </c>
      <c r="Z87" s="1235">
        <v>15640</v>
      </c>
      <c r="AA87" s="530"/>
    </row>
    <row r="88" spans="1:27" s="531" customFormat="1" ht="13.5" x14ac:dyDescent="0.2">
      <c r="A88" s="594">
        <v>35</v>
      </c>
      <c r="B88" s="785" t="s">
        <v>611</v>
      </c>
      <c r="C88" s="1166" t="s">
        <v>73</v>
      </c>
      <c r="D88" s="1166" t="s">
        <v>73</v>
      </c>
      <c r="E88" s="1166" t="s">
        <v>73</v>
      </c>
      <c r="F88" s="1167" t="s">
        <v>73</v>
      </c>
      <c r="G88" s="1166">
        <v>18</v>
      </c>
      <c r="H88" s="1166" t="s">
        <v>73</v>
      </c>
      <c r="I88" s="1166">
        <v>10</v>
      </c>
      <c r="J88" s="1166" t="s">
        <v>73</v>
      </c>
      <c r="K88" s="1166" t="s">
        <v>73</v>
      </c>
      <c r="L88" s="1166">
        <v>19</v>
      </c>
      <c r="M88" s="1166">
        <v>10</v>
      </c>
      <c r="N88" s="1166">
        <v>0</v>
      </c>
      <c r="O88" s="1166" t="s">
        <v>73</v>
      </c>
      <c r="P88" s="1166" t="s">
        <v>73</v>
      </c>
      <c r="Q88" s="1166">
        <v>8</v>
      </c>
      <c r="R88" s="1166">
        <v>11</v>
      </c>
      <c r="S88" s="1166" t="s">
        <v>73</v>
      </c>
      <c r="T88" s="1166">
        <v>8</v>
      </c>
      <c r="U88" s="1166" t="s">
        <v>73</v>
      </c>
      <c r="V88" s="1166" t="s">
        <v>73</v>
      </c>
      <c r="W88" s="1166">
        <v>0</v>
      </c>
      <c r="X88" s="1238" t="s">
        <v>73</v>
      </c>
      <c r="Y88" s="1168">
        <v>110</v>
      </c>
      <c r="Z88" s="1169">
        <v>1120</v>
      </c>
      <c r="AA88" s="530"/>
    </row>
    <row r="89" spans="1:27" s="531" customFormat="1" ht="13.5" x14ac:dyDescent="0.2">
      <c r="A89" s="594">
        <v>36</v>
      </c>
      <c r="B89" s="785" t="s">
        <v>612</v>
      </c>
      <c r="C89" s="1166">
        <v>0</v>
      </c>
      <c r="D89" s="1166">
        <v>25</v>
      </c>
      <c r="E89" s="1166">
        <v>14</v>
      </c>
      <c r="F89" s="1167">
        <v>24</v>
      </c>
      <c r="G89" s="1166">
        <v>92</v>
      </c>
      <c r="H89" s="1166">
        <v>0</v>
      </c>
      <c r="I89" s="1166">
        <v>45</v>
      </c>
      <c r="J89" s="1166">
        <v>25</v>
      </c>
      <c r="K89" s="1166">
        <v>26</v>
      </c>
      <c r="L89" s="1166">
        <v>26</v>
      </c>
      <c r="M89" s="1166">
        <v>7</v>
      </c>
      <c r="N89" s="1166">
        <v>14</v>
      </c>
      <c r="O89" s="1166">
        <v>9</v>
      </c>
      <c r="P89" s="1166">
        <v>13</v>
      </c>
      <c r="Q89" s="1166">
        <v>37</v>
      </c>
      <c r="R89" s="1166">
        <v>43</v>
      </c>
      <c r="S89" s="1166">
        <v>32</v>
      </c>
      <c r="T89" s="1166">
        <v>12</v>
      </c>
      <c r="U89" s="1166">
        <v>16</v>
      </c>
      <c r="V89" s="1166">
        <v>34</v>
      </c>
      <c r="W89" s="1166">
        <v>0</v>
      </c>
      <c r="X89" s="1238">
        <v>9</v>
      </c>
      <c r="Y89" s="1168">
        <v>490</v>
      </c>
      <c r="Z89" s="1169">
        <v>3840</v>
      </c>
      <c r="AA89" s="530"/>
    </row>
    <row r="90" spans="1:27" ht="13.5" x14ac:dyDescent="0.2">
      <c r="A90" s="595" t="s">
        <v>514</v>
      </c>
      <c r="B90" s="785" t="s">
        <v>507</v>
      </c>
      <c r="C90" s="1214"/>
      <c r="D90" s="1214"/>
      <c r="E90" s="1214"/>
      <c r="F90" s="1214"/>
      <c r="G90" s="1214"/>
      <c r="H90" s="1214"/>
      <c r="I90" s="1214"/>
      <c r="J90" s="1214"/>
      <c r="K90" s="1214"/>
      <c r="L90" s="1214"/>
      <c r="M90" s="1214"/>
      <c r="N90" s="1214"/>
      <c r="O90" s="1214"/>
      <c r="P90" s="1214"/>
      <c r="Q90" s="1214"/>
      <c r="R90" s="1214"/>
      <c r="S90" s="1214"/>
      <c r="T90" s="1214"/>
      <c r="U90" s="1214"/>
      <c r="V90" s="1214"/>
      <c r="W90" s="1214"/>
      <c r="X90" s="1236"/>
      <c r="Y90" s="1215"/>
      <c r="Z90" s="1245"/>
      <c r="AA90" s="530"/>
    </row>
    <row r="91" spans="1:27" ht="13.5" x14ac:dyDescent="0.2">
      <c r="A91" s="595" t="s">
        <v>718</v>
      </c>
      <c r="B91" s="785" t="s">
        <v>509</v>
      </c>
      <c r="C91" s="1214"/>
      <c r="D91" s="1214"/>
      <c r="E91" s="1214"/>
      <c r="F91" s="1214"/>
      <c r="G91" s="1214"/>
      <c r="H91" s="1214"/>
      <c r="I91" s="1214"/>
      <c r="J91" s="1214"/>
      <c r="K91" s="1214"/>
      <c r="L91" s="1214"/>
      <c r="M91" s="1214"/>
      <c r="N91" s="1214"/>
      <c r="O91" s="1214"/>
      <c r="P91" s="1214"/>
      <c r="Q91" s="1214"/>
      <c r="R91" s="1214"/>
      <c r="S91" s="1214"/>
      <c r="T91" s="1214"/>
      <c r="U91" s="1214"/>
      <c r="V91" s="1214"/>
      <c r="W91" s="1214"/>
      <c r="X91" s="1236"/>
      <c r="Y91" s="1215"/>
      <c r="Z91" s="1245"/>
      <c r="AA91" s="530"/>
    </row>
    <row r="92" spans="1:27" ht="13.5" x14ac:dyDescent="0.2">
      <c r="A92" s="585">
        <v>39</v>
      </c>
      <c r="B92" s="779" t="s">
        <v>511</v>
      </c>
      <c r="C92" s="1231">
        <v>148</v>
      </c>
      <c r="D92" s="1231">
        <v>245</v>
      </c>
      <c r="E92" s="1231">
        <v>625</v>
      </c>
      <c r="F92" s="1231">
        <v>331</v>
      </c>
      <c r="G92" s="1231">
        <v>1105</v>
      </c>
      <c r="H92" s="1231">
        <v>155</v>
      </c>
      <c r="I92" s="1231">
        <v>1654</v>
      </c>
      <c r="J92" s="1231">
        <v>258</v>
      </c>
      <c r="K92" s="1231">
        <v>167</v>
      </c>
      <c r="L92" s="1231">
        <v>559</v>
      </c>
      <c r="M92" s="1231">
        <v>189</v>
      </c>
      <c r="N92" s="1231">
        <v>201</v>
      </c>
      <c r="O92" s="1231">
        <v>167</v>
      </c>
      <c r="P92" s="1231">
        <v>437</v>
      </c>
      <c r="Q92" s="1231">
        <v>185</v>
      </c>
      <c r="R92" s="1231">
        <v>1382</v>
      </c>
      <c r="S92" s="1231">
        <v>204</v>
      </c>
      <c r="T92" s="1231">
        <v>180</v>
      </c>
      <c r="U92" s="1231">
        <v>115</v>
      </c>
      <c r="V92" s="1231">
        <v>615</v>
      </c>
      <c r="W92" s="1231">
        <v>116</v>
      </c>
      <c r="X92" s="1242">
        <v>107</v>
      </c>
      <c r="Y92" s="1234">
        <v>8324</v>
      </c>
      <c r="Z92" s="1235">
        <v>48543</v>
      </c>
      <c r="AA92" s="530"/>
    </row>
    <row r="93" spans="1:27" s="503" customFormat="1" ht="13.5" x14ac:dyDescent="0.2">
      <c r="A93" s="595">
        <v>40</v>
      </c>
      <c r="B93" s="779" t="s">
        <v>512</v>
      </c>
      <c r="C93" s="1231">
        <v>128</v>
      </c>
      <c r="D93" s="1231">
        <v>160.99999999999997</v>
      </c>
      <c r="E93" s="1231">
        <v>193</v>
      </c>
      <c r="F93" s="1231">
        <v>201</v>
      </c>
      <c r="G93" s="1231">
        <v>605</v>
      </c>
      <c r="H93" s="1231">
        <v>64</v>
      </c>
      <c r="I93" s="1231">
        <v>471</v>
      </c>
      <c r="J93" s="1231">
        <v>58</v>
      </c>
      <c r="K93" s="1231">
        <v>111</v>
      </c>
      <c r="L93" s="1231">
        <v>264</v>
      </c>
      <c r="M93" s="1231">
        <v>184</v>
      </c>
      <c r="N93" s="1231">
        <v>143</v>
      </c>
      <c r="O93" s="1231">
        <v>96</v>
      </c>
      <c r="P93" s="1231">
        <v>156.99999999999997</v>
      </c>
      <c r="Q93" s="1231">
        <v>52</v>
      </c>
      <c r="R93" s="1231">
        <v>929</v>
      </c>
      <c r="S93" s="1231">
        <v>188</v>
      </c>
      <c r="T93" s="1231">
        <v>167</v>
      </c>
      <c r="U93" s="1231">
        <v>97</v>
      </c>
      <c r="V93" s="1231">
        <v>268</v>
      </c>
      <c r="W93" s="1231">
        <v>114</v>
      </c>
      <c r="X93" s="1242">
        <v>32</v>
      </c>
      <c r="Y93" s="1234">
        <v>4171</v>
      </c>
      <c r="Z93" s="1235">
        <v>28178</v>
      </c>
      <c r="AA93" s="530"/>
    </row>
    <row r="94" spans="1:27" ht="13.5" x14ac:dyDescent="0.2">
      <c r="A94" s="585">
        <v>42</v>
      </c>
      <c r="B94" s="779" t="s">
        <v>513</v>
      </c>
      <c r="C94" s="1231"/>
      <c r="D94" s="1231"/>
      <c r="E94" s="1231"/>
      <c r="F94" s="1231"/>
      <c r="G94" s="1231"/>
      <c r="H94" s="1231"/>
      <c r="I94" s="1231"/>
      <c r="J94" s="1231"/>
      <c r="K94" s="1231"/>
      <c r="L94" s="1231"/>
      <c r="M94" s="1231"/>
      <c r="N94" s="1231"/>
      <c r="O94" s="1231"/>
      <c r="P94" s="1231"/>
      <c r="Q94" s="1231"/>
      <c r="R94" s="1231"/>
      <c r="S94" s="1231"/>
      <c r="T94" s="1231"/>
      <c r="U94" s="1231"/>
      <c r="V94" s="1231"/>
      <c r="W94" s="1231"/>
      <c r="X94" s="1242"/>
      <c r="Y94" s="1234"/>
      <c r="Z94" s="1235"/>
      <c r="AA94" s="530"/>
    </row>
    <row r="95" spans="1:27" ht="13.5" x14ac:dyDescent="0.2">
      <c r="A95" s="585">
        <v>44</v>
      </c>
      <c r="B95" s="779" t="s">
        <v>516</v>
      </c>
      <c r="C95" s="1231"/>
      <c r="D95" s="1231"/>
      <c r="E95" s="1231"/>
      <c r="F95" s="1231"/>
      <c r="G95" s="1231"/>
      <c r="H95" s="1231"/>
      <c r="I95" s="1231"/>
      <c r="J95" s="1231"/>
      <c r="K95" s="1231"/>
      <c r="L95" s="1231"/>
      <c r="M95" s="1231"/>
      <c r="N95" s="1231"/>
      <c r="O95" s="1231"/>
      <c r="P95" s="1231"/>
      <c r="Q95" s="1231"/>
      <c r="R95" s="1231"/>
      <c r="S95" s="1231"/>
      <c r="T95" s="1231"/>
      <c r="U95" s="1231"/>
      <c r="V95" s="1231"/>
      <c r="W95" s="1231"/>
      <c r="X95" s="1242"/>
      <c r="Y95" s="1234"/>
      <c r="Z95" s="1235"/>
      <c r="AA95" s="530"/>
    </row>
    <row r="96" spans="1:27" ht="13.5" x14ac:dyDescent="0.2">
      <c r="A96" s="585">
        <v>45</v>
      </c>
      <c r="B96" s="779" t="s">
        <v>517</v>
      </c>
      <c r="C96" s="1231"/>
      <c r="D96" s="1231"/>
      <c r="E96" s="1231"/>
      <c r="F96" s="1231"/>
      <c r="G96" s="1231"/>
      <c r="H96" s="1231"/>
      <c r="I96" s="1231"/>
      <c r="J96" s="1231"/>
      <c r="K96" s="1231"/>
      <c r="L96" s="1231"/>
      <c r="M96" s="1231"/>
      <c r="N96" s="1231"/>
      <c r="O96" s="1231"/>
      <c r="P96" s="1231"/>
      <c r="Q96" s="1231"/>
      <c r="R96" s="1231"/>
      <c r="S96" s="1231"/>
      <c r="T96" s="1231"/>
      <c r="U96" s="1231"/>
      <c r="V96" s="1231"/>
      <c r="W96" s="1231"/>
      <c r="X96" s="1242"/>
      <c r="Y96" s="1234"/>
      <c r="Z96" s="1235"/>
      <c r="AA96" s="530"/>
    </row>
    <row r="97" spans="1:27" ht="13.5" x14ac:dyDescent="0.2">
      <c r="A97" s="585"/>
      <c r="B97" s="779" t="s">
        <v>1121</v>
      </c>
      <c r="C97" s="999">
        <v>42</v>
      </c>
      <c r="D97" s="999">
        <v>61</v>
      </c>
      <c r="E97" s="999">
        <v>104</v>
      </c>
      <c r="F97" s="1145">
        <v>82</v>
      </c>
      <c r="G97" s="999">
        <v>264</v>
      </c>
      <c r="H97" s="999">
        <v>40</v>
      </c>
      <c r="I97" s="999">
        <v>240</v>
      </c>
      <c r="J97" s="999">
        <v>72</v>
      </c>
      <c r="K97" s="999">
        <v>71</v>
      </c>
      <c r="L97" s="999">
        <v>158</v>
      </c>
      <c r="M97" s="999">
        <v>68</v>
      </c>
      <c r="N97" s="999">
        <v>73</v>
      </c>
      <c r="O97" s="999">
        <v>54</v>
      </c>
      <c r="P97" s="999">
        <v>118</v>
      </c>
      <c r="Q97" s="999">
        <v>80</v>
      </c>
      <c r="R97" s="999">
        <v>197</v>
      </c>
      <c r="S97" s="999">
        <v>73</v>
      </c>
      <c r="T97" s="999">
        <v>63</v>
      </c>
      <c r="U97" s="999">
        <v>33</v>
      </c>
      <c r="V97" s="999">
        <v>149</v>
      </c>
      <c r="W97" s="999">
        <v>23</v>
      </c>
      <c r="X97" s="999">
        <v>27</v>
      </c>
      <c r="Y97" s="529">
        <f t="shared" ref="Y97:Y98" si="1">SUM(C97:O97,Q97:R97,U97:X97)</f>
        <v>1838</v>
      </c>
      <c r="Z97" s="1000">
        <v>13556</v>
      </c>
      <c r="AA97" s="530"/>
    </row>
    <row r="98" spans="1:27" ht="13.5" x14ac:dyDescent="0.2">
      <c r="A98" s="585"/>
      <c r="B98" s="779" t="s">
        <v>1122</v>
      </c>
      <c r="C98" s="999">
        <v>71</v>
      </c>
      <c r="D98" s="999">
        <v>104</v>
      </c>
      <c r="E98" s="999">
        <v>167</v>
      </c>
      <c r="F98" s="1145">
        <v>124</v>
      </c>
      <c r="G98" s="999">
        <v>439</v>
      </c>
      <c r="H98" s="999">
        <v>62</v>
      </c>
      <c r="I98" s="999">
        <v>378</v>
      </c>
      <c r="J98" s="999">
        <v>118</v>
      </c>
      <c r="K98" s="999">
        <v>121</v>
      </c>
      <c r="L98" s="999">
        <v>267</v>
      </c>
      <c r="M98" s="999">
        <v>108</v>
      </c>
      <c r="N98" s="999">
        <v>116</v>
      </c>
      <c r="O98" s="999">
        <v>97</v>
      </c>
      <c r="P98" s="999">
        <v>184</v>
      </c>
      <c r="Q98" s="999">
        <v>124</v>
      </c>
      <c r="R98" s="999">
        <v>337</v>
      </c>
      <c r="S98" s="999">
        <v>136</v>
      </c>
      <c r="T98" s="999">
        <v>102</v>
      </c>
      <c r="U98" s="999">
        <v>48</v>
      </c>
      <c r="V98" s="999">
        <v>240</v>
      </c>
      <c r="W98" s="999">
        <v>46</v>
      </c>
      <c r="X98" s="999">
        <v>48</v>
      </c>
      <c r="Y98" s="529">
        <f t="shared" si="1"/>
        <v>3015</v>
      </c>
      <c r="Z98" s="1000">
        <v>22053</v>
      </c>
      <c r="AA98" s="530"/>
    </row>
    <row r="99" spans="1:27" ht="13.5" x14ac:dyDescent="0.2">
      <c r="A99" s="585" t="s">
        <v>720</v>
      </c>
      <c r="B99" s="779" t="s">
        <v>965</v>
      </c>
      <c r="C99" s="1231">
        <v>58</v>
      </c>
      <c r="D99" s="1231">
        <v>177</v>
      </c>
      <c r="E99" s="1231">
        <v>195</v>
      </c>
      <c r="F99" s="1231">
        <v>465</v>
      </c>
      <c r="G99" s="1231">
        <v>468</v>
      </c>
      <c r="H99" s="1231">
        <v>63</v>
      </c>
      <c r="I99" s="1231">
        <v>1016</v>
      </c>
      <c r="J99" s="1231">
        <v>181</v>
      </c>
      <c r="K99" s="1231">
        <v>189</v>
      </c>
      <c r="L99" s="1231">
        <v>194</v>
      </c>
      <c r="M99" s="1231">
        <v>123</v>
      </c>
      <c r="N99" s="1231">
        <v>117</v>
      </c>
      <c r="O99" s="1231">
        <v>114</v>
      </c>
      <c r="P99" s="1231">
        <v>310</v>
      </c>
      <c r="Q99" s="1231">
        <v>213</v>
      </c>
      <c r="R99" s="1231">
        <v>375</v>
      </c>
      <c r="S99" s="1231">
        <v>115</v>
      </c>
      <c r="T99" s="1231">
        <v>94</v>
      </c>
      <c r="U99" s="1231">
        <v>35</v>
      </c>
      <c r="V99" s="1231">
        <v>433</v>
      </c>
      <c r="W99" s="1231">
        <v>33</v>
      </c>
      <c r="X99" s="1242">
        <v>47</v>
      </c>
      <c r="Y99" s="1234">
        <v>4496</v>
      </c>
      <c r="Z99" s="1235">
        <v>31420</v>
      </c>
      <c r="AA99" s="530"/>
    </row>
    <row r="100" spans="1:27" ht="13.5" x14ac:dyDescent="0.2">
      <c r="A100" s="585" t="s">
        <v>721</v>
      </c>
      <c r="B100" s="779" t="s">
        <v>966</v>
      </c>
      <c r="C100" s="1231">
        <v>1974</v>
      </c>
      <c r="D100" s="1231">
        <v>4640</v>
      </c>
      <c r="E100" s="1231">
        <v>11013</v>
      </c>
      <c r="F100" s="1231">
        <v>9913</v>
      </c>
      <c r="G100" s="1231">
        <v>25849</v>
      </c>
      <c r="H100" s="1231">
        <v>2431</v>
      </c>
      <c r="I100" s="1231">
        <v>30497.074953959484</v>
      </c>
      <c r="J100" s="1231">
        <v>5922</v>
      </c>
      <c r="K100" s="1231">
        <v>5795.2057029833522</v>
      </c>
      <c r="L100" s="1231">
        <v>11984.039199935738</v>
      </c>
      <c r="M100" s="1231">
        <v>3559.037385691232</v>
      </c>
      <c r="N100" s="1231">
        <v>2722</v>
      </c>
      <c r="O100" s="1231">
        <v>3567</v>
      </c>
      <c r="P100" s="1231">
        <v>10001</v>
      </c>
      <c r="Q100" s="1231">
        <v>3961</v>
      </c>
      <c r="R100" s="1256">
        <v>20496.031488683755</v>
      </c>
      <c r="S100" s="1231">
        <v>4546</v>
      </c>
      <c r="T100" s="1231">
        <v>2496</v>
      </c>
      <c r="U100" s="1231">
        <v>3182.0431565967942</v>
      </c>
      <c r="V100" s="1231">
        <v>14875</v>
      </c>
      <c r="W100" s="1231">
        <v>2749</v>
      </c>
      <c r="X100" s="1242">
        <v>3311</v>
      </c>
      <c r="Y100" s="1234">
        <v>168440.43188785037</v>
      </c>
      <c r="Z100" s="1257">
        <v>1064653.0385944557</v>
      </c>
      <c r="AA100" s="530"/>
    </row>
    <row r="101" spans="1:27" ht="13.5" x14ac:dyDescent="0.2">
      <c r="A101" s="585" t="s">
        <v>722</v>
      </c>
      <c r="B101" s="779" t="s">
        <v>967</v>
      </c>
      <c r="C101" s="1231">
        <v>154</v>
      </c>
      <c r="D101" s="1231">
        <v>66</v>
      </c>
      <c r="E101" s="1231">
        <v>370</v>
      </c>
      <c r="F101" s="1231">
        <v>137</v>
      </c>
      <c r="G101" s="1231">
        <v>456</v>
      </c>
      <c r="H101" s="1231">
        <v>20</v>
      </c>
      <c r="I101" s="1231">
        <v>1053</v>
      </c>
      <c r="J101" s="1231">
        <v>270</v>
      </c>
      <c r="K101" s="1231">
        <v>65</v>
      </c>
      <c r="L101" s="1231">
        <v>235</v>
      </c>
      <c r="M101" s="1231">
        <v>29</v>
      </c>
      <c r="N101" s="1231">
        <v>75</v>
      </c>
      <c r="O101" s="1231">
        <v>33</v>
      </c>
      <c r="P101" s="1231">
        <v>654</v>
      </c>
      <c r="Q101" s="1231">
        <v>88</v>
      </c>
      <c r="R101" s="1231">
        <v>408</v>
      </c>
      <c r="S101" s="1231">
        <v>156</v>
      </c>
      <c r="T101" s="1231">
        <v>80</v>
      </c>
      <c r="U101" s="1231">
        <v>21</v>
      </c>
      <c r="V101" s="1231">
        <v>990</v>
      </c>
      <c r="W101" s="1231">
        <v>127</v>
      </c>
      <c r="X101" s="1242">
        <v>66</v>
      </c>
      <c r="Y101" s="1234">
        <v>4663</v>
      </c>
      <c r="Z101" s="1235">
        <v>25967</v>
      </c>
      <c r="AA101" s="530"/>
    </row>
    <row r="102" spans="1:27" ht="13.5" x14ac:dyDescent="0.2">
      <c r="A102" s="585" t="s">
        <v>723</v>
      </c>
      <c r="B102" s="779" t="s">
        <v>968</v>
      </c>
      <c r="C102" s="1231">
        <v>47</v>
      </c>
      <c r="D102" s="1231">
        <v>118</v>
      </c>
      <c r="E102" s="1231">
        <v>242</v>
      </c>
      <c r="F102" s="1231">
        <v>294</v>
      </c>
      <c r="G102" s="1231">
        <v>491</v>
      </c>
      <c r="H102" s="1231">
        <v>82</v>
      </c>
      <c r="I102" s="1231">
        <v>569</v>
      </c>
      <c r="J102" s="1231">
        <v>156</v>
      </c>
      <c r="K102" s="1231">
        <v>181</v>
      </c>
      <c r="L102" s="1231">
        <v>282</v>
      </c>
      <c r="M102" s="1231">
        <v>183</v>
      </c>
      <c r="N102" s="1231">
        <v>115</v>
      </c>
      <c r="O102" s="1231">
        <v>104</v>
      </c>
      <c r="P102" s="1231">
        <v>272</v>
      </c>
      <c r="Q102" s="1231">
        <v>178</v>
      </c>
      <c r="R102" s="1231">
        <v>189</v>
      </c>
      <c r="S102" s="1231">
        <v>263</v>
      </c>
      <c r="T102" s="1231">
        <v>92</v>
      </c>
      <c r="U102" s="1231">
        <v>84</v>
      </c>
      <c r="V102" s="1231">
        <v>317</v>
      </c>
      <c r="W102" s="1231">
        <v>40</v>
      </c>
      <c r="X102" s="1242">
        <v>42</v>
      </c>
      <c r="Y102" s="1234">
        <v>3714</v>
      </c>
      <c r="Z102" s="1235">
        <v>33428</v>
      </c>
      <c r="AA102" s="530"/>
    </row>
    <row r="103" spans="1:27" ht="13.5" x14ac:dyDescent="0.2">
      <c r="A103" s="585" t="s">
        <v>724</v>
      </c>
      <c r="B103" s="779" t="s">
        <v>969</v>
      </c>
      <c r="C103" s="1231">
        <v>10</v>
      </c>
      <c r="D103" s="1231">
        <v>69</v>
      </c>
      <c r="E103" s="1231">
        <v>86</v>
      </c>
      <c r="F103" s="1231">
        <v>114</v>
      </c>
      <c r="G103" s="1231">
        <v>225</v>
      </c>
      <c r="H103" s="1231">
        <v>41</v>
      </c>
      <c r="I103" s="1231">
        <v>202</v>
      </c>
      <c r="J103" s="1231">
        <v>73</v>
      </c>
      <c r="K103" s="1231">
        <v>65</v>
      </c>
      <c r="L103" s="1231">
        <v>104</v>
      </c>
      <c r="M103" s="1231">
        <v>104</v>
      </c>
      <c r="N103" s="1231">
        <v>37</v>
      </c>
      <c r="O103" s="1231">
        <v>43</v>
      </c>
      <c r="P103" s="1231">
        <v>106</v>
      </c>
      <c r="Q103" s="1231">
        <v>74</v>
      </c>
      <c r="R103" s="1231">
        <v>76</v>
      </c>
      <c r="S103" s="1231">
        <v>111</v>
      </c>
      <c r="T103" s="1231">
        <v>29</v>
      </c>
      <c r="U103" s="1231">
        <v>37</v>
      </c>
      <c r="V103" s="1231">
        <v>118</v>
      </c>
      <c r="W103" s="1231">
        <v>11</v>
      </c>
      <c r="X103" s="1242">
        <v>14</v>
      </c>
      <c r="Y103" s="1234">
        <v>1373</v>
      </c>
      <c r="Z103" s="1235">
        <v>13687</v>
      </c>
      <c r="AA103" s="530"/>
    </row>
    <row r="104" spans="1:27" x14ac:dyDescent="0.2">
      <c r="A104" s="893" t="s">
        <v>572</v>
      </c>
      <c r="B104" s="593" t="s">
        <v>518</v>
      </c>
      <c r="C104" s="586">
        <f>IF(SUM(C40:C43)&gt;0,SUM(C40:C43),NA())</f>
        <v>1593</v>
      </c>
      <c r="D104" s="586">
        <f t="shared" ref="D104:X104" si="2">IF(SUM(D40:D43)&gt;0,SUM(D40:D43),NA())</f>
        <v>2176</v>
      </c>
      <c r="E104" s="586">
        <f t="shared" si="2"/>
        <v>5743</v>
      </c>
      <c r="F104" s="586">
        <f t="shared" si="2"/>
        <v>2084</v>
      </c>
      <c r="G104" s="586">
        <f t="shared" si="2"/>
        <v>16356</v>
      </c>
      <c r="H104" s="586">
        <f t="shared" si="2"/>
        <v>1882</v>
      </c>
      <c r="I104" s="586">
        <f t="shared" si="2"/>
        <v>16307</v>
      </c>
      <c r="J104" s="586">
        <f t="shared" si="2"/>
        <v>2159</v>
      </c>
      <c r="K104" s="586">
        <f t="shared" si="2"/>
        <v>2111</v>
      </c>
      <c r="L104" s="586">
        <f t="shared" si="2"/>
        <v>3152</v>
      </c>
      <c r="M104" s="586">
        <f t="shared" si="2"/>
        <v>3558</v>
      </c>
      <c r="N104" s="586">
        <f t="shared" si="2"/>
        <v>2360</v>
      </c>
      <c r="O104" s="586">
        <f t="shared" si="2"/>
        <v>1477</v>
      </c>
      <c r="P104" s="586">
        <f t="shared" si="2"/>
        <v>3127</v>
      </c>
      <c r="Q104" s="586">
        <f t="shared" si="2"/>
        <v>1618</v>
      </c>
      <c r="R104" s="586">
        <f t="shared" si="2"/>
        <v>8652</v>
      </c>
      <c r="S104" s="586">
        <f t="shared" si="2"/>
        <v>3341</v>
      </c>
      <c r="T104" s="586">
        <f t="shared" si="2"/>
        <v>1309</v>
      </c>
      <c r="U104" s="586">
        <f t="shared" si="2"/>
        <v>1991</v>
      </c>
      <c r="V104" s="586">
        <f t="shared" si="2"/>
        <v>8892</v>
      </c>
      <c r="W104" s="586">
        <f t="shared" si="2"/>
        <v>505</v>
      </c>
      <c r="X104" s="586">
        <f t="shared" si="2"/>
        <v>1307</v>
      </c>
      <c r="Y104" s="586">
        <f t="shared" ref="Y104:Z104" si="3">IF(SUM(Y40:Y43)&gt;0,SUM(Y40:Y43),NA())</f>
        <v>83980</v>
      </c>
      <c r="Z104" s="586">
        <f t="shared" si="3"/>
        <v>536070</v>
      </c>
    </row>
    <row r="105" spans="1:27" x14ac:dyDescent="0.2">
      <c r="A105" s="893" t="s">
        <v>572</v>
      </c>
      <c r="B105" s="593" t="s">
        <v>519</v>
      </c>
      <c r="C105" s="586">
        <f>SUM(C40:C44)</f>
        <v>1703</v>
      </c>
      <c r="D105" s="586">
        <f t="shared" ref="D105:X105" si="4">SUM(D40:D44)</f>
        <v>2470</v>
      </c>
      <c r="E105" s="586">
        <f t="shared" si="4"/>
        <v>7819</v>
      </c>
      <c r="F105" s="586">
        <f t="shared" si="4"/>
        <v>3598</v>
      </c>
      <c r="G105" s="586">
        <f t="shared" si="4"/>
        <v>18003</v>
      </c>
      <c r="H105" s="586">
        <f t="shared" si="4"/>
        <v>1965</v>
      </c>
      <c r="I105" s="586">
        <f t="shared" si="4"/>
        <v>17703</v>
      </c>
      <c r="J105" s="586">
        <f t="shared" si="4"/>
        <v>3420</v>
      </c>
      <c r="K105" s="586">
        <f t="shared" si="4"/>
        <v>2249</v>
      </c>
      <c r="L105" s="586">
        <f t="shared" si="4"/>
        <v>5404</v>
      </c>
      <c r="M105" s="586">
        <f t="shared" si="4"/>
        <v>3737</v>
      </c>
      <c r="N105" s="586">
        <f t="shared" si="4"/>
        <v>2676</v>
      </c>
      <c r="O105" s="586">
        <f t="shared" si="4"/>
        <v>1853</v>
      </c>
      <c r="P105" s="586">
        <f t="shared" si="4"/>
        <v>4112</v>
      </c>
      <c r="Q105" s="586">
        <f t="shared" si="4"/>
        <v>2448</v>
      </c>
      <c r="R105" s="586">
        <f t="shared" si="4"/>
        <v>11842</v>
      </c>
      <c r="S105" s="586">
        <f t="shared" si="4"/>
        <v>4204</v>
      </c>
      <c r="T105" s="586">
        <f t="shared" si="4"/>
        <v>1760</v>
      </c>
      <c r="U105" s="586">
        <f t="shared" si="4"/>
        <v>2053</v>
      </c>
      <c r="V105" s="586">
        <f t="shared" si="4"/>
        <v>10410</v>
      </c>
      <c r="W105" s="586">
        <f t="shared" si="4"/>
        <v>820</v>
      </c>
      <c r="X105" s="586">
        <f t="shared" si="4"/>
        <v>1733</v>
      </c>
      <c r="Y105" s="586">
        <f t="shared" ref="Y105:Z105" si="5">SUM(Y40:Y44)</f>
        <v>101980</v>
      </c>
      <c r="Z105" s="586">
        <f t="shared" si="5"/>
        <v>644720</v>
      </c>
    </row>
    <row r="106" spans="1:27" ht="13.5" x14ac:dyDescent="0.2">
      <c r="A106" s="595" t="s">
        <v>515</v>
      </c>
      <c r="B106" s="785" t="s">
        <v>508</v>
      </c>
      <c r="C106" s="1148"/>
      <c r="D106" s="1148"/>
      <c r="E106" s="1148"/>
      <c r="F106" s="1148"/>
      <c r="G106" s="1148"/>
      <c r="H106" s="1148"/>
      <c r="I106" s="1148"/>
      <c r="J106" s="1148"/>
      <c r="K106" s="1148"/>
      <c r="L106" s="1148"/>
      <c r="M106" s="1148"/>
      <c r="N106" s="1148"/>
      <c r="O106" s="1148"/>
      <c r="P106" s="1148"/>
      <c r="Q106" s="1148"/>
      <c r="R106" s="1148"/>
      <c r="S106" s="1148"/>
      <c r="T106" s="1148"/>
      <c r="U106" s="1148"/>
      <c r="V106" s="1148"/>
      <c r="W106" s="1148"/>
      <c r="X106" s="1148"/>
      <c r="Y106" s="1149"/>
      <c r="Z106" s="1150"/>
    </row>
    <row r="107" spans="1:27" ht="13.5" x14ac:dyDescent="0.2">
      <c r="A107" s="595" t="s">
        <v>719</v>
      </c>
      <c r="B107" s="785" t="s">
        <v>510</v>
      </c>
      <c r="C107" s="1148"/>
      <c r="D107" s="1148"/>
      <c r="E107" s="1148"/>
      <c r="F107" s="1148"/>
      <c r="G107" s="1148"/>
      <c r="H107" s="1148"/>
      <c r="I107" s="1148"/>
      <c r="J107" s="1148"/>
      <c r="K107" s="1148"/>
      <c r="L107" s="1148"/>
      <c r="M107" s="1148"/>
      <c r="N107" s="1148"/>
      <c r="O107" s="1148"/>
      <c r="P107" s="1148"/>
      <c r="Q107" s="1148"/>
      <c r="R107" s="1148"/>
      <c r="S107" s="1148"/>
      <c r="T107" s="1148"/>
      <c r="U107" s="1148"/>
      <c r="V107" s="1148"/>
      <c r="W107" s="1148"/>
      <c r="X107" s="1148"/>
      <c r="Y107" s="1149"/>
      <c r="Z107" s="1150"/>
    </row>
    <row r="108" spans="1:27" x14ac:dyDescent="0.2">
      <c r="Y108" s="444"/>
    </row>
    <row r="109" spans="1:27" x14ac:dyDescent="0.2">
      <c r="Y109" s="444"/>
    </row>
    <row r="110" spans="1:27" x14ac:dyDescent="0.2">
      <c r="Y110" s="444"/>
    </row>
    <row r="111" spans="1:27" x14ac:dyDescent="0.2">
      <c r="Y111" s="444"/>
    </row>
    <row r="112" spans="1:27" x14ac:dyDescent="0.2">
      <c r="Y112" s="444"/>
    </row>
    <row r="113" spans="2:25" x14ac:dyDescent="0.2">
      <c r="B113" s="444"/>
      <c r="Y113" s="444"/>
    </row>
    <row r="114" spans="2:25" x14ac:dyDescent="0.2">
      <c r="B114" s="444"/>
      <c r="Y114" s="444"/>
    </row>
    <row r="115" spans="2:25" x14ac:dyDescent="0.2">
      <c r="B115" s="444"/>
      <c r="Y115" s="444"/>
    </row>
    <row r="116" spans="2:25" x14ac:dyDescent="0.2">
      <c r="B116" s="444"/>
      <c r="Y116" s="444"/>
    </row>
    <row r="117" spans="2:25" x14ac:dyDescent="0.2">
      <c r="B117" s="444"/>
      <c r="Y117" s="444"/>
    </row>
    <row r="118" spans="2:25" x14ac:dyDescent="0.2">
      <c r="B118" s="444"/>
      <c r="Y118" s="444"/>
    </row>
    <row r="119" spans="2:25" x14ac:dyDescent="0.2">
      <c r="B119" s="444"/>
      <c r="Y119" s="444"/>
    </row>
    <row r="120" spans="2:25" x14ac:dyDescent="0.2">
      <c r="B120" s="444"/>
      <c r="Y120" s="444"/>
    </row>
    <row r="121" spans="2:25" x14ac:dyDescent="0.2">
      <c r="B121" s="444"/>
      <c r="Y121" s="444"/>
    </row>
    <row r="122" spans="2:25" x14ac:dyDescent="0.2">
      <c r="B122" s="444"/>
      <c r="Y122" s="444"/>
    </row>
    <row r="123" spans="2:25" x14ac:dyDescent="0.2">
      <c r="B123" s="444"/>
      <c r="Y123" s="444"/>
    </row>
    <row r="124" spans="2:25" x14ac:dyDescent="0.2">
      <c r="B124" s="444"/>
      <c r="Y124" s="444"/>
    </row>
    <row r="125" spans="2:25" x14ac:dyDescent="0.2">
      <c r="B125" s="444"/>
      <c r="Y125" s="444"/>
    </row>
    <row r="126" spans="2:25" x14ac:dyDescent="0.2">
      <c r="B126" s="444"/>
      <c r="Y126" s="444"/>
    </row>
    <row r="127" spans="2:25" x14ac:dyDescent="0.2">
      <c r="B127" s="444"/>
      <c r="Y127" s="444"/>
    </row>
    <row r="128" spans="2:25" x14ac:dyDescent="0.2">
      <c r="B128" s="444"/>
      <c r="Y128" s="444"/>
    </row>
    <row r="129" spans="2:25" x14ac:dyDescent="0.2">
      <c r="B129" s="444"/>
      <c r="Y129" s="444"/>
    </row>
    <row r="130" spans="2:25" x14ac:dyDescent="0.2">
      <c r="B130" s="444"/>
      <c r="Y130" s="444"/>
    </row>
    <row r="131" spans="2:25" x14ac:dyDescent="0.2">
      <c r="B131" s="444"/>
      <c r="Y131" s="444"/>
    </row>
    <row r="132" spans="2:25" x14ac:dyDescent="0.2">
      <c r="B132" s="444"/>
      <c r="Y132" s="444"/>
    </row>
    <row r="133" spans="2:25" x14ac:dyDescent="0.2">
      <c r="B133" s="444"/>
      <c r="Y133" s="444"/>
    </row>
  </sheetData>
  <conditionalFormatting sqref="C1:X1">
    <cfRule type="expression" dxfId="708" priority="1335">
      <formula>SUM(C$2:C$96)=0</formula>
    </cfRule>
    <cfRule type="containsErrors" dxfId="707" priority="1336">
      <formula>ISERROR(C1)</formula>
    </cfRule>
  </conditionalFormatting>
  <conditionalFormatting sqref="Q43:Q44">
    <cfRule type="containsErrors" dxfId="706" priority="1">
      <formula>ISERROR(Q43)</formula>
    </cfRule>
  </conditionalFormatting>
  <pageMargins left="0.70866141732283472" right="0.70866141732283472" top="0.35433070866141736" bottom="0.35433070866141736" header="0.31496062992125984" footer="0.31496062992125984"/>
  <pageSetup scale="48" orientation="portrait" r:id="rId1"/>
  <extLst>
    <ext xmlns:x14="http://schemas.microsoft.com/office/spreadsheetml/2009/9/main" uri="{78C0D931-6437-407d-A8EE-F0AAD7539E65}">
      <x14:conditionalFormattings>
        <x14:conditionalFormatting xmlns:xm="http://schemas.microsoft.com/office/excel/2006/main">
          <x14:cfRule type="expression" priority="1208" id="{68FACF89-6B27-45C4-9B16-E96A84C1E255}">
            <xm:f>C$1=Sheet1!$AR$3</xm:f>
            <x14:dxf>
              <fill>
                <patternFill>
                  <bgColor rgb="FF66FF99"/>
                </patternFill>
              </fill>
            </x14:dxf>
          </x14:cfRule>
          <xm:sqref>C1:X1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B30"/>
  <sheetViews>
    <sheetView workbookViewId="0">
      <selection activeCell="F15" sqref="F15"/>
    </sheetView>
  </sheetViews>
  <sheetFormatPr defaultColWidth="9.140625" defaultRowHeight="12" x14ac:dyDescent="0.2"/>
  <cols>
    <col min="1" max="1" width="47.140625" style="1185" customWidth="1"/>
    <col min="2" max="5" width="5.5703125" style="1185" customWidth="1"/>
    <col min="6" max="7" width="6.5703125" style="1185" customWidth="1"/>
    <col min="8" max="14" width="5.5703125" style="1185" customWidth="1"/>
    <col min="15" max="15" width="5.140625" style="1185" customWidth="1"/>
    <col min="16" max="16" width="6.5703125" style="1185" customWidth="1"/>
    <col min="17" max="17" width="5.5703125" style="1185" customWidth="1"/>
    <col min="18" max="19" width="5.140625" style="1185" customWidth="1"/>
    <col min="20" max="22" width="5.5703125" style="1185" customWidth="1"/>
    <col min="23" max="24" width="5.140625" style="1185" customWidth="1"/>
    <col min="25" max="25" width="9.140625" style="1185"/>
    <col min="26" max="26" width="10.85546875" style="1185" bestFit="1" customWidth="1"/>
    <col min="27" max="27" width="9.140625" style="1185"/>
    <col min="28" max="28" width="47.140625" style="1185" customWidth="1"/>
    <col min="29" max="16384" width="9.140625" style="1185"/>
  </cols>
  <sheetData>
    <row r="1" spans="1:28" s="1171" customFormat="1" ht="102" x14ac:dyDescent="0.2">
      <c r="B1" s="1172" t="s">
        <v>0</v>
      </c>
      <c r="C1" s="1172" t="s">
        <v>31</v>
      </c>
      <c r="D1" s="1172" t="s">
        <v>8</v>
      </c>
      <c r="E1" s="1172" t="s">
        <v>4</v>
      </c>
      <c r="F1" s="1172" t="s">
        <v>6</v>
      </c>
      <c r="G1" s="1172" t="s">
        <v>1</v>
      </c>
      <c r="H1" s="1172" t="s">
        <v>9</v>
      </c>
      <c r="I1" s="1172" t="s">
        <v>2</v>
      </c>
      <c r="J1" s="1172" t="s">
        <v>10</v>
      </c>
      <c r="K1" s="1172" t="s">
        <v>11</v>
      </c>
      <c r="L1" s="1172" t="s">
        <v>12</v>
      </c>
      <c r="M1" s="1172" t="s">
        <v>3</v>
      </c>
      <c r="N1" s="1172" t="s">
        <v>13</v>
      </c>
      <c r="O1" s="1173" t="s">
        <v>73</v>
      </c>
      <c r="P1" s="1172" t="s">
        <v>14</v>
      </c>
      <c r="Q1" s="1172" t="s">
        <v>7</v>
      </c>
      <c r="R1" s="1173" t="s">
        <v>997</v>
      </c>
      <c r="S1" s="1173" t="s">
        <v>998</v>
      </c>
      <c r="T1" s="1172" t="s">
        <v>15</v>
      </c>
      <c r="U1" s="1172" t="s">
        <v>5</v>
      </c>
      <c r="V1" s="1172" t="s">
        <v>30</v>
      </c>
      <c r="W1" s="1172" t="s">
        <v>16</v>
      </c>
      <c r="X1" s="1174"/>
      <c r="Y1" s="1175" t="s">
        <v>999</v>
      </c>
      <c r="Z1" s="1175" t="s">
        <v>1000</v>
      </c>
      <c r="AA1" s="1176" t="s">
        <v>1001</v>
      </c>
    </row>
    <row r="2" spans="1:28" x14ac:dyDescent="0.2">
      <c r="A2" s="1177" t="s">
        <v>805</v>
      </c>
      <c r="B2" s="1178">
        <f>IF(ISNUMBER(HLOOKUP(B$1,Home!$D$12:$AB$77,$X2,FALSE)),HLOOKUP(B$1,Home!$D$12:$AB$77,$X2,FALSE),NA())</f>
        <v>8.9</v>
      </c>
      <c r="C2" s="1178">
        <f>IF(ISNUMBER(HLOOKUP(C$1,Home!$D$12:$AB$77,$X2,FALSE)),HLOOKUP(C$1,Home!$D$12:$AB$77,$X2,FALSE),NA())</f>
        <v>15.299999999999999</v>
      </c>
      <c r="D2" s="1178">
        <f>IF(ISNUMBER(HLOOKUP(D$1,Home!$D$12:$AB$77,$X2,FALSE)),HLOOKUP(D$1,Home!$D$12:$AB$77,$X2,FALSE),NA())</f>
        <v>8.5</v>
      </c>
      <c r="E2" s="1178">
        <f>IF(ISNUMBER(HLOOKUP(E$1,Home!$D$12:$AB$77,$X2,FALSE)),HLOOKUP(E$1,Home!$D$12:$AB$77,$X2,FALSE),NA())</f>
        <v>16.100000000000001</v>
      </c>
      <c r="F2" s="1178">
        <f>IF(ISNUMBER(HLOOKUP(F$1,Home!$D$12:$AB$77,$X2,FALSE)),HLOOKUP(F$1,Home!$D$12:$AB$77,$X2,FALSE),NA())</f>
        <v>10.100000000000001</v>
      </c>
      <c r="G2" s="1178">
        <f>IF(ISNUMBER(HLOOKUP(G$1,Home!$D$12:$AB$77,$X2,FALSE)),HLOOKUP(G$1,Home!$D$12:$AB$77,$X2,FALSE),NA())</f>
        <v>18</v>
      </c>
      <c r="H2" s="1178">
        <f>IF(ISNUMBER(HLOOKUP(H$1,Home!$D$12:$AB$77,$X2,FALSE)),HLOOKUP(H$1,Home!$D$12:$AB$77,$X2,FALSE),NA())</f>
        <v>15.8</v>
      </c>
      <c r="I2" s="1178">
        <f>IF(ISNUMBER(HLOOKUP(I$1,Home!$D$12:$AB$77,$X2,FALSE)),HLOOKUP(I$1,Home!$D$12:$AB$77,$X2,FALSE),NA())</f>
        <v>18.899999999999999</v>
      </c>
      <c r="J2" s="1178">
        <f>IF(ISNUMBER(HLOOKUP(J$1,Home!$D$12:$AB$77,$X2,FALSE)),HLOOKUP(J$1,Home!$D$12:$AB$77,$X2,FALSE),NA())</f>
        <v>15</v>
      </c>
      <c r="K2" s="1178">
        <f>IF(ISNUMBER(HLOOKUP(K$1,Home!$D$12:$AB$77,$X2,FALSE)),HLOOKUP(K$1,Home!$D$12:$AB$77,$X2,FALSE),NA())</f>
        <v>10.100000000000001</v>
      </c>
      <c r="L2" s="1178">
        <f>IF(ISNUMBER(HLOOKUP(L$1,Home!$D$12:$AB$77,$X2,FALSE)),HLOOKUP(L$1,Home!$D$12:$AB$77,$X2,FALSE),NA())</f>
        <v>20.200000000000003</v>
      </c>
      <c r="M2" s="1178">
        <f>IF(ISNUMBER(HLOOKUP(M$1,Home!$D$12:$AB$77,$X2,FALSE)),HLOOKUP(M$1,Home!$D$12:$AB$77,$X2,FALSE),NA())</f>
        <v>16</v>
      </c>
      <c r="N2" s="1178">
        <f>IF(ISNUMBER(HLOOKUP(N$1,Home!$D$12:$AB$77,$X2,FALSE)),HLOOKUP(N$1,Home!$D$12:$AB$77,$X2,FALSE),NA())</f>
        <v>14.7</v>
      </c>
      <c r="O2" s="1179" t="e">
        <f>IF(ISNUMBER(HLOOKUP(O$1,Home!$D$12:$AB$77,$X2,FALSE)),HLOOKUP(O$1,Home!$D$12:$AB$77,$X2,FALSE),NA())</f>
        <v>#N/A</v>
      </c>
      <c r="P2" s="1178">
        <f>IF(ISNUMBER(HLOOKUP(P$1,Home!$D$12:$AB$77,$X2,FALSE)),HLOOKUP(P$1,Home!$D$12:$AB$77,$X2,FALSE),NA())</f>
        <v>20.5</v>
      </c>
      <c r="Q2" s="1178">
        <f>IF(ISNUMBER(HLOOKUP(Q$1,Home!$D$12:$AB$77,$X2,FALSE)),HLOOKUP(Q$1,Home!$D$12:$AB$77,$X2,FALSE),NA())</f>
        <v>8.3000000000000007</v>
      </c>
      <c r="R2" s="1179" t="e">
        <f>IF(ISNUMBER(HLOOKUP(R$1,Home!$D$12:$AB$77,$X2,FALSE)),HLOOKUP(R$1,Home!$D$12:$AB$77,$X2,FALSE),NA())</f>
        <v>#N/A</v>
      </c>
      <c r="S2" s="1179" t="e">
        <f>IF(ISNUMBER(HLOOKUP(S$1,Home!$D$12:$AB$77,$X2,FALSE)),HLOOKUP(S$1,Home!$D$12:$AB$77,$X2,FALSE),NA())</f>
        <v>#N/A</v>
      </c>
      <c r="T2" s="1178">
        <f>IF(ISNUMBER(HLOOKUP(T$1,Home!$D$12:$AB$77,$X2,FALSE)),HLOOKUP(T$1,Home!$D$12:$AB$77,$X2,FALSE),NA())</f>
        <v>8.6999999999999993</v>
      </c>
      <c r="U2" s="1178">
        <f>IF(ISNUMBER(HLOOKUP(U$1,Home!$D$12:$AB$77,$X2,FALSE)),HLOOKUP(U$1,Home!$D$12:$AB$77,$X2,FALSE),NA())</f>
        <v>11</v>
      </c>
      <c r="V2" s="1178">
        <f>IF(ISNUMBER(HLOOKUP(V$1,Home!$D$12:$AB$77,$X2,FALSE)),HLOOKUP(V$1,Home!$D$12:$AB$77,$X2,FALSE),NA())</f>
        <v>6.7</v>
      </c>
      <c r="W2" s="1178">
        <f>IF(ISNUMBER(HLOOKUP(W$1,Home!$D$12:$AB$77,$X2,FALSE)),HLOOKUP(W$1,Home!$D$12:$AB$77,$X2,FALSE),NA())</f>
        <v>5.6000000000000005</v>
      </c>
      <c r="X2" s="1175">
        <f>VLOOKUP(A2,Home!C:BB,52,FALSE)</f>
        <v>3</v>
      </c>
      <c r="Y2" s="1180"/>
      <c r="Z2" s="1175"/>
      <c r="AA2" s="1175"/>
      <c r="AB2" s="1177" t="s">
        <v>805</v>
      </c>
    </row>
    <row r="3" spans="1:28" ht="24" x14ac:dyDescent="0.2">
      <c r="A3" s="1181" t="str">
        <f>"Contacts received in the "&amp;Sheet1!$G$3&amp;", Rate per 10,000 0-17 Year Olds"</f>
        <v>Contacts received in the Year ending 31st March, Rate per 10,000 0-17 Year Olds</v>
      </c>
      <c r="B3" s="1178" t="e">
        <f>IF(ISNUMBER(HLOOKUP(B$1,Home!$D$12:$AB$77,$X3,FALSE)),HLOOKUP(B$1,Home!$D$12:$AB$77,$X3,FALSE),NA())</f>
        <v>#N/A</v>
      </c>
      <c r="C3" s="1178" t="e">
        <f>IF(ISNUMBER(HLOOKUP(C$1,Home!$D$12:$AB$77,$X3,FALSE)),HLOOKUP(C$1,Home!$D$12:$AB$77,$X3,FALSE),NA())</f>
        <v>#N/A</v>
      </c>
      <c r="D3" s="1178" t="e">
        <f>IF(ISNUMBER(HLOOKUP(D$1,Home!$D$12:$AB$77,$X3,FALSE)),HLOOKUP(D$1,Home!$D$12:$AB$77,$X3,FALSE),NA())</f>
        <v>#N/A</v>
      </c>
      <c r="E3" s="1178" t="e">
        <f>IF(ISNUMBER(HLOOKUP(E$1,Home!$D$12:$AB$77,$X3,FALSE)),HLOOKUP(E$1,Home!$D$12:$AB$77,$X3,FALSE),NA())</f>
        <v>#N/A</v>
      </c>
      <c r="F3" s="1178" t="e">
        <f>IF(ISNUMBER(HLOOKUP(F$1,Home!$D$12:$AB$77,$X3,FALSE)),HLOOKUP(F$1,Home!$D$12:$AB$77,$X3,FALSE),NA())</f>
        <v>#N/A</v>
      </c>
      <c r="G3" s="1178" t="e">
        <f>IF(ISNUMBER(HLOOKUP(G$1,Home!$D$12:$AB$77,$X3,FALSE)),HLOOKUP(G$1,Home!$D$12:$AB$77,$X3,FALSE),NA())</f>
        <v>#N/A</v>
      </c>
      <c r="H3" s="1178" t="e">
        <f>IF(ISNUMBER(HLOOKUP(H$1,Home!$D$12:$AB$77,$X3,FALSE)),HLOOKUP(H$1,Home!$D$12:$AB$77,$X3,FALSE),NA())</f>
        <v>#N/A</v>
      </c>
      <c r="I3" s="1178" t="e">
        <f>IF(ISNUMBER(HLOOKUP(I$1,Home!$D$12:$AB$77,$X3,FALSE)),HLOOKUP(I$1,Home!$D$12:$AB$77,$X3,FALSE),NA())</f>
        <v>#N/A</v>
      </c>
      <c r="J3" s="1178" t="e">
        <f>IF(ISNUMBER(HLOOKUP(J$1,Home!$D$12:$AB$77,$X3,FALSE)),HLOOKUP(J$1,Home!$D$12:$AB$77,$X3,FALSE),NA())</f>
        <v>#N/A</v>
      </c>
      <c r="K3" s="1178" t="e">
        <f>IF(ISNUMBER(HLOOKUP(K$1,Home!$D$12:$AB$77,$X3,FALSE)),HLOOKUP(K$1,Home!$D$12:$AB$77,$X3,FALSE),NA())</f>
        <v>#N/A</v>
      </c>
      <c r="L3" s="1178" t="e">
        <f>IF(ISNUMBER(HLOOKUP(L$1,Home!$D$12:$AB$77,$X3,FALSE)),HLOOKUP(L$1,Home!$D$12:$AB$77,$X3,FALSE),NA())</f>
        <v>#N/A</v>
      </c>
      <c r="M3" s="1178" t="e">
        <f>IF(ISNUMBER(HLOOKUP(M$1,Home!$D$12:$AB$77,$X3,FALSE)),HLOOKUP(M$1,Home!$D$12:$AB$77,$X3,FALSE),NA())</f>
        <v>#N/A</v>
      </c>
      <c r="N3" s="1178" t="e">
        <f>IF(ISNUMBER(HLOOKUP(N$1,Home!$D$12:$AB$77,$X3,FALSE)),HLOOKUP(N$1,Home!$D$12:$AB$77,$X3,FALSE),NA())</f>
        <v>#N/A</v>
      </c>
      <c r="O3" s="1179" t="e">
        <f>IF(ISNUMBER(HLOOKUP(O$1,Home!$D$12:$AB$77,$X3,FALSE)),HLOOKUP(O$1,Home!$D$12:$AB$77,$X3,FALSE),NA())</f>
        <v>#N/A</v>
      </c>
      <c r="P3" s="1178" t="e">
        <f>IF(ISNUMBER(HLOOKUP(P$1,Home!$D$12:$AB$77,$X3,FALSE)),HLOOKUP(P$1,Home!$D$12:$AB$77,$X3,FALSE),NA())</f>
        <v>#N/A</v>
      </c>
      <c r="Q3" s="1178" t="e">
        <f>IF(ISNUMBER(HLOOKUP(Q$1,Home!$D$12:$AB$77,$X3,FALSE)),HLOOKUP(Q$1,Home!$D$12:$AB$77,$X3,FALSE),NA())</f>
        <v>#N/A</v>
      </c>
      <c r="R3" s="1179" t="e">
        <f>IF(ISNUMBER(HLOOKUP(R$1,Home!$D$12:$AB$77,$X3,FALSE)),HLOOKUP(R$1,Home!$D$12:$AB$77,$X3,FALSE),NA())</f>
        <v>#N/A</v>
      </c>
      <c r="S3" s="1179" t="e">
        <f>IF(ISNUMBER(HLOOKUP(S$1,Home!$D$12:$AB$77,$X3,FALSE)),HLOOKUP(S$1,Home!$D$12:$AB$77,$X3,FALSE),NA())</f>
        <v>#N/A</v>
      </c>
      <c r="T3" s="1178" t="e">
        <f>IF(ISNUMBER(HLOOKUP(T$1,Home!$D$12:$AB$77,$X3,FALSE)),HLOOKUP(T$1,Home!$D$12:$AB$77,$X3,FALSE),NA())</f>
        <v>#N/A</v>
      </c>
      <c r="U3" s="1178" t="e">
        <f>IF(ISNUMBER(HLOOKUP(U$1,Home!$D$12:$AB$77,$X3,FALSE)),HLOOKUP(U$1,Home!$D$12:$AB$77,$X3,FALSE),NA())</f>
        <v>#N/A</v>
      </c>
      <c r="V3" s="1178" t="e">
        <f>IF(ISNUMBER(HLOOKUP(V$1,Home!$D$12:$AB$77,$X3,FALSE)),HLOOKUP(V$1,Home!$D$12:$AB$77,$X3,FALSE),NA())</f>
        <v>#N/A</v>
      </c>
      <c r="W3" s="1178" t="e">
        <f>IF(ISNUMBER(HLOOKUP(W$1,Home!$D$12:$AB$77,$X3,FALSE)),HLOOKUP(W$1,Home!$D$12:$AB$77,$X3,FALSE),NA())</f>
        <v>#N/A</v>
      </c>
      <c r="X3" s="1175" t="e">
        <f>VLOOKUP(A3,Home!C:BB,52,FALSE)</f>
        <v>#N/A</v>
      </c>
      <c r="Y3" s="1182" t="e">
        <f t="array" ref="Y3">SLOPE(IF(ISNA($B3:$W3),"",$B3:$W3),IF(ISNA($B$2:$W$2),"",$B$2:$W$2))</f>
        <v>#DIV/0!</v>
      </c>
      <c r="Z3" s="1182" t="e">
        <f t="array" ref="Z3">INTERCEPT(IF(ISNA($B3:$W3),"",$B3:$W3),IF(ISNA($B$2:$W$2),"",$B$2:$W$2))</f>
        <v>#DIV/0!</v>
      </c>
      <c r="AA3" s="1182" t="e">
        <f t="array" ref="AA3">RSQ(IF(ISNA($B3:$W3),"",$B3:$W3),IF(ISNA($B$2:$W$2),"",$B$2:$W$2))</f>
        <v>#DIV/0!</v>
      </c>
      <c r="AB3" s="1181" t="s">
        <v>970</v>
      </c>
    </row>
    <row r="4" spans="1:28" ht="24" x14ac:dyDescent="0.2">
      <c r="A4" s="1177" t="str">
        <f>"Referrals to Early Help in the "&amp;Sheet1!$G$3&amp;", Rate per 10,000 0-17 Year Olds"</f>
        <v>Referrals to Early Help in the Year ending 31st March, Rate per 10,000 0-17 Year Olds</v>
      </c>
      <c r="B4" s="1178" t="e">
        <f>IF(ISNUMBER(HLOOKUP(B$1,Home!$D$12:$AB$77,$X4,FALSE)),HLOOKUP(B$1,Home!$D$12:$AB$77,$X4,FALSE),NA())</f>
        <v>#N/A</v>
      </c>
      <c r="C4" s="1178" t="e">
        <f>IF(ISNUMBER(HLOOKUP(C$1,Home!$D$12:$AB$77,$X4,FALSE)),HLOOKUP(C$1,Home!$D$12:$AB$77,$X4,FALSE),NA())</f>
        <v>#N/A</v>
      </c>
      <c r="D4" s="1178" t="e">
        <f>IF(ISNUMBER(HLOOKUP(D$1,Home!$D$12:$AB$77,$X4,FALSE)),HLOOKUP(D$1,Home!$D$12:$AB$77,$X4,FALSE),NA())</f>
        <v>#N/A</v>
      </c>
      <c r="E4" s="1178" t="e">
        <f>IF(ISNUMBER(HLOOKUP(E$1,Home!$D$12:$AB$77,$X4,FALSE)),HLOOKUP(E$1,Home!$D$12:$AB$77,$X4,FALSE),NA())</f>
        <v>#N/A</v>
      </c>
      <c r="F4" s="1178" t="e">
        <f>IF(ISNUMBER(HLOOKUP(F$1,Home!$D$12:$AB$77,$X4,FALSE)),HLOOKUP(F$1,Home!$D$12:$AB$77,$X4,FALSE),NA())</f>
        <v>#N/A</v>
      </c>
      <c r="G4" s="1178" t="e">
        <f>IF(ISNUMBER(HLOOKUP(G$1,Home!$D$12:$AB$77,$X4,FALSE)),HLOOKUP(G$1,Home!$D$12:$AB$77,$X4,FALSE),NA())</f>
        <v>#N/A</v>
      </c>
      <c r="H4" s="1178" t="e">
        <f>IF(ISNUMBER(HLOOKUP(H$1,Home!$D$12:$AB$77,$X4,FALSE)),HLOOKUP(H$1,Home!$D$12:$AB$77,$X4,FALSE),NA())</f>
        <v>#N/A</v>
      </c>
      <c r="I4" s="1178" t="e">
        <f>IF(ISNUMBER(HLOOKUP(I$1,Home!$D$12:$AB$77,$X4,FALSE)),HLOOKUP(I$1,Home!$D$12:$AB$77,$X4,FALSE),NA())</f>
        <v>#N/A</v>
      </c>
      <c r="J4" s="1178" t="e">
        <f>IF(ISNUMBER(HLOOKUP(J$1,Home!$D$12:$AB$77,$X4,FALSE)),HLOOKUP(J$1,Home!$D$12:$AB$77,$X4,FALSE),NA())</f>
        <v>#N/A</v>
      </c>
      <c r="K4" s="1178" t="e">
        <f>IF(ISNUMBER(HLOOKUP(K$1,Home!$D$12:$AB$77,$X4,FALSE)),HLOOKUP(K$1,Home!$D$12:$AB$77,$X4,FALSE),NA())</f>
        <v>#N/A</v>
      </c>
      <c r="L4" s="1178" t="e">
        <f>IF(ISNUMBER(HLOOKUP(L$1,Home!$D$12:$AB$77,$X4,FALSE)),HLOOKUP(L$1,Home!$D$12:$AB$77,$X4,FALSE),NA())</f>
        <v>#N/A</v>
      </c>
      <c r="M4" s="1178" t="e">
        <f>IF(ISNUMBER(HLOOKUP(M$1,Home!$D$12:$AB$77,$X4,FALSE)),HLOOKUP(M$1,Home!$D$12:$AB$77,$X4,FALSE),NA())</f>
        <v>#N/A</v>
      </c>
      <c r="N4" s="1178" t="e">
        <f>IF(ISNUMBER(HLOOKUP(N$1,Home!$D$12:$AB$77,$X4,FALSE)),HLOOKUP(N$1,Home!$D$12:$AB$77,$X4,FALSE),NA())</f>
        <v>#N/A</v>
      </c>
      <c r="O4" s="1179" t="e">
        <f>IF(ISNUMBER(HLOOKUP(O$1,Home!$D$12:$AB$77,$X4,FALSE)),HLOOKUP(O$1,Home!$D$12:$AB$77,$X4,FALSE),NA())</f>
        <v>#N/A</v>
      </c>
      <c r="P4" s="1178" t="e">
        <f>IF(ISNUMBER(HLOOKUP(P$1,Home!$D$12:$AB$77,$X4,FALSE)),HLOOKUP(P$1,Home!$D$12:$AB$77,$X4,FALSE),NA())</f>
        <v>#N/A</v>
      </c>
      <c r="Q4" s="1178" t="e">
        <f>IF(ISNUMBER(HLOOKUP(Q$1,Home!$D$12:$AB$77,$X4,FALSE)),HLOOKUP(Q$1,Home!$D$12:$AB$77,$X4,FALSE),NA())</f>
        <v>#N/A</v>
      </c>
      <c r="R4" s="1179" t="e">
        <f>IF(ISNUMBER(HLOOKUP(R$1,Home!$D$12:$AB$77,$X4,FALSE)),HLOOKUP(R$1,Home!$D$12:$AB$77,$X4,FALSE),NA())</f>
        <v>#N/A</v>
      </c>
      <c r="S4" s="1179" t="e">
        <f>IF(ISNUMBER(HLOOKUP(S$1,Home!$D$12:$AB$77,$X4,FALSE)),HLOOKUP(S$1,Home!$D$12:$AB$77,$X4,FALSE),NA())</f>
        <v>#N/A</v>
      </c>
      <c r="T4" s="1178" t="e">
        <f>IF(ISNUMBER(HLOOKUP(T$1,Home!$D$12:$AB$77,$X4,FALSE)),HLOOKUP(T$1,Home!$D$12:$AB$77,$X4,FALSE),NA())</f>
        <v>#N/A</v>
      </c>
      <c r="U4" s="1178" t="e">
        <f>IF(ISNUMBER(HLOOKUP(U$1,Home!$D$12:$AB$77,$X4,FALSE)),HLOOKUP(U$1,Home!$D$12:$AB$77,$X4,FALSE),NA())</f>
        <v>#N/A</v>
      </c>
      <c r="V4" s="1178" t="e">
        <f>IF(ISNUMBER(HLOOKUP(V$1,Home!$D$12:$AB$77,$X4,FALSE)),HLOOKUP(V$1,Home!$D$12:$AB$77,$X4,FALSE),NA())</f>
        <v>#N/A</v>
      </c>
      <c r="W4" s="1178" t="e">
        <f>IF(ISNUMBER(HLOOKUP(W$1,Home!$D$12:$AB$77,$X4,FALSE)),HLOOKUP(W$1,Home!$D$12:$AB$77,$X4,FALSE),NA())</f>
        <v>#N/A</v>
      </c>
      <c r="X4" s="1175" t="e">
        <f>VLOOKUP(A4,Home!C:BB,52,FALSE)</f>
        <v>#N/A</v>
      </c>
      <c r="Y4" s="1182" t="e">
        <f t="array" ref="Y4">SLOPE(IF(ISNA($B4:$W4),"",$B4:$W4),IF(ISNA($B$2:$W$2),"",$B$2:$W$2))</f>
        <v>#DIV/0!</v>
      </c>
      <c r="Z4" s="1182" t="e">
        <f t="array" ref="Z4">INTERCEPT(IF(ISNA($B4:$W4),"",$B4:$W4),IF(ISNA($B$2:$W$2),"",$B$2:$W$2))</f>
        <v>#DIV/0!</v>
      </c>
      <c r="AA4" s="1182" t="e">
        <f t="array" ref="AA4">RSQ(IF(ISNA($B4:$W4),"",$B4:$W4),IF(ISNA($B$2:$W$2),"",$B$2:$W$2))</f>
        <v>#DIV/0!</v>
      </c>
      <c r="AB4" s="1177" t="s">
        <v>971</v>
      </c>
    </row>
    <row r="5" spans="1:28" ht="24" x14ac:dyDescent="0.2">
      <c r="A5" s="1183" t="str">
        <f>"Early Help Assessments Completed in "&amp;Sheet1!$G$3&amp;", Rate per 10,000 0-17 Year Olds"</f>
        <v>Early Help Assessments Completed in Year ending 31st March, Rate per 10,000 0-17 Year Olds</v>
      </c>
      <c r="B5" s="1178" t="e">
        <f>IF(ISNUMBER(HLOOKUP(B$1,Home!$D$12:$AB$77,$X5,FALSE)),HLOOKUP(B$1,Home!$D$12:$AB$77,$X5,FALSE),NA())</f>
        <v>#N/A</v>
      </c>
      <c r="C5" s="1178" t="e">
        <f>IF(ISNUMBER(HLOOKUP(C$1,Home!$D$12:$AB$77,$X5,FALSE)),HLOOKUP(C$1,Home!$D$12:$AB$77,$X5,FALSE),NA())</f>
        <v>#N/A</v>
      </c>
      <c r="D5" s="1178" t="e">
        <f>IF(ISNUMBER(HLOOKUP(D$1,Home!$D$12:$AB$77,$X5,FALSE)),HLOOKUP(D$1,Home!$D$12:$AB$77,$X5,FALSE),NA())</f>
        <v>#N/A</v>
      </c>
      <c r="E5" s="1178" t="e">
        <f>IF(ISNUMBER(HLOOKUP(E$1,Home!$D$12:$AB$77,$X5,FALSE)),HLOOKUP(E$1,Home!$D$12:$AB$77,$X5,FALSE),NA())</f>
        <v>#N/A</v>
      </c>
      <c r="F5" s="1178" t="e">
        <f>IF(ISNUMBER(HLOOKUP(F$1,Home!$D$12:$AB$77,$X5,FALSE)),HLOOKUP(F$1,Home!$D$12:$AB$77,$X5,FALSE),NA())</f>
        <v>#N/A</v>
      </c>
      <c r="G5" s="1178" t="e">
        <f>IF(ISNUMBER(HLOOKUP(G$1,Home!$D$12:$AB$77,$X5,FALSE)),HLOOKUP(G$1,Home!$D$12:$AB$77,$X5,FALSE),NA())</f>
        <v>#N/A</v>
      </c>
      <c r="H5" s="1178" t="e">
        <f>IF(ISNUMBER(HLOOKUP(H$1,Home!$D$12:$AB$77,$X5,FALSE)),HLOOKUP(H$1,Home!$D$12:$AB$77,$X5,FALSE),NA())</f>
        <v>#N/A</v>
      </c>
      <c r="I5" s="1178" t="e">
        <f>IF(ISNUMBER(HLOOKUP(I$1,Home!$D$12:$AB$77,$X5,FALSE)),HLOOKUP(I$1,Home!$D$12:$AB$77,$X5,FALSE),NA())</f>
        <v>#N/A</v>
      </c>
      <c r="J5" s="1178" t="e">
        <f>IF(ISNUMBER(HLOOKUP(J$1,Home!$D$12:$AB$77,$X5,FALSE)),HLOOKUP(J$1,Home!$D$12:$AB$77,$X5,FALSE),NA())</f>
        <v>#N/A</v>
      </c>
      <c r="K5" s="1178" t="e">
        <f>IF(ISNUMBER(HLOOKUP(K$1,Home!$D$12:$AB$77,$X5,FALSE)),HLOOKUP(K$1,Home!$D$12:$AB$77,$X5,FALSE),NA())</f>
        <v>#N/A</v>
      </c>
      <c r="L5" s="1178" t="e">
        <f>IF(ISNUMBER(HLOOKUP(L$1,Home!$D$12:$AB$77,$X5,FALSE)),HLOOKUP(L$1,Home!$D$12:$AB$77,$X5,FALSE),NA())</f>
        <v>#N/A</v>
      </c>
      <c r="M5" s="1178" t="e">
        <f>IF(ISNUMBER(HLOOKUP(M$1,Home!$D$12:$AB$77,$X5,FALSE)),HLOOKUP(M$1,Home!$D$12:$AB$77,$X5,FALSE),NA())</f>
        <v>#N/A</v>
      </c>
      <c r="N5" s="1178" t="e">
        <f>IF(ISNUMBER(HLOOKUP(N$1,Home!$D$12:$AB$77,$X5,FALSE)),HLOOKUP(N$1,Home!$D$12:$AB$77,$X5,FALSE),NA())</f>
        <v>#N/A</v>
      </c>
      <c r="O5" s="1179" t="e">
        <f>IF(ISNUMBER(HLOOKUP(O$1,Home!$D$12:$AB$77,$X5,FALSE)),HLOOKUP(O$1,Home!$D$12:$AB$77,$X5,FALSE),NA())</f>
        <v>#N/A</v>
      </c>
      <c r="P5" s="1178" t="e">
        <f>IF(ISNUMBER(HLOOKUP(P$1,Home!$D$12:$AB$77,$X5,FALSE)),HLOOKUP(P$1,Home!$D$12:$AB$77,$X5,FALSE),NA())</f>
        <v>#N/A</v>
      </c>
      <c r="Q5" s="1178" t="e">
        <f>IF(ISNUMBER(HLOOKUP(Q$1,Home!$D$12:$AB$77,$X5,FALSE)),HLOOKUP(Q$1,Home!$D$12:$AB$77,$X5,FALSE),NA())</f>
        <v>#N/A</v>
      </c>
      <c r="R5" s="1179" t="e">
        <f>IF(ISNUMBER(HLOOKUP(R$1,Home!$D$12:$AB$77,$X5,FALSE)),HLOOKUP(R$1,Home!$D$12:$AB$77,$X5,FALSE),NA())</f>
        <v>#N/A</v>
      </c>
      <c r="S5" s="1179" t="e">
        <f>IF(ISNUMBER(HLOOKUP(S$1,Home!$D$12:$AB$77,$X5,FALSE)),HLOOKUP(S$1,Home!$D$12:$AB$77,$X5,FALSE),NA())</f>
        <v>#N/A</v>
      </c>
      <c r="T5" s="1178" t="e">
        <f>IF(ISNUMBER(HLOOKUP(T$1,Home!$D$12:$AB$77,$X5,FALSE)),HLOOKUP(T$1,Home!$D$12:$AB$77,$X5,FALSE),NA())</f>
        <v>#N/A</v>
      </c>
      <c r="U5" s="1178" t="e">
        <f>IF(ISNUMBER(HLOOKUP(U$1,Home!$D$12:$AB$77,$X5,FALSE)),HLOOKUP(U$1,Home!$D$12:$AB$77,$X5,FALSE),NA())</f>
        <v>#N/A</v>
      </c>
      <c r="V5" s="1178" t="e">
        <f>IF(ISNUMBER(HLOOKUP(V$1,Home!$D$12:$AB$77,$X5,FALSE)),HLOOKUP(V$1,Home!$D$12:$AB$77,$X5,FALSE),NA())</f>
        <v>#N/A</v>
      </c>
      <c r="W5" s="1178" t="e">
        <f>IF(ISNUMBER(HLOOKUP(W$1,Home!$D$12:$AB$77,$X5,FALSE)),HLOOKUP(W$1,Home!$D$12:$AB$77,$X5,FALSE),NA())</f>
        <v>#N/A</v>
      </c>
      <c r="X5" s="1175" t="e">
        <f>VLOOKUP(A5,Home!C:BB,52,FALSE)</f>
        <v>#N/A</v>
      </c>
      <c r="Y5" s="1182" t="e">
        <f t="array" ref="Y5">SLOPE(IF(ISNA($B5:$W5),"",$B5:$W5),IF(ISNA($B$2:$W$2),"",$B$2:$W$2))</f>
        <v>#DIV/0!</v>
      </c>
      <c r="Z5" s="1182" t="e">
        <f t="array" ref="Z5">INTERCEPT(IF(ISNA($B5:$W5),"",$B5:$W5),IF(ISNA($B$2:$W$2),"",$B$2:$W$2))</f>
        <v>#DIV/0!</v>
      </c>
      <c r="AA5" s="1182" t="e">
        <f t="array" ref="AA5">RSQ(IF(ISNA($B5:$W5),"",$B5:$W5),IF(ISNA($B$2:$W$2),"",$B$2:$W$2))</f>
        <v>#DIV/0!</v>
      </c>
      <c r="AB5" s="1183" t="s">
        <v>972</v>
      </c>
    </row>
    <row r="6" spans="1:28" ht="24" x14ac:dyDescent="0.2">
      <c r="A6" s="1177" t="str">
        <f>"Children being 'Early Helped' as at "&amp;Sheet1!$H$3&amp;", Rate per 10,000 0-17 Year Olds"</f>
        <v>Children being 'Early Helped' as at 31st March, Rate per 10,000 0-17 Year Olds</v>
      </c>
      <c r="B6" s="1178" t="e">
        <f>IF(ISNUMBER(HLOOKUP(B$1,Home!$D$12:$AB$77,$X6,FALSE)),HLOOKUP(B$1,Home!$D$12:$AB$77,$X6,FALSE),NA())</f>
        <v>#N/A</v>
      </c>
      <c r="C6" s="1178" t="e">
        <f>IF(ISNUMBER(HLOOKUP(C$1,Home!$D$12:$AB$77,$X6,FALSE)),HLOOKUP(C$1,Home!$D$12:$AB$77,$X6,FALSE),NA())</f>
        <v>#N/A</v>
      </c>
      <c r="D6" s="1178" t="e">
        <f>IF(ISNUMBER(HLOOKUP(D$1,Home!$D$12:$AB$77,$X6,FALSE)),HLOOKUP(D$1,Home!$D$12:$AB$77,$X6,FALSE),NA())</f>
        <v>#N/A</v>
      </c>
      <c r="E6" s="1178" t="e">
        <f>IF(ISNUMBER(HLOOKUP(E$1,Home!$D$12:$AB$77,$X6,FALSE)),HLOOKUP(E$1,Home!$D$12:$AB$77,$X6,FALSE),NA())</f>
        <v>#N/A</v>
      </c>
      <c r="F6" s="1178" t="e">
        <f>IF(ISNUMBER(HLOOKUP(F$1,Home!$D$12:$AB$77,$X6,FALSE)),HLOOKUP(F$1,Home!$D$12:$AB$77,$X6,FALSE),NA())</f>
        <v>#N/A</v>
      </c>
      <c r="G6" s="1178" t="e">
        <f>IF(ISNUMBER(HLOOKUP(G$1,Home!$D$12:$AB$77,$X6,FALSE)),HLOOKUP(G$1,Home!$D$12:$AB$77,$X6,FALSE),NA())</f>
        <v>#N/A</v>
      </c>
      <c r="H6" s="1178" t="e">
        <f>IF(ISNUMBER(HLOOKUP(H$1,Home!$D$12:$AB$77,$X6,FALSE)),HLOOKUP(H$1,Home!$D$12:$AB$77,$X6,FALSE),NA())</f>
        <v>#N/A</v>
      </c>
      <c r="I6" s="1178" t="e">
        <f>IF(ISNUMBER(HLOOKUP(I$1,Home!$D$12:$AB$77,$X6,FALSE)),HLOOKUP(I$1,Home!$D$12:$AB$77,$X6,FALSE),NA())</f>
        <v>#N/A</v>
      </c>
      <c r="J6" s="1178" t="e">
        <f>IF(ISNUMBER(HLOOKUP(J$1,Home!$D$12:$AB$77,$X6,FALSE)),HLOOKUP(J$1,Home!$D$12:$AB$77,$X6,FALSE),NA())</f>
        <v>#N/A</v>
      </c>
      <c r="K6" s="1178" t="e">
        <f>IF(ISNUMBER(HLOOKUP(K$1,Home!$D$12:$AB$77,$X6,FALSE)),HLOOKUP(K$1,Home!$D$12:$AB$77,$X6,FALSE),NA())</f>
        <v>#N/A</v>
      </c>
      <c r="L6" s="1178" t="e">
        <f>IF(ISNUMBER(HLOOKUP(L$1,Home!$D$12:$AB$77,$X6,FALSE)),HLOOKUP(L$1,Home!$D$12:$AB$77,$X6,FALSE),NA())</f>
        <v>#N/A</v>
      </c>
      <c r="M6" s="1178" t="e">
        <f>IF(ISNUMBER(HLOOKUP(M$1,Home!$D$12:$AB$77,$X6,FALSE)),HLOOKUP(M$1,Home!$D$12:$AB$77,$X6,FALSE),NA())</f>
        <v>#N/A</v>
      </c>
      <c r="N6" s="1178" t="e">
        <f>IF(ISNUMBER(HLOOKUP(N$1,Home!$D$12:$AB$77,$X6,FALSE)),HLOOKUP(N$1,Home!$D$12:$AB$77,$X6,FALSE),NA())</f>
        <v>#N/A</v>
      </c>
      <c r="O6" s="1179" t="e">
        <f>IF(ISNUMBER(HLOOKUP(O$1,Home!$D$12:$AB$77,$X6,FALSE)),HLOOKUP(O$1,Home!$D$12:$AB$77,$X6,FALSE),NA())</f>
        <v>#N/A</v>
      </c>
      <c r="P6" s="1178" t="e">
        <f>IF(ISNUMBER(HLOOKUP(P$1,Home!$D$12:$AB$77,$X6,FALSE)),HLOOKUP(P$1,Home!$D$12:$AB$77,$X6,FALSE),NA())</f>
        <v>#N/A</v>
      </c>
      <c r="Q6" s="1178" t="e">
        <f>IF(ISNUMBER(HLOOKUP(Q$1,Home!$D$12:$AB$77,$X6,FALSE)),HLOOKUP(Q$1,Home!$D$12:$AB$77,$X6,FALSE),NA())</f>
        <v>#N/A</v>
      </c>
      <c r="R6" s="1179" t="e">
        <f>IF(ISNUMBER(HLOOKUP(R$1,Home!$D$12:$AB$77,$X6,FALSE)),HLOOKUP(R$1,Home!$D$12:$AB$77,$X6,FALSE),NA())</f>
        <v>#N/A</v>
      </c>
      <c r="S6" s="1179" t="e">
        <f>IF(ISNUMBER(HLOOKUP(S$1,Home!$D$12:$AB$77,$X6,FALSE)),HLOOKUP(S$1,Home!$D$12:$AB$77,$X6,FALSE),NA())</f>
        <v>#N/A</v>
      </c>
      <c r="T6" s="1178" t="e">
        <f>IF(ISNUMBER(HLOOKUP(T$1,Home!$D$12:$AB$77,$X6,FALSE)),HLOOKUP(T$1,Home!$D$12:$AB$77,$X6,FALSE),NA())</f>
        <v>#N/A</v>
      </c>
      <c r="U6" s="1178" t="e">
        <f>IF(ISNUMBER(HLOOKUP(U$1,Home!$D$12:$AB$77,$X6,FALSE)),HLOOKUP(U$1,Home!$D$12:$AB$77,$X6,FALSE),NA())</f>
        <v>#N/A</v>
      </c>
      <c r="V6" s="1178" t="e">
        <f>IF(ISNUMBER(HLOOKUP(V$1,Home!$D$12:$AB$77,$X6,FALSE)),HLOOKUP(V$1,Home!$D$12:$AB$77,$X6,FALSE),NA())</f>
        <v>#N/A</v>
      </c>
      <c r="W6" s="1178" t="e">
        <f>IF(ISNUMBER(HLOOKUP(W$1,Home!$D$12:$AB$77,$X6,FALSE)),HLOOKUP(W$1,Home!$D$12:$AB$77,$X6,FALSE),NA())</f>
        <v>#N/A</v>
      </c>
      <c r="X6" s="1175" t="e">
        <f>VLOOKUP(A6,Home!C:BB,52,FALSE)</f>
        <v>#N/A</v>
      </c>
      <c r="Y6" s="1182" t="e">
        <f t="array" ref="Y6">SLOPE(IF(ISNA($B6:$W6),"",$B6:$W6),IF(ISNA($B$2:$W$2),"",$B$2:$W$2))</f>
        <v>#DIV/0!</v>
      </c>
      <c r="Z6" s="1182" t="e">
        <f t="array" ref="Z6">INTERCEPT(IF(ISNA($B6:$W6),"",$B6:$W6),IF(ISNA($B$2:$W$2),"",$B$2:$W$2))</f>
        <v>#DIV/0!</v>
      </c>
      <c r="AA6" s="1182" t="e">
        <f t="array" ref="AA6">RSQ(IF(ISNA($B6:$W6),"",$B6:$W6),IF(ISNA($B$2:$W$2),"",$B$2:$W$2))</f>
        <v>#DIV/0!</v>
      </c>
      <c r="AB6" s="1177" t="s">
        <v>973</v>
      </c>
    </row>
    <row r="7" spans="1:28" ht="36" x14ac:dyDescent="0.2">
      <c r="A7" s="1183" t="str">
        <f>"Referrals received to Children's Social Care (CSC) during the "&amp;Sheet1!$G$3&amp;", Rate per 10,000 0-17 Year Olds"</f>
        <v>Referrals received to Children's Social Care (CSC) during the Year ending 31st March, Rate per 10,000 0-17 Year Olds</v>
      </c>
      <c r="B7" s="1178">
        <f>IF(ISNUMBER(HLOOKUP(B$1,Home!$D$12:$AB$77,$X7,FALSE)),HLOOKUP(B$1,Home!$D$12:$AB$77,$X7,FALSE),NA())</f>
        <v>791.51943462897532</v>
      </c>
      <c r="C7" s="1178">
        <f>IF(ISNUMBER(HLOOKUP(C$1,Home!$D$12:$AB$77,$X7,FALSE)),HLOOKUP(C$1,Home!$D$12:$AB$77,$X7,FALSE),NA())</f>
        <v>635.0980392156863</v>
      </c>
      <c r="D7" s="1178">
        <f>IF(ISNUMBER(HLOOKUP(D$1,Home!$D$12:$AB$77,$X7,FALSE)),HLOOKUP(D$1,Home!$D$12:$AB$77,$X7,FALSE),NA())</f>
        <v>614.64199517296868</v>
      </c>
      <c r="E7" s="1178">
        <f>IF(ISNUMBER(HLOOKUP(E$1,Home!$D$12:$AB$77,$X7,FALSE)),HLOOKUP(E$1,Home!$D$12:$AB$77,$X7,FALSE),NA())</f>
        <v>405.54511278195491</v>
      </c>
      <c r="F7" s="1178">
        <f>IF(ISNUMBER(HLOOKUP(F$1,Home!$D$12:$AB$77,$X7,FALSE)),HLOOKUP(F$1,Home!$D$12:$AB$77,$X7,FALSE),NA())</f>
        <v>648.16901408450701</v>
      </c>
      <c r="G7" s="1178">
        <f>IF(ISNUMBER(HLOOKUP(G$1,Home!$D$12:$AB$77,$X7,FALSE)),HLOOKUP(G$1,Home!$D$12:$AB$77,$X7,FALSE),NA())</f>
        <v>973.49397590361446</v>
      </c>
      <c r="H7" s="1178">
        <f>IF(ISNUMBER(HLOOKUP(H$1,Home!$D$12:$AB$77,$X7,FALSE)),HLOOKUP(H$1,Home!$D$12:$AB$77,$X7,FALSE),NA())</f>
        <v>537.57718318141724</v>
      </c>
      <c r="I7" s="1178">
        <f>IF(ISNUMBER(HLOOKUP(I$1,Home!$D$12:$AB$77,$X7,FALSE)),HLOOKUP(I$1,Home!$D$12:$AB$77,$X7,FALSE),NA())</f>
        <v>625</v>
      </c>
      <c r="J7" s="1178">
        <f>IF(ISNUMBER(HLOOKUP(J$1,Home!$D$12:$AB$77,$X7,FALSE)),HLOOKUP(J$1,Home!$D$12:$AB$77,$X7,FALSE),NA())</f>
        <v>397.80380673499269</v>
      </c>
      <c r="K7" s="1178">
        <f>IF(ISNUMBER(HLOOKUP(K$1,Home!$D$12:$AB$77,$X7,FALSE)),HLOOKUP(K$1,Home!$D$12:$AB$77,$X7,FALSE),NA())</f>
        <v>468.16298342541438</v>
      </c>
      <c r="L7" s="1178">
        <f>IF(ISNUMBER(HLOOKUP(L$1,Home!$D$12:$AB$77,$X7,FALSE)),HLOOKUP(L$1,Home!$D$12:$AB$77,$X7,FALSE),NA())</f>
        <v>646.36363636363626</v>
      </c>
      <c r="M7" s="1178">
        <f>IF(ISNUMBER(HLOOKUP(M$1,Home!$D$12:$AB$77,$X7,FALSE)),HLOOKUP(M$1,Home!$D$12:$AB$77,$X7,FALSE),NA())</f>
        <v>738.27493261455527</v>
      </c>
      <c r="N7" s="1178">
        <f>IF(ISNUMBER(HLOOKUP(N$1,Home!$D$12:$AB$77,$X7,FALSE)),HLOOKUP(N$1,Home!$D$12:$AB$77,$X7,FALSE),NA())</f>
        <v>464.87119437939111</v>
      </c>
      <c r="O7" s="1179" t="e">
        <f>IF(ISNUMBER(HLOOKUP(O$1,Home!$D$12:$AB$77,$X7,FALSE)),HLOOKUP(O$1,Home!$D$12:$AB$77,$X7,FALSE),NA())</f>
        <v>#N/A</v>
      </c>
      <c r="P7" s="1178">
        <f>IF(ISNUMBER(HLOOKUP(P$1,Home!$D$12:$AB$77,$X7,FALSE)),HLOOKUP(P$1,Home!$D$12:$AB$77,$X7,FALSE),NA())</f>
        <v>511.41732283464569</v>
      </c>
      <c r="Q7" s="1178">
        <f>IF(ISNUMBER(HLOOKUP(Q$1,Home!$D$12:$AB$77,$X7,FALSE)),HLOOKUP(Q$1,Home!$D$12:$AB$77,$X7,FALSE),NA())</f>
        <v>406.07101947308132</v>
      </c>
      <c r="R7" s="1179" t="e">
        <f>IF(ISNUMBER(HLOOKUP(R$1,Home!$D$12:$AB$77,$X7,FALSE)),HLOOKUP(R$1,Home!$D$12:$AB$77,$X7,FALSE),NA())</f>
        <v>#N/A</v>
      </c>
      <c r="S7" s="1179" t="e">
        <f>IF(ISNUMBER(HLOOKUP(S$1,Home!$D$12:$AB$77,$X7,FALSE)),HLOOKUP(S$1,Home!$D$12:$AB$77,$X7,FALSE),NA())</f>
        <v>#N/A</v>
      </c>
      <c r="T7" s="1178">
        <f>IF(ISNUMBER(HLOOKUP(T$1,Home!$D$12:$AB$77,$X7,FALSE)),HLOOKUP(T$1,Home!$D$12:$AB$77,$X7,FALSE),NA())</f>
        <v>473.59550561797755</v>
      </c>
      <c r="U7" s="1178">
        <f>IF(ISNUMBER(HLOOKUP(U$1,Home!$D$12:$AB$77,$X7,FALSE)),HLOOKUP(U$1,Home!$D$12:$AB$77,$X7,FALSE),NA())</f>
        <v>543.21694333142534</v>
      </c>
      <c r="V7" s="1178">
        <f>IF(ISNUMBER(HLOOKUP(V$1,Home!$D$12:$AB$77,$X7,FALSE)),HLOOKUP(V$1,Home!$D$12:$AB$77,$X7,FALSE),NA())</f>
        <v>328.03468208092482</v>
      </c>
      <c r="W7" s="1178">
        <f>IF(ISNUMBER(HLOOKUP(W$1,Home!$D$12:$AB$77,$X7,FALSE)),HLOOKUP(W$1,Home!$D$12:$AB$77,$X7,FALSE),NA())</f>
        <v>431.64556962025313</v>
      </c>
      <c r="X7" s="1175">
        <f>VLOOKUP(A7,Home!C:BB,52,FALSE)</f>
        <v>4</v>
      </c>
      <c r="Y7" s="1182">
        <f t="array" ref="Y7">SLOPE(IF(ISNA($B7:$W7),"",$B7:$W7),IF(ISNA($B$2:$W$2),"",$B$2:$W$2))</f>
        <v>11.878494153022634</v>
      </c>
      <c r="Z7" s="1182">
        <f t="array" ref="Z7">INTERCEPT(IF(ISNA($B7:$W7),"",$B7:$W7),IF(ISNA($B$2:$W$2),"",$B$2:$W$2))</f>
        <v>404.73075809655791</v>
      </c>
      <c r="AA7" s="1182">
        <f t="array" ref="AA7">RSQ(IF(ISNA($B7:$W7),"",$B7:$W7),IF(ISNA($B$2:$W$2),"",$B$2:$W$2))</f>
        <v>0.12338202459499398</v>
      </c>
      <c r="AB7" s="1183" t="s">
        <v>974</v>
      </c>
    </row>
    <row r="8" spans="1:28" ht="24" x14ac:dyDescent="0.2">
      <c r="A8" s="1183" t="str">
        <f>"Re-referrals to CSC during the "&amp;Sheet1!$G$3&amp;", Rate per 10,000 0-17 Year Olds"</f>
        <v>Re-referrals to CSC during the Year ending 31st March, Rate per 10,000 0-17 Year Olds</v>
      </c>
      <c r="B8" s="1178">
        <f>IF(ISNUMBER(HLOOKUP(B$1,Home!$D$12:$AB$77,$X8,FALSE)),HLOOKUP(B$1,Home!$D$12:$AB$77,$X8,FALSE),NA())</f>
        <v>217.66784452296818</v>
      </c>
      <c r="C8" s="1178">
        <f>IF(ISNUMBER(HLOOKUP(C$1,Home!$D$12:$AB$77,$X8,FALSE)),HLOOKUP(C$1,Home!$D$12:$AB$77,$X8,FALSE),NA())</f>
        <v>155.88235294117646</v>
      </c>
      <c r="D8" s="1178">
        <f>IF(ISNUMBER(HLOOKUP(D$1,Home!$D$12:$AB$77,$X8,FALSE)),HLOOKUP(D$1,Home!$D$12:$AB$77,$X8,FALSE),NA())</f>
        <v>195.01206757843926</v>
      </c>
      <c r="E8" s="1178">
        <f>IF(ISNUMBER(HLOOKUP(E$1,Home!$D$12:$AB$77,$X8,FALSE)),HLOOKUP(E$1,Home!$D$12:$AB$77,$X8,FALSE),NA())</f>
        <v>76.597744360902254</v>
      </c>
      <c r="F8" s="1178">
        <f>IF(ISNUMBER(HLOOKUP(F$1,Home!$D$12:$AB$77,$X8,FALSE)),HLOOKUP(F$1,Home!$D$12:$AB$77,$X8,FALSE),NA())</f>
        <v>188.69718309859155</v>
      </c>
      <c r="G8" s="1178">
        <f>IF(ISNUMBER(HLOOKUP(G$1,Home!$D$12:$AB$77,$X8,FALSE)),HLOOKUP(G$1,Home!$D$12:$AB$77,$X8,FALSE),NA())</f>
        <v>332.1285140562249</v>
      </c>
      <c r="H8" s="1178">
        <f>IF(ISNUMBER(HLOOKUP(H$1,Home!$D$12:$AB$77,$X8,FALSE)),HLOOKUP(H$1,Home!$D$12:$AB$77,$X8,FALSE),NA())</f>
        <v>140.31167303734196</v>
      </c>
      <c r="I8" s="1178">
        <f>IF(ISNUMBER(HLOOKUP(I$1,Home!$D$12:$AB$77,$X8,FALSE)),HLOOKUP(I$1,Home!$D$12:$AB$77,$X8,FALSE),NA())</f>
        <v>89.440993788819867</v>
      </c>
      <c r="J8" s="1178">
        <f>IF(ISNUMBER(HLOOKUP(J$1,Home!$D$12:$AB$77,$X8,FALSE)),HLOOKUP(J$1,Home!$D$12:$AB$77,$X8,FALSE),NA())</f>
        <v>78.916544655929712</v>
      </c>
      <c r="K8" s="1178">
        <f>IF(ISNUMBER(HLOOKUP(K$1,Home!$D$12:$AB$77,$X8,FALSE)),HLOOKUP(K$1,Home!$D$12:$AB$77,$X8,FALSE),NA())</f>
        <v>85.635359116022087</v>
      </c>
      <c r="L8" s="1178">
        <f>IF(ISNUMBER(HLOOKUP(L$1,Home!$D$12:$AB$77,$X8,FALSE)),HLOOKUP(L$1,Home!$D$12:$AB$77,$X8,FALSE),NA())</f>
        <v>165.68181818181819</v>
      </c>
      <c r="M8" s="1178">
        <f>IF(ISNUMBER(HLOOKUP(M$1,Home!$D$12:$AB$77,$X8,FALSE)),HLOOKUP(M$1,Home!$D$12:$AB$77,$X8,FALSE),NA())</f>
        <v>201.07816711590297</v>
      </c>
      <c r="N8" s="1178">
        <f>IF(ISNUMBER(HLOOKUP(N$1,Home!$D$12:$AB$77,$X8,FALSE)),HLOOKUP(N$1,Home!$D$12:$AB$77,$X8,FALSE),NA())</f>
        <v>68.618266978922719</v>
      </c>
      <c r="O8" s="1179" t="e">
        <f>IF(ISNUMBER(HLOOKUP(O$1,Home!$D$12:$AB$77,$X8,FALSE)),HLOOKUP(O$1,Home!$D$12:$AB$77,$X8,FALSE),NA())</f>
        <v>#N/A</v>
      </c>
      <c r="P8" s="1178">
        <f>IF(ISNUMBER(HLOOKUP(P$1,Home!$D$12:$AB$77,$X8,FALSE)),HLOOKUP(P$1,Home!$D$12:$AB$77,$X8,FALSE),NA())</f>
        <v>86.811023622047244</v>
      </c>
      <c r="Q8" s="1178">
        <f>IF(ISNUMBER(HLOOKUP(Q$1,Home!$D$12:$AB$77,$X8,FALSE)),HLOOKUP(Q$1,Home!$D$12:$AB$77,$X8,FALSE),NA())</f>
        <v>103.66552119129439</v>
      </c>
      <c r="R8" s="1179" t="e">
        <f>IF(ISNUMBER(HLOOKUP(R$1,Home!$D$12:$AB$77,$X8,FALSE)),HLOOKUP(R$1,Home!$D$12:$AB$77,$X8,FALSE),NA())</f>
        <v>#N/A</v>
      </c>
      <c r="S8" s="1179" t="e">
        <f>IF(ISNUMBER(HLOOKUP(S$1,Home!$D$12:$AB$77,$X8,FALSE)),HLOOKUP(S$1,Home!$D$12:$AB$77,$X8,FALSE),NA())</f>
        <v>#N/A</v>
      </c>
      <c r="T8" s="1178">
        <f>IF(ISNUMBER(HLOOKUP(T$1,Home!$D$12:$AB$77,$X8,FALSE)),HLOOKUP(T$1,Home!$D$12:$AB$77,$X8,FALSE),NA())</f>
        <v>123.87640449438202</v>
      </c>
      <c r="U8" s="1178">
        <f>IF(ISNUMBER(HLOOKUP(U$1,Home!$D$12:$AB$77,$X8,FALSE)),HLOOKUP(U$1,Home!$D$12:$AB$77,$X8,FALSE),NA())</f>
        <v>140.01144819690899</v>
      </c>
      <c r="V8" s="1178">
        <f>IF(ISNUMBER(HLOOKUP(V$1,Home!$D$12:$AB$77,$X8,FALSE)),HLOOKUP(V$1,Home!$D$12:$AB$77,$X8,FALSE),NA())</f>
        <v>68.786127167630056</v>
      </c>
      <c r="W8" s="1178">
        <f>IF(ISNUMBER(HLOOKUP(W$1,Home!$D$12:$AB$77,$X8,FALSE)),HLOOKUP(W$1,Home!$D$12:$AB$77,$X8,FALSE),NA())</f>
        <v>90.886075949367097</v>
      </c>
      <c r="X8" s="1175">
        <f>VLOOKUP(A8,Home!C:BB,52,FALSE)</f>
        <v>16</v>
      </c>
      <c r="Y8" s="1182">
        <f t="array" ref="Y8">SLOPE(IF(ISNA($B8:$W8),"",$B8:$W8),IF(ISNA($B$2:$W$2),"",$B$2:$W$2))</f>
        <v>1.8411276464278481</v>
      </c>
      <c r="Z8" s="1182">
        <f t="array" ref="Z8">INTERCEPT(IF(ISNA($B8:$W8),"",$B8:$W8),IF(ISNA($B$2:$W$2),"",$B$2:$W$2))</f>
        <v>113.28258014115856</v>
      </c>
      <c r="AA8" s="1182">
        <f t="array" ref="AA8">RSQ(IF(ISNA($B8:$W8),"",$B8:$W8),IF(ISNA($B$2:$W$2),"",$B$2:$W$2))</f>
        <v>1.6288724321778247E-2</v>
      </c>
      <c r="AB8" s="1183" t="s">
        <v>975</v>
      </c>
    </row>
    <row r="9" spans="1:28" ht="24" x14ac:dyDescent="0.2">
      <c r="A9" s="1177" t="str">
        <f>"CSC Single Assessments Completed during the "&amp;Sheet1!$G$3&amp;", Rate per 10,000 0-17 Year Olds"</f>
        <v>CSC Single Assessments Completed during the Year ending 31st March, Rate per 10,000 0-17 Year Olds</v>
      </c>
      <c r="B9" s="1178">
        <f>IF(ISNUMBER(HLOOKUP(B$1,Home!$D$12:$AB$77,$X9,FALSE)),HLOOKUP(B$1,Home!$D$12:$AB$77,$X9,FALSE),NA())</f>
        <v>601.76678445229686</v>
      </c>
      <c r="C9" s="1178">
        <f>IF(ISNUMBER(HLOOKUP(C$1,Home!$D$12:$AB$77,$X9,FALSE)),HLOOKUP(C$1,Home!$D$12:$AB$77,$X9,FALSE),NA())</f>
        <v>484.31372549019608</v>
      </c>
      <c r="D9" s="1178">
        <f>IF(ISNUMBER(HLOOKUP(D$1,Home!$D$12:$AB$77,$X9,FALSE)),HLOOKUP(D$1,Home!$D$12:$AB$77,$X9,FALSE),NA())</f>
        <v>629.04263877715209</v>
      </c>
      <c r="E9" s="1178">
        <f>IF(ISNUMBER(HLOOKUP(E$1,Home!$D$12:$AB$77,$X9,FALSE)),HLOOKUP(E$1,Home!$D$12:$AB$77,$X9,FALSE),NA())</f>
        <v>338.15789473684208</v>
      </c>
      <c r="F9" s="1178">
        <f>IF(ISNUMBER(HLOOKUP(F$1,Home!$D$12:$AB$77,$X9,FALSE)),HLOOKUP(F$1,Home!$D$12:$AB$77,$X9,FALSE),NA())</f>
        <v>633.90845070422529</v>
      </c>
      <c r="G9" s="1178">
        <f>IF(ISNUMBER(HLOOKUP(G$1,Home!$D$12:$AB$77,$X9,FALSE)),HLOOKUP(G$1,Home!$D$12:$AB$77,$X9,FALSE),NA())</f>
        <v>789.15662650602405</v>
      </c>
      <c r="H9" s="1178">
        <f>IF(ISNUMBER(HLOOKUP(H$1,Home!$D$12:$AB$77,$X9,FALSE)),HLOOKUP(H$1,Home!$D$12:$AB$77,$X9,FALSE),NA())</f>
        <v>520.52337547780064</v>
      </c>
      <c r="I9" s="1178">
        <f>IF(ISNUMBER(HLOOKUP(I$1,Home!$D$12:$AB$77,$X9,FALSE)),HLOOKUP(I$1,Home!$D$12:$AB$77,$X9,FALSE),NA())</f>
        <v>531.05590062111798</v>
      </c>
      <c r="J9" s="1178">
        <f>IF(ISNUMBER(HLOOKUP(J$1,Home!$D$12:$AB$77,$X9,FALSE)),HLOOKUP(J$1,Home!$D$12:$AB$77,$X9,FALSE),NA())</f>
        <v>329.28257686676426</v>
      </c>
      <c r="K9" s="1178">
        <f>IF(ISNUMBER(HLOOKUP(K$1,Home!$D$12:$AB$77,$X9,FALSE)),HLOOKUP(K$1,Home!$D$12:$AB$77,$X9,FALSE),NA())</f>
        <v>373.20441988950279</v>
      </c>
      <c r="L9" s="1178">
        <f>IF(ISNUMBER(HLOOKUP(L$1,Home!$D$12:$AB$77,$X9,FALSE)),HLOOKUP(L$1,Home!$D$12:$AB$77,$X9,FALSE),NA())</f>
        <v>849.31818181818176</v>
      </c>
      <c r="M9" s="1178">
        <f>IF(ISNUMBER(HLOOKUP(M$1,Home!$D$12:$AB$77,$X9,FALSE)),HLOOKUP(M$1,Home!$D$12:$AB$77,$X9,FALSE),NA())</f>
        <v>721.29380053908358</v>
      </c>
      <c r="N9" s="1178">
        <f>IF(ISNUMBER(HLOOKUP(N$1,Home!$D$12:$AB$77,$X9,FALSE)),HLOOKUP(N$1,Home!$D$12:$AB$77,$X9,FALSE),NA())</f>
        <v>433.95784543325533</v>
      </c>
      <c r="O9" s="1179" t="e">
        <f>IF(ISNUMBER(HLOOKUP(O$1,Home!$D$12:$AB$77,$X9,FALSE)),HLOOKUP(O$1,Home!$D$12:$AB$77,$X9,FALSE),NA())</f>
        <v>#N/A</v>
      </c>
      <c r="P9" s="1178">
        <f>IF(ISNUMBER(HLOOKUP(P$1,Home!$D$12:$AB$77,$X9,FALSE)),HLOOKUP(P$1,Home!$D$12:$AB$77,$X9,FALSE),NA())</f>
        <v>481.88976377952753</v>
      </c>
      <c r="Q9" s="1178">
        <f>IF(ISNUMBER(HLOOKUP(Q$1,Home!$D$12:$AB$77,$X9,FALSE)),HLOOKUP(Q$1,Home!$D$12:$AB$77,$X9,FALSE),NA())</f>
        <v>452.15731195112636</v>
      </c>
      <c r="R9" s="1179" t="e">
        <f>IF(ISNUMBER(HLOOKUP(R$1,Home!$D$12:$AB$77,$X9,FALSE)),HLOOKUP(R$1,Home!$D$12:$AB$77,$X9,FALSE),NA())</f>
        <v>#N/A</v>
      </c>
      <c r="S9" s="1179" t="e">
        <f>IF(ISNUMBER(HLOOKUP(S$1,Home!$D$12:$AB$77,$X9,FALSE)),HLOOKUP(S$1,Home!$D$12:$AB$77,$X9,FALSE),NA())</f>
        <v>#N/A</v>
      </c>
      <c r="T9" s="1178">
        <f>IF(ISNUMBER(HLOOKUP(T$1,Home!$D$12:$AB$77,$X9,FALSE)),HLOOKUP(T$1,Home!$D$12:$AB$77,$X9,FALSE),NA())</f>
        <v>581.17977528089887</v>
      </c>
      <c r="U9" s="1178">
        <f>IF(ISNUMBER(HLOOKUP(U$1,Home!$D$12:$AB$77,$X9,FALSE)),HLOOKUP(U$1,Home!$D$12:$AB$77,$X9,FALSE),NA())</f>
        <v>595.99313108185459</v>
      </c>
      <c r="V9" s="1178">
        <f>IF(ISNUMBER(HLOOKUP(V$1,Home!$D$12:$AB$77,$X9,FALSE)),HLOOKUP(V$1,Home!$D$12:$AB$77,$X9,FALSE),NA())</f>
        <v>248.84393063583818</v>
      </c>
      <c r="W9" s="1178">
        <f>IF(ISNUMBER(HLOOKUP(W$1,Home!$D$12:$AB$77,$X9,FALSE)),HLOOKUP(W$1,Home!$D$12:$AB$77,$X9,FALSE),NA())</f>
        <v>438.7341772151899</v>
      </c>
      <c r="X9" s="1175">
        <f>VLOOKUP(A9,Home!C:BB,52,FALSE)</f>
        <v>18</v>
      </c>
      <c r="Y9" s="1182">
        <f t="array" ref="Y9">SLOPE(IF(ISNA($B9:$W9),"",$B9:$W9),IF(ISNA($B$2:$W$2),"",$B$2:$W$2))</f>
        <v>11.017480666024404</v>
      </c>
      <c r="Z9" s="1182">
        <f t="array" ref="Z9">INTERCEPT(IF(ISNA($B9:$W9),"",$B9:$W9),IF(ISNA($B$2:$W$2),"",$B$2:$W$2))</f>
        <v>384.05463756928509</v>
      </c>
      <c r="AA9" s="1182">
        <f t="array" ref="AA9">RSQ(IF(ISNA($B9:$W9),"",$B9:$W9),IF(ISNA($B$2:$W$2),"",$B$2:$W$2))</f>
        <v>0.10839029662740951</v>
      </c>
      <c r="AB9" s="1177" t="s">
        <v>976</v>
      </c>
    </row>
    <row r="10" spans="1:28" ht="24" x14ac:dyDescent="0.2">
      <c r="A10" s="1183" t="str">
        <f>"Children in Need at "&amp;Sheet1!$H$3&amp;", Rate per 10,000 0-17 Year Olds"</f>
        <v>Children in Need at 31st March, Rate per 10,000 0-17 Year Olds</v>
      </c>
      <c r="B10" s="1178">
        <f>IF(ISNUMBER(HLOOKUP(B$1,Home!$D$12:$AB$77,$X10,FALSE)),HLOOKUP(B$1,Home!$D$12:$AB$77,$X10,FALSE),NA())</f>
        <v>368.55123674911658</v>
      </c>
      <c r="C10" s="1178">
        <f>IF(ISNUMBER(HLOOKUP(C$1,Home!$D$12:$AB$77,$X10,FALSE)),HLOOKUP(C$1,Home!$D$12:$AB$77,$X10,FALSE),NA())</f>
        <v>399.80392156862746</v>
      </c>
      <c r="D10" s="1178">
        <f>IF(ISNUMBER(HLOOKUP(D$1,Home!$D$12:$AB$77,$X10,FALSE)),HLOOKUP(D$1,Home!$D$12:$AB$77,$X10,FALSE),NA())</f>
        <v>268.54384553499597</v>
      </c>
      <c r="E10" s="1178">
        <f>IF(ISNUMBER(HLOOKUP(E$1,Home!$D$12:$AB$77,$X10,FALSE)),HLOOKUP(E$1,Home!$D$12:$AB$77,$X10,FALSE),NA())</f>
        <v>294.64285714285711</v>
      </c>
      <c r="F10" s="1178">
        <f>IF(ISNUMBER(HLOOKUP(F$1,Home!$D$12:$AB$77,$X10,FALSE)),HLOOKUP(F$1,Home!$D$12:$AB$77,$X10,FALSE),NA())</f>
        <v>302.28873239436621</v>
      </c>
      <c r="G10" s="1178">
        <f>IF(ISNUMBER(HLOOKUP(G$1,Home!$D$12:$AB$77,$X10,FALSE)),HLOOKUP(G$1,Home!$D$12:$AB$77,$X10,FALSE),NA())</f>
        <v>473.09236947791163</v>
      </c>
      <c r="H10" s="1178">
        <f>IF(ISNUMBER(HLOOKUP(H$1,Home!$D$12:$AB$77,$X10,FALSE)),HLOOKUP(H$1,Home!$D$12:$AB$77,$X10,FALSE),NA())</f>
        <v>304.91032049397239</v>
      </c>
      <c r="I10" s="1178">
        <f>IF(ISNUMBER(HLOOKUP(I$1,Home!$D$12:$AB$77,$X10,FALSE)),HLOOKUP(I$1,Home!$D$12:$AB$77,$X10,FALSE),NA())</f>
        <v>375.31055900621118</v>
      </c>
      <c r="J10" s="1178">
        <f>IF(ISNUMBER(HLOOKUP(J$1,Home!$D$12:$AB$77,$X10,FALSE)),HLOOKUP(J$1,Home!$D$12:$AB$77,$X10,FALSE),NA())</f>
        <v>315.66617862371885</v>
      </c>
      <c r="K10" s="1178">
        <f>IF(ISNUMBER(HLOOKUP(K$1,Home!$D$12:$AB$77,$X10,FALSE)),HLOOKUP(K$1,Home!$D$12:$AB$77,$X10,FALSE),NA())</f>
        <v>311.53314917127068</v>
      </c>
      <c r="L10" s="1178">
        <f>IF(ISNUMBER(HLOOKUP(L$1,Home!$D$12:$AB$77,$X10,FALSE)),HLOOKUP(L$1,Home!$D$12:$AB$77,$X10,FALSE),NA())</f>
        <v>373.86363636363632</v>
      </c>
      <c r="M10" s="1178">
        <f>IF(ISNUMBER(HLOOKUP(M$1,Home!$D$12:$AB$77,$X10,FALSE)),HLOOKUP(M$1,Home!$D$12:$AB$77,$X10,FALSE),NA())</f>
        <v>440.70080862533695</v>
      </c>
      <c r="N10" s="1178">
        <f>IF(ISNUMBER(HLOOKUP(N$1,Home!$D$12:$AB$77,$X10,FALSE)),HLOOKUP(N$1,Home!$D$12:$AB$77,$X10,FALSE),NA())</f>
        <v>333.95784543325527</v>
      </c>
      <c r="O10" s="1179" t="e">
        <f>IF(ISNUMBER(HLOOKUP(O$1,Home!$D$12:$AB$77,$X10,FALSE)),HLOOKUP(O$1,Home!$D$12:$AB$77,$X10,FALSE),NA())</f>
        <v>#N/A</v>
      </c>
      <c r="P10" s="1178">
        <f>IF(ISNUMBER(HLOOKUP(P$1,Home!$D$12:$AB$77,$X10,FALSE)),HLOOKUP(P$1,Home!$D$12:$AB$77,$X10,FALSE),NA())</f>
        <v>523.03149606299212</v>
      </c>
      <c r="Q10" s="1178">
        <f>IF(ISNUMBER(HLOOKUP(Q$1,Home!$D$12:$AB$77,$X10,FALSE)),HLOOKUP(Q$1,Home!$D$12:$AB$77,$X10,FALSE),NA())</f>
        <v>226.49866361206566</v>
      </c>
      <c r="R10" s="1179" t="e">
        <f>IF(ISNUMBER(HLOOKUP(R$1,Home!$D$12:$AB$77,$X10,FALSE)),HLOOKUP(R$1,Home!$D$12:$AB$77,$X10,FALSE),NA())</f>
        <v>#N/A</v>
      </c>
      <c r="S10" s="1179" t="e">
        <f>IF(ISNUMBER(HLOOKUP(S$1,Home!$D$12:$AB$77,$X10,FALSE)),HLOOKUP(S$1,Home!$D$12:$AB$77,$X10,FALSE),NA())</f>
        <v>#N/A</v>
      </c>
      <c r="T10" s="1178">
        <f>IF(ISNUMBER(HLOOKUP(T$1,Home!$D$12:$AB$77,$X10,FALSE)),HLOOKUP(T$1,Home!$D$12:$AB$77,$X10,FALSE),NA())</f>
        <v>299.15730337078651</v>
      </c>
      <c r="U10" s="1178">
        <f>IF(ISNUMBER(HLOOKUP(U$1,Home!$D$12:$AB$77,$X10,FALSE)),HLOOKUP(U$1,Home!$D$12:$AB$77,$X10,FALSE),NA())</f>
        <v>268.9753863766457</v>
      </c>
      <c r="V10" s="1178">
        <f>IF(ISNUMBER(HLOOKUP(V$1,Home!$D$12:$AB$77,$X10,FALSE)),HLOOKUP(V$1,Home!$D$12:$AB$77,$X10,FALSE),NA())</f>
        <v>213.00578034682081</v>
      </c>
      <c r="W10" s="1178">
        <f>IF(ISNUMBER(HLOOKUP(W$1,Home!$D$12:$AB$77,$X10,FALSE)),HLOOKUP(W$1,Home!$D$12:$AB$77,$X10,FALSE),NA())</f>
        <v>227.34177215189874</v>
      </c>
      <c r="X10" s="1175">
        <f>VLOOKUP(A10,Home!C:BB,52,FALSE)</f>
        <v>24</v>
      </c>
      <c r="Y10" s="1182">
        <f t="array" ref="Y10">SLOPE(IF(ISNA($B10:$W10),"",$B10:$W10),IF(ISNA($B$2:$W$2),"",$B$2:$W$2))</f>
        <v>13.832248502226497</v>
      </c>
      <c r="Z10" s="1182">
        <f t="array" ref="Z10">INTERCEPT(IF(ISNA($B10:$W10),"",$B10:$W10),IF(ISNA($B$2:$W$2),"",$B$2:$W$2))</f>
        <v>151.83922813439079</v>
      </c>
      <c r="AA10" s="1182">
        <f t="array" ref="AA10">RSQ(IF(ISNA($B10:$W10),"",$B10:$W10),IF(ISNA($B$2:$W$2),"",$B$2:$W$2))</f>
        <v>0.60260751235164389</v>
      </c>
      <c r="AB10" s="1183" t="s">
        <v>977</v>
      </c>
    </row>
    <row r="11" spans="1:28" ht="24" x14ac:dyDescent="0.2">
      <c r="A11" s="1177" t="str">
        <f>"Children subject to Section 47 Enquiries during the "&amp;Sheet1!$G$3&amp;", Rate per 10,000 0-17 Year Olds"</f>
        <v>Children subject to Section 47 Enquiries during the Year ending 31st March, Rate per 10,000 0-17 Year Olds</v>
      </c>
      <c r="B11" s="1178">
        <f>IF(ISNUMBER(HLOOKUP(B$1,Home!$D$12:$AB$77,$X11,FALSE)),HLOOKUP(B$1,Home!$D$12:$AB$77,$X11,FALSE),NA())</f>
        <v>248.0565371024735</v>
      </c>
      <c r="C11" s="1178">
        <f>IF(ISNUMBER(HLOOKUP(C$1,Home!$D$12:$AB$77,$X11,FALSE)),HLOOKUP(C$1,Home!$D$12:$AB$77,$X11,FALSE),NA())</f>
        <v>152.54901960784315</v>
      </c>
      <c r="D11" s="1178">
        <f>IF(ISNUMBER(HLOOKUP(D$1,Home!$D$12:$AB$77,$X11,FALSE)),HLOOKUP(D$1,Home!$D$12:$AB$77,$X11,FALSE),NA())</f>
        <v>174.89943684633951</v>
      </c>
      <c r="E11" s="1178">
        <f>IF(ISNUMBER(HLOOKUP(E$1,Home!$D$12:$AB$77,$X11,FALSE)),HLOOKUP(E$1,Home!$D$12:$AB$77,$X11,FALSE),NA())</f>
        <v>124.90601503759399</v>
      </c>
      <c r="F11" s="1178">
        <f>IF(ISNUMBER(HLOOKUP(F$1,Home!$D$12:$AB$77,$X11,FALSE)),HLOOKUP(F$1,Home!$D$12:$AB$77,$X11,FALSE),NA())</f>
        <v>152.00704225352112</v>
      </c>
      <c r="G11" s="1178">
        <f>IF(ISNUMBER(HLOOKUP(G$1,Home!$D$12:$AB$77,$X11,FALSE)),HLOOKUP(G$1,Home!$D$12:$AB$77,$X11,FALSE),NA())</f>
        <v>201.20481927710844</v>
      </c>
      <c r="H11" s="1178">
        <f>IF(ISNUMBER(HLOOKUP(H$1,Home!$D$12:$AB$77,$X11,FALSE)),HLOOKUP(H$1,Home!$D$12:$AB$77,$X11,FALSE),NA())</f>
        <v>176.85974713319612</v>
      </c>
      <c r="I11" s="1178">
        <f>IF(ISNUMBER(HLOOKUP(I$1,Home!$D$12:$AB$77,$X11,FALSE)),HLOOKUP(I$1,Home!$D$12:$AB$77,$X11,FALSE),NA())</f>
        <v>234.31677018633542</v>
      </c>
      <c r="J11" s="1178">
        <f>IF(ISNUMBER(HLOOKUP(J$1,Home!$D$12:$AB$77,$X11,FALSE)),HLOOKUP(J$1,Home!$D$12:$AB$77,$X11,FALSE),NA())</f>
        <v>88.286969253294288</v>
      </c>
      <c r="K11" s="1178">
        <f>IF(ISNUMBER(HLOOKUP(K$1,Home!$D$12:$AB$77,$X11,FALSE)),HLOOKUP(K$1,Home!$D$12:$AB$77,$X11,FALSE),NA())</f>
        <v>129.35082872928177</v>
      </c>
      <c r="L11" s="1178">
        <f>IF(ISNUMBER(HLOOKUP(L$1,Home!$D$12:$AB$77,$X11,FALSE)),HLOOKUP(L$1,Home!$D$12:$AB$77,$X11,FALSE),NA())</f>
        <v>298.40909090909093</v>
      </c>
      <c r="M11" s="1178">
        <f>IF(ISNUMBER(HLOOKUP(M$1,Home!$D$12:$AB$77,$X11,FALSE)),HLOOKUP(M$1,Home!$D$12:$AB$77,$X11,FALSE),NA())</f>
        <v>277.89757412398922</v>
      </c>
      <c r="N11" s="1178">
        <f>IF(ISNUMBER(HLOOKUP(N$1,Home!$D$12:$AB$77,$X11,FALSE)),HLOOKUP(N$1,Home!$D$12:$AB$77,$X11,FALSE),NA())</f>
        <v>249.18032786885249</v>
      </c>
      <c r="O11" s="1179" t="e">
        <f>IF(ISNUMBER(HLOOKUP(O$1,Home!$D$12:$AB$77,$X11,FALSE)),HLOOKUP(O$1,Home!$D$12:$AB$77,$X11,FALSE),NA())</f>
        <v>#N/A</v>
      </c>
      <c r="P11" s="1178">
        <f>IF(ISNUMBER(HLOOKUP(P$1,Home!$D$12:$AB$77,$X11,FALSE)),HLOOKUP(P$1,Home!$D$12:$AB$77,$X11,FALSE),NA())</f>
        <v>337.20472440944877</v>
      </c>
      <c r="Q11" s="1178">
        <f>IF(ISNUMBER(HLOOKUP(Q$1,Home!$D$12:$AB$77,$X11,FALSE)),HLOOKUP(Q$1,Home!$D$12:$AB$77,$X11,FALSE),NA())</f>
        <v>158.03741886216113</v>
      </c>
      <c r="R11" s="1179" t="e">
        <f>IF(ISNUMBER(HLOOKUP(R$1,Home!$D$12:$AB$77,$X11,FALSE)),HLOOKUP(R$1,Home!$D$12:$AB$77,$X11,FALSE),NA())</f>
        <v>#N/A</v>
      </c>
      <c r="S11" s="1179" t="e">
        <f>IF(ISNUMBER(HLOOKUP(S$1,Home!$D$12:$AB$77,$X11,FALSE)),HLOOKUP(S$1,Home!$D$12:$AB$77,$X11,FALSE),NA())</f>
        <v>#N/A</v>
      </c>
      <c r="T11" s="1178">
        <f>IF(ISNUMBER(HLOOKUP(T$1,Home!$D$12:$AB$77,$X11,FALSE)),HLOOKUP(T$1,Home!$D$12:$AB$77,$X11,FALSE),NA())</f>
        <v>156.17977528089887</v>
      </c>
      <c r="U11" s="1178">
        <f>IF(ISNUMBER(HLOOKUP(U$1,Home!$D$12:$AB$77,$X11,FALSE)),HLOOKUP(U$1,Home!$D$12:$AB$77,$X11,FALSE),NA())</f>
        <v>165.65540927303948</v>
      </c>
      <c r="V11" s="1178">
        <f>IF(ISNUMBER(HLOOKUP(V$1,Home!$D$12:$AB$77,$X11,FALSE)),HLOOKUP(V$1,Home!$D$12:$AB$77,$X11,FALSE),NA())</f>
        <v>150.86705202312137</v>
      </c>
      <c r="W11" s="1178">
        <f>IF(ISNUMBER(HLOOKUP(W$1,Home!$D$12:$AB$77,$X11,FALSE)),HLOOKUP(W$1,Home!$D$12:$AB$77,$X11,FALSE),NA())</f>
        <v>165.82278481012659</v>
      </c>
      <c r="X11" s="1175">
        <f>VLOOKUP(A11,Home!C:BB,52,FALSE)</f>
        <v>25</v>
      </c>
      <c r="Y11" s="1182">
        <f t="array" ref="Y11">SLOPE(IF(ISNA($B11:$W11),"",$B11:$W11),IF(ISNA($B$2:$W$2),"",$B$2:$W$2))</f>
        <v>7.3162867042960498</v>
      </c>
      <c r="Z11" s="1182">
        <f t="array" ref="Z11">INTERCEPT(IF(ISNA($B11:$W11),"",$B11:$W11),IF(ISNA($B$2:$W$2),"",$B$2:$W$2))</f>
        <v>96.017143454767265</v>
      </c>
      <c r="AA11" s="1182">
        <f t="array" ref="AA11">RSQ(IF(ISNA($B11:$W11),"",$B11:$W11),IF(ISNA($B$2:$W$2),"",$B$2:$W$2))</f>
        <v>0.2796438171570238</v>
      </c>
      <c r="AB11" s="1177" t="s">
        <v>978</v>
      </c>
    </row>
    <row r="12" spans="1:28" ht="36" x14ac:dyDescent="0.2">
      <c r="A12" s="1183" t="str">
        <f>"Children subject to an Initial Child Protection Conference during the "&amp;Sheet1!$G$3&amp;", Rate per 10,000 0-17 Year Olds"</f>
        <v>Children subject to an Initial Child Protection Conference during the Year ending 31st March, Rate per 10,000 0-17 Year Olds</v>
      </c>
      <c r="B12" s="1178">
        <f>IF(ISNUMBER(HLOOKUP(B$1,Home!$D$12:$AB$77,$X12,FALSE)),HLOOKUP(B$1,Home!$D$12:$AB$77,$X12,FALSE),NA())</f>
        <v>89.399293286219091</v>
      </c>
      <c r="C12" s="1178">
        <f>IF(ISNUMBER(HLOOKUP(C$1,Home!$D$12:$AB$77,$X12,FALSE)),HLOOKUP(C$1,Home!$D$12:$AB$77,$X12,FALSE),NA())</f>
        <v>76.666666666666657</v>
      </c>
      <c r="D12" s="1178">
        <f>IF(ISNUMBER(HLOOKUP(D$1,Home!$D$12:$AB$77,$X12,FALSE)),HLOOKUP(D$1,Home!$D$12:$AB$77,$X12,FALSE),NA())</f>
        <v>64.119066773934023</v>
      </c>
      <c r="E12" s="1178">
        <f>IF(ISNUMBER(HLOOKUP(E$1,Home!$D$12:$AB$77,$X12,FALSE)),HLOOKUP(E$1,Home!$D$12:$AB$77,$X12,FALSE),NA())</f>
        <v>67.387218045112789</v>
      </c>
      <c r="F12" s="1178">
        <f>IF(ISNUMBER(HLOOKUP(F$1,Home!$D$12:$AB$77,$X12,FALSE)),HLOOKUP(F$1,Home!$D$12:$AB$77,$X12,FALSE),NA())</f>
        <v>62.04225352112676</v>
      </c>
      <c r="G12" s="1178">
        <f>IF(ISNUMBER(HLOOKUP(G$1,Home!$D$12:$AB$77,$X12,FALSE)),HLOOKUP(G$1,Home!$D$12:$AB$77,$X12,FALSE),NA())</f>
        <v>92.771084337349393</v>
      </c>
      <c r="H12" s="1178">
        <f>IF(ISNUMBER(HLOOKUP(H$1,Home!$D$12:$AB$77,$X12,FALSE)),HLOOKUP(H$1,Home!$D$12:$AB$77,$X12,FALSE),NA())</f>
        <v>46.25110261687739</v>
      </c>
      <c r="I12" s="1178">
        <f>IF(ISNUMBER(HLOOKUP(I$1,Home!$D$12:$AB$77,$X12,FALSE)),HLOOKUP(I$1,Home!$D$12:$AB$77,$X12,FALSE),NA())</f>
        <v>86.024844720496901</v>
      </c>
      <c r="J12" s="1178">
        <f>IF(ISNUMBER(HLOOKUP(J$1,Home!$D$12:$AB$77,$X12,FALSE)),HLOOKUP(J$1,Home!$D$12:$AB$77,$X12,FALSE),NA())</f>
        <v>32.503660322108345</v>
      </c>
      <c r="K12" s="1178">
        <f>IF(ISNUMBER(HLOOKUP(K$1,Home!$D$12:$AB$77,$X12,FALSE)),HLOOKUP(K$1,Home!$D$12:$AB$77,$X12,FALSE),NA())</f>
        <v>58.356353591160222</v>
      </c>
      <c r="L12" s="1178">
        <f>IF(ISNUMBER(HLOOKUP(L$1,Home!$D$12:$AB$77,$X12,FALSE)),HLOOKUP(L$1,Home!$D$12:$AB$77,$X12,FALSE),NA())</f>
        <v>65.909090909090907</v>
      </c>
      <c r="M12" s="1178">
        <f>IF(ISNUMBER(HLOOKUP(M$1,Home!$D$12:$AB$77,$X12,FALSE)),HLOOKUP(M$1,Home!$D$12:$AB$77,$X12,FALSE),NA())</f>
        <v>114.28571428571429</v>
      </c>
      <c r="N12" s="1178">
        <f>IF(ISNUMBER(HLOOKUP(N$1,Home!$D$12:$AB$77,$X12,FALSE)),HLOOKUP(N$1,Home!$D$12:$AB$77,$X12,FALSE),NA())</f>
        <v>80.327868852459005</v>
      </c>
      <c r="O12" s="1179" t="e">
        <f>IF(ISNUMBER(HLOOKUP(O$1,Home!$D$12:$AB$77,$X12,FALSE)),HLOOKUP(O$1,Home!$D$12:$AB$77,$X12,FALSE),NA())</f>
        <v>#N/A</v>
      </c>
      <c r="P12" s="1178">
        <f>IF(ISNUMBER(HLOOKUP(P$1,Home!$D$12:$AB$77,$X12,FALSE)),HLOOKUP(P$1,Home!$D$12:$AB$77,$X12,FALSE),NA())</f>
        <v>94.29133858267717</v>
      </c>
      <c r="Q12" s="1178">
        <f>IF(ISNUMBER(HLOOKUP(Q$1,Home!$D$12:$AB$77,$X12,FALSE)),HLOOKUP(Q$1,Home!$D$12:$AB$77,$X12,FALSE),NA())</f>
        <v>57.541046200840022</v>
      </c>
      <c r="R12" s="1179" t="e">
        <f>IF(ISNUMBER(HLOOKUP(R$1,Home!$D$12:$AB$77,$X12,FALSE)),HLOOKUP(R$1,Home!$D$12:$AB$77,$X12,FALSE),NA())</f>
        <v>#N/A</v>
      </c>
      <c r="S12" s="1179" t="e">
        <f>IF(ISNUMBER(HLOOKUP(S$1,Home!$D$12:$AB$77,$X12,FALSE)),HLOOKUP(S$1,Home!$D$12:$AB$77,$X12,FALSE),NA())</f>
        <v>#N/A</v>
      </c>
      <c r="T12" s="1178">
        <f>IF(ISNUMBER(HLOOKUP(T$1,Home!$D$12:$AB$77,$X12,FALSE)),HLOOKUP(T$1,Home!$D$12:$AB$77,$X12,FALSE),NA())</f>
        <v>72.752808988764045</v>
      </c>
      <c r="U12" s="1178">
        <f>IF(ISNUMBER(HLOOKUP(U$1,Home!$D$12:$AB$77,$X12,FALSE)),HLOOKUP(U$1,Home!$D$12:$AB$77,$X12,FALSE),NA())</f>
        <v>50.028620492272466</v>
      </c>
      <c r="V12" s="1178">
        <f>IF(ISNUMBER(HLOOKUP(V$1,Home!$D$12:$AB$77,$X12,FALSE)),HLOOKUP(V$1,Home!$D$12:$AB$77,$X12,FALSE),NA())</f>
        <v>34.971098265895954</v>
      </c>
      <c r="W12" s="1178">
        <f>IF(ISNUMBER(HLOOKUP(W$1,Home!$D$12:$AB$77,$X12,FALSE)),HLOOKUP(W$1,Home!$D$12:$AB$77,$X12,FALSE),NA())</f>
        <v>64.810126582278485</v>
      </c>
      <c r="X12" s="1175">
        <f>VLOOKUP(A12,Home!C:BB,52,FALSE)</f>
        <v>26</v>
      </c>
      <c r="Y12" s="1182">
        <f t="array" ref="Y12">SLOPE(IF(ISNA($B12:$W12),"",$B12:$W12),IF(ISNA($B$2:$W$2),"",$B$2:$W$2))</f>
        <v>1.8236571775374759</v>
      </c>
      <c r="Z12" s="1182">
        <f t="array" ref="Z12">INTERCEPT(IF(ISNA($B12:$W12),"",$B12:$W12),IF(ISNA($B$2:$W$2),"",$B$2:$W$2))</f>
        <v>45.128569165301855</v>
      </c>
      <c r="AA12" s="1182">
        <f t="array" ref="AA12">RSQ(IF(ISNA($B12:$W12),"",$B12:$W12),IF(ISNA($B$2:$W$2),"",$B$2:$W$2))</f>
        <v>0.16861212680081042</v>
      </c>
      <c r="AB12" s="1183" t="s">
        <v>979</v>
      </c>
    </row>
    <row r="13" spans="1:28" ht="24" x14ac:dyDescent="0.2">
      <c r="A13" s="1177" t="str">
        <f>"Children subject to a Child Protection Plan at "&amp;Sheet1!$H$3&amp;", Rate per 10,000 0-17 Year Olds"</f>
        <v>Children subject to a Child Protection Plan at 31st March, Rate per 10,000 0-17 Year Olds</v>
      </c>
      <c r="B13" s="1178">
        <f>IF(ISNUMBER(HLOOKUP(B$1,Home!$D$12:$AB$77,$X13,FALSE)),HLOOKUP(B$1,Home!$D$12:$AB$77,$X13,FALSE),NA())</f>
        <v>45.936395759717314</v>
      </c>
      <c r="C13" s="1178">
        <f>IF(ISNUMBER(HLOOKUP(C$1,Home!$D$12:$AB$77,$X13,FALSE)),HLOOKUP(C$1,Home!$D$12:$AB$77,$X13,FALSE),NA())</f>
        <v>61.960784313725483</v>
      </c>
      <c r="D13" s="1178">
        <f>IF(ISNUMBER(HLOOKUP(D$1,Home!$D$12:$AB$77,$X13,FALSE)),HLOOKUP(D$1,Home!$D$12:$AB$77,$X13,FALSE),NA())</f>
        <v>45.213193885760255</v>
      </c>
      <c r="E13" s="1178">
        <f>IF(ISNUMBER(HLOOKUP(E$1,Home!$D$12:$AB$77,$X13,FALSE)),HLOOKUP(E$1,Home!$D$12:$AB$77,$X13,FALSE),NA())</f>
        <v>53.477443609022558</v>
      </c>
      <c r="F13" s="1178">
        <f>IF(ISNUMBER(HLOOKUP(F$1,Home!$D$12:$AB$77,$X13,FALSE)),HLOOKUP(F$1,Home!$D$12:$AB$77,$X13,FALSE),NA())</f>
        <v>38.62676056338028</v>
      </c>
      <c r="G13" s="1178">
        <f>IF(ISNUMBER(HLOOKUP(G$1,Home!$D$12:$AB$77,$X13,FALSE)),HLOOKUP(G$1,Home!$D$12:$AB$77,$X13,FALSE),NA())</f>
        <v>66.265060240963848</v>
      </c>
      <c r="H13" s="1178">
        <f>IF(ISNUMBER(HLOOKUP(H$1,Home!$D$12:$AB$77,$X13,FALSE)),HLOOKUP(H$1,Home!$D$12:$AB$77,$X13,FALSE),NA())</f>
        <v>38.312261099676569</v>
      </c>
      <c r="I13" s="1178">
        <f>IF(ISNUMBER(HLOOKUP(I$1,Home!$D$12:$AB$77,$X13,FALSE)),HLOOKUP(I$1,Home!$D$12:$AB$77,$X13,FALSE),NA())</f>
        <v>55.12422360248447</v>
      </c>
      <c r="J13" s="1178">
        <f>IF(ISNUMBER(HLOOKUP(J$1,Home!$D$12:$AB$77,$X13,FALSE)),HLOOKUP(J$1,Home!$D$12:$AB$77,$X13,FALSE),NA())</f>
        <v>19.912152269399709</v>
      </c>
      <c r="K13" s="1178">
        <f>IF(ISNUMBER(HLOOKUP(K$1,Home!$D$12:$AB$77,$X13,FALSE)),HLOOKUP(K$1,Home!$D$12:$AB$77,$X13,FALSE),NA())</f>
        <v>40.88397790055248</v>
      </c>
      <c r="L13" s="1178">
        <f>IF(ISNUMBER(HLOOKUP(L$1,Home!$D$12:$AB$77,$X13,FALSE)),HLOOKUP(L$1,Home!$D$12:$AB$77,$X13,FALSE),NA())</f>
        <v>44.31818181818182</v>
      </c>
      <c r="M13" s="1178">
        <f>IF(ISNUMBER(HLOOKUP(M$1,Home!$D$12:$AB$77,$X13,FALSE)),HLOOKUP(M$1,Home!$D$12:$AB$77,$X13,FALSE),NA())</f>
        <v>68.733153638814017</v>
      </c>
      <c r="N13" s="1178">
        <f>IF(ISNUMBER(HLOOKUP(N$1,Home!$D$12:$AB$77,$X13,FALSE)),HLOOKUP(N$1,Home!$D$12:$AB$77,$X13,FALSE),NA())</f>
        <v>51.053864168618269</v>
      </c>
      <c r="O13" s="1179" t="e">
        <f>IF(ISNUMBER(HLOOKUP(O$1,Home!$D$12:$AB$77,$X13,FALSE)),HLOOKUP(O$1,Home!$D$12:$AB$77,$X13,FALSE),NA())</f>
        <v>#N/A</v>
      </c>
      <c r="P13" s="1178">
        <f>IF(ISNUMBER(HLOOKUP(P$1,Home!$D$12:$AB$77,$X13,FALSE)),HLOOKUP(P$1,Home!$D$12:$AB$77,$X13,FALSE),NA())</f>
        <v>60.039370078740156</v>
      </c>
      <c r="Q13" s="1178">
        <f>IF(ISNUMBER(HLOOKUP(Q$1,Home!$D$12:$AB$77,$X13,FALSE)),HLOOKUP(Q$1,Home!$D$12:$AB$77,$X13,FALSE),NA())</f>
        <v>36.617029400534555</v>
      </c>
      <c r="R13" s="1179" t="e">
        <f>IF(ISNUMBER(HLOOKUP(R$1,Home!$D$12:$AB$77,$X13,FALSE)),HLOOKUP(R$1,Home!$D$12:$AB$77,$X13,FALSE),NA())</f>
        <v>#N/A</v>
      </c>
      <c r="S13" s="1179" t="e">
        <f>IF(ISNUMBER(HLOOKUP(S$1,Home!$D$12:$AB$77,$X13,FALSE)),HLOOKUP(S$1,Home!$D$12:$AB$77,$X13,FALSE),NA())</f>
        <v>#N/A</v>
      </c>
      <c r="T13" s="1178">
        <f>IF(ISNUMBER(HLOOKUP(T$1,Home!$D$12:$AB$77,$X13,FALSE)),HLOOKUP(T$1,Home!$D$12:$AB$77,$X13,FALSE),NA())</f>
        <v>33.146067415730336</v>
      </c>
      <c r="U13" s="1178">
        <f>IF(ISNUMBER(HLOOKUP(U$1,Home!$D$12:$AB$77,$X13,FALSE)),HLOOKUP(U$1,Home!$D$12:$AB$77,$X13,FALSE),NA())</f>
        <v>35.546651402404123</v>
      </c>
      <c r="V13" s="1178">
        <f>IF(ISNUMBER(HLOOKUP(V$1,Home!$D$12:$AB$77,$X13,FALSE)),HLOOKUP(V$1,Home!$D$12:$AB$77,$X13,FALSE),NA())</f>
        <v>26.01156069364162</v>
      </c>
      <c r="W13" s="1178">
        <f>IF(ISNUMBER(HLOOKUP(W$1,Home!$D$12:$AB$77,$X13,FALSE)),HLOOKUP(W$1,Home!$D$12:$AB$77,$X13,FALSE),NA())</f>
        <v>32.151898734177216</v>
      </c>
      <c r="X13" s="1175">
        <f>VLOOKUP(A13,Home!C:BB,52,FALSE)</f>
        <v>33</v>
      </c>
      <c r="Y13" s="1182">
        <f t="array" ref="Y13">SLOPE(IF(ISNA($B13:$W13),"",$B13:$W13),IF(ISNA($B$2:$W$2),"",$B$2:$W$2))</f>
        <v>1.7567849388154586</v>
      </c>
      <c r="Z13" s="1182">
        <f t="array" ref="Z13">INTERCEPT(IF(ISNA($B13:$W13),"",$B13:$W13),IF(ISNA($B$2:$W$2),"",$B$2:$W$2))</f>
        <v>21.944455357566589</v>
      </c>
      <c r="AA13" s="1182">
        <f t="array" ref="AA13">RSQ(IF(ISNA($B13:$W13),"",$B13:$W13),IF(ISNA($B$2:$W$2),"",$B$2:$W$2))</f>
        <v>0.37358362422161157</v>
      </c>
      <c r="AB13" s="1177" t="s">
        <v>980</v>
      </c>
    </row>
    <row r="14" spans="1:28" ht="24" x14ac:dyDescent="0.2">
      <c r="A14" s="1184" t="str">
        <f>"Number of Care Applications to Court during the "&amp;Sheet1!$G$3&amp;", Rate per 10,000 0-17 Year Olds"</f>
        <v>Number of Care Applications to Court during the Year ending 31st March, Rate per 10,000 0-17 Year Olds</v>
      </c>
      <c r="B14" s="1178">
        <f>IF(ISNUMBER(HLOOKUP(B$1,Home!$D$12:$AB$77,$X14,FALSE)),HLOOKUP(B$1,Home!$D$12:$AB$77,$X14,FALSE),NA())</f>
        <v>14.840989399293287</v>
      </c>
      <c r="C14" s="1178">
        <f>IF(ISNUMBER(HLOOKUP(C$1,Home!$D$12:$AB$77,$X14,FALSE)),HLOOKUP(C$1,Home!$D$12:$AB$77,$X14,FALSE),NA())</f>
        <v>11.96078431372549</v>
      </c>
      <c r="D14" s="1178">
        <f>IF(ISNUMBER(HLOOKUP(D$1,Home!$D$12:$AB$77,$X14,FALSE)),HLOOKUP(D$1,Home!$D$12:$AB$77,$X14,FALSE),NA())</f>
        <v>8.3668543845534984</v>
      </c>
      <c r="E14" s="1178">
        <f>IF(ISNUMBER(HLOOKUP(E$1,Home!$D$12:$AB$77,$X14,FALSE)),HLOOKUP(E$1,Home!$D$12:$AB$77,$X14,FALSE),NA())</f>
        <v>7.7067669172932334</v>
      </c>
      <c r="F14" s="1178">
        <f>IF(ISNUMBER(HLOOKUP(F$1,Home!$D$12:$AB$77,$X14,FALSE)),HLOOKUP(F$1,Home!$D$12:$AB$77,$X14,FALSE),NA())</f>
        <v>9.295774647887324</v>
      </c>
      <c r="G14" s="1178">
        <f>IF(ISNUMBER(HLOOKUP(G$1,Home!$D$12:$AB$77,$X14,FALSE)),HLOOKUP(G$1,Home!$D$12:$AB$77,$X14,FALSE),NA())</f>
        <v>16.064257028112451</v>
      </c>
      <c r="H14" s="1178">
        <f>IF(ISNUMBER(HLOOKUP(H$1,Home!$D$12:$AB$77,$X14,FALSE)),HLOOKUP(H$1,Home!$D$12:$AB$77,$X14,FALSE),NA())</f>
        <v>7.0567480152896209</v>
      </c>
      <c r="I14" s="1178">
        <f>IF(ISNUMBER(HLOOKUP(I$1,Home!$D$12:$AB$77,$X14,FALSE)),HLOOKUP(I$1,Home!$D$12:$AB$77,$X14,FALSE),NA())</f>
        <v>11.180124223602483</v>
      </c>
      <c r="J14" s="1178">
        <f>IF(ISNUMBER(HLOOKUP(J$1,Home!$D$12:$AB$77,$X14,FALSE)),HLOOKUP(J$1,Home!$D$12:$AB$77,$X14,FALSE),NA())</f>
        <v>10.395314787701318</v>
      </c>
      <c r="K14" s="1178">
        <f>IF(ISNUMBER(HLOOKUP(K$1,Home!$D$12:$AB$77,$X14,FALSE)),HLOOKUP(K$1,Home!$D$12:$AB$77,$X14,FALSE),NA())</f>
        <v>10.911602209944752</v>
      </c>
      <c r="L14" s="1178">
        <f>IF(ISNUMBER(HLOOKUP(L$1,Home!$D$12:$AB$77,$X14,FALSE)),HLOOKUP(L$1,Home!$D$12:$AB$77,$X14,FALSE),NA())</f>
        <v>15.454545454545453</v>
      </c>
      <c r="M14" s="1178">
        <f>IF(ISNUMBER(HLOOKUP(M$1,Home!$D$12:$AB$77,$X14,FALSE)),HLOOKUP(M$1,Home!$D$12:$AB$77,$X14,FALSE),NA())</f>
        <v>19.676549865229113</v>
      </c>
      <c r="N14" s="1178">
        <f>IF(ISNUMBER(HLOOKUP(N$1,Home!$D$12:$AB$77,$X14,FALSE)),HLOOKUP(N$1,Home!$D$12:$AB$77,$X14,FALSE),NA())</f>
        <v>12.646370023419204</v>
      </c>
      <c r="O14" s="1179" t="e">
        <f>IF(ISNUMBER(HLOOKUP(O$1,Home!$D$12:$AB$77,$X14,FALSE)),HLOOKUP(O$1,Home!$D$12:$AB$77,$X14,FALSE),NA())</f>
        <v>#N/A</v>
      </c>
      <c r="P14" s="1178">
        <f>IF(ISNUMBER(HLOOKUP(P$1,Home!$D$12:$AB$77,$X14,FALSE)),HLOOKUP(P$1,Home!$D$12:$AB$77,$X14,FALSE),NA())</f>
        <v>15.748031496062993</v>
      </c>
      <c r="Q14" s="1178">
        <f>IF(ISNUMBER(HLOOKUP(Q$1,Home!$D$12:$AB$77,$X14,FALSE)),HLOOKUP(Q$1,Home!$D$12:$AB$77,$X14,FALSE),NA())</f>
        <v>7.5219549446353575</v>
      </c>
      <c r="R14" s="1179" t="e">
        <f>IF(ISNUMBER(HLOOKUP(R$1,Home!$D$12:$AB$77,$X14,FALSE)),HLOOKUP(R$1,Home!$D$12:$AB$77,$X14,FALSE),NA())</f>
        <v>#N/A</v>
      </c>
      <c r="S14" s="1179" t="e">
        <f>IF(ISNUMBER(HLOOKUP(S$1,Home!$D$12:$AB$77,$X14,FALSE)),HLOOKUP(S$1,Home!$D$12:$AB$77,$X14,FALSE),NA())</f>
        <v>#N/A</v>
      </c>
      <c r="T14" s="1178">
        <f>IF(ISNUMBER(HLOOKUP(T$1,Home!$D$12:$AB$77,$X14,FALSE)),HLOOKUP(T$1,Home!$D$12:$AB$77,$X14,FALSE),NA())</f>
        <v>9.2696629213483153</v>
      </c>
      <c r="U14" s="1178">
        <f>IF(ISNUMBER(HLOOKUP(U$1,Home!$D$12:$AB$77,$X14,FALSE)),HLOOKUP(U$1,Home!$D$12:$AB$77,$X14,FALSE),NA())</f>
        <v>8.5289066971951915</v>
      </c>
      <c r="V14" s="1178">
        <f>IF(ISNUMBER(HLOOKUP(V$1,Home!$D$12:$AB$77,$X14,FALSE)),HLOOKUP(V$1,Home!$D$12:$AB$77,$X14,FALSE),NA())</f>
        <v>6.6473988439306355</v>
      </c>
      <c r="W14" s="1178">
        <f>IF(ISNUMBER(HLOOKUP(W$1,Home!$D$12:$AB$77,$X14,FALSE)),HLOOKUP(W$1,Home!$D$12:$AB$77,$X14,FALSE),NA())</f>
        <v>6.8354430379746836</v>
      </c>
      <c r="X14" s="1175">
        <f>VLOOKUP(A14,Home!C:BB,52,FALSE)</f>
        <v>38</v>
      </c>
      <c r="Y14" s="1182">
        <f t="array" ref="Y14">SLOPE(IF(ISNA($B14:$W14),"",$B14:$W14),IF(ISNA($B$2:$W$2),"",$B$2:$W$2))</f>
        <v>0.47787321368818547</v>
      </c>
      <c r="Z14" s="1182">
        <f t="array" ref="Z14">INTERCEPT(IF(ISNA($B14:$W14),"",$B14:$W14),IF(ISNA($B$2:$W$2),"",$B$2:$W$2))</f>
        <v>4.8107564700841658</v>
      </c>
      <c r="AA14" s="1182">
        <f t="array" ref="AA14">RSQ(IF(ISNA($B14:$W14),"",$B14:$W14),IF(ISNA($B$2:$W$2),"",$B$2:$W$2))</f>
        <v>0.35655623377054257</v>
      </c>
      <c r="AB14" s="1184" t="s">
        <v>981</v>
      </c>
    </row>
    <row r="15" spans="1:28" ht="36" x14ac:dyDescent="0.2">
      <c r="A15" s="1184" t="str">
        <f>"Number of Children subject to Care Applications to Court during the "&amp;Sheet1!$G$3&amp;", Rate per 10,000 0-17 Year Olds"</f>
        <v>Number of Children subject to Care Applications to Court during the Year ending 31st March, Rate per 10,000 0-17 Year Olds</v>
      </c>
      <c r="B15" s="1178">
        <f>IF(ISNUMBER(HLOOKUP(B$1,Home!$D$12:$AB$77,$X15,FALSE)),HLOOKUP(B$1,Home!$D$12:$AB$77,$X15,FALSE),NA())</f>
        <v>25.088339222614842</v>
      </c>
      <c r="C15" s="1178">
        <f>IF(ISNUMBER(HLOOKUP(C$1,Home!$D$12:$AB$77,$X15,FALSE)),HLOOKUP(C$1,Home!$D$12:$AB$77,$X15,FALSE),NA())</f>
        <v>20.3921568627451</v>
      </c>
      <c r="D15" s="1178">
        <f>IF(ISNUMBER(HLOOKUP(D$1,Home!$D$12:$AB$77,$X15,FALSE)),HLOOKUP(D$1,Home!$D$12:$AB$77,$X15,FALSE),NA())</f>
        <v>13.435237329042639</v>
      </c>
      <c r="E15" s="1178">
        <f>IF(ISNUMBER(HLOOKUP(E$1,Home!$D$12:$AB$77,$X15,FALSE)),HLOOKUP(E$1,Home!$D$12:$AB$77,$X15,FALSE),NA())</f>
        <v>11.654135338345865</v>
      </c>
      <c r="F15" s="1178">
        <f>IF(ISNUMBER(HLOOKUP(F$1,Home!$D$12:$AB$77,$X15,FALSE)),HLOOKUP(F$1,Home!$D$12:$AB$77,$X15,FALSE),NA())</f>
        <v>15.457746478873238</v>
      </c>
      <c r="G15" s="1178">
        <f>IF(ISNUMBER(HLOOKUP(G$1,Home!$D$12:$AB$77,$X15,FALSE)),HLOOKUP(G$1,Home!$D$12:$AB$77,$X15,FALSE),NA())</f>
        <v>24.899598393574298</v>
      </c>
      <c r="H15" s="1178">
        <f>IF(ISNUMBER(HLOOKUP(H$1,Home!$D$12:$AB$77,$X15,FALSE)),HLOOKUP(H$1,Home!$D$12:$AB$77,$X15,FALSE),NA())</f>
        <v>11.114378124081153</v>
      </c>
      <c r="I15" s="1178">
        <f>IF(ISNUMBER(HLOOKUP(I$1,Home!$D$12:$AB$77,$X15,FALSE)),HLOOKUP(I$1,Home!$D$12:$AB$77,$X15,FALSE),NA())</f>
        <v>18.322981366459629</v>
      </c>
      <c r="J15" s="1178">
        <f>IF(ISNUMBER(HLOOKUP(J$1,Home!$D$12:$AB$77,$X15,FALSE)),HLOOKUP(J$1,Home!$D$12:$AB$77,$X15,FALSE),NA())</f>
        <v>17.715959004392388</v>
      </c>
      <c r="K15" s="1178">
        <f>IF(ISNUMBER(HLOOKUP(K$1,Home!$D$12:$AB$77,$X15,FALSE)),HLOOKUP(K$1,Home!$D$12:$AB$77,$X15,FALSE),NA())</f>
        <v>18.439226519337016</v>
      </c>
      <c r="L15" s="1178">
        <f>IF(ISNUMBER(HLOOKUP(L$1,Home!$D$12:$AB$77,$X15,FALSE)),HLOOKUP(L$1,Home!$D$12:$AB$77,$X15,FALSE),NA())</f>
        <v>24.545454545454543</v>
      </c>
      <c r="M15" s="1178">
        <f>IF(ISNUMBER(HLOOKUP(M$1,Home!$D$12:$AB$77,$X15,FALSE)),HLOOKUP(M$1,Home!$D$12:$AB$77,$X15,FALSE),NA())</f>
        <v>31.266846361185987</v>
      </c>
      <c r="N15" s="1178">
        <f>IF(ISNUMBER(HLOOKUP(N$1,Home!$D$12:$AB$77,$X15,FALSE)),HLOOKUP(N$1,Home!$D$12:$AB$77,$X15,FALSE),NA())</f>
        <v>22.716627634660423</v>
      </c>
      <c r="O15" s="1179" t="e">
        <f>IF(ISNUMBER(HLOOKUP(O$1,Home!$D$12:$AB$77,$X15,FALSE)),HLOOKUP(O$1,Home!$D$12:$AB$77,$X15,FALSE),NA())</f>
        <v>#N/A</v>
      </c>
      <c r="P15" s="1178">
        <f>IF(ISNUMBER(HLOOKUP(P$1,Home!$D$12:$AB$77,$X15,FALSE)),HLOOKUP(P$1,Home!$D$12:$AB$77,$X15,FALSE),NA())</f>
        <v>24.409448818897641</v>
      </c>
      <c r="Q15" s="1178">
        <f>IF(ISNUMBER(HLOOKUP(Q$1,Home!$D$12:$AB$77,$X15,FALSE)),HLOOKUP(Q$1,Home!$D$12:$AB$77,$X15,FALSE),NA())</f>
        <v>12.867506681939672</v>
      </c>
      <c r="R15" s="1179" t="e">
        <f>IF(ISNUMBER(HLOOKUP(R$1,Home!$D$12:$AB$77,$X15,FALSE)),HLOOKUP(R$1,Home!$D$12:$AB$77,$X15,FALSE),NA())</f>
        <v>#N/A</v>
      </c>
      <c r="S15" s="1179" t="e">
        <f>IF(ISNUMBER(HLOOKUP(S$1,Home!$D$12:$AB$77,$X15,FALSE)),HLOOKUP(S$1,Home!$D$12:$AB$77,$X15,FALSE),NA())</f>
        <v>#N/A</v>
      </c>
      <c r="T15" s="1178">
        <f>IF(ISNUMBER(HLOOKUP(T$1,Home!$D$12:$AB$77,$X15,FALSE)),HLOOKUP(T$1,Home!$D$12:$AB$77,$X15,FALSE),NA())</f>
        <v>13.48314606741573</v>
      </c>
      <c r="U15" s="1178">
        <f>IF(ISNUMBER(HLOOKUP(U$1,Home!$D$12:$AB$77,$X15,FALSE)),HLOOKUP(U$1,Home!$D$12:$AB$77,$X15,FALSE),NA())</f>
        <v>13.737836290784202</v>
      </c>
      <c r="V15" s="1178">
        <f>IF(ISNUMBER(HLOOKUP(V$1,Home!$D$12:$AB$77,$X15,FALSE)),HLOOKUP(V$1,Home!$D$12:$AB$77,$X15,FALSE),NA())</f>
        <v>13.294797687861271</v>
      </c>
      <c r="W15" s="1178">
        <f>IF(ISNUMBER(HLOOKUP(W$1,Home!$D$12:$AB$77,$X15,FALSE)),HLOOKUP(W$1,Home!$D$12:$AB$77,$X15,FALSE),NA())</f>
        <v>12.151898734177216</v>
      </c>
      <c r="X15" s="1175">
        <f>VLOOKUP(A15,Home!C:BB,52,FALSE)</f>
        <v>39</v>
      </c>
      <c r="Y15" s="1182">
        <f t="array" ref="Y15">SLOPE(IF(ISNA($B15:$W15),"",$B15:$W15),IF(ISNA($B$2:$W$2),"",$B$2:$W$2))</f>
        <v>0.67048205089048651</v>
      </c>
      <c r="Z15" s="1182">
        <f t="array" ref="Z15">INTERCEPT(IF(ISNA($B15:$W15),"",$B15:$W15),IF(ISNA($B$2:$W$2),"",$B$2:$W$2))</f>
        <v>9.3918726326655779</v>
      </c>
      <c r="AA15" s="1182">
        <f t="array" ref="AA15">RSQ(IF(ISNA($B15:$W15),"",$B15:$W15),IF(ISNA($B$2:$W$2),"",$B$2:$W$2))</f>
        <v>0.28866936369004947</v>
      </c>
      <c r="AB15" s="1184" t="s">
        <v>982</v>
      </c>
    </row>
    <row r="16" spans="1:28" ht="24" x14ac:dyDescent="0.2">
      <c r="A16" s="1177" t="str">
        <f>"Children who were Looked After at "&amp;Sheet1!$H$3&amp;", Rate per 10,000 0-17 Year Olds"</f>
        <v>Children who were Looked After at 31st March, Rate per 10,000 0-17 Year Olds</v>
      </c>
      <c r="B16" s="1178">
        <f>IF(ISNUMBER(HLOOKUP(B$1,Home!$D$12:$AB$77,$X16,FALSE)),HLOOKUP(B$1,Home!$D$12:$AB$77,$X16,FALSE),NA())</f>
        <v>55.830388692579504</v>
      </c>
      <c r="C16" s="1178">
        <f>IF(ISNUMBER(HLOOKUP(C$1,Home!$D$12:$AB$77,$X16,FALSE)),HLOOKUP(C$1,Home!$D$12:$AB$77,$X16,FALSE),NA())</f>
        <v>76.666666666666657</v>
      </c>
      <c r="D16" s="1178">
        <f>IF(ISNUMBER(HLOOKUP(D$1,Home!$D$12:$AB$77,$X16,FALSE)),HLOOKUP(D$1,Home!$D$12:$AB$77,$X16,FALSE),NA())</f>
        <v>41.432019308125504</v>
      </c>
      <c r="E16" s="1178">
        <f>IF(ISNUMBER(HLOOKUP(E$1,Home!$D$12:$AB$77,$X16,FALSE)),HLOOKUP(E$1,Home!$D$12:$AB$77,$X16,FALSE),NA())</f>
        <v>56.390977443609017</v>
      </c>
      <c r="F16" s="1178">
        <f>IF(ISNUMBER(HLOOKUP(F$1,Home!$D$12:$AB$77,$X16,FALSE)),HLOOKUP(F$1,Home!$D$12:$AB$77,$X16,FALSE),NA())</f>
        <v>58.591549295774648</v>
      </c>
      <c r="G16" s="1178">
        <f>IF(ISNUMBER(HLOOKUP(G$1,Home!$D$12:$AB$77,$X16,FALSE)),HLOOKUP(G$1,Home!$D$12:$AB$77,$X16,FALSE),NA())</f>
        <v>97.590361445783131</v>
      </c>
      <c r="H16" s="1178">
        <f>IF(ISNUMBER(HLOOKUP(H$1,Home!$D$12:$AB$77,$X16,FALSE)),HLOOKUP(H$1,Home!$D$12:$AB$77,$X16,FALSE),NA())</f>
        <v>46.75095560129374</v>
      </c>
      <c r="I16" s="1178">
        <f>IF(ISNUMBER(HLOOKUP(I$1,Home!$D$12:$AB$77,$X16,FALSE)),HLOOKUP(I$1,Home!$D$12:$AB$77,$X16,FALSE),NA())</f>
        <v>65.838509316770185</v>
      </c>
      <c r="J16" s="1178">
        <f>IF(ISNUMBER(HLOOKUP(J$1,Home!$D$12:$AB$77,$X16,FALSE)),HLOOKUP(J$1,Home!$D$12:$AB$77,$X16,FALSE),NA())</f>
        <v>55.783308931185942</v>
      </c>
      <c r="K16" s="1178">
        <f>IF(ISNUMBER(HLOOKUP(K$1,Home!$D$12:$AB$77,$X16,FALSE)),HLOOKUP(K$1,Home!$D$12:$AB$77,$X16,FALSE),NA())</f>
        <v>53.798342541436462</v>
      </c>
      <c r="L16" s="1178">
        <f>IF(ISNUMBER(HLOOKUP(L$1,Home!$D$12:$AB$77,$X16,FALSE)),HLOOKUP(L$1,Home!$D$12:$AB$77,$X16,FALSE),NA())</f>
        <v>110.45454545454545</v>
      </c>
      <c r="M16" s="1178">
        <f>IF(ISNUMBER(HLOOKUP(M$1,Home!$D$12:$AB$77,$X16,FALSE)),HLOOKUP(M$1,Home!$D$12:$AB$77,$X16,FALSE),NA())</f>
        <v>73.584905660377359</v>
      </c>
      <c r="N16" s="1178">
        <f>IF(ISNUMBER(HLOOKUP(N$1,Home!$D$12:$AB$77,$X16,FALSE)),HLOOKUP(N$1,Home!$D$12:$AB$77,$X16,FALSE),NA())</f>
        <v>49.882903981264633</v>
      </c>
      <c r="O16" s="1179" t="e">
        <f>IF(ISNUMBER(HLOOKUP(O$1,Home!$D$12:$AB$77,$X16,FALSE)),HLOOKUP(O$1,Home!$D$12:$AB$77,$X16,FALSE),NA())</f>
        <v>#N/A</v>
      </c>
      <c r="P16" s="1178">
        <f>IF(ISNUMBER(HLOOKUP(P$1,Home!$D$12:$AB$77,$X16,FALSE)),HLOOKUP(P$1,Home!$D$12:$AB$77,$X16,FALSE),NA())</f>
        <v>94.685039370078741</v>
      </c>
      <c r="Q16" s="1178">
        <f>IF(ISNUMBER(HLOOKUP(Q$1,Home!$D$12:$AB$77,$X16,FALSE)),HLOOKUP(Q$1,Home!$D$12:$AB$77,$X16,FALSE),NA())</f>
        <v>37.151584574264987</v>
      </c>
      <c r="R16" s="1179" t="e">
        <f>IF(ISNUMBER(HLOOKUP(R$1,Home!$D$12:$AB$77,$X16,FALSE)),HLOOKUP(R$1,Home!$D$12:$AB$77,$X16,FALSE),NA())</f>
        <v>#N/A</v>
      </c>
      <c r="S16" s="1179" t="e">
        <f>IF(ISNUMBER(HLOOKUP(S$1,Home!$D$12:$AB$77,$X16,FALSE)),HLOOKUP(S$1,Home!$D$12:$AB$77,$X16,FALSE),NA())</f>
        <v>#N/A</v>
      </c>
      <c r="T16" s="1178">
        <f>IF(ISNUMBER(HLOOKUP(T$1,Home!$D$12:$AB$77,$X16,FALSE)),HLOOKUP(T$1,Home!$D$12:$AB$77,$X16,FALSE),NA())</f>
        <v>48.31460674157303</v>
      </c>
      <c r="U16" s="1178">
        <f>IF(ISNUMBER(HLOOKUP(U$1,Home!$D$12:$AB$77,$X16,FALSE)),HLOOKUP(U$1,Home!$D$12:$AB$77,$X16,FALSE),NA())</f>
        <v>40.297653119633658</v>
      </c>
      <c r="V16" s="1178">
        <f>IF(ISNUMBER(HLOOKUP(V$1,Home!$D$12:$AB$77,$X16,FALSE)),HLOOKUP(V$1,Home!$D$12:$AB$77,$X16,FALSE),NA())</f>
        <v>35.838150289017342</v>
      </c>
      <c r="W16" s="1178">
        <f>IF(ISNUMBER(HLOOKUP(W$1,Home!$D$12:$AB$77,$X16,FALSE)),HLOOKUP(W$1,Home!$D$12:$AB$77,$X16,FALSE),NA())</f>
        <v>27.848101265822784</v>
      </c>
      <c r="X16" s="1175">
        <f>VLOOKUP(A16,Home!C:BB,52,FALSE)</f>
        <v>40</v>
      </c>
      <c r="Y16" s="1182">
        <f t="array" ref="Y16">SLOPE(IF(ISNA($B16:$W16),"",$B16:$W16),IF(ISNA($B$2:$W$2),"",$B$2:$W$2))</f>
        <v>3.9111376725041893</v>
      </c>
      <c r="Z16" s="1182">
        <f t="array" ref="Z16">INTERCEPT(IF(ISNA($B16:$W16),"",$B16:$W16),IF(ISNA($B$2:$W$2),"",$B$2:$W$2))</f>
        <v>8.1686300973559156</v>
      </c>
      <c r="AA16" s="1182">
        <f t="array" ref="AA16">RSQ(IF(ISNA($B16:$W16),"",$B16:$W16),IF(ISNA($B$2:$W$2),"",$B$2:$W$2))</f>
        <v>0.67689559937299126</v>
      </c>
      <c r="AB16" s="1177" t="s">
        <v>983</v>
      </c>
    </row>
    <row r="17" spans="1:28" ht="24" x14ac:dyDescent="0.2">
      <c r="A17" s="1177" t="str">
        <f>"Children who Started to be Looked After during the "&amp;Sheet1!$G$3&amp;", Rate per 10,000 0-17 Year Olds"</f>
        <v>Children who Started to be Looked After during the Year ending 31st March, Rate per 10,000 0-17 Year Olds</v>
      </c>
      <c r="B17" s="1178">
        <f>IF(ISNUMBER(HLOOKUP(B$1,Home!$D$12:$AB$77,$X17,FALSE)),HLOOKUP(B$1,Home!$D$12:$AB$77,$X17,FALSE),NA())</f>
        <v>29.681978798586574</v>
      </c>
      <c r="C17" s="1178">
        <f>IF(ISNUMBER(HLOOKUP(C$1,Home!$D$12:$AB$77,$X17,FALSE)),HLOOKUP(C$1,Home!$D$12:$AB$77,$X17,FALSE),NA())</f>
        <v>30.784313725490197</v>
      </c>
      <c r="D17" s="1178">
        <f>IF(ISNUMBER(HLOOKUP(D$1,Home!$D$12:$AB$77,$X17,FALSE)),HLOOKUP(D$1,Home!$D$12:$AB$77,$X17,FALSE),NA())</f>
        <v>16.814159292035399</v>
      </c>
      <c r="E17" s="1178">
        <f>IF(ISNUMBER(HLOOKUP(E$1,Home!$D$12:$AB$77,$X17,FALSE)),HLOOKUP(E$1,Home!$D$12:$AB$77,$X17,FALSE),NA())</f>
        <v>18.045112781954888</v>
      </c>
      <c r="F17" s="1178">
        <f>IF(ISNUMBER(HLOOKUP(F$1,Home!$D$12:$AB$77,$X17,FALSE)),HLOOKUP(F$1,Home!$D$12:$AB$77,$X17,FALSE),NA())</f>
        <v>22.95774647887324</v>
      </c>
      <c r="G17" s="1178">
        <f>IF(ISNUMBER(HLOOKUP(G$1,Home!$D$12:$AB$77,$X17,FALSE)),HLOOKUP(G$1,Home!$D$12:$AB$77,$X17,FALSE),NA())</f>
        <v>29.718875502008032</v>
      </c>
      <c r="H17" s="1178">
        <f>IF(ISNUMBER(HLOOKUP(H$1,Home!$D$12:$AB$77,$X17,FALSE)),HLOOKUP(H$1,Home!$D$12:$AB$77,$X17,FALSE),NA())</f>
        <v>20.464569244339902</v>
      </c>
      <c r="I17" s="1178">
        <f>IF(ISNUMBER(HLOOKUP(I$1,Home!$D$12:$AB$77,$X17,FALSE)),HLOOKUP(I$1,Home!$D$12:$AB$77,$X17,FALSE),NA())</f>
        <v>25.93167701863354</v>
      </c>
      <c r="J17" s="1178">
        <f>IF(ISNUMBER(HLOOKUP(J$1,Home!$D$12:$AB$77,$X17,FALSE)),HLOOKUP(J$1,Home!$D$12:$AB$77,$X17,FALSE),NA())</f>
        <v>23.718887262079061</v>
      </c>
      <c r="K17" s="1178">
        <f>IF(ISNUMBER(HLOOKUP(K$1,Home!$D$12:$AB$77,$X17,FALSE)),HLOOKUP(K$1,Home!$D$12:$AB$77,$X17,FALSE),NA())</f>
        <v>24.516574585635361</v>
      </c>
      <c r="L17" s="1178">
        <f>IF(ISNUMBER(HLOOKUP(L$1,Home!$D$12:$AB$77,$X17,FALSE)),HLOOKUP(L$1,Home!$D$12:$AB$77,$X17,FALSE),NA())</f>
        <v>52.045454545454547</v>
      </c>
      <c r="M17" s="1178">
        <f>IF(ISNUMBER(HLOOKUP(M$1,Home!$D$12:$AB$77,$X17,FALSE)),HLOOKUP(M$1,Home!$D$12:$AB$77,$X17,FALSE),NA())</f>
        <v>23.989218328840973</v>
      </c>
      <c r="N17" s="1178">
        <f>IF(ISNUMBER(HLOOKUP(N$1,Home!$D$12:$AB$77,$X17,FALSE)),HLOOKUP(N$1,Home!$D$12:$AB$77,$X17,FALSE),NA())</f>
        <v>31.381733021077284</v>
      </c>
      <c r="O17" s="1179" t="e">
        <f>IF(ISNUMBER(HLOOKUP(O$1,Home!$D$12:$AB$77,$X17,FALSE)),HLOOKUP(O$1,Home!$D$12:$AB$77,$X17,FALSE),NA())</f>
        <v>#N/A</v>
      </c>
      <c r="P17" s="1178">
        <f>IF(ISNUMBER(HLOOKUP(P$1,Home!$D$12:$AB$77,$X17,FALSE)),HLOOKUP(P$1,Home!$D$12:$AB$77,$X17,FALSE),NA())</f>
        <v>33.464566929133859</v>
      </c>
      <c r="Q17" s="1178">
        <f>IF(ISNUMBER(HLOOKUP(Q$1,Home!$D$12:$AB$77,$X17,FALSE)),HLOOKUP(Q$1,Home!$D$12:$AB$77,$X17,FALSE),NA())</f>
        <v>16.60939289805269</v>
      </c>
      <c r="R17" s="1179" t="e">
        <f>IF(ISNUMBER(HLOOKUP(R$1,Home!$D$12:$AB$77,$X17,FALSE)),HLOOKUP(R$1,Home!$D$12:$AB$77,$X17,FALSE),NA())</f>
        <v>#N/A</v>
      </c>
      <c r="S17" s="1179" t="e">
        <f>IF(ISNUMBER(HLOOKUP(S$1,Home!$D$12:$AB$77,$X17,FALSE)),HLOOKUP(S$1,Home!$D$12:$AB$77,$X17,FALSE),NA())</f>
        <v>#N/A</v>
      </c>
      <c r="T17" s="1178">
        <f>IF(ISNUMBER(HLOOKUP(T$1,Home!$D$12:$AB$77,$X17,FALSE)),HLOOKUP(T$1,Home!$D$12:$AB$77,$X17,FALSE),NA())</f>
        <v>22.191011235955056</v>
      </c>
      <c r="U17" s="1178">
        <f>IF(ISNUMBER(HLOOKUP(U$1,Home!$D$12:$AB$77,$X17,FALSE)),HLOOKUP(U$1,Home!$D$12:$AB$77,$X17,FALSE),NA())</f>
        <v>19.805380652547221</v>
      </c>
      <c r="V17" s="1178">
        <f>IF(ISNUMBER(HLOOKUP(V$1,Home!$D$12:$AB$77,$X17,FALSE)),HLOOKUP(V$1,Home!$D$12:$AB$77,$X17,FALSE),NA())</f>
        <v>18.786127167630056</v>
      </c>
      <c r="W17" s="1178">
        <f>IF(ISNUMBER(HLOOKUP(W$1,Home!$D$12:$AB$77,$X17,FALSE)),HLOOKUP(W$1,Home!$D$12:$AB$77,$X17,FALSE),NA())</f>
        <v>15.69620253164557</v>
      </c>
      <c r="X17" s="1175">
        <f>VLOOKUP(A17,Home!C:BB,52,FALSE)</f>
        <v>50</v>
      </c>
      <c r="Y17" s="1182">
        <f t="array" ref="Y17">SLOPE(IF(ISNA($B17:$W17),"",$B17:$W17),IF(ISNA($B$2:$W$2),"",$B$2:$W$2))</f>
        <v>1.1678048619585899</v>
      </c>
      <c r="Z17" s="1182">
        <f t="array" ref="Z17">INTERCEPT(IF(ISNA($B17:$W17),"",$B17:$W17),IF(ISNA($B$2:$W$2),"",$B$2:$W$2))</f>
        <v>9.8168554889189412</v>
      </c>
      <c r="AA17" s="1182">
        <f t="array" ref="AA17">RSQ(IF(ISNA($B17:$W17),"",$B17:$W17),IF(ISNA($B$2:$W$2),"",$B$2:$W$2))</f>
        <v>0.42032288740913448</v>
      </c>
      <c r="AB17" s="1177" t="s">
        <v>984</v>
      </c>
    </row>
    <row r="18" spans="1:28" ht="24" x14ac:dyDescent="0.2">
      <c r="A18" s="1177" t="str">
        <f>"Children who Ceased to be Looked After during the "&amp;Sheet1!$G$3&amp;", Rate per 10,000 0-17 Year Olds"</f>
        <v>Children who Ceased to be Looked After during the Year ending 31st March, Rate per 10,000 0-17 Year Olds</v>
      </c>
      <c r="B18" s="1178">
        <f>IF(ISNUMBER(HLOOKUP(B$1,Home!$D$12:$AB$77,$X18,FALSE)),HLOOKUP(B$1,Home!$D$12:$AB$77,$X18,FALSE),NA())</f>
        <v>22.968197879858657</v>
      </c>
      <c r="C18" s="1178">
        <f>IF(ISNUMBER(HLOOKUP(C$1,Home!$D$12:$AB$77,$X18,FALSE)),HLOOKUP(C$1,Home!$D$12:$AB$77,$X18,FALSE),NA())</f>
        <v>36.666666666666664</v>
      </c>
      <c r="D18" s="1178">
        <f>IF(ISNUMBER(HLOOKUP(D$1,Home!$D$12:$AB$77,$X18,FALSE)),HLOOKUP(D$1,Home!$D$12:$AB$77,$X18,FALSE),NA())</f>
        <v>13.676588897827836</v>
      </c>
      <c r="E18" s="1178">
        <f>IF(ISNUMBER(HLOOKUP(E$1,Home!$D$12:$AB$77,$X18,FALSE)),HLOOKUP(E$1,Home!$D$12:$AB$77,$X18,FALSE),NA())</f>
        <v>18.045112781954888</v>
      </c>
      <c r="F18" s="1178">
        <f>IF(ISNUMBER(HLOOKUP(F$1,Home!$D$12:$AB$77,$X18,FALSE)),HLOOKUP(F$1,Home!$D$12:$AB$77,$X18,FALSE),NA())</f>
        <v>20.880281690140844</v>
      </c>
      <c r="G18" s="1178">
        <f>IF(ISNUMBER(HLOOKUP(G$1,Home!$D$12:$AB$77,$X18,FALSE)),HLOOKUP(G$1,Home!$D$12:$AB$77,$X18,FALSE),NA())</f>
        <v>24.497991967871485</v>
      </c>
      <c r="H18" s="1178">
        <f>IF(ISNUMBER(HLOOKUP(H$1,Home!$D$12:$AB$77,$X18,FALSE)),HLOOKUP(H$1,Home!$D$12:$AB$77,$X18,FALSE),NA())</f>
        <v>22.43457806527492</v>
      </c>
      <c r="I18" s="1178">
        <f>IF(ISNUMBER(HLOOKUP(I$1,Home!$D$12:$AB$77,$X18,FALSE)),HLOOKUP(I$1,Home!$D$12:$AB$77,$X18,FALSE),NA())</f>
        <v>24.534161490683232</v>
      </c>
      <c r="J18" s="1178">
        <f>IF(ISNUMBER(HLOOKUP(J$1,Home!$D$12:$AB$77,$X18,FALSE)),HLOOKUP(J$1,Home!$D$12:$AB$77,$X18,FALSE),NA())</f>
        <v>25.329428989751101</v>
      </c>
      <c r="K18" s="1178">
        <f>IF(ISNUMBER(HLOOKUP(K$1,Home!$D$12:$AB$77,$X18,FALSE)),HLOOKUP(K$1,Home!$D$12:$AB$77,$X18,FALSE),NA())</f>
        <v>18.853591160220994</v>
      </c>
      <c r="L18" s="1178">
        <f>IF(ISNUMBER(HLOOKUP(L$1,Home!$D$12:$AB$77,$X18,FALSE)),HLOOKUP(L$1,Home!$D$12:$AB$77,$X18,FALSE),NA())</f>
        <v>36.590909090909093</v>
      </c>
      <c r="M18" s="1178">
        <f>IF(ISNUMBER(HLOOKUP(M$1,Home!$D$12:$AB$77,$X18,FALSE)),HLOOKUP(M$1,Home!$D$12:$AB$77,$X18,FALSE),NA())</f>
        <v>25.60646900269542</v>
      </c>
      <c r="N18" s="1178">
        <f>IF(ISNUMBER(HLOOKUP(N$1,Home!$D$12:$AB$77,$X18,FALSE)),HLOOKUP(N$1,Home!$D$12:$AB$77,$X18,FALSE),NA())</f>
        <v>29.742388758782205</v>
      </c>
      <c r="O18" s="1179" t="e">
        <f>IF(ISNUMBER(HLOOKUP(O$1,Home!$D$12:$AB$77,$X18,FALSE)),HLOOKUP(O$1,Home!$D$12:$AB$77,$X18,FALSE),NA())</f>
        <v>#N/A</v>
      </c>
      <c r="P18" s="1178">
        <f>IF(ISNUMBER(HLOOKUP(P$1,Home!$D$12:$AB$77,$X18,FALSE)),HLOOKUP(P$1,Home!$D$12:$AB$77,$X18,FALSE),NA())</f>
        <v>42.125984251968504</v>
      </c>
      <c r="Q18" s="1178">
        <f>IF(ISNUMBER(HLOOKUP(Q$1,Home!$D$12:$AB$77,$X18,FALSE)),HLOOKUP(Q$1,Home!$D$12:$AB$77,$X18,FALSE),NA())</f>
        <v>15.043909889270715</v>
      </c>
      <c r="R18" s="1179" t="e">
        <f>IF(ISNUMBER(HLOOKUP(R$1,Home!$D$12:$AB$77,$X18,FALSE)),HLOOKUP(R$1,Home!$D$12:$AB$77,$X18,FALSE),NA())</f>
        <v>#N/A</v>
      </c>
      <c r="S18" s="1179" t="e">
        <f>IF(ISNUMBER(HLOOKUP(S$1,Home!$D$12:$AB$77,$X18,FALSE)),HLOOKUP(S$1,Home!$D$12:$AB$77,$X18,FALSE),NA())</f>
        <v>#N/A</v>
      </c>
      <c r="T18" s="1178">
        <f>IF(ISNUMBER(HLOOKUP(T$1,Home!$D$12:$AB$77,$X18,FALSE)),HLOOKUP(T$1,Home!$D$12:$AB$77,$X18,FALSE),NA())</f>
        <v>14.887640449438202</v>
      </c>
      <c r="U18" s="1178">
        <f>IF(ISNUMBER(HLOOKUP(U$1,Home!$D$12:$AB$77,$X18,FALSE)),HLOOKUP(U$1,Home!$D$12:$AB$77,$X18,FALSE),NA())</f>
        <v>20.263308528906698</v>
      </c>
      <c r="V18" s="1178">
        <f>IF(ISNUMBER(HLOOKUP(V$1,Home!$D$12:$AB$77,$X18,FALSE)),HLOOKUP(V$1,Home!$D$12:$AB$77,$X18,FALSE),NA())</f>
        <v>15.028901734104045</v>
      </c>
      <c r="W18" s="1178">
        <f>IF(ISNUMBER(HLOOKUP(W$1,Home!$D$12:$AB$77,$X18,FALSE)),HLOOKUP(W$1,Home!$D$12:$AB$77,$X18,FALSE),NA())</f>
        <v>14.683544303797468</v>
      </c>
      <c r="X18" s="1175">
        <f>VLOOKUP(A18,Home!C:BB,52,FALSE)</f>
        <v>52</v>
      </c>
      <c r="Y18" s="1182">
        <f t="array" ref="Y18">SLOPE(IF(ISNA($B18:$W18),"",$B18:$W18),IF(ISNA($B$2:$W$2),"",$B$2:$W$2))</f>
        <v>1.3664668047572577</v>
      </c>
      <c r="Z18" s="1182">
        <f t="array" ref="Z18">INTERCEPT(IF(ISNA($B18:$W18),"",$B18:$W18),IF(ISNA($B$2:$W$2),"",$B$2:$W$2))</f>
        <v>5.391015857811599</v>
      </c>
      <c r="AA18" s="1182">
        <f t="array" ref="AA18">RSQ(IF(ISNA($B18:$W18),"",$B18:$W18),IF(ISNA($B$2:$W$2),"",$B$2:$W$2))</f>
        <v>0.62080289820116663</v>
      </c>
      <c r="AB18" s="1177" t="s">
        <v>985</v>
      </c>
    </row>
    <row r="19" spans="1:28" ht="36" x14ac:dyDescent="0.2">
      <c r="A19" s="1177" t="str">
        <f>"Net Number of Children becoming Looked After during the "&amp;Sheet1!$G$3&amp;", Rate per 10,000 0-17 Year Olds"</f>
        <v>Net Number of Children becoming Looked After during the Year ending 31st March, Rate per 10,000 0-17 Year Olds</v>
      </c>
      <c r="B19" s="1178">
        <f>IF(ISNUMBER(HLOOKUP(B$1,Home!$D$12:$AB$77,$X19,FALSE)),HLOOKUP(B$1,Home!$D$12:$AB$77,$X19,FALSE),NA())</f>
        <v>6.7137809187279149</v>
      </c>
      <c r="C19" s="1178">
        <f>IF(ISNUMBER(HLOOKUP(C$1,Home!$D$12:$AB$77,$X19,FALSE)),HLOOKUP(C$1,Home!$D$12:$AB$77,$X19,FALSE),NA())</f>
        <v>-5.8823529411764701</v>
      </c>
      <c r="D19" s="1178">
        <f>IF(ISNUMBER(HLOOKUP(D$1,Home!$D$12:$AB$77,$X19,FALSE)),HLOOKUP(D$1,Home!$D$12:$AB$77,$X19,FALSE),NA())</f>
        <v>3.1375703942075623</v>
      </c>
      <c r="E19" s="1178">
        <f>IF(ISNUMBER(HLOOKUP(E$1,Home!$D$12:$AB$77,$X19,FALSE)),HLOOKUP(E$1,Home!$D$12:$AB$77,$X19,FALSE),NA())</f>
        <v>0</v>
      </c>
      <c r="F19" s="1178">
        <f>IF(ISNUMBER(HLOOKUP(F$1,Home!$D$12:$AB$77,$X19,FALSE)),HLOOKUP(F$1,Home!$D$12:$AB$77,$X19,FALSE),NA())</f>
        <v>2.0774647887323945</v>
      </c>
      <c r="G19" s="1178">
        <f>IF(ISNUMBER(HLOOKUP(G$1,Home!$D$12:$AB$77,$X19,FALSE)),HLOOKUP(G$1,Home!$D$12:$AB$77,$X19,FALSE),NA())</f>
        <v>5.2208835341365463</v>
      </c>
      <c r="H19" s="1178">
        <f>IF(ISNUMBER(HLOOKUP(H$1,Home!$D$12:$AB$77,$X19,FALSE)),HLOOKUP(H$1,Home!$D$12:$AB$77,$X19,FALSE),NA())</f>
        <v>-1.9700088209350191</v>
      </c>
      <c r="I19" s="1178">
        <f>IF(ISNUMBER(HLOOKUP(I$1,Home!$D$12:$AB$77,$X19,FALSE)),HLOOKUP(I$1,Home!$D$12:$AB$77,$X19,FALSE),NA())</f>
        <v>1.3975155279503104</v>
      </c>
      <c r="J19" s="1178">
        <f>IF(ISNUMBER(HLOOKUP(J$1,Home!$D$12:$AB$77,$X19,FALSE)),HLOOKUP(J$1,Home!$D$12:$AB$77,$X19,FALSE),NA())</f>
        <v>-1.6105417276720351</v>
      </c>
      <c r="K19" s="1178">
        <f>IF(ISNUMBER(HLOOKUP(K$1,Home!$D$12:$AB$77,$X19,FALSE)),HLOOKUP(K$1,Home!$D$12:$AB$77,$X19,FALSE),NA())</f>
        <v>5.6629834254143638</v>
      </c>
      <c r="L19" s="1178">
        <f>IF(ISNUMBER(HLOOKUP(L$1,Home!$D$12:$AB$77,$X19,FALSE)),HLOOKUP(L$1,Home!$D$12:$AB$77,$X19,FALSE),NA())</f>
        <v>15.454545454545453</v>
      </c>
      <c r="M19" s="1178">
        <f>IF(ISNUMBER(HLOOKUP(M$1,Home!$D$12:$AB$77,$X19,FALSE)),HLOOKUP(M$1,Home!$D$12:$AB$77,$X19,FALSE),NA())</f>
        <v>-1.6172506738544474</v>
      </c>
      <c r="N19" s="1178">
        <f>IF(ISNUMBER(HLOOKUP(N$1,Home!$D$12:$AB$77,$X19,FALSE)),HLOOKUP(N$1,Home!$D$12:$AB$77,$X19,FALSE),NA())</f>
        <v>1.639344262295082</v>
      </c>
      <c r="O19" s="1179" t="e">
        <f>IF(ISNUMBER(HLOOKUP(O$1,Home!$D$12:$AB$77,$X19,FALSE)),HLOOKUP(O$1,Home!$D$12:$AB$77,$X19,FALSE),NA())</f>
        <v>#N/A</v>
      </c>
      <c r="P19" s="1178">
        <f>IF(ISNUMBER(HLOOKUP(P$1,Home!$D$12:$AB$77,$X19,FALSE)),HLOOKUP(P$1,Home!$D$12:$AB$77,$X19,FALSE),NA())</f>
        <v>-8.6614173228346463</v>
      </c>
      <c r="Q19" s="1178">
        <f>IF(ISNUMBER(HLOOKUP(Q$1,Home!$D$12:$AB$77,$X19,FALSE)),HLOOKUP(Q$1,Home!$D$12:$AB$77,$X19,FALSE),NA())</f>
        <v>1.565483008781978</v>
      </c>
      <c r="R19" s="1179" t="e">
        <f>IF(ISNUMBER(HLOOKUP(R$1,Home!$D$12:$AB$77,$X19,FALSE)),HLOOKUP(R$1,Home!$D$12:$AB$77,$X19,FALSE),NA())</f>
        <v>#N/A</v>
      </c>
      <c r="S19" s="1179" t="e">
        <f>IF(ISNUMBER(HLOOKUP(S$1,Home!$D$12:$AB$77,$X19,FALSE)),HLOOKUP(S$1,Home!$D$12:$AB$77,$X19,FALSE),NA())</f>
        <v>#N/A</v>
      </c>
      <c r="T19" s="1178">
        <f>IF(ISNUMBER(HLOOKUP(T$1,Home!$D$12:$AB$77,$X19,FALSE)),HLOOKUP(T$1,Home!$D$12:$AB$77,$X19,FALSE),NA())</f>
        <v>7.3033707865168536</v>
      </c>
      <c r="U19" s="1178">
        <f>IF(ISNUMBER(HLOOKUP(U$1,Home!$D$12:$AB$77,$X19,FALSE)),HLOOKUP(U$1,Home!$D$12:$AB$77,$X19,FALSE),NA())</f>
        <v>-0.45792787635947341</v>
      </c>
      <c r="V19" s="1178">
        <f>IF(ISNUMBER(HLOOKUP(V$1,Home!$D$12:$AB$77,$X19,FALSE)),HLOOKUP(V$1,Home!$D$12:$AB$77,$X19,FALSE),NA())</f>
        <v>3.7572254335260111</v>
      </c>
      <c r="W19" s="1178">
        <f>IF(ISNUMBER(HLOOKUP(W$1,Home!$D$12:$AB$77,$X19,FALSE)),HLOOKUP(W$1,Home!$D$12:$AB$77,$X19,FALSE),NA())</f>
        <v>1.0126582278481013</v>
      </c>
      <c r="X19" s="1175">
        <f>VLOOKUP(A19,Home!C:BB,52,FALSE)</f>
        <v>55</v>
      </c>
      <c r="Y19" s="1182">
        <f t="array" ref="Y19">SLOPE(IF(ISNA($B19:$W19),"",$B19:$W19),IF(ISNA($B$2:$W$2),"",$B$2:$W$2))</f>
        <v>-0.19866194279866792</v>
      </c>
      <c r="Z19" s="1182">
        <f t="array" ref="Z19">INTERCEPT(IF(ISNA($B19:$W19),"",$B19:$W19),IF(ISNA($B$2:$W$2),"",$B$2:$W$2))</f>
        <v>4.4258396311073467</v>
      </c>
      <c r="AA19" s="1182">
        <f t="array" ref="AA19">RSQ(IF(ISNA($B19:$W19),"",$B19:$W19),IF(ISNA($B$2:$W$2),"",$B$2:$W$2))</f>
        <v>3.2271649722852527E-2</v>
      </c>
      <c r="AB19" s="1177" t="s">
        <v>986</v>
      </c>
    </row>
    <row r="20" spans="1:28" ht="24" x14ac:dyDescent="0.2">
      <c r="A20" s="1183" t="str">
        <f>"Number of Care Leavers Aged 19-21 at "&amp;Sheet1!$H$3&amp;", Rate per 10,000 19-21 Year Olds"</f>
        <v>Number of Care Leavers Aged 19-21 at 31st March, Rate per 10,000 19-21 Year Olds</v>
      </c>
      <c r="B20" s="1178">
        <f>IF(ISNUMBER(HLOOKUP(B$1,Home!$D$12:$AB$77,$X20,FALSE)),HLOOKUP(B$1,Home!$D$12:$AB$77,$X20,FALSE),NA())</f>
        <v>142.42424242424241</v>
      </c>
      <c r="C20" s="1178">
        <f>IF(ISNUMBER(HLOOKUP(C$1,Home!$D$12:$AB$77,$X20,FALSE)),HLOOKUP(C$1,Home!$D$12:$AB$77,$X20,FALSE),NA())</f>
        <v>103.7914691943128</v>
      </c>
      <c r="D20" s="1178">
        <f>IF(ISNUMBER(HLOOKUP(D$1,Home!$D$12:$AB$77,$X20,FALSE)),HLOOKUP(D$1,Home!$D$12:$AB$77,$X20,FALSE),NA())</f>
        <v>139.84962406015038</v>
      </c>
      <c r="E20" s="1178">
        <f>IF(ISNUMBER(HLOOKUP(E$1,Home!$D$12:$AB$77,$X20,FALSE)),HLOOKUP(E$1,Home!$D$12:$AB$77,$X20,FALSE),NA())</f>
        <v>109.86842105263158</v>
      </c>
      <c r="F20" s="1178">
        <f>IF(ISNUMBER(HLOOKUP(F$1,Home!$D$12:$AB$77,$X20,FALSE)),HLOOKUP(F$1,Home!$D$12:$AB$77,$X20,FALSE),NA())</f>
        <v>131.12244897959184</v>
      </c>
      <c r="G20" s="1178">
        <f>IF(ISNUMBER(HLOOKUP(G$1,Home!$D$12:$AB$77,$X20,FALSE)),HLOOKUP(G$1,Home!$D$12:$AB$77,$X20,FALSE),NA())</f>
        <v>234.21052631578948</v>
      </c>
      <c r="H20" s="1178">
        <f>IF(ISNUMBER(HLOOKUP(H$1,Home!$D$12:$AB$77,$X20,FALSE)),HLOOKUP(H$1,Home!$D$12:$AB$77,$X20,FALSE),NA())</f>
        <v>290.43977055449329</v>
      </c>
      <c r="I20" s="1178">
        <f>IF(ISNUMBER(HLOOKUP(I$1,Home!$D$12:$AB$77,$X20,FALSE)),HLOOKUP(I$1,Home!$D$12:$AB$77,$X20,FALSE),NA())</f>
        <v>123.95833333333333</v>
      </c>
      <c r="J20" s="1178">
        <f>IF(ISNUMBER(HLOOKUP(J$1,Home!$D$12:$AB$77,$X20,FALSE)),HLOOKUP(J$1,Home!$D$12:$AB$77,$X20,FALSE),NA())</f>
        <v>256.92307692307691</v>
      </c>
      <c r="K20" s="1178">
        <f>IF(ISNUMBER(HLOOKUP(K$1,Home!$D$12:$AB$77,$X20,FALSE)),HLOOKUP(K$1,Home!$D$12:$AB$77,$X20,FALSE),NA())</f>
        <v>91.973244147157203</v>
      </c>
      <c r="L20" s="1178">
        <f>IF(ISNUMBER(HLOOKUP(L$1,Home!$D$12:$AB$77,$X20,FALSE)),HLOOKUP(L$1,Home!$D$12:$AB$77,$X20,FALSE),NA())</f>
        <v>75</v>
      </c>
      <c r="M20" s="1178">
        <f>IF(ISNUMBER(HLOOKUP(M$1,Home!$D$12:$AB$77,$X20,FALSE)),HLOOKUP(M$1,Home!$D$12:$AB$77,$X20,FALSE),NA())</f>
        <v>104.25531914893618</v>
      </c>
      <c r="N20" s="1178">
        <f>IF(ISNUMBER(HLOOKUP(N$1,Home!$D$12:$AB$77,$X20,FALSE)),HLOOKUP(N$1,Home!$D$12:$AB$77,$X20,FALSE),NA())</f>
        <v>207.14285714285714</v>
      </c>
      <c r="O20" s="1179" t="e">
        <f>IF(ISNUMBER(HLOOKUP(O$1,Home!$D$12:$AB$77,$X20,FALSE)),HLOOKUP(O$1,Home!$D$12:$AB$77,$X20,FALSE),NA())</f>
        <v>#N/A</v>
      </c>
      <c r="P20" s="1178">
        <f>IF(ISNUMBER(HLOOKUP(P$1,Home!$D$12:$AB$77,$X20,FALSE)),HLOOKUP(P$1,Home!$D$12:$AB$77,$X20,FALSE),NA())</f>
        <v>57.727272727272734</v>
      </c>
      <c r="Q20" s="1178">
        <f>IF(ISNUMBER(HLOOKUP(Q$1,Home!$D$12:$AB$77,$X20,FALSE)),HLOOKUP(Q$1,Home!$D$12:$AB$77,$X20,FALSE),NA())</f>
        <v>126.66666666666666</v>
      </c>
      <c r="R20" s="1179" t="e">
        <f>IF(ISNUMBER(HLOOKUP(R$1,Home!$D$12:$AB$77,$X20,FALSE)),HLOOKUP(R$1,Home!$D$12:$AB$77,$X20,FALSE),NA())</f>
        <v>#N/A</v>
      </c>
      <c r="S20" s="1179" t="e">
        <f>IF(ISNUMBER(HLOOKUP(S$1,Home!$D$12:$AB$77,$X20,FALSE)),HLOOKUP(S$1,Home!$D$12:$AB$77,$X20,FALSE),NA())</f>
        <v>#N/A</v>
      </c>
      <c r="T20" s="1178">
        <f>IF(ISNUMBER(HLOOKUP(T$1,Home!$D$12:$AB$77,$X20,FALSE)),HLOOKUP(T$1,Home!$D$12:$AB$77,$X20,FALSE),NA())</f>
        <v>200</v>
      </c>
      <c r="U20" s="1178">
        <f>IF(ISNUMBER(HLOOKUP(U$1,Home!$D$12:$AB$77,$X20,FALSE)),HLOOKUP(U$1,Home!$D$12:$AB$77,$X20,FALSE),NA())</f>
        <v>161.33333333333331</v>
      </c>
      <c r="V20" s="1178">
        <f>IF(ISNUMBER(HLOOKUP(V$1,Home!$D$12:$AB$77,$X20,FALSE)),HLOOKUP(V$1,Home!$D$12:$AB$77,$X20,FALSE),NA())</f>
        <v>175.00000000000003</v>
      </c>
      <c r="W20" s="1178">
        <f>IF(ISNUMBER(HLOOKUP(W$1,Home!$D$12:$AB$77,$X20,FALSE)),HLOOKUP(W$1,Home!$D$12:$AB$77,$X20,FALSE),NA())</f>
        <v>86.36363636363636</v>
      </c>
      <c r="X20" s="1175">
        <f>VLOOKUP(A20,Home!C:BB,52,FALSE)</f>
        <v>63</v>
      </c>
      <c r="Y20" s="1182">
        <f t="array" ref="Y20">SLOPE(IF(ISNA($B20:$W20),"",$B20:$W20),IF(ISNA($B$2:$W$2),"",$B$2:$W$2))</f>
        <v>-0.35262655421394073</v>
      </c>
      <c r="Z20" s="1182">
        <f t="array" ref="Z20">INTERCEPT(IF(ISNA($B20:$W20),"",$B20:$W20),IF(ISNA($B$2:$W$2),"",$B$2:$W$2))</f>
        <v>152.92856202285392</v>
      </c>
      <c r="AA20" s="1182">
        <f t="array" ref="AA20">RSQ(IF(ISNA($B20:$W20),"",$B20:$W20),IF(ISNA($B$2:$W$2),"",$B$2:$W$2))</f>
        <v>6.7242276818017463E-4</v>
      </c>
      <c r="AB20" s="1183" t="s">
        <v>987</v>
      </c>
    </row>
    <row r="21" spans="1:28" ht="24" x14ac:dyDescent="0.2">
      <c r="A21" s="1183" t="str">
        <f>"Children placed for Adoption at "&amp;Sheet1!$H$3&amp;", Rate per 10,000 0-17 Year Olds"</f>
        <v>Children placed for Adoption at 31st March, Rate per 10,000 0-17 Year Olds</v>
      </c>
      <c r="B21" s="1178" t="e">
        <f>IF(ISNUMBER(HLOOKUP(B$1,Home!$D$12:$AB$77,$X21,FALSE)),HLOOKUP(B$1,Home!$D$12:$AB$77,$X21,FALSE),NA())</f>
        <v>#N/A</v>
      </c>
      <c r="C21" s="1178">
        <f>IF(ISNUMBER(HLOOKUP(C$1,Home!$D$12:$AB$77,$X21,FALSE)),HLOOKUP(C$1,Home!$D$12:$AB$77,$X21,FALSE),NA())</f>
        <v>1.9607843137254901</v>
      </c>
      <c r="D21" s="1178">
        <f>IF(ISNUMBER(HLOOKUP(D$1,Home!$D$12:$AB$77,$X21,FALSE)),HLOOKUP(D$1,Home!$D$12:$AB$77,$X21,FALSE),NA())</f>
        <v>1.4481094127111824</v>
      </c>
      <c r="E21" s="1178" t="e">
        <f>IF(ISNUMBER(HLOOKUP(E$1,Home!$D$12:$AB$77,$X21,FALSE)),HLOOKUP(E$1,Home!$D$12:$AB$77,$X21,FALSE),NA())</f>
        <v>#N/A</v>
      </c>
      <c r="F21" s="1178">
        <f>IF(ISNUMBER(HLOOKUP(F$1,Home!$D$12:$AB$77,$X21,FALSE)),HLOOKUP(F$1,Home!$D$12:$AB$77,$X21,FALSE),NA())</f>
        <v>1.6901408450704225</v>
      </c>
      <c r="G21" s="1178" t="e">
        <f>IF(ISNUMBER(HLOOKUP(G$1,Home!$D$12:$AB$77,$X21,FALSE)),HLOOKUP(G$1,Home!$D$12:$AB$77,$X21,FALSE),NA())</f>
        <v>#N/A</v>
      </c>
      <c r="H21" s="1178">
        <f>IF(ISNUMBER(HLOOKUP(H$1,Home!$D$12:$AB$77,$X21,FALSE)),HLOOKUP(H$1,Home!$D$12:$AB$77,$X21,FALSE),NA())</f>
        <v>1.1173184357541899</v>
      </c>
      <c r="I21" s="1178">
        <f>IF(ISNUMBER(HLOOKUP(I$1,Home!$D$12:$AB$77,$X21,FALSE)),HLOOKUP(I$1,Home!$D$12:$AB$77,$X21,FALSE),NA())</f>
        <v>1.5527950310559007</v>
      </c>
      <c r="J21" s="1178">
        <f>IF(ISNUMBER(HLOOKUP(J$1,Home!$D$12:$AB$77,$X21,FALSE)),HLOOKUP(J$1,Home!$D$12:$AB$77,$X21,FALSE),NA())</f>
        <v>0.87847730600292828</v>
      </c>
      <c r="K21" s="1178">
        <f>IF(ISNUMBER(HLOOKUP(K$1,Home!$D$12:$AB$77,$X21,FALSE)),HLOOKUP(K$1,Home!$D$12:$AB$77,$X21,FALSE),NA())</f>
        <v>2.0027624309392262</v>
      </c>
      <c r="L21" s="1178" t="e">
        <f>IF(ISNUMBER(HLOOKUP(L$1,Home!$D$12:$AB$77,$X21,FALSE)),HLOOKUP(L$1,Home!$D$12:$AB$77,$X21,FALSE),NA())</f>
        <v>#N/A</v>
      </c>
      <c r="M21" s="1178">
        <f>IF(ISNUMBER(HLOOKUP(M$1,Home!$D$12:$AB$77,$X21,FALSE)),HLOOKUP(M$1,Home!$D$12:$AB$77,$X21,FALSE),NA())</f>
        <v>1.8867924528301885</v>
      </c>
      <c r="N21" s="1178" t="e">
        <f>IF(ISNUMBER(HLOOKUP(N$1,Home!$D$12:$AB$77,$X21,FALSE)),HLOOKUP(N$1,Home!$D$12:$AB$77,$X21,FALSE),NA())</f>
        <v>#N/A</v>
      </c>
      <c r="O21" s="1179" t="e">
        <f>IF(ISNUMBER(HLOOKUP(O$1,Home!$D$12:$AB$77,$X21,FALSE)),HLOOKUP(O$1,Home!$D$12:$AB$77,$X21,FALSE),NA())</f>
        <v>#N/A</v>
      </c>
      <c r="P21" s="1178">
        <f>IF(ISNUMBER(HLOOKUP(P$1,Home!$D$12:$AB$77,$X21,FALSE)),HLOOKUP(P$1,Home!$D$12:$AB$77,$X21,FALSE),NA())</f>
        <v>2.5590551181102366</v>
      </c>
      <c r="Q21" s="1178">
        <f>IF(ISNUMBER(HLOOKUP(Q$1,Home!$D$12:$AB$77,$X21,FALSE)),HLOOKUP(Q$1,Home!$D$12:$AB$77,$X21,FALSE),NA())</f>
        <v>0.49637266132111491</v>
      </c>
      <c r="R21" s="1179" t="e">
        <f>IF(ISNUMBER(HLOOKUP(R$1,Home!$D$12:$AB$77,$X21,FALSE)),HLOOKUP(R$1,Home!$D$12:$AB$77,$X21,FALSE),NA())</f>
        <v>#N/A</v>
      </c>
      <c r="S21" s="1179" t="e">
        <f>IF(ISNUMBER(HLOOKUP(S$1,Home!$D$12:$AB$77,$X21,FALSE)),HLOOKUP(S$1,Home!$D$12:$AB$77,$X21,FALSE),NA())</f>
        <v>#N/A</v>
      </c>
      <c r="T21" s="1178" t="e">
        <f>IF(ISNUMBER(HLOOKUP(T$1,Home!$D$12:$AB$77,$X21,FALSE)),HLOOKUP(T$1,Home!$D$12:$AB$77,$X21,FALSE),NA())</f>
        <v>#N/A</v>
      </c>
      <c r="U21" s="1178">
        <f>IF(ISNUMBER(HLOOKUP(U$1,Home!$D$12:$AB$77,$X21,FALSE)),HLOOKUP(U$1,Home!$D$12:$AB$77,$X21,FALSE),NA())</f>
        <v>2.0034344590726958</v>
      </c>
      <c r="V21" s="1178" t="e">
        <f>IF(ISNUMBER(HLOOKUP(V$1,Home!$D$12:$AB$77,$X21,FALSE)),HLOOKUP(V$1,Home!$D$12:$AB$77,$X21,FALSE),NA())</f>
        <v>#N/A</v>
      </c>
      <c r="W21" s="1178" t="e">
        <f>IF(ISNUMBER(HLOOKUP(W$1,Home!$D$12:$AB$77,$X21,FALSE)),HLOOKUP(W$1,Home!$D$12:$AB$77,$X21,FALSE),NA())</f>
        <v>#N/A</v>
      </c>
      <c r="X21" s="1175">
        <f>VLOOKUP(A21,Home!C:BB,52,FALSE)</f>
        <v>56</v>
      </c>
      <c r="Y21" s="1182">
        <f t="array" ref="Y21">SLOPE(IF(ISNA($B21:$W21),"",$B21:$W21),IF(ISNA($B$2:$W$2),"",$B$2:$W$2))</f>
        <v>5.3519270826584558E-2</v>
      </c>
      <c r="Z21" s="1182">
        <f t="array" ref="Z21">INTERCEPT(IF(ISNA($B21:$W21),"",$B21:$W21),IF(ISNA($B$2:$W$2),"",$B$2:$W$2))</f>
        <v>0.87226467981992584</v>
      </c>
      <c r="AA21" s="1182">
        <f t="array" ref="AA21">RSQ(IF(ISNA($B21:$W21),"",$B21:$W21),IF(ISNA($B$2:$W$2),"",$B$2:$W$2))</f>
        <v>0.14602891308466037</v>
      </c>
      <c r="AB21" s="1183" t="s">
        <v>988</v>
      </c>
    </row>
    <row r="22" spans="1:28" ht="36" x14ac:dyDescent="0.2">
      <c r="A22" s="1183" t="str">
        <f>"Average days, between a child entering care and moving in with their adoptive family (children adopted in "&amp;Sheet1!$G$3&amp;")"</f>
        <v>Average days, between a child entering care and moving in with their adoptive family (children adopted in Year ending 31st March)</v>
      </c>
      <c r="B22" s="1178" t="e">
        <f>IF(ISNUMBER(HLOOKUP(B$1,Home!$D$12:$AB$77,$X22,FALSE)),HLOOKUP(B$1,Home!$D$12:$AB$77,$X22,FALSE),NA())</f>
        <v>#N/A</v>
      </c>
      <c r="C22" s="1178" t="e">
        <f>IF(ISNUMBER(HLOOKUP(C$1,Home!$D$12:$AB$77,$X22,FALSE)),HLOOKUP(C$1,Home!$D$12:$AB$77,$X22,FALSE),NA())</f>
        <v>#N/A</v>
      </c>
      <c r="D22" s="1178" t="e">
        <f>IF(ISNUMBER(HLOOKUP(D$1,Home!$D$12:$AB$77,$X22,FALSE)),HLOOKUP(D$1,Home!$D$12:$AB$77,$X22,FALSE),NA())</f>
        <v>#N/A</v>
      </c>
      <c r="E22" s="1178" t="e">
        <f>IF(ISNUMBER(HLOOKUP(E$1,Home!$D$12:$AB$77,$X22,FALSE)),HLOOKUP(E$1,Home!$D$12:$AB$77,$X22,FALSE),NA())</f>
        <v>#N/A</v>
      </c>
      <c r="F22" s="1178" t="e">
        <f>IF(ISNUMBER(HLOOKUP(F$1,Home!$D$12:$AB$77,$X22,FALSE)),HLOOKUP(F$1,Home!$D$12:$AB$77,$X22,FALSE),NA())</f>
        <v>#N/A</v>
      </c>
      <c r="G22" s="1178" t="e">
        <f>IF(ISNUMBER(HLOOKUP(G$1,Home!$D$12:$AB$77,$X22,FALSE)),HLOOKUP(G$1,Home!$D$12:$AB$77,$X22,FALSE),NA())</f>
        <v>#N/A</v>
      </c>
      <c r="H22" s="1178" t="e">
        <f>IF(ISNUMBER(HLOOKUP(H$1,Home!$D$12:$AB$77,$X22,FALSE)),HLOOKUP(H$1,Home!$D$12:$AB$77,$X22,FALSE),NA())</f>
        <v>#N/A</v>
      </c>
      <c r="I22" s="1178" t="e">
        <f>IF(ISNUMBER(HLOOKUP(I$1,Home!$D$12:$AB$77,$X22,FALSE)),HLOOKUP(I$1,Home!$D$12:$AB$77,$X22,FALSE),NA())</f>
        <v>#N/A</v>
      </c>
      <c r="J22" s="1178" t="e">
        <f>IF(ISNUMBER(HLOOKUP(J$1,Home!$D$12:$AB$77,$X22,FALSE)),HLOOKUP(J$1,Home!$D$12:$AB$77,$X22,FALSE),NA())</f>
        <v>#N/A</v>
      </c>
      <c r="K22" s="1178" t="e">
        <f>IF(ISNUMBER(HLOOKUP(K$1,Home!$D$12:$AB$77,$X22,FALSE)),HLOOKUP(K$1,Home!$D$12:$AB$77,$X22,FALSE),NA())</f>
        <v>#N/A</v>
      </c>
      <c r="L22" s="1178" t="e">
        <f>IF(ISNUMBER(HLOOKUP(L$1,Home!$D$12:$AB$77,$X22,FALSE)),HLOOKUP(L$1,Home!$D$12:$AB$77,$X22,FALSE),NA())</f>
        <v>#N/A</v>
      </c>
      <c r="M22" s="1178" t="e">
        <f>IF(ISNUMBER(HLOOKUP(M$1,Home!$D$12:$AB$77,$X22,FALSE)),HLOOKUP(M$1,Home!$D$12:$AB$77,$X22,FALSE),NA())</f>
        <v>#N/A</v>
      </c>
      <c r="N22" s="1178" t="e">
        <f>IF(ISNUMBER(HLOOKUP(N$1,Home!$D$12:$AB$77,$X22,FALSE)),HLOOKUP(N$1,Home!$D$12:$AB$77,$X22,FALSE),NA())</f>
        <v>#N/A</v>
      </c>
      <c r="O22" s="1179" t="e">
        <f>IF(ISNUMBER(HLOOKUP(O$1,Home!$D$12:$AB$77,$X22,FALSE)),HLOOKUP(O$1,Home!$D$12:$AB$77,$X22,FALSE),NA())</f>
        <v>#N/A</v>
      </c>
      <c r="P22" s="1178" t="e">
        <f>IF(ISNUMBER(HLOOKUP(P$1,Home!$D$12:$AB$77,$X22,FALSE)),HLOOKUP(P$1,Home!$D$12:$AB$77,$X22,FALSE),NA())</f>
        <v>#N/A</v>
      </c>
      <c r="Q22" s="1178" t="e">
        <f>IF(ISNUMBER(HLOOKUP(Q$1,Home!$D$12:$AB$77,$X22,FALSE)),HLOOKUP(Q$1,Home!$D$12:$AB$77,$X22,FALSE),NA())</f>
        <v>#N/A</v>
      </c>
      <c r="R22" s="1179" t="e">
        <f>IF(ISNUMBER(HLOOKUP(R$1,Home!$D$12:$AB$77,$X22,FALSE)),HLOOKUP(R$1,Home!$D$12:$AB$77,$X22,FALSE),NA())</f>
        <v>#N/A</v>
      </c>
      <c r="S22" s="1179" t="e">
        <f>IF(ISNUMBER(HLOOKUP(S$1,Home!$D$12:$AB$77,$X22,FALSE)),HLOOKUP(S$1,Home!$D$12:$AB$77,$X22,FALSE),NA())</f>
        <v>#N/A</v>
      </c>
      <c r="T22" s="1178" t="e">
        <f>IF(ISNUMBER(HLOOKUP(T$1,Home!$D$12:$AB$77,$X22,FALSE)),HLOOKUP(T$1,Home!$D$12:$AB$77,$X22,FALSE),NA())</f>
        <v>#N/A</v>
      </c>
      <c r="U22" s="1178" t="e">
        <f>IF(ISNUMBER(HLOOKUP(U$1,Home!$D$12:$AB$77,$X22,FALSE)),HLOOKUP(U$1,Home!$D$12:$AB$77,$X22,FALSE),NA())</f>
        <v>#N/A</v>
      </c>
      <c r="V22" s="1178" t="e">
        <f>IF(ISNUMBER(HLOOKUP(V$1,Home!$D$12:$AB$77,$X22,FALSE)),HLOOKUP(V$1,Home!$D$12:$AB$77,$X22,FALSE),NA())</f>
        <v>#N/A</v>
      </c>
      <c r="W22" s="1178" t="e">
        <f>IF(ISNUMBER(HLOOKUP(W$1,Home!$D$12:$AB$77,$X22,FALSE)),HLOOKUP(W$1,Home!$D$12:$AB$77,$X22,FALSE),NA())</f>
        <v>#N/A</v>
      </c>
      <c r="X22" s="1175" t="e">
        <f>VLOOKUP(A22,Home!C:BB,52,FALSE)</f>
        <v>#N/A</v>
      </c>
      <c r="Y22" s="1182" t="e">
        <f t="array" ref="Y22">SLOPE(IF(ISNA($B22:$W22),"",$B22:$W22),IF(ISNA($B$2:$W$2),"",$B$2:$W$2))</f>
        <v>#DIV/0!</v>
      </c>
      <c r="Z22" s="1182" t="e">
        <f t="array" ref="Z22">INTERCEPT(IF(ISNA($B22:$W22),"",$B22:$W22),IF(ISNA($B$2:$W$2),"",$B$2:$W$2))</f>
        <v>#DIV/0!</v>
      </c>
      <c r="AA22" s="1182" t="e">
        <f t="array" ref="AA22">RSQ(IF(ISNA($B22:$W22),"",$B22:$W22),IF(ISNA($B$2:$W$2),"",$B$2:$W$2))</f>
        <v>#DIV/0!</v>
      </c>
      <c r="AB22" s="1183" t="s">
        <v>989</v>
      </c>
    </row>
    <row r="23" spans="1:28" ht="24" x14ac:dyDescent="0.2">
      <c r="A23" s="1177" t="str">
        <f>"Children subject to Child Arrangement Orders at "&amp;Sheet1!$H$3&amp;"- TOTAL (Rate per 10,000 0-17 Year Olds)"</f>
        <v>Children subject to Child Arrangement Orders at 31st March- TOTAL (Rate per 10,000 0-17 Year Olds)</v>
      </c>
      <c r="B23" s="1178" t="e">
        <f>IF(ISNUMBER(HLOOKUP(B$1,Home!$D$12:$AB$77,$X23,FALSE)),HLOOKUP(B$1,Home!$D$12:$AB$77,$X23,FALSE),NA())</f>
        <v>#N/A</v>
      </c>
      <c r="C23" s="1178" t="e">
        <f>IF(ISNUMBER(HLOOKUP(C$1,Home!$D$12:$AB$77,$X23,FALSE)),HLOOKUP(C$1,Home!$D$12:$AB$77,$X23,FALSE),NA())</f>
        <v>#N/A</v>
      </c>
      <c r="D23" s="1178" t="e">
        <f>IF(ISNUMBER(HLOOKUP(D$1,Home!$D$12:$AB$77,$X23,FALSE)),HLOOKUP(D$1,Home!$D$12:$AB$77,$X23,FALSE),NA())</f>
        <v>#N/A</v>
      </c>
      <c r="E23" s="1178" t="e">
        <f>IF(ISNUMBER(HLOOKUP(E$1,Home!$D$12:$AB$77,$X23,FALSE)),HLOOKUP(E$1,Home!$D$12:$AB$77,$X23,FALSE),NA())</f>
        <v>#N/A</v>
      </c>
      <c r="F23" s="1178" t="e">
        <f>IF(ISNUMBER(HLOOKUP(F$1,Home!$D$12:$AB$77,$X23,FALSE)),HLOOKUP(F$1,Home!$D$12:$AB$77,$X23,FALSE),NA())</f>
        <v>#N/A</v>
      </c>
      <c r="G23" s="1178" t="e">
        <f>IF(ISNUMBER(HLOOKUP(G$1,Home!$D$12:$AB$77,$X23,FALSE)),HLOOKUP(G$1,Home!$D$12:$AB$77,$X23,FALSE),NA())</f>
        <v>#N/A</v>
      </c>
      <c r="H23" s="1178" t="e">
        <f>IF(ISNUMBER(HLOOKUP(H$1,Home!$D$12:$AB$77,$X23,FALSE)),HLOOKUP(H$1,Home!$D$12:$AB$77,$X23,FALSE),NA())</f>
        <v>#N/A</v>
      </c>
      <c r="I23" s="1178" t="e">
        <f>IF(ISNUMBER(HLOOKUP(I$1,Home!$D$12:$AB$77,$X23,FALSE)),HLOOKUP(I$1,Home!$D$12:$AB$77,$X23,FALSE),NA())</f>
        <v>#N/A</v>
      </c>
      <c r="J23" s="1178" t="e">
        <f>IF(ISNUMBER(HLOOKUP(J$1,Home!$D$12:$AB$77,$X23,FALSE)),HLOOKUP(J$1,Home!$D$12:$AB$77,$X23,FALSE),NA())</f>
        <v>#N/A</v>
      </c>
      <c r="K23" s="1178" t="e">
        <f>IF(ISNUMBER(HLOOKUP(K$1,Home!$D$12:$AB$77,$X23,FALSE)),HLOOKUP(K$1,Home!$D$12:$AB$77,$X23,FALSE),NA())</f>
        <v>#N/A</v>
      </c>
      <c r="L23" s="1178" t="e">
        <f>IF(ISNUMBER(HLOOKUP(L$1,Home!$D$12:$AB$77,$X23,FALSE)),HLOOKUP(L$1,Home!$D$12:$AB$77,$X23,FALSE),NA())</f>
        <v>#N/A</v>
      </c>
      <c r="M23" s="1178" t="e">
        <f>IF(ISNUMBER(HLOOKUP(M$1,Home!$D$12:$AB$77,$X23,FALSE)),HLOOKUP(M$1,Home!$D$12:$AB$77,$X23,FALSE),NA())</f>
        <v>#N/A</v>
      </c>
      <c r="N23" s="1178" t="e">
        <f>IF(ISNUMBER(HLOOKUP(N$1,Home!$D$12:$AB$77,$X23,FALSE)),HLOOKUP(N$1,Home!$D$12:$AB$77,$X23,FALSE),NA())</f>
        <v>#N/A</v>
      </c>
      <c r="O23" s="1179" t="e">
        <f>IF(ISNUMBER(HLOOKUP(O$1,Home!$D$12:$AB$77,$X23,FALSE)),HLOOKUP(O$1,Home!$D$12:$AB$77,$X23,FALSE),NA())</f>
        <v>#N/A</v>
      </c>
      <c r="P23" s="1178" t="e">
        <f>IF(ISNUMBER(HLOOKUP(P$1,Home!$D$12:$AB$77,$X23,FALSE)),HLOOKUP(P$1,Home!$D$12:$AB$77,$X23,FALSE),NA())</f>
        <v>#N/A</v>
      </c>
      <c r="Q23" s="1178" t="e">
        <f>IF(ISNUMBER(HLOOKUP(Q$1,Home!$D$12:$AB$77,$X23,FALSE)),HLOOKUP(Q$1,Home!$D$12:$AB$77,$X23,FALSE),NA())</f>
        <v>#N/A</v>
      </c>
      <c r="R23" s="1179" t="e">
        <f>IF(ISNUMBER(HLOOKUP(R$1,Home!$D$12:$AB$77,$X23,FALSE)),HLOOKUP(R$1,Home!$D$12:$AB$77,$X23,FALSE),NA())</f>
        <v>#N/A</v>
      </c>
      <c r="S23" s="1179" t="e">
        <f>IF(ISNUMBER(HLOOKUP(S$1,Home!$D$12:$AB$77,$X23,FALSE)),HLOOKUP(S$1,Home!$D$12:$AB$77,$X23,FALSE),NA())</f>
        <v>#N/A</v>
      </c>
      <c r="T23" s="1178" t="e">
        <f>IF(ISNUMBER(HLOOKUP(T$1,Home!$D$12:$AB$77,$X23,FALSE)),HLOOKUP(T$1,Home!$D$12:$AB$77,$X23,FALSE),NA())</f>
        <v>#N/A</v>
      </c>
      <c r="U23" s="1178" t="e">
        <f>IF(ISNUMBER(HLOOKUP(U$1,Home!$D$12:$AB$77,$X23,FALSE)),HLOOKUP(U$1,Home!$D$12:$AB$77,$X23,FALSE),NA())</f>
        <v>#N/A</v>
      </c>
      <c r="V23" s="1178" t="e">
        <f>IF(ISNUMBER(HLOOKUP(V$1,Home!$D$12:$AB$77,$X23,FALSE)),HLOOKUP(V$1,Home!$D$12:$AB$77,$X23,FALSE),NA())</f>
        <v>#N/A</v>
      </c>
      <c r="W23" s="1178" t="e">
        <f>IF(ISNUMBER(HLOOKUP(W$1,Home!$D$12:$AB$77,$X23,FALSE)),HLOOKUP(W$1,Home!$D$12:$AB$77,$X23,FALSE),NA())</f>
        <v>#N/A</v>
      </c>
      <c r="X23" s="1175" t="e">
        <f>VLOOKUP(A23,Home!C:BB,52,FALSE)</f>
        <v>#N/A</v>
      </c>
      <c r="Y23" s="1182" t="e">
        <f t="array" ref="Y23">SLOPE(IF(ISNA($B23:$W23),"",$B23:$W23),IF(ISNA($B$2:$W$2),"",$B$2:$W$2))</f>
        <v>#DIV/0!</v>
      </c>
      <c r="Z23" s="1182" t="e">
        <f t="array" ref="Z23">INTERCEPT(IF(ISNA($B23:$W23),"",$B23:$W23),IF(ISNA($B$2:$W$2),"",$B$2:$W$2))</f>
        <v>#DIV/0!</v>
      </c>
      <c r="AA23" s="1182" t="e">
        <f t="array" ref="AA23">RSQ(IF(ISNA($B23:$W23),"",$B23:$W23),IF(ISNA($B$2:$W$2),"",$B$2:$W$2))</f>
        <v>#DIV/0!</v>
      </c>
      <c r="AB23" s="1177" t="s">
        <v>990</v>
      </c>
    </row>
    <row r="24" spans="1:28" ht="24" x14ac:dyDescent="0.2">
      <c r="A24" s="1177" t="str">
        <f>"Children subject to Special Guardianship Orders at "&amp;Sheet1!$H$3&amp;"- TOTAL (Rate per 10,000 0-17 Year Olds)"</f>
        <v>Children subject to Special Guardianship Orders at 31st March- TOTAL (Rate per 10,000 0-17 Year Olds)</v>
      </c>
      <c r="B24" s="1178" t="e">
        <f>IF(ISNUMBER(HLOOKUP(B$1,Home!$D$12:$AB$77,$X24,FALSE)),HLOOKUP(B$1,Home!$D$12:$AB$77,$X24,FALSE),NA())</f>
        <v>#N/A</v>
      </c>
      <c r="C24" s="1178" t="e">
        <f>IF(ISNUMBER(HLOOKUP(C$1,Home!$D$12:$AB$77,$X24,FALSE)),HLOOKUP(C$1,Home!$D$12:$AB$77,$X24,FALSE),NA())</f>
        <v>#N/A</v>
      </c>
      <c r="D24" s="1178" t="e">
        <f>IF(ISNUMBER(HLOOKUP(D$1,Home!$D$12:$AB$77,$X24,FALSE)),HLOOKUP(D$1,Home!$D$12:$AB$77,$X24,FALSE),NA())</f>
        <v>#N/A</v>
      </c>
      <c r="E24" s="1178" t="e">
        <f>IF(ISNUMBER(HLOOKUP(E$1,Home!$D$12:$AB$77,$X24,FALSE)),HLOOKUP(E$1,Home!$D$12:$AB$77,$X24,FALSE),NA())</f>
        <v>#N/A</v>
      </c>
      <c r="F24" s="1178" t="e">
        <f>IF(ISNUMBER(HLOOKUP(F$1,Home!$D$12:$AB$77,$X24,FALSE)),HLOOKUP(F$1,Home!$D$12:$AB$77,$X24,FALSE),NA())</f>
        <v>#N/A</v>
      </c>
      <c r="G24" s="1178" t="e">
        <f>IF(ISNUMBER(HLOOKUP(G$1,Home!$D$12:$AB$77,$X24,FALSE)),HLOOKUP(G$1,Home!$D$12:$AB$77,$X24,FALSE),NA())</f>
        <v>#N/A</v>
      </c>
      <c r="H24" s="1178" t="e">
        <f>IF(ISNUMBER(HLOOKUP(H$1,Home!$D$12:$AB$77,$X24,FALSE)),HLOOKUP(H$1,Home!$D$12:$AB$77,$X24,FALSE),NA())</f>
        <v>#N/A</v>
      </c>
      <c r="I24" s="1178" t="e">
        <f>IF(ISNUMBER(HLOOKUP(I$1,Home!$D$12:$AB$77,$X24,FALSE)),HLOOKUP(I$1,Home!$D$12:$AB$77,$X24,FALSE),NA())</f>
        <v>#N/A</v>
      </c>
      <c r="J24" s="1178" t="e">
        <f>IF(ISNUMBER(HLOOKUP(J$1,Home!$D$12:$AB$77,$X24,FALSE)),HLOOKUP(J$1,Home!$D$12:$AB$77,$X24,FALSE),NA())</f>
        <v>#N/A</v>
      </c>
      <c r="K24" s="1178" t="e">
        <f>IF(ISNUMBER(HLOOKUP(K$1,Home!$D$12:$AB$77,$X24,FALSE)),HLOOKUP(K$1,Home!$D$12:$AB$77,$X24,FALSE),NA())</f>
        <v>#N/A</v>
      </c>
      <c r="L24" s="1178" t="e">
        <f>IF(ISNUMBER(HLOOKUP(L$1,Home!$D$12:$AB$77,$X24,FALSE)),HLOOKUP(L$1,Home!$D$12:$AB$77,$X24,FALSE),NA())</f>
        <v>#N/A</v>
      </c>
      <c r="M24" s="1178" t="e">
        <f>IF(ISNUMBER(HLOOKUP(M$1,Home!$D$12:$AB$77,$X24,FALSE)),HLOOKUP(M$1,Home!$D$12:$AB$77,$X24,FALSE),NA())</f>
        <v>#N/A</v>
      </c>
      <c r="N24" s="1178" t="e">
        <f>IF(ISNUMBER(HLOOKUP(N$1,Home!$D$12:$AB$77,$X24,FALSE)),HLOOKUP(N$1,Home!$D$12:$AB$77,$X24,FALSE),NA())</f>
        <v>#N/A</v>
      </c>
      <c r="O24" s="1179" t="e">
        <f>IF(ISNUMBER(HLOOKUP(O$1,Home!$D$12:$AB$77,$X24,FALSE)),HLOOKUP(O$1,Home!$D$12:$AB$77,$X24,FALSE),NA())</f>
        <v>#N/A</v>
      </c>
      <c r="P24" s="1178" t="e">
        <f>IF(ISNUMBER(HLOOKUP(P$1,Home!$D$12:$AB$77,$X24,FALSE)),HLOOKUP(P$1,Home!$D$12:$AB$77,$X24,FALSE),NA())</f>
        <v>#N/A</v>
      </c>
      <c r="Q24" s="1178" t="e">
        <f>IF(ISNUMBER(HLOOKUP(Q$1,Home!$D$12:$AB$77,$X24,FALSE)),HLOOKUP(Q$1,Home!$D$12:$AB$77,$X24,FALSE),NA())</f>
        <v>#N/A</v>
      </c>
      <c r="R24" s="1179" t="e">
        <f>IF(ISNUMBER(HLOOKUP(R$1,Home!$D$12:$AB$77,$X24,FALSE)),HLOOKUP(R$1,Home!$D$12:$AB$77,$X24,FALSE),NA())</f>
        <v>#N/A</v>
      </c>
      <c r="S24" s="1179" t="e">
        <f>IF(ISNUMBER(HLOOKUP(S$1,Home!$D$12:$AB$77,$X24,FALSE)),HLOOKUP(S$1,Home!$D$12:$AB$77,$X24,FALSE),NA())</f>
        <v>#N/A</v>
      </c>
      <c r="T24" s="1178" t="e">
        <f>IF(ISNUMBER(HLOOKUP(T$1,Home!$D$12:$AB$77,$X24,FALSE)),HLOOKUP(T$1,Home!$D$12:$AB$77,$X24,FALSE),NA())</f>
        <v>#N/A</v>
      </c>
      <c r="U24" s="1178" t="e">
        <f>IF(ISNUMBER(HLOOKUP(U$1,Home!$D$12:$AB$77,$X24,FALSE)),HLOOKUP(U$1,Home!$D$12:$AB$77,$X24,FALSE),NA())</f>
        <v>#N/A</v>
      </c>
      <c r="V24" s="1178" t="e">
        <f>IF(ISNUMBER(HLOOKUP(V$1,Home!$D$12:$AB$77,$X24,FALSE)),HLOOKUP(V$1,Home!$D$12:$AB$77,$X24,FALSE),NA())</f>
        <v>#N/A</v>
      </c>
      <c r="W24" s="1178" t="e">
        <f>IF(ISNUMBER(HLOOKUP(W$1,Home!$D$12:$AB$77,$X24,FALSE)),HLOOKUP(W$1,Home!$D$12:$AB$77,$X24,FALSE),NA())</f>
        <v>#N/A</v>
      </c>
      <c r="X24" s="1175" t="e">
        <f>VLOOKUP(A24,Home!C:BB,52,FALSE)</f>
        <v>#N/A</v>
      </c>
      <c r="Y24" s="1182" t="e">
        <f t="array" ref="Y24">SLOPE(IF(ISNA($B24:$W24),"",$B24:$W24),IF(ISNA($B$2:$W$2),"",$B$2:$W$2))</f>
        <v>#DIV/0!</v>
      </c>
      <c r="Z24" s="1182" t="e">
        <f t="array" ref="Z24">INTERCEPT(IF(ISNA($B24:$W24),"",$B24:$W24),IF(ISNA($B$2:$W$2),"",$B$2:$W$2))</f>
        <v>#DIV/0!</v>
      </c>
      <c r="AA24" s="1182" t="e">
        <f t="array" ref="AA24">RSQ(IF(ISNA($B24:$W24),"",$B24:$W24),IF(ISNA($B$2:$W$2),"",$B$2:$W$2))</f>
        <v>#DIV/0!</v>
      </c>
      <c r="AB24" s="1177" t="s">
        <v>991</v>
      </c>
    </row>
    <row r="25" spans="1:28" ht="36" x14ac:dyDescent="0.2">
      <c r="A25" s="1183" t="str">
        <f>"% Young People aged 16-17 who are Participating in Education, Employment or Training (EET) at "&amp;Sheet1!$H$3</f>
        <v>% Young People aged 16-17 who are Participating in Education, Employment or Training (EET) at 31st March</v>
      </c>
      <c r="B25" s="1178" t="e">
        <f>IF(ISNUMBER(HLOOKUP(B$1,Home!$D$12:$AB$77,$X25,FALSE)),HLOOKUP(B$1,Home!$D$12:$AB$77,$X25,FALSE),NA())</f>
        <v>#N/A</v>
      </c>
      <c r="C25" s="1178" t="e">
        <f>IF(ISNUMBER(HLOOKUP(C$1,Home!$D$12:$AB$77,$X25,FALSE)),HLOOKUP(C$1,Home!$D$12:$AB$77,$X25,FALSE),NA())</f>
        <v>#N/A</v>
      </c>
      <c r="D25" s="1178" t="e">
        <f>IF(ISNUMBER(HLOOKUP(D$1,Home!$D$12:$AB$77,$X25,FALSE)),HLOOKUP(D$1,Home!$D$12:$AB$77,$X25,FALSE),NA())</f>
        <v>#N/A</v>
      </c>
      <c r="E25" s="1178" t="e">
        <f>IF(ISNUMBER(HLOOKUP(E$1,Home!$D$12:$AB$77,$X25,FALSE)),HLOOKUP(E$1,Home!$D$12:$AB$77,$X25,FALSE),NA())</f>
        <v>#N/A</v>
      </c>
      <c r="F25" s="1178" t="e">
        <f>IF(ISNUMBER(HLOOKUP(F$1,Home!$D$12:$AB$77,$X25,FALSE)),HLOOKUP(F$1,Home!$D$12:$AB$77,$X25,FALSE),NA())</f>
        <v>#N/A</v>
      </c>
      <c r="G25" s="1178" t="e">
        <f>IF(ISNUMBER(HLOOKUP(G$1,Home!$D$12:$AB$77,$X25,FALSE)),HLOOKUP(G$1,Home!$D$12:$AB$77,$X25,FALSE),NA())</f>
        <v>#N/A</v>
      </c>
      <c r="H25" s="1178" t="e">
        <f>IF(ISNUMBER(HLOOKUP(H$1,Home!$D$12:$AB$77,$X25,FALSE)),HLOOKUP(H$1,Home!$D$12:$AB$77,$X25,FALSE),NA())</f>
        <v>#N/A</v>
      </c>
      <c r="I25" s="1178" t="e">
        <f>IF(ISNUMBER(HLOOKUP(I$1,Home!$D$12:$AB$77,$X25,FALSE)),HLOOKUP(I$1,Home!$D$12:$AB$77,$X25,FALSE),NA())</f>
        <v>#N/A</v>
      </c>
      <c r="J25" s="1178" t="e">
        <f>IF(ISNUMBER(HLOOKUP(J$1,Home!$D$12:$AB$77,$X25,FALSE)),HLOOKUP(J$1,Home!$D$12:$AB$77,$X25,FALSE),NA())</f>
        <v>#N/A</v>
      </c>
      <c r="K25" s="1178" t="e">
        <f>IF(ISNUMBER(HLOOKUP(K$1,Home!$D$12:$AB$77,$X25,FALSE)),HLOOKUP(K$1,Home!$D$12:$AB$77,$X25,FALSE),NA())</f>
        <v>#N/A</v>
      </c>
      <c r="L25" s="1178" t="e">
        <f>IF(ISNUMBER(HLOOKUP(L$1,Home!$D$12:$AB$77,$X25,FALSE)),HLOOKUP(L$1,Home!$D$12:$AB$77,$X25,FALSE),NA())</f>
        <v>#N/A</v>
      </c>
      <c r="M25" s="1178" t="e">
        <f>IF(ISNUMBER(HLOOKUP(M$1,Home!$D$12:$AB$77,$X25,FALSE)),HLOOKUP(M$1,Home!$D$12:$AB$77,$X25,FALSE),NA())</f>
        <v>#N/A</v>
      </c>
      <c r="N25" s="1178" t="e">
        <f>IF(ISNUMBER(HLOOKUP(N$1,Home!$D$12:$AB$77,$X25,FALSE)),HLOOKUP(N$1,Home!$D$12:$AB$77,$X25,FALSE),NA())</f>
        <v>#N/A</v>
      </c>
      <c r="O25" s="1179" t="e">
        <f>IF(ISNUMBER(HLOOKUP(O$1,Home!$D$12:$AB$77,$X25,FALSE)),HLOOKUP(O$1,Home!$D$12:$AB$77,$X25,FALSE),NA())</f>
        <v>#N/A</v>
      </c>
      <c r="P25" s="1178" t="e">
        <f>IF(ISNUMBER(HLOOKUP(P$1,Home!$D$12:$AB$77,$X25,FALSE)),HLOOKUP(P$1,Home!$D$12:$AB$77,$X25,FALSE),NA())</f>
        <v>#N/A</v>
      </c>
      <c r="Q25" s="1178" t="e">
        <f>IF(ISNUMBER(HLOOKUP(Q$1,Home!$D$12:$AB$77,$X25,FALSE)),HLOOKUP(Q$1,Home!$D$12:$AB$77,$X25,FALSE),NA())</f>
        <v>#N/A</v>
      </c>
      <c r="R25" s="1179" t="e">
        <f>IF(ISNUMBER(HLOOKUP(R$1,Home!$D$12:$AB$77,$X25,FALSE)),HLOOKUP(R$1,Home!$D$12:$AB$77,$X25,FALSE),NA())</f>
        <v>#N/A</v>
      </c>
      <c r="S25" s="1179" t="e">
        <f>IF(ISNUMBER(HLOOKUP(S$1,Home!$D$12:$AB$77,$X25,FALSE)),HLOOKUP(S$1,Home!$D$12:$AB$77,$X25,FALSE),NA())</f>
        <v>#N/A</v>
      </c>
      <c r="T25" s="1178" t="e">
        <f>IF(ISNUMBER(HLOOKUP(T$1,Home!$D$12:$AB$77,$X25,FALSE)),HLOOKUP(T$1,Home!$D$12:$AB$77,$X25,FALSE),NA())</f>
        <v>#N/A</v>
      </c>
      <c r="U25" s="1178" t="e">
        <f>IF(ISNUMBER(HLOOKUP(U$1,Home!$D$12:$AB$77,$X25,FALSE)),HLOOKUP(U$1,Home!$D$12:$AB$77,$X25,FALSE),NA())</f>
        <v>#N/A</v>
      </c>
      <c r="V25" s="1178" t="e">
        <f>IF(ISNUMBER(HLOOKUP(V$1,Home!$D$12:$AB$77,$X25,FALSE)),HLOOKUP(V$1,Home!$D$12:$AB$77,$X25,FALSE),NA())</f>
        <v>#N/A</v>
      </c>
      <c r="W25" s="1178" t="e">
        <f>IF(ISNUMBER(HLOOKUP(W$1,Home!$D$12:$AB$77,$X25,FALSE)),HLOOKUP(W$1,Home!$D$12:$AB$77,$X25,FALSE),NA())</f>
        <v>#N/A</v>
      </c>
      <c r="X25" s="1175" t="e">
        <f>VLOOKUP(A25,Home!C:BB,52,FALSE)</f>
        <v>#N/A</v>
      </c>
      <c r="Y25" s="1182" t="e">
        <f t="array" ref="Y25">SLOPE(IF(ISNA($B25:$W25),"",$B25:$W25),IF(ISNA($B$2:$W$2),"",$B$2:$W$2))</f>
        <v>#DIV/0!</v>
      </c>
      <c r="Z25" s="1182" t="e">
        <f t="array" ref="Z25">INTERCEPT(IF(ISNA($B25:$W25),"",$B25:$W25),IF(ISNA($B$2:$W$2),"",$B$2:$W$2))</f>
        <v>#DIV/0!</v>
      </c>
      <c r="AA25" s="1182" t="e">
        <f t="array" ref="AA25">RSQ(IF(ISNA($B25:$W25),"",$B25:$W25),IF(ISNA($B$2:$W$2),"",$B$2:$W$2))</f>
        <v>#DIV/0!</v>
      </c>
      <c r="AB25" s="1183" t="s">
        <v>992</v>
      </c>
    </row>
    <row r="26" spans="1:28" ht="36" x14ac:dyDescent="0.2">
      <c r="A26" s="1183" t="str">
        <f>"First Time Entrants to the Youth Justice System during the "&amp;Sheet1!$G$3&amp;", Rate per 100,000 10-17 Year Olds"</f>
        <v>First Time Entrants to the Youth Justice System during the Year ending 31st March, Rate per 100,000 10-17 Year Olds</v>
      </c>
      <c r="B26" s="1178" t="e">
        <f>IF(ISNUMBER(HLOOKUP(B$1,Home!$D$12:$AB$77,$X26,FALSE)),HLOOKUP(B$1,Home!$D$12:$AB$77,$X26,FALSE),NA())</f>
        <v>#N/A</v>
      </c>
      <c r="C26" s="1178" t="e">
        <f>IF(ISNUMBER(HLOOKUP(C$1,Home!$D$12:$AB$77,$X26,FALSE)),HLOOKUP(C$1,Home!$D$12:$AB$77,$X26,FALSE),NA())</f>
        <v>#N/A</v>
      </c>
      <c r="D26" s="1178" t="e">
        <f>IF(ISNUMBER(HLOOKUP(D$1,Home!$D$12:$AB$77,$X26,FALSE)),HLOOKUP(D$1,Home!$D$12:$AB$77,$X26,FALSE),NA())</f>
        <v>#N/A</v>
      </c>
      <c r="E26" s="1178" t="e">
        <f>IF(ISNUMBER(HLOOKUP(E$1,Home!$D$12:$AB$77,$X26,FALSE)),HLOOKUP(E$1,Home!$D$12:$AB$77,$X26,FALSE),NA())</f>
        <v>#N/A</v>
      </c>
      <c r="F26" s="1178" t="e">
        <f>IF(ISNUMBER(HLOOKUP(F$1,Home!$D$12:$AB$77,$X26,FALSE)),HLOOKUP(F$1,Home!$D$12:$AB$77,$X26,FALSE),NA())</f>
        <v>#N/A</v>
      </c>
      <c r="G26" s="1178" t="e">
        <f>IF(ISNUMBER(HLOOKUP(G$1,Home!$D$12:$AB$77,$X26,FALSE)),HLOOKUP(G$1,Home!$D$12:$AB$77,$X26,FALSE),NA())</f>
        <v>#N/A</v>
      </c>
      <c r="H26" s="1178" t="e">
        <f>IF(ISNUMBER(HLOOKUP(H$1,Home!$D$12:$AB$77,$X26,FALSE)),HLOOKUP(H$1,Home!$D$12:$AB$77,$X26,FALSE),NA())</f>
        <v>#N/A</v>
      </c>
      <c r="I26" s="1178" t="e">
        <f>IF(ISNUMBER(HLOOKUP(I$1,Home!$D$12:$AB$77,$X26,FALSE)),HLOOKUP(I$1,Home!$D$12:$AB$77,$X26,FALSE),NA())</f>
        <v>#N/A</v>
      </c>
      <c r="J26" s="1178" t="e">
        <f>IF(ISNUMBER(HLOOKUP(J$1,Home!$D$12:$AB$77,$X26,FALSE)),HLOOKUP(J$1,Home!$D$12:$AB$77,$X26,FALSE),NA())</f>
        <v>#N/A</v>
      </c>
      <c r="K26" s="1178" t="e">
        <f>IF(ISNUMBER(HLOOKUP(K$1,Home!$D$12:$AB$77,$X26,FALSE)),HLOOKUP(K$1,Home!$D$12:$AB$77,$X26,FALSE),NA())</f>
        <v>#N/A</v>
      </c>
      <c r="L26" s="1178" t="e">
        <f>IF(ISNUMBER(HLOOKUP(L$1,Home!$D$12:$AB$77,$X26,FALSE)),HLOOKUP(L$1,Home!$D$12:$AB$77,$X26,FALSE),NA())</f>
        <v>#N/A</v>
      </c>
      <c r="M26" s="1178" t="e">
        <f>IF(ISNUMBER(HLOOKUP(M$1,Home!$D$12:$AB$77,$X26,FALSE)),HLOOKUP(M$1,Home!$D$12:$AB$77,$X26,FALSE),NA())</f>
        <v>#N/A</v>
      </c>
      <c r="N26" s="1178" t="e">
        <f>IF(ISNUMBER(HLOOKUP(N$1,Home!$D$12:$AB$77,$X26,FALSE)),HLOOKUP(N$1,Home!$D$12:$AB$77,$X26,FALSE),NA())</f>
        <v>#N/A</v>
      </c>
      <c r="O26" s="1179" t="e">
        <f>IF(ISNUMBER(HLOOKUP(O$1,Home!$D$12:$AB$77,$X26,FALSE)),HLOOKUP(O$1,Home!$D$12:$AB$77,$X26,FALSE),NA())</f>
        <v>#N/A</v>
      </c>
      <c r="P26" s="1178" t="e">
        <f>IF(ISNUMBER(HLOOKUP(P$1,Home!$D$12:$AB$77,$X26,FALSE)),HLOOKUP(P$1,Home!$D$12:$AB$77,$X26,FALSE),NA())</f>
        <v>#N/A</v>
      </c>
      <c r="Q26" s="1178" t="e">
        <f>IF(ISNUMBER(HLOOKUP(Q$1,Home!$D$12:$AB$77,$X26,FALSE)),HLOOKUP(Q$1,Home!$D$12:$AB$77,$X26,FALSE),NA())</f>
        <v>#N/A</v>
      </c>
      <c r="R26" s="1179" t="e">
        <f>IF(ISNUMBER(HLOOKUP(R$1,Home!$D$12:$AB$77,$X26,FALSE)),HLOOKUP(R$1,Home!$D$12:$AB$77,$X26,FALSE),NA())</f>
        <v>#N/A</v>
      </c>
      <c r="S26" s="1179" t="e">
        <f>IF(ISNUMBER(HLOOKUP(S$1,Home!$D$12:$AB$77,$X26,FALSE)),HLOOKUP(S$1,Home!$D$12:$AB$77,$X26,FALSE),NA())</f>
        <v>#N/A</v>
      </c>
      <c r="T26" s="1178" t="e">
        <f>IF(ISNUMBER(HLOOKUP(T$1,Home!$D$12:$AB$77,$X26,FALSE)),HLOOKUP(T$1,Home!$D$12:$AB$77,$X26,FALSE),NA())</f>
        <v>#N/A</v>
      </c>
      <c r="U26" s="1178" t="e">
        <f>IF(ISNUMBER(HLOOKUP(U$1,Home!$D$12:$AB$77,$X26,FALSE)),HLOOKUP(U$1,Home!$D$12:$AB$77,$X26,FALSE),NA())</f>
        <v>#N/A</v>
      </c>
      <c r="V26" s="1178" t="e">
        <f>IF(ISNUMBER(HLOOKUP(V$1,Home!$D$12:$AB$77,$X26,FALSE)),HLOOKUP(V$1,Home!$D$12:$AB$77,$X26,FALSE),NA())</f>
        <v>#N/A</v>
      </c>
      <c r="W26" s="1178" t="e">
        <f>IF(ISNUMBER(HLOOKUP(W$1,Home!$D$12:$AB$77,$X26,FALSE)),HLOOKUP(W$1,Home!$D$12:$AB$77,$X26,FALSE),NA())</f>
        <v>#N/A</v>
      </c>
      <c r="X26" s="1175" t="e">
        <f>VLOOKUP(A26,Home!C:BB,52,FALSE)</f>
        <v>#N/A</v>
      </c>
      <c r="Y26" s="1182" t="e">
        <f t="array" ref="Y26">SLOPE(IF(ISNA($B26:$W26),"",$B26:$W26),IF(ISNA($B$2:$W$2),"",$B$2:$W$2))</f>
        <v>#DIV/0!</v>
      </c>
      <c r="Z26" s="1182" t="e">
        <f t="array" ref="Z26">INTERCEPT(IF(ISNA($B26:$W26),"",$B26:$W26),IF(ISNA($B$2:$W$2),"",$B$2:$W$2))</f>
        <v>#DIV/0!</v>
      </c>
      <c r="AA26" s="1182" t="e">
        <f t="array" ref="AA26">RSQ(IF(ISNA($B26:$W26),"",$B26:$W26),IF(ISNA($B$2:$W$2),"",$B$2:$W$2))</f>
        <v>#DIV/0!</v>
      </c>
      <c r="AB26" s="1183" t="s">
        <v>993</v>
      </c>
    </row>
    <row r="27" spans="1:28" ht="36" x14ac:dyDescent="0.2">
      <c r="A27" s="1183" t="str">
        <f>"New Education, Health and Care (EHC) Plans issued during the "&amp;Sheet1!$G$3&amp;", Rate per 10,000 10-25 Year Olds"</f>
        <v>New Education, Health and Care (EHC) Plans issued during the Year ending 31st March, Rate per 10,000 10-25 Year Olds</v>
      </c>
      <c r="B27" s="1178" t="e">
        <f>IF(ISNUMBER(HLOOKUP(B$1,Home!$D$12:$AB$77,$X27,FALSE)),HLOOKUP(B$1,Home!$D$12:$AB$77,$X27,FALSE),NA())</f>
        <v>#N/A</v>
      </c>
      <c r="C27" s="1178" t="e">
        <f>IF(ISNUMBER(HLOOKUP(C$1,Home!$D$12:$AB$77,$X27,FALSE)),HLOOKUP(C$1,Home!$D$12:$AB$77,$X27,FALSE),NA())</f>
        <v>#N/A</v>
      </c>
      <c r="D27" s="1178" t="e">
        <f>IF(ISNUMBER(HLOOKUP(D$1,Home!$D$12:$AB$77,$X27,FALSE)),HLOOKUP(D$1,Home!$D$12:$AB$77,$X27,FALSE),NA())</f>
        <v>#N/A</v>
      </c>
      <c r="E27" s="1178" t="e">
        <f>IF(ISNUMBER(HLOOKUP(E$1,Home!$D$12:$AB$77,$X27,FALSE)),HLOOKUP(E$1,Home!$D$12:$AB$77,$X27,FALSE),NA())</f>
        <v>#N/A</v>
      </c>
      <c r="F27" s="1178" t="e">
        <f>IF(ISNUMBER(HLOOKUP(F$1,Home!$D$12:$AB$77,$X27,FALSE)),HLOOKUP(F$1,Home!$D$12:$AB$77,$X27,FALSE),NA())</f>
        <v>#N/A</v>
      </c>
      <c r="G27" s="1178" t="e">
        <f>IF(ISNUMBER(HLOOKUP(G$1,Home!$D$12:$AB$77,$X27,FALSE)),HLOOKUP(G$1,Home!$D$12:$AB$77,$X27,FALSE),NA())</f>
        <v>#N/A</v>
      </c>
      <c r="H27" s="1178" t="e">
        <f>IF(ISNUMBER(HLOOKUP(H$1,Home!$D$12:$AB$77,$X27,FALSE)),HLOOKUP(H$1,Home!$D$12:$AB$77,$X27,FALSE),NA())</f>
        <v>#N/A</v>
      </c>
      <c r="I27" s="1178" t="e">
        <f>IF(ISNUMBER(HLOOKUP(I$1,Home!$D$12:$AB$77,$X27,FALSE)),HLOOKUP(I$1,Home!$D$12:$AB$77,$X27,FALSE),NA())</f>
        <v>#N/A</v>
      </c>
      <c r="J27" s="1178" t="e">
        <f>IF(ISNUMBER(HLOOKUP(J$1,Home!$D$12:$AB$77,$X27,FALSE)),HLOOKUP(J$1,Home!$D$12:$AB$77,$X27,FALSE),NA())</f>
        <v>#N/A</v>
      </c>
      <c r="K27" s="1178" t="e">
        <f>IF(ISNUMBER(HLOOKUP(K$1,Home!$D$12:$AB$77,$X27,FALSE)),HLOOKUP(K$1,Home!$D$12:$AB$77,$X27,FALSE),NA())</f>
        <v>#N/A</v>
      </c>
      <c r="L27" s="1178" t="e">
        <f>IF(ISNUMBER(HLOOKUP(L$1,Home!$D$12:$AB$77,$X27,FALSE)),HLOOKUP(L$1,Home!$D$12:$AB$77,$X27,FALSE),NA())</f>
        <v>#N/A</v>
      </c>
      <c r="M27" s="1178" t="e">
        <f>IF(ISNUMBER(HLOOKUP(M$1,Home!$D$12:$AB$77,$X27,FALSE)),HLOOKUP(M$1,Home!$D$12:$AB$77,$X27,FALSE),NA())</f>
        <v>#N/A</v>
      </c>
      <c r="N27" s="1178" t="e">
        <f>IF(ISNUMBER(HLOOKUP(N$1,Home!$D$12:$AB$77,$X27,FALSE)),HLOOKUP(N$1,Home!$D$12:$AB$77,$X27,FALSE),NA())</f>
        <v>#N/A</v>
      </c>
      <c r="O27" s="1179" t="e">
        <f>IF(ISNUMBER(HLOOKUP(O$1,Home!$D$12:$AB$77,$X27,FALSE)),HLOOKUP(O$1,Home!$D$12:$AB$77,$X27,FALSE),NA())</f>
        <v>#N/A</v>
      </c>
      <c r="P27" s="1178" t="e">
        <f>IF(ISNUMBER(HLOOKUP(P$1,Home!$D$12:$AB$77,$X27,FALSE)),HLOOKUP(P$1,Home!$D$12:$AB$77,$X27,FALSE),NA())</f>
        <v>#N/A</v>
      </c>
      <c r="Q27" s="1178" t="e">
        <f>IF(ISNUMBER(HLOOKUP(Q$1,Home!$D$12:$AB$77,$X27,FALSE)),HLOOKUP(Q$1,Home!$D$12:$AB$77,$X27,FALSE),NA())</f>
        <v>#N/A</v>
      </c>
      <c r="R27" s="1179" t="e">
        <f>IF(ISNUMBER(HLOOKUP(R$1,Home!$D$12:$AB$77,$X27,FALSE)),HLOOKUP(R$1,Home!$D$12:$AB$77,$X27,FALSE),NA())</f>
        <v>#N/A</v>
      </c>
      <c r="S27" s="1179" t="e">
        <f>IF(ISNUMBER(HLOOKUP(S$1,Home!$D$12:$AB$77,$X27,FALSE)),HLOOKUP(S$1,Home!$D$12:$AB$77,$X27,FALSE),NA())</f>
        <v>#N/A</v>
      </c>
      <c r="T27" s="1178" t="e">
        <f>IF(ISNUMBER(HLOOKUP(T$1,Home!$D$12:$AB$77,$X27,FALSE)),HLOOKUP(T$1,Home!$D$12:$AB$77,$X27,FALSE),NA())</f>
        <v>#N/A</v>
      </c>
      <c r="U27" s="1178" t="e">
        <f>IF(ISNUMBER(HLOOKUP(U$1,Home!$D$12:$AB$77,$X27,FALSE)),HLOOKUP(U$1,Home!$D$12:$AB$77,$X27,FALSE),NA())</f>
        <v>#N/A</v>
      </c>
      <c r="V27" s="1178" t="e">
        <f>IF(ISNUMBER(HLOOKUP(V$1,Home!$D$12:$AB$77,$X27,FALSE)),HLOOKUP(V$1,Home!$D$12:$AB$77,$X27,FALSE),NA())</f>
        <v>#N/A</v>
      </c>
      <c r="W27" s="1178" t="e">
        <f>IF(ISNUMBER(HLOOKUP(W$1,Home!$D$12:$AB$77,$X27,FALSE)),HLOOKUP(W$1,Home!$D$12:$AB$77,$X27,FALSE),NA())</f>
        <v>#N/A</v>
      </c>
      <c r="X27" s="1175" t="e">
        <f>VLOOKUP(A27,Home!C:BB,52,FALSE)</f>
        <v>#N/A</v>
      </c>
      <c r="Y27" s="1182" t="e">
        <f t="array" ref="Y27">SLOPE(IF(ISNA($B27:$W27),"",$B27:$W27),IF(ISNA($B$2:$W$2),"",$B$2:$W$2))</f>
        <v>#DIV/0!</v>
      </c>
      <c r="Z27" s="1182" t="e">
        <f t="array" ref="Z27">INTERCEPT(IF(ISNA($B27:$W27),"",$B27:$W27),IF(ISNA($B$2:$W$2),"",$B$2:$W$2))</f>
        <v>#DIV/0!</v>
      </c>
      <c r="AA27" s="1182" t="e">
        <f t="array" ref="AA27">RSQ(IF(ISNA($B27:$W27),"",$B27:$W27),IF(ISNA($B$2:$W$2),"",$B$2:$W$2))</f>
        <v>#DIV/0!</v>
      </c>
      <c r="AB27" s="1183" t="s">
        <v>994</v>
      </c>
    </row>
    <row r="28" spans="1:28" ht="24" x14ac:dyDescent="0.2">
      <c r="A28" s="1183" t="str">
        <f>"Number of Children Missing Education (CME) at "&amp;Sheet1!$H$3&amp;", Rate per 10,000 5-15 Year Olds"</f>
        <v>Number of Children Missing Education (CME) at 31st March, Rate per 10,000 5-15 Year Olds</v>
      </c>
      <c r="B28" s="1178" t="e">
        <f>IF(ISNUMBER(HLOOKUP(B$1,Home!$D$12:$AB$77,$X28,FALSE)),HLOOKUP(B$1,Home!$D$12:$AB$77,$X28,FALSE),NA())</f>
        <v>#N/A</v>
      </c>
      <c r="C28" s="1178" t="e">
        <f>IF(ISNUMBER(HLOOKUP(C$1,Home!$D$12:$AB$77,$X28,FALSE)),HLOOKUP(C$1,Home!$D$12:$AB$77,$X28,FALSE),NA())</f>
        <v>#N/A</v>
      </c>
      <c r="D28" s="1178" t="e">
        <f>IF(ISNUMBER(HLOOKUP(D$1,Home!$D$12:$AB$77,$X28,FALSE)),HLOOKUP(D$1,Home!$D$12:$AB$77,$X28,FALSE),NA())</f>
        <v>#N/A</v>
      </c>
      <c r="E28" s="1178" t="e">
        <f>IF(ISNUMBER(HLOOKUP(E$1,Home!$D$12:$AB$77,$X28,FALSE)),HLOOKUP(E$1,Home!$D$12:$AB$77,$X28,FALSE),NA())</f>
        <v>#N/A</v>
      </c>
      <c r="F28" s="1178" t="e">
        <f>IF(ISNUMBER(HLOOKUP(F$1,Home!$D$12:$AB$77,$X28,FALSE)),HLOOKUP(F$1,Home!$D$12:$AB$77,$X28,FALSE),NA())</f>
        <v>#N/A</v>
      </c>
      <c r="G28" s="1178" t="e">
        <f>IF(ISNUMBER(HLOOKUP(G$1,Home!$D$12:$AB$77,$X28,FALSE)),HLOOKUP(G$1,Home!$D$12:$AB$77,$X28,FALSE),NA())</f>
        <v>#N/A</v>
      </c>
      <c r="H28" s="1178" t="e">
        <f>IF(ISNUMBER(HLOOKUP(H$1,Home!$D$12:$AB$77,$X28,FALSE)),HLOOKUP(H$1,Home!$D$12:$AB$77,$X28,FALSE),NA())</f>
        <v>#N/A</v>
      </c>
      <c r="I28" s="1178" t="e">
        <f>IF(ISNUMBER(HLOOKUP(I$1,Home!$D$12:$AB$77,$X28,FALSE)),HLOOKUP(I$1,Home!$D$12:$AB$77,$X28,FALSE),NA())</f>
        <v>#N/A</v>
      </c>
      <c r="J28" s="1178" t="e">
        <f>IF(ISNUMBER(HLOOKUP(J$1,Home!$D$12:$AB$77,$X28,FALSE)),HLOOKUP(J$1,Home!$D$12:$AB$77,$X28,FALSE),NA())</f>
        <v>#N/A</v>
      </c>
      <c r="K28" s="1178" t="e">
        <f>IF(ISNUMBER(HLOOKUP(K$1,Home!$D$12:$AB$77,$X28,FALSE)),HLOOKUP(K$1,Home!$D$12:$AB$77,$X28,FALSE),NA())</f>
        <v>#N/A</v>
      </c>
      <c r="L28" s="1178" t="e">
        <f>IF(ISNUMBER(HLOOKUP(L$1,Home!$D$12:$AB$77,$X28,FALSE)),HLOOKUP(L$1,Home!$D$12:$AB$77,$X28,FALSE),NA())</f>
        <v>#N/A</v>
      </c>
      <c r="M28" s="1178" t="e">
        <f>IF(ISNUMBER(HLOOKUP(M$1,Home!$D$12:$AB$77,$X28,FALSE)),HLOOKUP(M$1,Home!$D$12:$AB$77,$X28,FALSE),NA())</f>
        <v>#N/A</v>
      </c>
      <c r="N28" s="1178" t="e">
        <f>IF(ISNUMBER(HLOOKUP(N$1,Home!$D$12:$AB$77,$X28,FALSE)),HLOOKUP(N$1,Home!$D$12:$AB$77,$X28,FALSE),NA())</f>
        <v>#N/A</v>
      </c>
      <c r="O28" s="1179" t="e">
        <f>IF(ISNUMBER(HLOOKUP(O$1,Home!$D$12:$AB$77,$X28,FALSE)),HLOOKUP(O$1,Home!$D$12:$AB$77,$X28,FALSE),NA())</f>
        <v>#N/A</v>
      </c>
      <c r="P28" s="1178" t="e">
        <f>IF(ISNUMBER(HLOOKUP(P$1,Home!$D$12:$AB$77,$X28,FALSE)),HLOOKUP(P$1,Home!$D$12:$AB$77,$X28,FALSE),NA())</f>
        <v>#N/A</v>
      </c>
      <c r="Q28" s="1178" t="e">
        <f>IF(ISNUMBER(HLOOKUP(Q$1,Home!$D$12:$AB$77,$X28,FALSE)),HLOOKUP(Q$1,Home!$D$12:$AB$77,$X28,FALSE),NA())</f>
        <v>#N/A</v>
      </c>
      <c r="R28" s="1179" t="e">
        <f>IF(ISNUMBER(HLOOKUP(R$1,Home!$D$12:$AB$77,$X28,FALSE)),HLOOKUP(R$1,Home!$D$12:$AB$77,$X28,FALSE),NA())</f>
        <v>#N/A</v>
      </c>
      <c r="S28" s="1179" t="e">
        <f>IF(ISNUMBER(HLOOKUP(S$1,Home!$D$12:$AB$77,$X28,FALSE)),HLOOKUP(S$1,Home!$D$12:$AB$77,$X28,FALSE),NA())</f>
        <v>#N/A</v>
      </c>
      <c r="T28" s="1178" t="e">
        <f>IF(ISNUMBER(HLOOKUP(T$1,Home!$D$12:$AB$77,$X28,FALSE)),HLOOKUP(T$1,Home!$D$12:$AB$77,$X28,FALSE),NA())</f>
        <v>#N/A</v>
      </c>
      <c r="U28" s="1178" t="e">
        <f>IF(ISNUMBER(HLOOKUP(U$1,Home!$D$12:$AB$77,$X28,FALSE)),HLOOKUP(U$1,Home!$D$12:$AB$77,$X28,FALSE),NA())</f>
        <v>#N/A</v>
      </c>
      <c r="V28" s="1178" t="e">
        <f>IF(ISNUMBER(HLOOKUP(V$1,Home!$D$12:$AB$77,$X28,FALSE)),HLOOKUP(V$1,Home!$D$12:$AB$77,$X28,FALSE),NA())</f>
        <v>#N/A</v>
      </c>
      <c r="W28" s="1178" t="e">
        <f>IF(ISNUMBER(HLOOKUP(W$1,Home!$D$12:$AB$77,$X28,FALSE)),HLOOKUP(W$1,Home!$D$12:$AB$77,$X28,FALSE),NA())</f>
        <v>#N/A</v>
      </c>
      <c r="X28" s="1175" t="e">
        <f>VLOOKUP(A28,Home!C:BB,52,FALSE)</f>
        <v>#N/A</v>
      </c>
      <c r="Y28" s="1182" t="e">
        <f t="array" ref="Y28">SLOPE(IF(ISNA($B28:$W28),"",$B28:$W28),IF(ISNA($B$2:$W$2),"",$B$2:$W$2))</f>
        <v>#DIV/0!</v>
      </c>
      <c r="Z28" s="1182" t="e">
        <f t="array" ref="Z28">INTERCEPT(IF(ISNA($B28:$W28),"",$B28:$W28),IF(ISNA($B$2:$W$2),"",$B$2:$W$2))</f>
        <v>#DIV/0!</v>
      </c>
      <c r="AA28" s="1182" t="e">
        <f t="array" ref="AA28">RSQ(IF(ISNA($B28:$W28),"",$B28:$W28),IF(ISNA($B$2:$W$2),"",$B$2:$W$2))</f>
        <v>#DIV/0!</v>
      </c>
      <c r="AB28" s="1183" t="s">
        <v>995</v>
      </c>
    </row>
    <row r="29" spans="1:28" ht="24" x14ac:dyDescent="0.2">
      <c r="A29" s="1183" t="str">
        <f>"Number of Electively Home Educated (EHE) Children at "&amp;Sheet1!$H$3&amp;", Rate per 10,000 5-15 Year Olds"</f>
        <v>Number of Electively Home Educated (EHE) Children at 31st March, Rate per 10,000 5-15 Year Olds</v>
      </c>
      <c r="B29" s="1178" t="e">
        <f>IF(ISNUMBER(HLOOKUP(B$1,Home!$D$12:$AB$77,$X29,FALSE)),HLOOKUP(B$1,Home!$D$12:$AB$77,$X29,FALSE),NA())</f>
        <v>#N/A</v>
      </c>
      <c r="C29" s="1178" t="e">
        <f>IF(ISNUMBER(HLOOKUP(C$1,Home!$D$12:$AB$77,$X29,FALSE)),HLOOKUP(C$1,Home!$D$12:$AB$77,$X29,FALSE),NA())</f>
        <v>#N/A</v>
      </c>
      <c r="D29" s="1178" t="e">
        <f>IF(ISNUMBER(HLOOKUP(D$1,Home!$D$12:$AB$77,$X29,FALSE)),HLOOKUP(D$1,Home!$D$12:$AB$77,$X29,FALSE),NA())</f>
        <v>#N/A</v>
      </c>
      <c r="E29" s="1178" t="e">
        <f>IF(ISNUMBER(HLOOKUP(E$1,Home!$D$12:$AB$77,$X29,FALSE)),HLOOKUP(E$1,Home!$D$12:$AB$77,$X29,FALSE),NA())</f>
        <v>#N/A</v>
      </c>
      <c r="F29" s="1178" t="e">
        <f>IF(ISNUMBER(HLOOKUP(F$1,Home!$D$12:$AB$77,$X29,FALSE)),HLOOKUP(F$1,Home!$D$12:$AB$77,$X29,FALSE),NA())</f>
        <v>#N/A</v>
      </c>
      <c r="G29" s="1178" t="e">
        <f>IF(ISNUMBER(HLOOKUP(G$1,Home!$D$12:$AB$77,$X29,FALSE)),HLOOKUP(G$1,Home!$D$12:$AB$77,$X29,FALSE),NA())</f>
        <v>#N/A</v>
      </c>
      <c r="H29" s="1178" t="e">
        <f>IF(ISNUMBER(HLOOKUP(H$1,Home!$D$12:$AB$77,$X29,FALSE)),HLOOKUP(H$1,Home!$D$12:$AB$77,$X29,FALSE),NA())</f>
        <v>#N/A</v>
      </c>
      <c r="I29" s="1178" t="e">
        <f>IF(ISNUMBER(HLOOKUP(I$1,Home!$D$12:$AB$77,$X29,FALSE)),HLOOKUP(I$1,Home!$D$12:$AB$77,$X29,FALSE),NA())</f>
        <v>#N/A</v>
      </c>
      <c r="J29" s="1178" t="e">
        <f>IF(ISNUMBER(HLOOKUP(J$1,Home!$D$12:$AB$77,$X29,FALSE)),HLOOKUP(J$1,Home!$D$12:$AB$77,$X29,FALSE),NA())</f>
        <v>#N/A</v>
      </c>
      <c r="K29" s="1178" t="e">
        <f>IF(ISNUMBER(HLOOKUP(K$1,Home!$D$12:$AB$77,$X29,FALSE)),HLOOKUP(K$1,Home!$D$12:$AB$77,$X29,FALSE),NA())</f>
        <v>#N/A</v>
      </c>
      <c r="L29" s="1178" t="e">
        <f>IF(ISNUMBER(HLOOKUP(L$1,Home!$D$12:$AB$77,$X29,FALSE)),HLOOKUP(L$1,Home!$D$12:$AB$77,$X29,FALSE),NA())</f>
        <v>#N/A</v>
      </c>
      <c r="M29" s="1178" t="e">
        <f>IF(ISNUMBER(HLOOKUP(M$1,Home!$D$12:$AB$77,$X29,FALSE)),HLOOKUP(M$1,Home!$D$12:$AB$77,$X29,FALSE),NA())</f>
        <v>#N/A</v>
      </c>
      <c r="N29" s="1178" t="e">
        <f>IF(ISNUMBER(HLOOKUP(N$1,Home!$D$12:$AB$77,$X29,FALSE)),HLOOKUP(N$1,Home!$D$12:$AB$77,$X29,FALSE),NA())</f>
        <v>#N/A</v>
      </c>
      <c r="O29" s="1179" t="e">
        <f>IF(ISNUMBER(HLOOKUP(O$1,Home!$D$12:$AB$77,$X29,FALSE)),HLOOKUP(O$1,Home!$D$12:$AB$77,$X29,FALSE),NA())</f>
        <v>#N/A</v>
      </c>
      <c r="P29" s="1178" t="e">
        <f>IF(ISNUMBER(HLOOKUP(P$1,Home!$D$12:$AB$77,$X29,FALSE)),HLOOKUP(P$1,Home!$D$12:$AB$77,$X29,FALSE),NA())</f>
        <v>#N/A</v>
      </c>
      <c r="Q29" s="1178" t="e">
        <f>IF(ISNUMBER(HLOOKUP(Q$1,Home!$D$12:$AB$77,$X29,FALSE)),HLOOKUP(Q$1,Home!$D$12:$AB$77,$X29,FALSE),NA())</f>
        <v>#N/A</v>
      </c>
      <c r="R29" s="1179" t="e">
        <f>IF(ISNUMBER(HLOOKUP(R$1,Home!$D$12:$AB$77,$X29,FALSE)),HLOOKUP(R$1,Home!$D$12:$AB$77,$X29,FALSE),NA())</f>
        <v>#N/A</v>
      </c>
      <c r="S29" s="1179" t="e">
        <f>IF(ISNUMBER(HLOOKUP(S$1,Home!$D$12:$AB$77,$X29,FALSE)),HLOOKUP(S$1,Home!$D$12:$AB$77,$X29,FALSE),NA())</f>
        <v>#N/A</v>
      </c>
      <c r="T29" s="1178" t="e">
        <f>IF(ISNUMBER(HLOOKUP(T$1,Home!$D$12:$AB$77,$X29,FALSE)),HLOOKUP(T$1,Home!$D$12:$AB$77,$X29,FALSE),NA())</f>
        <v>#N/A</v>
      </c>
      <c r="U29" s="1178" t="e">
        <f>IF(ISNUMBER(HLOOKUP(U$1,Home!$D$12:$AB$77,$X29,FALSE)),HLOOKUP(U$1,Home!$D$12:$AB$77,$X29,FALSE),NA())</f>
        <v>#N/A</v>
      </c>
      <c r="V29" s="1178" t="e">
        <f>IF(ISNUMBER(HLOOKUP(V$1,Home!$D$12:$AB$77,$X29,FALSE)),HLOOKUP(V$1,Home!$D$12:$AB$77,$X29,FALSE),NA())</f>
        <v>#N/A</v>
      </c>
      <c r="W29" s="1178" t="e">
        <f>IF(ISNUMBER(HLOOKUP(W$1,Home!$D$12:$AB$77,$X29,FALSE)),HLOOKUP(W$1,Home!$D$12:$AB$77,$X29,FALSE),NA())</f>
        <v>#N/A</v>
      </c>
      <c r="X29" s="1175" t="e">
        <f>VLOOKUP(A29,Home!C:BB,52,FALSE)</f>
        <v>#N/A</v>
      </c>
      <c r="Y29" s="1182" t="e">
        <f t="array" ref="Y29">SLOPE(IF(ISNA($B29:$W29),"",$B29:$W29),IF(ISNA($B$2:$W$2),"",$B$2:$W$2))</f>
        <v>#DIV/0!</v>
      </c>
      <c r="Z29" s="1182" t="e">
        <f t="array" ref="Z29">INTERCEPT(IF(ISNA($B29:$W29),"",$B29:$W29),IF(ISNA($B$2:$W$2),"",$B$2:$W$2))</f>
        <v>#DIV/0!</v>
      </c>
      <c r="AA29" s="1182" t="e">
        <f t="array" ref="AA29">RSQ(IF(ISNA($B29:$W29),"",$B29:$W29),IF(ISNA($B$2:$W$2),"",$B$2:$W$2))</f>
        <v>#DIV/0!</v>
      </c>
      <c r="AB29" s="1183" t="s">
        <v>996</v>
      </c>
    </row>
    <row r="30" spans="1:28" x14ac:dyDescent="0.2">
      <c r="C30" s="1186"/>
      <c r="D30" s="1186"/>
      <c r="E30" s="1186"/>
      <c r="F30" s="1186"/>
      <c r="G30" s="1186"/>
      <c r="H30" s="1186"/>
      <c r="I30" s="1186"/>
      <c r="J30" s="1186"/>
      <c r="K30" s="1186"/>
      <c r="L30" s="1186"/>
      <c r="M30" s="1186"/>
      <c r="N30" s="1186"/>
      <c r="O30" s="1186"/>
      <c r="P30" s="1186"/>
      <c r="Q30" s="1186"/>
      <c r="R30" s="1186"/>
      <c r="S30" s="1186"/>
      <c r="T30" s="1186"/>
      <c r="U30" s="1186"/>
      <c r="V30" s="1186"/>
      <c r="W30" s="1186"/>
    </row>
  </sheetData>
  <conditionalFormatting sqref="AA3:AA29">
    <cfRule type="colorScale" priority="1">
      <colorScale>
        <cfvo type="min"/>
        <cfvo type="percentile" val="50"/>
        <cfvo type="max"/>
        <color rgb="FFF8696B"/>
        <color rgb="FFFCFCFF"/>
        <color rgb="FF63BE7B"/>
      </colorScale>
    </cfRule>
    <cfRule type="colorScale" priority="2">
      <colorScale>
        <cfvo type="min"/>
        <cfvo type="max"/>
        <color rgb="FFFCFCFF"/>
        <color rgb="FF63BE7B"/>
      </colorScale>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theme="9" tint="-0.249977111117893"/>
  </sheetPr>
  <dimension ref="A1:K36"/>
  <sheetViews>
    <sheetView showRowColHeaders="0" tabSelected="1" workbookViewId="0"/>
  </sheetViews>
  <sheetFormatPr defaultColWidth="9.140625" defaultRowHeight="11.25" customHeight="1" x14ac:dyDescent="0.2"/>
  <cols>
    <col min="1" max="1" width="3.42578125" style="558" customWidth="1"/>
    <col min="2" max="2" width="17.140625" style="558" customWidth="1"/>
    <col min="3" max="3" width="34.5703125" style="558" customWidth="1"/>
    <col min="4" max="4" width="4.42578125" style="558" customWidth="1"/>
    <col min="5" max="5" width="15.140625" style="424" customWidth="1"/>
    <col min="6" max="6" width="31.140625" style="558" customWidth="1"/>
    <col min="7" max="7" width="4.42578125" style="558" customWidth="1"/>
    <col min="8" max="8" width="14.140625" style="558" customWidth="1"/>
    <col min="9" max="9" width="5.5703125" style="558" customWidth="1"/>
    <col min="10" max="10" width="4.42578125" style="558" customWidth="1"/>
    <col min="11" max="11" width="3.42578125" style="558" customWidth="1"/>
    <col min="12" max="16384" width="9.140625" style="558"/>
  </cols>
  <sheetData>
    <row r="1" spans="1:11" ht="18" customHeight="1" x14ac:dyDescent="0.2">
      <c r="A1" s="663"/>
      <c r="B1" s="664"/>
      <c r="C1" s="664"/>
      <c r="D1" s="664"/>
      <c r="E1" s="665"/>
      <c r="F1" s="664"/>
      <c r="G1" s="664"/>
      <c r="H1" s="664"/>
      <c r="I1" s="664"/>
      <c r="J1" s="664"/>
      <c r="K1" s="666"/>
    </row>
    <row r="2" spans="1:11" ht="21" customHeight="1" x14ac:dyDescent="0.2">
      <c r="A2" s="667"/>
      <c r="B2" s="2"/>
      <c r="C2" s="2"/>
      <c r="D2" s="2"/>
      <c r="E2" s="1"/>
      <c r="F2" s="2"/>
      <c r="G2" s="2"/>
      <c r="H2" s="2"/>
      <c r="I2" s="2"/>
      <c r="J2" s="2"/>
      <c r="K2" s="668"/>
    </row>
    <row r="3" spans="1:11" ht="53.25" customHeight="1" x14ac:dyDescent="0.2">
      <c r="A3" s="667"/>
      <c r="B3" s="2"/>
      <c r="C3" s="2"/>
      <c r="D3" s="2"/>
      <c r="E3" s="1317" t="s">
        <v>1257</v>
      </c>
      <c r="F3" s="1318"/>
      <c r="G3" s="1318"/>
      <c r="H3" s="1318"/>
      <c r="I3" s="1318"/>
      <c r="J3" s="1318"/>
      <c r="K3" s="668"/>
    </row>
    <row r="4" spans="1:11" ht="12" thickBot="1" x14ac:dyDescent="0.25">
      <c r="A4" s="667"/>
      <c r="B4" s="7"/>
      <c r="C4" s="7"/>
      <c r="D4" s="7"/>
      <c r="E4" s="1319"/>
      <c r="F4" s="1319"/>
      <c r="G4" s="1319"/>
      <c r="H4" s="1319"/>
      <c r="I4" s="1319"/>
      <c r="J4" s="1319"/>
      <c r="K4" s="669"/>
    </row>
    <row r="5" spans="1:11" ht="20.25" x14ac:dyDescent="0.3">
      <c r="A5" s="667"/>
      <c r="B5" s="2"/>
      <c r="C5" s="2"/>
      <c r="D5" s="2"/>
      <c r="E5" s="2"/>
      <c r="F5" s="2"/>
      <c r="G5" s="8"/>
      <c r="H5" s="8"/>
      <c r="I5" s="8"/>
      <c r="J5" s="802" t="str">
        <f>Sheet1!$E$3</f>
        <v>2018-19</v>
      </c>
      <c r="K5" s="668"/>
    </row>
    <row r="6" spans="1:11" ht="21" customHeight="1" x14ac:dyDescent="0.2">
      <c r="A6" s="667"/>
      <c r="B6" s="2"/>
      <c r="C6" s="2"/>
      <c r="D6" s="2"/>
      <c r="E6" s="1"/>
      <c r="F6" s="2"/>
      <c r="G6" s="2"/>
      <c r="H6" s="2"/>
      <c r="I6" s="2"/>
      <c r="J6" s="2"/>
      <c r="K6" s="668"/>
    </row>
    <row r="7" spans="1:11" ht="18" customHeight="1" x14ac:dyDescent="0.2">
      <c r="A7" s="667"/>
      <c r="B7" s="2"/>
      <c r="C7" s="2"/>
      <c r="D7" s="2"/>
      <c r="E7" s="2"/>
      <c r="F7" s="2"/>
      <c r="G7" s="2"/>
      <c r="H7" s="2"/>
      <c r="I7" s="2"/>
      <c r="J7" s="2"/>
      <c r="K7" s="668"/>
    </row>
    <row r="8" spans="1:11" ht="15.75" customHeight="1" x14ac:dyDescent="0.2">
      <c r="A8" s="667"/>
      <c r="B8" s="1320" t="s">
        <v>28</v>
      </c>
      <c r="C8" s="1321"/>
      <c r="D8" s="1321"/>
      <c r="E8" s="1321"/>
      <c r="F8" s="1321"/>
      <c r="G8" s="1321"/>
      <c r="H8" s="1321"/>
      <c r="I8" s="1321"/>
      <c r="J8" s="1321"/>
      <c r="K8" s="668"/>
    </row>
    <row r="9" spans="1:11" ht="5.25" customHeight="1" x14ac:dyDescent="0.2">
      <c r="A9" s="667"/>
      <c r="B9" s="5"/>
      <c r="C9" s="5"/>
      <c r="D9" s="5"/>
      <c r="E9" s="5"/>
      <c r="F9" s="5"/>
      <c r="G9" s="5"/>
      <c r="H9" s="5"/>
      <c r="I9" s="5"/>
      <c r="J9" s="5"/>
      <c r="K9" s="668"/>
    </row>
    <row r="10" spans="1:11" ht="15.75" customHeight="1" x14ac:dyDescent="0.2">
      <c r="A10" s="667"/>
      <c r="B10" s="1326" t="s">
        <v>642</v>
      </c>
      <c r="C10" s="1326"/>
      <c r="D10" s="1326"/>
      <c r="E10" s="1326"/>
      <c r="F10" s="1326"/>
      <c r="G10" s="1326"/>
      <c r="H10" s="1326"/>
      <c r="I10" s="1326"/>
      <c r="J10" s="1326"/>
      <c r="K10" s="668"/>
    </row>
    <row r="11" spans="1:11" ht="9" customHeight="1" x14ac:dyDescent="0.2">
      <c r="A11" s="667"/>
      <c r="B11" s="1322"/>
      <c r="C11" s="1323"/>
      <c r="D11" s="1323"/>
      <c r="E11" s="1323"/>
      <c r="F11" s="1323"/>
      <c r="G11" s="1323"/>
      <c r="H11" s="1323"/>
      <c r="I11" s="1323"/>
      <c r="J11" s="1323"/>
      <c r="K11" s="668"/>
    </row>
    <row r="12" spans="1:11" ht="26.25" customHeight="1" x14ac:dyDescent="0.2">
      <c r="A12" s="667"/>
      <c r="B12" s="1330" t="s">
        <v>641</v>
      </c>
      <c r="C12" s="1330"/>
      <c r="D12" s="1330"/>
      <c r="E12" s="1330"/>
      <c r="F12" s="1330"/>
      <c r="G12" s="1330"/>
      <c r="H12" s="1330"/>
      <c r="I12" s="1330"/>
      <c r="J12" s="1330"/>
      <c r="K12" s="668"/>
    </row>
    <row r="13" spans="1:11" ht="9" customHeight="1" x14ac:dyDescent="0.2">
      <c r="A13" s="667"/>
      <c r="B13" s="653"/>
      <c r="C13" s="654"/>
      <c r="D13" s="654"/>
      <c r="E13" s="654"/>
      <c r="F13" s="654"/>
      <c r="G13" s="654"/>
      <c r="H13" s="654"/>
      <c r="I13" s="654"/>
      <c r="J13" s="654"/>
      <c r="K13" s="668"/>
    </row>
    <row r="14" spans="1:11" ht="9" customHeight="1" x14ac:dyDescent="0.2">
      <c r="A14" s="667"/>
      <c r="B14" s="656"/>
      <c r="C14" s="657"/>
      <c r="D14" s="657"/>
      <c r="E14" s="657"/>
      <c r="F14" s="657"/>
      <c r="G14" s="657"/>
      <c r="H14" s="657"/>
      <c r="I14" s="657"/>
      <c r="J14" s="657"/>
      <c r="K14" s="668"/>
    </row>
    <row r="15" spans="1:11" ht="15" x14ac:dyDescent="0.2">
      <c r="A15" s="667"/>
      <c r="B15" s="680" t="s">
        <v>636</v>
      </c>
      <c r="C15" s="654"/>
      <c r="D15" s="654"/>
      <c r="E15" s="654"/>
      <c r="F15" s="654"/>
      <c r="G15" s="654"/>
      <c r="H15" s="654"/>
      <c r="I15" s="654"/>
      <c r="J15" s="654"/>
      <c r="K15" s="668"/>
    </row>
    <row r="16" spans="1:11" ht="3" customHeight="1" x14ac:dyDescent="0.2">
      <c r="A16" s="667"/>
      <c r="B16" s="662"/>
      <c r="C16" s="654"/>
      <c r="D16" s="654"/>
      <c r="E16" s="654"/>
      <c r="F16" s="654"/>
      <c r="G16" s="654"/>
      <c r="H16" s="654"/>
      <c r="I16" s="654"/>
      <c r="J16" s="654"/>
      <c r="K16" s="668"/>
    </row>
    <row r="17" spans="1:11" ht="14.25" x14ac:dyDescent="0.2">
      <c r="A17" s="667"/>
      <c r="B17" s="679" t="s">
        <v>637</v>
      </c>
      <c r="C17" s="654"/>
      <c r="D17" s="1327" t="s">
        <v>1010</v>
      </c>
      <c r="E17" s="1327"/>
      <c r="F17" s="1327"/>
      <c r="G17" s="1329" t="s">
        <v>639</v>
      </c>
      <c r="H17" s="1328" t="s">
        <v>643</v>
      </c>
      <c r="I17" s="1328"/>
      <c r="J17" s="1328"/>
      <c r="K17" s="668"/>
    </row>
    <row r="18" spans="1:11" ht="14.25" x14ac:dyDescent="0.2">
      <c r="A18" s="667"/>
      <c r="B18" s="679" t="s">
        <v>638</v>
      </c>
      <c r="C18" s="654"/>
      <c r="D18" s="1327"/>
      <c r="E18" s="1327"/>
      <c r="F18" s="1327"/>
      <c r="G18" s="1329"/>
      <c r="H18" s="1328"/>
      <c r="I18" s="1328"/>
      <c r="J18" s="1328"/>
      <c r="K18" s="668"/>
    </row>
    <row r="19" spans="1:11" ht="9" customHeight="1" x14ac:dyDescent="0.2">
      <c r="A19" s="667"/>
      <c r="B19" s="658"/>
      <c r="C19" s="659"/>
      <c r="D19" s="659"/>
      <c r="E19" s="659"/>
      <c r="F19" s="659"/>
      <c r="G19" s="659"/>
      <c r="H19" s="659"/>
      <c r="I19" s="659"/>
      <c r="J19" s="659"/>
      <c r="K19" s="668"/>
    </row>
    <row r="20" spans="1:11" ht="9" customHeight="1" x14ac:dyDescent="0.2">
      <c r="A20" s="667"/>
      <c r="B20" s="655"/>
      <c r="C20" s="654"/>
      <c r="D20" s="654"/>
      <c r="E20" s="654"/>
      <c r="F20" s="654"/>
      <c r="G20" s="654"/>
      <c r="H20" s="654"/>
      <c r="I20" s="654"/>
      <c r="J20" s="654"/>
      <c r="K20" s="668"/>
    </row>
    <row r="21" spans="1:11" ht="41.25" customHeight="1" x14ac:dyDescent="0.2">
      <c r="A21" s="667"/>
      <c r="B21" s="1324" t="s">
        <v>640</v>
      </c>
      <c r="C21" s="1325"/>
      <c r="D21" s="1325"/>
      <c r="E21" s="1325"/>
      <c r="F21" s="1325"/>
      <c r="G21" s="1325"/>
      <c r="H21" s="1325"/>
      <c r="I21" s="1325"/>
      <c r="J21" s="1325"/>
      <c r="K21" s="668"/>
    </row>
    <row r="22" spans="1:11" ht="13.5" customHeight="1" x14ac:dyDescent="0.2">
      <c r="A22" s="667"/>
      <c r="B22" s="661" t="s">
        <v>634</v>
      </c>
      <c r="C22" s="670"/>
      <c r="D22" s="670"/>
      <c r="E22" s="670"/>
      <c r="F22" s="670"/>
      <c r="G22" s="670"/>
      <c r="H22" s="670"/>
      <c r="I22" s="670"/>
      <c r="J22" s="670"/>
      <c r="K22" s="668"/>
    </row>
    <row r="23" spans="1:11" ht="13.5" customHeight="1" x14ac:dyDescent="0.2">
      <c r="A23" s="667"/>
      <c r="B23" s="661" t="s">
        <v>635</v>
      </c>
      <c r="C23" s="670"/>
      <c r="D23" s="670"/>
      <c r="E23" s="670"/>
      <c r="F23" s="670"/>
      <c r="G23" s="670"/>
      <c r="H23" s="670"/>
      <c r="I23" s="670"/>
      <c r="J23" s="670"/>
      <c r="K23" s="668"/>
    </row>
    <row r="24" spans="1:11" ht="9" customHeight="1" x14ac:dyDescent="0.2">
      <c r="A24" s="667"/>
      <c r="B24" s="671"/>
      <c r="C24" s="672"/>
      <c r="D24" s="672"/>
      <c r="E24" s="672"/>
      <c r="F24" s="672"/>
      <c r="G24" s="672"/>
      <c r="H24" s="672"/>
      <c r="I24" s="672"/>
      <c r="J24" s="671"/>
      <c r="K24" s="668"/>
    </row>
    <row r="25" spans="1:11" ht="9" customHeight="1" x14ac:dyDescent="0.2">
      <c r="A25" s="667"/>
      <c r="B25" s="651"/>
      <c r="C25" s="652"/>
      <c r="D25" s="660"/>
      <c r="E25" s="652"/>
      <c r="F25" s="652"/>
      <c r="G25" s="652"/>
      <c r="H25" s="652"/>
      <c r="I25" s="652"/>
      <c r="J25" s="651"/>
      <c r="K25" s="668"/>
    </row>
    <row r="26" spans="1:11" ht="15" customHeight="1" x14ac:dyDescent="0.25">
      <c r="A26" s="667"/>
      <c r="B26" s="1331" t="s">
        <v>633</v>
      </c>
      <c r="C26" s="1331"/>
      <c r="D26" s="1331"/>
      <c r="E26" s="69"/>
      <c r="F26" s="69"/>
      <c r="G26" s="69"/>
      <c r="H26" s="69"/>
      <c r="I26" s="69"/>
      <c r="J26" s="69"/>
      <c r="K26" s="668"/>
    </row>
    <row r="27" spans="1:11" ht="12" customHeight="1" x14ac:dyDescent="0.2">
      <c r="A27" s="667"/>
      <c r="B27" s="6"/>
      <c r="C27" s="6"/>
      <c r="D27" s="6"/>
      <c r="E27" s="6"/>
      <c r="F27" s="6"/>
      <c r="G27" s="6"/>
      <c r="H27" s="6"/>
      <c r="I27" s="6"/>
      <c r="J27" s="6"/>
      <c r="K27" s="668"/>
    </row>
    <row r="28" spans="1:11" ht="12.75" x14ac:dyDescent="0.2">
      <c r="A28" s="667"/>
      <c r="B28" s="6"/>
      <c r="C28" s="6"/>
      <c r="D28" s="6"/>
      <c r="E28"/>
      <c r="F28" s="6"/>
      <c r="G28" s="6"/>
      <c r="H28" s="6"/>
      <c r="I28" s="6"/>
      <c r="J28" s="6"/>
      <c r="K28" s="668"/>
    </row>
    <row r="29" spans="1:11" ht="11.25" customHeight="1" x14ac:dyDescent="0.2">
      <c r="A29" s="667"/>
      <c r="B29" s="6"/>
      <c r="C29" s="6"/>
      <c r="D29" s="6"/>
      <c r="E29" s="6"/>
      <c r="F29" s="6"/>
      <c r="G29" s="6"/>
      <c r="H29" s="6"/>
      <c r="I29" s="6"/>
      <c r="J29" s="6"/>
      <c r="K29" s="668"/>
    </row>
    <row r="30" spans="1:11" ht="11.25" customHeight="1" x14ac:dyDescent="0.2">
      <c r="A30" s="667"/>
      <c r="B30" s="6"/>
      <c r="C30" s="6"/>
      <c r="D30" s="6"/>
      <c r="E30" s="6"/>
      <c r="F30" s="6"/>
      <c r="G30" s="6"/>
      <c r="H30" s="6"/>
      <c r="I30" s="6"/>
      <c r="J30" s="6"/>
      <c r="K30" s="668"/>
    </row>
    <row r="31" spans="1:11" ht="10.5" customHeight="1" x14ac:dyDescent="0.2">
      <c r="A31" s="667"/>
      <c r="B31" s="6"/>
      <c r="C31" s="6"/>
      <c r="D31" s="6"/>
      <c r="E31" s="6"/>
      <c r="F31" s="6"/>
      <c r="G31" s="6"/>
      <c r="H31" s="6"/>
      <c r="I31" s="6"/>
      <c r="J31" s="6"/>
      <c r="K31" s="668"/>
    </row>
    <row r="32" spans="1:11" ht="10.5" customHeight="1" x14ac:dyDescent="0.2">
      <c r="A32" s="667"/>
      <c r="B32" s="6"/>
      <c r="C32" s="6"/>
      <c r="D32" s="6"/>
      <c r="E32" s="6"/>
      <c r="F32" s="6"/>
      <c r="G32" s="6"/>
      <c r="H32" s="6"/>
      <c r="I32" s="6"/>
      <c r="J32" s="6"/>
      <c r="K32" s="668"/>
    </row>
    <row r="33" spans="1:11" ht="13.5" customHeight="1" x14ac:dyDescent="0.2">
      <c r="A33" s="667"/>
      <c r="B33" s="6"/>
      <c r="C33" s="6"/>
      <c r="D33" s="6"/>
      <c r="E33" s="6"/>
      <c r="F33" s="6"/>
      <c r="G33" s="6"/>
      <c r="H33" s="6"/>
      <c r="I33" s="6"/>
      <c r="J33" s="6"/>
      <c r="K33" s="668"/>
    </row>
    <row r="34" spans="1:11" s="559" customFormat="1" ht="13.5" customHeight="1" x14ac:dyDescent="0.2">
      <c r="A34" s="673"/>
      <c r="B34" s="1316" t="s">
        <v>644</v>
      </c>
      <c r="C34" s="1316"/>
      <c r="D34" s="1316"/>
      <c r="E34" s="1316"/>
      <c r="F34" s="1316"/>
      <c r="G34" s="6"/>
      <c r="H34" s="6"/>
      <c r="I34" s="6"/>
      <c r="J34" s="6"/>
      <c r="K34" s="674"/>
    </row>
    <row r="35" spans="1:11" s="559" customFormat="1" ht="13.5" customHeight="1" x14ac:dyDescent="0.2">
      <c r="A35" s="673"/>
      <c r="B35" s="6"/>
      <c r="C35" s="6"/>
      <c r="D35" s="4"/>
      <c r="E35" s="4"/>
      <c r="F35" s="3"/>
      <c r="G35" s="4"/>
      <c r="H35" s="4"/>
      <c r="I35" s="4"/>
      <c r="J35" s="4"/>
      <c r="K35" s="674"/>
    </row>
    <row r="36" spans="1:11" ht="4.5" customHeight="1" x14ac:dyDescent="0.2">
      <c r="A36" s="675"/>
      <c r="B36" s="676"/>
      <c r="C36" s="676"/>
      <c r="D36" s="676"/>
      <c r="E36" s="677"/>
      <c r="F36" s="676"/>
      <c r="G36" s="676"/>
      <c r="H36" s="676"/>
      <c r="I36" s="676"/>
      <c r="J36" s="676"/>
      <c r="K36" s="678"/>
    </row>
  </sheetData>
  <sheetProtection sheet="1" objects="1" scenarios="1" selectLockedCells="1" selectUnlockedCells="1"/>
  <mergeCells count="11">
    <mergeCell ref="B34:F34"/>
    <mergeCell ref="E3:J4"/>
    <mergeCell ref="B8:J8"/>
    <mergeCell ref="B11:J11"/>
    <mergeCell ref="B21:J21"/>
    <mergeCell ref="B10:J10"/>
    <mergeCell ref="D17:F18"/>
    <mergeCell ref="H17:J18"/>
    <mergeCell ref="G17:G18"/>
    <mergeCell ref="B12:J12"/>
    <mergeCell ref="B26:D26"/>
  </mergeCells>
  <phoneticPr fontId="4" type="noConversion"/>
  <hyperlinks>
    <hyperlink ref="D17" r:id="rId1" display="CSBenchmarking@eastsussex.gcsx.gov.uk" xr:uid="{00000000-0004-0000-0700-000000000000}"/>
    <hyperlink ref="D17:F18" r:id="rId2" display="CSDataBenchmarking@eastsussex.gov.uk" xr:uid="{00000000-0004-0000-0700-000001000000}"/>
  </hyperlinks>
  <printOptions horizontalCentered="1" verticalCentered="1"/>
  <pageMargins left="0.55118110236220474" right="0.55118110236220474" top="0.55118110236220474" bottom="0.55118110236220474" header="0.51181102362204722" footer="0.74803149606299213"/>
  <pageSetup paperSize="9" orientation="landscape" r:id="rId3"/>
  <headerFooter alignWithMargins="0"/>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FFC000"/>
    <pageSetUpPr fitToPage="1"/>
  </sheetPr>
  <dimension ref="A1:BB80"/>
  <sheetViews>
    <sheetView showRowColHeaders="0" zoomScaleNormal="100" workbookViewId="0"/>
  </sheetViews>
  <sheetFormatPr defaultColWidth="7.5703125" defaultRowHeight="11.25" x14ac:dyDescent="0.2"/>
  <cols>
    <col min="1" max="1" width="2.140625" style="519" customWidth="1"/>
    <col min="2" max="2" width="11" style="519" customWidth="1"/>
    <col min="3" max="3" width="47.5703125" style="519" customWidth="1"/>
    <col min="4" max="4" width="5" style="519" customWidth="1"/>
    <col min="5" max="5" width="5" style="520" customWidth="1"/>
    <col min="6" max="8" width="5" style="519" customWidth="1"/>
    <col min="9" max="27" width="5" style="478" customWidth="1"/>
    <col min="28" max="28" width="2.140625" style="478" customWidth="1"/>
    <col min="29" max="29" width="0.140625" style="478" customWidth="1"/>
    <col min="30" max="30" width="6.42578125" style="478" customWidth="1"/>
    <col min="31" max="54" width="7.5703125" style="478" hidden="1" customWidth="1"/>
    <col min="55" max="55" width="0" style="478" hidden="1" customWidth="1"/>
    <col min="56" max="16384" width="7.5703125" style="478"/>
  </cols>
  <sheetData>
    <row r="1" spans="1:54" ht="18.75" customHeight="1" x14ac:dyDescent="0.2">
      <c r="A1" s="731"/>
      <c r="B1" s="732"/>
      <c r="C1" s="732"/>
      <c r="D1" s="732"/>
      <c r="E1" s="732"/>
      <c r="F1" s="732"/>
      <c r="G1" s="732"/>
      <c r="H1" s="733"/>
      <c r="I1" s="732"/>
      <c r="J1" s="732"/>
      <c r="K1" s="732"/>
      <c r="L1" s="732"/>
      <c r="M1" s="732"/>
      <c r="N1" s="732"/>
      <c r="O1" s="732"/>
      <c r="P1" s="732"/>
      <c r="Q1" s="732"/>
      <c r="R1" s="732"/>
      <c r="S1" s="732"/>
      <c r="T1" s="732"/>
      <c r="U1" s="734"/>
      <c r="V1" s="734"/>
      <c r="W1" s="735"/>
      <c r="X1" s="735"/>
      <c r="Y1" s="735"/>
      <c r="Z1" s="735"/>
      <c r="AA1" s="735"/>
      <c r="AB1" s="736"/>
      <c r="AC1" s="482"/>
      <c r="AD1" s="477"/>
    </row>
    <row r="2" spans="1:54" ht="18.75" customHeight="1" x14ac:dyDescent="0.2">
      <c r="A2" s="492"/>
      <c r="B2" s="681"/>
      <c r="C2" s="650" t="str">
        <f>Frontpage!E3&amp;" "&amp;Frontpage!J5</f>
        <v>Provisional Annual Report
 (Public) 2018-19</v>
      </c>
      <c r="D2" s="479"/>
      <c r="E2" s="479"/>
      <c r="F2" s="479"/>
      <c r="G2" s="479"/>
      <c r="H2" s="480"/>
      <c r="I2" s="479"/>
      <c r="J2" s="479"/>
      <c r="K2" s="479"/>
      <c r="L2" s="479"/>
      <c r="M2" s="479"/>
      <c r="N2" s="479"/>
      <c r="O2" s="479"/>
      <c r="P2" s="479"/>
      <c r="Q2" s="479"/>
      <c r="R2" s="479"/>
      <c r="S2" s="479"/>
      <c r="T2" s="479"/>
      <c r="U2" s="481"/>
      <c r="V2" s="481"/>
      <c r="W2" s="482"/>
      <c r="X2" s="482"/>
      <c r="Y2" s="482"/>
      <c r="Z2" s="482"/>
      <c r="AA2" s="482"/>
      <c r="AB2" s="483"/>
      <c r="AC2" s="482"/>
      <c r="AD2" s="477"/>
    </row>
    <row r="3" spans="1:54" ht="18.75" customHeight="1" x14ac:dyDescent="0.2">
      <c r="A3" s="737"/>
      <c r="B3" s="682"/>
      <c r="C3" s="484"/>
      <c r="D3" s="484"/>
      <c r="E3" s="484"/>
      <c r="F3" s="484"/>
      <c r="G3" s="484"/>
      <c r="H3" s="485"/>
      <c r="I3" s="484"/>
      <c r="J3" s="484"/>
      <c r="K3" s="484"/>
      <c r="L3" s="484"/>
      <c r="M3" s="484"/>
      <c r="N3" s="484"/>
      <c r="O3" s="484"/>
      <c r="P3" s="484"/>
      <c r="Q3" s="484"/>
      <c r="R3" s="484"/>
      <c r="S3" s="484"/>
      <c r="T3" s="484"/>
      <c r="U3" s="486"/>
      <c r="V3" s="486"/>
      <c r="W3" s="487"/>
      <c r="X3" s="487"/>
      <c r="Y3" s="487"/>
      <c r="Z3" s="487"/>
      <c r="AA3" s="487"/>
      <c r="AB3" s="488"/>
      <c r="AC3" s="482"/>
      <c r="AD3" s="477"/>
    </row>
    <row r="4" spans="1:54" ht="11.25" customHeight="1" x14ac:dyDescent="0.2">
      <c r="A4" s="492"/>
      <c r="B4" s="479"/>
      <c r="C4" s="479"/>
      <c r="D4" s="479"/>
      <c r="E4" s="489"/>
      <c r="F4" s="479"/>
      <c r="G4" s="479"/>
      <c r="H4" s="479"/>
      <c r="I4" s="479"/>
      <c r="J4" s="479"/>
      <c r="K4" s="479"/>
      <c r="L4" s="479"/>
      <c r="M4" s="479"/>
      <c r="N4" s="479"/>
      <c r="O4" s="479"/>
      <c r="P4" s="479"/>
      <c r="Q4" s="479"/>
      <c r="R4" s="479"/>
      <c r="S4" s="479"/>
      <c r="T4" s="479"/>
      <c r="U4" s="479"/>
      <c r="V4" s="479"/>
      <c r="W4" s="479"/>
      <c r="X4" s="479"/>
      <c r="Y4" s="479"/>
      <c r="Z4" s="479"/>
      <c r="AA4" s="479"/>
      <c r="AB4" s="490"/>
      <c r="AC4" s="479"/>
      <c r="AD4" s="491"/>
    </row>
    <row r="5" spans="1:54" ht="15" customHeight="1" x14ac:dyDescent="0.2">
      <c r="A5" s="492"/>
      <c r="B5" s="1071" t="s">
        <v>929</v>
      </c>
      <c r="C5" s="479"/>
      <c r="D5" s="479"/>
      <c r="E5" s="489"/>
      <c r="F5" s="479"/>
      <c r="G5" s="479"/>
      <c r="H5" s="479"/>
      <c r="I5" s="479"/>
      <c r="J5" s="479"/>
      <c r="K5" s="479"/>
      <c r="L5" s="479"/>
      <c r="M5" s="479"/>
      <c r="N5" s="479"/>
      <c r="O5" s="479"/>
      <c r="P5" s="479"/>
      <c r="Q5" s="479"/>
      <c r="R5" s="479"/>
      <c r="S5" s="479"/>
      <c r="T5" s="479"/>
      <c r="U5" s="479"/>
      <c r="V5" s="479"/>
      <c r="W5" s="479"/>
      <c r="X5" s="479"/>
      <c r="Y5" s="479"/>
      <c r="Z5" s="479"/>
      <c r="AA5" s="479"/>
      <c r="AB5" s="490"/>
      <c r="AC5" s="479"/>
      <c r="AD5" s="491"/>
    </row>
    <row r="6" spans="1:54" ht="16.5" customHeight="1" x14ac:dyDescent="0.2">
      <c r="A6" s="492"/>
      <c r="B6" s="1072" t="s">
        <v>786</v>
      </c>
      <c r="C6" s="1072"/>
      <c r="D6" s="479"/>
      <c r="E6" s="489"/>
      <c r="F6" s="479"/>
      <c r="G6" s="479"/>
      <c r="H6" s="479"/>
      <c r="I6" s="479"/>
      <c r="J6" s="479"/>
      <c r="K6" s="479"/>
      <c r="L6" s="479"/>
      <c r="M6" s="479"/>
      <c r="N6" s="479"/>
      <c r="O6" s="479"/>
      <c r="P6" s="479"/>
      <c r="Q6" s="479"/>
      <c r="R6" s="479"/>
      <c r="S6" s="479"/>
      <c r="T6" s="479"/>
      <c r="U6" s="479"/>
      <c r="V6" s="479"/>
      <c r="W6" s="479"/>
      <c r="X6" s="479"/>
      <c r="Y6" s="479"/>
      <c r="Z6" s="479"/>
      <c r="AA6" s="479"/>
      <c r="AB6" s="490"/>
      <c r="AC6" s="479"/>
      <c r="AD6" s="491"/>
    </row>
    <row r="7" spans="1:54" ht="16.5" customHeight="1" x14ac:dyDescent="0.2">
      <c r="A7" s="492"/>
      <c r="B7" s="1072" t="s">
        <v>787</v>
      </c>
      <c r="C7" s="1072"/>
      <c r="D7" s="479"/>
      <c r="E7" s="489"/>
      <c r="F7" s="479"/>
      <c r="G7" s="1073"/>
      <c r="H7" s="479"/>
      <c r="I7" s="479"/>
      <c r="J7" s="479"/>
      <c r="K7" s="479"/>
      <c r="L7" s="479"/>
      <c r="M7" s="479"/>
      <c r="N7" s="479"/>
      <c r="O7" s="479"/>
      <c r="P7" s="479"/>
      <c r="Q7" s="479"/>
      <c r="R7" s="479"/>
      <c r="S7" s="479"/>
      <c r="T7" s="479"/>
      <c r="U7" s="479"/>
      <c r="V7" s="479"/>
      <c r="W7" s="479"/>
      <c r="X7" s="479"/>
      <c r="Y7" s="479"/>
      <c r="Z7" s="479"/>
      <c r="AA7" s="479"/>
      <c r="AB7" s="490"/>
      <c r="AC7" s="479"/>
      <c r="AD7" s="491"/>
    </row>
    <row r="8" spans="1:54" ht="16.5" customHeight="1" x14ac:dyDescent="0.2">
      <c r="A8" s="492"/>
      <c r="B8" s="1072" t="s">
        <v>788</v>
      </c>
      <c r="C8" s="1072"/>
      <c r="D8" s="479"/>
      <c r="E8" s="489"/>
      <c r="F8" s="479"/>
      <c r="G8" s="479"/>
      <c r="H8" s="479"/>
      <c r="I8" s="479"/>
      <c r="J8" s="479"/>
      <c r="K8" s="479"/>
      <c r="L8" s="479"/>
      <c r="M8" s="479"/>
      <c r="N8" s="479"/>
      <c r="O8" s="479"/>
      <c r="P8" s="479"/>
      <c r="Q8" s="479"/>
      <c r="R8" s="479"/>
      <c r="S8" s="479"/>
      <c r="T8" s="479"/>
      <c r="U8" s="479"/>
      <c r="V8" s="479"/>
      <c r="W8" s="479"/>
      <c r="X8" s="479"/>
      <c r="Y8" s="479"/>
      <c r="Z8" s="479"/>
      <c r="AA8" s="479"/>
      <c r="AB8" s="490"/>
      <c r="AC8" s="479"/>
      <c r="AD8" s="491"/>
    </row>
    <row r="9" spans="1:54" ht="6" customHeight="1" x14ac:dyDescent="0.2">
      <c r="A9" s="492"/>
      <c r="B9" s="479"/>
      <c r="C9" s="479"/>
      <c r="D9" s="479"/>
      <c r="E9" s="489"/>
      <c r="F9" s="479"/>
      <c r="G9" s="479"/>
      <c r="H9" s="479"/>
      <c r="I9" s="479"/>
      <c r="J9" s="479"/>
      <c r="K9" s="479"/>
      <c r="L9" s="479"/>
      <c r="M9" s="479"/>
      <c r="N9" s="479"/>
      <c r="O9" s="479"/>
      <c r="P9" s="479"/>
      <c r="Q9" s="479"/>
      <c r="R9" s="479"/>
      <c r="S9" s="479"/>
      <c r="T9" s="479"/>
      <c r="U9" s="479"/>
      <c r="V9" s="479"/>
      <c r="W9" s="479"/>
      <c r="X9" s="479"/>
      <c r="Y9" s="479"/>
      <c r="Z9" s="479"/>
      <c r="AA9" s="479"/>
      <c r="AB9" s="490"/>
      <c r="AC9" s="479"/>
      <c r="AD9" s="491"/>
    </row>
    <row r="10" spans="1:54" ht="16.5" customHeight="1" x14ac:dyDescent="0.2">
      <c r="A10" s="492"/>
      <c r="B10" s="1356" t="s">
        <v>85</v>
      </c>
      <c r="C10" s="1357"/>
      <c r="D10" s="1355" t="s">
        <v>195</v>
      </c>
      <c r="E10" s="1355"/>
      <c r="F10" s="1355"/>
      <c r="G10" s="1355"/>
      <c r="H10" s="1355"/>
      <c r="I10" s="479"/>
      <c r="J10" s="479"/>
      <c r="K10" s="479"/>
      <c r="L10" s="479"/>
      <c r="M10" s="479"/>
      <c r="N10" s="479"/>
      <c r="O10" s="479"/>
      <c r="P10" s="479"/>
      <c r="Q10" s="479"/>
      <c r="R10" s="479"/>
      <c r="S10" s="479"/>
      <c r="T10" s="479"/>
      <c r="U10" s="479"/>
      <c r="V10" s="479"/>
      <c r="X10" s="479"/>
      <c r="Y10" s="479"/>
      <c r="Z10" s="479"/>
      <c r="AA10" s="479"/>
      <c r="AB10" s="490"/>
      <c r="AC10" s="479"/>
      <c r="AD10" s="491"/>
    </row>
    <row r="11" spans="1:54" s="649" customFormat="1" ht="6" customHeight="1" thickBot="1" x14ac:dyDescent="0.25">
      <c r="A11" s="644"/>
      <c r="B11" s="645"/>
      <c r="C11" s="645"/>
      <c r="D11" s="645"/>
      <c r="E11" s="646"/>
      <c r="F11" s="645"/>
      <c r="G11" s="645"/>
      <c r="H11" s="645"/>
      <c r="I11" s="645"/>
      <c r="J11" s="645"/>
      <c r="K11" s="645"/>
      <c r="L11" s="645"/>
      <c r="M11" s="645"/>
      <c r="N11" s="645"/>
      <c r="O11" s="645"/>
      <c r="P11" s="645"/>
      <c r="Q11" s="645"/>
      <c r="R11" s="645"/>
      <c r="S11" s="645"/>
      <c r="T11" s="645"/>
      <c r="U11" s="645"/>
      <c r="V11" s="645"/>
      <c r="W11" s="645"/>
      <c r="X11" s="645"/>
      <c r="Y11" s="645"/>
      <c r="Z11" s="645"/>
      <c r="AA11" s="645"/>
      <c r="AB11" s="647"/>
      <c r="AC11" s="645"/>
      <c r="AD11" s="648"/>
    </row>
    <row r="12" spans="1:54" s="497" customFormat="1" ht="57.75" customHeight="1" x14ac:dyDescent="0.2">
      <c r="A12" s="493"/>
      <c r="B12" s="1337" t="s">
        <v>659</v>
      </c>
      <c r="C12" s="1337"/>
      <c r="D12" s="1338" t="s">
        <v>0</v>
      </c>
      <c r="E12" s="1332" t="s">
        <v>31</v>
      </c>
      <c r="F12" s="1332" t="s">
        <v>8</v>
      </c>
      <c r="G12" s="1332" t="s">
        <v>4</v>
      </c>
      <c r="H12" s="1332" t="s">
        <v>6</v>
      </c>
      <c r="I12" s="1332" t="s">
        <v>1</v>
      </c>
      <c r="J12" s="1332" t="s">
        <v>9</v>
      </c>
      <c r="K12" s="1332" t="s">
        <v>2</v>
      </c>
      <c r="L12" s="1332" t="s">
        <v>10</v>
      </c>
      <c r="M12" s="1332" t="s">
        <v>11</v>
      </c>
      <c r="N12" s="1332" t="s">
        <v>12</v>
      </c>
      <c r="O12" s="1332" t="s">
        <v>3</v>
      </c>
      <c r="P12" s="1332" t="s">
        <v>13</v>
      </c>
      <c r="Q12" s="1332" t="s">
        <v>93</v>
      </c>
      <c r="R12" s="1332" t="s">
        <v>14</v>
      </c>
      <c r="S12" s="1332" t="s">
        <v>7</v>
      </c>
      <c r="T12" s="1332" t="s">
        <v>114</v>
      </c>
      <c r="U12" s="1332" t="s">
        <v>115</v>
      </c>
      <c r="V12" s="1332" t="s">
        <v>15</v>
      </c>
      <c r="W12" s="1332" t="s">
        <v>5</v>
      </c>
      <c r="X12" s="1332" t="s">
        <v>30</v>
      </c>
      <c r="Y12" s="1358" t="s">
        <v>16</v>
      </c>
      <c r="Z12" s="1340" t="s">
        <v>74</v>
      </c>
      <c r="AA12" s="1342" t="s">
        <v>126</v>
      </c>
      <c r="AB12" s="494"/>
      <c r="AC12" s="738"/>
      <c r="AD12" s="495"/>
      <c r="AE12" s="496" t="s">
        <v>195</v>
      </c>
      <c r="AF12" s="496" t="s">
        <v>0</v>
      </c>
      <c r="AG12" s="496" t="s">
        <v>31</v>
      </c>
      <c r="AH12" s="496" t="s">
        <v>8</v>
      </c>
      <c r="AI12" s="496" t="s">
        <v>4</v>
      </c>
      <c r="AJ12" s="496" t="s">
        <v>6</v>
      </c>
      <c r="AK12" s="496" t="s">
        <v>1</v>
      </c>
      <c r="AL12" s="496" t="s">
        <v>9</v>
      </c>
      <c r="AM12" s="496" t="s">
        <v>2</v>
      </c>
      <c r="AN12" s="496" t="s">
        <v>10</v>
      </c>
      <c r="AO12" s="496" t="s">
        <v>11</v>
      </c>
      <c r="AP12" s="496" t="s">
        <v>12</v>
      </c>
      <c r="AQ12" s="496" t="s">
        <v>3</v>
      </c>
      <c r="AR12" s="496" t="s">
        <v>13</v>
      </c>
      <c r="AS12" s="496" t="s">
        <v>93</v>
      </c>
      <c r="AT12" s="496" t="s">
        <v>14</v>
      </c>
      <c r="AU12" s="496" t="s">
        <v>7</v>
      </c>
      <c r="AV12" s="496" t="s">
        <v>114</v>
      </c>
      <c r="AW12" s="496" t="s">
        <v>115</v>
      </c>
      <c r="AX12" s="496" t="s">
        <v>15</v>
      </c>
      <c r="AY12" s="496" t="s">
        <v>5</v>
      </c>
      <c r="AZ12" s="496" t="s">
        <v>30</v>
      </c>
      <c r="BA12" s="496" t="s">
        <v>16</v>
      </c>
    </row>
    <row r="13" spans="1:54" s="497" customFormat="1" ht="11.25" customHeight="1" thickBot="1" x14ac:dyDescent="0.25">
      <c r="A13" s="493"/>
      <c r="B13" s="683" t="s">
        <v>196</v>
      </c>
      <c r="C13" s="683" t="s">
        <v>197</v>
      </c>
      <c r="D13" s="1339"/>
      <c r="E13" s="1333"/>
      <c r="F13" s="1333"/>
      <c r="G13" s="1333"/>
      <c r="H13" s="1333"/>
      <c r="I13" s="1333"/>
      <c r="J13" s="1333"/>
      <c r="K13" s="1333"/>
      <c r="L13" s="1333"/>
      <c r="M13" s="1333"/>
      <c r="N13" s="1333"/>
      <c r="O13" s="1333"/>
      <c r="P13" s="1333"/>
      <c r="Q13" s="1333"/>
      <c r="R13" s="1333"/>
      <c r="S13" s="1333"/>
      <c r="T13" s="1333"/>
      <c r="U13" s="1333"/>
      <c r="V13" s="1333"/>
      <c r="W13" s="1333"/>
      <c r="X13" s="1333"/>
      <c r="Y13" s="1359"/>
      <c r="Z13" s="1341"/>
      <c r="AA13" s="1343"/>
      <c r="AB13" s="494"/>
      <c r="AC13" s="738"/>
      <c r="AD13" s="495"/>
      <c r="AE13" s="496"/>
      <c r="AF13" s="496"/>
      <c r="AG13" s="496"/>
      <c r="AH13" s="496"/>
      <c r="AI13" s="496"/>
      <c r="AJ13" s="496"/>
      <c r="AK13" s="496"/>
      <c r="AL13" s="496"/>
      <c r="AM13" s="496"/>
      <c r="AN13" s="496"/>
      <c r="AO13" s="496"/>
      <c r="AP13" s="496"/>
      <c r="AQ13" s="496"/>
      <c r="AR13" s="496"/>
      <c r="AS13" s="496"/>
      <c r="AT13" s="496"/>
      <c r="AU13" s="496"/>
      <c r="AV13" s="496"/>
      <c r="AW13" s="496"/>
      <c r="AX13" s="496"/>
      <c r="AY13" s="496"/>
      <c r="AZ13" s="496"/>
      <c r="BA13" s="496"/>
    </row>
    <row r="14" spans="1:54" s="444" customFormat="1" ht="18.75" customHeight="1" thickBot="1" x14ac:dyDescent="0.25">
      <c r="A14" s="498"/>
      <c r="B14" s="511" t="s">
        <v>78</v>
      </c>
      <c r="C14" s="512" t="s">
        <v>805</v>
      </c>
      <c r="D14" s="1067">
        <f>VLOOKUP(D$12,IDACI!$B:$C,2,FALSE)</f>
        <v>8.9</v>
      </c>
      <c r="E14" s="1068">
        <f>VLOOKUP(E$12,IDACI!$B:$C,2,FALSE)</f>
        <v>15.299999999999999</v>
      </c>
      <c r="F14" s="1068">
        <f>VLOOKUP(F$12,IDACI!$B:$C,2,FALSE)</f>
        <v>8.5</v>
      </c>
      <c r="G14" s="1068">
        <f>VLOOKUP(G$12,IDACI!$B:$C,2,FALSE)</f>
        <v>16.100000000000001</v>
      </c>
      <c r="H14" s="1068">
        <f>VLOOKUP(H$12,IDACI!$B:$C,2,FALSE)</f>
        <v>10.100000000000001</v>
      </c>
      <c r="I14" s="1068">
        <f>VLOOKUP(I$12,IDACI!$B:$C,2,FALSE)</f>
        <v>18</v>
      </c>
      <c r="J14" s="1068">
        <f>VLOOKUP(J$12,IDACI!$B:$C,2,FALSE)</f>
        <v>15.8</v>
      </c>
      <c r="K14" s="1068">
        <f>VLOOKUP(K$12,IDACI!$B:$C,2,FALSE)</f>
        <v>18.899999999999999</v>
      </c>
      <c r="L14" s="1068">
        <f>VLOOKUP(L$12,IDACI!$B:$C,2,FALSE)</f>
        <v>15</v>
      </c>
      <c r="M14" s="1068">
        <f>VLOOKUP(M$12,IDACI!$B:$C,2,FALSE)</f>
        <v>10.100000000000001</v>
      </c>
      <c r="N14" s="1068">
        <f>VLOOKUP(N$12,IDACI!$B:$C,2,FALSE)</f>
        <v>20.200000000000003</v>
      </c>
      <c r="O14" s="1068">
        <f>VLOOKUP(O$12,IDACI!$B:$C,2,FALSE)</f>
        <v>16</v>
      </c>
      <c r="P14" s="1068">
        <f>VLOOKUP(P$12,IDACI!$B:$C,2,FALSE)</f>
        <v>14.7</v>
      </c>
      <c r="Q14" s="1068">
        <f>VLOOKUP(Q$12,IDACI!$B:$C,2,FALSE)</f>
        <v>13.600000000000001</v>
      </c>
      <c r="R14" s="1068">
        <f>VLOOKUP(R$12,IDACI!$B:$C,2,FALSE)</f>
        <v>20.5</v>
      </c>
      <c r="S14" s="1068">
        <f>VLOOKUP(S$12,IDACI!$B:$C,2,FALSE)</f>
        <v>8.3000000000000007</v>
      </c>
      <c r="T14" s="1068">
        <f>VLOOKUP(T$12,IDACI!$B:$C,2,FALSE)</f>
        <v>14.899999999999999</v>
      </c>
      <c r="U14" s="1068">
        <f>VLOOKUP(U$12,IDACI!$B:$C,2,FALSE)</f>
        <v>21.9</v>
      </c>
      <c r="V14" s="1068">
        <f>VLOOKUP(V$12,IDACI!$B:$C,2,FALSE)</f>
        <v>8.6999999999999993</v>
      </c>
      <c r="W14" s="1068">
        <f>VLOOKUP(W$12,IDACI!$B:$C,2,FALSE)</f>
        <v>11</v>
      </c>
      <c r="X14" s="1068">
        <f>VLOOKUP(X$12,IDACI!$B:$C,2,FALSE)</f>
        <v>6.7</v>
      </c>
      <c r="Y14" s="1069">
        <f>VLOOKUP(Y$12,IDACI!$B:$C,2,FALSE)</f>
        <v>5.6000000000000005</v>
      </c>
      <c r="Z14" s="1089">
        <f>VLOOKUP(Z$12,IDACI!$B:$C,2,FALSE)</f>
        <v>12.371268250968637</v>
      </c>
      <c r="AA14" s="1070">
        <f>VLOOKUP(AA$12,IDACI!$B:$C,2,FALSE)</f>
        <v>17.084413405029373</v>
      </c>
      <c r="AB14" s="501"/>
      <c r="AC14" s="739"/>
      <c r="AD14" s="502"/>
      <c r="AE14" s="503"/>
      <c r="AF14" s="503"/>
      <c r="AG14" s="503"/>
      <c r="AH14" s="503"/>
      <c r="AI14" s="503"/>
      <c r="AJ14" s="503"/>
      <c r="AK14" s="503"/>
      <c r="AL14" s="503"/>
      <c r="AM14" s="503"/>
      <c r="AN14" s="503"/>
      <c r="AO14" s="503"/>
      <c r="AP14" s="503"/>
      <c r="AQ14" s="503"/>
      <c r="AR14" s="503"/>
      <c r="AS14" s="503"/>
      <c r="AT14" s="503"/>
      <c r="AU14" s="503"/>
      <c r="AV14" s="503"/>
      <c r="AW14" s="503"/>
      <c r="AX14" s="503"/>
      <c r="AY14" s="503"/>
      <c r="AZ14" s="503"/>
      <c r="BA14" s="503"/>
      <c r="BB14" s="444">
        <f>ROW(BC14)-11</f>
        <v>3</v>
      </c>
    </row>
    <row r="15" spans="1:54" s="444" customFormat="1" ht="22.5" customHeight="1" x14ac:dyDescent="0.2">
      <c r="A15" s="498"/>
      <c r="B15" s="1347" t="s">
        <v>80</v>
      </c>
      <c r="C15" s="508" t="str">
        <f>"Referrals received to Children's Social Care (CSC) during the "&amp;Sheet1!$G$3&amp;", Rate per 10,000 0-17 Year Olds"</f>
        <v>Referrals received to Children's Social Care (CSC) during the Year ending 31st March, Rate per 10,000 0-17 Year Olds</v>
      </c>
      <c r="D15" s="687">
        <f>IFERROR(VLOOKUP(D12,Referrals!$B$10:$O$33,14,FALSE),"")</f>
        <v>791.51943462897532</v>
      </c>
      <c r="E15" s="500">
        <f>IFERROR(VLOOKUP(E12,Referrals!$B$10:$O$33,14,FALSE),"")</f>
        <v>635.0980392156863</v>
      </c>
      <c r="F15" s="500">
        <f>IFERROR(VLOOKUP(F12,Referrals!$B$10:$O$33,14,FALSE),"")</f>
        <v>614.64199517296868</v>
      </c>
      <c r="G15" s="500">
        <f>IFERROR(VLOOKUP(G12,Referrals!$B$10:$O$33,14,FALSE),"")</f>
        <v>405.54511278195491</v>
      </c>
      <c r="H15" s="500">
        <f>IFERROR(VLOOKUP(H12,Referrals!$B$10:$O$33,14,FALSE),"")</f>
        <v>648.16901408450701</v>
      </c>
      <c r="I15" s="500">
        <f>IFERROR(VLOOKUP(I12,Referrals!$B$10:$O$33,14,FALSE),"")</f>
        <v>973.49397590361446</v>
      </c>
      <c r="J15" s="500">
        <f>IFERROR(VLOOKUP(J12,Referrals!$B$10:$O$33,14,FALSE),"")</f>
        <v>537.57718318141724</v>
      </c>
      <c r="K15" s="500">
        <f>IFERROR(VLOOKUP(K12,Referrals!$B$10:$O$33,14,FALSE),"")</f>
        <v>625</v>
      </c>
      <c r="L15" s="500">
        <f>IFERROR(VLOOKUP(L12,Referrals!$B$10:$O$33,14,FALSE),"")</f>
        <v>397.80380673499269</v>
      </c>
      <c r="M15" s="500">
        <f>IFERROR(VLOOKUP(M12,Referrals!$B$10:$O$33,14,FALSE),"")</f>
        <v>468.16298342541438</v>
      </c>
      <c r="N15" s="500">
        <f>IFERROR(VLOOKUP(N12,Referrals!$B$10:$O$33,14,FALSE),"")</f>
        <v>646.36363636363626</v>
      </c>
      <c r="O15" s="500">
        <f>IFERROR(VLOOKUP(O12,Referrals!$B$10:$O$33,14,FALSE),"")</f>
        <v>738.27493261455527</v>
      </c>
      <c r="P15" s="500">
        <f>IFERROR(VLOOKUP(P12,Referrals!$B$10:$O$33,14,FALSE),"")</f>
        <v>464.87119437939111</v>
      </c>
      <c r="Q15" s="500">
        <f>IFERROR(VLOOKUP(Q12,Referrals!$B$10:$O$33,14,FALSE),"")</f>
        <v>345.98012646793137</v>
      </c>
      <c r="R15" s="500">
        <f>IFERROR(VLOOKUP(R12,Referrals!$B$10:$O$33,14,FALSE),"")</f>
        <v>511.41732283464569</v>
      </c>
      <c r="S15" s="500">
        <f>IFERROR(VLOOKUP(S12,Referrals!$B$10:$O$33,14,FALSE),"")</f>
        <v>406.07101947308132</v>
      </c>
      <c r="T15" s="500">
        <f>IFERROR(VLOOKUP(T12,Referrals!$B$10:$O$33,14,FALSE),"")</f>
        <v>645.81673306772905</v>
      </c>
      <c r="U15" s="500">
        <f>IFERROR(VLOOKUP(U12,Referrals!$B$10:$O$33,14,FALSE),"")</f>
        <v>695.27559055118104</v>
      </c>
      <c r="V15" s="500">
        <f>IFERROR(VLOOKUP(V12,Referrals!$B$10:$O$33,14,FALSE),"")</f>
        <v>473.59550561797755</v>
      </c>
      <c r="W15" s="500">
        <f>IFERROR(VLOOKUP(W12,Referrals!$B$10:$O$33,14,FALSE),"")</f>
        <v>543.21694333142534</v>
      </c>
      <c r="X15" s="500">
        <f>IFERROR(VLOOKUP(X12,Referrals!$B$10:$O$33,14,FALSE),"")</f>
        <v>328.03468208092482</v>
      </c>
      <c r="Y15" s="688">
        <f>IFERROR(VLOOKUP(Y12,Referrals!$B$10:$O$33,14,FALSE),"")</f>
        <v>431.64556962025313</v>
      </c>
      <c r="Z15" s="1090">
        <f>IFERROR(VLOOKUP(Z12,Referrals!$B$10:$O$33,14,FALSE),"")</f>
        <v>535.86390109328704</v>
      </c>
      <c r="AA15" s="1258">
        <f>IFERROR(VLOOKUP(AA12,Referrals!$B$10:$O$33,14,FALSE),"")</f>
        <v>544.50169809111139</v>
      </c>
      <c r="AB15" s="501"/>
      <c r="AC15" s="739"/>
      <c r="AD15" s="502"/>
      <c r="AE15" s="503"/>
      <c r="AF15" s="503"/>
      <c r="AG15" s="503"/>
      <c r="AH15" s="503"/>
      <c r="AI15" s="503"/>
      <c r="AJ15" s="503"/>
      <c r="AK15" s="503"/>
      <c r="AL15" s="503"/>
      <c r="AM15" s="503"/>
      <c r="AN15" s="503"/>
      <c r="AO15" s="503"/>
      <c r="AP15" s="503"/>
      <c r="AQ15" s="503"/>
      <c r="AR15" s="503"/>
      <c r="AS15" s="503"/>
      <c r="AT15" s="503"/>
      <c r="AU15" s="503"/>
      <c r="AV15" s="503"/>
      <c r="AW15" s="503"/>
      <c r="AX15" s="503"/>
      <c r="AY15" s="503"/>
      <c r="AZ15" s="503"/>
      <c r="BA15" s="503"/>
      <c r="BB15" s="444">
        <f t="shared" ref="BB15:BB70" si="0">ROW(BC15)-11</f>
        <v>4</v>
      </c>
    </row>
    <row r="16" spans="1:54" s="444" customFormat="1" ht="18" customHeight="1" thickBot="1" x14ac:dyDescent="0.25">
      <c r="A16" s="498"/>
      <c r="B16" s="1348"/>
      <c r="C16" s="510" t="s">
        <v>200</v>
      </c>
      <c r="D16" s="692">
        <f>IFERROR(VLOOKUP(D12,Referrals!$B$148:$H$171,7,FALSE),"")</f>
        <v>0.71875</v>
      </c>
      <c r="E16" s="521">
        <f>IFERROR(VLOOKUP(E12,Referrals!$B$148:$H$171,7,FALSE),"")</f>
        <v>0.92466810744056804</v>
      </c>
      <c r="F16" s="521">
        <f>IFERROR(VLOOKUP(F12,Referrals!$B$148:$H$171,7,FALSE),"")</f>
        <v>0.73390052356020941</v>
      </c>
      <c r="G16" s="521">
        <f>IFERROR(VLOOKUP(G12,Referrals!$B$148:$H$171,7,FALSE),"")</f>
        <v>0.98146002317497105</v>
      </c>
      <c r="H16" s="521">
        <f>IFERROR(VLOOKUP(H12,Referrals!$B$148:$H$171,7,FALSE),"")</f>
        <v>0.85495436766623212</v>
      </c>
      <c r="I16" s="521">
        <f>IFERROR(VLOOKUP(I12,Referrals!$B$148:$H$171,7,FALSE),"")</f>
        <v>0.77846534653465349</v>
      </c>
      <c r="J16" s="521">
        <f>IFERROR(VLOOKUP(J12,Referrals!$B$148:$H$171,7,FALSE),"")</f>
        <v>0.99431165563638357</v>
      </c>
      <c r="K16" s="521">
        <f>IFERROR(VLOOKUP(K12,Referrals!$B$148:$H$171,7,FALSE),"")</f>
        <v>0.92670807453416149</v>
      </c>
      <c r="L16" s="521">
        <f>IFERROR(VLOOKUP(L12,Referrals!$B$148:$H$171,7,FALSE),"")</f>
        <v>0.83216783216783219</v>
      </c>
      <c r="M16" s="521">
        <f>IFERROR(VLOOKUP(M12,Referrals!$B$148:$H$171,7,FALSE),"")</f>
        <v>0.82873580174066974</v>
      </c>
      <c r="N16" s="521">
        <f>IFERROR(VLOOKUP(N12,Referrals!$B$148:$H$171,7,FALSE),"")</f>
        <v>0.9743319268635724</v>
      </c>
      <c r="O16" s="521">
        <f>IFERROR(VLOOKUP(O12,Referrals!$B$148:$H$171,7,FALSE),"")</f>
        <v>0.98612632347572104</v>
      </c>
      <c r="P16" s="521">
        <f>IFERROR(VLOOKUP(P12,Referrals!$B$148:$H$171,7,FALSE),"")</f>
        <v>0.95516372795969773</v>
      </c>
      <c r="Q16" s="521">
        <f>IFERROR(VLOOKUP(Q12,Referrals!$B$148:$H$171,7,FALSE),"")</f>
        <v>0.94908616187989558</v>
      </c>
      <c r="R16" s="521">
        <f>IFERROR(VLOOKUP(R12,Referrals!$B$148:$H$171,7,FALSE),"")</f>
        <v>0.87336412625096227</v>
      </c>
      <c r="S16" s="521">
        <f>IFERROR(VLOOKUP(S12,Referrals!$B$148:$H$171,7,FALSE),"")</f>
        <v>0.98627174424071462</v>
      </c>
      <c r="T16" s="521">
        <f>IFERROR(VLOOKUP(T12,Referrals!$B$148:$H$171,7,FALSE),"")</f>
        <v>0.93522516964836522</v>
      </c>
      <c r="U16" s="521">
        <f>IFERROR(VLOOKUP(U12,Referrals!$B$148:$H$171,7,FALSE),"")</f>
        <v>0.87146092865232161</v>
      </c>
      <c r="V16" s="521">
        <f>IFERROR(VLOOKUP(V12,Referrals!$B$148:$H$171,7,FALSE),"")</f>
        <v>1</v>
      </c>
      <c r="W16" s="521">
        <f>IFERROR(VLOOKUP(W12,Referrals!$B$148:$H$171,7,FALSE),"")</f>
        <v>1</v>
      </c>
      <c r="X16" s="521">
        <f>IFERROR(VLOOKUP(X12,Referrals!$B$148:$H$171,7,FALSE),"")</f>
        <v>0.945374449339207</v>
      </c>
      <c r="Y16" s="693">
        <f>IFERROR(VLOOKUP(Y12,Referrals!$B$148:$H$171,7,FALSE),"")</f>
        <v>0.98768328445747799</v>
      </c>
      <c r="Z16" s="1091">
        <f>IFERROR(VLOOKUP(Z12,Referrals!$B$148:$H$171,7,FALSE),"")</f>
        <v>0.9144818381161216</v>
      </c>
      <c r="AA16" s="1259">
        <f>IFERROR(VLOOKUP(AA12,Referrals!$B$148:$H$171,7,FALSE),"")</f>
        <v>0.91917717726944526</v>
      </c>
      <c r="AB16" s="501"/>
      <c r="AC16" s="739"/>
      <c r="AD16" s="502"/>
      <c r="AE16" s="503"/>
      <c r="AF16" s="503"/>
      <c r="AG16" s="503"/>
      <c r="AH16" s="503"/>
      <c r="AI16" s="503"/>
      <c r="AJ16" s="503"/>
      <c r="AK16" s="503"/>
      <c r="AL16" s="503"/>
      <c r="AM16" s="503"/>
      <c r="AN16" s="503"/>
      <c r="AO16" s="503"/>
      <c r="AP16" s="503"/>
      <c r="AQ16" s="503"/>
      <c r="AR16" s="503"/>
      <c r="AS16" s="503"/>
      <c r="AT16" s="503"/>
      <c r="AU16" s="503"/>
      <c r="AV16" s="503"/>
      <c r="AW16" s="503"/>
      <c r="AX16" s="503"/>
      <c r="AY16" s="503"/>
      <c r="AZ16" s="503"/>
      <c r="BA16" s="503"/>
      <c r="BB16" s="444">
        <f t="shared" si="0"/>
        <v>5</v>
      </c>
    </row>
    <row r="17" spans="1:54" s="444" customFormat="1" ht="15" customHeight="1" x14ac:dyDescent="0.2">
      <c r="A17" s="498"/>
      <c r="B17" s="1351" t="s">
        <v>658</v>
      </c>
      <c r="C17" s="514" t="s">
        <v>201</v>
      </c>
      <c r="D17" s="694">
        <f>IFERROR(VLOOKUP(D$12,Referral_Source!$BC$33:$BM$56,2,FALSE),"")</f>
        <v>9.7153185720741081E-2</v>
      </c>
      <c r="E17" s="631">
        <f>IFERROR(VLOOKUP(E$12,Referral_Source!$BC$33:$BM$56,2,FALSE),"")</f>
        <v>3.2417412781722756E-2</v>
      </c>
      <c r="F17" s="631">
        <f>IFERROR(VLOOKUP(F$12,Referral_Source!$BC$33:$BM$56,2,FALSE),"")</f>
        <v>7.4738219895287963E-2</v>
      </c>
      <c r="G17" s="631">
        <f>IFERROR(VLOOKUP(G$12,Referral_Source!$BC$33:$BM$56,2,FALSE),"")</f>
        <v>0.10614136732329085</v>
      </c>
      <c r="H17" s="631">
        <f>IFERROR(VLOOKUP(H$12,Referral_Source!$BC$33:$BM$56,2,FALSE),"")</f>
        <v>0.10461606015697898</v>
      </c>
      <c r="I17" s="631">
        <f>IFERROR(VLOOKUP(I$12,Referral_Source!$BC$33:$BM$56,2,FALSE),"")</f>
        <v>7.4387151310228231E-2</v>
      </c>
      <c r="J17" s="631">
        <f>IFERROR(VLOOKUP(J$12,Referral_Source!$BC$33:$BM$56,2,FALSE),"")</f>
        <v>8.5379861073128047E-2</v>
      </c>
      <c r="K17" s="631">
        <f>IFERROR(VLOOKUP(K$12,Referral_Source!$BC$33:$BM$56,2,FALSE),"")</f>
        <v>0.1031055900621118</v>
      </c>
      <c r="L17" s="631">
        <f>IFERROR(VLOOKUP(L$12,Referral_Source!$BC$33:$BM$56,2,FALSE),"")</f>
        <v>0.10720956294359357</v>
      </c>
      <c r="M17" s="631">
        <f>IFERROR(VLOOKUP(M$12,Referral_Source!$BC$33:$BM$56,2,FALSE),"")</f>
        <v>5.7825637999704971E-2</v>
      </c>
      <c r="N17" s="631">
        <f>IFERROR(VLOOKUP(N$12,Referral_Source!$BC$33:$BM$56,2,FALSE),"")</f>
        <v>7.7355836849507739E-2</v>
      </c>
      <c r="O17" s="631">
        <f>IFERROR(VLOOKUP(O$12,Referral_Source!$BC$33:$BM$56,2,FALSE),"")</f>
        <v>6.4257028112449793E-2</v>
      </c>
      <c r="P17" s="631">
        <f>IFERROR(VLOOKUP(P$12,Referral_Source!$BC$33:$BM$56,2,FALSE),"")</f>
        <v>6.9873417721518991E-2</v>
      </c>
      <c r="Q17" s="631">
        <f>IFERROR(VLOOKUP(Q$12,Referral_Source!$BC$33:$BM$56,2,FALSE),"")</f>
        <v>3.5576179427687551E-2</v>
      </c>
      <c r="R17" s="631">
        <f>IFERROR(VLOOKUP(R$12,Referral_Source!$BC$33:$BM$56,2,FALSE),"")</f>
        <v>5.3126469205453691E-2</v>
      </c>
      <c r="S17" s="631">
        <f>IFERROR(VLOOKUP(S$12,Referral_Source!$BC$33:$BM$56,2,FALSE),"")</f>
        <v>0.11506524317912219</v>
      </c>
      <c r="T17" s="631">
        <f>IFERROR(VLOOKUP(T$12,Referral_Source!$BC$33:$BM$56,2,FALSE),"")</f>
        <v>8.6406743940990516E-2</v>
      </c>
      <c r="U17" s="631">
        <f>IFERROR(VLOOKUP(U$12,Referral_Source!$BC$33:$BM$56,2,FALSE),"")</f>
        <v>7.8414096916299553E-2</v>
      </c>
      <c r="V17" s="631">
        <f>IFERROR(VLOOKUP(V$12,Referral_Source!$BC$33:$BM$56,2,FALSE),"")</f>
        <v>8.3284457478005863E-2</v>
      </c>
      <c r="W17" s="631">
        <f>IFERROR(VLOOKUP(W$12,Referral_Source!$BC$33:$BM$56,2,FALSE),"")</f>
        <v>0.12976501305483029</v>
      </c>
      <c r="X17" s="631">
        <f>IFERROR(VLOOKUP(X$12,Referral_Source!$BC$33:$BM$56,2,FALSE),"")</f>
        <v>5.5212831585441088E-2</v>
      </c>
      <c r="Y17" s="695">
        <f>IFERROR(VLOOKUP(Y$12,Referral_Source!$BC$33:$BM$56,2,FALSE),"")</f>
        <v>8.138873079112123E-2</v>
      </c>
      <c r="Z17" s="1094">
        <f>IFERROR(VLOOKUP(Z$12,Referral_Source!$BC$33:$BM$56,2,FALSE),"")</f>
        <v>8.3259291796863297E-2</v>
      </c>
      <c r="AA17" s="1260">
        <f>IFERROR(VLOOKUP(AA$12,Referral_Source!$BC$33:$BM$56,2,FALSE),"")</f>
        <v>7.9810114914275185E-2</v>
      </c>
      <c r="AB17" s="501"/>
      <c r="AC17" s="739"/>
      <c r="AD17" s="502"/>
      <c r="AE17" s="503"/>
      <c r="AF17" s="503"/>
      <c r="AG17" s="503"/>
      <c r="AH17" s="503"/>
      <c r="AI17" s="503"/>
      <c r="AJ17" s="503"/>
      <c r="AK17" s="503"/>
      <c r="AL17" s="503"/>
      <c r="AM17" s="503"/>
      <c r="AN17" s="503"/>
      <c r="AO17" s="503"/>
      <c r="AP17" s="503"/>
      <c r="AQ17" s="503"/>
      <c r="AR17" s="503"/>
      <c r="AS17" s="503"/>
      <c r="AT17" s="503"/>
      <c r="AU17" s="503"/>
      <c r="AV17" s="503"/>
      <c r="AW17" s="503"/>
      <c r="AX17" s="503"/>
      <c r="AY17" s="503"/>
      <c r="AZ17" s="503"/>
      <c r="BA17" s="503"/>
      <c r="BB17" s="444">
        <f t="shared" si="0"/>
        <v>6</v>
      </c>
    </row>
    <row r="18" spans="1:54" s="444" customFormat="1" ht="15" customHeight="1" x14ac:dyDescent="0.2">
      <c r="A18" s="498"/>
      <c r="B18" s="1352"/>
      <c r="C18" s="515" t="s">
        <v>202</v>
      </c>
      <c r="D18" s="689">
        <f>IFERROR(VLOOKUP(D$12,Referral_Source!$BC$33:$BM$56,3,FALSE),"")</f>
        <v>0.26751016719385451</v>
      </c>
      <c r="E18" s="505">
        <f>IFERROR(VLOOKUP(E$12,Referral_Source!$BC$33:$BM$56,3,FALSE),"")</f>
        <v>0.18802099413399198</v>
      </c>
      <c r="F18" s="505">
        <f>IFERROR(VLOOKUP(F$12,Referral_Source!$BC$33:$BM$56,3,FALSE),"")</f>
        <v>0.2036649214659686</v>
      </c>
      <c r="G18" s="505">
        <f>IFERROR(VLOOKUP(G$12,Referral_Source!$BC$33:$BM$56,3,FALSE),"")</f>
        <v>0.1988412514484357</v>
      </c>
      <c r="H18" s="505">
        <f>IFERROR(VLOOKUP(H$12,Referral_Source!$BC$33:$BM$56,3,FALSE),"")</f>
        <v>0.24320764037543224</v>
      </c>
      <c r="I18" s="505">
        <f>IFERROR(VLOOKUP(I$12,Referral_Source!$BC$33:$BM$56,3,FALSE),"")</f>
        <v>0.28698224852071008</v>
      </c>
      <c r="J18" s="505">
        <f>IFERROR(VLOOKUP(J$12,Referral_Source!$BC$33:$BM$56,3,FALSE),"")</f>
        <v>0.18082371602034678</v>
      </c>
      <c r="K18" s="505">
        <f>IFERROR(VLOOKUP(K$12,Referral_Source!$BC$33:$BM$56,3,FALSE),"")</f>
        <v>0.21639751552795031</v>
      </c>
      <c r="L18" s="505">
        <f>IFERROR(VLOOKUP(L$12,Referral_Source!$BC$33:$BM$56,3,FALSE),"")</f>
        <v>0.21180425849831902</v>
      </c>
      <c r="M18" s="505">
        <f>IFERROR(VLOOKUP(M$12,Referral_Source!$BC$33:$BM$56,3,FALSE),"")</f>
        <v>0.2093229089836259</v>
      </c>
      <c r="N18" s="505">
        <f>IFERROR(VLOOKUP(N$12,Referral_Source!$BC$33:$BM$56,3,FALSE),"")</f>
        <v>0.1990154711673699</v>
      </c>
      <c r="O18" s="505">
        <f>IFERROR(VLOOKUP(O$12,Referral_Source!$BC$33:$BM$56,3,FALSE),"")</f>
        <v>0.19532676159182183</v>
      </c>
      <c r="P18" s="505">
        <f>IFERROR(VLOOKUP(P$12,Referral_Source!$BC$33:$BM$56,3,FALSE),"")</f>
        <v>0.23240506329113925</v>
      </c>
      <c r="Q18" s="505">
        <f>IFERROR(VLOOKUP(Q$12,Referral_Source!$BC$33:$BM$56,3,FALSE),"")</f>
        <v>0.21693735498839908</v>
      </c>
      <c r="R18" s="505">
        <f>IFERROR(VLOOKUP(R$12,Referral_Source!$BC$33:$BM$56,3,FALSE),"")</f>
        <v>0.21231781852374235</v>
      </c>
      <c r="S18" s="505">
        <f>IFERROR(VLOOKUP(S$12,Referral_Source!$BC$33:$BM$56,3,FALSE),"")</f>
        <v>0.19157769869513641</v>
      </c>
      <c r="T18" s="505">
        <f>IFERROR(VLOOKUP(T$12,Referral_Source!$BC$33:$BM$56,3,FALSE),"")</f>
        <v>0.21559536354056902</v>
      </c>
      <c r="U18" s="505">
        <f>IFERROR(VLOOKUP(U$12,Referral_Source!$BC$33:$BM$56,3,FALSE),"")</f>
        <v>0.16211453744493393</v>
      </c>
      <c r="V18" s="505">
        <f>IFERROR(VLOOKUP(V$12,Referral_Source!$BC$33:$BM$56,3,FALSE),"")</f>
        <v>0.20234604105571846</v>
      </c>
      <c r="W18" s="505">
        <f>IFERROR(VLOOKUP(W$12,Referral_Source!$BC$33:$BM$56,3,FALSE),"")</f>
        <v>0.15091383812010445</v>
      </c>
      <c r="X18" s="505">
        <f>IFERROR(VLOOKUP(X$12,Referral_Source!$BC$33:$BM$56,3,FALSE),"")</f>
        <v>0.20141887723627391</v>
      </c>
      <c r="Y18" s="630">
        <f>IFERROR(VLOOKUP(Y$12,Referral_Source!$BC$33:$BM$56,3,FALSE),"")</f>
        <v>0.16789982925441094</v>
      </c>
      <c r="Z18" s="1092">
        <f>IFERROR(VLOOKUP(Z$12,Referral_Source!$BC$33:$BM$56,3,FALSE),"")</f>
        <v>0.20864738591779891</v>
      </c>
      <c r="AA18" s="1261">
        <f>IFERROR(VLOOKUP(AA$12,Referral_Source!$BC$33:$BM$56,3,FALSE),"")</f>
        <v>0.20397283844404843</v>
      </c>
      <c r="AB18" s="501"/>
      <c r="AC18" s="739"/>
      <c r="AD18" s="502"/>
      <c r="AE18" s="503"/>
      <c r="AF18" s="503"/>
      <c r="AG18" s="503"/>
      <c r="AH18" s="503"/>
      <c r="AI18" s="503"/>
      <c r="AJ18" s="503"/>
      <c r="AK18" s="503"/>
      <c r="AL18" s="503"/>
      <c r="AM18" s="503"/>
      <c r="AN18" s="503"/>
      <c r="AO18" s="503"/>
      <c r="AP18" s="503"/>
      <c r="AQ18" s="503"/>
      <c r="AR18" s="503"/>
      <c r="AS18" s="503"/>
      <c r="AT18" s="503"/>
      <c r="AU18" s="503"/>
      <c r="AV18" s="503"/>
      <c r="AW18" s="503"/>
      <c r="AX18" s="503"/>
      <c r="AY18" s="503"/>
      <c r="AZ18" s="503"/>
      <c r="BA18" s="503"/>
      <c r="BB18" s="444">
        <f t="shared" si="0"/>
        <v>7</v>
      </c>
    </row>
    <row r="19" spans="1:54" s="444" customFormat="1" ht="15" customHeight="1" x14ac:dyDescent="0.2">
      <c r="A19" s="498"/>
      <c r="B19" s="1352"/>
      <c r="C19" s="515" t="s">
        <v>203</v>
      </c>
      <c r="D19" s="689">
        <f>IFERROR(VLOOKUP(D$12,Referral_Source!$BC$33:$BM$56,4,FALSE),"")</f>
        <v>0.11477632173520108</v>
      </c>
      <c r="E19" s="505">
        <f>IFERROR(VLOOKUP(E$12,Referral_Source!$BC$33:$BM$56,4,FALSE),"")</f>
        <v>9.4164865699289904E-2</v>
      </c>
      <c r="F19" s="505">
        <f>IFERROR(VLOOKUP(F$12,Referral_Source!$BC$33:$BM$56,4,FALSE),"")</f>
        <v>0.15471204188481674</v>
      </c>
      <c r="G19" s="505">
        <f>IFERROR(VLOOKUP(G$12,Referral_Source!$BC$33:$BM$56,4,FALSE),"")</f>
        <v>9.4553881807647747E-2</v>
      </c>
      <c r="H19" s="505">
        <f>IFERROR(VLOOKUP(H$12,Referral_Source!$BC$33:$BM$56,4,FALSE),"")</f>
        <v>0.16812119216202864</v>
      </c>
      <c r="I19" s="505">
        <f>IFERROR(VLOOKUP(I$12,Referral_Source!$BC$33:$BM$56,4,FALSE),"")</f>
        <v>0.13017751479289941</v>
      </c>
      <c r="J19" s="505">
        <f>IFERROR(VLOOKUP(J$12,Referral_Source!$BC$33:$BM$56,4,FALSE),"")</f>
        <v>0.12722200951703769</v>
      </c>
      <c r="K19" s="505">
        <f>IFERROR(VLOOKUP(K$12,Referral_Source!$BC$33:$BM$56,4,FALSE),"")</f>
        <v>8.9192546583850937E-2</v>
      </c>
      <c r="L19" s="505">
        <f>IFERROR(VLOOKUP(L$12,Referral_Source!$BC$33:$BM$56,4,FALSE),"")</f>
        <v>0.12401942472917445</v>
      </c>
      <c r="M19" s="505">
        <f>IFERROR(VLOOKUP(M$12,Referral_Source!$BC$33:$BM$56,4,FALSE),"")</f>
        <v>9.1901460392388251E-2</v>
      </c>
      <c r="N19" s="505">
        <f>IFERROR(VLOOKUP(N$12,Referral_Source!$BC$33:$BM$56,4,FALSE),"")</f>
        <v>0.13045007032348804</v>
      </c>
      <c r="O19" s="505">
        <f>IFERROR(VLOOKUP(O$12,Referral_Source!$BC$33:$BM$56,4,FALSE),"")</f>
        <v>0.14494341000365096</v>
      </c>
      <c r="P19" s="505">
        <f>IFERROR(VLOOKUP(P$12,Referral_Source!$BC$33:$BM$56,4,FALSE),"")</f>
        <v>0.10582278481012658</v>
      </c>
      <c r="Q19" s="505">
        <f>IFERROR(VLOOKUP(Q$12,Referral_Source!$BC$33:$BM$56,4,FALSE),"")</f>
        <v>0.14037122969837587</v>
      </c>
      <c r="R19" s="505">
        <f>IFERROR(VLOOKUP(R$12,Referral_Source!$BC$33:$BM$56,4,FALSE),"")</f>
        <v>0.13511988716502116</v>
      </c>
      <c r="S19" s="505">
        <f>IFERROR(VLOOKUP(S$12,Referral_Source!$BC$33:$BM$56,4,FALSE),"")</f>
        <v>8.8967971530249115E-2</v>
      </c>
      <c r="T19" s="505">
        <f>IFERROR(VLOOKUP(T$12,Referral_Source!$BC$33:$BM$56,4,FALSE),"")</f>
        <v>0.12002107481559536</v>
      </c>
      <c r="U19" s="505">
        <f>IFERROR(VLOOKUP(U$12,Referral_Source!$BC$33:$BM$56,4,FALSE),"")</f>
        <v>0.11453744493392071</v>
      </c>
      <c r="V19" s="505">
        <f>IFERROR(VLOOKUP(V$12,Referral_Source!$BC$33:$BM$56,4,FALSE),"")</f>
        <v>0.14838709677419354</v>
      </c>
      <c r="W19" s="505">
        <f>IFERROR(VLOOKUP(W$12,Referral_Source!$BC$33:$BM$56,4,FALSE),"")</f>
        <v>0.15874673629242819</v>
      </c>
      <c r="X19" s="505">
        <f>IFERROR(VLOOKUP(X$12,Referral_Source!$BC$33:$BM$56,4,FALSE),"")</f>
        <v>0.12769895126465144</v>
      </c>
      <c r="Y19" s="630">
        <f>IFERROR(VLOOKUP(Y$12,Referral_Source!$BC$33:$BM$56,4,FALSE),"")</f>
        <v>0.13375071143995446</v>
      </c>
      <c r="Z19" s="1092">
        <f>IFERROR(VLOOKUP(Z$12,Referral_Source!$BC$33:$BM$56,4,FALSE),"")</f>
        <v>0.13211672273857181</v>
      </c>
      <c r="AA19" s="1261">
        <f>IFERROR(VLOOKUP(AA$12,Referral_Source!$BC$33:$BM$56,4,FALSE),"")</f>
        <v>0.14605481472377557</v>
      </c>
      <c r="AB19" s="501"/>
      <c r="AC19" s="739"/>
      <c r="AD19" s="502"/>
      <c r="AE19" s="503"/>
      <c r="AF19" s="503"/>
      <c r="AG19" s="503"/>
      <c r="AH19" s="503"/>
      <c r="AI19" s="503"/>
      <c r="AJ19" s="503"/>
      <c r="AK19" s="503"/>
      <c r="AL19" s="503"/>
      <c r="AM19" s="503"/>
      <c r="AN19" s="503"/>
      <c r="AO19" s="503"/>
      <c r="AP19" s="503"/>
      <c r="AQ19" s="503"/>
      <c r="AR19" s="503"/>
      <c r="AS19" s="503"/>
      <c r="AT19" s="503"/>
      <c r="AU19" s="503"/>
      <c r="AV19" s="503"/>
      <c r="AW19" s="503"/>
      <c r="AX19" s="503"/>
      <c r="AY19" s="503"/>
      <c r="AZ19" s="503"/>
      <c r="BA19" s="503"/>
      <c r="BB19" s="444">
        <f t="shared" si="0"/>
        <v>8</v>
      </c>
    </row>
    <row r="20" spans="1:54" s="444" customFormat="1" ht="15" customHeight="1" x14ac:dyDescent="0.2">
      <c r="A20" s="498"/>
      <c r="B20" s="1352"/>
      <c r="C20" s="515" t="s">
        <v>204</v>
      </c>
      <c r="D20" s="689">
        <f>IFERROR(VLOOKUP(D$12,Referral_Source!$BC$33:$BM$56,5,FALSE),"")</f>
        <v>1.3556258472661545E-2</v>
      </c>
      <c r="E20" s="505">
        <f>IFERROR(VLOOKUP(E$12,Referral_Source!$BC$33:$BM$56,5,FALSE),"")</f>
        <v>1.2658227848101266E-2</v>
      </c>
      <c r="F20" s="505">
        <f>IFERROR(VLOOKUP(F$12,Referral_Source!$BC$33:$BM$56,5,FALSE),"")</f>
        <v>8.6387434554973819E-3</v>
      </c>
      <c r="G20" s="505">
        <f>IFERROR(VLOOKUP(G$12,Referral_Source!$BC$33:$BM$56,5,FALSE),"")</f>
        <v>2.2711471610660488E-2</v>
      </c>
      <c r="H20" s="505">
        <f>IFERROR(VLOOKUP(H$12,Referral_Source!$BC$33:$BM$56,5,FALSE),"")</f>
        <v>0</v>
      </c>
      <c r="I20" s="505">
        <f>IFERROR(VLOOKUP(I$12,Referral_Source!$BC$33:$BM$56,5,FALSE),"")</f>
        <v>0</v>
      </c>
      <c r="J20" s="505">
        <f>IFERROR(VLOOKUP(J$12,Referral_Source!$BC$33:$BM$56,5,FALSE),"")</f>
        <v>1.9854509653776733E-2</v>
      </c>
      <c r="K20" s="505">
        <f>IFERROR(VLOOKUP(K$12,Referral_Source!$BC$33:$BM$56,5,FALSE),"")</f>
        <v>1.6645962732919253E-2</v>
      </c>
      <c r="L20" s="505">
        <f>IFERROR(VLOOKUP(L$12,Referral_Source!$BC$33:$BM$56,5,FALSE),"")</f>
        <v>1.6062756817332834E-2</v>
      </c>
      <c r="M20" s="505">
        <f>IFERROR(VLOOKUP(M$12,Referral_Source!$BC$33:$BM$56,5,FALSE),"")</f>
        <v>7.8182622805723564E-3</v>
      </c>
      <c r="N20" s="505">
        <f>IFERROR(VLOOKUP(N$12,Referral_Source!$BC$33:$BM$56,5,FALSE),"")</f>
        <v>3.7974683544303799E-2</v>
      </c>
      <c r="O20" s="505">
        <f>IFERROR(VLOOKUP(O$12,Referral_Source!$BC$33:$BM$56,5,FALSE),"")</f>
        <v>2.7747353048557868E-2</v>
      </c>
      <c r="P20" s="505">
        <f>IFERROR(VLOOKUP(P$12,Referral_Source!$BC$33:$BM$56,5,FALSE),"")</f>
        <v>0</v>
      </c>
      <c r="Q20" s="505">
        <f>IFERROR(VLOOKUP(Q$12,Referral_Source!$BC$33:$BM$56,5,FALSE),"")</f>
        <v>0</v>
      </c>
      <c r="R20" s="505">
        <f>IFERROR(VLOOKUP(R$12,Referral_Source!$BC$33:$BM$56,5,FALSE),"")</f>
        <v>1.3634226610249177E-2</v>
      </c>
      <c r="S20" s="505">
        <f>IFERROR(VLOOKUP(S$12,Referral_Source!$BC$33:$BM$56,5,FALSE),"")</f>
        <v>1.8979833926453145E-2</v>
      </c>
      <c r="T20" s="505">
        <f>IFERROR(VLOOKUP(T$12,Referral_Source!$BC$33:$BM$56,5,FALSE),"")</f>
        <v>1.5068493150684932E-2</v>
      </c>
      <c r="U20" s="505">
        <f>IFERROR(VLOOKUP(U$12,Referral_Source!$BC$33:$BM$56,5,FALSE),"")</f>
        <v>8.8105726872246704E-3</v>
      </c>
      <c r="V20" s="505">
        <f>IFERROR(VLOOKUP(V$12,Referral_Source!$BC$33:$BM$56,5,FALSE),"")</f>
        <v>5.2785923753665689E-3</v>
      </c>
      <c r="W20" s="505">
        <f>IFERROR(VLOOKUP(W$12,Referral_Source!$BC$33:$BM$56,5,FALSE),"")</f>
        <v>8.3550913838120102E-3</v>
      </c>
      <c r="X20" s="505">
        <f>IFERROR(VLOOKUP(X$12,Referral_Source!$BC$33:$BM$56,5,FALSE),"")</f>
        <v>1.1721159777914868E-2</v>
      </c>
      <c r="Y20" s="630">
        <f>IFERROR(VLOOKUP(Y$12,Referral_Source!$BC$33:$BM$56,5,FALSE),"")</f>
        <v>0</v>
      </c>
      <c r="Z20" s="1092">
        <f>IFERROR(VLOOKUP(Z$12,Referral_Source!$BC$33:$BM$56,5,FALSE),"")</f>
        <v>1.1989737343888827E-2</v>
      </c>
      <c r="AA20" s="1261">
        <f>IFERROR(VLOOKUP(AA$12,Referral_Source!$BC$33:$BM$56,5,FALSE),"")</f>
        <v>1.3119891845388067E-2</v>
      </c>
      <c r="AB20" s="501"/>
      <c r="AC20" s="739"/>
      <c r="AD20" s="502"/>
      <c r="AE20" s="503"/>
      <c r="AF20" s="503"/>
      <c r="AG20" s="503"/>
      <c r="AH20" s="503"/>
      <c r="AI20" s="503"/>
      <c r="AJ20" s="503"/>
      <c r="AK20" s="503"/>
      <c r="AL20" s="503"/>
      <c r="AM20" s="503"/>
      <c r="AN20" s="503"/>
      <c r="AO20" s="503"/>
      <c r="AP20" s="503"/>
      <c r="AQ20" s="503"/>
      <c r="AR20" s="503"/>
      <c r="AS20" s="503"/>
      <c r="AT20" s="503"/>
      <c r="AU20" s="503"/>
      <c r="AV20" s="503"/>
      <c r="AW20" s="503"/>
      <c r="AX20" s="503"/>
      <c r="AY20" s="503"/>
      <c r="AZ20" s="503"/>
      <c r="BA20" s="503"/>
      <c r="BB20" s="444">
        <f t="shared" si="0"/>
        <v>9</v>
      </c>
    </row>
    <row r="21" spans="1:54" s="444" customFormat="1" ht="15" customHeight="1" x14ac:dyDescent="0.2">
      <c r="A21" s="498"/>
      <c r="B21" s="1352"/>
      <c r="C21" s="515" t="s">
        <v>205</v>
      </c>
      <c r="D21" s="689">
        <f>IFERROR(VLOOKUP(D$12,Referral_Source!$BC$33:$BM$56,6,FALSE),"")</f>
        <v>0.21057388160867602</v>
      </c>
      <c r="E21" s="505">
        <f>IFERROR(VLOOKUP(E$12,Referral_Source!$BC$33:$BM$56,6,FALSE),"")</f>
        <v>0.12936091386230317</v>
      </c>
      <c r="F21" s="505">
        <f>IFERROR(VLOOKUP(F$12,Referral_Source!$BC$33:$BM$56,6,FALSE),"")</f>
        <v>0.10026178010471204</v>
      </c>
      <c r="G21" s="505">
        <f>IFERROR(VLOOKUP(G$12,Referral_Source!$BC$33:$BM$56,6,FALSE),"")</f>
        <v>0.16361529548088066</v>
      </c>
      <c r="H21" s="505">
        <f>IFERROR(VLOOKUP(H$12,Referral_Source!$BC$33:$BM$56,6,FALSE),"")</f>
        <v>9.116856029419837E-2</v>
      </c>
      <c r="I21" s="505">
        <f>IFERROR(VLOOKUP(I$12,Referral_Source!$BC$33:$BM$56,6,FALSE),"")</f>
        <v>9.5942519019442091E-2</v>
      </c>
      <c r="J21" s="505">
        <f>IFERROR(VLOOKUP(J$12,Referral_Source!$BC$33:$BM$56,6,FALSE),"")</f>
        <v>0.12476070666739594</v>
      </c>
      <c r="K21" s="505">
        <f>IFERROR(VLOOKUP(K$12,Referral_Source!$BC$33:$BM$56,6,FALSE),"")</f>
        <v>0.12571428571428572</v>
      </c>
      <c r="L21" s="505">
        <f>IFERROR(VLOOKUP(L$12,Referral_Source!$BC$33:$BM$56,6,FALSE),"")</f>
        <v>0.15614493836384011</v>
      </c>
      <c r="M21" s="505">
        <f>IFERROR(VLOOKUP(M$12,Referral_Source!$BC$33:$BM$56,6,FALSE),"")</f>
        <v>4.8827260657914144E-2</v>
      </c>
      <c r="N21" s="505">
        <f>IFERROR(VLOOKUP(N$12,Referral_Source!$BC$33:$BM$56,6,FALSE),"")</f>
        <v>0.18037974683544303</v>
      </c>
      <c r="O21" s="505">
        <f>IFERROR(VLOOKUP(O$12,Referral_Source!$BC$33:$BM$56,6,FALSE),"")</f>
        <v>9.0909090909090912E-2</v>
      </c>
      <c r="P21" s="505">
        <f>IFERROR(VLOOKUP(P$12,Referral_Source!$BC$33:$BM$56,6,FALSE),"")</f>
        <v>0.16759493670886075</v>
      </c>
      <c r="Q21" s="505">
        <f>IFERROR(VLOOKUP(Q$12,Referral_Source!$BC$33:$BM$56,6,FALSE),"")</f>
        <v>0.16744006187161639</v>
      </c>
      <c r="R21" s="505">
        <f>IFERROR(VLOOKUP(R$12,Referral_Source!$BC$33:$BM$56,6,FALSE),"")</f>
        <v>0.12214386459802538</v>
      </c>
      <c r="S21" s="505">
        <f>IFERROR(VLOOKUP(S$12,Referral_Source!$BC$33:$BM$56,6,FALSE),"")</f>
        <v>0.17793594306049823</v>
      </c>
      <c r="T21" s="505">
        <f>IFERROR(VLOOKUP(T$12,Referral_Source!$BC$33:$BM$56,6,FALSE),"")</f>
        <v>0.15732349841938884</v>
      </c>
      <c r="U21" s="505">
        <f>IFERROR(VLOOKUP(U$12,Referral_Source!$BC$33:$BM$56,6,FALSE),"")</f>
        <v>6.7841409691629953E-2</v>
      </c>
      <c r="V21" s="505">
        <f>IFERROR(VLOOKUP(V$12,Referral_Source!$BC$33:$BM$56,6,FALSE),"")</f>
        <v>8.8563049853372433E-2</v>
      </c>
      <c r="W21" s="505">
        <f>IFERROR(VLOOKUP(W$12,Referral_Source!$BC$33:$BM$56,6,FALSE),"")</f>
        <v>0.15091383812010445</v>
      </c>
      <c r="X21" s="505">
        <f>IFERROR(VLOOKUP(X$12,Referral_Source!$BC$33:$BM$56,6,FALSE),"")</f>
        <v>8.3590376310919187E-2</v>
      </c>
      <c r="Y21" s="630">
        <f>IFERROR(VLOOKUP(Y$12,Referral_Source!$BC$33:$BM$56,6,FALSE),"")</f>
        <v>0.15139442231075698</v>
      </c>
      <c r="Z21" s="1092">
        <f>IFERROR(VLOOKUP(Z$12,Referral_Source!$BC$33:$BM$56,6,FALSE),"")</f>
        <v>0.11719194561191586</v>
      </c>
      <c r="AA21" s="1261">
        <f>IFERROR(VLOOKUP(AA$12,Referral_Source!$BC$33:$BM$56,6,FALSE),"")</f>
        <v>0.13336508326676089</v>
      </c>
      <c r="AB21" s="501"/>
      <c r="AC21" s="739"/>
      <c r="AD21" s="502"/>
      <c r="AE21" s="503"/>
      <c r="AF21" s="503"/>
      <c r="AG21" s="503"/>
      <c r="AH21" s="503"/>
      <c r="AI21" s="503"/>
      <c r="AJ21" s="503"/>
      <c r="AK21" s="503"/>
      <c r="AL21" s="503"/>
      <c r="AM21" s="503"/>
      <c r="AN21" s="503"/>
      <c r="AO21" s="503"/>
      <c r="AP21" s="503"/>
      <c r="AQ21" s="503"/>
      <c r="AR21" s="503"/>
      <c r="AS21" s="503"/>
      <c r="AT21" s="503"/>
      <c r="AU21" s="503"/>
      <c r="AV21" s="503"/>
      <c r="AW21" s="503"/>
      <c r="AX21" s="503"/>
      <c r="AY21" s="503"/>
      <c r="AZ21" s="503"/>
      <c r="BA21" s="503"/>
      <c r="BB21" s="444">
        <f t="shared" si="0"/>
        <v>10</v>
      </c>
    </row>
    <row r="22" spans="1:54" s="444" customFormat="1" ht="15" customHeight="1" x14ac:dyDescent="0.2">
      <c r="A22" s="498"/>
      <c r="B22" s="1352"/>
      <c r="C22" s="515" t="s">
        <v>206</v>
      </c>
      <c r="D22" s="689">
        <f>IFERROR(VLOOKUP(D$12,Referral_Source!$BC$33:$BM$56,7,FALSE),"")</f>
        <v>0.20018075011296882</v>
      </c>
      <c r="E22" s="505">
        <f>IFERROR(VLOOKUP(E$12,Referral_Source!$BC$33:$BM$56,7,FALSE),"")</f>
        <v>0.24081506637851188</v>
      </c>
      <c r="F22" s="505">
        <f>IFERROR(VLOOKUP(F$12,Referral_Source!$BC$33:$BM$56,7,FALSE),"")</f>
        <v>0.35497382198952881</v>
      </c>
      <c r="G22" s="505">
        <f>IFERROR(VLOOKUP(G$12,Referral_Source!$BC$33:$BM$56,7,FALSE),"")</f>
        <v>0.26604866743916572</v>
      </c>
      <c r="H22" s="505">
        <f>IFERROR(VLOOKUP(H$12,Referral_Source!$BC$33:$BM$56,7,FALSE),"")</f>
        <v>0.25023327295680331</v>
      </c>
      <c r="I22" s="505">
        <f>IFERROR(VLOOKUP(I$12,Referral_Source!$BC$33:$BM$56,7,FALSE),"")</f>
        <v>0.23457311918850379</v>
      </c>
      <c r="J22" s="505">
        <f>IFERROR(VLOOKUP(J$12,Referral_Source!$BC$33:$BM$56,7,FALSE),"")</f>
        <v>0.34403544276103482</v>
      </c>
      <c r="K22" s="505">
        <f>IFERROR(VLOOKUP(K$12,Referral_Source!$BC$33:$BM$56,7,FALSE),"")</f>
        <v>0.33316770186335404</v>
      </c>
      <c r="L22" s="505">
        <f>IFERROR(VLOOKUP(L$12,Referral_Source!$BC$33:$BM$56,7,FALSE),"")</f>
        <v>0.28165857302951064</v>
      </c>
      <c r="M22" s="505">
        <f>IFERROR(VLOOKUP(M$12,Referral_Source!$BC$33:$BM$56,7,FALSE),"")</f>
        <v>0.30682991591680187</v>
      </c>
      <c r="N22" s="505">
        <f>IFERROR(VLOOKUP(N$12,Referral_Source!$BC$33:$BM$56,7,FALSE),"")</f>
        <v>0.24613220815752462</v>
      </c>
      <c r="O22" s="505">
        <f>IFERROR(VLOOKUP(O$12,Referral_Source!$BC$33:$BM$56,7,FALSE),"")</f>
        <v>0.38773274917853229</v>
      </c>
      <c r="P22" s="505">
        <f>IFERROR(VLOOKUP(P$12,Referral_Source!$BC$33:$BM$56,7,FALSE),"")</f>
        <v>0.3159493670886076</v>
      </c>
      <c r="Q22" s="505">
        <f>IFERROR(VLOOKUP(Q$12,Referral_Source!$BC$33:$BM$56,7,FALSE),"")</f>
        <v>0.31438515081206497</v>
      </c>
      <c r="R22" s="505">
        <f>IFERROR(VLOOKUP(R$12,Referral_Source!$BC$33:$BM$56,7,FALSE),"")</f>
        <v>0.3631405735778091</v>
      </c>
      <c r="S22" s="505">
        <f>IFERROR(VLOOKUP(S$12,Referral_Source!$BC$33:$BM$56,7,FALSE),"")</f>
        <v>0.32325029655990511</v>
      </c>
      <c r="T22" s="505">
        <f>IFERROR(VLOOKUP(T$12,Referral_Source!$BC$33:$BM$56,7,FALSE),"")</f>
        <v>0.26933614330874606</v>
      </c>
      <c r="U22" s="505">
        <f>IFERROR(VLOOKUP(U$12,Referral_Source!$BC$33:$BM$56,7,FALSE),"")</f>
        <v>0.35330396475770925</v>
      </c>
      <c r="V22" s="505">
        <f>IFERROR(VLOOKUP(V$12,Referral_Source!$BC$33:$BM$56,7,FALSE),"")</f>
        <v>0.36187683284457478</v>
      </c>
      <c r="W22" s="505">
        <f>IFERROR(VLOOKUP(W$12,Referral_Source!$BC$33:$BM$56,7,FALSE),"")</f>
        <v>0.26318537859007834</v>
      </c>
      <c r="X22" s="505">
        <f>IFERROR(VLOOKUP(X$12,Referral_Source!$BC$33:$BM$56,7,FALSE),"")</f>
        <v>0.37446020974706973</v>
      </c>
      <c r="Y22" s="630">
        <f>IFERROR(VLOOKUP(Y$12,Referral_Source!$BC$33:$BM$56,7,FALSE),"")</f>
        <v>0.292544109277177</v>
      </c>
      <c r="Z22" s="1092">
        <f>IFERROR(VLOOKUP(Z$12,Referral_Source!$BC$33:$BM$56,7,FALSE),"")</f>
        <v>0.30756022322275356</v>
      </c>
      <c r="AA22" s="1261">
        <f>IFERROR(VLOOKUP(AA$12,Referral_Source!$BC$33:$BM$56,7,FALSE),"")</f>
        <v>0.29175628341424448</v>
      </c>
      <c r="AB22" s="501"/>
      <c r="AC22" s="739"/>
      <c r="AD22" s="502"/>
      <c r="AE22" s="503"/>
      <c r="AF22" s="503"/>
      <c r="AG22" s="503"/>
      <c r="AH22" s="503"/>
      <c r="AI22" s="503"/>
      <c r="AJ22" s="503"/>
      <c r="AK22" s="503"/>
      <c r="AL22" s="503"/>
      <c r="AM22" s="503"/>
      <c r="AN22" s="503"/>
      <c r="AO22" s="503"/>
      <c r="AP22" s="503"/>
      <c r="AQ22" s="503"/>
      <c r="AR22" s="503"/>
      <c r="AS22" s="503"/>
      <c r="AT22" s="503"/>
      <c r="AU22" s="503"/>
      <c r="AV22" s="503"/>
      <c r="AW22" s="503"/>
      <c r="AX22" s="503"/>
      <c r="AY22" s="503"/>
      <c r="AZ22" s="503"/>
      <c r="BA22" s="503"/>
      <c r="BB22" s="444">
        <f t="shared" si="0"/>
        <v>11</v>
      </c>
    </row>
    <row r="23" spans="1:54" s="444" customFormat="1" ht="15" customHeight="1" x14ac:dyDescent="0.2">
      <c r="A23" s="498"/>
      <c r="B23" s="1352"/>
      <c r="C23" s="515" t="s">
        <v>207</v>
      </c>
      <c r="D23" s="689">
        <f>IFERROR(VLOOKUP(D$12,Referral_Source!$BC$33:$BM$56,8,FALSE),"")</f>
        <v>2.394938996836873E-2</v>
      </c>
      <c r="E23" s="505">
        <f>IFERROR(VLOOKUP(E$12,Referral_Source!$BC$33:$BM$56,8,FALSE),"")</f>
        <v>2.4698981167026859E-2</v>
      </c>
      <c r="F23" s="505">
        <f>IFERROR(VLOOKUP(F$12,Referral_Source!$BC$33:$BM$56,8,FALSE),"")</f>
        <v>3.1937172774869113E-2</v>
      </c>
      <c r="G23" s="505">
        <f>IFERROR(VLOOKUP(G$12,Referral_Source!$BC$33:$BM$56,8,FALSE),"")</f>
        <v>5.028968713789108E-2</v>
      </c>
      <c r="H23" s="505">
        <f>IFERROR(VLOOKUP(H$12,Referral_Source!$BC$33:$BM$56,8,FALSE),"")</f>
        <v>3.254843844338328E-2</v>
      </c>
      <c r="I23" s="505">
        <f>IFERROR(VLOOKUP(I$12,Referral_Source!$BC$33:$BM$56,8,FALSE),"")</f>
        <v>2.4936601859678782E-2</v>
      </c>
      <c r="J23" s="505">
        <f>IFERROR(VLOOKUP(J$12,Referral_Source!$BC$33:$BM$56,8,FALSE),"")</f>
        <v>4.8350927090740028E-2</v>
      </c>
      <c r="K23" s="505">
        <f>IFERROR(VLOOKUP(K$12,Referral_Source!$BC$33:$BM$56,8,FALSE),"")</f>
        <v>3.354037267080745E-2</v>
      </c>
      <c r="L23" s="505">
        <f>IFERROR(VLOOKUP(L$12,Referral_Source!$BC$33:$BM$56,8,FALSE),"")</f>
        <v>3.9970115801270079E-2</v>
      </c>
      <c r="M23" s="505">
        <f>IFERROR(VLOOKUP(M$12,Referral_Source!$BC$33:$BM$56,8,FALSE),"")</f>
        <v>1.0768549933618528E-2</v>
      </c>
      <c r="N23" s="505">
        <f>IFERROR(VLOOKUP(N$12,Referral_Source!$BC$33:$BM$56,8,FALSE),"")</f>
        <v>5.3094233473980311E-2</v>
      </c>
      <c r="O23" s="505">
        <f>IFERROR(VLOOKUP(O$12,Referral_Source!$BC$33:$BM$56,8,FALSE),"")</f>
        <v>2.5921869295363272E-2</v>
      </c>
      <c r="P23" s="505">
        <f>IFERROR(VLOOKUP(P$12,Referral_Source!$BC$33:$BM$56,8,FALSE),"")</f>
        <v>3.4936708860759495E-2</v>
      </c>
      <c r="Q23" s="505">
        <f>IFERROR(VLOOKUP(Q$12,Referral_Source!$BC$33:$BM$56,8,FALSE),"")</f>
        <v>2.5135344160866203E-2</v>
      </c>
      <c r="R23" s="505">
        <f>IFERROR(VLOOKUP(R$12,Referral_Source!$BC$33:$BM$56,8,FALSE),"")</f>
        <v>3.1969910672308414E-2</v>
      </c>
      <c r="S23" s="505">
        <f>IFERROR(VLOOKUP(S$12,Referral_Source!$BC$33:$BM$56,8,FALSE),"")</f>
        <v>2.7876631079478055E-2</v>
      </c>
      <c r="T23" s="505">
        <f>IFERROR(VLOOKUP(T$12,Referral_Source!$BC$33:$BM$56,8,FALSE),"")</f>
        <v>3.0769230769230771E-2</v>
      </c>
      <c r="U23" s="505">
        <f>IFERROR(VLOOKUP(U$12,Referral_Source!$BC$33:$BM$56,8,FALSE),"")</f>
        <v>2.378854625550661E-2</v>
      </c>
      <c r="V23" s="505">
        <f>IFERROR(VLOOKUP(V$12,Referral_Source!$BC$33:$BM$56,8,FALSE),"")</f>
        <v>2.404692082111437E-2</v>
      </c>
      <c r="W23" s="505">
        <f>IFERROR(VLOOKUP(W$12,Referral_Source!$BC$33:$BM$56,8,FALSE),"")</f>
        <v>3.5509138381201046E-2</v>
      </c>
      <c r="X23" s="505">
        <f>IFERROR(VLOOKUP(X$12,Referral_Source!$BC$33:$BM$56,8,FALSE),"")</f>
        <v>3.8247995064774831E-2</v>
      </c>
      <c r="Y23" s="630">
        <f>IFERROR(VLOOKUP(Y$12,Referral_Source!$BC$33:$BM$56,8,FALSE),"")</f>
        <v>1.6505406943653957E-2</v>
      </c>
      <c r="Z23" s="1092">
        <f>IFERROR(VLOOKUP(Z$12,Referral_Source!$BC$33:$BM$56,8,FALSE),"")</f>
        <v>3.4471742754744482E-2</v>
      </c>
      <c r="AA23" s="1261">
        <f>IFERROR(VLOOKUP(AA$12,Referral_Source!$BC$33:$BM$56,8,FALSE),"")</f>
        <v>3.6532907269710563E-2</v>
      </c>
      <c r="AB23" s="501"/>
      <c r="AC23" s="739"/>
      <c r="AD23" s="502"/>
      <c r="AE23" s="503"/>
      <c r="AF23" s="503"/>
      <c r="AG23" s="503"/>
      <c r="AH23" s="503"/>
      <c r="AI23" s="503"/>
      <c r="AJ23" s="503"/>
      <c r="AK23" s="503"/>
      <c r="AL23" s="503"/>
      <c r="AM23" s="503"/>
      <c r="AN23" s="503"/>
      <c r="AO23" s="503"/>
      <c r="AP23" s="503"/>
      <c r="AQ23" s="503"/>
      <c r="AR23" s="503"/>
      <c r="AS23" s="503"/>
      <c r="AT23" s="503"/>
      <c r="AU23" s="503"/>
      <c r="AV23" s="503"/>
      <c r="AW23" s="503"/>
      <c r="AX23" s="503"/>
      <c r="AY23" s="503"/>
      <c r="AZ23" s="503"/>
      <c r="BA23" s="503"/>
      <c r="BB23" s="444">
        <f t="shared" si="0"/>
        <v>12</v>
      </c>
    </row>
    <row r="24" spans="1:54" s="444" customFormat="1" ht="17.25" customHeight="1" x14ac:dyDescent="0.2">
      <c r="A24" s="498"/>
      <c r="B24" s="1352"/>
      <c r="C24" s="515" t="s">
        <v>208</v>
      </c>
      <c r="D24" s="689">
        <f>IFERROR(VLOOKUP(D$12,Referral_Source!$BC$33:$BM$56,9,FALSE),"")</f>
        <v>4.2928151830094893E-2</v>
      </c>
      <c r="E24" s="505">
        <f>IFERROR(VLOOKUP(E$12,Referral_Source!$BC$33:$BM$56,9,FALSE),"")</f>
        <v>4.8163013275702375E-2</v>
      </c>
      <c r="F24" s="505">
        <f>IFERROR(VLOOKUP(F$12,Referral_Source!$BC$33:$BM$56,9,FALSE),"")</f>
        <v>4.5157068062827224E-2</v>
      </c>
      <c r="G24" s="505">
        <f>IFERROR(VLOOKUP(G$12,Referral_Source!$BC$33:$BM$56,9,FALSE),"")</f>
        <v>7.3696407879490153E-2</v>
      </c>
      <c r="H24" s="505">
        <f>IFERROR(VLOOKUP(H$12,Referral_Source!$BC$33:$BM$56,9,FALSE),"")</f>
        <v>6.8499917668368188E-2</v>
      </c>
      <c r="I24" s="505">
        <f>IFERROR(VLOOKUP(I$12,Referral_Source!$BC$33:$BM$56,9,FALSE),"")</f>
        <v>0.12721893491124261</v>
      </c>
      <c r="J24" s="505">
        <f>IFERROR(VLOOKUP(J$12,Referral_Source!$BC$33:$BM$56,9,FALSE),"")</f>
        <v>3.8177541978887494E-2</v>
      </c>
      <c r="K24" s="505">
        <f>IFERROR(VLOOKUP(K$12,Referral_Source!$BC$33:$BM$56,9,FALSE),"")</f>
        <v>4.0496894409937888E-2</v>
      </c>
      <c r="L24" s="505">
        <f>IFERROR(VLOOKUP(L$12,Referral_Source!$BC$33:$BM$56,9,FALSE),"")</f>
        <v>3.9596563317146061E-2</v>
      </c>
      <c r="M24" s="505">
        <f>IFERROR(VLOOKUP(M$12,Referral_Source!$BC$33:$BM$56,9,FALSE),"")</f>
        <v>0.14382652308600088</v>
      </c>
      <c r="N24" s="505">
        <f>IFERROR(VLOOKUP(N$12,Referral_Source!$BC$33:$BM$56,9,FALSE),"")</f>
        <v>5.239099859353024E-2</v>
      </c>
      <c r="O24" s="505">
        <f>IFERROR(VLOOKUP(O$12,Referral_Source!$BC$33:$BM$56,9,FALSE),"")</f>
        <v>5.0383351588170866E-2</v>
      </c>
      <c r="P24" s="505">
        <f>IFERROR(VLOOKUP(P$12,Referral_Source!$BC$33:$BM$56,9,FALSE),"")</f>
        <v>6.2784810126582283E-2</v>
      </c>
      <c r="Q24" s="505">
        <f>IFERROR(VLOOKUP(Q$12,Referral_Source!$BC$33:$BM$56,9,FALSE),"")</f>
        <v>6.9218870843000768E-2</v>
      </c>
      <c r="R24" s="505">
        <f>IFERROR(VLOOKUP(R$12,Referral_Source!$BC$33:$BM$56,9,FALSE),"")</f>
        <v>5.5195110484250118E-2</v>
      </c>
      <c r="S24" s="505">
        <f>IFERROR(VLOOKUP(S$12,Referral_Source!$BC$33:$BM$56,9,FALSE),"")</f>
        <v>2.2538552787663108E-2</v>
      </c>
      <c r="T24" s="505">
        <f>IFERROR(VLOOKUP(T$12,Referral_Source!$BC$33:$BM$56,9,FALSE),"")</f>
        <v>6.417281348788198E-2</v>
      </c>
      <c r="U24" s="505">
        <f>IFERROR(VLOOKUP(U$12,Referral_Source!$BC$33:$BM$56,9,FALSE),"")</f>
        <v>0.13039647577092511</v>
      </c>
      <c r="V24" s="505">
        <f>IFERROR(VLOOKUP(V$12,Referral_Source!$BC$33:$BM$56,9,FALSE),"")</f>
        <v>5.1026392961876832E-2</v>
      </c>
      <c r="W24" s="505">
        <f>IFERROR(VLOOKUP(W$12,Referral_Source!$BC$33:$BM$56,9,FALSE),"")</f>
        <v>6.1096605744125329E-2</v>
      </c>
      <c r="X24" s="505">
        <f>IFERROR(VLOOKUP(X$12,Referral_Source!$BC$33:$BM$56,9,FALSE),"")</f>
        <v>2.4059222702035782E-2</v>
      </c>
      <c r="Y24" s="630">
        <f>IFERROR(VLOOKUP(Y$12,Referral_Source!$BC$33:$BM$56,9,FALSE),"")</f>
        <v>9.2771770062606715E-2</v>
      </c>
      <c r="Z24" s="1092">
        <f>IFERROR(VLOOKUP(Z$12,Referral_Source!$BC$33:$BM$56,9,FALSE),"")</f>
        <v>5.9928720462418511E-2</v>
      </c>
      <c r="AA24" s="1261">
        <f>IFERROR(VLOOKUP(AA$12,Referral_Source!$BC$33:$BM$56,9,FALSE),"")</f>
        <v>5.4968352485712531E-2</v>
      </c>
      <c r="AB24" s="501"/>
      <c r="AC24" s="739"/>
      <c r="AD24" s="502"/>
      <c r="AE24" s="503"/>
      <c r="AF24" s="503"/>
      <c r="AG24" s="503"/>
      <c r="AH24" s="503"/>
      <c r="AI24" s="503"/>
      <c r="AJ24" s="503"/>
      <c r="AK24" s="503"/>
      <c r="AL24" s="503"/>
      <c r="AM24" s="503"/>
      <c r="AN24" s="503"/>
      <c r="AO24" s="503"/>
      <c r="AP24" s="503"/>
      <c r="AQ24" s="503"/>
      <c r="AR24" s="503"/>
      <c r="AS24" s="503"/>
      <c r="AT24" s="503"/>
      <c r="AU24" s="503"/>
      <c r="AV24" s="503"/>
      <c r="AW24" s="503"/>
      <c r="AX24" s="503"/>
      <c r="AY24" s="503"/>
      <c r="AZ24" s="503"/>
      <c r="BA24" s="503"/>
      <c r="BB24" s="444">
        <f t="shared" si="0"/>
        <v>13</v>
      </c>
    </row>
    <row r="25" spans="1:54" s="444" customFormat="1" ht="15" customHeight="1" x14ac:dyDescent="0.2">
      <c r="A25" s="498"/>
      <c r="B25" s="1352"/>
      <c r="C25" s="515" t="s">
        <v>209</v>
      </c>
      <c r="D25" s="689">
        <f>IFERROR(VLOOKUP(D$12,Referral_Source!$BC$33:$BM$56,10,FALSE),"")</f>
        <v>2.937189335743335E-2</v>
      </c>
      <c r="E25" s="505">
        <f>IFERROR(VLOOKUP(E$12,Referral_Source!$BC$33:$BM$56,10,FALSE),"")</f>
        <v>1.3584439641864773E-2</v>
      </c>
      <c r="F25" s="505">
        <f>IFERROR(VLOOKUP(F$12,Referral_Source!$BC$33:$BM$56,10,FALSE),"")</f>
        <v>2.4345549738219896E-2</v>
      </c>
      <c r="G25" s="505">
        <f>IFERROR(VLOOKUP(G$12,Referral_Source!$BC$33:$BM$56,10,FALSE),"")</f>
        <v>1.9003476245654693E-2</v>
      </c>
      <c r="H25" s="505">
        <f>IFERROR(VLOOKUP(H$12,Referral_Source!$BC$33:$BM$56,10,FALSE),"")</f>
        <v>2.7169438498271036E-2</v>
      </c>
      <c r="I25" s="505">
        <f>IFERROR(VLOOKUP(I$12,Referral_Source!$BC$33:$BM$56,10,FALSE),"")</f>
        <v>0</v>
      </c>
      <c r="J25" s="505">
        <f>IFERROR(VLOOKUP(J$12,Referral_Source!$BC$33:$BM$56,10,FALSE),"")</f>
        <v>2.0510857080347864E-2</v>
      </c>
      <c r="K25" s="505">
        <f>IFERROR(VLOOKUP(K$12,Referral_Source!$BC$33:$BM$56,10,FALSE),"")</f>
        <v>2.2111801242236023E-2</v>
      </c>
      <c r="L25" s="505">
        <f>IFERROR(VLOOKUP(L$12,Referral_Source!$BC$33:$BM$56,10,FALSE),"")</f>
        <v>2.3533806499813223E-2</v>
      </c>
      <c r="M25" s="505">
        <f>IFERROR(VLOOKUP(M$12,Referral_Source!$BC$33:$BM$56,10,FALSE),"")</f>
        <v>1.0326006785661602E-2</v>
      </c>
      <c r="N25" s="505">
        <f>IFERROR(VLOOKUP(N$12,Referral_Source!$BC$33:$BM$56,10,FALSE),"")</f>
        <v>2.3206751054852322E-2</v>
      </c>
      <c r="O25" s="505">
        <f>IFERROR(VLOOKUP(O$12,Referral_Source!$BC$33:$BM$56,10,FALSE),"")</f>
        <v>1.2778386272362175E-2</v>
      </c>
      <c r="P25" s="505">
        <f>IFERROR(VLOOKUP(P$12,Referral_Source!$BC$33:$BM$56,10,FALSE),"")</f>
        <v>1.0632911392405063E-2</v>
      </c>
      <c r="Q25" s="505">
        <f>IFERROR(VLOOKUP(Q$12,Referral_Source!$BC$33:$BM$56,10,FALSE),"")</f>
        <v>2.1655065738592421E-2</v>
      </c>
      <c r="R25" s="505">
        <f>IFERROR(VLOOKUP(R$12,Referral_Source!$BC$33:$BM$56,10,FALSE),"")</f>
        <v>1.3352139163140573E-2</v>
      </c>
      <c r="S25" s="505">
        <f>IFERROR(VLOOKUP(S$12,Referral_Source!$BC$33:$BM$56,10,FALSE),"")</f>
        <v>2.1945432977461446E-2</v>
      </c>
      <c r="T25" s="505">
        <f>IFERROR(VLOOKUP(T$12,Referral_Source!$BC$33:$BM$56,10,FALSE),"")</f>
        <v>0</v>
      </c>
      <c r="U25" s="505">
        <f>IFERROR(VLOOKUP(U$12,Referral_Source!$BC$33:$BM$56,10,FALSE),"")</f>
        <v>1.6740088105726872E-2</v>
      </c>
      <c r="V25" s="505">
        <f>IFERROR(VLOOKUP(V$12,Referral_Source!$BC$33:$BM$56,10,FALSE),"")</f>
        <v>1.6422287390029325E-2</v>
      </c>
      <c r="W25" s="505">
        <f>IFERROR(VLOOKUP(W$12,Referral_Source!$BC$33:$BM$56,10,FALSE),"")</f>
        <v>3.9686684073107048E-2</v>
      </c>
      <c r="X25" s="505">
        <f>IFERROR(VLOOKUP(X$12,Referral_Source!$BC$33:$BM$56,10,FALSE),"")</f>
        <v>2.961135101789019E-2</v>
      </c>
      <c r="Y25" s="630">
        <f>IFERROR(VLOOKUP(Y$12,Referral_Source!$BC$33:$BM$56,10,FALSE),"")</f>
        <v>4.4393853158793399E-2</v>
      </c>
      <c r="Z25" s="1092">
        <f>IFERROR(VLOOKUP(Z$12,Referral_Source!$BC$33:$BM$56,10,FALSE),"")</f>
        <v>2.1204164961215546E-2</v>
      </c>
      <c r="AA25" s="1261">
        <f>IFERROR(VLOOKUP(AA$12,Referral_Source!$BC$33:$BM$56,10,FALSE),"")</f>
        <v>2.3935353038775885E-2</v>
      </c>
      <c r="AB25" s="501"/>
      <c r="AC25" s="739"/>
      <c r="AD25" s="502"/>
      <c r="AE25" s="503"/>
      <c r="AF25" s="503"/>
      <c r="AG25" s="503"/>
      <c r="AH25" s="503"/>
      <c r="AI25" s="503"/>
      <c r="AJ25" s="503"/>
      <c r="AK25" s="503"/>
      <c r="AL25" s="503"/>
      <c r="AM25" s="503"/>
      <c r="AN25" s="503"/>
      <c r="AO25" s="503"/>
      <c r="AP25" s="503"/>
      <c r="AQ25" s="503"/>
      <c r="AR25" s="503"/>
      <c r="AS25" s="503"/>
      <c r="AT25" s="503"/>
      <c r="AU25" s="503"/>
      <c r="AV25" s="503"/>
      <c r="AW25" s="503"/>
      <c r="AX25" s="503"/>
      <c r="AY25" s="503"/>
      <c r="AZ25" s="503"/>
      <c r="BA25" s="503"/>
      <c r="BB25" s="444">
        <f t="shared" si="0"/>
        <v>14</v>
      </c>
    </row>
    <row r="26" spans="1:54" s="444" customFormat="1" ht="15" customHeight="1" thickBot="1" x14ac:dyDescent="0.25">
      <c r="A26" s="498"/>
      <c r="B26" s="1353"/>
      <c r="C26" s="516" t="s">
        <v>210</v>
      </c>
      <c r="D26" s="690">
        <f>IFERROR(VLOOKUP(D$12,Referral_Source!$BC$33:$BM$56,11,FALSE),"")</f>
        <v>0</v>
      </c>
      <c r="E26" s="507">
        <f>IFERROR(VLOOKUP(E$12,Referral_Source!$BC$33:$BM$56,11,FALSE),"")</f>
        <v>0.21611608521148504</v>
      </c>
      <c r="F26" s="507">
        <f>IFERROR(VLOOKUP(F$12,Referral_Source!$BC$33:$BM$56,11,FALSE),"")</f>
        <v>1.5706806282722514E-3</v>
      </c>
      <c r="G26" s="507">
        <f>IFERROR(VLOOKUP(G$12,Referral_Source!$BC$33:$BM$56,11,FALSE),"")</f>
        <v>5.0984936268829665E-3</v>
      </c>
      <c r="H26" s="507">
        <f>IFERROR(VLOOKUP(H$12,Referral_Source!$BC$33:$BM$56,11,FALSE),"")</f>
        <v>1.4435479444535925E-2</v>
      </c>
      <c r="I26" s="507">
        <f>IFERROR(VLOOKUP(I$12,Referral_Source!$BC$33:$BM$56,11,FALSE),"")</f>
        <v>2.5781910397295011E-2</v>
      </c>
      <c r="J26" s="507">
        <f>IFERROR(VLOOKUP(J$12,Referral_Source!$BC$33:$BM$56,11,FALSE),"")</f>
        <v>1.08844281573046E-2</v>
      </c>
      <c r="K26" s="507">
        <f>IFERROR(VLOOKUP(K$12,Referral_Source!$BC$33:$BM$56,11,FALSE),"")</f>
        <v>1.9627329192546585E-2</v>
      </c>
      <c r="L26" s="507">
        <f>IFERROR(VLOOKUP(L$12,Referral_Source!$BC$33:$BM$56,11,FALSE),"")</f>
        <v>0</v>
      </c>
      <c r="M26" s="507">
        <f>IFERROR(VLOOKUP(M$12,Referral_Source!$BC$33:$BM$56,11,FALSE),"")</f>
        <v>0.11255347396371146</v>
      </c>
      <c r="N26" s="507">
        <f>IFERROR(VLOOKUP(N$12,Referral_Source!$BC$33:$BM$56,11,FALSE),"")</f>
        <v>0</v>
      </c>
      <c r="O26" s="507">
        <f>IFERROR(VLOOKUP(O$12,Referral_Source!$BC$33:$BM$56,11,FALSE),"")</f>
        <v>0</v>
      </c>
      <c r="P26" s="507">
        <f>IFERROR(VLOOKUP(P$12,Referral_Source!$BC$33:$BM$56,11,FALSE),"")</f>
        <v>0</v>
      </c>
      <c r="Q26" s="507">
        <f>IFERROR(VLOOKUP(Q$12,Referral_Source!$BC$33:$BM$56,11,FALSE),"")</f>
        <v>9.2807424593967514E-3</v>
      </c>
      <c r="R26" s="507">
        <f>IFERROR(VLOOKUP(R$12,Referral_Source!$BC$33:$BM$56,11,FALSE),"")</f>
        <v>0</v>
      </c>
      <c r="S26" s="507">
        <f>IFERROR(VLOOKUP(S$12,Referral_Source!$BC$33:$BM$56,11,FALSE),"")</f>
        <v>1.1862396204033215E-2</v>
      </c>
      <c r="T26" s="507">
        <f>IFERROR(VLOOKUP(T$12,Referral_Source!$BC$33:$BM$56,11,FALSE),"")</f>
        <v>4.1306638566912537E-2</v>
      </c>
      <c r="U26" s="507">
        <f>IFERROR(VLOOKUP(U$12,Referral_Source!$BC$33:$BM$56,11,FALSE),"")</f>
        <v>4.405286343612335E-2</v>
      </c>
      <c r="V26" s="507">
        <f>IFERROR(VLOOKUP(V$12,Referral_Source!$BC$33:$BM$56,11,FALSE),"")</f>
        <v>1.8768328445747801E-2</v>
      </c>
      <c r="W26" s="507">
        <f>IFERROR(VLOOKUP(W$12,Referral_Source!$BC$33:$BM$56,11,FALSE),"")</f>
        <v>1.8276762402088772E-3</v>
      </c>
      <c r="X26" s="507">
        <f>IFERROR(VLOOKUP(X$12,Referral_Source!$BC$33:$BM$56,11,FALSE),"")</f>
        <v>5.3979025293028997E-2</v>
      </c>
      <c r="Y26" s="691">
        <f>IFERROR(VLOOKUP(Y$12,Referral_Source!$BC$33:$BM$56,11,FALSE),"")</f>
        <v>1.9351166761525328E-2</v>
      </c>
      <c r="Z26" s="1091">
        <f>IFERROR(VLOOKUP(Z$12,Referral_Source!$BC$33:$BM$56,11,FALSE),"")</f>
        <v>2.3630065189829189E-2</v>
      </c>
      <c r="AA26" s="1259">
        <f>IFERROR(VLOOKUP(AA$12,Referral_Source!$BC$33:$BM$56,11,FALSE),"")</f>
        <v>1.6484360597308425E-2</v>
      </c>
      <c r="AB26" s="501"/>
      <c r="AC26" s="739"/>
      <c r="AD26" s="502"/>
      <c r="AE26" s="503"/>
      <c r="AF26" s="503"/>
      <c r="AG26" s="503"/>
      <c r="AH26" s="503"/>
      <c r="AI26" s="503"/>
      <c r="AJ26" s="503"/>
      <c r="AK26" s="503"/>
      <c r="AL26" s="503"/>
      <c r="AM26" s="503"/>
      <c r="AN26" s="503"/>
      <c r="AO26" s="503"/>
      <c r="AP26" s="503"/>
      <c r="AQ26" s="503"/>
      <c r="AR26" s="503"/>
      <c r="AS26" s="503"/>
      <c r="AT26" s="503"/>
      <c r="AU26" s="503"/>
      <c r="AV26" s="503"/>
      <c r="AW26" s="503"/>
      <c r="AX26" s="503"/>
      <c r="AY26" s="503"/>
      <c r="AZ26" s="503"/>
      <c r="BA26" s="503"/>
      <c r="BB26" s="444">
        <f t="shared" si="0"/>
        <v>15</v>
      </c>
    </row>
    <row r="27" spans="1:54" s="444" customFormat="1" ht="22.5" customHeight="1" x14ac:dyDescent="0.2">
      <c r="A27" s="498"/>
      <c r="B27" s="1349" t="s">
        <v>211</v>
      </c>
      <c r="C27" s="508" t="str">
        <f>"Re-referrals to CSC during the "&amp;Sheet1!$G$3&amp;", Rate per 10,000 0-17 Year Olds"</f>
        <v>Re-referrals to CSC during the Year ending 31st March, Rate per 10,000 0-17 Year Olds</v>
      </c>
      <c r="D27" s="687">
        <f>IFERROR(VLOOKUP(D12,'Re-referrals'!$B$10:$O$33,14,FALSE),"")</f>
        <v>217.66784452296818</v>
      </c>
      <c r="E27" s="500">
        <f>IFERROR(VLOOKUP(E12,'Re-referrals'!$B$10:$O$33,14,FALSE),"")</f>
        <v>155.88235294117646</v>
      </c>
      <c r="F27" s="500">
        <f>IFERROR(VLOOKUP(F12,'Re-referrals'!$B$10:$O$33,14,FALSE),"")</f>
        <v>195.01206757843926</v>
      </c>
      <c r="G27" s="500">
        <f>IFERROR(VLOOKUP(G12,'Re-referrals'!$B$10:$O$33,14,FALSE),"")</f>
        <v>76.597744360902254</v>
      </c>
      <c r="H27" s="500">
        <f>IFERROR(VLOOKUP(H12,'Re-referrals'!$B$10:$O$33,14,FALSE),"")</f>
        <v>188.69718309859155</v>
      </c>
      <c r="I27" s="500">
        <f>IFERROR(VLOOKUP(I12,'Re-referrals'!$B$10:$O$33,14,FALSE),"")</f>
        <v>332.1285140562249</v>
      </c>
      <c r="J27" s="500">
        <f>IFERROR(VLOOKUP(J12,'Re-referrals'!$B$10:$O$33,14,FALSE),"")</f>
        <v>140.31167303734196</v>
      </c>
      <c r="K27" s="500">
        <f>IFERROR(VLOOKUP(K12,'Re-referrals'!$B$10:$O$33,14,FALSE),"")</f>
        <v>89.440993788819867</v>
      </c>
      <c r="L27" s="500">
        <f>IFERROR(VLOOKUP(L12,'Re-referrals'!$B$10:$O$33,14,FALSE),"")</f>
        <v>78.916544655929712</v>
      </c>
      <c r="M27" s="500">
        <f>IFERROR(VLOOKUP(M12,'Re-referrals'!$B$10:$O$33,14,FALSE),"")</f>
        <v>85.635359116022087</v>
      </c>
      <c r="N27" s="500">
        <f>IFERROR(VLOOKUP(N12,'Re-referrals'!$B$10:$O$33,14,FALSE),"")</f>
        <v>165.68181818181819</v>
      </c>
      <c r="O27" s="500">
        <f>IFERROR(VLOOKUP(O12,'Re-referrals'!$B$10:$O$33,14,FALSE),"")</f>
        <v>201.07816711590297</v>
      </c>
      <c r="P27" s="500">
        <f>IFERROR(VLOOKUP(P12,'Re-referrals'!$B$10:$O$33,14,FALSE),"")</f>
        <v>68.618266978922719</v>
      </c>
      <c r="Q27" s="500">
        <f>IFERROR(VLOOKUP(Q12,'Re-referrals'!$B$10:$O$33,14,FALSE),"")</f>
        <v>82.565492321589886</v>
      </c>
      <c r="R27" s="500">
        <f>IFERROR(VLOOKUP(R12,'Re-referrals'!$B$10:$O$33,14,FALSE),"")</f>
        <v>86.811023622047244</v>
      </c>
      <c r="S27" s="500">
        <f>IFERROR(VLOOKUP(S12,'Re-referrals'!$B$10:$O$33,14,FALSE),"")</f>
        <v>103.66552119129439</v>
      </c>
      <c r="T27" s="500">
        <f>IFERROR(VLOOKUP(T12,'Re-referrals'!$B$10:$O$33,14,FALSE),"")</f>
        <v>115.93625498007968</v>
      </c>
      <c r="U27" s="500">
        <f>IFERROR(VLOOKUP(U12,'Re-referrals'!$B$10:$O$33,14,FALSE),"")</f>
        <v>183.46456692913387</v>
      </c>
      <c r="V27" s="500">
        <f>IFERROR(VLOOKUP(V12,'Re-referrals'!$B$10:$O$33,14,FALSE),"")</f>
        <v>123.87640449438202</v>
      </c>
      <c r="W27" s="500">
        <f>IFERROR(VLOOKUP(W12,'Re-referrals'!$B$10:$O$33,14,FALSE),"")</f>
        <v>140.01144819690899</v>
      </c>
      <c r="X27" s="500">
        <f>IFERROR(VLOOKUP(X12,'Re-referrals'!$B$10:$O$33,14,FALSE),"")</f>
        <v>68.786127167630056</v>
      </c>
      <c r="Y27" s="688">
        <f>IFERROR(VLOOKUP(Y12,'Re-referrals'!$B$10:$O$33,14,FALSE),"")</f>
        <v>90.886075949367097</v>
      </c>
      <c r="Z27" s="1090">
        <f>IFERROR(VLOOKUP(Z12,'Re-referrals'!$B$10:$O$33,14,FALSE),"")</f>
        <v>137.12067027689793</v>
      </c>
      <c r="AA27" s="1258">
        <f>IFERROR(VLOOKUP(AA12,'Re-referrals'!$B$10:$O$33,14,FALSE),"")</f>
        <v>123.09069312231274</v>
      </c>
      <c r="AB27" s="501"/>
      <c r="AC27" s="739"/>
      <c r="AD27" s="502"/>
      <c r="AE27" s="503"/>
      <c r="AF27" s="503"/>
      <c r="AG27" s="503"/>
      <c r="AH27" s="503"/>
      <c r="AI27" s="503"/>
      <c r="AJ27" s="503"/>
      <c r="AK27" s="503"/>
      <c r="AL27" s="503"/>
      <c r="AM27" s="503"/>
      <c r="AN27" s="503"/>
      <c r="AO27" s="503"/>
      <c r="AP27" s="503"/>
      <c r="AQ27" s="503"/>
      <c r="AR27" s="503"/>
      <c r="AS27" s="503"/>
      <c r="AT27" s="503"/>
      <c r="AU27" s="503"/>
      <c r="AV27" s="503"/>
      <c r="AW27" s="503"/>
      <c r="AX27" s="503"/>
      <c r="AY27" s="503"/>
      <c r="AZ27" s="503"/>
      <c r="BA27" s="503"/>
      <c r="BB27" s="444">
        <f t="shared" si="0"/>
        <v>16</v>
      </c>
    </row>
    <row r="28" spans="1:54" s="444" customFormat="1" ht="18" customHeight="1" thickBot="1" x14ac:dyDescent="0.25">
      <c r="A28" s="498"/>
      <c r="B28" s="1350"/>
      <c r="C28" s="510" t="s">
        <v>789</v>
      </c>
      <c r="D28" s="690">
        <f>IFERROR(VLOOKUP(D12,'Re-referrals'!$B$110:$H$135,7,FALSE),"")</f>
        <v>0.27500000000000002</v>
      </c>
      <c r="E28" s="507">
        <f>IFERROR(VLOOKUP(E12,'Re-referrals'!$B$110:$H$135,7,FALSE),"")</f>
        <v>0.24544612534732943</v>
      </c>
      <c r="F28" s="507">
        <f>IFERROR(VLOOKUP(F12,'Re-referrals'!$B$110:$H$135,7,FALSE),"")</f>
        <v>0.31727748691099478</v>
      </c>
      <c r="G28" s="507">
        <f>IFERROR(VLOOKUP(G12,'Re-referrals'!$B$110:$H$135,7,FALSE),"")</f>
        <v>0.18887601390498263</v>
      </c>
      <c r="H28" s="507">
        <f>IFERROR(VLOOKUP(H12,'Re-referrals'!$B$110:$H$135,7,FALSE),"")</f>
        <v>0.29112342459800089</v>
      </c>
      <c r="I28" s="507">
        <f>IFERROR(VLOOKUP(I12,'Re-referrals'!$B$110:$H$135,7,FALSE),"")</f>
        <v>0.34117161716171618</v>
      </c>
      <c r="J28" s="507">
        <f>IFERROR(VLOOKUP(J12,'Re-referrals'!$B$110:$H$135,7,FALSE),"")</f>
        <v>0.26100749329978667</v>
      </c>
      <c r="K28" s="507">
        <f>IFERROR(VLOOKUP(K12,'Re-referrals'!$B$110:$H$135,7,FALSE),"")</f>
        <v>0.14310559006211179</v>
      </c>
      <c r="L28" s="507">
        <f>IFERROR(VLOOKUP(L12,'Re-referrals'!$B$110:$H$135,7,FALSE),"")</f>
        <v>0.19838056680161945</v>
      </c>
      <c r="M28" s="507">
        <f>IFERROR(VLOOKUP(M12,'Re-referrals'!$B$110:$H$135,7,FALSE),"")</f>
        <v>0.18291783448886267</v>
      </c>
      <c r="N28" s="507">
        <f>IFERROR(VLOOKUP(N12,'Re-referrals'!$B$110:$H$135,7,FALSE),"")</f>
        <v>0.25632911392405061</v>
      </c>
      <c r="O28" s="507">
        <f>IFERROR(VLOOKUP(O12,'Re-referrals'!$B$110:$H$135,7,FALSE),"")</f>
        <v>0.27236217597663381</v>
      </c>
      <c r="P28" s="507">
        <f>IFERROR(VLOOKUP(P12,'Re-referrals'!$B$110:$H$135,7,FALSE),"")</f>
        <v>0.14760705289672543</v>
      </c>
      <c r="Q28" s="507">
        <f>IFERROR(VLOOKUP(Q12,'Re-referrals'!$B$110:$H$135,7,FALSE),"")</f>
        <v>0.23864229765013054</v>
      </c>
      <c r="R28" s="507">
        <f>IFERROR(VLOOKUP(R12,'Re-referrals'!$B$110:$H$135,7,FALSE),"")</f>
        <v>0.16974595842956119</v>
      </c>
      <c r="S28" s="507">
        <f>IFERROR(VLOOKUP(S12,'Re-referrals'!$B$110:$H$135,7,FALSE),"")</f>
        <v>0.25528913963328631</v>
      </c>
      <c r="T28" s="507">
        <f>IFERROR(VLOOKUP(T12,'Re-referrals'!$B$110:$H$135,7,FALSE),"")</f>
        <v>0.17951881554595928</v>
      </c>
      <c r="U28" s="507">
        <f>IFERROR(VLOOKUP(U12,'Re-referrals'!$B$110:$H$135,7,FALSE),"")</f>
        <v>0.26387315968289921</v>
      </c>
      <c r="V28" s="507">
        <f>IFERROR(VLOOKUP(V12,'Re-referrals'!$B$110:$H$135,7,FALSE),"")</f>
        <v>0.26156583629893237</v>
      </c>
      <c r="W28" s="507">
        <f>IFERROR(VLOOKUP(W12,'Re-referrals'!$B$110:$H$135,7,FALSE),"")</f>
        <v>0.25774499473129608</v>
      </c>
      <c r="X28" s="507">
        <f>IFERROR(VLOOKUP(X12,'Re-referrals'!$B$110:$H$135,7,FALSE),"")</f>
        <v>0.20969162995594715</v>
      </c>
      <c r="Y28" s="691">
        <f>IFERROR(VLOOKUP(Y12,'Re-referrals'!$B$110:$H$135,7,FALSE),"")</f>
        <v>0.21055718475073315</v>
      </c>
      <c r="Z28" s="1095">
        <f>IFERROR(VLOOKUP(Z12,'Re-referrals'!$B$110:$H$135,7,FALSE),"")</f>
        <v>0.2558871198398322</v>
      </c>
      <c r="AA28" s="1262">
        <f>IFERROR(VLOOKUP(AA12,'Re-referrals'!$B$110:$H$135,7,FALSE),"")</f>
        <v>0.22606117401256665</v>
      </c>
      <c r="AB28" s="501"/>
      <c r="AC28" s="739"/>
      <c r="AD28" s="502"/>
      <c r="AE28" s="503"/>
      <c r="AF28" s="503"/>
      <c r="AG28" s="503"/>
      <c r="AH28" s="503"/>
      <c r="AI28" s="503"/>
      <c r="AJ28" s="503"/>
      <c r="AK28" s="503"/>
      <c r="AL28" s="503"/>
      <c r="AM28" s="503"/>
      <c r="AN28" s="503"/>
      <c r="AO28" s="503"/>
      <c r="AP28" s="503"/>
      <c r="AQ28" s="503"/>
      <c r="AR28" s="503"/>
      <c r="AS28" s="503"/>
      <c r="AT28" s="503"/>
      <c r="AU28" s="503"/>
      <c r="AV28" s="503"/>
      <c r="AW28" s="503"/>
      <c r="AX28" s="503"/>
      <c r="AY28" s="503"/>
      <c r="AZ28" s="503"/>
      <c r="BA28" s="503"/>
      <c r="BB28" s="444">
        <f t="shared" si="0"/>
        <v>17</v>
      </c>
    </row>
    <row r="29" spans="1:54" s="444" customFormat="1" ht="22.5" customHeight="1" thickBot="1" x14ac:dyDescent="0.25">
      <c r="A29" s="498"/>
      <c r="B29" s="1269" t="s">
        <v>22</v>
      </c>
      <c r="C29" s="512" t="str">
        <f>"CSC Single Assessments Completed during the "&amp;Sheet1!$G$3&amp;", Rate per 10,000 0-17 Year Olds"</f>
        <v>CSC Single Assessments Completed during the Year ending 31st March, Rate per 10,000 0-17 Year Olds</v>
      </c>
      <c r="D29" s="685">
        <f>IFERROR(VLOOKUP(D12,Assessments!$B$10:$O$33,14,FALSE),"")</f>
        <v>601.76678445229686</v>
      </c>
      <c r="E29" s="513">
        <f>IFERROR(VLOOKUP(E12,Assessments!$B$10:$O$33,14,FALSE),"")</f>
        <v>484.31372549019608</v>
      </c>
      <c r="F29" s="513">
        <f>IFERROR(VLOOKUP(F12,Assessments!$B$10:$O$33,14,FALSE),"")</f>
        <v>629.04263877715209</v>
      </c>
      <c r="G29" s="513">
        <f>IFERROR(VLOOKUP(G12,Assessments!$B$10:$O$33,14,FALSE),"")</f>
        <v>338.15789473684208</v>
      </c>
      <c r="H29" s="513">
        <f>IFERROR(VLOOKUP(H12,Assessments!$B$10:$O$33,14,FALSE),"")</f>
        <v>633.90845070422529</v>
      </c>
      <c r="I29" s="513">
        <f>IFERROR(VLOOKUP(I12,Assessments!$B$10:$O$33,14,FALSE),"")</f>
        <v>789.15662650602405</v>
      </c>
      <c r="J29" s="513">
        <f>IFERROR(VLOOKUP(J12,Assessments!$B$10:$O$33,14,FALSE),"")</f>
        <v>520.52337547780064</v>
      </c>
      <c r="K29" s="513">
        <f>IFERROR(VLOOKUP(K12,Assessments!$B$10:$O$33,14,FALSE),"")</f>
        <v>531.05590062111798</v>
      </c>
      <c r="L29" s="513">
        <f>IFERROR(VLOOKUP(L12,Assessments!$B$10:$O$33,14,FALSE),"")</f>
        <v>329.28257686676426</v>
      </c>
      <c r="M29" s="513">
        <f>IFERROR(VLOOKUP(M12,Assessments!$B$10:$O$33,14,FALSE),"")</f>
        <v>373.20441988950279</v>
      </c>
      <c r="N29" s="513">
        <f>IFERROR(VLOOKUP(N12,Assessments!$B$10:$O$33,14,FALSE),"")</f>
        <v>849.31818181818176</v>
      </c>
      <c r="O29" s="513">
        <f>IFERROR(VLOOKUP(O12,Assessments!$B$10:$O$33,14,FALSE),"")</f>
        <v>721.29380053908358</v>
      </c>
      <c r="P29" s="513">
        <f>IFERROR(VLOOKUP(P12,Assessments!$B$10:$O$33,14,FALSE),"")</f>
        <v>433.95784543325533</v>
      </c>
      <c r="Q29" s="513">
        <f>IFERROR(VLOOKUP(Q12,Assessments!$B$10:$O$33,14,FALSE),"")</f>
        <v>371.45438121047874</v>
      </c>
      <c r="R29" s="513">
        <f>IFERROR(VLOOKUP(R12,Assessments!$B$10:$O$33,14,FALSE),"")</f>
        <v>481.88976377952753</v>
      </c>
      <c r="S29" s="513">
        <f>IFERROR(VLOOKUP(S12,Assessments!$B$10:$O$33,14,FALSE),"")</f>
        <v>452.15731195112636</v>
      </c>
      <c r="T29" s="513">
        <f>IFERROR(VLOOKUP(T12,Assessments!$B$10:$O$33,14,FALSE),"")</f>
        <v>837.45019920318725</v>
      </c>
      <c r="U29" s="513">
        <f>IFERROR(VLOOKUP(U12,Assessments!$B$10:$O$33,14,FALSE),"")</f>
        <v>738.9763779527558</v>
      </c>
      <c r="V29" s="513">
        <f>IFERROR(VLOOKUP(V12,Assessments!$B$10:$O$33,14,FALSE),"")</f>
        <v>581.17977528089887</v>
      </c>
      <c r="W29" s="513">
        <f>IFERROR(VLOOKUP(W12,Assessments!$B$10:$O$33,14,FALSE),"")</f>
        <v>595.99313108185459</v>
      </c>
      <c r="X29" s="513">
        <f>IFERROR(VLOOKUP(X12,Assessments!$B$10:$O$33,14,FALSE),"")</f>
        <v>248.84393063583818</v>
      </c>
      <c r="Y29" s="686">
        <f>IFERROR(VLOOKUP(Y12,Assessments!$B$10:$O$33,14,FALSE),"")</f>
        <v>438.7341772151899</v>
      </c>
      <c r="Z29" s="1093">
        <f>IFERROR(VLOOKUP(Z12,Assessments!$B$10:$O$33,14,FALSE),"")</f>
        <v>522.22335751507103</v>
      </c>
      <c r="AA29" s="1263">
        <f>IFERROR(VLOOKUP(AA12,Assessments!$B$10:$O$33,14,FALSE),"")</f>
        <v>527.90557609623079</v>
      </c>
      <c r="AB29" s="501"/>
      <c r="AC29" s="739"/>
      <c r="AD29" s="502"/>
      <c r="AE29" s="503"/>
      <c r="AF29" s="503"/>
      <c r="AG29" s="503"/>
      <c r="AH29" s="503"/>
      <c r="AI29" s="503"/>
      <c r="AJ29" s="503"/>
      <c r="AK29" s="503"/>
      <c r="AL29" s="503"/>
      <c r="AM29" s="503"/>
      <c r="AN29" s="503"/>
      <c r="AO29" s="503"/>
      <c r="AP29" s="503"/>
      <c r="AQ29" s="503"/>
      <c r="AR29" s="503"/>
      <c r="AS29" s="503"/>
      <c r="AT29" s="503"/>
      <c r="AU29" s="503"/>
      <c r="AV29" s="503"/>
      <c r="AW29" s="503"/>
      <c r="AX29" s="503"/>
      <c r="AY29" s="503"/>
      <c r="AZ29" s="503"/>
      <c r="BA29" s="503"/>
      <c r="BB29" s="444">
        <f t="shared" ref="BB29:BB39" si="1">ROW(BC29)-11</f>
        <v>18</v>
      </c>
    </row>
    <row r="30" spans="1:54" s="444" customFormat="1" ht="15.75" customHeight="1" x14ac:dyDescent="0.2">
      <c r="A30" s="498"/>
      <c r="B30" s="1344" t="s">
        <v>1126</v>
      </c>
      <c r="C30" s="499" t="s">
        <v>212</v>
      </c>
      <c r="D30" s="694">
        <f>IFERROR(VLOOKUP(D$12,Assessments!$B$147:$H$170,3,FALSE),"")</f>
        <v>0.18731650029359953</v>
      </c>
      <c r="E30" s="631">
        <f>IFERROR(VLOOKUP(E$12,Assessments!$B$147:$H$170,3,FALSE),"")</f>
        <v>0.12995951417004048</v>
      </c>
      <c r="F30" s="631">
        <f>IFERROR(VLOOKUP(F$12,Assessments!$B$147:$H$170,3,FALSE),"")</f>
        <v>0.22355799974421281</v>
      </c>
      <c r="G30" s="631">
        <f>IFERROR(VLOOKUP(G$12,Assessments!$B$147:$H$170,3,FALSE),"")</f>
        <v>7.8654808226792661E-2</v>
      </c>
      <c r="H30" s="631">
        <f>IFERROR(VLOOKUP(H$12,Assessments!$B$147:$H$170,3,FALSE),"")</f>
        <v>0.23384991390323834</v>
      </c>
      <c r="I30" s="631">
        <f>IFERROR(VLOOKUP(I$12,Assessments!$B$147:$H$170,3,FALSE),"")</f>
        <v>0.29363867684478373</v>
      </c>
      <c r="J30" s="631">
        <f>IFERROR(VLOOKUP(J$12,Assessments!$B$147:$H$170,3,FALSE),"")</f>
        <v>8.3206236231147257E-2</v>
      </c>
      <c r="K30" s="631">
        <f>IFERROR(VLOOKUP(K$12,Assessments!$B$147:$H$170,3,FALSE),"")</f>
        <v>3.9181286549707602E-2</v>
      </c>
      <c r="L30" s="631">
        <f>IFERROR(VLOOKUP(L$12,Assessments!$B$147:$H$170,3,FALSE),"")</f>
        <v>0.26367274344152958</v>
      </c>
      <c r="M30" s="631">
        <f>IFERROR(VLOOKUP(M$12,Assessments!$B$147:$H$170,3,FALSE),"")</f>
        <v>5.3108808290155442E-2</v>
      </c>
      <c r="N30" s="631">
        <f>IFERROR(VLOOKUP(N$12,Assessments!$B$147:$H$170,3,FALSE),"")</f>
        <v>0.37222370885737222</v>
      </c>
      <c r="O30" s="631">
        <f>IFERROR(VLOOKUP(O$12,Assessments!$B$147:$H$170,3,FALSE),"")</f>
        <v>0.13452914798206278</v>
      </c>
      <c r="P30" s="631">
        <f>IFERROR(VLOOKUP(P$12,Assessments!$B$147:$H$170,3,FALSE),"")</f>
        <v>4.1554236373448461E-2</v>
      </c>
      <c r="Q30" s="631">
        <f>IFERROR(VLOOKUP(Q$12,Assessments!$B$147:$H$170,3,FALSE),"")</f>
        <v>0.11065175097276264</v>
      </c>
      <c r="R30" s="631">
        <f>IFERROR(VLOOKUP(R$12,Assessments!$B$147:$H$170,3,FALSE),"")</f>
        <v>0.12132352941176471</v>
      </c>
      <c r="S30" s="631">
        <f>IFERROR(VLOOKUP(S$12,Assessments!$B$147:$H$170,3,FALSE),"")</f>
        <v>5.446715081911839E-2</v>
      </c>
      <c r="T30" s="631">
        <f>IFERROR(VLOOKUP(T$12,Assessments!$B$147:$H$170,3,FALSE),"")</f>
        <v>0.22216936251189343</v>
      </c>
      <c r="U30" s="631">
        <f>IFERROR(VLOOKUP(U$12,Assessments!$B$147:$H$170,3,FALSE),"")</f>
        <v>7.2727272727272724E-2</v>
      </c>
      <c r="V30" s="631">
        <f>IFERROR(VLOOKUP(V$12,Assessments!$B$147:$H$170,3,FALSE),"")</f>
        <v>0.37944471505114469</v>
      </c>
      <c r="W30" s="631">
        <f>IFERROR(VLOOKUP(W$12,Assessments!$B$147:$H$170,3,FALSE),"")</f>
        <v>0.30115273775216139</v>
      </c>
      <c r="X30" s="631">
        <f>IFERROR(VLOOKUP(X$12,Assessments!$B$147:$H$170,3,FALSE),"")</f>
        <v>0</v>
      </c>
      <c r="Y30" s="695">
        <f>IFERROR(VLOOKUP(Y$12,Assessments!$B$147:$H$170,3,FALSE),"")</f>
        <v>0.11252163877668782</v>
      </c>
      <c r="Z30" s="1094">
        <f>IFERROR(VLOOKUP(Z$12,Assessments!$B$147:$H$170,3,FALSE),"")</f>
        <v>0.16542459305746224</v>
      </c>
      <c r="AA30" s="1260">
        <f>IFERROR(VLOOKUP(AA$12,Assessments!$B$147:$H$170,3,FALSE),"")</f>
        <v>0.14821938205732721</v>
      </c>
      <c r="AB30" s="501"/>
      <c r="AC30" s="739"/>
      <c r="AD30" s="502"/>
      <c r="AE30" s="503"/>
      <c r="AF30" s="503"/>
      <c r="AG30" s="503"/>
      <c r="AH30" s="503"/>
      <c r="AI30" s="503"/>
      <c r="AJ30" s="503"/>
      <c r="AK30" s="503"/>
      <c r="AL30" s="503"/>
      <c r="AM30" s="503"/>
      <c r="AN30" s="503"/>
      <c r="AO30" s="503"/>
      <c r="AP30" s="503"/>
      <c r="AQ30" s="503"/>
      <c r="AR30" s="503"/>
      <c r="AS30" s="503"/>
      <c r="AT30" s="503"/>
      <c r="AU30" s="503"/>
      <c r="AV30" s="503"/>
      <c r="AW30" s="503"/>
      <c r="AX30" s="503"/>
      <c r="AY30" s="503"/>
      <c r="AZ30" s="503"/>
      <c r="BA30" s="503"/>
      <c r="BB30" s="444">
        <f t="shared" si="1"/>
        <v>19</v>
      </c>
    </row>
    <row r="31" spans="1:54" s="444" customFormat="1" ht="15.75" customHeight="1" x14ac:dyDescent="0.2">
      <c r="A31" s="498"/>
      <c r="B31" s="1345"/>
      <c r="C31" s="504" t="s">
        <v>790</v>
      </c>
      <c r="D31" s="689">
        <f>IFERROR(VLOOKUP(D$12,Assessments!$B$147:$H$170,4,FALSE),"")</f>
        <v>0.38990017615971817</v>
      </c>
      <c r="E31" s="505">
        <f>IFERROR(VLOOKUP(E$12,Assessments!$B$147:$H$170,4,FALSE),"")</f>
        <v>0.11700404858299596</v>
      </c>
      <c r="F31" s="505">
        <f>IFERROR(VLOOKUP(F$12,Assessments!$B$147:$H$170,4,FALSE),"")</f>
        <v>0.10436117150530759</v>
      </c>
      <c r="G31" s="505">
        <f>IFERROR(VLOOKUP(G$12,Assessments!$B$147:$H$170,4,FALSE),"")</f>
        <v>0.12784880489160644</v>
      </c>
      <c r="H31" s="505">
        <f>IFERROR(VLOOKUP(H$12,Assessments!$B$147:$H$170,4,FALSE),"")</f>
        <v>0.45364661445314669</v>
      </c>
      <c r="I31" s="505">
        <f>IFERROR(VLOOKUP(I$12,Assessments!$B$147:$H$170,4,FALSE),"")</f>
        <v>0.42035623409669209</v>
      </c>
      <c r="J31" s="505">
        <f>IFERROR(VLOOKUP(J$12,Assessments!$B$147:$H$170,4,FALSE),"")</f>
        <v>0.12658871377732589</v>
      </c>
      <c r="K31" s="505">
        <f>IFERROR(VLOOKUP(K$12,Assessments!$B$147:$H$170,4,FALSE),"")</f>
        <v>8.4210526315789472E-2</v>
      </c>
      <c r="L31" s="505">
        <f>IFERROR(VLOOKUP(L$12,Assessments!$B$147:$H$170,4,FALSE),"")</f>
        <v>0.30457981325033351</v>
      </c>
      <c r="M31" s="505">
        <f>IFERROR(VLOOKUP(M$12,Assessments!$B$147:$H$170,4,FALSE),"")</f>
        <v>9.6039970392301999E-2</v>
      </c>
      <c r="N31" s="505">
        <f>IFERROR(VLOOKUP(N$12,Assessments!$B$147:$H$170,4,FALSE),"")</f>
        <v>0.20123093390420124</v>
      </c>
      <c r="O31" s="505">
        <f>IFERROR(VLOOKUP(O$12,Assessments!$B$147:$H$170,4,FALSE),"")</f>
        <v>0.25149476831091183</v>
      </c>
      <c r="P31" s="505">
        <f>IFERROR(VLOOKUP(P$12,Assessments!$B$147:$H$170,4,FALSE),"")</f>
        <v>8.0410145709660014E-2</v>
      </c>
      <c r="Q31" s="505">
        <f>IFERROR(VLOOKUP(Q$12,Assessments!$B$147:$H$170,4,FALSE),"")</f>
        <v>0.1522373540856031</v>
      </c>
      <c r="R31" s="505">
        <f>IFERROR(VLOOKUP(R$12,Assessments!$B$147:$H$170,4,FALSE),"")</f>
        <v>0.15196078431372548</v>
      </c>
      <c r="S31" s="505">
        <f>IFERROR(VLOOKUP(S$12,Assessments!$B$147:$H$170,4,FALSE),"")</f>
        <v>0.17142374598885324</v>
      </c>
      <c r="T31" s="505">
        <f>IFERROR(VLOOKUP(T$12,Assessments!$B$147:$H$170,4,FALSE),"")</f>
        <v>0.22288296860133205</v>
      </c>
      <c r="U31" s="505">
        <f>IFERROR(VLOOKUP(U$12,Assessments!$B$147:$H$170,4,FALSE),"")</f>
        <v>0.18295454545454545</v>
      </c>
      <c r="V31" s="505">
        <f>IFERROR(VLOOKUP(V$12,Assessments!$B$147:$H$170,4,FALSE),"")</f>
        <v>0.12128592303945446</v>
      </c>
      <c r="W31" s="505">
        <f>IFERROR(VLOOKUP(W$12,Assessments!$B$147:$H$170,4,FALSE),"")</f>
        <v>7.9058597502401531E-2</v>
      </c>
      <c r="X31" s="505">
        <f>IFERROR(VLOOKUP(X$12,Assessments!$B$147:$H$170,4,FALSE),"")</f>
        <v>8.8269454123112656E-2</v>
      </c>
      <c r="Y31" s="630">
        <f>IFERROR(VLOOKUP(Y$12,Assessments!$B$147:$H$170,4,FALSE),"")</f>
        <v>0.21581073283323715</v>
      </c>
      <c r="Z31" s="1092">
        <f>IFERROR(VLOOKUP(Z$12,Assessments!$B$147:$H$170,4,FALSE),"")</f>
        <v>0.20052951559129242</v>
      </c>
      <c r="AA31" s="1261">
        <f>IFERROR(VLOOKUP(AA$12,Assessments!$B$147:$H$170,4,FALSE),"")</f>
        <v>0.17133018984985729</v>
      </c>
      <c r="AB31" s="501"/>
      <c r="AC31" s="739"/>
      <c r="AD31" s="502"/>
      <c r="AE31" s="503"/>
      <c r="AF31" s="503"/>
      <c r="AG31" s="503"/>
      <c r="AH31" s="503"/>
      <c r="AI31" s="503"/>
      <c r="AJ31" s="503"/>
      <c r="AK31" s="503"/>
      <c r="AL31" s="503"/>
      <c r="AM31" s="503"/>
      <c r="AN31" s="503"/>
      <c r="AO31" s="503"/>
      <c r="AP31" s="503"/>
      <c r="AQ31" s="503"/>
      <c r="AR31" s="503"/>
      <c r="AS31" s="503"/>
      <c r="AT31" s="503"/>
      <c r="AU31" s="503"/>
      <c r="AV31" s="503"/>
      <c r="AW31" s="503"/>
      <c r="AX31" s="503"/>
      <c r="AY31" s="503"/>
      <c r="AZ31" s="503"/>
      <c r="BA31" s="503"/>
      <c r="BB31" s="444">
        <f t="shared" si="1"/>
        <v>20</v>
      </c>
    </row>
    <row r="32" spans="1:54" s="444" customFormat="1" ht="15.75" customHeight="1" x14ac:dyDescent="0.2">
      <c r="A32" s="498"/>
      <c r="B32" s="1345"/>
      <c r="C32" s="504" t="s">
        <v>791</v>
      </c>
      <c r="D32" s="689">
        <f>IFERROR(VLOOKUP(D$12,Assessments!$B$147:$H$170,5,FALSE),"")</f>
        <v>0.17087492660011744</v>
      </c>
      <c r="E32" s="505">
        <f>IFERROR(VLOOKUP(E$12,Assessments!$B$147:$H$170,5,FALSE),"")</f>
        <v>0.26072874493927123</v>
      </c>
      <c r="F32" s="505">
        <f>IFERROR(VLOOKUP(F$12,Assessments!$B$147:$H$170,5,FALSE),"")</f>
        <v>0.11254636142729249</v>
      </c>
      <c r="G32" s="505">
        <f>IFERROR(VLOOKUP(G$12,Assessments!$B$147:$H$170,5,FALSE),"")</f>
        <v>0.13062812673707616</v>
      </c>
      <c r="H32" s="505">
        <f>IFERROR(VLOOKUP(H$12,Assessments!$B$147:$H$170,5,FALSE),"")</f>
        <v>0.12747875354107649</v>
      </c>
      <c r="I32" s="505">
        <f>IFERROR(VLOOKUP(I$12,Assessments!$B$147:$H$170,5,FALSE),"")</f>
        <v>0.10585241730279898</v>
      </c>
      <c r="J32" s="505">
        <f>IFERROR(VLOOKUP(J$12,Assessments!$B$147:$H$170,5,FALSE),"")</f>
        <v>0.25148279952550417</v>
      </c>
      <c r="K32" s="505">
        <f>IFERROR(VLOOKUP(K$12,Assessments!$B$147:$H$170,5,FALSE),"")</f>
        <v>0.10087719298245613</v>
      </c>
      <c r="L32" s="505">
        <f>IFERROR(VLOOKUP(L$12,Assessments!$B$147:$H$170,5,FALSE),"")</f>
        <v>0.20497999110715873</v>
      </c>
      <c r="M32" s="505">
        <f>IFERROR(VLOOKUP(M$12,Assessments!$B$147:$H$170,5,FALSE),"")</f>
        <v>0.12398223538119911</v>
      </c>
      <c r="N32" s="505">
        <f>IFERROR(VLOOKUP(N$12,Assessments!$B$147:$H$170,5,FALSE),"")</f>
        <v>0.19266791544019266</v>
      </c>
      <c r="O32" s="505">
        <f>IFERROR(VLOOKUP(O$12,Assessments!$B$147:$H$170,5,FALSE),"")</f>
        <v>0.20142002989536623</v>
      </c>
      <c r="P32" s="505">
        <f>IFERROR(VLOOKUP(P$12,Assessments!$B$147:$H$170,5,FALSE),"")</f>
        <v>0.21910415542363734</v>
      </c>
      <c r="Q32" s="505">
        <f>IFERROR(VLOOKUP(Q$12,Assessments!$B$147:$H$170,5,FALSE),"")</f>
        <v>0.2183852140077821</v>
      </c>
      <c r="R32" s="505">
        <f>IFERROR(VLOOKUP(R$12,Assessments!$B$147:$H$170,5,FALSE),"")</f>
        <v>0.11233660130718955</v>
      </c>
      <c r="S32" s="505">
        <f>IFERROR(VLOOKUP(S$12,Assessments!$B$147:$H$170,5,FALSE),"")</f>
        <v>0.14034791420368181</v>
      </c>
      <c r="T32" s="505">
        <f>IFERROR(VLOOKUP(T$12,Assessments!$B$147:$H$170,5,FALSE),"")</f>
        <v>0.16412940057088488</v>
      </c>
      <c r="U32" s="505">
        <f>IFERROR(VLOOKUP(U$12,Assessments!$B$147:$H$170,5,FALSE),"")</f>
        <v>0.16931818181818181</v>
      </c>
      <c r="V32" s="505">
        <f>IFERROR(VLOOKUP(V$12,Assessments!$B$147:$H$170,5,FALSE),"")</f>
        <v>9.7418412079883096E-2</v>
      </c>
      <c r="W32" s="505">
        <f>IFERROR(VLOOKUP(W$12,Assessments!$B$147:$H$170,5,FALSE),"")</f>
        <v>0.10710854947166186</v>
      </c>
      <c r="X32" s="505">
        <f>IFERROR(VLOOKUP(X$12,Assessments!$B$147:$H$170,5,FALSE),"")</f>
        <v>6.968641114982578E-2</v>
      </c>
      <c r="Y32" s="630">
        <f>IFERROR(VLOOKUP(Y$12,Assessments!$B$147:$H$170,5,FALSE),"")</f>
        <v>0.23831506058857474</v>
      </c>
      <c r="Z32" s="1092">
        <f>IFERROR(VLOOKUP(Z$12,Assessments!$B$147:$H$170,5,FALSE),"")</f>
        <v>0.15797215140223572</v>
      </c>
      <c r="AA32" s="1261">
        <f>IFERROR(VLOOKUP(AA$12,Assessments!$B$147:$H$170,5,FALSE),"")</f>
        <v>0.16284588658642513</v>
      </c>
      <c r="AB32" s="501"/>
      <c r="AC32" s="739"/>
      <c r="AD32" s="502"/>
      <c r="AE32" s="503"/>
      <c r="AF32" s="503"/>
      <c r="AG32" s="503"/>
      <c r="AH32" s="503"/>
      <c r="AI32" s="503"/>
      <c r="AJ32" s="503"/>
      <c r="AK32" s="503"/>
      <c r="AL32" s="503"/>
      <c r="AM32" s="503"/>
      <c r="AN32" s="503"/>
      <c r="AO32" s="503"/>
      <c r="AP32" s="503"/>
      <c r="AQ32" s="503"/>
      <c r="AR32" s="503"/>
      <c r="AS32" s="503"/>
      <c r="AT32" s="503"/>
      <c r="AU32" s="503"/>
      <c r="AV32" s="503"/>
      <c r="AW32" s="503"/>
      <c r="AX32" s="503"/>
      <c r="AY32" s="503"/>
      <c r="AZ32" s="503"/>
      <c r="BA32" s="503"/>
      <c r="BB32" s="444">
        <f t="shared" si="1"/>
        <v>21</v>
      </c>
    </row>
    <row r="33" spans="1:54" s="444" customFormat="1" ht="15.75" customHeight="1" x14ac:dyDescent="0.2">
      <c r="A33" s="498"/>
      <c r="B33" s="1345"/>
      <c r="C33" s="504" t="s">
        <v>792</v>
      </c>
      <c r="D33" s="689">
        <f>IFERROR(VLOOKUP(D$12,Assessments!$B$147:$H$170,6,FALSE),"")</f>
        <v>0.18731650029359953</v>
      </c>
      <c r="E33" s="505">
        <f>IFERROR(VLOOKUP(E$12,Assessments!$B$147:$H$170,6,FALSE),"")</f>
        <v>0.37327935222672065</v>
      </c>
      <c r="F33" s="505">
        <f>IFERROR(VLOOKUP(F$12,Assessments!$B$147:$H$170,6,FALSE),"")</f>
        <v>0.29402736922880163</v>
      </c>
      <c r="G33" s="505">
        <f>IFERROR(VLOOKUP(G$12,Assessments!$B$147:$H$170,6,FALSE),"")</f>
        <v>0.24207893274041134</v>
      </c>
      <c r="H33" s="505">
        <f>IFERROR(VLOOKUP(H$12,Assessments!$B$147:$H$170,6,FALSE),"")</f>
        <v>9.3539965561295346E-2</v>
      </c>
      <c r="I33" s="505">
        <f>IFERROR(VLOOKUP(I$12,Assessments!$B$147:$H$170,6,FALSE),"")</f>
        <v>0.13791348600508907</v>
      </c>
      <c r="J33" s="505">
        <f>IFERROR(VLOOKUP(J$12,Assessments!$B$147:$H$170,6,FALSE),"")</f>
        <v>0.4598655595096876</v>
      </c>
      <c r="K33" s="505">
        <f>IFERROR(VLOOKUP(K$12,Assessments!$B$147:$H$170,6,FALSE),"")</f>
        <v>0.40701754385964911</v>
      </c>
      <c r="L33" s="505">
        <f>IFERROR(VLOOKUP(L$12,Assessments!$B$147:$H$170,6,FALSE),"")</f>
        <v>0.16540684748777235</v>
      </c>
      <c r="M33" s="505">
        <f>IFERROR(VLOOKUP(M$12,Assessments!$B$147:$H$170,6,FALSE),"")</f>
        <v>0.31014063656550706</v>
      </c>
      <c r="N33" s="505">
        <f>IFERROR(VLOOKUP(N$12,Assessments!$B$147:$H$170,6,FALSE),"")</f>
        <v>0.18597805726518599</v>
      </c>
      <c r="O33" s="505">
        <f>IFERROR(VLOOKUP(O$12,Assessments!$B$147:$H$170,6,FALSE),"")</f>
        <v>0.29446935724962631</v>
      </c>
      <c r="P33" s="505">
        <f>IFERROR(VLOOKUP(P$12,Assessments!$B$147:$H$170,6,FALSE),"")</f>
        <v>0.45601726929303832</v>
      </c>
      <c r="Q33" s="505">
        <f>IFERROR(VLOOKUP(Q$12,Assessments!$B$147:$H$170,6,FALSE),"")</f>
        <v>0.27918287937743191</v>
      </c>
      <c r="R33" s="505">
        <f>IFERROR(VLOOKUP(R$12,Assessments!$B$147:$H$170,6,FALSE),"")</f>
        <v>0.27532679738562094</v>
      </c>
      <c r="S33" s="505">
        <f>IFERROR(VLOOKUP(S$12,Assessments!$B$147:$H$170,6,FALSE),"")</f>
        <v>0.36438101672014861</v>
      </c>
      <c r="T33" s="505">
        <f>IFERROR(VLOOKUP(T$12,Assessments!$B$147:$H$170,6,FALSE),"")</f>
        <v>0.18553758325404376</v>
      </c>
      <c r="U33" s="505">
        <f>IFERROR(VLOOKUP(U$12,Assessments!$B$147:$H$170,6,FALSE),"")</f>
        <v>0.31874999999999998</v>
      </c>
      <c r="V33" s="505">
        <f>IFERROR(VLOOKUP(V$12,Assessments!$B$147:$H$170,6,FALSE),"")</f>
        <v>0.37165124208475403</v>
      </c>
      <c r="W33" s="505">
        <f>IFERROR(VLOOKUP(W$12,Assessments!$B$147:$H$170,6,FALSE),"")</f>
        <v>0.36685878962536023</v>
      </c>
      <c r="X33" s="505">
        <f>IFERROR(VLOOKUP(X$12,Assessments!$B$147:$H$170,6,FALSE),"")</f>
        <v>0.42857142857142855</v>
      </c>
      <c r="Y33" s="630">
        <f>IFERROR(VLOOKUP(Y$12,Assessments!$B$147:$H$170,6,FALSE),"")</f>
        <v>0.18753606462781305</v>
      </c>
      <c r="Z33" s="1092">
        <f>IFERROR(VLOOKUP(Z$12,Assessments!$B$147:$H$170,6,FALSE),"")</f>
        <v>0.2995685428515395</v>
      </c>
      <c r="AA33" s="1261">
        <f>IFERROR(VLOOKUP(AA$12,Assessments!$B$147:$H$170,6,FALSE),"")</f>
        <v>0.34908177193200152</v>
      </c>
      <c r="AB33" s="501"/>
      <c r="AC33" s="739"/>
      <c r="AD33" s="502"/>
      <c r="AE33" s="503"/>
      <c r="AF33" s="503"/>
      <c r="AG33" s="503"/>
      <c r="AH33" s="503"/>
      <c r="AI33" s="503"/>
      <c r="AJ33" s="503"/>
      <c r="AK33" s="503"/>
      <c r="AL33" s="503"/>
      <c r="AM33" s="503"/>
      <c r="AN33" s="503"/>
      <c r="AO33" s="503"/>
      <c r="AP33" s="503"/>
      <c r="AQ33" s="503"/>
      <c r="AR33" s="503"/>
      <c r="AS33" s="503"/>
      <c r="AT33" s="503"/>
      <c r="AU33" s="503"/>
      <c r="AV33" s="503"/>
      <c r="AW33" s="503"/>
      <c r="AX33" s="503"/>
      <c r="AY33" s="503"/>
      <c r="AZ33" s="503"/>
      <c r="BA33" s="503"/>
      <c r="BB33" s="444">
        <f t="shared" si="1"/>
        <v>22</v>
      </c>
    </row>
    <row r="34" spans="1:54" s="444" customFormat="1" ht="15.75" customHeight="1" thickBot="1" x14ac:dyDescent="0.25">
      <c r="A34" s="498"/>
      <c r="B34" s="1345"/>
      <c r="C34" s="1266" t="s">
        <v>213</v>
      </c>
      <c r="D34" s="690">
        <f>IFERROR(VLOOKUP(D$12,Assessments!$B$147:$H$170,7,FALSE),"")</f>
        <v>6.4591896652965358E-2</v>
      </c>
      <c r="E34" s="507">
        <f>IFERROR(VLOOKUP(E$12,Assessments!$B$147:$H$170,7,FALSE),"")</f>
        <v>0.11902834008097166</v>
      </c>
      <c r="F34" s="507">
        <f>IFERROR(VLOOKUP(F$12,Assessments!$B$147:$H$170,7,FALSE),"")</f>
        <v>0.2655070980943855</v>
      </c>
      <c r="G34" s="507">
        <f>IFERROR(VLOOKUP(G$12,Assessments!$B$147:$H$170,7,FALSE),"")</f>
        <v>0.4207893274041134</v>
      </c>
      <c r="H34" s="507">
        <f>IFERROR(VLOOKUP(H$12,Assessments!$B$147:$H$170,7,FALSE),"")</f>
        <v>9.1484752541243122E-2</v>
      </c>
      <c r="I34" s="507">
        <f>IFERROR(VLOOKUP(I$12,Assessments!$B$147:$H$170,7,FALSE),"")</f>
        <v>4.2239185750636135E-2</v>
      </c>
      <c r="J34" s="507">
        <f>IFERROR(VLOOKUP(J$12,Assessments!$B$147:$H$170,7,FALSE),"")</f>
        <v>7.8856690956335088E-2</v>
      </c>
      <c r="K34" s="507">
        <f>IFERROR(VLOOKUP(K$12,Assessments!$B$147:$H$170,7,FALSE),"")</f>
        <v>0.36871345029239766</v>
      </c>
      <c r="L34" s="507">
        <f>IFERROR(VLOOKUP(L$12,Assessments!$B$147:$H$170,7,FALSE),"")</f>
        <v>6.1360604713205869E-2</v>
      </c>
      <c r="M34" s="507">
        <f>IFERROR(VLOOKUP(M$12,Assessments!$B$147:$H$170,7,FALSE),"")</f>
        <v>0.41672834937083642</v>
      </c>
      <c r="N34" s="507">
        <f>IFERROR(VLOOKUP(N$12,Assessments!$B$147:$H$170,7,FALSE),"")</f>
        <v>4.7899384533047901E-2</v>
      </c>
      <c r="O34" s="507">
        <f>IFERROR(VLOOKUP(O$12,Assessments!$B$147:$H$170,7,FALSE),"")</f>
        <v>0.11808669656203288</v>
      </c>
      <c r="P34" s="507">
        <f>IFERROR(VLOOKUP(P$12,Assessments!$B$147:$H$170,7,FALSE),"")</f>
        <v>0.20291419320021586</v>
      </c>
      <c r="Q34" s="507">
        <f>IFERROR(VLOOKUP(Q$12,Assessments!$B$147:$H$170,7,FALSE),"")</f>
        <v>0.23954280155642024</v>
      </c>
      <c r="R34" s="507">
        <f>IFERROR(VLOOKUP(R$12,Assessments!$B$147:$H$170,7,FALSE),"")</f>
        <v>0.33905228758169936</v>
      </c>
      <c r="S34" s="507">
        <f>IFERROR(VLOOKUP(S$12,Assessments!$B$147:$H$170,7,FALSE),"")</f>
        <v>0.26938017226819794</v>
      </c>
      <c r="T34" s="507">
        <f>IFERROR(VLOOKUP(T$12,Assessments!$B$147:$H$170,7,FALSE),"")</f>
        <v>0.20528068506184585</v>
      </c>
      <c r="U34" s="507">
        <f>IFERROR(VLOOKUP(U$12,Assessments!$B$147:$H$170,7,FALSE),"")</f>
        <v>0.25624999999999998</v>
      </c>
      <c r="V34" s="507">
        <f>IFERROR(VLOOKUP(V$12,Assessments!$B$147:$H$170,7,FALSE),"")</f>
        <v>3.019970774476376E-2</v>
      </c>
      <c r="W34" s="507">
        <f>IFERROR(VLOOKUP(W$12,Assessments!$B$147:$H$170,7,FALSE),"")</f>
        <v>0.14582132564841499</v>
      </c>
      <c r="X34" s="507">
        <f>IFERROR(VLOOKUP(X$12,Assessments!$B$147:$H$170,7,FALSE),"")</f>
        <v>0.36585365853658536</v>
      </c>
      <c r="Y34" s="691">
        <f>IFERROR(VLOOKUP(Y$12,Assessments!$B$147:$H$170,7,FALSE),"")</f>
        <v>0.24581650317368725</v>
      </c>
      <c r="Z34" s="1091">
        <f>IFERROR(VLOOKUP(Z$12,Assessments!$B$147:$H$170,7,FALSE),"")</f>
        <v>0.17650519709747009</v>
      </c>
      <c r="AA34" s="1259">
        <f>IFERROR(VLOOKUP(AA$12,Assessments!$B$147:$H$170,7,FALSE),"")</f>
        <v>0.16852276957438889</v>
      </c>
      <c r="AB34" s="501"/>
      <c r="AC34" s="739"/>
      <c r="AD34" s="502"/>
      <c r="AE34" s="503"/>
      <c r="AF34" s="503"/>
      <c r="AG34" s="503"/>
      <c r="AH34" s="503"/>
      <c r="AI34" s="503"/>
      <c r="AJ34" s="503"/>
      <c r="AK34" s="503"/>
      <c r="AL34" s="503"/>
      <c r="AM34" s="503"/>
      <c r="AN34" s="503"/>
      <c r="AO34" s="503"/>
      <c r="AP34" s="503"/>
      <c r="AQ34" s="503"/>
      <c r="AR34" s="503"/>
      <c r="AS34" s="503"/>
      <c r="AT34" s="503"/>
      <c r="AU34" s="503"/>
      <c r="AV34" s="503"/>
      <c r="AW34" s="503"/>
      <c r="AX34" s="503"/>
      <c r="AY34" s="503"/>
      <c r="AZ34" s="503"/>
      <c r="BA34" s="503"/>
      <c r="BB34" s="444">
        <f t="shared" si="1"/>
        <v>23</v>
      </c>
    </row>
    <row r="35" spans="1:54" s="444" customFormat="1" ht="18" customHeight="1" thickBot="1" x14ac:dyDescent="0.25">
      <c r="A35" s="498"/>
      <c r="B35" s="1267" t="s">
        <v>214</v>
      </c>
      <c r="C35" s="1268" t="str">
        <f>"Children in Need at "&amp;Sheet1!$H$3&amp;", Rate per 10,000 0-17 Year Olds"</f>
        <v>Children in Need at 31st March, Rate per 10,000 0-17 Year Olds</v>
      </c>
      <c r="D35" s="700">
        <f>IFERROR(VLOOKUP(D12,'Children in Need'!$B$10:$O$33,14,FALSE),"")</f>
        <v>368.55123674911658</v>
      </c>
      <c r="E35" s="632">
        <f>IFERROR(VLOOKUP(E12,'Children in Need'!$B$10:$O$33,14,FALSE),"")</f>
        <v>399.80392156862746</v>
      </c>
      <c r="F35" s="632">
        <f>IFERROR(VLOOKUP(F12,'Children in Need'!$B$10:$O$33,14,FALSE),"")</f>
        <v>268.54384553499597</v>
      </c>
      <c r="G35" s="632">
        <f>IFERROR(VLOOKUP(G12,'Children in Need'!$B$10:$O$33,14,FALSE),"")</f>
        <v>294.64285714285711</v>
      </c>
      <c r="H35" s="632">
        <f>IFERROR(VLOOKUP(H12,'Children in Need'!$B$10:$O$33,14,FALSE),"")</f>
        <v>302.28873239436621</v>
      </c>
      <c r="I35" s="632">
        <f>IFERROR(VLOOKUP(I12,'Children in Need'!$B$10:$O$33,14,FALSE),"")</f>
        <v>473.09236947791163</v>
      </c>
      <c r="J35" s="632">
        <f>IFERROR(VLOOKUP(J12,'Children in Need'!$B$10:$O$33,14,FALSE),"")</f>
        <v>304.91032049397239</v>
      </c>
      <c r="K35" s="632">
        <f>IFERROR(VLOOKUP(K12,'Children in Need'!$B$10:$O$33,14,FALSE),"")</f>
        <v>375.31055900621118</v>
      </c>
      <c r="L35" s="632">
        <f>IFERROR(VLOOKUP(L12,'Children in Need'!$B$10:$O$33,14,FALSE),"")</f>
        <v>315.66617862371885</v>
      </c>
      <c r="M35" s="632">
        <f>IFERROR(VLOOKUP(M12,'Children in Need'!$B$10:$O$33,14,FALSE),"")</f>
        <v>311.53314917127068</v>
      </c>
      <c r="N35" s="632">
        <f>IFERROR(VLOOKUP(N12,'Children in Need'!$B$10:$O$33,14,FALSE),"")</f>
        <v>373.86363636363632</v>
      </c>
      <c r="O35" s="632">
        <f>IFERROR(VLOOKUP(O12,'Children in Need'!$B$10:$O$33,14,FALSE),"")</f>
        <v>440.70080862533695</v>
      </c>
      <c r="P35" s="632">
        <f>IFERROR(VLOOKUP(P12,'Children in Need'!$B$10:$O$33,14,FALSE),"")</f>
        <v>333.95784543325527</v>
      </c>
      <c r="Q35" s="632">
        <f>IFERROR(VLOOKUP(Q12,'Children in Need'!$B$10:$O$33,14,FALSE),"")</f>
        <v>235.59168925022584</v>
      </c>
      <c r="R35" s="632">
        <f>IFERROR(VLOOKUP(R12,'Children in Need'!$B$10:$O$33,14,FALSE),"")</f>
        <v>523.03149606299212</v>
      </c>
      <c r="S35" s="632">
        <f>IFERROR(VLOOKUP(S12,'Children in Need'!$B$10:$O$33,14,FALSE),"")</f>
        <v>226.49866361206566</v>
      </c>
      <c r="T35" s="632">
        <f>IFERROR(VLOOKUP(T12,'Children in Need'!$B$10:$O$33,14,FALSE),"")</f>
        <v>453.58565737051794</v>
      </c>
      <c r="U35" s="632">
        <f>IFERROR(VLOOKUP(U12,'Children in Need'!$B$10:$O$33,14,FALSE),"")</f>
        <v>420.0787401574803</v>
      </c>
      <c r="V35" s="632">
        <f>IFERROR(VLOOKUP(V12,'Children in Need'!$B$10:$O$33,14,FALSE),"")</f>
        <v>299.15730337078651</v>
      </c>
      <c r="W35" s="632">
        <f>IFERROR(VLOOKUP(W12,'Children in Need'!$B$10:$O$33,14,FALSE),"")</f>
        <v>268.9753863766457</v>
      </c>
      <c r="X35" s="632">
        <f>IFERROR(VLOOKUP(X12,'Children in Need'!$B$10:$O$33,14,FALSE),"")</f>
        <v>213.00578034682081</v>
      </c>
      <c r="Y35" s="701">
        <f>IFERROR(VLOOKUP(Y12,'Children in Need'!$B$10:$O$33,14,FALSE),"")</f>
        <v>227.34177215189874</v>
      </c>
      <c r="Z35" s="1096">
        <f>IFERROR(VLOOKUP(Z12,'Children in Need'!$B$10:$O$33,14,FALSE),"")</f>
        <v>303.82139572902832</v>
      </c>
      <c r="AA35" s="1264">
        <f>IFERROR(VLOOKUP(AA12,'Children in Need'!$B$10:$O$33,14,FALSE),"")</f>
        <v>334.18934970638912</v>
      </c>
      <c r="AB35" s="501"/>
      <c r="AC35" s="739"/>
      <c r="AD35" s="502"/>
      <c r="AE35" s="503"/>
      <c r="AF35" s="503"/>
      <c r="AG35" s="503"/>
      <c r="AH35" s="503"/>
      <c r="AI35" s="503"/>
      <c r="AJ35" s="503"/>
      <c r="AK35" s="503"/>
      <c r="AL35" s="503"/>
      <c r="AM35" s="503"/>
      <c r="AN35" s="503"/>
      <c r="AO35" s="503"/>
      <c r="AP35" s="503"/>
      <c r="AQ35" s="503"/>
      <c r="AR35" s="503"/>
      <c r="AS35" s="503"/>
      <c r="AT35" s="503"/>
      <c r="AU35" s="503"/>
      <c r="AV35" s="503"/>
      <c r="AW35" s="503"/>
      <c r="AX35" s="503"/>
      <c r="AY35" s="503"/>
      <c r="AZ35" s="503"/>
      <c r="BA35" s="503"/>
      <c r="BB35" s="444">
        <f t="shared" si="1"/>
        <v>24</v>
      </c>
    </row>
    <row r="36" spans="1:54" s="444" customFormat="1" ht="23.25" thickBot="1" x14ac:dyDescent="0.25">
      <c r="A36" s="498"/>
      <c r="B36" s="511" t="s">
        <v>18</v>
      </c>
      <c r="C36" s="512" t="str">
        <f>"Children subject to Section 47 Enquiries during the "&amp;Sheet1!$G$3&amp;", Rate per 10,000 0-17 Year Olds"</f>
        <v>Children subject to Section 47 Enquiries during the Year ending 31st March, Rate per 10,000 0-17 Year Olds</v>
      </c>
      <c r="D36" s="685">
        <f>IFERROR(VLOOKUP(D12,'Section 47 Enquiries'!$B$10:$O$33,14,FALSE),"")</f>
        <v>248.0565371024735</v>
      </c>
      <c r="E36" s="513">
        <f>IFERROR(VLOOKUP(E12,'Section 47 Enquiries'!$B$10:$O$33,14,FALSE),"")</f>
        <v>152.54901960784315</v>
      </c>
      <c r="F36" s="513">
        <f>IFERROR(VLOOKUP(F12,'Section 47 Enquiries'!$B$10:$O$33,14,FALSE),"")</f>
        <v>174.89943684633951</v>
      </c>
      <c r="G36" s="513">
        <f>IFERROR(VLOOKUP(G12,'Section 47 Enquiries'!$B$10:$O$33,14,FALSE),"")</f>
        <v>124.90601503759399</v>
      </c>
      <c r="H36" s="513">
        <f>IFERROR(VLOOKUP(H12,'Section 47 Enquiries'!$B$10:$O$33,14,FALSE),"")</f>
        <v>152.00704225352112</v>
      </c>
      <c r="I36" s="513">
        <f>IFERROR(VLOOKUP(I12,'Section 47 Enquiries'!$B$10:$O$33,14,FALSE),"")</f>
        <v>201.20481927710844</v>
      </c>
      <c r="J36" s="513">
        <f>IFERROR(VLOOKUP(J12,'Section 47 Enquiries'!$B$10:$O$33,14,FALSE),"")</f>
        <v>176.85974713319612</v>
      </c>
      <c r="K36" s="513">
        <f>IFERROR(VLOOKUP(K12,'Section 47 Enquiries'!$B$10:$O$33,14,FALSE),"")</f>
        <v>234.31677018633542</v>
      </c>
      <c r="L36" s="513">
        <f>IFERROR(VLOOKUP(L12,'Section 47 Enquiries'!$B$10:$O$33,14,FALSE),"")</f>
        <v>88.286969253294288</v>
      </c>
      <c r="M36" s="513">
        <f>IFERROR(VLOOKUP(M12,'Section 47 Enquiries'!$B$10:$O$33,14,FALSE),"")</f>
        <v>129.35082872928177</v>
      </c>
      <c r="N36" s="513">
        <f>IFERROR(VLOOKUP(N12,'Section 47 Enquiries'!$B$10:$O$33,14,FALSE),"")</f>
        <v>298.40909090909093</v>
      </c>
      <c r="O36" s="513">
        <f>IFERROR(VLOOKUP(O12,'Section 47 Enquiries'!$B$10:$O$33,14,FALSE),"")</f>
        <v>277.89757412398922</v>
      </c>
      <c r="P36" s="513">
        <f>IFERROR(VLOOKUP(P12,'Section 47 Enquiries'!$B$10:$O$33,14,FALSE),"")</f>
        <v>249.18032786885249</v>
      </c>
      <c r="Q36" s="513">
        <f>IFERROR(VLOOKUP(Q12,'Section 47 Enquiries'!$B$10:$O$33,14,FALSE),"")</f>
        <v>110.29810298102981</v>
      </c>
      <c r="R36" s="513">
        <f>IFERROR(VLOOKUP(R12,'Section 47 Enquiries'!$B$10:$O$33,14,FALSE),"")</f>
        <v>337.20472440944877</v>
      </c>
      <c r="S36" s="513">
        <f>IFERROR(VLOOKUP(S12,'Section 47 Enquiries'!$B$10:$O$33,14,FALSE),"")</f>
        <v>158.03741886216113</v>
      </c>
      <c r="T36" s="513">
        <f>IFERROR(VLOOKUP(T12,'Section 47 Enquiries'!$B$10:$O$33,14,FALSE),"")</f>
        <v>210.75697211155378</v>
      </c>
      <c r="U36" s="513">
        <f>IFERROR(VLOOKUP(U12,'Section 47 Enquiries'!$B$10:$O$33,14,FALSE),"")</f>
        <v>305.51181102362204</v>
      </c>
      <c r="V36" s="513">
        <f>IFERROR(VLOOKUP(V12,'Section 47 Enquiries'!$B$10:$O$33,14,FALSE),"")</f>
        <v>156.17977528089887</v>
      </c>
      <c r="W36" s="513">
        <f>IFERROR(VLOOKUP(W12,'Section 47 Enquiries'!$B$10:$O$33,14,FALSE),"")</f>
        <v>165.65540927303948</v>
      </c>
      <c r="X36" s="513">
        <f>IFERROR(VLOOKUP(X12,'Section 47 Enquiries'!$B$10:$O$33,14,FALSE),"")</f>
        <v>150.86705202312137</v>
      </c>
      <c r="Y36" s="686">
        <f>IFERROR(VLOOKUP(Y12,'Section 47 Enquiries'!$B$10:$O$33,14,FALSE),"")</f>
        <v>165.82278481012659</v>
      </c>
      <c r="Z36" s="1093">
        <f>IFERROR(VLOOKUP(Z12,'Section 47 Enquiries'!$B$10:$O$33,14,FALSE),"")</f>
        <v>172.11607234086031</v>
      </c>
      <c r="AA36" s="1263">
        <f>IFERROR(VLOOKUP(AA12,'Section 47 Enquiries'!$B$10:$O$33,14,FALSE),"")</f>
        <v>168.278319642648</v>
      </c>
      <c r="AB36" s="501"/>
      <c r="AC36" s="739"/>
      <c r="AD36" s="502"/>
      <c r="AE36" s="503"/>
      <c r="AF36" s="503"/>
      <c r="AG36" s="503"/>
      <c r="AH36" s="503"/>
      <c r="AI36" s="503"/>
      <c r="AJ36" s="503"/>
      <c r="AK36" s="503"/>
      <c r="AL36" s="503"/>
      <c r="AM36" s="503"/>
      <c r="AN36" s="503"/>
      <c r="AO36" s="503"/>
      <c r="AP36" s="503"/>
      <c r="AQ36" s="503"/>
      <c r="AR36" s="503"/>
      <c r="AS36" s="503"/>
      <c r="AT36" s="503"/>
      <c r="AU36" s="503"/>
      <c r="AV36" s="503"/>
      <c r="AW36" s="503"/>
      <c r="AX36" s="503"/>
      <c r="AY36" s="503"/>
      <c r="AZ36" s="503"/>
      <c r="BA36" s="503"/>
      <c r="BB36" s="444">
        <f t="shared" si="1"/>
        <v>25</v>
      </c>
    </row>
    <row r="37" spans="1:54" s="444" customFormat="1" ht="22.5" customHeight="1" x14ac:dyDescent="0.2">
      <c r="A37" s="498"/>
      <c r="B37" s="1349" t="s">
        <v>215</v>
      </c>
      <c r="C37" s="508" t="str">
        <f>"Children subject to an Initial Child Protection Conference during the "&amp;Sheet1!$G$3&amp;", Rate per 10,000 0-17 Year Olds"</f>
        <v>Children subject to an Initial Child Protection Conference during the Year ending 31st March, Rate per 10,000 0-17 Year Olds</v>
      </c>
      <c r="D37" s="687">
        <f>IFERROR(VLOOKUP(D12,'Initial CP Conferences'!$B$10:$O$33,14,FALSE),"")</f>
        <v>89.399293286219091</v>
      </c>
      <c r="E37" s="500">
        <f>IFERROR(VLOOKUP(E12,'Initial CP Conferences'!$B$10:$O$33,14,FALSE),"")</f>
        <v>76.666666666666657</v>
      </c>
      <c r="F37" s="500">
        <f>IFERROR(VLOOKUP(F12,'Initial CP Conferences'!$B$10:$O$33,14,FALSE),"")</f>
        <v>64.119066773934023</v>
      </c>
      <c r="G37" s="500">
        <f>IFERROR(VLOOKUP(G12,'Initial CP Conferences'!$B$10:$O$33,14,FALSE),"")</f>
        <v>67.387218045112789</v>
      </c>
      <c r="H37" s="500">
        <f>IFERROR(VLOOKUP(H12,'Initial CP Conferences'!$B$10:$O$33,14,FALSE),"")</f>
        <v>62.04225352112676</v>
      </c>
      <c r="I37" s="500">
        <f>IFERROR(VLOOKUP(I12,'Initial CP Conferences'!$B$10:$O$33,14,FALSE),"")</f>
        <v>92.771084337349393</v>
      </c>
      <c r="J37" s="500">
        <f>IFERROR(VLOOKUP(J12,'Initial CP Conferences'!$B$10:$O$33,14,FALSE),"")</f>
        <v>46.25110261687739</v>
      </c>
      <c r="K37" s="500">
        <f>IFERROR(VLOOKUP(K12,'Initial CP Conferences'!$B$10:$O$33,14,FALSE),"")</f>
        <v>86.024844720496901</v>
      </c>
      <c r="L37" s="500">
        <f>IFERROR(VLOOKUP(L12,'Initial CP Conferences'!$B$10:$O$33,14,FALSE),"")</f>
        <v>32.503660322108345</v>
      </c>
      <c r="M37" s="500">
        <f>IFERROR(VLOOKUP(M12,'Initial CP Conferences'!$B$10:$O$33,14,FALSE),"")</f>
        <v>58.356353591160222</v>
      </c>
      <c r="N37" s="500">
        <f>IFERROR(VLOOKUP(N12,'Initial CP Conferences'!$B$10:$O$33,14,FALSE),"")</f>
        <v>65.909090909090907</v>
      </c>
      <c r="O37" s="500">
        <f>IFERROR(VLOOKUP(O12,'Initial CP Conferences'!$B$10:$O$33,14,FALSE),"")</f>
        <v>114.28571428571429</v>
      </c>
      <c r="P37" s="500">
        <f>IFERROR(VLOOKUP(P12,'Initial CP Conferences'!$B$10:$O$33,14,FALSE),"")</f>
        <v>80.327868852459005</v>
      </c>
      <c r="Q37" s="500">
        <f>IFERROR(VLOOKUP(Q12,'Initial CP Conferences'!$B$10:$O$33,14,FALSE),"")</f>
        <v>46.522131887985545</v>
      </c>
      <c r="R37" s="500">
        <f>IFERROR(VLOOKUP(R12,'Initial CP Conferences'!$B$10:$O$33,14,FALSE),"")</f>
        <v>94.29133858267717</v>
      </c>
      <c r="S37" s="500">
        <f>IFERROR(VLOOKUP(S12,'Initial CP Conferences'!$B$10:$O$33,14,FALSE),"")</f>
        <v>57.541046200840022</v>
      </c>
      <c r="T37" s="500">
        <f>IFERROR(VLOOKUP(T12,'Initial CP Conferences'!$B$10:$O$33,14,FALSE),"")</f>
        <v>98.605577689243034</v>
      </c>
      <c r="U37" s="500">
        <f>IFERROR(VLOOKUP(U12,'Initial CP Conferences'!$B$10:$O$33,14,FALSE),"")</f>
        <v>120.86614173228345</v>
      </c>
      <c r="V37" s="500">
        <f>IFERROR(VLOOKUP(V12,'Initial CP Conferences'!$B$10:$O$33,14,FALSE),"")</f>
        <v>72.752808988764045</v>
      </c>
      <c r="W37" s="500">
        <f>IFERROR(VLOOKUP(W12,'Initial CP Conferences'!$B$10:$O$33,14,FALSE),"")</f>
        <v>50.028620492272466</v>
      </c>
      <c r="X37" s="500">
        <f>IFERROR(VLOOKUP(X12,'Initial CP Conferences'!$B$10:$O$33,14,FALSE),"")</f>
        <v>34.971098265895954</v>
      </c>
      <c r="Y37" s="688">
        <f>IFERROR(VLOOKUP(Y12,'Initial CP Conferences'!$B$10:$O$33,14,FALSE),"")</f>
        <v>64.810126582278485</v>
      </c>
      <c r="Z37" s="1090">
        <f>IFERROR(VLOOKUP(Z12,'Initial CP Conferences'!$B$10:$O$33,14,FALSE),"")</f>
        <v>60.794932052722999</v>
      </c>
      <c r="AA37" s="1258">
        <f>IFERROR(VLOOKUP(AA12,'Initial CP Conferences'!$B$10:$O$33,14,FALSE),"")</f>
        <v>64.778411657437303</v>
      </c>
      <c r="AB37" s="501"/>
      <c r="AC37" s="739"/>
      <c r="AD37" s="502"/>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444">
        <f t="shared" si="1"/>
        <v>26</v>
      </c>
    </row>
    <row r="38" spans="1:54" s="444" customFormat="1" ht="22.5" customHeight="1" x14ac:dyDescent="0.2">
      <c r="A38" s="498"/>
      <c r="B38" s="1354"/>
      <c r="C38" s="509" t="str">
        <f>"Number of Initial CP Conferences as a percentage of Section 47 Enquiries in the "&amp;Sheet1!$G$3</f>
        <v>Number of Initial CP Conferences as a percentage of Section 47 Enquiries in the Year ending 31st March</v>
      </c>
      <c r="D38" s="689">
        <f>IFERROR(VLOOKUP(D12,'Initial CP Conferences'!$B$112:$H$135,7,FALSE),"")</f>
        <v>0.36039886039886038</v>
      </c>
      <c r="E38" s="505">
        <f>IFERROR(VLOOKUP(E12,'Initial CP Conferences'!$B$112:$H$135,7,FALSE),"")</f>
        <v>0.50257069408740362</v>
      </c>
      <c r="F38" s="505">
        <f>IFERROR(VLOOKUP(F12,'Initial CP Conferences'!$B$112:$H$135,7,FALSE),"")</f>
        <v>0.36660533578656856</v>
      </c>
      <c r="G38" s="505">
        <f>IFERROR(VLOOKUP(G12,'Initial CP Conferences'!$B$112:$H$135,7,FALSE),"")</f>
        <v>0.53950338600451464</v>
      </c>
      <c r="H38" s="505">
        <f>IFERROR(VLOOKUP(H12,'Initial CP Conferences'!$B$112:$H$135,7,FALSE),"")</f>
        <v>0.40815381051656241</v>
      </c>
      <c r="I38" s="505">
        <f>IFERROR(VLOOKUP(I12,'Initial CP Conferences'!$B$112:$H$135,7,FALSE),"")</f>
        <v>0.46107784431137727</v>
      </c>
      <c r="J38" s="505">
        <f>IFERROR(VLOOKUP(J12,'Initial CP Conferences'!$B$112:$H$135,7,FALSE),"")</f>
        <v>0.26151288445552784</v>
      </c>
      <c r="K38" s="505">
        <f>IFERROR(VLOOKUP(K12,'Initial CP Conferences'!$B$112:$H$135,7,FALSE),"")</f>
        <v>0.36713055003313455</v>
      </c>
      <c r="L38" s="505">
        <f>IFERROR(VLOOKUP(L12,'Initial CP Conferences'!$B$112:$H$135,7,FALSE),"")</f>
        <v>0.36815920398009949</v>
      </c>
      <c r="M38" s="505">
        <f>IFERROR(VLOOKUP(M12,'Initial CP Conferences'!$B$112:$H$135,7,FALSE),"")</f>
        <v>0.45114789108382275</v>
      </c>
      <c r="N38" s="505">
        <f>IFERROR(VLOOKUP(N12,'Initial CP Conferences'!$B$112:$H$135,7,FALSE),"")</f>
        <v>0.22086824067022087</v>
      </c>
      <c r="O38" s="505">
        <f>IFERROR(VLOOKUP(O12,'Initial CP Conferences'!$B$112:$H$135,7,FALSE),"")</f>
        <v>0.41125121241513096</v>
      </c>
      <c r="P38" s="505">
        <f>IFERROR(VLOOKUP(P12,'Initial CP Conferences'!$B$112:$H$135,7,FALSE),"")</f>
        <v>0.32236842105263158</v>
      </c>
      <c r="Q38" s="505">
        <f>IFERROR(VLOOKUP(Q12,'Initial CP Conferences'!$B$112:$H$135,7,FALSE),"")</f>
        <v>0.42178542178542178</v>
      </c>
      <c r="R38" s="505">
        <f>IFERROR(VLOOKUP(R12,'Initial CP Conferences'!$B$112:$H$135,7,FALSE),"")</f>
        <v>0.27962638645650906</v>
      </c>
      <c r="S38" s="505">
        <f>IFERROR(VLOOKUP(S12,'Initial CP Conferences'!$B$112:$H$135,7,FALSE),"")</f>
        <v>0.36409760811790287</v>
      </c>
      <c r="T38" s="505">
        <f>IFERROR(VLOOKUP(T12,'Initial CP Conferences'!$B$112:$H$135,7,FALSE),"")</f>
        <v>0.4678638941398866</v>
      </c>
      <c r="U38" s="505">
        <f>IFERROR(VLOOKUP(U12,'Initial CP Conferences'!$B$112:$H$135,7,FALSE),"")</f>
        <v>0.39561855670103091</v>
      </c>
      <c r="V38" s="505">
        <f>IFERROR(VLOOKUP(V12,'Initial CP Conferences'!$B$112:$H$135,7,FALSE),"")</f>
        <v>0.46582733812949639</v>
      </c>
      <c r="W38" s="505">
        <f>IFERROR(VLOOKUP(W12,'Initial CP Conferences'!$B$112:$H$135,7,FALSE),"")</f>
        <v>0.30200414651002072</v>
      </c>
      <c r="X38" s="505">
        <f>IFERROR(VLOOKUP(X12,'Initial CP Conferences'!$B$112:$H$135,7,FALSE),"")</f>
        <v>0.23180076628352492</v>
      </c>
      <c r="Y38" s="630">
        <f>IFERROR(VLOOKUP(Y12,'Initial CP Conferences'!$B$112:$H$135,7,FALSE),"")</f>
        <v>0.39083969465648855</v>
      </c>
      <c r="Z38" s="1092">
        <f>IFERROR(VLOOKUP(Z12,'Initial CP Conferences'!$B$112:$H$135,7,FALSE),"")</f>
        <v>0.35322054021964977</v>
      </c>
      <c r="AA38" s="1261">
        <f>IFERROR(VLOOKUP(AA12,'Initial CP Conferences'!$B$112:$H$135,7,FALSE),"")</f>
        <v>0.38494805388477404</v>
      </c>
      <c r="AB38" s="501"/>
      <c r="AC38" s="739"/>
      <c r="AD38" s="502"/>
      <c r="AE38" s="503"/>
      <c r="AF38" s="503"/>
      <c r="AG38" s="503"/>
      <c r="AH38" s="503"/>
      <c r="AI38" s="503"/>
      <c r="AJ38" s="503"/>
      <c r="AK38" s="503"/>
      <c r="AL38" s="503"/>
      <c r="AM38" s="503"/>
      <c r="AN38" s="503"/>
      <c r="AO38" s="503"/>
      <c r="AP38" s="503"/>
      <c r="AQ38" s="503"/>
      <c r="AR38" s="503"/>
      <c r="AS38" s="503"/>
      <c r="AT38" s="503"/>
      <c r="AU38" s="503"/>
      <c r="AV38" s="503"/>
      <c r="AW38" s="503"/>
      <c r="AX38" s="503"/>
      <c r="AY38" s="503"/>
      <c r="AZ38" s="503"/>
      <c r="BA38" s="503"/>
      <c r="BB38" s="444">
        <f t="shared" si="1"/>
        <v>27</v>
      </c>
    </row>
    <row r="39" spans="1:54" s="444" customFormat="1" ht="22.5" customHeight="1" thickBot="1" x14ac:dyDescent="0.25">
      <c r="A39" s="498"/>
      <c r="B39" s="1350"/>
      <c r="C39" s="510" t="s">
        <v>216</v>
      </c>
      <c r="D39" s="690">
        <f>IFERROR(VLOOKUP(D12,'Initial CP Conferences'!$B$148:$H$171,7,FALSE),"")</f>
        <v>0.7865612648221344</v>
      </c>
      <c r="E39" s="507">
        <f>IFERROR(VLOOKUP(E12,'Initial CP Conferences'!$B$148:$H$171,7,FALSE),"")</f>
        <v>0.82864450127877243</v>
      </c>
      <c r="F39" s="507">
        <f>IFERROR(VLOOKUP(F12,'Initial CP Conferences'!$B$148:$H$171,7,FALSE),"")</f>
        <v>0.73525721455457971</v>
      </c>
      <c r="G39" s="507">
        <f>IFERROR(VLOOKUP(G12,'Initial CP Conferences'!$B$148:$H$171,7,FALSE),"")</f>
        <v>0.75174337517433754</v>
      </c>
      <c r="H39" s="507">
        <f>IFERROR(VLOOKUP(H12,'Initial CP Conferences'!$B$148:$H$171,7,FALSE),"")</f>
        <v>0.7531214528944381</v>
      </c>
      <c r="I39" s="507">
        <f>IFERROR(VLOOKUP(I12,'Initial CP Conferences'!$B$148:$H$171,7,FALSE),"")</f>
        <v>0.80952380952380953</v>
      </c>
      <c r="J39" s="507">
        <f>IFERROR(VLOOKUP(J12,'Initial CP Conferences'!$B$148:$H$171,7,FALSE),"")</f>
        <v>0.87539732994278452</v>
      </c>
      <c r="K39" s="507">
        <f>IFERROR(VLOOKUP(K12,'Initial CP Conferences'!$B$148:$H$171,7,FALSE),"")</f>
        <v>0.74909747292418771</v>
      </c>
      <c r="L39" s="507">
        <f>IFERROR(VLOOKUP(L12,'Initial CP Conferences'!$B$148:$H$171,7,FALSE),"")</f>
        <v>0.87387387387387383</v>
      </c>
      <c r="M39" s="507">
        <f>IFERROR(VLOOKUP(M12,'Initial CP Conferences'!$B$148:$H$171,7,FALSE),"")</f>
        <v>0.81656804733727806</v>
      </c>
      <c r="N39" s="507">
        <f>IFERROR(VLOOKUP(N12,'Initial CP Conferences'!$B$148:$H$171,7,FALSE),"")</f>
        <v>0.8172413793103448</v>
      </c>
      <c r="O39" s="507">
        <f>IFERROR(VLOOKUP(O12,'Initial CP Conferences'!$B$148:$H$171,7,FALSE),"")</f>
        <v>0.60377358490566035</v>
      </c>
      <c r="P39" s="507">
        <f>IFERROR(VLOOKUP(P12,'Initial CP Conferences'!$B$148:$H$171,7,FALSE),"")</f>
        <v>0.68804664723032072</v>
      </c>
      <c r="Q39" s="507">
        <f>IFERROR(VLOOKUP(Q12,'Initial CP Conferences'!$B$148:$H$171,7,FALSE),"")</f>
        <v>0.92427184466019419</v>
      </c>
      <c r="R39" s="507">
        <f>IFERROR(VLOOKUP(R12,'Initial CP Conferences'!$B$148:$H$171,7,FALSE),"")</f>
        <v>0.71189979123173275</v>
      </c>
      <c r="S39" s="507">
        <f>IFERROR(VLOOKUP(S12,'Initial CP Conferences'!$B$148:$H$171,7,FALSE),"")</f>
        <v>0.77903118779031189</v>
      </c>
      <c r="T39" s="507">
        <f>IFERROR(VLOOKUP(T12,'Initial CP Conferences'!$B$148:$H$171,7,FALSE),"")</f>
        <v>0.68484848484848482</v>
      </c>
      <c r="U39" s="507">
        <f>IFERROR(VLOOKUP(U12,'Initial CP Conferences'!$B$148:$H$171,7,FALSE),"")</f>
        <v>0.73289902280130292</v>
      </c>
      <c r="V39" s="507">
        <f>IFERROR(VLOOKUP(V12,'Initial CP Conferences'!$B$148:$H$171,7,FALSE),"")</f>
        <v>0.96138996138996136</v>
      </c>
      <c r="W39" s="507">
        <f>IFERROR(VLOOKUP(W12,'Initial CP Conferences'!$B$148:$H$171,7,FALSE),"")</f>
        <v>0.69450800915331812</v>
      </c>
      <c r="X39" s="507">
        <f>IFERROR(VLOOKUP(X12,'Initial CP Conferences'!$B$148:$H$171,7,FALSE),"")</f>
        <v>0.64462809917355368</v>
      </c>
      <c r="Y39" s="691">
        <f>IFERROR(VLOOKUP(Y12,'Initial CP Conferences'!$B$148:$H$171,7,FALSE),"")</f>
        <v>0.65625</v>
      </c>
      <c r="Z39" s="1091">
        <f>IFERROR(VLOOKUP(Z12,'Initial CP Conferences'!$B$148:$H$171,7,FALSE),"")</f>
        <v>0.77226890756302524</v>
      </c>
      <c r="AA39" s="1259">
        <f>IFERROR(VLOOKUP(AA12,'Initial CP Conferences'!$B$148:$H$171,7,FALSE),"")</f>
        <v>0.7870609504132231</v>
      </c>
      <c r="AB39" s="501"/>
      <c r="AC39" s="739"/>
      <c r="AD39" s="502"/>
      <c r="AE39" s="503"/>
      <c r="AF39" s="503"/>
      <c r="AG39" s="503"/>
      <c r="AH39" s="503"/>
      <c r="AI39" s="503"/>
      <c r="AJ39" s="503"/>
      <c r="AK39" s="503"/>
      <c r="AL39" s="503"/>
      <c r="AM39" s="503"/>
      <c r="AN39" s="503"/>
      <c r="AO39" s="503"/>
      <c r="AP39" s="503"/>
      <c r="AQ39" s="503"/>
      <c r="AR39" s="503"/>
      <c r="AS39" s="503"/>
      <c r="AT39" s="503"/>
      <c r="AU39" s="503"/>
      <c r="AV39" s="503"/>
      <c r="AW39" s="503"/>
      <c r="AX39" s="503"/>
      <c r="AY39" s="503"/>
      <c r="AZ39" s="503"/>
      <c r="BA39" s="503"/>
      <c r="BB39" s="444">
        <f t="shared" si="1"/>
        <v>28</v>
      </c>
    </row>
    <row r="40" spans="1:54" s="444" customFormat="1" ht="21.75" customHeight="1" x14ac:dyDescent="0.2">
      <c r="A40" s="1334" t="s">
        <v>220</v>
      </c>
      <c r="B40" s="1335"/>
      <c r="C40" s="1335"/>
      <c r="D40" s="1335"/>
      <c r="E40" s="1335"/>
      <c r="F40" s="1335"/>
      <c r="G40" s="1335"/>
      <c r="H40" s="1335"/>
      <c r="I40" s="1335"/>
      <c r="J40" s="1335"/>
      <c r="K40" s="1335"/>
      <c r="L40" s="1335"/>
      <c r="M40" s="1335"/>
      <c r="N40" s="1335"/>
      <c r="O40" s="1335"/>
      <c r="P40" s="1335"/>
      <c r="Q40" s="1335"/>
      <c r="R40" s="1335"/>
      <c r="S40" s="1335"/>
      <c r="T40" s="1335"/>
      <c r="U40" s="1335"/>
      <c r="V40" s="1335"/>
      <c r="W40" s="1335"/>
      <c r="X40" s="1335"/>
      <c r="Y40" s="1335"/>
      <c r="Z40" s="1335"/>
      <c r="AA40" s="1335"/>
      <c r="AB40" s="1336"/>
      <c r="AC40" s="740"/>
      <c r="AD40" s="502"/>
      <c r="AE40" s="503"/>
      <c r="AF40" s="503"/>
      <c r="AG40" s="503"/>
      <c r="AH40" s="503"/>
      <c r="AI40" s="503"/>
      <c r="AJ40" s="503"/>
      <c r="AK40" s="503"/>
      <c r="AL40" s="503"/>
      <c r="AM40" s="503"/>
      <c r="AN40" s="503"/>
      <c r="AO40" s="503"/>
      <c r="AP40" s="503"/>
      <c r="AQ40" s="503"/>
      <c r="AR40" s="503"/>
      <c r="AS40" s="503"/>
      <c r="AT40" s="503"/>
      <c r="AU40" s="503"/>
      <c r="AV40" s="503"/>
      <c r="AW40" s="503"/>
      <c r="AX40" s="503"/>
      <c r="AY40" s="503"/>
      <c r="AZ40" s="503"/>
      <c r="BA40" s="503"/>
      <c r="BB40" s="444">
        <f t="shared" si="0"/>
        <v>29</v>
      </c>
    </row>
    <row r="41" spans="1:54" s="444" customFormat="1" ht="11.25" customHeight="1" thickBot="1" x14ac:dyDescent="0.25">
      <c r="A41" s="638"/>
      <c r="B41" s="639"/>
      <c r="C41" s="640"/>
      <c r="D41" s="641"/>
      <c r="E41" s="641"/>
      <c r="F41" s="641"/>
      <c r="G41" s="641"/>
      <c r="H41" s="641"/>
      <c r="I41" s="641"/>
      <c r="J41" s="641"/>
      <c r="K41" s="641"/>
      <c r="L41" s="641"/>
      <c r="M41" s="641"/>
      <c r="N41" s="641"/>
      <c r="O41" s="641"/>
      <c r="P41" s="641"/>
      <c r="Q41" s="641"/>
      <c r="R41" s="641"/>
      <c r="S41" s="641"/>
      <c r="T41" s="641"/>
      <c r="U41" s="641"/>
      <c r="V41" s="641"/>
      <c r="W41" s="641"/>
      <c r="X41" s="641"/>
      <c r="Y41" s="641"/>
      <c r="Z41" s="642"/>
      <c r="AA41" s="642"/>
      <c r="AB41" s="643"/>
      <c r="AC41" s="739"/>
      <c r="AD41" s="502"/>
      <c r="AE41" s="503"/>
      <c r="AF41" s="503"/>
      <c r="AG41" s="503"/>
      <c r="AH41" s="503"/>
      <c r="AI41" s="503"/>
      <c r="AJ41" s="503"/>
      <c r="AK41" s="503"/>
      <c r="AL41" s="503"/>
      <c r="AM41" s="503"/>
      <c r="AN41" s="503"/>
      <c r="AO41" s="503"/>
      <c r="AP41" s="503"/>
      <c r="AQ41" s="503"/>
      <c r="AR41" s="503"/>
      <c r="AS41" s="503"/>
      <c r="AT41" s="503"/>
      <c r="AU41" s="503"/>
      <c r="AV41" s="503"/>
      <c r="AW41" s="503"/>
      <c r="AX41" s="503"/>
      <c r="AY41" s="503"/>
      <c r="AZ41" s="503"/>
      <c r="BA41" s="503"/>
      <c r="BB41" s="444">
        <f t="shared" si="0"/>
        <v>30</v>
      </c>
    </row>
    <row r="42" spans="1:54" s="497" customFormat="1" ht="57.75" customHeight="1" x14ac:dyDescent="0.2">
      <c r="A42" s="493"/>
      <c r="B42" s="1337" t="s">
        <v>659</v>
      </c>
      <c r="C42" s="1337"/>
      <c r="D42" s="1338" t="s">
        <v>0</v>
      </c>
      <c r="E42" s="1332" t="s">
        <v>31</v>
      </c>
      <c r="F42" s="1332" t="s">
        <v>8</v>
      </c>
      <c r="G42" s="1332" t="s">
        <v>4</v>
      </c>
      <c r="H42" s="1332" t="s">
        <v>6</v>
      </c>
      <c r="I42" s="1332" t="s">
        <v>1</v>
      </c>
      <c r="J42" s="1332" t="s">
        <v>9</v>
      </c>
      <c r="K42" s="1332" t="s">
        <v>2</v>
      </c>
      <c r="L42" s="1332" t="s">
        <v>10</v>
      </c>
      <c r="M42" s="1332" t="s">
        <v>11</v>
      </c>
      <c r="N42" s="1332" t="s">
        <v>12</v>
      </c>
      <c r="O42" s="1332" t="s">
        <v>3</v>
      </c>
      <c r="P42" s="1332" t="s">
        <v>13</v>
      </c>
      <c r="Q42" s="1332" t="s">
        <v>93</v>
      </c>
      <c r="R42" s="1332" t="s">
        <v>14</v>
      </c>
      <c r="S42" s="1332" t="s">
        <v>7</v>
      </c>
      <c r="T42" s="1332" t="s">
        <v>114</v>
      </c>
      <c r="U42" s="1332" t="s">
        <v>115</v>
      </c>
      <c r="V42" s="1332" t="s">
        <v>15</v>
      </c>
      <c r="W42" s="1332" t="s">
        <v>5</v>
      </c>
      <c r="X42" s="1332" t="s">
        <v>30</v>
      </c>
      <c r="Y42" s="1358" t="s">
        <v>16</v>
      </c>
      <c r="Z42" s="1340" t="s">
        <v>74</v>
      </c>
      <c r="AA42" s="1342" t="s">
        <v>126</v>
      </c>
      <c r="AB42" s="494"/>
      <c r="AC42" s="738"/>
      <c r="AD42" s="495"/>
      <c r="AE42" s="496" t="s">
        <v>195</v>
      </c>
      <c r="AF42" s="496" t="s">
        <v>0</v>
      </c>
      <c r="AG42" s="496" t="s">
        <v>31</v>
      </c>
      <c r="AH42" s="496" t="s">
        <v>8</v>
      </c>
      <c r="AI42" s="496" t="s">
        <v>4</v>
      </c>
      <c r="AJ42" s="496" t="s">
        <v>6</v>
      </c>
      <c r="AK42" s="496" t="s">
        <v>1</v>
      </c>
      <c r="AL42" s="496" t="s">
        <v>9</v>
      </c>
      <c r="AM42" s="496" t="s">
        <v>2</v>
      </c>
      <c r="AN42" s="496" t="s">
        <v>10</v>
      </c>
      <c r="AO42" s="496" t="s">
        <v>11</v>
      </c>
      <c r="AP42" s="496" t="s">
        <v>12</v>
      </c>
      <c r="AQ42" s="496" t="s">
        <v>3</v>
      </c>
      <c r="AR42" s="496" t="s">
        <v>13</v>
      </c>
      <c r="AS42" s="496" t="s">
        <v>93</v>
      </c>
      <c r="AT42" s="496" t="s">
        <v>14</v>
      </c>
      <c r="AU42" s="496" t="s">
        <v>7</v>
      </c>
      <c r="AV42" s="496" t="s">
        <v>114</v>
      </c>
      <c r="AW42" s="496" t="s">
        <v>115</v>
      </c>
      <c r="AX42" s="496" t="s">
        <v>15</v>
      </c>
      <c r="AY42" s="496" t="s">
        <v>5</v>
      </c>
      <c r="AZ42" s="496" t="s">
        <v>30</v>
      </c>
      <c r="BA42" s="496" t="s">
        <v>16</v>
      </c>
      <c r="BB42" s="444">
        <f t="shared" si="0"/>
        <v>31</v>
      </c>
    </row>
    <row r="43" spans="1:54" s="497" customFormat="1" ht="11.25" customHeight="1" thickBot="1" x14ac:dyDescent="0.25">
      <c r="A43" s="493"/>
      <c r="B43" s="683" t="s">
        <v>196</v>
      </c>
      <c r="C43" s="683" t="s">
        <v>197</v>
      </c>
      <c r="D43" s="1339"/>
      <c r="E43" s="1333"/>
      <c r="F43" s="1333"/>
      <c r="G43" s="1333"/>
      <c r="H43" s="1333"/>
      <c r="I43" s="1333"/>
      <c r="J43" s="1333"/>
      <c r="K43" s="1333"/>
      <c r="L43" s="1333"/>
      <c r="M43" s="1333"/>
      <c r="N43" s="1333"/>
      <c r="O43" s="1333"/>
      <c r="P43" s="1333"/>
      <c r="Q43" s="1333"/>
      <c r="R43" s="1333"/>
      <c r="S43" s="1333"/>
      <c r="T43" s="1333"/>
      <c r="U43" s="1333"/>
      <c r="V43" s="1333"/>
      <c r="W43" s="1333"/>
      <c r="X43" s="1333"/>
      <c r="Y43" s="1359"/>
      <c r="Z43" s="1341"/>
      <c r="AA43" s="1343"/>
      <c r="AB43" s="494"/>
      <c r="AC43" s="738"/>
      <c r="AD43" s="495"/>
      <c r="AE43" s="496"/>
      <c r="AF43" s="496"/>
      <c r="AG43" s="496"/>
      <c r="AH43" s="496"/>
      <c r="AI43" s="496"/>
      <c r="AJ43" s="496"/>
      <c r="AK43" s="496"/>
      <c r="AL43" s="496"/>
      <c r="AM43" s="496"/>
      <c r="AN43" s="496"/>
      <c r="AO43" s="496"/>
      <c r="AP43" s="496"/>
      <c r="AQ43" s="496"/>
      <c r="AR43" s="496"/>
      <c r="AS43" s="496"/>
      <c r="AT43" s="496"/>
      <c r="AU43" s="496"/>
      <c r="AV43" s="496"/>
      <c r="AW43" s="496"/>
      <c r="AX43" s="496"/>
      <c r="AY43" s="496"/>
      <c r="AZ43" s="496"/>
      <c r="BA43" s="496"/>
      <c r="BB43" s="444">
        <f t="shared" si="0"/>
        <v>32</v>
      </c>
    </row>
    <row r="44" spans="1:54" s="444" customFormat="1" ht="22.5" customHeight="1" x14ac:dyDescent="0.2">
      <c r="A44" s="498"/>
      <c r="B44" s="1344" t="s">
        <v>20</v>
      </c>
      <c r="C44" s="499" t="str">
        <f>"Children subject to a Child Protection Plan at "&amp;Sheet1!$H$3&amp;", Rate per 10,000 0-17 Year Olds"</f>
        <v>Children subject to a Child Protection Plan at 31st March, Rate per 10,000 0-17 Year Olds</v>
      </c>
      <c r="D44" s="687">
        <f>IFERROR(VLOOKUP(D12,'Child Protection Plans'!$B$10:$O$33,14,FALSE),"")</f>
        <v>45.936395759717314</v>
      </c>
      <c r="E44" s="500">
        <f>IFERROR(VLOOKUP(E12,'Child Protection Plans'!$B$10:$O$33,14,FALSE),"")</f>
        <v>61.960784313725483</v>
      </c>
      <c r="F44" s="500">
        <f>IFERROR(VLOOKUP(F12,'Child Protection Plans'!$B$10:$O$33,14,FALSE),"")</f>
        <v>45.213193885760255</v>
      </c>
      <c r="G44" s="500">
        <f>IFERROR(VLOOKUP(G12,'Child Protection Plans'!$B$10:$O$33,14,FALSE),"")</f>
        <v>53.477443609022558</v>
      </c>
      <c r="H44" s="500">
        <f>IFERROR(VLOOKUP(H12,'Child Protection Plans'!$B$10:$O$33,14,FALSE),"")</f>
        <v>38.62676056338028</v>
      </c>
      <c r="I44" s="500">
        <f>IFERROR(VLOOKUP(I12,'Child Protection Plans'!$B$10:$O$33,14,FALSE),"")</f>
        <v>66.265060240963848</v>
      </c>
      <c r="J44" s="500">
        <f>IFERROR(VLOOKUP(J12,'Child Protection Plans'!$B$10:$O$33,14,FALSE),"")</f>
        <v>38.312261099676569</v>
      </c>
      <c r="K44" s="500">
        <f>IFERROR(VLOOKUP(K12,'Child Protection Plans'!$B$10:$O$33,14,FALSE),"")</f>
        <v>55.12422360248447</v>
      </c>
      <c r="L44" s="500">
        <f>IFERROR(VLOOKUP(L12,'Child Protection Plans'!$B$10:$O$33,14,FALSE),"")</f>
        <v>19.912152269399709</v>
      </c>
      <c r="M44" s="500">
        <f>IFERROR(VLOOKUP(M12,'Child Protection Plans'!$B$10:$O$33,14,FALSE),"")</f>
        <v>40.88397790055248</v>
      </c>
      <c r="N44" s="500">
        <f>IFERROR(VLOOKUP(N12,'Child Protection Plans'!$B$10:$O$33,14,FALSE),"")</f>
        <v>44.31818181818182</v>
      </c>
      <c r="O44" s="500">
        <f>IFERROR(VLOOKUP(O12,'Child Protection Plans'!$B$10:$O$33,14,FALSE),"")</f>
        <v>68.733153638814017</v>
      </c>
      <c r="P44" s="500">
        <f>IFERROR(VLOOKUP(P12,'Child Protection Plans'!$B$10:$O$33,14,FALSE),"")</f>
        <v>51.053864168618269</v>
      </c>
      <c r="Q44" s="500">
        <f>IFERROR(VLOOKUP(Q12,'Child Protection Plans'!$B$10:$O$33,14,FALSE),"")</f>
        <v>36.314363143631439</v>
      </c>
      <c r="R44" s="500">
        <f>IFERROR(VLOOKUP(R12,'Child Protection Plans'!$B$10:$O$33,14,FALSE),"")</f>
        <v>60.039370078740156</v>
      </c>
      <c r="S44" s="500">
        <f>IFERROR(VLOOKUP(S12,'Child Protection Plans'!$B$10:$O$33,14,FALSE),"")</f>
        <v>36.617029400534555</v>
      </c>
      <c r="T44" s="500">
        <f>IFERROR(VLOOKUP(T12,'Child Protection Plans'!$B$10:$O$33,14,FALSE),"")</f>
        <v>66.334661354581669</v>
      </c>
      <c r="U44" s="500">
        <f>IFERROR(VLOOKUP(U12,'Child Protection Plans'!$B$10:$O$33,14,FALSE),"")</f>
        <v>70.472440944881896</v>
      </c>
      <c r="V44" s="500">
        <f>IFERROR(VLOOKUP(V12,'Child Protection Plans'!$B$10:$O$33,14,FALSE),"")</f>
        <v>33.146067415730336</v>
      </c>
      <c r="W44" s="500">
        <f>IFERROR(VLOOKUP(W12,'Child Protection Plans'!$B$10:$O$33,14,FALSE),"")</f>
        <v>35.546651402404123</v>
      </c>
      <c r="X44" s="500">
        <f>IFERROR(VLOOKUP(X12,'Child Protection Plans'!$B$10:$O$33,14,FALSE),"")</f>
        <v>26.01156069364162</v>
      </c>
      <c r="Y44" s="688">
        <f>IFERROR(VLOOKUP(Y12,'Child Protection Plans'!$B$10:$O$33,14,FALSE),"")</f>
        <v>32.151898734177216</v>
      </c>
      <c r="Z44" s="1090">
        <f>IFERROR(VLOOKUP(Z12,'Child Protection Plans'!$B$10:$O$33,14,FALSE),"")</f>
        <v>41.432512516603659</v>
      </c>
      <c r="AA44" s="1258">
        <f>IFERROR(VLOOKUP(AA12,'Child Protection Plans'!$B$10:$O$33,14,FALSE),"")</f>
        <v>43.715389891757148</v>
      </c>
      <c r="AB44" s="501"/>
      <c r="AC44" s="739"/>
      <c r="AD44" s="502"/>
      <c r="AE44" s="503"/>
      <c r="AF44" s="503"/>
      <c r="AG44" s="503"/>
      <c r="AH44" s="503"/>
      <c r="AI44" s="503"/>
      <c r="AJ44" s="503"/>
      <c r="AK44" s="503"/>
      <c r="AL44" s="503"/>
      <c r="AM44" s="503"/>
      <c r="AN44" s="503"/>
      <c r="AO44" s="503"/>
      <c r="AP44" s="503"/>
      <c r="AQ44" s="503"/>
      <c r="AR44" s="503"/>
      <c r="AS44" s="503"/>
      <c r="AT44" s="503"/>
      <c r="AU44" s="503"/>
      <c r="AV44" s="503"/>
      <c r="AW44" s="503"/>
      <c r="AX44" s="503"/>
      <c r="AY44" s="503"/>
      <c r="AZ44" s="503"/>
      <c r="BA44" s="503"/>
      <c r="BB44" s="444">
        <f t="shared" si="0"/>
        <v>33</v>
      </c>
    </row>
    <row r="45" spans="1:54" s="444" customFormat="1" ht="23.25" customHeight="1" x14ac:dyDescent="0.2">
      <c r="A45" s="498"/>
      <c r="B45" s="1345"/>
      <c r="C45" s="684" t="s">
        <v>793</v>
      </c>
      <c r="D45" s="698">
        <f>IFERROR(VLOOKUP(D12,'Child Protection Plans'!$B$112:$H$135,7,FALSE),"")</f>
        <v>0</v>
      </c>
      <c r="E45" s="637">
        <f>IFERROR(VLOOKUP(E12,'Child Protection Plans'!$B$112:$H$135,7,FALSE),"")</f>
        <v>3.7974683544303799E-2</v>
      </c>
      <c r="F45" s="637">
        <f>IFERROR(VLOOKUP(F12,'Child Protection Plans'!$B$112:$H$135,7,FALSE),"")</f>
        <v>2.491103202846975E-2</v>
      </c>
      <c r="G45" s="637">
        <f>IFERROR(VLOOKUP(G12,'Child Protection Plans'!$B$112:$H$135,7,FALSE),"")</f>
        <v>4.3936731107205626E-2</v>
      </c>
      <c r="H45" s="637">
        <f>IFERROR(VLOOKUP(H12,'Child Protection Plans'!$B$112:$H$135,7,FALSE),"")</f>
        <v>3.1905195989061073E-2</v>
      </c>
      <c r="I45" s="637" t="str">
        <f>IFERROR(VLOOKUP(I12,'Child Protection Plans'!$B$112:$H$135,7,FALSE),"")</f>
        <v/>
      </c>
      <c r="J45" s="637">
        <f>IFERROR(VLOOKUP(J12,'Child Protection Plans'!$B$112:$H$135,7,FALSE),"")</f>
        <v>2.6093630084420567E-2</v>
      </c>
      <c r="K45" s="637">
        <f>IFERROR(VLOOKUP(K12,'Child Protection Plans'!$B$112:$H$135,7,FALSE),"")</f>
        <v>3.3802816901408447E-2</v>
      </c>
      <c r="L45" s="637" t="str">
        <f>IFERROR(VLOOKUP(L12,'Child Protection Plans'!$B$112:$H$135,7,FALSE),"")</f>
        <v/>
      </c>
      <c r="M45" s="637">
        <f>IFERROR(VLOOKUP(M12,'Child Protection Plans'!$B$112:$H$135,7,FALSE),"")</f>
        <v>6.25E-2</v>
      </c>
      <c r="N45" s="637" t="str">
        <f>IFERROR(VLOOKUP(N12,'Child Protection Plans'!$B$112:$H$135,7,FALSE),"")</f>
        <v/>
      </c>
      <c r="O45" s="637">
        <f>IFERROR(VLOOKUP(O12,'Child Protection Plans'!$B$112:$H$135,7,FALSE),"")</f>
        <v>3.9215686274509803E-2</v>
      </c>
      <c r="P45" s="637" t="str">
        <f>IFERROR(VLOOKUP(P12,'Child Protection Plans'!$B$112:$H$135,7,FALSE),"")</f>
        <v/>
      </c>
      <c r="Q45" s="637">
        <f>IFERROR(VLOOKUP(Q12,'Child Protection Plans'!$B$112:$H$135,7,FALSE),"")</f>
        <v>1.9900497512437811E-2</v>
      </c>
      <c r="R45" s="637" t="str">
        <f>IFERROR(VLOOKUP(R12,'Child Protection Plans'!$B$112:$H$135,7,FALSE),"")</f>
        <v/>
      </c>
      <c r="S45" s="637">
        <f>IFERROR(VLOOKUP(S12,'Child Protection Plans'!$B$112:$H$135,7,FALSE),"")</f>
        <v>1.6684045881126174E-2</v>
      </c>
      <c r="T45" s="637">
        <f>IFERROR(VLOOKUP(T12,'Child Protection Plans'!$B$112:$H$135,7,FALSE),"")</f>
        <v>1.8018018018018018E-2</v>
      </c>
      <c r="U45" s="637">
        <f>IFERROR(VLOOKUP(U12,'Child Protection Plans'!$B$112:$H$135,7,FALSE),"")</f>
        <v>0</v>
      </c>
      <c r="V45" s="637">
        <f>IFERROR(VLOOKUP(V12,'Child Protection Plans'!$B$112:$H$135,7,FALSE),"")</f>
        <v>0</v>
      </c>
      <c r="W45" s="637">
        <f>IFERROR(VLOOKUP(W12,'Child Protection Plans'!$B$112:$H$135,7,FALSE),"")</f>
        <v>3.0595813204508857E-2</v>
      </c>
      <c r="X45" s="637" t="str">
        <f>IFERROR(VLOOKUP(X12,'Child Protection Plans'!$B$112:$H$135,7,FALSE),"")</f>
        <v/>
      </c>
      <c r="Y45" s="699">
        <f>IFERROR(VLOOKUP(Y12,'Child Protection Plans'!$B$112:$H$135,7,FALSE),"")</f>
        <v>0</v>
      </c>
      <c r="Z45" s="1211">
        <f>IFERROR(VLOOKUP(Z12,'Child Protection Plans'!$B$112:$H$135,7,FALSE),"")</f>
        <v>2.8360049321824909E-2</v>
      </c>
      <c r="AA45" s="1265">
        <f>IFERROR(VLOOKUP(AA12,'Child Protection Plans'!$B$112:$H$135,7,FALSE),"")</f>
        <v>2.1431305013394564E-2</v>
      </c>
      <c r="AB45" s="501"/>
      <c r="AC45" s="739"/>
      <c r="AD45" s="502"/>
      <c r="AE45" s="503"/>
      <c r="AF45" s="503"/>
      <c r="AG45" s="503"/>
      <c r="AH45" s="503"/>
      <c r="AI45" s="503"/>
      <c r="AJ45" s="503"/>
      <c r="AK45" s="503"/>
      <c r="AL45" s="503"/>
      <c r="AM45" s="503"/>
      <c r="AN45" s="503"/>
      <c r="AO45" s="503"/>
      <c r="AP45" s="503"/>
      <c r="AQ45" s="503"/>
      <c r="AR45" s="503"/>
      <c r="AS45" s="503"/>
      <c r="AT45" s="503"/>
      <c r="AU45" s="503"/>
      <c r="AV45" s="503"/>
      <c r="AW45" s="503"/>
      <c r="AX45" s="503"/>
      <c r="AY45" s="503"/>
      <c r="AZ45" s="503"/>
      <c r="BA45" s="503"/>
      <c r="BB45" s="444">
        <f t="shared" si="0"/>
        <v>34</v>
      </c>
    </row>
    <row r="46" spans="1:54" s="444" customFormat="1" ht="22.5" customHeight="1" x14ac:dyDescent="0.2">
      <c r="A46" s="498"/>
      <c r="B46" s="1345"/>
      <c r="C46" s="504" t="s">
        <v>217</v>
      </c>
      <c r="D46" s="689">
        <f>IFERROR(VLOOKUP(D12,'Child Protection Plans'!$B$184:$H$207,7,FALSE),"")</f>
        <v>0.97101449275362317</v>
      </c>
      <c r="E46" s="505">
        <f>IFERROR(VLOOKUP(E12,'Child Protection Plans'!$B$184:$H$207,7,FALSE),"")</f>
        <v>0.96356275303643724</v>
      </c>
      <c r="F46" s="505">
        <f>IFERROR(VLOOKUP(F12,'Child Protection Plans'!$B$184:$H$207,7,FALSE),"")</f>
        <v>0.8542199488491049</v>
      </c>
      <c r="G46" s="505">
        <f>IFERROR(VLOOKUP(G12,'Child Protection Plans'!$B$184:$H$207,7,FALSE),"")</f>
        <v>0.95100222717149219</v>
      </c>
      <c r="H46" s="505">
        <f>IFERROR(VLOOKUP(H12,'Child Protection Plans'!$B$184:$H$207,7,FALSE),"")</f>
        <v>0.83475091130012147</v>
      </c>
      <c r="I46" s="505">
        <f>IFERROR(VLOOKUP(I12,'Child Protection Plans'!$B$184:$H$207,7,FALSE),"")</f>
        <v>0.99199999999999999</v>
      </c>
      <c r="J46" s="505">
        <f>IFERROR(VLOOKUP(J12,'Child Protection Plans'!$B$184:$H$207,7,FALSE),"")</f>
        <v>0.99891540130151846</v>
      </c>
      <c r="K46" s="505">
        <f>IFERROR(VLOOKUP(K12,'Child Protection Plans'!$B$184:$H$207,7,FALSE),"")</f>
        <v>0.99170124481327804</v>
      </c>
      <c r="L46" s="505">
        <f>IFERROR(VLOOKUP(L12,'Child Protection Plans'!$B$184:$H$207,7,FALSE),"")</f>
        <v>0.96511627906976749</v>
      </c>
      <c r="M46" s="505">
        <f>IFERROR(VLOOKUP(M12,'Child Protection Plans'!$B$184:$H$207,7,FALSE),"")</f>
        <v>0.92009685230024219</v>
      </c>
      <c r="N46" s="505">
        <f>IFERROR(VLOOKUP(N12,'Child Protection Plans'!$B$184:$H$207,7,FALSE),"")</f>
        <v>1</v>
      </c>
      <c r="O46" s="505">
        <f>IFERROR(VLOOKUP(O12,'Child Protection Plans'!$B$184:$H$207,7,FALSE),"")</f>
        <v>0.77714285714285714</v>
      </c>
      <c r="P46" s="505">
        <f>IFERROR(VLOOKUP(P12,'Child Protection Plans'!$B$184:$H$207,7,FALSE),"")</f>
        <v>0.900709219858156</v>
      </c>
      <c r="Q46" s="505">
        <f>IFERROR(VLOOKUP(Q12,'Child Protection Plans'!$B$184:$H$207,7,FALSE),"")</f>
        <v>0.90073529411764708</v>
      </c>
      <c r="R46" s="505">
        <f>IFERROR(VLOOKUP(R12,'Child Protection Plans'!$B$184:$H$207,7,FALSE),"")</f>
        <v>0.61809045226130654</v>
      </c>
      <c r="S46" s="505">
        <f>IFERROR(VLOOKUP(S12,'Child Protection Plans'!$B$184:$H$207,7,FALSE),"")</f>
        <v>0.88761174968071521</v>
      </c>
      <c r="T46" s="505">
        <f>IFERROR(VLOOKUP(T12,'Child Protection Plans'!$B$184:$H$207,7,FALSE),"")</f>
        <v>0.93207547169811322</v>
      </c>
      <c r="U46" s="505">
        <f>IFERROR(VLOOKUP(U12,'Child Protection Plans'!$B$184:$H$207,7,FALSE),"")</f>
        <v>0.83620689655172409</v>
      </c>
      <c r="V46" s="505">
        <f>IFERROR(VLOOKUP(V12,'Child Protection Plans'!$B$184:$H$207,7,FALSE),"")</f>
        <v>0.98684210526315785</v>
      </c>
      <c r="W46" s="505">
        <f>IFERROR(VLOOKUP(W12,'Child Protection Plans'!$B$184:$H$207,7,FALSE),"")</f>
        <v>0.88167053364269143</v>
      </c>
      <c r="X46" s="505">
        <f>IFERROR(VLOOKUP(X12,'Child Protection Plans'!$B$184:$H$207,7,FALSE),"")</f>
        <v>0.95</v>
      </c>
      <c r="Y46" s="630">
        <f>IFERROR(VLOOKUP(Y12,'Child Protection Plans'!$B$184:$H$207,7,FALSE),"")</f>
        <v>0.94117647058823528</v>
      </c>
      <c r="Z46" s="1092">
        <f>IFERROR(VLOOKUP(Z12,'Child Protection Plans'!$B$184:$H$207,7,FALSE),"")</f>
        <v>0.9078498293515358</v>
      </c>
      <c r="AA46" s="1261">
        <f>IFERROR(VLOOKUP(AA12,'Child Protection Plans'!$B$184:$H$207,7,FALSE),"")</f>
        <v>0.91762721394433511</v>
      </c>
      <c r="AB46" s="501"/>
      <c r="AC46" s="739"/>
      <c r="AD46" s="502"/>
      <c r="AE46" s="503"/>
      <c r="AF46" s="503"/>
      <c r="AG46" s="503"/>
      <c r="AH46" s="503"/>
      <c r="AI46" s="503"/>
      <c r="AJ46" s="503"/>
      <c r="AK46" s="503"/>
      <c r="AL46" s="503"/>
      <c r="AM46" s="503"/>
      <c r="AN46" s="503"/>
      <c r="AO46" s="503"/>
      <c r="AP46" s="503"/>
      <c r="AQ46" s="503"/>
      <c r="AR46" s="503"/>
      <c r="AS46" s="503"/>
      <c r="AT46" s="503"/>
      <c r="AU46" s="503"/>
      <c r="AV46" s="503"/>
      <c r="AW46" s="503"/>
      <c r="AX46" s="503"/>
      <c r="AY46" s="503"/>
      <c r="AZ46" s="503"/>
      <c r="BA46" s="503"/>
      <c r="BB46" s="444">
        <f t="shared" si="0"/>
        <v>35</v>
      </c>
    </row>
    <row r="47" spans="1:54" s="444" customFormat="1" ht="22.5" customHeight="1" x14ac:dyDescent="0.2">
      <c r="A47" s="498"/>
      <c r="B47" s="1345"/>
      <c r="C47" s="504" t="s">
        <v>218</v>
      </c>
      <c r="D47" s="689" t="str">
        <f>IFERROR(VLOOKUP(D12,'Child Protection Plans'!$B$220:$H$243,7,FALSE),"")</f>
        <v/>
      </c>
      <c r="E47" s="505">
        <f>IFERROR(VLOOKUP(E12,'Child Protection Plans'!$B$220:$H$243,7,FALSE),"")</f>
        <v>5.1980198019801978E-2</v>
      </c>
      <c r="F47" s="505">
        <f>IFERROR(VLOOKUP(F12,'Child Protection Plans'!$B$220:$H$243,7,FALSE),"")</f>
        <v>3.1088082901554404E-2</v>
      </c>
      <c r="G47" s="505">
        <f>IFERROR(VLOOKUP(G12,'Child Protection Plans'!$B$220:$H$243,7,FALSE),"")</f>
        <v>7.2580645161290328E-2</v>
      </c>
      <c r="H47" s="505">
        <f>IFERROR(VLOOKUP(H12,'Child Protection Plans'!$B$220:$H$243,7,FALSE),"")</f>
        <v>4.3738765727980827E-2</v>
      </c>
      <c r="I47" s="505">
        <f>IFERROR(VLOOKUP(I12,'Child Protection Plans'!$B$220:$H$243,7,FALSE),"")</f>
        <v>5.2401746724890827E-2</v>
      </c>
      <c r="J47" s="505">
        <f>IFERROR(VLOOKUP(J12,'Child Protection Plans'!$B$220:$H$243,7,FALSE),"")</f>
        <v>5.7124518613607192E-2</v>
      </c>
      <c r="K47" s="505">
        <f>IFERROR(VLOOKUP(K12,'Child Protection Plans'!$B$220:$H$243,7,FALSE),"")</f>
        <v>7.2052401746724892E-2</v>
      </c>
      <c r="L47" s="505" t="str">
        <f>IFERROR(VLOOKUP(L12,'Child Protection Plans'!$B$220:$H$243,7,FALSE),"")</f>
        <v/>
      </c>
      <c r="M47" s="505">
        <f>IFERROR(VLOOKUP(M12,'Child Protection Plans'!$B$220:$H$243,7,FALSE),"")</f>
        <v>6.7938021454112041E-2</v>
      </c>
      <c r="N47" s="505">
        <f>IFERROR(VLOOKUP(N12,'Child Protection Plans'!$B$220:$H$243,7,FALSE),"")</f>
        <v>5.8139534883720929E-2</v>
      </c>
      <c r="O47" s="505">
        <f>IFERROR(VLOOKUP(O12,'Child Protection Plans'!$B$220:$H$243,7,FALSE),"")</f>
        <v>3.7735849056603772E-2</v>
      </c>
      <c r="P47" s="505" t="str">
        <f>IFERROR(VLOOKUP(P12,'Child Protection Plans'!$B$220:$H$243,7,FALSE),"")</f>
        <v/>
      </c>
      <c r="Q47" s="505">
        <f>IFERROR(VLOOKUP(Q12,'Child Protection Plans'!$B$220:$H$243,7,FALSE),"")</f>
        <v>4.1257367387033402E-2</v>
      </c>
      <c r="R47" s="505">
        <f>IFERROR(VLOOKUP(R12,'Child Protection Plans'!$B$220:$H$243,7,FALSE),"")</f>
        <v>1.7199017199017199E-2</v>
      </c>
      <c r="S47" s="505">
        <f>IFERROR(VLOOKUP(S12,'Child Protection Plans'!$B$220:$H$243,7,FALSE),"")</f>
        <v>4.5183290707587385E-2</v>
      </c>
      <c r="T47" s="505">
        <f>IFERROR(VLOOKUP(T12,'Child Protection Plans'!$B$220:$H$243,7,FALSE),"")</f>
        <v>4.2410714285714288E-2</v>
      </c>
      <c r="U47" s="505" t="str">
        <f>IFERROR(VLOOKUP(U12,'Child Protection Plans'!$B$220:$H$243,7,FALSE),"")</f>
        <v/>
      </c>
      <c r="V47" s="505" t="str">
        <f>IFERROR(VLOOKUP(V12,'Child Protection Plans'!$B$220:$H$243,7,FALSE),"")</f>
        <v/>
      </c>
      <c r="W47" s="505">
        <f>IFERROR(VLOOKUP(W12,'Child Protection Plans'!$B$220:$H$243,7,FALSE),"")</f>
        <v>3.2596041909196738E-2</v>
      </c>
      <c r="X47" s="505" t="str">
        <f>IFERROR(VLOOKUP(X12,'Child Protection Plans'!$B$220:$H$243,7,FALSE),"")</f>
        <v/>
      </c>
      <c r="Y47" s="630">
        <f>IFERROR(VLOOKUP(Y12,'Child Protection Plans'!$B$220:$H$243,7,FALSE),"")</f>
        <v>4.1025641025641026E-2</v>
      </c>
      <c r="Z47" s="1092">
        <f>IFERROR(VLOOKUP(Z12,'Child Protection Plans'!$B$220:$H$243,7,FALSE),"")</f>
        <v>4.6425255338904362E-2</v>
      </c>
      <c r="AA47" s="1261">
        <f>IFERROR(VLOOKUP(AA12,'Child Protection Plans'!$B$220:$H$243,7,FALSE),"")</f>
        <v>3.3426594021499043E-2</v>
      </c>
      <c r="AB47" s="501"/>
      <c r="AC47" s="739"/>
      <c r="AD47" s="502"/>
      <c r="AE47" s="503"/>
      <c r="AF47" s="503"/>
      <c r="AG47" s="503"/>
      <c r="AH47" s="503"/>
      <c r="AI47" s="503"/>
      <c r="AJ47" s="503"/>
      <c r="AK47" s="503"/>
      <c r="AL47" s="503"/>
      <c r="AM47" s="503"/>
      <c r="AN47" s="503"/>
      <c r="AO47" s="503"/>
      <c r="AP47" s="503"/>
      <c r="AQ47" s="503"/>
      <c r="AR47" s="503"/>
      <c r="AS47" s="503"/>
      <c r="AT47" s="503"/>
      <c r="AU47" s="503"/>
      <c r="AV47" s="503"/>
      <c r="AW47" s="503"/>
      <c r="AX47" s="503"/>
      <c r="AY47" s="503"/>
      <c r="AZ47" s="503"/>
      <c r="BA47" s="503"/>
      <c r="BB47" s="444">
        <f t="shared" si="0"/>
        <v>36</v>
      </c>
    </row>
    <row r="48" spans="1:54" s="444" customFormat="1" ht="22.5" customHeight="1" thickBot="1" x14ac:dyDescent="0.25">
      <c r="A48" s="498"/>
      <c r="B48" s="1345"/>
      <c r="C48" s="504" t="str">
        <f>"% of children who became the subject of a CP Plan for a second or subsequent time (CP Plans started in "&amp;Sheet1!$G$3&amp;")"</f>
        <v>% of children who became the subject of a CP Plan for a second or subsequent time (CP Plans started in Year ending 31st March)</v>
      </c>
      <c r="D48" s="689">
        <f>IFERROR(VLOOKUP(D12,'Child Protection Plans'!$B$256:$H$279,7,FALSE),"")</f>
        <v>0.23529411764705882</v>
      </c>
      <c r="E48" s="505">
        <f>IFERROR(VLOOKUP(E12,'Child Protection Plans'!$B$256:$H$279,7,FALSE),"")</f>
        <v>0.27692307692307694</v>
      </c>
      <c r="F48" s="505">
        <f>IFERROR(VLOOKUP(F12,'Child Protection Plans'!$B$256:$H$279,7,FALSE),"")</f>
        <v>0.20114942528735633</v>
      </c>
      <c r="G48" s="505">
        <f>IFERROR(VLOOKUP(G12,'Child Protection Plans'!$B$256:$H$279,7,FALSE),"")</f>
        <v>0.21870047543581617</v>
      </c>
      <c r="H48" s="505">
        <f>IFERROR(VLOOKUP(H12,'Child Protection Plans'!$B$256:$H$279,7,FALSE),"")</f>
        <v>0.21476964769647697</v>
      </c>
      <c r="I48" s="505">
        <f>IFERROR(VLOOKUP(I12,'Child Protection Plans'!$B$256:$H$279,7,FALSE),"")</f>
        <v>0.21782178217821782</v>
      </c>
      <c r="J48" s="505">
        <f>IFERROR(VLOOKUP(J12,'Child Protection Plans'!$B$256:$H$279,7,FALSE),"")</f>
        <v>0.19088319088319089</v>
      </c>
      <c r="K48" s="505">
        <f>IFERROR(VLOOKUP(K12,'Child Protection Plans'!$B$256:$H$279,7,FALSE),"")</f>
        <v>0.17484008528784648</v>
      </c>
      <c r="L48" s="505">
        <f>IFERROR(VLOOKUP(L12,'Child Protection Plans'!$B$256:$H$279,7,FALSE),"")</f>
        <v>0.13861386138613863</v>
      </c>
      <c r="M48" s="505">
        <f>IFERROR(VLOOKUP(M12,'Child Protection Plans'!$B$256:$H$279,7,FALSE),"")</f>
        <v>0.21908602150537634</v>
      </c>
      <c r="N48" s="505">
        <f>IFERROR(VLOOKUP(N12,'Child Protection Plans'!$B$256:$H$279,7,FALSE),"")</f>
        <v>0.19762845849802371</v>
      </c>
      <c r="O48" s="505">
        <f>IFERROR(VLOOKUP(O12,'Child Protection Plans'!$B$256:$H$279,7,FALSE),"")</f>
        <v>0.28700906344410876</v>
      </c>
      <c r="P48" s="505">
        <f>IFERROR(VLOOKUP(P12,'Child Protection Plans'!$B$256:$H$279,7,FALSE),"")</f>
        <v>0.20532319391634982</v>
      </c>
      <c r="Q48" s="505">
        <f>IFERROR(VLOOKUP(Q12,'Child Protection Plans'!$B$256:$H$279,7,FALSE),"")</f>
        <v>0.20289855072463769</v>
      </c>
      <c r="R48" s="505">
        <f>IFERROR(VLOOKUP(R12,'Child Protection Plans'!$B$256:$H$279,7,FALSE),"")</f>
        <v>0.20104438642297651</v>
      </c>
      <c r="S48" s="505">
        <f>IFERROR(VLOOKUP(S12,'Child Protection Plans'!$B$256:$H$279,7,FALSE),"")</f>
        <v>0.21919014084507044</v>
      </c>
      <c r="T48" s="505">
        <f>IFERROR(VLOOKUP(T12,'Child Protection Plans'!$B$256:$H$279,7,FALSE),"")</f>
        <v>0.12142857142857143</v>
      </c>
      <c r="U48" s="505">
        <f>IFERROR(VLOOKUP(U12,'Child Protection Plans'!$B$256:$H$279,7,FALSE),"")</f>
        <v>0.3155737704918033</v>
      </c>
      <c r="V48" s="505">
        <f>IFERROR(VLOOKUP(V12,'Child Protection Plans'!$B$256:$H$279,7,FALSE),"")</f>
        <v>0.24752475247524752</v>
      </c>
      <c r="W48" s="505">
        <f>IFERROR(VLOOKUP(W12,'Child Protection Plans'!$B$256:$H$279,7,FALSE),"")</f>
        <v>0.22481572481572482</v>
      </c>
      <c r="X48" s="505">
        <f>IFERROR(VLOOKUP(X12,'Child Protection Plans'!$B$256:$H$279,7,FALSE),"")</f>
        <v>0.11956521739130435</v>
      </c>
      <c r="Y48" s="630">
        <f>IFERROR(VLOOKUP(Y12,'Child Protection Plans'!$B$256:$H$279,7,FALSE),"")</f>
        <v>0.14795918367346939</v>
      </c>
      <c r="Z48" s="1092">
        <f>IFERROR(VLOOKUP(Z12,'Child Protection Plans'!$B$256:$H$279,7,FALSE),"")</f>
        <v>0.21078921078921078</v>
      </c>
      <c r="AA48" s="1261">
        <f>IFERROR(VLOOKUP(AA12,'Child Protection Plans'!$B$256:$H$279,7,FALSE),"")</f>
        <v>0.20785842831433712</v>
      </c>
      <c r="AB48" s="501"/>
      <c r="AC48" s="739"/>
      <c r="AD48" s="502"/>
      <c r="AE48" s="503"/>
      <c r="AF48" s="503"/>
      <c r="AG48" s="503"/>
      <c r="AH48" s="503"/>
      <c r="AI48" s="503"/>
      <c r="AJ48" s="503"/>
      <c r="AK48" s="503"/>
      <c r="AL48" s="503"/>
      <c r="AM48" s="503"/>
      <c r="AN48" s="503"/>
      <c r="AO48" s="503"/>
      <c r="AP48" s="503"/>
      <c r="AQ48" s="503"/>
      <c r="AR48" s="503"/>
      <c r="AS48" s="503"/>
      <c r="AT48" s="503"/>
      <c r="AU48" s="503"/>
      <c r="AV48" s="503"/>
      <c r="AW48" s="503"/>
      <c r="AX48" s="503"/>
      <c r="AY48" s="503"/>
      <c r="AZ48" s="503"/>
      <c r="BA48" s="503"/>
      <c r="BB48" s="444">
        <f t="shared" si="0"/>
        <v>37</v>
      </c>
    </row>
    <row r="49" spans="1:54" s="444" customFormat="1" ht="22.5" customHeight="1" x14ac:dyDescent="0.2">
      <c r="A49" s="498"/>
      <c r="B49" s="1349" t="s">
        <v>26</v>
      </c>
      <c r="C49" s="1074" t="str">
        <f>"Number of Care Applications to Court during the "&amp;Sheet1!$G$3&amp;", Rate per 10,000 0-17 Year Olds"</f>
        <v>Number of Care Applications to Court during the Year ending 31st March, Rate per 10,000 0-17 Year Olds</v>
      </c>
      <c r="D49" s="1076">
        <f>IFERROR(VLOOKUP(D12,'Court Applications'!$B$10:$O$33,14,FALSE),"")</f>
        <v>14.840989399293287</v>
      </c>
      <c r="E49" s="1077">
        <f>IFERROR(VLOOKUP(E12,'Court Applications'!$B$10:$O$33,14,FALSE),"")</f>
        <v>11.96078431372549</v>
      </c>
      <c r="F49" s="1077">
        <f>IFERROR(VLOOKUP(F12,'Court Applications'!$B$10:$O$33,14,FALSE),"")</f>
        <v>8.3668543845534984</v>
      </c>
      <c r="G49" s="1077">
        <f>IFERROR(VLOOKUP(G12,'Court Applications'!$B$10:$O$33,14,FALSE),"")</f>
        <v>7.7067669172932334</v>
      </c>
      <c r="H49" s="1077">
        <f>IFERROR(VLOOKUP(H12,'Court Applications'!$B$10:$O$33,14,FALSE),"")</f>
        <v>9.295774647887324</v>
      </c>
      <c r="I49" s="1077">
        <f>IFERROR(VLOOKUP(I12,'Court Applications'!$B$10:$O$33,14,FALSE),"")</f>
        <v>16.064257028112451</v>
      </c>
      <c r="J49" s="1077">
        <f>IFERROR(VLOOKUP(J12,'Court Applications'!$B$10:$O$33,14,FALSE),"")</f>
        <v>7.0567480152896209</v>
      </c>
      <c r="K49" s="1077">
        <f>IFERROR(VLOOKUP(K12,'Court Applications'!$B$10:$O$33,14,FALSE),"")</f>
        <v>11.180124223602483</v>
      </c>
      <c r="L49" s="1077">
        <f>IFERROR(VLOOKUP(L12,'Court Applications'!$B$10:$O$33,14,FALSE),"")</f>
        <v>10.395314787701318</v>
      </c>
      <c r="M49" s="1077">
        <f>IFERROR(VLOOKUP(M12,'Court Applications'!$B$10:$O$33,14,FALSE),"")</f>
        <v>10.911602209944752</v>
      </c>
      <c r="N49" s="1077">
        <f>IFERROR(VLOOKUP(N12,'Court Applications'!$B$10:$O$33,14,FALSE),"")</f>
        <v>15.454545454545453</v>
      </c>
      <c r="O49" s="1077">
        <f>IFERROR(VLOOKUP(O12,'Court Applications'!$B$10:$O$33,14,FALSE),"")</f>
        <v>19.676549865229113</v>
      </c>
      <c r="P49" s="1077">
        <f>IFERROR(VLOOKUP(P12,'Court Applications'!$B$10:$O$33,14,FALSE),"")</f>
        <v>12.646370023419204</v>
      </c>
      <c r="Q49" s="1077">
        <f>IFERROR(VLOOKUP(Q12,'Court Applications'!$B$10:$O$33,14,FALSE),"")</f>
        <v>10.659439927732612</v>
      </c>
      <c r="R49" s="1077">
        <f>IFERROR(VLOOKUP(R12,'Court Applications'!$B$10:$O$33,14,FALSE),"")</f>
        <v>15.748031496062993</v>
      </c>
      <c r="S49" s="1077">
        <f>IFERROR(VLOOKUP(S12,'Court Applications'!$B$10:$O$33,14,FALSE),"")</f>
        <v>7.5219549446353575</v>
      </c>
      <c r="T49" s="1077">
        <f>IFERROR(VLOOKUP(T12,'Court Applications'!$B$10:$O$33,14,FALSE),"")</f>
        <v>14.541832669322709</v>
      </c>
      <c r="U49" s="1077">
        <f>IFERROR(VLOOKUP(U12,'Court Applications'!$B$10:$O$33,14,FALSE),"")</f>
        <v>24.803149606299211</v>
      </c>
      <c r="V49" s="1077">
        <f>IFERROR(VLOOKUP(V12,'Court Applications'!$B$10:$O$33,14,FALSE),"")</f>
        <v>9.2696629213483153</v>
      </c>
      <c r="W49" s="1077">
        <f>IFERROR(VLOOKUP(W12,'Court Applications'!$B$10:$O$33,14,FALSE),"")</f>
        <v>8.5289066971951915</v>
      </c>
      <c r="X49" s="1077">
        <f>IFERROR(VLOOKUP(X12,'Court Applications'!$B$10:$O$33,14,FALSE),"")</f>
        <v>6.6473988439306355</v>
      </c>
      <c r="Y49" s="1078">
        <f>IFERROR(VLOOKUP(Y12,'Court Applications'!$B$10:$O$33,14,FALSE),"")</f>
        <v>6.8354430379746836</v>
      </c>
      <c r="Z49" s="1097">
        <f>IFERROR(VLOOKUP(Z12,'Court Applications'!$B$10:$O$33,14,FALSE),"")</f>
        <v>9.390007152344948</v>
      </c>
      <c r="AA49" s="1079">
        <f>IFERROR(VLOOKUP(AA12,'Court Applications'!$B$10:$O$33,14,FALSE),"")</f>
        <v>11.339568032389206</v>
      </c>
      <c r="AB49" s="501"/>
      <c r="AC49" s="739"/>
      <c r="AD49" s="502"/>
      <c r="AE49" s="503"/>
      <c r="AF49" s="503"/>
      <c r="AG49" s="503"/>
      <c r="AH49" s="503"/>
      <c r="AI49" s="503"/>
      <c r="AJ49" s="503"/>
      <c r="AK49" s="503"/>
      <c r="AL49" s="503"/>
      <c r="AM49" s="503"/>
      <c r="AN49" s="503"/>
      <c r="AO49" s="503"/>
      <c r="AP49" s="503"/>
      <c r="AQ49" s="503"/>
      <c r="AR49" s="503"/>
      <c r="AS49" s="503"/>
      <c r="AT49" s="503"/>
      <c r="AU49" s="503"/>
      <c r="AV49" s="503"/>
      <c r="AW49" s="503"/>
      <c r="AX49" s="503"/>
      <c r="AY49" s="503"/>
      <c r="AZ49" s="503"/>
      <c r="BA49" s="503"/>
      <c r="BB49" s="444">
        <f t="shared" si="0"/>
        <v>38</v>
      </c>
    </row>
    <row r="50" spans="1:54" s="444" customFormat="1" ht="23.25" customHeight="1" thickBot="1" x14ac:dyDescent="0.25">
      <c r="A50" s="498"/>
      <c r="B50" s="1350"/>
      <c r="C50" s="1075" t="str">
        <f>"Number of Children subject to Care Applications to Court during the "&amp;Sheet1!$G$3&amp;", Rate per 10,000 0-17 Year Olds"</f>
        <v>Number of Children subject to Care Applications to Court during the Year ending 31st March, Rate per 10,000 0-17 Year Olds</v>
      </c>
      <c r="D50" s="697">
        <f>IFERROR(VLOOKUP(D$12,'Court Applications'!$B$116:$O$139,14,FALSE),"")</f>
        <v>25.088339222614842</v>
      </c>
      <c r="E50" s="634">
        <f>IFERROR(VLOOKUP(E$12,'Court Applications'!$B$116:$O$139,14,FALSE),"")</f>
        <v>20.3921568627451</v>
      </c>
      <c r="F50" s="634">
        <f>IFERROR(VLOOKUP(F$12,'Court Applications'!$B$116:$O$139,14,FALSE),"")</f>
        <v>13.435237329042639</v>
      </c>
      <c r="G50" s="634">
        <f>IFERROR(VLOOKUP(G$12,'Court Applications'!$B$116:$O$139,14,FALSE),"")</f>
        <v>11.654135338345865</v>
      </c>
      <c r="H50" s="634">
        <f>IFERROR(VLOOKUP(H$12,'Court Applications'!$B$116:$O$139,14,FALSE),"")</f>
        <v>15.457746478873238</v>
      </c>
      <c r="I50" s="634">
        <f>IFERROR(VLOOKUP(I$12,'Court Applications'!$B$116:$O$139,14,FALSE),"")</f>
        <v>24.899598393574298</v>
      </c>
      <c r="J50" s="634">
        <f>IFERROR(VLOOKUP(J$12,'Court Applications'!$B$116:$O$139,14,FALSE),"")</f>
        <v>11.114378124081153</v>
      </c>
      <c r="K50" s="634">
        <f>IFERROR(VLOOKUP(K$12,'Court Applications'!$B$116:$O$139,14,FALSE),"")</f>
        <v>18.322981366459629</v>
      </c>
      <c r="L50" s="634">
        <f>IFERROR(VLOOKUP(L$12,'Court Applications'!$B$116:$O$139,14,FALSE),"")</f>
        <v>17.715959004392388</v>
      </c>
      <c r="M50" s="634">
        <f>IFERROR(VLOOKUP(M$12,'Court Applications'!$B$116:$O$139,14,FALSE),"")</f>
        <v>18.439226519337016</v>
      </c>
      <c r="N50" s="634">
        <f>IFERROR(VLOOKUP(N$12,'Court Applications'!$B$116:$O$139,14,FALSE),"")</f>
        <v>24.545454545454543</v>
      </c>
      <c r="O50" s="634">
        <f>IFERROR(VLOOKUP(O$12,'Court Applications'!$B$116:$O$139,14,FALSE),"")</f>
        <v>31.266846361185987</v>
      </c>
      <c r="P50" s="634">
        <f>IFERROR(VLOOKUP(P$12,'Court Applications'!$B$116:$O$139,14,FALSE),"")</f>
        <v>22.716627634660423</v>
      </c>
      <c r="Q50" s="634">
        <f>IFERROR(VLOOKUP(Q$12,'Court Applications'!$B$116:$O$139,14,FALSE),"")</f>
        <v>16.621499548328817</v>
      </c>
      <c r="R50" s="634">
        <f>IFERROR(VLOOKUP(R$12,'Court Applications'!$B$116:$O$139,14,FALSE),"")</f>
        <v>24.409448818897641</v>
      </c>
      <c r="S50" s="634">
        <f>IFERROR(VLOOKUP(S$12,'Court Applications'!$B$116:$O$139,14,FALSE),"")</f>
        <v>12.867506681939672</v>
      </c>
      <c r="T50" s="634">
        <f>IFERROR(VLOOKUP(T$12,'Court Applications'!$B$116:$O$139,14,FALSE),"")</f>
        <v>27.091633466135455</v>
      </c>
      <c r="U50" s="634">
        <f>IFERROR(VLOOKUP(U$12,'Court Applications'!$B$116:$O$139,14,FALSE),"")</f>
        <v>40.15748031496063</v>
      </c>
      <c r="V50" s="634">
        <f>IFERROR(VLOOKUP(V$12,'Court Applications'!$B$116:$O$139,14,FALSE),"")</f>
        <v>13.48314606741573</v>
      </c>
      <c r="W50" s="634">
        <f>IFERROR(VLOOKUP(W$12,'Court Applications'!$B$116:$O$139,14,FALSE),"")</f>
        <v>13.737836290784202</v>
      </c>
      <c r="X50" s="634">
        <f>IFERROR(VLOOKUP(X$12,'Court Applications'!$B$116:$O$139,14,FALSE),"")</f>
        <v>13.294797687861271</v>
      </c>
      <c r="Y50" s="636">
        <f>IFERROR(VLOOKUP(Y$12,'Court Applications'!$B$116:$O$139,14,FALSE),"")</f>
        <v>12.151898734177216</v>
      </c>
      <c r="Z50" s="1098">
        <f>IFERROR(VLOOKUP(Z$12,'Court Applications'!$B$116:$O$139,14,FALSE),"")</f>
        <v>15.402298850574713</v>
      </c>
      <c r="AA50" s="1080">
        <f>IFERROR(VLOOKUP(AA$12,'Court Applications'!$B$116:$O$139,14,FALSE),"")</f>
        <v>18.447292255700734</v>
      </c>
      <c r="AB50" s="501"/>
      <c r="AC50" s="739"/>
      <c r="AD50" s="502"/>
      <c r="AE50" s="503"/>
      <c r="AF50" s="503"/>
      <c r="AG50" s="503"/>
      <c r="AH50" s="503"/>
      <c r="AI50" s="503"/>
      <c r="AJ50" s="503"/>
      <c r="AK50" s="503"/>
      <c r="AL50" s="503"/>
      <c r="AM50" s="503"/>
      <c r="AN50" s="503"/>
      <c r="AO50" s="503"/>
      <c r="AP50" s="503"/>
      <c r="AQ50" s="503"/>
      <c r="AR50" s="503"/>
      <c r="AS50" s="503"/>
      <c r="AT50" s="503"/>
      <c r="AU50" s="503"/>
      <c r="AV50" s="503"/>
      <c r="AW50" s="503"/>
      <c r="AX50" s="503"/>
      <c r="AY50" s="503"/>
      <c r="AZ50" s="503"/>
      <c r="BA50" s="503"/>
      <c r="BB50" s="444">
        <f t="shared" si="0"/>
        <v>39</v>
      </c>
    </row>
    <row r="51" spans="1:54" s="444" customFormat="1" ht="22.5" customHeight="1" x14ac:dyDescent="0.2">
      <c r="A51" s="498"/>
      <c r="B51" s="1344" t="s">
        <v>799</v>
      </c>
      <c r="C51" s="1085" t="str">
        <f>"Children who were Looked After at "&amp;Sheet1!$H$3&amp;", Rate per 10,000 0-17 Year Olds"</f>
        <v>Children who were Looked After at 31st March, Rate per 10,000 0-17 Year Olds</v>
      </c>
      <c r="D51" s="687">
        <f>IFERROR(VLOOKUP(D12,'Looked After Children'!$B$10:$O$33,14,FALSE),"")</f>
        <v>55.830388692579504</v>
      </c>
      <c r="E51" s="500">
        <f>IFERROR(VLOOKUP(E12,'Looked After Children'!$B$10:$O$33,14,FALSE),"")</f>
        <v>76.666666666666657</v>
      </c>
      <c r="F51" s="500">
        <f>IFERROR(VLOOKUP(F12,'Looked After Children'!$B$10:$O$33,14,FALSE),"")</f>
        <v>41.432019308125504</v>
      </c>
      <c r="G51" s="500">
        <f>IFERROR(VLOOKUP(G12,'Looked After Children'!$B$10:$O$33,14,FALSE),"")</f>
        <v>56.390977443609017</v>
      </c>
      <c r="H51" s="500">
        <f>IFERROR(VLOOKUP(H12,'Looked After Children'!$B$10:$O$33,14,FALSE),"")</f>
        <v>58.591549295774648</v>
      </c>
      <c r="I51" s="500">
        <f>IFERROR(VLOOKUP(I12,'Looked After Children'!$B$10:$O$33,14,FALSE),"")</f>
        <v>97.590361445783131</v>
      </c>
      <c r="J51" s="500">
        <f>IFERROR(VLOOKUP(J12,'Looked After Children'!$B$10:$O$33,14,FALSE),"")</f>
        <v>46.75095560129374</v>
      </c>
      <c r="K51" s="500">
        <f>IFERROR(VLOOKUP(K12,'Looked After Children'!$B$10:$O$33,14,FALSE),"")</f>
        <v>65.838509316770185</v>
      </c>
      <c r="L51" s="500">
        <f>IFERROR(VLOOKUP(L12,'Looked After Children'!$B$10:$O$33,14,FALSE),"")</f>
        <v>55.783308931185942</v>
      </c>
      <c r="M51" s="500">
        <f>IFERROR(VLOOKUP(M12,'Looked After Children'!$B$10:$O$33,14,FALSE),"")</f>
        <v>53.798342541436462</v>
      </c>
      <c r="N51" s="500">
        <f>IFERROR(VLOOKUP(N12,'Looked After Children'!$B$10:$O$33,14,FALSE),"")</f>
        <v>110.45454545454545</v>
      </c>
      <c r="O51" s="500">
        <f>IFERROR(VLOOKUP(O12,'Looked After Children'!$B$10:$O$33,14,FALSE),"")</f>
        <v>73.584905660377359</v>
      </c>
      <c r="P51" s="500">
        <f>IFERROR(VLOOKUP(P12,'Looked After Children'!$B$10:$O$33,14,FALSE),"")</f>
        <v>49.882903981264633</v>
      </c>
      <c r="Q51" s="500">
        <f>IFERROR(VLOOKUP(Q12,'Looked After Children'!$B$10:$O$33,14,FALSE),"")</f>
        <v>48.238482384823854</v>
      </c>
      <c r="R51" s="500">
        <f>IFERROR(VLOOKUP(R12,'Looked After Children'!$B$10:$O$33,14,FALSE),"")</f>
        <v>94.685039370078741</v>
      </c>
      <c r="S51" s="500">
        <f>IFERROR(VLOOKUP(S12,'Looked After Children'!$B$10:$O$33,14,FALSE),"")</f>
        <v>37.151584574264987</v>
      </c>
      <c r="T51" s="500">
        <f>IFERROR(VLOOKUP(T12,'Looked After Children'!$B$10:$O$33,14,FALSE),"")</f>
        <v>69.322709163346616</v>
      </c>
      <c r="U51" s="500">
        <f>IFERROR(VLOOKUP(U12,'Looked After Children'!$B$10:$O$33,14,FALSE),"")</f>
        <v>142.51968503937007</v>
      </c>
      <c r="V51" s="500">
        <f>IFERROR(VLOOKUP(V12,'Looked After Children'!$B$10:$O$33,14,FALSE),"")</f>
        <v>48.31460674157303</v>
      </c>
      <c r="W51" s="500">
        <f>IFERROR(VLOOKUP(W12,'Looked After Children'!$B$10:$O$33,14,FALSE),"")</f>
        <v>40.297653119633658</v>
      </c>
      <c r="X51" s="500">
        <f>IFERROR(VLOOKUP(X12,'Looked After Children'!$B$10:$O$33,14,FALSE),"")</f>
        <v>35.838150289017342</v>
      </c>
      <c r="Y51" s="688">
        <f>IFERROR(VLOOKUP(Y12,'Looked After Children'!$B$10:$O$33,14,FALSE),"")</f>
        <v>27.848101265822784</v>
      </c>
      <c r="Z51" s="1090">
        <f>IFERROR(VLOOKUP(Z12,'Looked After Children'!$B$10:$O$33,14,FALSE),"")</f>
        <v>52.518647185041381</v>
      </c>
      <c r="AA51" s="1258">
        <f>IFERROR(VLOOKUP(AA12,'Looked After Children'!$B$10:$O$33,14,FALSE),"")</f>
        <v>65.37232529737507</v>
      </c>
      <c r="AB51" s="501"/>
      <c r="AC51" s="739"/>
      <c r="AD51" s="502"/>
      <c r="AE51" s="503"/>
      <c r="AF51" s="503"/>
      <c r="AG51" s="503"/>
      <c r="AH51" s="503"/>
      <c r="AI51" s="503"/>
      <c r="AJ51" s="503"/>
      <c r="AK51" s="503"/>
      <c r="AL51" s="503"/>
      <c r="AM51" s="503"/>
      <c r="AN51" s="503"/>
      <c r="AO51" s="503"/>
      <c r="AP51" s="503"/>
      <c r="AQ51" s="503"/>
      <c r="AR51" s="503"/>
      <c r="AS51" s="503"/>
      <c r="AT51" s="503"/>
      <c r="AU51" s="503"/>
      <c r="AV51" s="503"/>
      <c r="AW51" s="503"/>
      <c r="AX51" s="503"/>
      <c r="AY51" s="503"/>
      <c r="AZ51" s="503"/>
      <c r="BA51" s="503"/>
      <c r="BB51" s="444">
        <f t="shared" si="0"/>
        <v>40</v>
      </c>
    </row>
    <row r="52" spans="1:54" s="444" customFormat="1" ht="22.5" customHeight="1" x14ac:dyDescent="0.2">
      <c r="A52" s="498"/>
      <c r="B52" s="1345"/>
      <c r="C52" s="1086" t="str">
        <f>"% Children Looked After at "&amp;Sheet1!$H$3&amp;" (age &lt;16) who had been looked after for more than 2.5 years"</f>
        <v>% Children Looked After at 31st March (age &lt;16) who had been looked after for more than 2.5 years</v>
      </c>
      <c r="D52" s="689">
        <f>IFERROR(VLOOKUP(D12,'Looked After Children'!$B$112:$H$135,7,FALSE),"")</f>
        <v>0.31632653061224492</v>
      </c>
      <c r="E52" s="505">
        <f>IFERROR(VLOOKUP(E12,'Looked After Children'!$B$112:$H$135,7,FALSE),"")</f>
        <v>0.41851851851851851</v>
      </c>
      <c r="F52" s="505">
        <f>IFERROR(VLOOKUP(F12,'Looked After Children'!$B$112:$H$135,7,FALSE),"")</f>
        <v>0.45263157894736844</v>
      </c>
      <c r="G52" s="505">
        <f>IFERROR(VLOOKUP(G12,'Looked After Children'!$B$112:$H$135,7,FALSE),"")</f>
        <v>0.45945945945945948</v>
      </c>
      <c r="H52" s="505">
        <f>IFERROR(VLOOKUP(H12,'Looked After Children'!$B$112:$H$135,7,FALSE),"")</f>
        <v>0.42101105845181674</v>
      </c>
      <c r="I52" s="505">
        <f>IFERROR(VLOOKUP(I12,'Looked After Children'!$B$112:$H$135,7,FALSE),"")</f>
        <v>0.46568627450980393</v>
      </c>
      <c r="J52" s="505">
        <f>IFERROR(VLOOKUP(J12,'Looked After Children'!$B$112:$H$135,7,FALSE),"")</f>
        <v>0.52641690682036502</v>
      </c>
      <c r="K52" s="505">
        <f>IFERROR(VLOOKUP(K12,'Looked After Children'!$B$112:$H$135,7,FALSE),"")</f>
        <v>0.50595238095238093</v>
      </c>
      <c r="L52" s="505">
        <f>IFERROR(VLOOKUP(L12,'Looked After Children'!$B$112:$H$135,7,FALSE),"")</f>
        <v>0.47468354430379744</v>
      </c>
      <c r="M52" s="505">
        <f>IFERROR(VLOOKUP(M12,'Looked After Children'!$B$112:$H$135,7,FALSE),"")</f>
        <v>0.32586206896551723</v>
      </c>
      <c r="N52" s="505">
        <f>IFERROR(VLOOKUP(N12,'Looked After Children'!$B$112:$H$135,7,FALSE),"")</f>
        <v>0.38109756097560976</v>
      </c>
      <c r="O52" s="505">
        <f>IFERROR(VLOOKUP(O12,'Looked After Children'!$B$112:$H$135,7,FALSE),"")</f>
        <v>0.43891402714932126</v>
      </c>
      <c r="P52" s="505">
        <f>IFERROR(VLOOKUP(P12,'Looked After Children'!$B$112:$H$135,7,FALSE),"")</f>
        <v>0.32926829268292684</v>
      </c>
      <c r="Q52" s="505">
        <f>IFERROR(VLOOKUP(Q12,'Looked After Children'!$B$112:$H$135,7,FALSE),"")</f>
        <v>0.40404040404040403</v>
      </c>
      <c r="R52" s="505">
        <f>IFERROR(VLOOKUP(R12,'Looked After Children'!$B$112:$H$135,7,FALSE),"")</f>
        <v>0.57457212713936434</v>
      </c>
      <c r="S52" s="505">
        <f>IFERROR(VLOOKUP(S12,'Looked After Children'!$B$112:$H$135,7,FALSE),"")</f>
        <v>0.36764705882352944</v>
      </c>
      <c r="T52" s="505">
        <f>IFERROR(VLOOKUP(T12,'Looked After Children'!$B$112:$H$135,7,FALSE),"")</f>
        <v>0.4140625</v>
      </c>
      <c r="U52" s="505">
        <f>IFERROR(VLOOKUP(U12,'Looked After Children'!$B$112:$H$135,7,FALSE),"")</f>
        <v>0.43288590604026844</v>
      </c>
      <c r="V52" s="505">
        <f>IFERROR(VLOOKUP(V12,'Looked After Children'!$B$112:$H$135,7,FALSE),"")</f>
        <v>0.47169811320754718</v>
      </c>
      <c r="W52" s="505">
        <f>IFERROR(VLOOKUP(W12,'Looked After Children'!$B$112:$H$135,7,FALSE),"")</f>
        <v>0.35629921259842517</v>
      </c>
      <c r="X52" s="505">
        <f>IFERROR(VLOOKUP(X12,'Looked After Children'!$B$112:$H$135,7,FALSE),"")</f>
        <v>0.37313432835820898</v>
      </c>
      <c r="Y52" s="630">
        <f>IFERROR(VLOOKUP(Y12,'Looked After Children'!$B$112:$H$135,7,FALSE),"")</f>
        <v>0.20547945205479451</v>
      </c>
      <c r="Z52" s="1092">
        <f>IFERROR(VLOOKUP(Z12,'Looked After Children'!$B$112:$H$135,7,FALSE),"")</f>
        <v>0.42932628797886396</v>
      </c>
      <c r="AA52" s="1261">
        <f>IFERROR(VLOOKUP(AA12,'Looked After Children'!$B$112:$H$135,7,FALSE),"")</f>
        <v>0.43074606891937101</v>
      </c>
      <c r="AB52" s="501"/>
      <c r="AC52" s="739"/>
      <c r="AD52" s="502"/>
      <c r="AE52" s="503"/>
      <c r="AF52" s="503"/>
      <c r="AG52" s="503"/>
      <c r="AH52" s="503"/>
      <c r="AI52" s="503"/>
      <c r="AJ52" s="503"/>
      <c r="AK52" s="503"/>
      <c r="AL52" s="503"/>
      <c r="AM52" s="503"/>
      <c r="AN52" s="503"/>
      <c r="AO52" s="503"/>
      <c r="AP52" s="503"/>
      <c r="AQ52" s="503"/>
      <c r="AR52" s="503"/>
      <c r="AS52" s="503"/>
      <c r="AT52" s="503"/>
      <c r="AU52" s="503"/>
      <c r="AV52" s="503"/>
      <c r="AW52" s="503"/>
      <c r="AX52" s="503"/>
      <c r="AY52" s="503"/>
      <c r="AZ52" s="503"/>
      <c r="BA52" s="503"/>
      <c r="BB52" s="444">
        <f t="shared" si="0"/>
        <v>41</v>
      </c>
    </row>
    <row r="53" spans="1:54" s="444" customFormat="1" ht="22.5" customHeight="1" x14ac:dyDescent="0.2">
      <c r="A53" s="498"/>
      <c r="B53" s="1345"/>
      <c r="C53" s="1086" t="s">
        <v>219</v>
      </c>
      <c r="D53" s="689">
        <f>IFERROR(VLOOKUP(D12,'Looked After Children'!$B$148:$H$171,7,FALSE),"")</f>
        <v>0.64516129032258063</v>
      </c>
      <c r="E53" s="505">
        <f>IFERROR(VLOOKUP(E12,'Looked After Children'!$B$148:$H$171,7,FALSE),"")</f>
        <v>0.63716814159292035</v>
      </c>
      <c r="F53" s="505">
        <f>IFERROR(VLOOKUP(F12,'Looked After Children'!$B$148:$H$171,7,FALSE),"")</f>
        <v>0.72674418604651159</v>
      </c>
      <c r="G53" s="505">
        <f>IFERROR(VLOOKUP(G12,'Looked After Children'!$B$148:$H$171,7,FALSE),"")</f>
        <v>0.69683257918552033</v>
      </c>
      <c r="H53" s="505">
        <f>IFERROR(VLOOKUP(H12,'Looked After Children'!$B$148:$H$171,7,FALSE),"")</f>
        <v>0.67354596622889307</v>
      </c>
      <c r="I53" s="505">
        <f>IFERROR(VLOOKUP(I12,'Looked After Children'!$B$148:$H$171,7,FALSE),"")</f>
        <v>0.62105263157894741</v>
      </c>
      <c r="J53" s="505">
        <f>IFERROR(VLOOKUP(J12,'Looked After Children'!$B$148:$H$171,7,FALSE),"")</f>
        <v>0.70437956204379559</v>
      </c>
      <c r="K53" s="505">
        <f>IFERROR(VLOOKUP(K12,'Looked After Children'!$B$148:$H$171,7,FALSE),"")</f>
        <v>0.71176470588235297</v>
      </c>
      <c r="L53" s="505">
        <f>IFERROR(VLOOKUP(L12,'Looked After Children'!$B$148:$H$171,7,FALSE),"")</f>
        <v>0.66</v>
      </c>
      <c r="M53" s="505">
        <f>IFERROR(VLOOKUP(M12,'Looked After Children'!$B$148:$H$171,7,FALSE),"")</f>
        <v>0.70370370370370372</v>
      </c>
      <c r="N53" s="505">
        <f>IFERROR(VLOOKUP(N12,'Looked After Children'!$B$148:$H$171,7,FALSE),"")</f>
        <v>0.66400000000000003</v>
      </c>
      <c r="O53" s="505">
        <f>IFERROR(VLOOKUP(O12,'Looked After Children'!$B$148:$H$171,7,FALSE),"")</f>
        <v>0.65979381443298968</v>
      </c>
      <c r="P53" s="505">
        <f>IFERROR(VLOOKUP(P12,'Looked After Children'!$B$148:$H$171,7,FALSE),"")</f>
        <v>0.64814814814814814</v>
      </c>
      <c r="Q53" s="505">
        <f>IFERROR(VLOOKUP(Q12,'Looked After Children'!$B$148:$H$171,7,FALSE),"")</f>
        <v>0.625</v>
      </c>
      <c r="R53" s="505">
        <f>IFERROR(VLOOKUP(R12,'Looked After Children'!$B$148:$H$171,7,FALSE),"")</f>
        <v>0.64680851063829792</v>
      </c>
      <c r="S53" s="505">
        <f>IFERROR(VLOOKUP(S12,'Looked After Children'!$B$148:$H$171,7,FALSE),"")</f>
        <v>0.64800000000000002</v>
      </c>
      <c r="T53" s="505">
        <f>IFERROR(VLOOKUP(T12,'Looked After Children'!$B$148:$H$171,7,FALSE),"")</f>
        <v>0.58490566037735847</v>
      </c>
      <c r="U53" s="505">
        <f>IFERROR(VLOOKUP(U12,'Looked After Children'!$B$148:$H$171,7,FALSE),"")</f>
        <v>0.64341085271317833</v>
      </c>
      <c r="V53" s="505">
        <f>IFERROR(VLOOKUP(V12,'Looked After Children'!$B$148:$H$171,7,FALSE),"")</f>
        <v>0.54</v>
      </c>
      <c r="W53" s="505">
        <f>IFERROR(VLOOKUP(W12,'Looked After Children'!$B$148:$H$171,7,FALSE),"")</f>
        <v>0.66298342541436461</v>
      </c>
      <c r="X53" s="505">
        <f>IFERROR(VLOOKUP(X12,'Looked After Children'!$B$148:$H$171,7,FALSE),"")</f>
        <v>0.76</v>
      </c>
      <c r="Y53" s="630">
        <f>IFERROR(VLOOKUP(Y12,'Looked After Children'!$B$148:$H$171,7,FALSE),"")</f>
        <v>0.8</v>
      </c>
      <c r="Z53" s="1092">
        <f>IFERROR(VLOOKUP(Z12,'Looked After Children'!$B$148:$H$171,7,FALSE),"")</f>
        <v>0.67692307692307696</v>
      </c>
      <c r="AA53" s="1261">
        <f>IFERROR(VLOOKUP(AA12,'Looked After Children'!$B$148:$H$171,7,FALSE),"")</f>
        <v>0.68660194174757283</v>
      </c>
      <c r="AB53" s="501"/>
      <c r="AC53" s="739"/>
      <c r="AD53" s="502"/>
      <c r="AE53" s="503"/>
      <c r="AF53" s="503"/>
      <c r="AG53" s="503"/>
      <c r="AH53" s="503"/>
      <c r="AI53" s="503"/>
      <c r="AJ53" s="503"/>
      <c r="AK53" s="503"/>
      <c r="AL53" s="503"/>
      <c r="AM53" s="503"/>
      <c r="AN53" s="503"/>
      <c r="AO53" s="503"/>
      <c r="AP53" s="503"/>
      <c r="AQ53" s="503"/>
      <c r="AR53" s="503"/>
      <c r="AS53" s="503"/>
      <c r="AT53" s="503"/>
      <c r="AU53" s="503"/>
      <c r="AV53" s="503"/>
      <c r="AW53" s="503"/>
      <c r="AX53" s="503"/>
      <c r="AY53" s="503"/>
      <c r="AZ53" s="503"/>
      <c r="BA53" s="503"/>
      <c r="BB53" s="444">
        <f t="shared" si="0"/>
        <v>42</v>
      </c>
    </row>
    <row r="54" spans="1:54" s="444" customFormat="1" ht="22.5" customHeight="1" thickBot="1" x14ac:dyDescent="0.25">
      <c r="A54" s="498"/>
      <c r="B54" s="1345"/>
      <c r="C54" s="1086" t="str">
        <f>"% Children Looked After at "&amp;Sheet1!$H$3&amp;" who had 3 or more placements during the previous 12 months"</f>
        <v>% Children Looked After at 31st March who had 3 or more placements during the previous 12 months</v>
      </c>
      <c r="D54" s="689">
        <f>IFERROR(VLOOKUP(D12,'Looked After Children'!$B$184:$H$207,7,FALSE),"")</f>
        <v>0.19620253164556961</v>
      </c>
      <c r="E54" s="505">
        <f>IFERROR(VLOOKUP(E12,'Looked After Children'!$B$184:$H$207,7,FALSE),"")</f>
        <v>8.1841432225063945E-2</v>
      </c>
      <c r="F54" s="505">
        <f>IFERROR(VLOOKUP(F12,'Looked After Children'!$B$184:$H$207,7,FALSE),"")</f>
        <v>8.9320388349514557E-2</v>
      </c>
      <c r="G54" s="505">
        <f>IFERROR(VLOOKUP(G12,'Looked After Children'!$B$184:$H$207,7,FALSE),"")</f>
        <v>0.12</v>
      </c>
      <c r="H54" s="505">
        <f>IFERROR(VLOOKUP(H12,'Looked After Children'!$B$184:$H$207,7,FALSE),"")</f>
        <v>0.15925480769230768</v>
      </c>
      <c r="I54" s="505">
        <f>IFERROR(VLOOKUP(I12,'Looked After Children'!$B$184:$H$207,7,FALSE),"")</f>
        <v>9.8765432098765427E-2</v>
      </c>
      <c r="J54" s="505">
        <f>IFERROR(VLOOKUP(J12,'Looked After Children'!$B$184:$H$207,7,FALSE),"")</f>
        <v>0.10377358490566038</v>
      </c>
      <c r="K54" s="505">
        <f>IFERROR(VLOOKUP(K12,'Looked After Children'!$B$184:$H$207,7,FALSE),"")</f>
        <v>9.4339622641509441E-2</v>
      </c>
      <c r="L54" s="505">
        <f>IFERROR(VLOOKUP(L12,'Looked After Children'!$B$184:$H$207,7,FALSE),"")</f>
        <v>0.10761154855643044</v>
      </c>
      <c r="M54" s="505">
        <f>IFERROR(VLOOKUP(M12,'Looked After Children'!$B$184:$H$207,7,FALSE),"")</f>
        <v>9.2426187419768935E-2</v>
      </c>
      <c r="N54" s="505">
        <f>IFERROR(VLOOKUP(N12,'Looked After Children'!$B$184:$H$207,7,FALSE),"")</f>
        <v>0.15843621399176955</v>
      </c>
      <c r="O54" s="505">
        <f>IFERROR(VLOOKUP(O12,'Looked After Children'!$B$184:$H$207,7,FALSE),"")</f>
        <v>0.12087912087912088</v>
      </c>
      <c r="P54" s="505">
        <f>IFERROR(VLOOKUP(P12,'Looked After Children'!$B$184:$H$207,7,FALSE),"")</f>
        <v>0.107981220657277</v>
      </c>
      <c r="Q54" s="505">
        <f>IFERROR(VLOOKUP(Q12,'Looked After Children'!$B$184:$H$207,7,FALSE),"")</f>
        <v>0.14419475655430711</v>
      </c>
      <c r="R54" s="505">
        <f>IFERROR(VLOOKUP(R12,'Looked After Children'!$B$184:$H$207,7,FALSE),"")</f>
        <v>0.12474012474012475</v>
      </c>
      <c r="S54" s="505">
        <f>IFERROR(VLOOKUP(S12,'Looked After Children'!$B$184:$H$207,7,FALSE),"")</f>
        <v>9.044193216855087E-2</v>
      </c>
      <c r="T54" s="505">
        <f>IFERROR(VLOOKUP(T12,'Looked After Children'!$B$184:$H$207,7,FALSE),"")</f>
        <v>7.183908045977011E-2</v>
      </c>
      <c r="U54" s="505">
        <f>IFERROR(VLOOKUP(U12,'Looked After Children'!$B$184:$H$207,7,FALSE),"")</f>
        <v>0.11049723756906077</v>
      </c>
      <c r="V54" s="505">
        <f>IFERROR(VLOOKUP(V12,'Looked After Children'!$B$184:$H$207,7,FALSE),"")</f>
        <v>9.8837209302325577E-2</v>
      </c>
      <c r="W54" s="505">
        <f>IFERROR(VLOOKUP(W12,'Looked After Children'!$B$184:$H$207,7,FALSE),"")</f>
        <v>0.10227272727272728</v>
      </c>
      <c r="X54" s="505">
        <f>IFERROR(VLOOKUP(X12,'Looked After Children'!$B$184:$H$207,7,FALSE),"")</f>
        <v>0.15322580645161291</v>
      </c>
      <c r="Y54" s="630">
        <f>IFERROR(VLOOKUP(Y12,'Looked After Children'!$B$184:$H$207,7,FALSE),"")</f>
        <v>0.1</v>
      </c>
      <c r="Z54" s="1092">
        <f>IFERROR(VLOOKUP(Z12,'Looked After Children'!$B$184:$H$207,7,FALSE),"")</f>
        <v>0.11574749537982687</v>
      </c>
      <c r="AA54" s="1261">
        <f>IFERROR(VLOOKUP(AA12,'Looked After Children'!$B$184:$H$207,7,FALSE),"")</f>
        <v>0.10377479206653871</v>
      </c>
      <c r="AB54" s="501"/>
      <c r="AC54" s="739"/>
      <c r="AD54" s="502"/>
      <c r="AE54" s="503"/>
      <c r="AF54" s="503"/>
      <c r="AG54" s="503"/>
      <c r="AH54" s="503"/>
      <c r="AI54" s="503"/>
      <c r="AJ54" s="503"/>
      <c r="AK54" s="503"/>
      <c r="AL54" s="503"/>
      <c r="AM54" s="503"/>
      <c r="AN54" s="503"/>
      <c r="AO54" s="503"/>
      <c r="AP54" s="503"/>
      <c r="AQ54" s="503"/>
      <c r="AR54" s="503"/>
      <c r="AS54" s="503"/>
      <c r="AT54" s="503"/>
      <c r="AU54" s="503"/>
      <c r="AV54" s="503"/>
      <c r="AW54" s="503"/>
      <c r="AX54" s="503"/>
      <c r="AY54" s="503"/>
      <c r="AZ54" s="503"/>
      <c r="BA54" s="503"/>
      <c r="BB54" s="444">
        <f t="shared" si="0"/>
        <v>43</v>
      </c>
    </row>
    <row r="55" spans="1:54" s="444" customFormat="1" ht="23.25" customHeight="1" thickBot="1" x14ac:dyDescent="0.25">
      <c r="A55" s="498"/>
      <c r="B55" s="1344" t="s">
        <v>1127</v>
      </c>
      <c r="C55" s="1087" t="str">
        <f>"% Children Looked After at "&amp;Sheet1!$H$3&amp;" who were Unaccompanied Asylum Seeking Children (UASC)"</f>
        <v>% Children Looked After at 31st March who were Unaccompanied Asylum Seeking Children (UASC)</v>
      </c>
      <c r="D55" s="690" t="str">
        <f>IFERROR(VLOOKUP(D12,'Looked After Children'!$B$256:$H$279,7,FALSE),"")</f>
        <v/>
      </c>
      <c r="E55" s="507">
        <f>IFERROR(VLOOKUP(E12,'Looked After Children'!$B$256:$H$279,7,FALSE),"")</f>
        <v>9.718670076726342E-2</v>
      </c>
      <c r="F55" s="507">
        <f>IFERROR(VLOOKUP(F12,'Looked After Children'!$B$256:$H$279,7,FALSE),"")</f>
        <v>6.0194174757281553E-2</v>
      </c>
      <c r="G55" s="507">
        <f>IFERROR(VLOOKUP(G12,'Looked After Children'!$B$256:$H$279,7,FALSE),"")</f>
        <v>0.06</v>
      </c>
      <c r="H55" s="507">
        <f>IFERROR(VLOOKUP(H12,'Looked After Children'!$B$256:$H$279,7,FALSE),"")</f>
        <v>7.9927884615384609E-2</v>
      </c>
      <c r="I55" s="507">
        <f>IFERROR(VLOOKUP(I12,'Looked After Children'!$B$256:$H$279,7,FALSE),"")</f>
        <v>2.4691358024691357E-2</v>
      </c>
      <c r="J55" s="507">
        <f>IFERROR(VLOOKUP(J12,'Looked After Children'!$B$256:$H$279,7,FALSE),"")</f>
        <v>0.16037735849056603</v>
      </c>
      <c r="K55" s="507">
        <f>IFERROR(VLOOKUP(K12,'Looked After Children'!$B$256:$H$279,7,FALSE),"")</f>
        <v>2.5943396226415096E-2</v>
      </c>
      <c r="L55" s="507">
        <f>IFERROR(VLOOKUP(L12,'Looked After Children'!$B$256:$H$279,7,FALSE),"")</f>
        <v>6.0367454068241469E-2</v>
      </c>
      <c r="M55" s="507">
        <f>IFERROR(VLOOKUP(M12,'Looked After Children'!$B$256:$H$279,7,FALSE),"")</f>
        <v>8.2156611039794603E-2</v>
      </c>
      <c r="N55" s="507">
        <f>IFERROR(VLOOKUP(N12,'Looked After Children'!$B$256:$H$279,7,FALSE),"")</f>
        <v>0.20781893004115226</v>
      </c>
      <c r="O55" s="507" t="str">
        <f>IFERROR(VLOOKUP(O12,'Looked After Children'!$B$256:$H$279,7,FALSE),"")</f>
        <v/>
      </c>
      <c r="P55" s="507" t="str">
        <f>IFERROR(VLOOKUP(P12,'Looked After Children'!$B$256:$H$279,7,FALSE),"")</f>
        <v/>
      </c>
      <c r="Q55" s="507">
        <f>IFERROR(VLOOKUP(Q12,'Looked After Children'!$B$256:$H$279,7,FALSE),"")</f>
        <v>2.4344569288389514E-2</v>
      </c>
      <c r="R55" s="507">
        <f>IFERROR(VLOOKUP(R12,'Looked After Children'!$B$256:$H$279,7,FALSE),"")</f>
        <v>3.1185031185031187E-2</v>
      </c>
      <c r="S55" s="507">
        <f>IFERROR(VLOOKUP(S12,'Looked After Children'!$B$256:$H$279,7,FALSE),"")</f>
        <v>0.1171634121274409</v>
      </c>
      <c r="T55" s="507">
        <f>IFERROR(VLOOKUP(T12,'Looked After Children'!$B$256:$H$279,7,FALSE),"")</f>
        <v>6.8965517241379309E-2</v>
      </c>
      <c r="U55" s="507" t="str">
        <f>IFERROR(VLOOKUP(U12,'Looked After Children'!$B$256:$H$279,7,FALSE),"")</f>
        <v/>
      </c>
      <c r="V55" s="507">
        <f>IFERROR(VLOOKUP(V12,'Looked After Children'!$B$256:$H$279,7,FALSE),"")</f>
        <v>0.1744186046511628</v>
      </c>
      <c r="W55" s="507">
        <f>IFERROR(VLOOKUP(W12,'Looked After Children'!$B$256:$H$279,7,FALSE),"")</f>
        <v>0.10227272727272728</v>
      </c>
      <c r="X55" s="507">
        <f>IFERROR(VLOOKUP(X12,'Looked After Children'!$B$256:$H$279,7,FALSE),"")</f>
        <v>8.0645161290322578E-2</v>
      </c>
      <c r="Y55" s="691">
        <f>IFERROR(VLOOKUP(Y12,'Looked After Children'!$B$256:$H$279,7,FALSE),"")</f>
        <v>0.10909090909090909</v>
      </c>
      <c r="Z55" s="1091">
        <f>IFERROR(VLOOKUP(Z12,'Looked After Children'!$B$256:$H$279,7,FALSE),"")</f>
        <v>9.961606309017329E-2</v>
      </c>
      <c r="AA55" s="1226">
        <f>IFERROR(VLOOKUP(AA12,'Looked After Children'!$B$256:$H$279,7,FALSE),"")</f>
        <v>6.4875239923224567E-2</v>
      </c>
      <c r="AB55" s="501"/>
      <c r="AC55" s="739"/>
      <c r="AD55" s="502"/>
      <c r="AE55" s="503"/>
      <c r="AF55" s="503"/>
      <c r="AG55" s="503"/>
      <c r="AH55" s="503"/>
      <c r="AI55" s="503"/>
      <c r="AJ55" s="503"/>
      <c r="AK55" s="503"/>
      <c r="AL55" s="503"/>
      <c r="AM55" s="503"/>
      <c r="AN55" s="503"/>
      <c r="AO55" s="503"/>
      <c r="AP55" s="503"/>
      <c r="AQ55" s="503"/>
      <c r="AR55" s="503"/>
      <c r="AS55" s="503"/>
      <c r="AT55" s="503"/>
      <c r="AU55" s="503"/>
      <c r="AV55" s="503"/>
      <c r="AW55" s="503"/>
      <c r="AX55" s="503"/>
      <c r="AY55" s="503"/>
      <c r="AZ55" s="503"/>
      <c r="BA55" s="503"/>
      <c r="BB55" s="444">
        <f t="shared" ref="BB55:BB60" si="2">ROW(BC55)-11</f>
        <v>44</v>
      </c>
    </row>
    <row r="56" spans="1:54" s="444" customFormat="1" ht="15.75" customHeight="1" x14ac:dyDescent="0.2">
      <c r="A56" s="498"/>
      <c r="B56" s="1345"/>
      <c r="C56" s="1085" t="s">
        <v>794</v>
      </c>
      <c r="D56" s="1076" t="str">
        <f>IFERROR(VLOOKUP(D$12,'Looked After Children'!$B$326:$H$349,3,FALSE),"")</f>
        <v/>
      </c>
      <c r="E56" s="1077">
        <f>IFERROR(VLOOKUP(E$12,'Looked After Children'!$B$326:$H$349,3,FALSE),"")</f>
        <v>50.909090909090914</v>
      </c>
      <c r="F56" s="1077">
        <f>IFERROR(VLOOKUP(F$12,'Looked After Children'!$B$326:$H$349,3,FALSE),"")</f>
        <v>35.437057036787039</v>
      </c>
      <c r="G56" s="1077">
        <f>IFERROR(VLOOKUP(G$12,'Looked After Children'!$B$326:$H$349,3,FALSE),"")</f>
        <v>63.253607432298878</v>
      </c>
      <c r="H56" s="1077">
        <f>IFERROR(VLOOKUP(H$12,'Looked After Children'!$B$326:$H$349,3,FALSE),"")</f>
        <v>44.165835589115254</v>
      </c>
      <c r="I56" s="1077">
        <f>IFERROR(VLOOKUP(I$12,'Looked After Children'!$B$326:$H$349,3,FALSE),"")</f>
        <v>107.43801652892562</v>
      </c>
      <c r="J56" s="1077">
        <f>IFERROR(VLOOKUP(J$12,'Looked After Children'!$B$326:$H$349,3,FALSE),"")</f>
        <v>36.693039789015018</v>
      </c>
      <c r="K56" s="1077">
        <f>IFERROR(VLOOKUP(K$12,'Looked After Children'!$B$326:$H$349,3,FALSE),"")</f>
        <v>82.191780821917803</v>
      </c>
      <c r="L56" s="1077">
        <f>IFERROR(VLOOKUP(L$12,'Looked After Children'!$B$326:$H$349,3,FALSE),"")</f>
        <v>77.929306985805738</v>
      </c>
      <c r="M56" s="1077">
        <f>IFERROR(VLOOKUP(M$12,'Looked After Children'!$B$326:$H$349,3,FALSE),"")</f>
        <v>43.888815001994942</v>
      </c>
      <c r="N56" s="1077">
        <f>IFERROR(VLOOKUP(N$12,'Looked After Children'!$B$326:$H$349,3,FALSE),"")</f>
        <v>72.609923356192013</v>
      </c>
      <c r="O56" s="1077">
        <f>IFERROR(VLOOKUP(O$12,'Looked After Children'!$B$326:$H$349,3,FALSE),"")</f>
        <v>81.26777732629013</v>
      </c>
      <c r="P56" s="1077">
        <f>IFERROR(VLOOKUP(P$12,'Looked After Children'!$B$326:$H$349,3,FALSE),"")</f>
        <v>66.484161126319904</v>
      </c>
      <c r="Q56" s="1077">
        <f>IFERROR(VLOOKUP(Q$12,'Looked After Children'!$B$326:$H$349,3,FALSE),"")</f>
        <v>56.81818181818182</v>
      </c>
      <c r="R56" s="1077">
        <f>IFERROR(VLOOKUP(R$12,'Looked After Children'!$B$326:$H$349,3,FALSE),"")</f>
        <v>79.41550190597205</v>
      </c>
      <c r="S56" s="1077">
        <f>IFERROR(VLOOKUP(S$12,'Looked After Children'!$B$326:$H$349,3,FALSE),"")</f>
        <v>28.181887424784829</v>
      </c>
      <c r="T56" s="1077">
        <f>IFERROR(VLOOKUP(T$12,'Looked After Children'!$B$326:$H$349,3,FALSE),"")</f>
        <v>52.46589716684155</v>
      </c>
      <c r="U56" s="1077">
        <f>IFERROR(VLOOKUP(U$12,'Looked After Children'!$B$326:$H$349,3,FALSE),"")</f>
        <v>98.261526832955411</v>
      </c>
      <c r="V56" s="1077">
        <f>IFERROR(VLOOKUP(V$12,'Looked After Children'!$B$326:$H$349,3,FALSE),"")</f>
        <v>59.701492537313435</v>
      </c>
      <c r="W56" s="1077">
        <f>IFERROR(VLOOKUP(W$12,'Looked After Children'!$B$326:$H$349,3,FALSE),"")</f>
        <v>58.066719799612883</v>
      </c>
      <c r="X56" s="1077" t="str">
        <f>IFERROR(VLOOKUP(X$12,'Looked After Children'!$B$326:$H$349,3,FALSE),"")</f>
        <v/>
      </c>
      <c r="Y56" s="1078">
        <f>IFERROR(VLOOKUP(Y$12,'Looked After Children'!$B$326:$H$349,3,FALSE),"")</f>
        <v>39.392234102419806</v>
      </c>
      <c r="Z56" s="1097">
        <f>IFERROR(VLOOKUP(Z$12,'Looked After Children'!$B$326:$H$349,3,FALSE),"")</f>
        <v>48.869518385909622</v>
      </c>
      <c r="AA56" s="1270">
        <f>IFERROR(VLOOKUP(AA$12,'Looked After Children'!$B$326:$H$349,3,FALSE),"")</f>
        <v>62.589235569661518</v>
      </c>
      <c r="AB56" s="501"/>
      <c r="AC56" s="739"/>
      <c r="AD56" s="502"/>
      <c r="AE56" s="503"/>
      <c r="AF56" s="503"/>
      <c r="AG56" s="503"/>
      <c r="AH56" s="503"/>
      <c r="AI56" s="503"/>
      <c r="AJ56" s="503"/>
      <c r="AK56" s="503"/>
      <c r="AL56" s="503"/>
      <c r="AM56" s="503"/>
      <c r="AN56" s="503"/>
      <c r="AO56" s="503"/>
      <c r="AP56" s="503"/>
      <c r="AQ56" s="503"/>
      <c r="AR56" s="503"/>
      <c r="AS56" s="503"/>
      <c r="AT56" s="503"/>
      <c r="AU56" s="503"/>
      <c r="AV56" s="503"/>
      <c r="AW56" s="503"/>
      <c r="AX56" s="503"/>
      <c r="AY56" s="503"/>
      <c r="AZ56" s="503"/>
      <c r="BA56" s="503"/>
      <c r="BB56" s="444">
        <f t="shared" si="2"/>
        <v>45</v>
      </c>
    </row>
    <row r="57" spans="1:54" s="444" customFormat="1" ht="15.75" customHeight="1" x14ac:dyDescent="0.2">
      <c r="A57" s="498"/>
      <c r="B57" s="1345"/>
      <c r="C57" s="1086" t="s">
        <v>795</v>
      </c>
      <c r="D57" s="696" t="str">
        <f>IFERROR(VLOOKUP(D$12,'Looked After Children'!$B$326:$H$349,4,FALSE),"")</f>
        <v/>
      </c>
      <c r="E57" s="633">
        <f>IFERROR(VLOOKUP(E$12,'Looked After Children'!$B$326:$H$349,4,FALSE),"")</f>
        <v>28.932140978432404</v>
      </c>
      <c r="F57" s="633">
        <f>IFERROR(VLOOKUP(F$12,'Looked After Children'!$B$326:$H$349,4,FALSE),"")</f>
        <v>23.234897316744117</v>
      </c>
      <c r="G57" s="633">
        <f>IFERROR(VLOOKUP(G$12,'Looked After Children'!$B$326:$H$349,4,FALSE),"")</f>
        <v>36.997414638495144</v>
      </c>
      <c r="H57" s="633">
        <f>IFERROR(VLOOKUP(H$12,'Looked After Children'!$B$326:$H$349,4,FALSE),"")</f>
        <v>32.456467762613393</v>
      </c>
      <c r="I57" s="633">
        <f>IFERROR(VLOOKUP(I$12,'Looked After Children'!$B$326:$H$349,4,FALSE),"")</f>
        <v>70.331297427355167</v>
      </c>
      <c r="J57" s="633">
        <f>IFERROR(VLOOKUP(J$12,'Looked After Children'!$B$326:$H$349,4,FALSE),"")</f>
        <v>11.357951241937883</v>
      </c>
      <c r="K57" s="633">
        <f>IFERROR(VLOOKUP(K$12,'Looked After Children'!$B$326:$H$349,4,FALSE),"")</f>
        <v>35.532314293376238</v>
      </c>
      <c r="L57" s="633">
        <f>IFERROR(VLOOKUP(L$12,'Looked After Children'!$B$326:$H$349,4,FALSE),"")</f>
        <v>32.317343641087383</v>
      </c>
      <c r="M57" s="633">
        <f>IFERROR(VLOOKUP(M$12,'Looked After Children'!$B$326:$H$349,4,FALSE),"")</f>
        <v>29.361236920193658</v>
      </c>
      <c r="N57" s="633">
        <f>IFERROR(VLOOKUP(N$12,'Looked After Children'!$B$326:$H$349,4,FALSE),"")</f>
        <v>53.541236145031</v>
      </c>
      <c r="O57" s="633">
        <f>IFERROR(VLOOKUP(O$12,'Looked After Children'!$B$326:$H$349,4,FALSE),"")</f>
        <v>35.153019023986765</v>
      </c>
      <c r="P57" s="633">
        <f>IFERROR(VLOOKUP(P$12,'Looked After Children'!$B$326:$H$349,4,FALSE),"")</f>
        <v>31.536697247706424</v>
      </c>
      <c r="Q57" s="633">
        <f>IFERROR(VLOOKUP(Q$12,'Looked After Children'!$B$326:$H$349,4,FALSE),"")</f>
        <v>33.655868742111906</v>
      </c>
      <c r="R57" s="633">
        <f>IFERROR(VLOOKUP(R$12,'Looked After Children'!$B$326:$H$349,4,FALSE),"")</f>
        <v>42.688606022974234</v>
      </c>
      <c r="S57" s="633">
        <f>IFERROR(VLOOKUP(S$12,'Looked After Children'!$B$326:$H$349,4,FALSE),"")</f>
        <v>16.064673265274394</v>
      </c>
      <c r="T57" s="633">
        <f>IFERROR(VLOOKUP(T$12,'Looked After Children'!$B$326:$H$349,4,FALSE),"")</f>
        <v>45.336243808244483</v>
      </c>
      <c r="U57" s="633">
        <f>IFERROR(VLOOKUP(U$12,'Looked After Children'!$B$326:$H$349,4,FALSE),"")</f>
        <v>92.228864218616565</v>
      </c>
      <c r="V57" s="633">
        <f>IFERROR(VLOOKUP(V$12,'Looked After Children'!$B$326:$H$349,4,FALSE),"")</f>
        <v>13.386880856760374</v>
      </c>
      <c r="W57" s="633">
        <f>IFERROR(VLOOKUP(W$12,'Looked After Children'!$B$326:$H$349,4,FALSE),"")</f>
        <v>20.82736716044883</v>
      </c>
      <c r="X57" s="633" t="str">
        <f>IFERROR(VLOOKUP(X$12,'Looked After Children'!$B$326:$H$349,4,FALSE),"")</f>
        <v/>
      </c>
      <c r="Y57" s="635">
        <f>IFERROR(VLOOKUP(Y$12,'Looked After Children'!$B$326:$H$349,4,FALSE),"")</f>
        <v>14.680694886224614</v>
      </c>
      <c r="Z57" s="1099">
        <f>IFERROR(VLOOKUP(Z$12,'Looked After Children'!$B$326:$H$349,4,FALSE),"")</f>
        <v>25.406738791008788</v>
      </c>
      <c r="AA57" s="1271">
        <f>IFERROR(VLOOKUP(AA$12,'Looked After Children'!$B$326:$H$349,4,FALSE),"")</f>
        <v>38.404397944248089</v>
      </c>
      <c r="AB57" s="501"/>
      <c r="AC57" s="739"/>
      <c r="AD57" s="502"/>
      <c r="AE57" s="503"/>
      <c r="AF57" s="503"/>
      <c r="AG57" s="503"/>
      <c r="AH57" s="503"/>
      <c r="AI57" s="503"/>
      <c r="AJ57" s="503"/>
      <c r="AK57" s="503"/>
      <c r="AL57" s="503"/>
      <c r="AM57" s="503"/>
      <c r="AN57" s="503"/>
      <c r="AO57" s="503"/>
      <c r="AP57" s="503"/>
      <c r="AQ57" s="503"/>
      <c r="AR57" s="503"/>
      <c r="AS57" s="503"/>
      <c r="AT57" s="503"/>
      <c r="AU57" s="503"/>
      <c r="AV57" s="503"/>
      <c r="AW57" s="503"/>
      <c r="AX57" s="503"/>
      <c r="AY57" s="503"/>
      <c r="AZ57" s="503"/>
      <c r="BA57" s="503"/>
      <c r="BB57" s="444">
        <f t="shared" si="2"/>
        <v>46</v>
      </c>
    </row>
    <row r="58" spans="1:54" s="444" customFormat="1" ht="15.75" customHeight="1" x14ac:dyDescent="0.2">
      <c r="A58" s="498"/>
      <c r="B58" s="1345"/>
      <c r="C58" s="1086" t="s">
        <v>796</v>
      </c>
      <c r="D58" s="696">
        <f>IFERROR(VLOOKUP(D$12,'Looked After Children'!$B$326:$H$349,5,FALSE),"")</f>
        <v>28.271881258098716</v>
      </c>
      <c r="E58" s="633">
        <f>IFERROR(VLOOKUP(E$12,'Looked After Children'!$B$326:$H$349,5,FALSE),"")</f>
        <v>45.307005680281307</v>
      </c>
      <c r="F58" s="633">
        <f>IFERROR(VLOOKUP(F$12,'Looked After Children'!$B$326:$H$349,5,FALSE),"")</f>
        <v>21.281820414176966</v>
      </c>
      <c r="G58" s="633">
        <f>IFERROR(VLOOKUP(G$12,'Looked After Children'!$B$326:$H$349,5,FALSE),"")</f>
        <v>37.331445306214398</v>
      </c>
      <c r="H58" s="633">
        <f>IFERROR(VLOOKUP(H$12,'Looked After Children'!$B$326:$H$349,5,FALSE),"")</f>
        <v>42.542004254200428</v>
      </c>
      <c r="I58" s="633">
        <f>IFERROR(VLOOKUP(I$12,'Looked After Children'!$B$326:$H$349,5,FALSE),"")</f>
        <v>83.094555873925501</v>
      </c>
      <c r="J58" s="633">
        <f>IFERROR(VLOOKUP(J$12,'Looked After Children'!$B$326:$H$349,5,FALSE),"")</f>
        <v>20.272256403498989</v>
      </c>
      <c r="K58" s="633">
        <f>IFERROR(VLOOKUP(K$12,'Looked After Children'!$B$326:$H$349,5,FALSE),"")</f>
        <v>39.76784178847808</v>
      </c>
      <c r="L58" s="633">
        <f>IFERROR(VLOOKUP(L$12,'Looked After Children'!$B$326:$H$349,5,FALSE),"")</f>
        <v>40.952739597062703</v>
      </c>
      <c r="M58" s="633">
        <f>IFERROR(VLOOKUP(M$12,'Looked After Children'!$B$326:$H$349,5,FALSE),"")</f>
        <v>36.196117143797302</v>
      </c>
      <c r="N58" s="633">
        <f>IFERROR(VLOOKUP(N$12,'Looked After Children'!$B$326:$H$349,5,FALSE),"")</f>
        <v>47.759836251989995</v>
      </c>
      <c r="O58" s="633">
        <f>IFERROR(VLOOKUP(O$12,'Looked After Children'!$B$326:$H$349,5,FALSE),"")</f>
        <v>50.938337801608576</v>
      </c>
      <c r="P58" s="633">
        <f>IFERROR(VLOOKUP(P$12,'Looked After Children'!$B$326:$H$349,5,FALSE),"")</f>
        <v>24.060850667494567</v>
      </c>
      <c r="Q58" s="633">
        <f>IFERROR(VLOOKUP(Q$12,'Looked After Children'!$B$326:$H$349,5,FALSE),"")</f>
        <v>25.716615442513955</v>
      </c>
      <c r="R58" s="633">
        <f>IFERROR(VLOOKUP(R$12,'Looked After Children'!$B$326:$H$349,5,FALSE),"")</f>
        <v>75.449416087127673</v>
      </c>
      <c r="S58" s="633">
        <f>IFERROR(VLOOKUP(S$12,'Looked After Children'!$B$326:$H$349,5,FALSE),"")</f>
        <v>23.165128759507354</v>
      </c>
      <c r="T58" s="633">
        <f>IFERROR(VLOOKUP(T$12,'Looked After Children'!$B$326:$H$349,5,FALSE),"")</f>
        <v>51.319648093841643</v>
      </c>
      <c r="U58" s="633">
        <f>IFERROR(VLOOKUP(U$12,'Looked After Children'!$B$326:$H$349,5,FALSE),"")</f>
        <v>87.431693989071036</v>
      </c>
      <c r="V58" s="633">
        <f>IFERROR(VLOOKUP(V$12,'Looked After Children'!$B$326:$H$349,5,FALSE),"")</f>
        <v>21.990630079357491</v>
      </c>
      <c r="W58" s="633">
        <f>IFERROR(VLOOKUP(W$12,'Looked After Children'!$B$326:$H$349,5,FALSE),"")</f>
        <v>19.661892553540106</v>
      </c>
      <c r="X58" s="633">
        <f>IFERROR(VLOOKUP(X$12,'Looked After Children'!$B$326:$H$349,5,FALSE),"")</f>
        <v>15.148454857604523</v>
      </c>
      <c r="Y58" s="635">
        <f>IFERROR(VLOOKUP(Y$12,'Looked After Children'!$B$326:$H$349,5,FALSE),"")</f>
        <v>15.043877977434182</v>
      </c>
      <c r="Z58" s="1099">
        <f>IFERROR(VLOOKUP(Z$12,'Looked After Children'!$B$326:$H$349,5,FALSE),"")</f>
        <v>31.535301344062265</v>
      </c>
      <c r="AA58" s="1271">
        <f>IFERROR(VLOOKUP(AA$12,'Looked After Children'!$B$326:$H$349,5,FALSE),"")</f>
        <v>41.230604889000467</v>
      </c>
      <c r="AB58" s="501"/>
      <c r="AC58" s="739"/>
      <c r="AD58" s="502"/>
      <c r="AE58" s="503"/>
      <c r="AF58" s="503"/>
      <c r="AG58" s="503"/>
      <c r="AH58" s="503"/>
      <c r="AI58" s="503"/>
      <c r="AJ58" s="503"/>
      <c r="AK58" s="503"/>
      <c r="AL58" s="503"/>
      <c r="AM58" s="503"/>
      <c r="AN58" s="503"/>
      <c r="AO58" s="503"/>
      <c r="AP58" s="503"/>
      <c r="AQ58" s="503"/>
      <c r="AR58" s="503"/>
      <c r="AS58" s="503"/>
      <c r="AT58" s="503"/>
      <c r="AU58" s="503"/>
      <c r="AV58" s="503"/>
      <c r="AW58" s="503"/>
      <c r="AX58" s="503"/>
      <c r="AY58" s="503"/>
      <c r="AZ58" s="503"/>
      <c r="BA58" s="503"/>
      <c r="BB58" s="444">
        <f t="shared" si="2"/>
        <v>47</v>
      </c>
    </row>
    <row r="59" spans="1:54" s="444" customFormat="1" ht="15.75" customHeight="1" x14ac:dyDescent="0.2">
      <c r="A59" s="498"/>
      <c r="B59" s="1345"/>
      <c r="C59" s="1086" t="s">
        <v>797</v>
      </c>
      <c r="D59" s="696">
        <f>IFERROR(VLOOKUP(D$12,'Looked After Children'!$B$326:$H$349,6,FALSE),"")</f>
        <v>82.644628099173559</v>
      </c>
      <c r="E59" s="633">
        <f>IFERROR(VLOOKUP(E$12,'Looked After Children'!$B$326:$H$349,6,FALSE),"")</f>
        <v>94.907829895966415</v>
      </c>
      <c r="F59" s="633">
        <f>IFERROR(VLOOKUP(F$12,'Looked After Children'!$B$326:$H$349,6,FALSE),"")</f>
        <v>53.923620515598451</v>
      </c>
      <c r="G59" s="633">
        <f>IFERROR(VLOOKUP(G$12,'Looked After Children'!$B$326:$H$349,6,FALSE),"")</f>
        <v>70.54574185902139</v>
      </c>
      <c r="H59" s="633">
        <f>IFERROR(VLOOKUP(H$12,'Looked After Children'!$B$326:$H$349,6,FALSE),"")</f>
        <v>69.71565051802601</v>
      </c>
      <c r="I59" s="633">
        <f>IFERROR(VLOOKUP(I$12,'Looked After Children'!$B$326:$H$349,6,FALSE),"")</f>
        <v>113.05486135903844</v>
      </c>
      <c r="J59" s="633">
        <f>IFERROR(VLOOKUP(J$12,'Looked After Children'!$B$326:$H$349,6,FALSE),"")</f>
        <v>63.081432394545686</v>
      </c>
      <c r="K59" s="633">
        <f>IFERROR(VLOOKUP(K$12,'Looked After Children'!$B$326:$H$349,6,FALSE),"")</f>
        <v>89.045866082976815</v>
      </c>
      <c r="L59" s="633">
        <f>IFERROR(VLOOKUP(L$12,'Looked After Children'!$B$326:$H$349,6,FALSE),"")</f>
        <v>72.365881898880744</v>
      </c>
      <c r="M59" s="633">
        <f>IFERROR(VLOOKUP(M$12,'Looked After Children'!$B$326:$H$349,6,FALSE),"")</f>
        <v>64.770487186707967</v>
      </c>
      <c r="N59" s="633">
        <f>IFERROR(VLOOKUP(N$12,'Looked After Children'!$B$326:$H$349,6,FALSE),"")</f>
        <v>139.65453877251011</v>
      </c>
      <c r="O59" s="633">
        <f>IFERROR(VLOOKUP(O$12,'Looked After Children'!$B$326:$H$349,6,FALSE),"")</f>
        <v>105.27323188821897</v>
      </c>
      <c r="P59" s="633">
        <f>IFERROR(VLOOKUP(P$12,'Looked After Children'!$B$326:$H$349,6,FALSE),"")</f>
        <v>65.669752353825459</v>
      </c>
      <c r="Q59" s="633">
        <f>IFERROR(VLOOKUP(Q$12,'Looked After Children'!$B$326:$H$349,6,FALSE),"")</f>
        <v>55.70954197425835</v>
      </c>
      <c r="R59" s="633">
        <f>IFERROR(VLOOKUP(R$12,'Looked After Children'!$B$326:$H$349,6,FALSE),"")</f>
        <v>148.33298676093438</v>
      </c>
      <c r="S59" s="633">
        <f>IFERROR(VLOOKUP(S$12,'Looked After Children'!$B$326:$H$349,6,FALSE),"")</f>
        <v>44.038182294270271</v>
      </c>
      <c r="T59" s="633">
        <f>IFERROR(VLOOKUP(T$12,'Looked After Children'!$B$326:$H$349,6,FALSE),"")</f>
        <v>72.468542064694645</v>
      </c>
      <c r="U59" s="633">
        <f>IFERROR(VLOOKUP(U$12,'Looked After Children'!$B$326:$H$349,6,FALSE),"")</f>
        <v>204.10657540943535</v>
      </c>
      <c r="V59" s="633">
        <f>IFERROR(VLOOKUP(V$12,'Looked After Children'!$B$326:$H$349,6,FALSE),"")</f>
        <v>52.693208430913344</v>
      </c>
      <c r="W59" s="633">
        <f>IFERROR(VLOOKUP(W$12,'Looked After Children'!$B$326:$H$349,6,FALSE),"")</f>
        <v>49.194991055456171</v>
      </c>
      <c r="X59" s="633">
        <f>IFERROR(VLOOKUP(X$12,'Looked After Children'!$B$326:$H$349,6,FALSE),"")</f>
        <v>44.304336712959021</v>
      </c>
      <c r="Y59" s="635">
        <f>IFERROR(VLOOKUP(Y$12,'Looked After Children'!$B$326:$H$349,6,FALSE),"")</f>
        <v>28.118409747715376</v>
      </c>
      <c r="Z59" s="1099">
        <f>IFERROR(VLOOKUP(Z$12,'Looked After Children'!$B$326:$H$349,6,FALSE),"")</f>
        <v>66.328751440976177</v>
      </c>
      <c r="AA59" s="1271">
        <f>IFERROR(VLOOKUP(AA$12,'Looked After Children'!$B$326:$H$349,6,FALSE),"")</f>
        <v>81.956649778306996</v>
      </c>
      <c r="AB59" s="501"/>
      <c r="AC59" s="739"/>
      <c r="AD59" s="502"/>
      <c r="AE59" s="503"/>
      <c r="AF59" s="503"/>
      <c r="AG59" s="503"/>
      <c r="AH59" s="503"/>
      <c r="AI59" s="503"/>
      <c r="AJ59" s="503"/>
      <c r="AK59" s="503"/>
      <c r="AL59" s="503"/>
      <c r="AM59" s="503"/>
      <c r="AN59" s="503"/>
      <c r="AO59" s="503"/>
      <c r="AP59" s="503"/>
      <c r="AQ59" s="503"/>
      <c r="AR59" s="503"/>
      <c r="AS59" s="503"/>
      <c r="AT59" s="503"/>
      <c r="AU59" s="503"/>
      <c r="AV59" s="503"/>
      <c r="AW59" s="503"/>
      <c r="AX59" s="503"/>
      <c r="AY59" s="503"/>
      <c r="AZ59" s="503"/>
      <c r="BA59" s="503"/>
      <c r="BB59" s="444">
        <f t="shared" si="2"/>
        <v>48</v>
      </c>
    </row>
    <row r="60" spans="1:54" s="444" customFormat="1" ht="15.75" customHeight="1" thickBot="1" x14ac:dyDescent="0.25">
      <c r="A60" s="498"/>
      <c r="B60" s="1346"/>
      <c r="C60" s="1087" t="s">
        <v>798</v>
      </c>
      <c r="D60" s="697">
        <f>IFERROR(VLOOKUP(D$12,'Looked After Children'!$B$326:$H$349,7,FALSE),"")</f>
        <v>119.76047904191617</v>
      </c>
      <c r="E60" s="634">
        <f>IFERROR(VLOOKUP(E$12,'Looked After Children'!$B$326:$H$349,7,FALSE),"")</f>
        <v>216.07142857142856</v>
      </c>
      <c r="F60" s="634">
        <f>IFERROR(VLOOKUP(F$12,'Looked After Children'!$B$326:$H$349,7,FALSE),"")</f>
        <v>102.26497992576321</v>
      </c>
      <c r="G60" s="634">
        <f>IFERROR(VLOOKUP(G$12,'Looked After Children'!$B$326:$H$349,7,FALSE),"")</f>
        <v>98.829000913545386</v>
      </c>
      <c r="H60" s="634">
        <f>IFERROR(VLOOKUP(H$12,'Looked After Children'!$B$326:$H$349,7,FALSE),"")</f>
        <v>128.28777720474471</v>
      </c>
      <c r="I60" s="634">
        <f>IFERROR(VLOOKUP(I$12,'Looked After Children'!$B$326:$H$349,7,FALSE),"")</f>
        <v>127.49264465511605</v>
      </c>
      <c r="J60" s="634">
        <f>IFERROR(VLOOKUP(J$12,'Looked After Children'!$B$326:$H$349,7,FALSE),"")</f>
        <v>151.75807164971252</v>
      </c>
      <c r="K60" s="634">
        <f>IFERROR(VLOOKUP(K$12,'Looked After Children'!$B$326:$H$349,7,FALSE),"")</f>
        <v>131.9934003299835</v>
      </c>
      <c r="L60" s="634">
        <f>IFERROR(VLOOKUP(L$12,'Looked After Children'!$B$326:$H$349,7,FALSE),"")</f>
        <v>103.15822885256308</v>
      </c>
      <c r="M60" s="634">
        <f>IFERROR(VLOOKUP(M$12,'Looked After Children'!$B$326:$H$349,7,FALSE),"")</f>
        <v>130.91243997105454</v>
      </c>
      <c r="N60" s="634">
        <f>IFERROR(VLOOKUP(N$12,'Looked After Children'!$B$326:$H$349,7,FALSE),"")</f>
        <v>369.93678295481146</v>
      </c>
      <c r="O60" s="634">
        <f>IFERROR(VLOOKUP(O$12,'Looked After Children'!$B$326:$H$349,7,FALSE),"")</f>
        <v>156.57934357121349</v>
      </c>
      <c r="P60" s="634">
        <f>IFERROR(VLOOKUP(P$12,'Looked After Children'!$B$326:$H$349,7,FALSE),"")</f>
        <v>134.76347634763476</v>
      </c>
      <c r="Q60" s="634">
        <f>IFERROR(VLOOKUP(Q$12,'Looked After Children'!$B$326:$H$349,7,FALSE),"")</f>
        <v>110.10931141785686</v>
      </c>
      <c r="R60" s="634">
        <f>IFERROR(VLOOKUP(R$12,'Looked After Children'!$B$326:$H$349,7,FALSE),"")</f>
        <v>156.38575152041705</v>
      </c>
      <c r="S60" s="634">
        <f>IFERROR(VLOOKUP(S$12,'Looked After Children'!$B$326:$H$349,7,FALSE),"")</f>
        <v>106.29806994630678</v>
      </c>
      <c r="T60" s="634">
        <f>IFERROR(VLOOKUP(T$12,'Looked After Children'!$B$326:$H$349,7,FALSE),"")</f>
        <v>185.07342587004629</v>
      </c>
      <c r="U60" s="634">
        <f>IFERROR(VLOOKUP(U$12,'Looked After Children'!$B$326:$H$349,7,FALSE),"")</f>
        <v>233.83266350018269</v>
      </c>
      <c r="V60" s="634">
        <f>IFERROR(VLOOKUP(V$12,'Looked After Children'!$B$326:$H$349,7,FALSE),"")</f>
        <v>156.02836879432624</v>
      </c>
      <c r="W60" s="634">
        <f>IFERROR(VLOOKUP(W$12,'Looked After Children'!$B$326:$H$349,7,FALSE),"")</f>
        <v>107.04533042053522</v>
      </c>
      <c r="X60" s="634">
        <f>IFERROR(VLOOKUP(X$12,'Looked After Children'!$B$326:$H$349,7,FALSE),"")</f>
        <v>105.7934508816121</v>
      </c>
      <c r="Y60" s="636">
        <f>IFERROR(VLOOKUP(Y$12,'Looked After Children'!$B$326:$H$349,7,FALSE),"")</f>
        <v>92.8948029123776</v>
      </c>
      <c r="Z60" s="1098">
        <f>IFERROR(VLOOKUP(Z$12,'Looked After Children'!$B$326:$H$349,7,FALSE),"")</f>
        <v>131.82637690712056</v>
      </c>
      <c r="AA60" s="1272">
        <f>IFERROR(VLOOKUP(AA$12,'Looked After Children'!$B$326:$H$349,7,FALSE),"")</f>
        <v>149.5541853202559</v>
      </c>
      <c r="AB60" s="501"/>
      <c r="AC60" s="739"/>
      <c r="AD60" s="502"/>
      <c r="AE60" s="503"/>
      <c r="AF60" s="503"/>
      <c r="AG60" s="503"/>
      <c r="AH60" s="503"/>
      <c r="AI60" s="503"/>
      <c r="AJ60" s="503"/>
      <c r="AK60" s="503"/>
      <c r="AL60" s="503"/>
      <c r="AM60" s="503"/>
      <c r="AN60" s="503"/>
      <c r="AO60" s="503"/>
      <c r="AP60" s="503"/>
      <c r="AQ60" s="503"/>
      <c r="AR60" s="503"/>
      <c r="AS60" s="503"/>
      <c r="AT60" s="503"/>
      <c r="AU60" s="503"/>
      <c r="AV60" s="503"/>
      <c r="AW60" s="503"/>
      <c r="AX60" s="503"/>
      <c r="AY60" s="503"/>
      <c r="AZ60" s="503"/>
      <c r="BA60" s="503"/>
      <c r="BB60" s="444">
        <f t="shared" si="2"/>
        <v>49</v>
      </c>
    </row>
    <row r="61" spans="1:54" s="444" customFormat="1" ht="23.25" customHeight="1" x14ac:dyDescent="0.2">
      <c r="A61" s="498"/>
      <c r="B61" s="1344" t="s">
        <v>800</v>
      </c>
      <c r="C61" s="499" t="str">
        <f>"Children who Started to be Looked After during the "&amp;Sheet1!$G$3&amp;", Rate per 10,000 0-17 Year Olds"</f>
        <v>Children who Started to be Looked After during the Year ending 31st March, Rate per 10,000 0-17 Year Olds</v>
      </c>
      <c r="D61" s="1076">
        <f>IFERROR(VLOOKUP(D$12,New_Ceased_LAC!$B$7:$P$33,14,FALSE),"")</f>
        <v>29.681978798586574</v>
      </c>
      <c r="E61" s="1077">
        <f>IFERROR(VLOOKUP(E$12,New_Ceased_LAC!$B$7:$P$33,14,FALSE),"")</f>
        <v>30.784313725490197</v>
      </c>
      <c r="F61" s="1077">
        <f>IFERROR(VLOOKUP(F$12,New_Ceased_LAC!$B$7:$P$33,14,FALSE),"")</f>
        <v>16.814159292035399</v>
      </c>
      <c r="G61" s="1077">
        <f>IFERROR(VLOOKUP(G$12,New_Ceased_LAC!$B$7:$P$33,14,FALSE),"")</f>
        <v>18.045112781954888</v>
      </c>
      <c r="H61" s="1077">
        <f>IFERROR(VLOOKUP(H$12,New_Ceased_LAC!$B$7:$P$33,14,FALSE),"")</f>
        <v>22.95774647887324</v>
      </c>
      <c r="I61" s="1077">
        <f>IFERROR(VLOOKUP(I$12,New_Ceased_LAC!$B$7:$P$33,14,FALSE),"")</f>
        <v>29.718875502008032</v>
      </c>
      <c r="J61" s="1077">
        <f>IFERROR(VLOOKUP(J$12,New_Ceased_LAC!$B$7:$P$33,14,FALSE),"")</f>
        <v>20.464569244339902</v>
      </c>
      <c r="K61" s="1077">
        <f>IFERROR(VLOOKUP(K$12,New_Ceased_LAC!$B$7:$P$33,14,FALSE),"")</f>
        <v>25.93167701863354</v>
      </c>
      <c r="L61" s="1077">
        <f>IFERROR(VLOOKUP(L$12,New_Ceased_LAC!$B$7:$P$33,14,FALSE),"")</f>
        <v>23.718887262079061</v>
      </c>
      <c r="M61" s="1077">
        <f>IFERROR(VLOOKUP(M$12,New_Ceased_LAC!$B$7:$P$33,14,FALSE),"")</f>
        <v>24.516574585635361</v>
      </c>
      <c r="N61" s="1077">
        <f>IFERROR(VLOOKUP(N$12,New_Ceased_LAC!$B$7:$P$33,14,FALSE),"")</f>
        <v>52.045454545454547</v>
      </c>
      <c r="O61" s="1077">
        <f>IFERROR(VLOOKUP(O$12,New_Ceased_LAC!$B$7:$P$33,14,FALSE),"")</f>
        <v>23.989218328840973</v>
      </c>
      <c r="P61" s="1077">
        <f>IFERROR(VLOOKUP(P$12,New_Ceased_LAC!$B$7:$P$33,14,FALSE),"")</f>
        <v>31.381733021077284</v>
      </c>
      <c r="Q61" s="1077">
        <f>IFERROR(VLOOKUP(Q$12,New_Ceased_LAC!$B$7:$P$33,14,FALSE),"")</f>
        <v>17.524841915085815</v>
      </c>
      <c r="R61" s="1077">
        <f>IFERROR(VLOOKUP(R$12,New_Ceased_LAC!$B$7:$P$33,14,FALSE),"")</f>
        <v>33.464566929133859</v>
      </c>
      <c r="S61" s="1077">
        <f>IFERROR(VLOOKUP(S$12,New_Ceased_LAC!$B$7:$P$33,14,FALSE),"")</f>
        <v>16.60939289805269</v>
      </c>
      <c r="T61" s="1077">
        <f>IFERROR(VLOOKUP(T$12,New_Ceased_LAC!$B$7:$P$33,14,FALSE),"")</f>
        <v>27.290836653386457</v>
      </c>
      <c r="U61" s="1077">
        <f>IFERROR(VLOOKUP(U$12,New_Ceased_LAC!$B$7:$P$33,14,FALSE),"")</f>
        <v>57.874015748031496</v>
      </c>
      <c r="V61" s="1077">
        <f>IFERROR(VLOOKUP(V$12,New_Ceased_LAC!$B$7:$P$33,14,FALSE),"")</f>
        <v>22.191011235955056</v>
      </c>
      <c r="W61" s="1077">
        <f>IFERROR(VLOOKUP(W$12,New_Ceased_LAC!$B$7:$P$33,14,FALSE),"")</f>
        <v>19.805380652547221</v>
      </c>
      <c r="X61" s="1077">
        <f>IFERROR(VLOOKUP(X$12,New_Ceased_LAC!$B$7:$P$33,14,FALSE),"")</f>
        <v>18.786127167630056</v>
      </c>
      <c r="Y61" s="1078">
        <f>IFERROR(VLOOKUP(Y$12,New_Ceased_LAC!$B$7:$P$33,14,FALSE),"")</f>
        <v>15.69620253164557</v>
      </c>
      <c r="Z61" s="1097">
        <f>IFERROR(VLOOKUP(Z$12,New_Ceased_LAC!$B$7:$P$33,14,FALSE),"")</f>
        <v>22.274445693266578</v>
      </c>
      <c r="AA61" s="1270">
        <f>IFERROR(VLOOKUP(AA$12,New_Ceased_LAC!$B$7:$P$33,14,FALSE),"")</f>
        <v>26.500259314406172</v>
      </c>
      <c r="AB61" s="501"/>
      <c r="AC61" s="739"/>
      <c r="AD61" s="502"/>
      <c r="AE61" s="503"/>
      <c r="AF61" s="503"/>
      <c r="AG61" s="503"/>
      <c r="AH61" s="503"/>
      <c r="AI61" s="503"/>
      <c r="AJ61" s="503"/>
      <c r="AK61" s="503"/>
      <c r="AL61" s="503"/>
      <c r="AM61" s="503"/>
      <c r="AN61" s="503"/>
      <c r="AO61" s="503"/>
      <c r="AP61" s="503"/>
      <c r="AQ61" s="503"/>
      <c r="AR61" s="503"/>
      <c r="AS61" s="503"/>
      <c r="AT61" s="503"/>
      <c r="AU61" s="503"/>
      <c r="AV61" s="503"/>
      <c r="AW61" s="503"/>
      <c r="AX61" s="503"/>
      <c r="AY61" s="503"/>
      <c r="AZ61" s="503"/>
      <c r="BA61" s="503"/>
      <c r="BB61" s="444">
        <f t="shared" ref="BB61:BB66" si="3">ROW(BC61)-11</f>
        <v>50</v>
      </c>
    </row>
    <row r="62" spans="1:54" s="444" customFormat="1" ht="23.25" customHeight="1" x14ac:dyDescent="0.2">
      <c r="A62" s="498"/>
      <c r="B62" s="1345"/>
      <c r="C62" s="504" t="str">
        <f>"% Children who Started to be Looked After during the "&amp;Sheet1!$G$3&amp;", who were Remanded into Local Authority Care"</f>
        <v>% Children who Started to be Looked After during the Year ending 31st March, who were Remanded into Local Authority Care</v>
      </c>
      <c r="D62" s="689" t="str">
        <f>IFERROR(VLOOKUP(D$12,New_Ceased_LAC!$B$75:$H$100,7,FALSE),"")</f>
        <v/>
      </c>
      <c r="E62" s="505" t="str">
        <f>IFERROR(VLOOKUP(E$12,New_Ceased_LAC!$B$75:$H$100,7,FALSE),"")</f>
        <v/>
      </c>
      <c r="F62" s="505" t="str">
        <f>IFERROR(VLOOKUP(F$12,New_Ceased_LAC!$B$75:$H$100,7,FALSE),"")</f>
        <v/>
      </c>
      <c r="G62" s="505" t="str">
        <f>IFERROR(VLOOKUP(G$12,New_Ceased_LAC!$B$75:$H$100,7,FALSE),"")</f>
        <v/>
      </c>
      <c r="H62" s="505">
        <f>IFERROR(VLOOKUP(H$12,New_Ceased_LAC!$B$75:$H$100,7,FALSE),"")</f>
        <v>1.8404907975460124E-2</v>
      </c>
      <c r="I62" s="505" t="str">
        <f>IFERROR(VLOOKUP(I$12,New_Ceased_LAC!$B$75:$H$100,7,FALSE),"")</f>
        <v/>
      </c>
      <c r="J62" s="505" t="str">
        <f>IFERROR(VLOOKUP(J$12,New_Ceased_LAC!$B$75:$H$100,7,FALSE),"")</f>
        <v/>
      </c>
      <c r="K62" s="505" t="str">
        <f>IFERROR(VLOOKUP(K$12,New_Ceased_LAC!$B$75:$H$100,7,FALSE),"")</f>
        <v/>
      </c>
      <c r="L62" s="505" t="str">
        <f>IFERROR(VLOOKUP(L$12,New_Ceased_LAC!$B$75:$H$100,7,FALSE),"")</f>
        <v/>
      </c>
      <c r="M62" s="505" t="str">
        <f>IFERROR(VLOOKUP(M$12,New_Ceased_LAC!$B$75:$H$100,7,FALSE),"")</f>
        <v/>
      </c>
      <c r="N62" s="505" t="str">
        <f>IFERROR(VLOOKUP(N$12,New_Ceased_LAC!$B$75:$H$100,7,FALSE),"")</f>
        <v/>
      </c>
      <c r="O62" s="505" t="str">
        <f>IFERROR(VLOOKUP(O$12,New_Ceased_LAC!$B$75:$H$100,7,FALSE),"")</f>
        <v/>
      </c>
      <c r="P62" s="505">
        <f>IFERROR(VLOOKUP(P$12,New_Ceased_LAC!$B$75:$H$100,7,FALSE),"")</f>
        <v>5.9701492537313432E-2</v>
      </c>
      <c r="Q62" s="505" t="str">
        <f>IFERROR(VLOOKUP(Q$12,New_Ceased_LAC!$B$75:$H$100,7,FALSE),"")</f>
        <v/>
      </c>
      <c r="R62" s="505">
        <f>IFERROR(VLOOKUP(R$12,New_Ceased_LAC!$B$75:$H$100,7,FALSE),"")</f>
        <v>4.7058823529411764E-2</v>
      </c>
      <c r="S62" s="505" t="str">
        <f>IFERROR(VLOOKUP(S$12,New_Ceased_LAC!$B$75:$H$100,7,FALSE),"")</f>
        <v/>
      </c>
      <c r="T62" s="505" t="str">
        <f>IFERROR(VLOOKUP(T$12,New_Ceased_LAC!$B$75:$H$100,7,FALSE),"")</f>
        <v/>
      </c>
      <c r="U62" s="505">
        <f>IFERROR(VLOOKUP(U$12,New_Ceased_LAC!$B$75:$H$100,7,FALSE),"")</f>
        <v>0</v>
      </c>
      <c r="V62" s="505">
        <f>IFERROR(VLOOKUP(V$12,New_Ceased_LAC!$B$75:$H$100,7,FALSE),"")</f>
        <v>0</v>
      </c>
      <c r="W62" s="505" t="str">
        <f>IFERROR(VLOOKUP(W$12,New_Ceased_LAC!$B$75:$H$100,7,FALSE),"")</f>
        <v/>
      </c>
      <c r="X62" s="505">
        <f>IFERROR(VLOOKUP(X$12,New_Ceased_LAC!$B$75:$H$100,7,FALSE),"")</f>
        <v>0</v>
      </c>
      <c r="Y62" s="630" t="str">
        <f>IFERROR(VLOOKUP(Y$12,New_Ceased_LAC!$B$75:$H$100,7,FALSE),"")</f>
        <v/>
      </c>
      <c r="Z62" s="1092">
        <f>IFERROR(VLOOKUP(Z$12,New_Ceased_LAC!$B$75:$H$100,7,FALSE),"")</f>
        <v>1.6055045871559634E-2</v>
      </c>
      <c r="AA62" s="1273">
        <f>IFERROR(VLOOKUP(AA$12,New_Ceased_LAC!$B$75:$H$100,7,FALSE),"")</f>
        <v>2.462121212121212E-2</v>
      </c>
      <c r="AB62" s="501"/>
      <c r="AC62" s="739"/>
      <c r="AD62" s="502"/>
      <c r="AE62" s="503"/>
      <c r="AF62" s="503"/>
      <c r="AG62" s="503"/>
      <c r="AH62" s="503"/>
      <c r="AI62" s="503"/>
      <c r="AJ62" s="503"/>
      <c r="AK62" s="503"/>
      <c r="AL62" s="503"/>
      <c r="AM62" s="503"/>
      <c r="AN62" s="503"/>
      <c r="AO62" s="503"/>
      <c r="AP62" s="503"/>
      <c r="AQ62" s="503"/>
      <c r="AR62" s="503"/>
      <c r="AS62" s="503"/>
      <c r="AT62" s="503"/>
      <c r="AU62" s="503"/>
      <c r="AV62" s="503"/>
      <c r="AW62" s="503"/>
      <c r="AX62" s="503"/>
      <c r="AY62" s="503"/>
      <c r="AZ62" s="503"/>
      <c r="BA62" s="503"/>
      <c r="BB62" s="444">
        <f t="shared" si="3"/>
        <v>51</v>
      </c>
    </row>
    <row r="63" spans="1:54" s="444" customFormat="1" ht="23.25" customHeight="1" x14ac:dyDescent="0.2">
      <c r="A63" s="498"/>
      <c r="B63" s="1345"/>
      <c r="C63" s="504" t="str">
        <f>"Children who Ceased to be Looked After during the "&amp;Sheet1!$G$3&amp;", Rate per 10,000 0-17 Year Olds"</f>
        <v>Children who Ceased to be Looked After during the Year ending 31st March, Rate per 10,000 0-17 Year Olds</v>
      </c>
      <c r="D63" s="696">
        <f>IFERROR(VLOOKUP(D$12,New_Ceased_LAC!$B$114:$P$140,14,FALSE),"")</f>
        <v>22.968197879858657</v>
      </c>
      <c r="E63" s="633">
        <f>IFERROR(VLOOKUP(E$12,New_Ceased_LAC!$B$114:$P$140,14,FALSE),"")</f>
        <v>36.666666666666664</v>
      </c>
      <c r="F63" s="633">
        <f>IFERROR(VLOOKUP(F$12,New_Ceased_LAC!$B$114:$P$140,14,FALSE),"")</f>
        <v>13.676588897827836</v>
      </c>
      <c r="G63" s="633">
        <f>IFERROR(VLOOKUP(G$12,New_Ceased_LAC!$B$114:$P$140,14,FALSE),"")</f>
        <v>18.045112781954888</v>
      </c>
      <c r="H63" s="633">
        <f>IFERROR(VLOOKUP(H$12,New_Ceased_LAC!$B$114:$P$140,14,FALSE),"")</f>
        <v>20.880281690140844</v>
      </c>
      <c r="I63" s="633">
        <f>IFERROR(VLOOKUP(I$12,New_Ceased_LAC!$B$114:$P$140,14,FALSE),"")</f>
        <v>24.497991967871485</v>
      </c>
      <c r="J63" s="633">
        <f>IFERROR(VLOOKUP(J$12,New_Ceased_LAC!$B$114:$P$140,14,FALSE),"")</f>
        <v>22.43457806527492</v>
      </c>
      <c r="K63" s="633">
        <f>IFERROR(VLOOKUP(K$12,New_Ceased_LAC!$B$114:$P$140,14,FALSE),"")</f>
        <v>24.534161490683232</v>
      </c>
      <c r="L63" s="633">
        <f>IFERROR(VLOOKUP(L$12,New_Ceased_LAC!$B$114:$P$140,14,FALSE),"")</f>
        <v>25.329428989751101</v>
      </c>
      <c r="M63" s="633">
        <f>IFERROR(VLOOKUP(M$12,New_Ceased_LAC!$B$114:$P$140,14,FALSE),"")</f>
        <v>18.853591160220994</v>
      </c>
      <c r="N63" s="633">
        <f>IFERROR(VLOOKUP(N$12,New_Ceased_LAC!$B$114:$P$140,14,FALSE),"")</f>
        <v>36.590909090909093</v>
      </c>
      <c r="O63" s="633">
        <f>IFERROR(VLOOKUP(O$12,New_Ceased_LAC!$B$114:$P$140,14,FALSE),"")</f>
        <v>25.60646900269542</v>
      </c>
      <c r="P63" s="633">
        <f>IFERROR(VLOOKUP(P$12,New_Ceased_LAC!$B$114:$P$140,14,FALSE),"")</f>
        <v>29.742388758782205</v>
      </c>
      <c r="Q63" s="633">
        <f>IFERROR(VLOOKUP(Q$12,New_Ceased_LAC!$B$114:$P$140,14,FALSE),"")</f>
        <v>16.621499548328817</v>
      </c>
      <c r="R63" s="633">
        <f>IFERROR(VLOOKUP(R$12,New_Ceased_LAC!$B$114:$P$140,14,FALSE),"")</f>
        <v>42.125984251968504</v>
      </c>
      <c r="S63" s="633">
        <f>IFERROR(VLOOKUP(S$12,New_Ceased_LAC!$B$114:$P$140,14,FALSE),"")</f>
        <v>15.043909889270715</v>
      </c>
      <c r="T63" s="633">
        <f>IFERROR(VLOOKUP(T$12,New_Ceased_LAC!$B$114:$P$140,14,FALSE),"")</f>
        <v>29.681274900398407</v>
      </c>
      <c r="U63" s="633">
        <f>IFERROR(VLOOKUP(U$12,New_Ceased_LAC!$B$114:$P$140,14,FALSE),"")</f>
        <v>46.456692913385822</v>
      </c>
      <c r="V63" s="633">
        <f>IFERROR(VLOOKUP(V$12,New_Ceased_LAC!$B$114:$P$140,14,FALSE),"")</f>
        <v>14.887640449438202</v>
      </c>
      <c r="W63" s="633">
        <f>IFERROR(VLOOKUP(W$12,New_Ceased_LAC!$B$114:$P$140,14,FALSE),"")</f>
        <v>20.263308528906698</v>
      </c>
      <c r="X63" s="633">
        <f>IFERROR(VLOOKUP(X$12,New_Ceased_LAC!$B$114:$P$140,14,FALSE),"")</f>
        <v>15.028901734104045</v>
      </c>
      <c r="Y63" s="635">
        <f>IFERROR(VLOOKUP(Y$12,New_Ceased_LAC!$B$114:$P$140,14,FALSE),"")</f>
        <v>14.683544303797468</v>
      </c>
      <c r="Z63" s="1099">
        <f>IFERROR(VLOOKUP(Z$12,New_Ceased_LAC!$B$114:$P$140,14,FALSE),"")</f>
        <v>21.149425287356323</v>
      </c>
      <c r="AA63" s="1271">
        <f>IFERROR(VLOOKUP(AA$12,New_Ceased_LAC!$B$114:$P$140,14,FALSE),"")</f>
        <v>24.643233566995132</v>
      </c>
      <c r="AB63" s="501"/>
      <c r="AC63" s="739"/>
      <c r="AD63" s="502"/>
      <c r="AE63" s="503"/>
      <c r="AF63" s="503"/>
      <c r="AG63" s="503"/>
      <c r="AH63" s="503"/>
      <c r="AI63" s="503"/>
      <c r="AJ63" s="503"/>
      <c r="AK63" s="503"/>
      <c r="AL63" s="503"/>
      <c r="AM63" s="503"/>
      <c r="AN63" s="503"/>
      <c r="AO63" s="503"/>
      <c r="AP63" s="503"/>
      <c r="AQ63" s="503"/>
      <c r="AR63" s="503"/>
      <c r="AS63" s="503"/>
      <c r="AT63" s="503"/>
      <c r="AU63" s="503"/>
      <c r="AV63" s="503"/>
      <c r="AW63" s="503"/>
      <c r="AX63" s="503"/>
      <c r="AY63" s="503"/>
      <c r="AZ63" s="503"/>
      <c r="BA63" s="503"/>
      <c r="BB63" s="444">
        <f t="shared" si="3"/>
        <v>52</v>
      </c>
    </row>
    <row r="64" spans="1:54" s="444" customFormat="1" ht="23.25" customHeight="1" x14ac:dyDescent="0.2">
      <c r="A64" s="498"/>
      <c r="B64" s="1345"/>
      <c r="C64" s="1086" t="str">
        <f>"% Children who ceased to be Looked After during the "&amp;Sheet1!$G$3&amp;" who were granted a Child Arrangement Order"</f>
        <v>% Children who ceased to be Looked After during the Year ending 31st March who were granted a Child Arrangement Order</v>
      </c>
      <c r="D64" s="689" t="str">
        <f>IFERROR(VLOOKUP(D$12,New_Ceased_LAC!$B$220:$H$243,7,FALSE),"")</f>
        <v/>
      </c>
      <c r="E64" s="505" t="str">
        <f>IFERROR(VLOOKUP(E$12,New_Ceased_LAC!$B$220:$H$243,7,FALSE),"")</f>
        <v/>
      </c>
      <c r="F64" s="505" t="str">
        <f>IFERROR(VLOOKUP(F$12,New_Ceased_LAC!$B$220:$H$243,7,FALSE),"")</f>
        <v/>
      </c>
      <c r="G64" s="505" t="str">
        <f>IFERROR(VLOOKUP(G$12,New_Ceased_LAC!$B$220:$H$243,7,FALSE),"")</f>
        <v/>
      </c>
      <c r="H64" s="505">
        <f>IFERROR(VLOOKUP(H$12,New_Ceased_LAC!$B$220:$H$243,7,FALSE),"")</f>
        <v>3.0354131534569982E-2</v>
      </c>
      <c r="I64" s="505" t="str">
        <f>IFERROR(VLOOKUP(I$12,New_Ceased_LAC!$B$220:$H$243,7,FALSE),"")</f>
        <v/>
      </c>
      <c r="J64" s="505">
        <f>IFERROR(VLOOKUP(J$12,New_Ceased_LAC!$B$220:$H$243,7,FALSE),"")</f>
        <v>1.310615989515072E-2</v>
      </c>
      <c r="K64" s="505" t="str">
        <f>IFERROR(VLOOKUP(K$12,New_Ceased_LAC!$B$220:$H$243,7,FALSE),"")</f>
        <v/>
      </c>
      <c r="L64" s="505" t="str">
        <f>IFERROR(VLOOKUP(L$12,New_Ceased_LAC!$B$220:$H$243,7,FALSE),"")</f>
        <v/>
      </c>
      <c r="M64" s="505">
        <f>IFERROR(VLOOKUP(M$12,New_Ceased_LAC!$B$220:$H$243,7,FALSE),"")</f>
        <v>6.95970695970696E-2</v>
      </c>
      <c r="N64" s="505">
        <f>IFERROR(VLOOKUP(N$12,New_Ceased_LAC!$B$220:$H$243,7,FALSE),"")</f>
        <v>6.2111801242236024E-2</v>
      </c>
      <c r="O64" s="505">
        <f>IFERROR(VLOOKUP(O$12,New_Ceased_LAC!$B$220:$H$243,7,FALSE),"")</f>
        <v>0</v>
      </c>
      <c r="P64" s="505" t="str">
        <f>IFERROR(VLOOKUP(P$12,New_Ceased_LAC!$B$220:$H$243,7,FALSE),"")</f>
        <v/>
      </c>
      <c r="Q64" s="505" t="str">
        <f>IFERROR(VLOOKUP(Q$12,New_Ceased_LAC!$B$220:$H$243,7,FALSE),"")</f>
        <v/>
      </c>
      <c r="R64" s="505">
        <f>IFERROR(VLOOKUP(R$12,New_Ceased_LAC!$B$220:$H$243,7,FALSE),"")</f>
        <v>3.7383177570093455E-2</v>
      </c>
      <c r="S64" s="505">
        <f>IFERROR(VLOOKUP(S$12,New_Ceased_LAC!$B$220:$H$243,7,FALSE),"")</f>
        <v>2.7918781725888325E-2</v>
      </c>
      <c r="T64" s="505" t="str">
        <f>IFERROR(VLOOKUP(T$12,New_Ceased_LAC!$B$220:$H$243,7,FALSE),"")</f>
        <v/>
      </c>
      <c r="U64" s="505">
        <f>IFERROR(VLOOKUP(U$12,New_Ceased_LAC!$B$220:$H$243,7,FALSE),"")</f>
        <v>6.7796610169491525E-2</v>
      </c>
      <c r="V64" s="505" t="str">
        <f>IFERROR(VLOOKUP(V$12,New_Ceased_LAC!$B$220:$H$243,7,FALSE),"")</f>
        <v/>
      </c>
      <c r="W64" s="505" t="str">
        <f>IFERROR(VLOOKUP(W$12,New_Ceased_LAC!$B$220:$H$243,7,FALSE),"")</f>
        <v/>
      </c>
      <c r="X64" s="505">
        <f>IFERROR(VLOOKUP(X$12,New_Ceased_LAC!$B$220:$H$243,7,FALSE),"")</f>
        <v>0</v>
      </c>
      <c r="Y64" s="630" t="str">
        <f>IFERROR(VLOOKUP(Y$12,New_Ceased_LAC!$B$220:$H$243,7,FALSE),"")</f>
        <v/>
      </c>
      <c r="Z64" s="1092">
        <f>IFERROR(VLOOKUP(Z$12,New_Ceased_LAC!$B$220:$H$243,7,FALSE),"")</f>
        <v>2.6570048309178744E-2</v>
      </c>
      <c r="AA64" s="1273">
        <f>IFERROR(VLOOKUP(AA$12,New_Ceased_LAC!$B$220:$H$243,7,FALSE),"")</f>
        <v>3.8017651052274268E-2</v>
      </c>
      <c r="AB64" s="501"/>
      <c r="AC64" s="739"/>
      <c r="AD64" s="502"/>
      <c r="AE64" s="503"/>
      <c r="AF64" s="503"/>
      <c r="AG64" s="503"/>
      <c r="AH64" s="503"/>
      <c r="AI64" s="503"/>
      <c r="AJ64" s="503"/>
      <c r="AK64" s="503"/>
      <c r="AL64" s="503"/>
      <c r="AM64" s="503"/>
      <c r="AN64" s="503"/>
      <c r="AO64" s="503"/>
      <c r="AP64" s="503"/>
      <c r="AQ64" s="503"/>
      <c r="AR64" s="503"/>
      <c r="AS64" s="503"/>
      <c r="AT64" s="503"/>
      <c r="AU64" s="503"/>
      <c r="AV64" s="503"/>
      <c r="AW64" s="503"/>
      <c r="AX64" s="503"/>
      <c r="AY64" s="503"/>
      <c r="AZ64" s="503"/>
      <c r="BA64" s="503"/>
      <c r="BB64" s="444">
        <f>ROW(BC64)-11</f>
        <v>53</v>
      </c>
    </row>
    <row r="65" spans="1:54" s="444" customFormat="1" ht="33.75" x14ac:dyDescent="0.2">
      <c r="A65" s="498"/>
      <c r="B65" s="1345"/>
      <c r="C65" s="1302" t="str">
        <f>"% Children who ceased to be Looked After during the "&amp;Sheet1!$G$3&amp;" who were granted a Special Guardianship Order"</f>
        <v>% Children who ceased to be Looked After during the Year ending 31st March who were granted a Special Guardianship Order</v>
      </c>
      <c r="D65" s="692">
        <f>IFERROR(VLOOKUP(D$12,New_Ceased_LAC!$B$256:$H$279,7,FALSE),"")</f>
        <v>0</v>
      </c>
      <c r="E65" s="521">
        <f>IFERROR(VLOOKUP(E$12,New_Ceased_LAC!$B$256:$H$279,7,FALSE),"")</f>
        <v>0.13368983957219252</v>
      </c>
      <c r="F65" s="521">
        <f>IFERROR(VLOOKUP(F$12,New_Ceased_LAC!$B$256:$H$279,7,FALSE),"")</f>
        <v>8.2352941176470587E-2</v>
      </c>
      <c r="G65" s="521">
        <f>IFERROR(VLOOKUP(G$12,New_Ceased_LAC!$B$256:$H$279,7,FALSE),"")</f>
        <v>0.125</v>
      </c>
      <c r="H65" s="521">
        <f>IFERROR(VLOOKUP(H$12,New_Ceased_LAC!$B$256:$H$279,7,FALSE),"")</f>
        <v>0.1551433389544688</v>
      </c>
      <c r="I65" s="521">
        <f>IFERROR(VLOOKUP(I$12,New_Ceased_LAC!$B$256:$H$279,7,FALSE),"")</f>
        <v>0</v>
      </c>
      <c r="J65" s="521">
        <f>IFERROR(VLOOKUP(J$12,New_Ceased_LAC!$B$256:$H$279,7,FALSE),"")</f>
        <v>5.8977719528178242E-2</v>
      </c>
      <c r="K65" s="521">
        <f>IFERROR(VLOOKUP(K$12,New_Ceased_LAC!$B$256:$H$279,7,FALSE),"")</f>
        <v>0.15822784810126583</v>
      </c>
      <c r="L65" s="521">
        <f>IFERROR(VLOOKUP(L$12,New_Ceased_LAC!$B$256:$H$279,7,FALSE),"")</f>
        <v>0.15028901734104047</v>
      </c>
      <c r="M65" s="521">
        <f>IFERROR(VLOOKUP(M$12,New_Ceased_LAC!$B$256:$H$279,7,FALSE),"")</f>
        <v>9.5238095238095233E-2</v>
      </c>
      <c r="N65" s="521">
        <f>IFERROR(VLOOKUP(N$12,New_Ceased_LAC!$B$256:$H$279,7,FALSE),"")</f>
        <v>4.3478260869565216E-2</v>
      </c>
      <c r="O65" s="521">
        <f>IFERROR(VLOOKUP(O$12,New_Ceased_LAC!$B$256:$H$279,7,FALSE),"")</f>
        <v>0.14736842105263157</v>
      </c>
      <c r="P65" s="521">
        <f>IFERROR(VLOOKUP(P$12,New_Ceased_LAC!$B$256:$H$279,7,FALSE),"")</f>
        <v>7.0866141732283464E-2</v>
      </c>
      <c r="Q65" s="521">
        <f>IFERROR(VLOOKUP(Q$12,New_Ceased_LAC!$B$256:$H$279,7,FALSE),"")</f>
        <v>7.0652173913043473E-2</v>
      </c>
      <c r="R65" s="521">
        <f>IFERROR(VLOOKUP(R$12,New_Ceased_LAC!$B$256:$H$279,7,FALSE),"")</f>
        <v>0.17289719626168223</v>
      </c>
      <c r="S65" s="521">
        <f>IFERROR(VLOOKUP(S$12,New_Ceased_LAC!$B$256:$H$279,7,FALSE),"")</f>
        <v>0.10913705583756345</v>
      </c>
      <c r="T65" s="521">
        <f>IFERROR(VLOOKUP(T$12,New_Ceased_LAC!$B$256:$H$279,7,FALSE),"")</f>
        <v>0.21476510067114093</v>
      </c>
      <c r="U65" s="521">
        <f>IFERROR(VLOOKUP(U$12,New_Ceased_LAC!$B$256:$H$279,7,FALSE),"")</f>
        <v>0.10169491525423729</v>
      </c>
      <c r="V65" s="521">
        <f>IFERROR(VLOOKUP(V$12,New_Ceased_LAC!$B$256:$H$279,7,FALSE),"")</f>
        <v>0.30188679245283018</v>
      </c>
      <c r="W65" s="521">
        <f>IFERROR(VLOOKUP(W$12,New_Ceased_LAC!$B$256:$H$279,7,FALSE),"")</f>
        <v>9.6045197740112997E-2</v>
      </c>
      <c r="X65" s="521">
        <f>IFERROR(VLOOKUP(X$12,New_Ceased_LAC!$B$256:$H$279,7,FALSE),"")</f>
        <v>0</v>
      </c>
      <c r="Y65" s="693">
        <f>IFERROR(VLOOKUP(Y$12,New_Ceased_LAC!$B$256:$H$279,7,FALSE),"")</f>
        <v>0.15517241379310345</v>
      </c>
      <c r="Z65" s="1303">
        <f>IFERROR(VLOOKUP(Z$12,New_Ceased_LAC!$B$256:$H$279,7,FALSE),"")</f>
        <v>0.11835748792270531</v>
      </c>
      <c r="AA65" s="1304">
        <f>IFERROR(VLOOKUP(AA$12,New_Ceased_LAC!$B$256:$H$279,7,FALSE),"")</f>
        <v>0.13034623217922606</v>
      </c>
      <c r="AB65" s="501"/>
      <c r="AC65" s="739"/>
      <c r="AD65" s="502"/>
      <c r="AE65" s="503"/>
      <c r="AF65" s="503"/>
      <c r="AG65" s="503"/>
      <c r="AH65" s="503"/>
      <c r="AI65" s="503"/>
      <c r="AJ65" s="503"/>
      <c r="AK65" s="503"/>
      <c r="AL65" s="503"/>
      <c r="AM65" s="503"/>
      <c r="AN65" s="503"/>
      <c r="AO65" s="503"/>
      <c r="AP65" s="503"/>
      <c r="AQ65" s="503"/>
      <c r="AR65" s="503"/>
      <c r="AS65" s="503"/>
      <c r="AT65" s="503"/>
      <c r="AU65" s="503"/>
      <c r="AV65" s="503"/>
      <c r="AW65" s="503"/>
      <c r="AX65" s="503"/>
      <c r="AY65" s="503"/>
      <c r="AZ65" s="503"/>
      <c r="BA65" s="503"/>
      <c r="BB65" s="444">
        <f>ROW(BC65)-11</f>
        <v>54</v>
      </c>
    </row>
    <row r="66" spans="1:54" s="444" customFormat="1" ht="23.25" customHeight="1" thickBot="1" x14ac:dyDescent="0.25">
      <c r="A66" s="498"/>
      <c r="B66" s="1346"/>
      <c r="C66" s="506" t="str">
        <f>"Net Number of Children becoming Looked After during the "&amp;Sheet1!$G$3&amp;", Rate per 10,000 0-17 Year Olds"</f>
        <v>Net Number of Children becoming Looked After during the Year ending 31st March, Rate per 10,000 0-17 Year Olds</v>
      </c>
      <c r="D66" s="697">
        <f>IFERROR(VLOOKUP(D$12,New_Ceased_LAC!$B$293:$Q$319,14,FALSE),"")</f>
        <v>6.7137809187279149</v>
      </c>
      <c r="E66" s="634">
        <f>IFERROR(VLOOKUP(E$12,New_Ceased_LAC!$B$293:$Q$319,14,FALSE),"")</f>
        <v>-5.8823529411764701</v>
      </c>
      <c r="F66" s="634">
        <f>IFERROR(VLOOKUP(F$12,New_Ceased_LAC!$B$293:$Q$319,14,FALSE),"")</f>
        <v>3.1375703942075623</v>
      </c>
      <c r="G66" s="634">
        <f>IFERROR(VLOOKUP(G$12,New_Ceased_LAC!$B$293:$Q$319,14,FALSE),"")</f>
        <v>0</v>
      </c>
      <c r="H66" s="634">
        <f>IFERROR(VLOOKUP(H$12,New_Ceased_LAC!$B$293:$Q$319,14,FALSE),"")</f>
        <v>2.0774647887323945</v>
      </c>
      <c r="I66" s="634">
        <f>IFERROR(VLOOKUP(I$12,New_Ceased_LAC!$B$293:$Q$319,14,FALSE),"")</f>
        <v>5.2208835341365463</v>
      </c>
      <c r="J66" s="634">
        <f>IFERROR(VLOOKUP(J$12,New_Ceased_LAC!$B$293:$Q$319,14,FALSE),"")</f>
        <v>-1.9700088209350191</v>
      </c>
      <c r="K66" s="634">
        <f>IFERROR(VLOOKUP(K$12,New_Ceased_LAC!$B$293:$Q$319,14,FALSE),"")</f>
        <v>1.3975155279503104</v>
      </c>
      <c r="L66" s="634">
        <f>IFERROR(VLOOKUP(L$12,New_Ceased_LAC!$B$293:$Q$319,14,FALSE),"")</f>
        <v>-1.6105417276720351</v>
      </c>
      <c r="M66" s="634">
        <f>IFERROR(VLOOKUP(M$12,New_Ceased_LAC!$B$293:$Q$319,14,FALSE),"")</f>
        <v>5.6629834254143638</v>
      </c>
      <c r="N66" s="634">
        <f>IFERROR(VLOOKUP(N$12,New_Ceased_LAC!$B$293:$Q$319,14,FALSE),"")</f>
        <v>15.454545454545453</v>
      </c>
      <c r="O66" s="634">
        <f>IFERROR(VLOOKUP(O$12,New_Ceased_LAC!$B$293:$Q$319,14,FALSE),"")</f>
        <v>-1.6172506738544474</v>
      </c>
      <c r="P66" s="634">
        <f>IFERROR(VLOOKUP(P$12,New_Ceased_LAC!$B$293:$Q$319,14,FALSE),"")</f>
        <v>1.639344262295082</v>
      </c>
      <c r="Q66" s="634">
        <f>IFERROR(VLOOKUP(Q$12,New_Ceased_LAC!$B$293:$Q$319,14,FALSE),"")</f>
        <v>0.90334236675700097</v>
      </c>
      <c r="R66" s="634">
        <f>IFERROR(VLOOKUP(R$12,New_Ceased_LAC!$B$293:$Q$319,14,FALSE),"")</f>
        <v>-8.6614173228346463</v>
      </c>
      <c r="S66" s="634">
        <f>IFERROR(VLOOKUP(S$12,New_Ceased_LAC!$B$293:$Q$319,14,FALSE),"")</f>
        <v>1.565483008781978</v>
      </c>
      <c r="T66" s="634">
        <f>IFERROR(VLOOKUP(T$12,New_Ceased_LAC!$B$293:$Q$319,14,FALSE),"")</f>
        <v>-2.3904382470119523</v>
      </c>
      <c r="U66" s="634">
        <f>IFERROR(VLOOKUP(U$12,New_Ceased_LAC!$B$293:$Q$319,14,FALSE),"")</f>
        <v>11.417322834645669</v>
      </c>
      <c r="V66" s="634">
        <f>IFERROR(VLOOKUP(V$12,New_Ceased_LAC!$B$293:$Q$319,14,FALSE),"")</f>
        <v>7.3033707865168536</v>
      </c>
      <c r="W66" s="634">
        <f>IFERROR(VLOOKUP(W$12,New_Ceased_LAC!$B$293:$Q$319,14,FALSE),"")</f>
        <v>-0.45792787635947341</v>
      </c>
      <c r="X66" s="634">
        <f>IFERROR(VLOOKUP(X$12,New_Ceased_LAC!$B$293:$Q$319,14,FALSE),"")</f>
        <v>3.7572254335260111</v>
      </c>
      <c r="Y66" s="636">
        <f>IFERROR(VLOOKUP(Y$12,New_Ceased_LAC!$B$293:$Q$319,14,FALSE),"")</f>
        <v>1.0126582278481013</v>
      </c>
      <c r="Z66" s="1098">
        <f>IFERROR(VLOOKUP(Z$12,New_Ceased_LAC!$B$293:$Q$319,14,FALSE),"")</f>
        <v>1.1086134668437724</v>
      </c>
      <c r="AA66" s="1272">
        <f>IFERROR(VLOOKUP(AA$12,New_Ceased_LAC!$B$293:$Q$319,14,FALSE),"")</f>
        <v>1.8570257474110385</v>
      </c>
      <c r="AB66" s="501"/>
      <c r="AC66" s="739"/>
      <c r="AD66" s="502"/>
      <c r="AE66" s="503"/>
      <c r="AF66" s="503"/>
      <c r="AG66" s="503"/>
      <c r="AH66" s="503"/>
      <c r="AI66" s="503"/>
      <c r="AJ66" s="503"/>
      <c r="AK66" s="503"/>
      <c r="AL66" s="503"/>
      <c r="AM66" s="503"/>
      <c r="AN66" s="503"/>
      <c r="AO66" s="503"/>
      <c r="AP66" s="503"/>
      <c r="AQ66" s="503"/>
      <c r="AR66" s="503"/>
      <c r="AS66" s="503"/>
      <c r="AT66" s="503"/>
      <c r="AU66" s="503"/>
      <c r="AV66" s="503"/>
      <c r="AW66" s="503"/>
      <c r="AX66" s="503"/>
      <c r="AY66" s="503"/>
      <c r="AZ66" s="503"/>
      <c r="BA66" s="503"/>
      <c r="BB66" s="444">
        <f t="shared" si="3"/>
        <v>55</v>
      </c>
    </row>
    <row r="67" spans="1:54" s="444" customFormat="1" ht="22.5" customHeight="1" x14ac:dyDescent="0.2">
      <c r="A67" s="498"/>
      <c r="B67" s="1349" t="s">
        <v>32</v>
      </c>
      <c r="C67" s="508" t="str">
        <f>"Children placed for Adoption at "&amp;Sheet1!$H$3&amp;", Rate per 10,000 0-17 Year Olds"</f>
        <v>Children placed for Adoption at 31st March, Rate per 10,000 0-17 Year Olds</v>
      </c>
      <c r="D67" s="687" t="str">
        <f>IFERROR(VLOOKUP(D12,Adoption!$B$10:$P$33,15,FALSE),"")</f>
        <v/>
      </c>
      <c r="E67" s="500">
        <f>IFERROR(VLOOKUP(E12,Adoption!$B$10:$P$33,15,FALSE),"")</f>
        <v>1.9607843137254901</v>
      </c>
      <c r="F67" s="500">
        <f>IFERROR(VLOOKUP(F12,Adoption!$B$10:$P$33,15,FALSE),"")</f>
        <v>1.4481094127111824</v>
      </c>
      <c r="G67" s="500" t="str">
        <f>IFERROR(VLOOKUP(G12,Adoption!$B$10:$P$33,15,FALSE),"")</f>
        <v/>
      </c>
      <c r="H67" s="500">
        <f>IFERROR(VLOOKUP(H12,Adoption!$B$10:$P$33,15,FALSE),"")</f>
        <v>1.6901408450704225</v>
      </c>
      <c r="I67" s="500" t="str">
        <f>IFERROR(VLOOKUP(I12,Adoption!$B$10:$P$33,15,FALSE),"")</f>
        <v/>
      </c>
      <c r="J67" s="500">
        <f>IFERROR(VLOOKUP(J12,Adoption!$B$10:$P$33,15,FALSE),"")</f>
        <v>1.1173184357541899</v>
      </c>
      <c r="K67" s="500">
        <f>IFERROR(VLOOKUP(K12,Adoption!$B$10:$P$33,15,FALSE),"")</f>
        <v>1.5527950310559007</v>
      </c>
      <c r="L67" s="500">
        <f>IFERROR(VLOOKUP(L12,Adoption!$B$10:$P$33,15,FALSE),"")</f>
        <v>0.87847730600292828</v>
      </c>
      <c r="M67" s="500">
        <f>IFERROR(VLOOKUP(M12,Adoption!$B$10:$P$33,15,FALSE),"")</f>
        <v>2.0027624309392262</v>
      </c>
      <c r="N67" s="500" t="str">
        <f>IFERROR(VLOOKUP(N12,Adoption!$B$10:$P$33,15,FALSE),"")</f>
        <v/>
      </c>
      <c r="O67" s="500">
        <f>IFERROR(VLOOKUP(O12,Adoption!$B$10:$P$33,15,FALSE),"")</f>
        <v>1.8867924528301885</v>
      </c>
      <c r="P67" s="500" t="str">
        <f>IFERROR(VLOOKUP(P12,Adoption!$B$10:$P$33,15,FALSE),"")</f>
        <v/>
      </c>
      <c r="Q67" s="500" t="str">
        <f>IFERROR(VLOOKUP(Q12,Adoption!$B$10:$P$33,15,FALSE),"")</f>
        <v/>
      </c>
      <c r="R67" s="500">
        <f>IFERROR(VLOOKUP(R12,Adoption!$B$10:$P$33,15,FALSE),"")</f>
        <v>2.5590551181102366</v>
      </c>
      <c r="S67" s="500">
        <f>IFERROR(VLOOKUP(S12,Adoption!$B$10:$P$33,15,FALSE),"")</f>
        <v>0.49637266132111491</v>
      </c>
      <c r="T67" s="500">
        <f>IFERROR(VLOOKUP(T12,Adoption!$B$10:$P$33,15,FALSE),"")</f>
        <v>1.9920318725099602</v>
      </c>
      <c r="U67" s="500">
        <f>IFERROR(VLOOKUP(U12,Adoption!$B$10:$P$33,15,FALSE),"")</f>
        <v>8.2677165354330704</v>
      </c>
      <c r="V67" s="500" t="str">
        <f>IFERROR(VLOOKUP(V12,Adoption!$B$10:$P$33,15,FALSE),"")</f>
        <v/>
      </c>
      <c r="W67" s="500">
        <f>IFERROR(VLOOKUP(W12,Adoption!$B$10:$P$33,15,FALSE),"")</f>
        <v>2.0034344590726958</v>
      </c>
      <c r="X67" s="500" t="str">
        <f>IFERROR(VLOOKUP(X12,Adoption!$B$10:$P$33,15,FALSE),"")</f>
        <v/>
      </c>
      <c r="Y67" s="688" t="str">
        <f>IFERROR(VLOOKUP(Y12,Adoption!$B$10:$P$33,15,FALSE),"")</f>
        <v/>
      </c>
      <c r="Z67" s="1090">
        <f>IFERROR(VLOOKUP(Z12,Adoption!$B$10:$P$33,15,FALSE),"")</f>
        <v>1.7484700886724116</v>
      </c>
      <c r="AA67" s="1225">
        <f>IFERROR(VLOOKUP(AA12,Adoption!$B$10:$P$33,15,FALSE),"")</f>
        <v>1.8319308048784566</v>
      </c>
      <c r="AB67" s="501"/>
      <c r="AC67" s="739"/>
      <c r="AD67" s="502"/>
      <c r="AE67" s="503"/>
      <c r="AF67" s="503"/>
      <c r="AG67" s="503"/>
      <c r="AH67" s="503"/>
      <c r="AI67" s="503"/>
      <c r="AJ67" s="503"/>
      <c r="AK67" s="503"/>
      <c r="AL67" s="503"/>
      <c r="AM67" s="503"/>
      <c r="AN67" s="503"/>
      <c r="AO67" s="503"/>
      <c r="AP67" s="503"/>
      <c r="AQ67" s="503"/>
      <c r="AR67" s="503"/>
      <c r="AS67" s="503"/>
      <c r="AT67" s="503"/>
      <c r="AU67" s="503"/>
      <c r="AV67" s="503"/>
      <c r="AW67" s="503"/>
      <c r="AX67" s="503"/>
      <c r="AY67" s="503"/>
      <c r="AZ67" s="503"/>
      <c r="BA67" s="503"/>
      <c r="BB67" s="444">
        <f>ROW(BC67)-11</f>
        <v>56</v>
      </c>
    </row>
    <row r="68" spans="1:54" s="444" customFormat="1" ht="19.5" customHeight="1" thickBot="1" x14ac:dyDescent="0.25">
      <c r="A68" s="498"/>
      <c r="B68" s="1354"/>
      <c r="C68" s="510" t="s">
        <v>221</v>
      </c>
      <c r="D68" s="690">
        <f>IFERROR(VLOOKUP(D12,Adoption!$B$78:$H$101,7,FALSE),"")</f>
        <v>0.1076923076923077</v>
      </c>
      <c r="E68" s="507">
        <f>IFERROR(VLOOKUP(E12,Adoption!$B$78:$H$101,7,FALSE),"")</f>
        <v>0.18181818181818182</v>
      </c>
      <c r="F68" s="507">
        <f>IFERROR(VLOOKUP(F12,Adoption!$B$78:$H$101,7,FALSE),"")</f>
        <v>0.10588235294117647</v>
      </c>
      <c r="G68" s="507">
        <f>IFERROR(VLOOKUP(G12,Adoption!$B$78:$H$101,7,FALSE),"")</f>
        <v>0.15625</v>
      </c>
      <c r="H68" s="507">
        <f>IFERROR(VLOOKUP(H12,Adoption!$B$78:$H$101,7,FALSE),"")</f>
        <v>0.1163575042158516</v>
      </c>
      <c r="I68" s="507">
        <f>IFERROR(VLOOKUP(I12,Adoption!$B$78:$H$101,7,FALSE),"")</f>
        <v>0.18032786885245902</v>
      </c>
      <c r="J68" s="507">
        <f>IFERROR(VLOOKUP(J12,Adoption!$B$78:$H$101,7,FALSE),"")</f>
        <v>0.12581913499344691</v>
      </c>
      <c r="K68" s="507">
        <f>IFERROR(VLOOKUP(K12,Adoption!$B$78:$H$101,7,FALSE),"")</f>
        <v>0.15189873417721519</v>
      </c>
      <c r="L68" s="507">
        <f>IFERROR(VLOOKUP(L12,Adoption!$B$78:$H$101,7,FALSE),"")</f>
        <v>0.11560693641618497</v>
      </c>
      <c r="M68" s="507">
        <f>IFERROR(VLOOKUP(M12,Adoption!$B$78:$H$101,7,FALSE),"")</f>
        <v>9.1575091575091569E-2</v>
      </c>
      <c r="N68" s="507">
        <f>IFERROR(VLOOKUP(N12,Adoption!$B$78:$H$101,7,FALSE),"")</f>
        <v>9.3167701863354033E-2</v>
      </c>
      <c r="O68" s="507">
        <f>IFERROR(VLOOKUP(O12,Adoption!$B$78:$H$101,7,FALSE),"")</f>
        <v>0.21052631578947367</v>
      </c>
      <c r="P68" s="507">
        <f>IFERROR(VLOOKUP(P12,Adoption!$B$78:$H$101,7,FALSE),"")</f>
        <v>0.11023622047244094</v>
      </c>
      <c r="Q68" s="507">
        <f>IFERROR(VLOOKUP(Q12,Adoption!$B$78:$H$101,7,FALSE),"")</f>
        <v>0.125</v>
      </c>
      <c r="R68" s="507">
        <f>IFERROR(VLOOKUP(R12,Adoption!$B$78:$H$101,7,FALSE),"")</f>
        <v>0.22429906542056074</v>
      </c>
      <c r="S68" s="507">
        <f>IFERROR(VLOOKUP(S12,Adoption!$B$78:$H$101,7,FALSE),"")</f>
        <v>6.0913705583756347E-2</v>
      </c>
      <c r="T68" s="507">
        <f>IFERROR(VLOOKUP(T12,Adoption!$B$78:$H$101,7,FALSE),"")</f>
        <v>0.10738255033557047</v>
      </c>
      <c r="U68" s="507">
        <f>IFERROR(VLOOKUP(U12,Adoption!$B$78:$H$101,7,FALSE),"")</f>
        <v>9.3220338983050849E-2</v>
      </c>
      <c r="V68" s="507">
        <f>IFERROR(VLOOKUP(V12,Adoption!$B$78:$H$101,7,FALSE),"")</f>
        <v>0.11320754716981132</v>
      </c>
      <c r="W68" s="507">
        <f>IFERROR(VLOOKUP(W12,Adoption!$B$78:$H$101,7,FALSE),"")</f>
        <v>0.11864406779661017</v>
      </c>
      <c r="X68" s="507">
        <f>IFERROR(VLOOKUP(X12,Adoption!$B$78:$H$101,7,FALSE),"")</f>
        <v>0.13461538461538461</v>
      </c>
      <c r="Y68" s="691" t="str">
        <f>IFERROR(VLOOKUP(Y12,Adoption!$B$78:$H$101,7,FALSE),"")</f>
        <v/>
      </c>
      <c r="Z68" s="1091">
        <f>IFERROR(VLOOKUP(Z12,Adoption!$B$78:$H$101,7,FALSE),"")</f>
        <v>0.12318840579710146</v>
      </c>
      <c r="AA68" s="1226">
        <f>IFERROR(VLOOKUP(AA12,Adoption!$B$78:$H$101,7,FALSE),"")</f>
        <v>0.12118126272912423</v>
      </c>
      <c r="AB68" s="501"/>
      <c r="AC68" s="739"/>
      <c r="AD68" s="502"/>
      <c r="AE68" s="503"/>
      <c r="AF68" s="503"/>
      <c r="AG68" s="503"/>
      <c r="AH68" s="503"/>
      <c r="AI68" s="503"/>
      <c r="AJ68" s="503"/>
      <c r="AK68" s="503"/>
      <c r="AL68" s="503"/>
      <c r="AM68" s="503"/>
      <c r="AN68" s="503"/>
      <c r="AO68" s="503"/>
      <c r="AP68" s="503"/>
      <c r="AQ68" s="503"/>
      <c r="AR68" s="503"/>
      <c r="AS68" s="503"/>
      <c r="AT68" s="503"/>
      <c r="AU68" s="503"/>
      <c r="AV68" s="503"/>
      <c r="AW68" s="503"/>
      <c r="AX68" s="503"/>
      <c r="AY68" s="503"/>
      <c r="AZ68" s="503"/>
      <c r="BA68" s="503"/>
      <c r="BB68" s="444">
        <f>ROW(BC68)-11</f>
        <v>57</v>
      </c>
    </row>
    <row r="69" spans="1:54" s="444" customFormat="1" ht="21" customHeight="1" x14ac:dyDescent="0.2">
      <c r="A69" s="498"/>
      <c r="B69" s="1081"/>
      <c r="C69" s="1082"/>
      <c r="D69" s="1083"/>
      <c r="E69" s="1083"/>
      <c r="F69" s="1083"/>
      <c r="G69" s="1083"/>
      <c r="H69" s="1083"/>
      <c r="I69" s="1083"/>
      <c r="J69" s="1083"/>
      <c r="K69" s="1083"/>
      <c r="L69" s="1083"/>
      <c r="M69" s="1083"/>
      <c r="N69" s="1083"/>
      <c r="O69" s="1083"/>
      <c r="P69" s="1083"/>
      <c r="Q69" s="1083"/>
      <c r="R69" s="1083"/>
      <c r="S69" s="1083"/>
      <c r="T69" s="1083"/>
      <c r="U69" s="1083"/>
      <c r="V69" s="1083"/>
      <c r="W69" s="1083"/>
      <c r="X69" s="1083"/>
      <c r="Y69" s="1083"/>
      <c r="Z69" s="1084"/>
      <c r="AA69" s="1084"/>
      <c r="AB69" s="501"/>
      <c r="AC69" s="739"/>
      <c r="AD69" s="502"/>
      <c r="AE69" s="503"/>
      <c r="AF69" s="503"/>
      <c r="AG69" s="503"/>
      <c r="AH69" s="503"/>
      <c r="AI69" s="503"/>
      <c r="AJ69" s="503"/>
      <c r="AK69" s="503"/>
      <c r="AL69" s="503"/>
      <c r="AM69" s="503"/>
      <c r="AN69" s="503"/>
      <c r="AO69" s="503"/>
      <c r="AP69" s="503"/>
      <c r="AQ69" s="503"/>
      <c r="AR69" s="503"/>
      <c r="AS69" s="503"/>
      <c r="AT69" s="503"/>
      <c r="AU69" s="503"/>
      <c r="AV69" s="503"/>
      <c r="AW69" s="503"/>
      <c r="AX69" s="503"/>
      <c r="AY69" s="503"/>
      <c r="AZ69" s="503"/>
      <c r="BA69" s="503"/>
      <c r="BB69" s="444">
        <f t="shared" si="0"/>
        <v>58</v>
      </c>
    </row>
    <row r="70" spans="1:54" s="444" customFormat="1" ht="11.25" customHeight="1" x14ac:dyDescent="0.2">
      <c r="A70" s="1334" t="s">
        <v>220</v>
      </c>
      <c r="B70" s="1335"/>
      <c r="C70" s="1335"/>
      <c r="D70" s="1335"/>
      <c r="E70" s="1335"/>
      <c r="F70" s="1335"/>
      <c r="G70" s="1335"/>
      <c r="H70" s="1335"/>
      <c r="I70" s="1335"/>
      <c r="J70" s="1335"/>
      <c r="K70" s="1335"/>
      <c r="L70" s="1335"/>
      <c r="M70" s="1335"/>
      <c r="N70" s="1335"/>
      <c r="O70" s="1335"/>
      <c r="P70" s="1335"/>
      <c r="Q70" s="1335"/>
      <c r="R70" s="1335"/>
      <c r="S70" s="1335"/>
      <c r="T70" s="1335"/>
      <c r="U70" s="1335"/>
      <c r="V70" s="1335"/>
      <c r="W70" s="1335"/>
      <c r="X70" s="1335"/>
      <c r="Y70" s="1335"/>
      <c r="Z70" s="1335"/>
      <c r="AA70" s="1335"/>
      <c r="AB70" s="1336"/>
      <c r="AC70" s="740"/>
      <c r="AD70" s="502"/>
      <c r="AE70" s="503"/>
      <c r="AF70" s="503"/>
      <c r="AG70" s="503"/>
      <c r="AH70" s="503"/>
      <c r="AI70" s="503"/>
      <c r="AJ70" s="503"/>
      <c r="AK70" s="503"/>
      <c r="AL70" s="503"/>
      <c r="AM70" s="503"/>
      <c r="AN70" s="503"/>
      <c r="AO70" s="503"/>
      <c r="AP70" s="503"/>
      <c r="AQ70" s="503"/>
      <c r="AR70" s="503"/>
      <c r="AS70" s="503"/>
      <c r="AT70" s="503"/>
      <c r="AU70" s="503"/>
      <c r="AV70" s="503"/>
      <c r="AW70" s="503"/>
      <c r="AX70" s="503"/>
      <c r="AY70" s="503"/>
      <c r="AZ70" s="503"/>
      <c r="BA70" s="503"/>
      <c r="BB70" s="444">
        <f t="shared" si="0"/>
        <v>59</v>
      </c>
    </row>
    <row r="71" spans="1:54" s="444" customFormat="1" ht="11.25" customHeight="1" thickBot="1" x14ac:dyDescent="0.25">
      <c r="A71" s="638"/>
      <c r="B71" s="639"/>
      <c r="C71" s="640"/>
      <c r="D71" s="641"/>
      <c r="E71" s="641"/>
      <c r="F71" s="641"/>
      <c r="G71" s="641"/>
      <c r="H71" s="641"/>
      <c r="I71" s="641"/>
      <c r="J71" s="641"/>
      <c r="K71" s="641"/>
      <c r="L71" s="641"/>
      <c r="M71" s="641"/>
      <c r="N71" s="641"/>
      <c r="O71" s="641"/>
      <c r="P71" s="641"/>
      <c r="Q71" s="641"/>
      <c r="R71" s="641"/>
      <c r="S71" s="641"/>
      <c r="T71" s="641"/>
      <c r="U71" s="641"/>
      <c r="V71" s="641"/>
      <c r="W71" s="641"/>
      <c r="X71" s="641"/>
      <c r="Y71" s="641"/>
      <c r="Z71" s="642"/>
      <c r="AA71" s="642"/>
      <c r="AB71" s="643"/>
      <c r="AC71" s="739"/>
      <c r="AD71" s="502"/>
      <c r="AE71" s="503"/>
      <c r="AF71" s="503"/>
      <c r="AG71" s="503"/>
      <c r="AH71" s="503"/>
      <c r="AI71" s="503"/>
      <c r="AJ71" s="503"/>
      <c r="AK71" s="503"/>
      <c r="AL71" s="503"/>
      <c r="AM71" s="503"/>
      <c r="AN71" s="503"/>
      <c r="AO71" s="503"/>
      <c r="AP71" s="503"/>
      <c r="AQ71" s="503"/>
      <c r="AR71" s="503"/>
      <c r="AS71" s="503"/>
      <c r="AT71" s="503"/>
      <c r="AU71" s="503"/>
      <c r="AV71" s="503"/>
      <c r="AW71" s="503"/>
      <c r="AX71" s="503"/>
      <c r="AY71" s="503"/>
      <c r="AZ71" s="503"/>
      <c r="BA71" s="503"/>
      <c r="BB71" s="444">
        <f t="shared" ref="BB71:BB79" si="4">ROW(BC71)-11</f>
        <v>60</v>
      </c>
    </row>
    <row r="72" spans="1:54" s="497" customFormat="1" ht="57.75" customHeight="1" x14ac:dyDescent="0.2">
      <c r="A72" s="493"/>
      <c r="B72" s="1337" t="s">
        <v>659</v>
      </c>
      <c r="C72" s="1337"/>
      <c r="D72" s="1338" t="s">
        <v>0</v>
      </c>
      <c r="E72" s="1332" t="s">
        <v>31</v>
      </c>
      <c r="F72" s="1332" t="s">
        <v>8</v>
      </c>
      <c r="G72" s="1332" t="s">
        <v>4</v>
      </c>
      <c r="H72" s="1332" t="s">
        <v>6</v>
      </c>
      <c r="I72" s="1332" t="s">
        <v>1</v>
      </c>
      <c r="J72" s="1332" t="s">
        <v>9</v>
      </c>
      <c r="K72" s="1332" t="s">
        <v>2</v>
      </c>
      <c r="L72" s="1332" t="s">
        <v>10</v>
      </c>
      <c r="M72" s="1332" t="s">
        <v>11</v>
      </c>
      <c r="N72" s="1332" t="s">
        <v>12</v>
      </c>
      <c r="O72" s="1332" t="s">
        <v>3</v>
      </c>
      <c r="P72" s="1332" t="s">
        <v>13</v>
      </c>
      <c r="Q72" s="1332" t="s">
        <v>93</v>
      </c>
      <c r="R72" s="1332" t="s">
        <v>14</v>
      </c>
      <c r="S72" s="1332" t="s">
        <v>7</v>
      </c>
      <c r="T72" s="1332" t="s">
        <v>114</v>
      </c>
      <c r="U72" s="1332" t="s">
        <v>115</v>
      </c>
      <c r="V72" s="1332" t="s">
        <v>15</v>
      </c>
      <c r="W72" s="1332" t="s">
        <v>5</v>
      </c>
      <c r="X72" s="1332" t="s">
        <v>30</v>
      </c>
      <c r="Y72" s="1358" t="s">
        <v>16</v>
      </c>
      <c r="Z72" s="1340" t="s">
        <v>74</v>
      </c>
      <c r="AA72" s="1342" t="s">
        <v>126</v>
      </c>
      <c r="AB72" s="494"/>
      <c r="AC72" s="738"/>
      <c r="AD72" s="495"/>
      <c r="AE72" s="496" t="s">
        <v>195</v>
      </c>
      <c r="AF72" s="496" t="s">
        <v>0</v>
      </c>
      <c r="AG72" s="496" t="s">
        <v>31</v>
      </c>
      <c r="AH72" s="496" t="s">
        <v>8</v>
      </c>
      <c r="AI72" s="496" t="s">
        <v>4</v>
      </c>
      <c r="AJ72" s="496" t="s">
        <v>6</v>
      </c>
      <c r="AK72" s="496" t="s">
        <v>1</v>
      </c>
      <c r="AL72" s="496" t="s">
        <v>9</v>
      </c>
      <c r="AM72" s="496" t="s">
        <v>2</v>
      </c>
      <c r="AN72" s="496" t="s">
        <v>10</v>
      </c>
      <c r="AO72" s="496" t="s">
        <v>11</v>
      </c>
      <c r="AP72" s="496" t="s">
        <v>12</v>
      </c>
      <c r="AQ72" s="496" t="s">
        <v>3</v>
      </c>
      <c r="AR72" s="496" t="s">
        <v>13</v>
      </c>
      <c r="AS72" s="496" t="s">
        <v>93</v>
      </c>
      <c r="AT72" s="496" t="s">
        <v>14</v>
      </c>
      <c r="AU72" s="496" t="s">
        <v>7</v>
      </c>
      <c r="AV72" s="496" t="s">
        <v>114</v>
      </c>
      <c r="AW72" s="496" t="s">
        <v>115</v>
      </c>
      <c r="AX72" s="496" t="s">
        <v>15</v>
      </c>
      <c r="AY72" s="496" t="s">
        <v>5</v>
      </c>
      <c r="AZ72" s="496" t="s">
        <v>30</v>
      </c>
      <c r="BA72" s="496" t="s">
        <v>16</v>
      </c>
      <c r="BB72" s="444">
        <f t="shared" si="4"/>
        <v>61</v>
      </c>
    </row>
    <row r="73" spans="1:54" s="497" customFormat="1" ht="13.5" thickBot="1" x14ac:dyDescent="0.25">
      <c r="A73" s="493"/>
      <c r="B73" s="683" t="s">
        <v>196</v>
      </c>
      <c r="C73" s="683" t="s">
        <v>197</v>
      </c>
      <c r="D73" s="1339"/>
      <c r="E73" s="1333"/>
      <c r="F73" s="1333"/>
      <c r="G73" s="1333"/>
      <c r="H73" s="1333"/>
      <c r="I73" s="1333"/>
      <c r="J73" s="1333"/>
      <c r="K73" s="1333"/>
      <c r="L73" s="1333"/>
      <c r="M73" s="1333"/>
      <c r="N73" s="1333"/>
      <c r="O73" s="1333"/>
      <c r="P73" s="1333"/>
      <c r="Q73" s="1333"/>
      <c r="R73" s="1333"/>
      <c r="S73" s="1333"/>
      <c r="T73" s="1333"/>
      <c r="U73" s="1333"/>
      <c r="V73" s="1333"/>
      <c r="W73" s="1333"/>
      <c r="X73" s="1333"/>
      <c r="Y73" s="1359"/>
      <c r="Z73" s="1341"/>
      <c r="AA73" s="1343"/>
      <c r="AB73" s="494"/>
      <c r="AC73" s="738"/>
      <c r="AD73" s="495"/>
      <c r="AE73" s="496"/>
      <c r="AF73" s="496"/>
      <c r="AG73" s="496"/>
      <c r="AH73" s="496"/>
      <c r="AI73" s="496"/>
      <c r="AJ73" s="496"/>
      <c r="AK73" s="496"/>
      <c r="AL73" s="496"/>
      <c r="AM73" s="496"/>
      <c r="AN73" s="496"/>
      <c r="AO73" s="496"/>
      <c r="AP73" s="496"/>
      <c r="AQ73" s="496"/>
      <c r="AR73" s="496"/>
      <c r="AS73" s="496"/>
      <c r="AT73" s="496"/>
      <c r="AU73" s="496"/>
      <c r="AV73" s="496"/>
      <c r="AW73" s="496"/>
      <c r="AX73" s="496"/>
      <c r="AY73" s="496"/>
      <c r="AZ73" s="496"/>
      <c r="BA73" s="496"/>
      <c r="BB73" s="444">
        <f t="shared" si="4"/>
        <v>62</v>
      </c>
    </row>
    <row r="74" spans="1:54" s="444" customFormat="1" ht="23.25" customHeight="1" x14ac:dyDescent="0.2">
      <c r="A74" s="498"/>
      <c r="B74" s="1360" t="s">
        <v>680</v>
      </c>
      <c r="C74" s="508" t="str">
        <f>"Number of Care Leavers Aged 19-21 at "&amp;Sheet1!$H$3&amp;", Rate per 10,000 19-21 Year Olds"</f>
        <v>Number of Care Leavers Aged 19-21 at 31st March, Rate per 10,000 19-21 Year Olds</v>
      </c>
      <c r="D74" s="687">
        <f>IFERROR(VLOOKUP(D$12,Care_Leavers!$B$7:$Q$32,15,FALSE),"")</f>
        <v>142.42424242424241</v>
      </c>
      <c r="E74" s="500">
        <f>IFERROR(VLOOKUP(E$12,Care_Leavers!$B$7:$Q$32,15,FALSE),"")</f>
        <v>103.7914691943128</v>
      </c>
      <c r="F74" s="500">
        <f>IFERROR(VLOOKUP(F$12,Care_Leavers!$B$7:$Q$32,15,FALSE),"")</f>
        <v>139.84962406015038</v>
      </c>
      <c r="G74" s="500">
        <f>IFERROR(VLOOKUP(G$12,Care_Leavers!$B$7:$Q$32,15,FALSE),"")</f>
        <v>109.86842105263158</v>
      </c>
      <c r="H74" s="500">
        <f>IFERROR(VLOOKUP(H$12,Care_Leavers!$B$7:$Q$32,15,FALSE),"")</f>
        <v>131.12244897959184</v>
      </c>
      <c r="I74" s="500">
        <f>IFERROR(VLOOKUP(I$12,Care_Leavers!$B$7:$Q$32,15,FALSE),"")</f>
        <v>234.21052631578948</v>
      </c>
      <c r="J74" s="500">
        <f>IFERROR(VLOOKUP(J$12,Care_Leavers!$B$7:$Q$32,15,FALSE),"")</f>
        <v>290.43977055449329</v>
      </c>
      <c r="K74" s="500">
        <f>IFERROR(VLOOKUP(K$12,Care_Leavers!$B$7:$Q$32,15,FALSE),"")</f>
        <v>123.95833333333333</v>
      </c>
      <c r="L74" s="500">
        <f>IFERROR(VLOOKUP(L$12,Care_Leavers!$B$7:$Q$32,15,FALSE),"")</f>
        <v>256.92307692307691</v>
      </c>
      <c r="M74" s="500">
        <f>IFERROR(VLOOKUP(M$12,Care_Leavers!$B$7:$Q$32,15,FALSE),"")</f>
        <v>91.973244147157203</v>
      </c>
      <c r="N74" s="500">
        <f>IFERROR(VLOOKUP(N$12,Care_Leavers!$B$7:$Q$32,15,FALSE),"")</f>
        <v>75</v>
      </c>
      <c r="O74" s="500">
        <f>IFERROR(VLOOKUP(O$12,Care_Leavers!$B$7:$Q$32,15,FALSE),"")</f>
        <v>104.25531914893618</v>
      </c>
      <c r="P74" s="500">
        <f>IFERROR(VLOOKUP(P$12,Care_Leavers!$B$7:$Q$32,15,FALSE),"")</f>
        <v>207.14285714285714</v>
      </c>
      <c r="Q74" s="500">
        <f>IFERROR(VLOOKUP(Q$12,Care_Leavers!$B$7:$Q$32,15,FALSE),"")</f>
        <v>124.82758620689656</v>
      </c>
      <c r="R74" s="500">
        <f>IFERROR(VLOOKUP(R$12,Care_Leavers!$B$7:$Q$32,15,FALSE),"")</f>
        <v>57.727272727272734</v>
      </c>
      <c r="S74" s="500">
        <f>IFERROR(VLOOKUP(S$12,Care_Leavers!$B$7:$Q$32,15,FALSE),"")</f>
        <v>126.66666666666666</v>
      </c>
      <c r="T74" s="500">
        <f>IFERROR(VLOOKUP(T$12,Care_Leavers!$B$7:$Q$32,15,FALSE),"")</f>
        <v>214.28571428571428</v>
      </c>
      <c r="U74" s="500">
        <f>IFERROR(VLOOKUP(U$12,Care_Leavers!$B$7:$Q$32,15,FALSE),"")</f>
        <v>297.14285714285717</v>
      </c>
      <c r="V74" s="500">
        <f>IFERROR(VLOOKUP(V$12,Care_Leavers!$B$7:$Q$32,15,FALSE),"")</f>
        <v>200</v>
      </c>
      <c r="W74" s="500">
        <f>IFERROR(VLOOKUP(W$12,Care_Leavers!$B$7:$Q$32,15,FALSE),"")</f>
        <v>161.33333333333331</v>
      </c>
      <c r="X74" s="500">
        <f>IFERROR(VLOOKUP(X$12,Care_Leavers!$B$7:$Q$32,15,FALSE),"")</f>
        <v>175.00000000000003</v>
      </c>
      <c r="Y74" s="688">
        <f>IFERROR(VLOOKUP(Y$12,Care_Leavers!$B$7:$Q$32,15,FALSE),"")</f>
        <v>86.36363636363636</v>
      </c>
      <c r="Z74" s="1090">
        <f>IFERROR(VLOOKUP(Z$12,Care_Leavers!$B$7:$Q$32,15,FALSE),"")</f>
        <v>149.55919395465995</v>
      </c>
      <c r="AA74" s="1225">
        <f>IFERROR(VLOOKUP(AA$12,Care_Leavers!$B$7:$Q$33,15,FALSE),"")</f>
        <v>148.13165058153922</v>
      </c>
      <c r="AB74" s="501"/>
      <c r="AC74" s="739"/>
      <c r="AD74" s="502"/>
      <c r="AE74" s="503"/>
      <c r="AF74" s="503"/>
      <c r="AG74" s="503"/>
      <c r="AH74" s="503"/>
      <c r="AI74" s="503"/>
      <c r="AJ74" s="503"/>
      <c r="AK74" s="503"/>
      <c r="AL74" s="503"/>
      <c r="AM74" s="503"/>
      <c r="AN74" s="503"/>
      <c r="AO74" s="503"/>
      <c r="AP74" s="503"/>
      <c r="AQ74" s="503"/>
      <c r="AR74" s="503"/>
      <c r="AS74" s="503"/>
      <c r="AT74" s="503"/>
      <c r="AU74" s="503"/>
      <c r="AV74" s="503"/>
      <c r="AW74" s="503"/>
      <c r="AX74" s="503"/>
      <c r="AY74" s="503"/>
      <c r="AZ74" s="503"/>
      <c r="BA74" s="503"/>
      <c r="BB74" s="444">
        <f>ROW(BC74)-11</f>
        <v>63</v>
      </c>
    </row>
    <row r="75" spans="1:54" s="444" customFormat="1" ht="19.5" customHeight="1" x14ac:dyDescent="0.2">
      <c r="A75" s="498"/>
      <c r="B75" s="1361"/>
      <c r="C75" s="509" t="s">
        <v>801</v>
      </c>
      <c r="D75" s="689">
        <f>IFERROR(VLOOKUP(D$12,Care_Leavers!$B$75:$H$99,7,FALSE),"")</f>
        <v>0.53191489361702127</v>
      </c>
      <c r="E75" s="505">
        <f>IFERROR(VLOOKUP(E$12,Care_Leavers!$B$75:$H$99,7,FALSE),"")</f>
        <v>0.9634703196347032</v>
      </c>
      <c r="F75" s="505">
        <f>IFERROR(VLOOKUP(F$12,Care_Leavers!$B$75:$H$99,7,FALSE),"")</f>
        <v>0.956989247311828</v>
      </c>
      <c r="G75" s="505">
        <f>IFERROR(VLOOKUP(G$12,Care_Leavers!$B$75:$H$99,7,FALSE),"")</f>
        <v>0.85029940119760483</v>
      </c>
      <c r="H75" s="505">
        <f>IFERROR(VLOOKUP(H$12,Care_Leavers!$B$75:$H$99,7,FALSE),"")</f>
        <v>0.72957198443579763</v>
      </c>
      <c r="I75" s="505">
        <f>IFERROR(VLOOKUP(I$12,Care_Leavers!$B$75:$H$99,7,FALSE),"")</f>
        <v>1</v>
      </c>
      <c r="J75" s="505">
        <f>IFERROR(VLOOKUP(J$12,Care_Leavers!$B$75:$H$99,7,FALSE),"")</f>
        <v>0.82949308755760365</v>
      </c>
      <c r="K75" s="505">
        <f>IFERROR(VLOOKUP(K$12,Care_Leavers!$B$75:$H$99,7,FALSE),"")</f>
        <v>0.49579831932773111</v>
      </c>
      <c r="L75" s="505">
        <f>IFERROR(VLOOKUP(L$12,Care_Leavers!$B$75:$H$99,7,FALSE),"")</f>
        <v>0.91017964071856283</v>
      </c>
      <c r="M75" s="505">
        <f>IFERROR(VLOOKUP(M$12,Care_Leavers!$B$75:$H$99,7,FALSE),"")</f>
        <v>0.81818181818181823</v>
      </c>
      <c r="N75" s="505">
        <f>IFERROR(VLOOKUP(N$12,Care_Leavers!$B$75:$H$99,7,FALSE),"")</f>
        <v>0.77235772357723576</v>
      </c>
      <c r="O75" s="505">
        <f>IFERROR(VLOOKUP(O$12,Care_Leavers!$B$75:$H$99,7,FALSE),"")</f>
        <v>0.48979591836734693</v>
      </c>
      <c r="P75" s="505">
        <f>IFERROR(VLOOKUP(P$12,Care_Leavers!$B$75:$H$99,7,FALSE),"")</f>
        <v>0.90804597701149425</v>
      </c>
      <c r="Q75" s="505">
        <f>IFERROR(VLOOKUP(Q$12,Care_Leavers!$B$75:$H$99,7,FALSE),"")</f>
        <v>0.574585635359116</v>
      </c>
      <c r="R75" s="505">
        <f>IFERROR(VLOOKUP(R$12,Care_Leavers!$B$75:$H$99,7,FALSE),"")</f>
        <v>0.93700787401574803</v>
      </c>
      <c r="S75" s="505">
        <f>IFERROR(VLOOKUP(S$12,Care_Leavers!$B$75:$H$99,7,FALSE),"")</f>
        <v>0.91157894736842104</v>
      </c>
      <c r="T75" s="505">
        <f>IFERROR(VLOOKUP(T$12,Care_Leavers!$B$75:$H$99,7,FALSE),"")</f>
        <v>0.94814814814814818</v>
      </c>
      <c r="U75" s="505">
        <f>IFERROR(VLOOKUP(U$12,Care_Leavers!$B$75:$H$99,7,FALSE),"")</f>
        <v>0.55769230769230771</v>
      </c>
      <c r="V75" s="505">
        <f>IFERROR(VLOOKUP(V$12,Care_Leavers!$B$75:$H$99,7,FALSE),"")</f>
        <v>0.88157894736842102</v>
      </c>
      <c r="W75" s="505">
        <f>IFERROR(VLOOKUP(W$12,Care_Leavers!$B$75:$H$99,7,FALSE),"")</f>
        <v>0.92011019283746553</v>
      </c>
      <c r="X75" s="505">
        <f>IFERROR(VLOOKUP(X$12,Care_Leavers!$B$75:$H$99,7,FALSE),"")</f>
        <v>0.875</v>
      </c>
      <c r="Y75" s="630">
        <f>IFERROR(VLOOKUP(Y$12,Care_Leavers!$B$75:$H$99,7,FALSE),"")</f>
        <v>1</v>
      </c>
      <c r="Z75" s="1092">
        <f>IFERROR(VLOOKUP(Z$12,Care_Leavers!$B$75:$H$99,7,FALSE),"")</f>
        <v>0.86526315789473685</v>
      </c>
      <c r="AA75" s="1273">
        <f>IFERROR(VLOOKUP(AA$12,Care_Leavers!$B$75:$H$100,7,FALSE),"")</f>
        <v>0.90878717006348142</v>
      </c>
      <c r="AB75" s="501"/>
      <c r="AC75" s="739"/>
      <c r="AD75" s="502"/>
      <c r="AE75" s="503"/>
      <c r="AF75" s="503"/>
      <c r="AG75" s="503"/>
      <c r="AH75" s="503"/>
      <c r="AI75" s="503"/>
      <c r="AJ75" s="503"/>
      <c r="AK75" s="503"/>
      <c r="AL75" s="503"/>
      <c r="AM75" s="503"/>
      <c r="AN75" s="503"/>
      <c r="AO75" s="503"/>
      <c r="AP75" s="503"/>
      <c r="AQ75" s="503"/>
      <c r="AR75" s="503"/>
      <c r="AS75" s="503"/>
      <c r="AT75" s="503"/>
      <c r="AU75" s="503"/>
      <c r="AV75" s="503"/>
      <c r="AW75" s="503"/>
      <c r="AX75" s="503"/>
      <c r="AY75" s="503"/>
      <c r="AZ75" s="503"/>
      <c r="BA75" s="503"/>
      <c r="BB75" s="444">
        <f>ROW(BC75)-11</f>
        <v>64</v>
      </c>
    </row>
    <row r="76" spans="1:54" s="444" customFormat="1" ht="19.5" customHeight="1" x14ac:dyDescent="0.2">
      <c r="A76" s="498"/>
      <c r="B76" s="1361"/>
      <c r="C76" s="509" t="s">
        <v>802</v>
      </c>
      <c r="D76" s="689" t="str">
        <f>IFERROR(VLOOKUP(D$12,Care_Leavers!$B$111:$H$135,7,FALSE),"")</f>
        <v/>
      </c>
      <c r="E76" s="505">
        <f>IFERROR(VLOOKUP(E$12,Care_Leavers!$B$111:$H$135,7,FALSE),"")</f>
        <v>0.90410958904109584</v>
      </c>
      <c r="F76" s="505">
        <f>IFERROR(VLOOKUP(F$12,Care_Leavers!$B$111:$H$135,7,FALSE),"")</f>
        <v>0.89247311827956988</v>
      </c>
      <c r="G76" s="505">
        <f>IFERROR(VLOOKUP(G$12,Care_Leavers!$B$111:$H$135,7,FALSE),"")</f>
        <v>0.78443113772455086</v>
      </c>
      <c r="H76" s="505">
        <f>IFERROR(VLOOKUP(H$12,Care_Leavers!$B$111:$H$135,7,FALSE),"")</f>
        <v>0.65758754863813229</v>
      </c>
      <c r="I76" s="505">
        <f>IFERROR(VLOOKUP(I$12,Care_Leavers!$B$111:$H$135,7,FALSE),"")</f>
        <v>0.88764044943820219</v>
      </c>
      <c r="J76" s="505">
        <f>IFERROR(VLOOKUP(J$12,Care_Leavers!$B$111:$H$135,7,FALSE),"")</f>
        <v>0.7695852534562212</v>
      </c>
      <c r="K76" s="505">
        <f>IFERROR(VLOOKUP(K$12,Care_Leavers!$B$111:$H$135,7,FALSE),"")</f>
        <v>0.90756302521008403</v>
      </c>
      <c r="L76" s="505">
        <f>IFERROR(VLOOKUP(L$12,Care_Leavers!$B$111:$H$135,7,FALSE),"")</f>
        <v>0.81437125748502992</v>
      </c>
      <c r="M76" s="505">
        <f>IFERROR(VLOOKUP(M$12,Care_Leavers!$B$111:$H$135,7,FALSE),"")</f>
        <v>0.74545454545454548</v>
      </c>
      <c r="N76" s="505">
        <f>IFERROR(VLOOKUP(N$12,Care_Leavers!$B$111:$H$135,7,FALSE),"")</f>
        <v>0.68292682926829273</v>
      </c>
      <c r="O76" s="505">
        <f>IFERROR(VLOOKUP(O$12,Care_Leavers!$B$111:$H$135,7,FALSE),"")</f>
        <v>0.87755102040816324</v>
      </c>
      <c r="P76" s="505">
        <f>IFERROR(VLOOKUP(P$12,Care_Leavers!$B$111:$H$135,7,FALSE),"")</f>
        <v>0.7931034482758621</v>
      </c>
      <c r="Q76" s="505" t="str">
        <f>IFERROR(VLOOKUP(Q$12,Care_Leavers!$B$111:$H$135,7,FALSE),"")</f>
        <v/>
      </c>
      <c r="R76" s="505">
        <f>IFERROR(VLOOKUP(R$12,Care_Leavers!$B$111:$H$135,7,FALSE),"")</f>
        <v>0.83464566929133854</v>
      </c>
      <c r="S76" s="505">
        <f>IFERROR(VLOOKUP(S$12,Care_Leavers!$B$111:$H$135,7,FALSE),"")</f>
        <v>0.84842105263157896</v>
      </c>
      <c r="T76" s="505">
        <f>IFERROR(VLOOKUP(T$12,Care_Leavers!$B$111:$H$135,7,FALSE),"")</f>
        <v>0.82222222222222219</v>
      </c>
      <c r="U76" s="505">
        <f>IFERROR(VLOOKUP(U$12,Care_Leavers!$B$111:$H$135,7,FALSE),"")</f>
        <v>0.91346153846153844</v>
      </c>
      <c r="V76" s="505" t="str">
        <f>IFERROR(VLOOKUP(V$12,Care_Leavers!$B$111:$H$135,7,FALSE),"")</f>
        <v/>
      </c>
      <c r="W76" s="505">
        <f>IFERROR(VLOOKUP(W$12,Care_Leavers!$B$111:$H$135,7,FALSE),"")</f>
        <v>0.87603305785123964</v>
      </c>
      <c r="X76" s="505">
        <f>IFERROR(VLOOKUP(X$12,Care_Leavers!$B$111:$H$135,7,FALSE),"")</f>
        <v>0.875</v>
      </c>
      <c r="Y76" s="630" t="str">
        <f>IFERROR(VLOOKUP(Y$12,Care_Leavers!$B$111:$H$135,7,FALSE),"")</f>
        <v/>
      </c>
      <c r="Z76" s="1092">
        <f>IFERROR(VLOOKUP(Z$12,Care_Leavers!$B$111:$H$135,7,FALSE),"")</f>
        <v>0.79789473684210521</v>
      </c>
      <c r="AA76" s="1273">
        <f>IFERROR(VLOOKUP(AA$12,Care_Leavers!$B$111:$H$136,7,FALSE),"")</f>
        <v>0.83695289007684592</v>
      </c>
      <c r="AB76" s="501"/>
      <c r="AC76" s="739"/>
      <c r="AD76" s="502"/>
      <c r="AE76" s="503"/>
      <c r="AF76" s="503"/>
      <c r="AG76" s="503"/>
      <c r="AH76" s="503"/>
      <c r="AI76" s="503"/>
      <c r="AJ76" s="503"/>
      <c r="AK76" s="503"/>
      <c r="AL76" s="503"/>
      <c r="AM76" s="503"/>
      <c r="AN76" s="503"/>
      <c r="AO76" s="503"/>
      <c r="AP76" s="503"/>
      <c r="AQ76" s="503"/>
      <c r="AR76" s="503"/>
      <c r="AS76" s="503"/>
      <c r="AT76" s="503"/>
      <c r="AU76" s="503"/>
      <c r="AV76" s="503"/>
      <c r="AW76" s="503"/>
      <c r="AX76" s="503"/>
      <c r="AY76" s="503"/>
      <c r="AZ76" s="503"/>
      <c r="BA76" s="503"/>
      <c r="BB76" s="444">
        <f>ROW(BC76)-11</f>
        <v>65</v>
      </c>
    </row>
    <row r="77" spans="1:54" s="444" customFormat="1" ht="19.5" customHeight="1" thickBot="1" x14ac:dyDescent="0.25">
      <c r="A77" s="498"/>
      <c r="B77" s="1362"/>
      <c r="C77" s="510" t="s">
        <v>804</v>
      </c>
      <c r="D77" s="689">
        <f>IFERROR(VLOOKUP(D$12,Care_Leavers!$B$147:$H$171,7,FALSE),"")</f>
        <v>0.53191489361702127</v>
      </c>
      <c r="E77" s="507">
        <f>IFERROR(VLOOKUP(E$12,Care_Leavers!$B$147:$H$171,7,FALSE),"")</f>
        <v>0.69406392694063923</v>
      </c>
      <c r="F77" s="507">
        <f>IFERROR(VLOOKUP(F$12,Care_Leavers!$B$147:$H$171,7,FALSE),"")</f>
        <v>0.55913978494623651</v>
      </c>
      <c r="G77" s="507">
        <f>IFERROR(VLOOKUP(G$12,Care_Leavers!$B$147:$H$171,7,FALSE),"")</f>
        <v>0.52095808383233533</v>
      </c>
      <c r="H77" s="507">
        <f>IFERROR(VLOOKUP(H$12,Care_Leavers!$B$147:$H$171,7,FALSE),"")</f>
        <v>0.44941634241245138</v>
      </c>
      <c r="I77" s="507">
        <f>IFERROR(VLOOKUP(I$12,Care_Leavers!$B$147:$H$171,7,FALSE),"")</f>
        <v>0.5955056179775281</v>
      </c>
      <c r="J77" s="507">
        <f>IFERROR(VLOOKUP(J$12,Care_Leavers!$B$147:$H$171,7,FALSE),"")</f>
        <v>0.54838709677419351</v>
      </c>
      <c r="K77" s="507" t="str">
        <f>IFERROR(VLOOKUP(K$12,Care_Leavers!$B$147:$H$171,7,FALSE),"")</f>
        <v/>
      </c>
      <c r="L77" s="507">
        <f>IFERROR(VLOOKUP(L$12,Care_Leavers!$B$147:$H$171,7,FALSE),"")</f>
        <v>0.40119760479041916</v>
      </c>
      <c r="M77" s="507">
        <f>IFERROR(VLOOKUP(M$12,Care_Leavers!$B$147:$H$171,7,FALSE),"")</f>
        <v>0.49454545454545457</v>
      </c>
      <c r="N77" s="507">
        <f>IFERROR(VLOOKUP(N$12,Care_Leavers!$B$147:$H$171,7,FALSE),"")</f>
        <v>0.44715447154471544</v>
      </c>
      <c r="O77" s="507" t="str">
        <f>IFERROR(VLOOKUP(O$12,Care_Leavers!$B$147:$H$171,7,FALSE),"")</f>
        <v/>
      </c>
      <c r="P77" s="507">
        <f>IFERROR(VLOOKUP(P$12,Care_Leavers!$B$147:$H$171,7,FALSE),"")</f>
        <v>0.58620689655172409</v>
      </c>
      <c r="Q77" s="507">
        <f>IFERROR(VLOOKUP(Q$12,Care_Leavers!$B$147:$H$171,7,FALSE),"")</f>
        <v>0.574585635359116</v>
      </c>
      <c r="R77" s="507">
        <f>IFERROR(VLOOKUP(R$12,Care_Leavers!$B$147:$H$171,7,FALSE),"")</f>
        <v>0.44881889763779526</v>
      </c>
      <c r="S77" s="507">
        <f>IFERROR(VLOOKUP(S$12,Care_Leavers!$B$147:$H$171,7,FALSE),"")</f>
        <v>0.57894736842105265</v>
      </c>
      <c r="T77" s="507">
        <f>IFERROR(VLOOKUP(T$12,Care_Leavers!$B$147:$H$171,7,FALSE),"")</f>
        <v>0.51851851851851849</v>
      </c>
      <c r="U77" s="507">
        <f>IFERROR(VLOOKUP(U$12,Care_Leavers!$B$147:$H$171,7,FALSE),"")</f>
        <v>0.55769230769230771</v>
      </c>
      <c r="V77" s="507">
        <f>IFERROR(VLOOKUP(V$12,Care_Leavers!$B$147:$H$171,7,FALSE),"")</f>
        <v>0.46052631578947367</v>
      </c>
      <c r="W77" s="507">
        <f>IFERROR(VLOOKUP(W$12,Care_Leavers!$B$147:$H$171,7,FALSE),"")</f>
        <v>0.6584022038567493</v>
      </c>
      <c r="X77" s="507">
        <f>IFERROR(VLOOKUP(X$12,Care_Leavers!$B$147:$H$171,7,FALSE),"")</f>
        <v>0.5535714285714286</v>
      </c>
      <c r="Y77" s="691">
        <f>IFERROR(VLOOKUP(Y$12,Care_Leavers!$B$147:$H$171,7,FALSE),"")</f>
        <v>0.55263157894736847</v>
      </c>
      <c r="Z77" s="1091">
        <f>IFERROR(VLOOKUP(Z$12,Care_Leavers!$B$147:$H$171,7,FALSE),"")</f>
        <v>0.53894736842105262</v>
      </c>
      <c r="AA77" s="1226">
        <f>IFERROR(VLOOKUP(AA$12,Care_Leavers!$B$147:$H$172,7,FALSE),"")</f>
        <v>0.52255262278650183</v>
      </c>
      <c r="AB77" s="501"/>
      <c r="AC77" s="739"/>
      <c r="AD77" s="502"/>
      <c r="AE77" s="503"/>
      <c r="AF77" s="503"/>
      <c r="AG77" s="503"/>
      <c r="AH77" s="503"/>
      <c r="AI77" s="503"/>
      <c r="AJ77" s="503"/>
      <c r="AK77" s="503"/>
      <c r="AL77" s="503"/>
      <c r="AM77" s="503"/>
      <c r="AN77" s="503"/>
      <c r="AO77" s="503"/>
      <c r="AP77" s="503"/>
      <c r="AQ77" s="503"/>
      <c r="AR77" s="503"/>
      <c r="AS77" s="503"/>
      <c r="AT77" s="503"/>
      <c r="AU77" s="503"/>
      <c r="AV77" s="503"/>
      <c r="AW77" s="503"/>
      <c r="AX77" s="503"/>
      <c r="AY77" s="503"/>
      <c r="AZ77" s="503"/>
      <c r="BA77" s="503"/>
      <c r="BB77" s="444">
        <f>ROW(BC77)-11</f>
        <v>66</v>
      </c>
    </row>
    <row r="78" spans="1:54" s="444" customFormat="1" ht="409.5" customHeight="1" x14ac:dyDescent="0.2">
      <c r="A78" s="498"/>
      <c r="B78" s="1081"/>
      <c r="C78" s="1082"/>
      <c r="D78" s="1083"/>
      <c r="E78" s="1083"/>
      <c r="F78" s="1083"/>
      <c r="G78" s="1083"/>
      <c r="H78" s="1083"/>
      <c r="I78" s="1083"/>
      <c r="J78" s="1083"/>
      <c r="K78" s="1083"/>
      <c r="L78" s="1083"/>
      <c r="M78" s="1083"/>
      <c r="N78" s="1083"/>
      <c r="O78" s="1083"/>
      <c r="P78" s="1083"/>
      <c r="Q78" s="1083"/>
      <c r="R78" s="1083"/>
      <c r="S78" s="1083"/>
      <c r="T78" s="1083"/>
      <c r="U78" s="1083"/>
      <c r="V78" s="1083"/>
      <c r="W78" s="1083"/>
      <c r="X78" s="1083"/>
      <c r="Y78" s="1083"/>
      <c r="Z78" s="1084"/>
      <c r="AA78" s="1084"/>
      <c r="AB78" s="501"/>
      <c r="AC78" s="739"/>
      <c r="AD78" s="502"/>
      <c r="AE78" s="503"/>
      <c r="AF78" s="503"/>
      <c r="AG78" s="503"/>
      <c r="AH78" s="503"/>
      <c r="AI78" s="503"/>
      <c r="AJ78" s="503"/>
      <c r="AK78" s="503"/>
      <c r="AL78" s="503"/>
      <c r="AM78" s="503"/>
      <c r="AN78" s="503"/>
      <c r="AO78" s="503"/>
      <c r="AP78" s="503"/>
      <c r="AQ78" s="503"/>
      <c r="AR78" s="503"/>
      <c r="AS78" s="503"/>
      <c r="AT78" s="503"/>
      <c r="AU78" s="503"/>
      <c r="AV78" s="503"/>
      <c r="AW78" s="503"/>
      <c r="AX78" s="503"/>
      <c r="AY78" s="503"/>
      <c r="AZ78" s="503"/>
      <c r="BA78" s="503"/>
      <c r="BB78" s="444">
        <f t="shared" si="4"/>
        <v>67</v>
      </c>
    </row>
    <row r="79" spans="1:54" s="444" customFormat="1" ht="81.75" customHeight="1" x14ac:dyDescent="0.2">
      <c r="A79" s="1334" t="s">
        <v>220</v>
      </c>
      <c r="B79" s="1335"/>
      <c r="C79" s="1335"/>
      <c r="D79" s="1335"/>
      <c r="E79" s="1335"/>
      <c r="F79" s="1335"/>
      <c r="G79" s="1335"/>
      <c r="H79" s="1335"/>
      <c r="I79" s="1335"/>
      <c r="J79" s="1335"/>
      <c r="K79" s="1335"/>
      <c r="L79" s="1335"/>
      <c r="M79" s="1335"/>
      <c r="N79" s="1335"/>
      <c r="O79" s="1335"/>
      <c r="P79" s="1335"/>
      <c r="Q79" s="1335"/>
      <c r="R79" s="1335"/>
      <c r="S79" s="1335"/>
      <c r="T79" s="1335"/>
      <c r="U79" s="1335"/>
      <c r="V79" s="1335"/>
      <c r="W79" s="1335"/>
      <c r="X79" s="1335"/>
      <c r="Y79" s="1335"/>
      <c r="Z79" s="1335"/>
      <c r="AA79" s="1335"/>
      <c r="AB79" s="1336"/>
      <c r="AC79" s="740"/>
      <c r="AD79" s="502"/>
      <c r="AE79" s="503"/>
      <c r="AF79" s="503"/>
      <c r="AG79" s="503"/>
      <c r="AH79" s="503"/>
      <c r="AI79" s="503"/>
      <c r="AJ79" s="503"/>
      <c r="AK79" s="503"/>
      <c r="AL79" s="503"/>
      <c r="AM79" s="503"/>
      <c r="AN79" s="503"/>
      <c r="AO79" s="503"/>
      <c r="AP79" s="503"/>
      <c r="AQ79" s="503"/>
      <c r="AR79" s="503"/>
      <c r="AS79" s="503"/>
      <c r="AT79" s="503"/>
      <c r="AU79" s="503"/>
      <c r="AV79" s="503"/>
      <c r="AW79" s="503"/>
      <c r="AX79" s="503"/>
      <c r="AY79" s="503"/>
      <c r="AZ79" s="503"/>
      <c r="BA79" s="503"/>
      <c r="BB79" s="444">
        <f t="shared" si="4"/>
        <v>68</v>
      </c>
    </row>
    <row r="80" spans="1:54" ht="33.75" customHeight="1" x14ac:dyDescent="0.2">
      <c r="A80" s="1101"/>
      <c r="B80" s="517"/>
      <c r="C80" s="517"/>
      <c r="D80" s="517"/>
      <c r="E80" s="518"/>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1100"/>
      <c r="AD80" s="1102"/>
    </row>
  </sheetData>
  <sheetProtection sheet="1" objects="1" scenarios="1"/>
  <mergeCells count="92">
    <mergeCell ref="V12:V13"/>
    <mergeCell ref="U12:U13"/>
    <mergeCell ref="T12:T13"/>
    <mergeCell ref="S12:S13"/>
    <mergeCell ref="R12:R13"/>
    <mergeCell ref="B74:B77"/>
    <mergeCell ref="A79:AB79"/>
    <mergeCell ref="R42:R43"/>
    <mergeCell ref="S42:S43"/>
    <mergeCell ref="T42:T43"/>
    <mergeCell ref="B67:B68"/>
    <mergeCell ref="AA42:AA43"/>
    <mergeCell ref="U42:U43"/>
    <mergeCell ref="V42:V43"/>
    <mergeCell ref="W42:W43"/>
    <mergeCell ref="X42:X43"/>
    <mergeCell ref="Y42:Y43"/>
    <mergeCell ref="B61:B66"/>
    <mergeCell ref="Y72:Y73"/>
    <mergeCell ref="P72:P73"/>
    <mergeCell ref="Q72:Q73"/>
    <mergeCell ref="N42:N43"/>
    <mergeCell ref="O42:O43"/>
    <mergeCell ref="P42:P43"/>
    <mergeCell ref="Q42:Q43"/>
    <mergeCell ref="Z42:Z43"/>
    <mergeCell ref="I42:I43"/>
    <mergeCell ref="J42:J43"/>
    <mergeCell ref="K42:K43"/>
    <mergeCell ref="L42:L43"/>
    <mergeCell ref="M42:M43"/>
    <mergeCell ref="AA12:AA13"/>
    <mergeCell ref="Z12:Z13"/>
    <mergeCell ref="Y12:Y13"/>
    <mergeCell ref="X12:X13"/>
    <mergeCell ref="W12:W13"/>
    <mergeCell ref="E12:E13"/>
    <mergeCell ref="D12:D13"/>
    <mergeCell ref="B12:C12"/>
    <mergeCell ref="D10:H10"/>
    <mergeCell ref="B10:C10"/>
    <mergeCell ref="J12:J13"/>
    <mergeCell ref="I12:I13"/>
    <mergeCell ref="H12:H13"/>
    <mergeCell ref="G12:G13"/>
    <mergeCell ref="F12:F13"/>
    <mergeCell ref="L12:L13"/>
    <mergeCell ref="K12:K13"/>
    <mergeCell ref="N12:N13"/>
    <mergeCell ref="M12:M13"/>
    <mergeCell ref="Q12:Q13"/>
    <mergeCell ref="P12:P13"/>
    <mergeCell ref="O12:O13"/>
    <mergeCell ref="B30:B34"/>
    <mergeCell ref="B51:B54"/>
    <mergeCell ref="B55:B60"/>
    <mergeCell ref="H42:H43"/>
    <mergeCell ref="B15:B16"/>
    <mergeCell ref="B27:B28"/>
    <mergeCell ref="B17:B26"/>
    <mergeCell ref="B37:B39"/>
    <mergeCell ref="B44:B48"/>
    <mergeCell ref="B49:B50"/>
    <mergeCell ref="A40:AB40"/>
    <mergeCell ref="B42:C42"/>
    <mergeCell ref="D42:D43"/>
    <mergeCell ref="E42:E43"/>
    <mergeCell ref="F42:F43"/>
    <mergeCell ref="G42:G43"/>
    <mergeCell ref="A70:AB70"/>
    <mergeCell ref="B72:C72"/>
    <mergeCell ref="D72:D73"/>
    <mergeCell ref="E72:E73"/>
    <mergeCell ref="F72:F73"/>
    <mergeCell ref="G72:G73"/>
    <mergeCell ref="H72:H73"/>
    <mergeCell ref="I72:I73"/>
    <mergeCell ref="Z72:Z73"/>
    <mergeCell ref="AA72:AA73"/>
    <mergeCell ref="U72:U73"/>
    <mergeCell ref="V72:V73"/>
    <mergeCell ref="W72:W73"/>
    <mergeCell ref="X72:X73"/>
    <mergeCell ref="J72:J73"/>
    <mergeCell ref="K72:K73"/>
    <mergeCell ref="L72:L73"/>
    <mergeCell ref="M72:M73"/>
    <mergeCell ref="N72:N73"/>
    <mergeCell ref="R72:R73"/>
    <mergeCell ref="S72:S73"/>
    <mergeCell ref="T72:T73"/>
    <mergeCell ref="O72:O73"/>
  </mergeCells>
  <conditionalFormatting sqref="D41:Y41">
    <cfRule type="colorScale" priority="1257">
      <colorScale>
        <cfvo type="min"/>
        <cfvo type="max"/>
        <color theme="4" tint="0.79998168889431442"/>
        <color theme="4" tint="0.39997558519241921"/>
      </colorScale>
    </cfRule>
  </conditionalFormatting>
  <conditionalFormatting sqref="D56:Y60">
    <cfRule type="colorScale" priority="120">
      <colorScale>
        <cfvo type="min"/>
        <cfvo type="max"/>
        <color theme="4" tint="0.79998168889431442"/>
        <color theme="4" tint="0.39997558519241921"/>
      </colorScale>
    </cfRule>
  </conditionalFormatting>
  <conditionalFormatting sqref="D57:Y57">
    <cfRule type="colorScale" priority="119">
      <colorScale>
        <cfvo type="min"/>
        <cfvo type="max"/>
        <color theme="4" tint="0.79998168889431442"/>
        <color theme="4" tint="0.39997558519241921"/>
      </colorScale>
    </cfRule>
  </conditionalFormatting>
  <conditionalFormatting sqref="D58:Y58">
    <cfRule type="colorScale" priority="118">
      <colorScale>
        <cfvo type="min"/>
        <cfvo type="max"/>
        <color theme="4" tint="0.79998168889431442"/>
        <color theme="4" tint="0.39997558519241921"/>
      </colorScale>
    </cfRule>
  </conditionalFormatting>
  <conditionalFormatting sqref="D59:Y59">
    <cfRule type="colorScale" priority="117">
      <colorScale>
        <cfvo type="min"/>
        <cfvo type="max"/>
        <color theme="4" tint="0.79998168889431442"/>
        <color theme="4" tint="0.39997558519241921"/>
      </colorScale>
    </cfRule>
  </conditionalFormatting>
  <conditionalFormatting sqref="D60:Y60">
    <cfRule type="colorScale" priority="116">
      <colorScale>
        <cfvo type="min"/>
        <cfvo type="max"/>
        <color theme="4" tint="0.79998168889431442"/>
        <color theme="4" tint="0.39997558519241921"/>
      </colorScale>
    </cfRule>
  </conditionalFormatting>
  <conditionalFormatting sqref="D12:Y13 D72:Y77 D42:Y43 D39:Y39">
    <cfRule type="expression" dxfId="704" priority="58">
      <formula>D12=$D$10</formula>
    </cfRule>
  </conditionalFormatting>
  <conditionalFormatting sqref="D71:Y71">
    <cfRule type="colorScale" priority="91">
      <colorScale>
        <cfvo type="min"/>
        <cfvo type="max"/>
        <color theme="4" tint="0.79998168889431442"/>
        <color theme="4" tint="0.39997558519241921"/>
      </colorScale>
    </cfRule>
  </conditionalFormatting>
  <conditionalFormatting sqref="D14:Y39 D74:Y77 D44:Y68">
    <cfRule type="expression" dxfId="703" priority="46">
      <formula>D$12=$D$10</formula>
    </cfRule>
  </conditionalFormatting>
  <conditionalFormatting sqref="D14:Y14">
    <cfRule type="colorScale" priority="89">
      <colorScale>
        <cfvo type="min"/>
        <cfvo type="max"/>
        <color rgb="FFECF2FA"/>
        <color theme="4" tint="0.39997558519241921"/>
      </colorScale>
    </cfRule>
  </conditionalFormatting>
  <conditionalFormatting sqref="D15:Y15">
    <cfRule type="colorScale" priority="74">
      <colorScale>
        <cfvo type="min"/>
        <cfvo type="max"/>
        <color rgb="FFECF2FA"/>
        <color theme="4" tint="0.39997558519241921"/>
      </colorScale>
    </cfRule>
  </conditionalFormatting>
  <conditionalFormatting sqref="D16:Y16">
    <cfRule type="colorScale" priority="72">
      <colorScale>
        <cfvo type="min"/>
        <cfvo type="max"/>
        <color rgb="FFECF2FA"/>
        <color theme="4" tint="0.39997558519241921"/>
      </colorScale>
    </cfRule>
  </conditionalFormatting>
  <conditionalFormatting sqref="D17:Y17">
    <cfRule type="colorScale" priority="71">
      <colorScale>
        <cfvo type="min"/>
        <cfvo type="max"/>
        <color rgb="FFECF2FA"/>
        <color theme="4" tint="0.39997558519241921"/>
      </colorScale>
    </cfRule>
  </conditionalFormatting>
  <conditionalFormatting sqref="D18:Y18">
    <cfRule type="colorScale" priority="70">
      <colorScale>
        <cfvo type="min"/>
        <cfvo type="max"/>
        <color rgb="FFECF2FA"/>
        <color theme="4" tint="0.39997558519241921"/>
      </colorScale>
    </cfRule>
  </conditionalFormatting>
  <conditionalFormatting sqref="D19:Y19">
    <cfRule type="colorScale" priority="69">
      <colorScale>
        <cfvo type="min"/>
        <cfvo type="max"/>
        <color rgb="FFECF2FA"/>
        <color theme="4" tint="0.39997558519241921"/>
      </colorScale>
    </cfRule>
  </conditionalFormatting>
  <conditionalFormatting sqref="D20:Y20">
    <cfRule type="colorScale" priority="68">
      <colorScale>
        <cfvo type="min"/>
        <cfvo type="max"/>
        <color rgb="FFECF2FA"/>
        <color theme="4" tint="0.39997558519241921"/>
      </colorScale>
    </cfRule>
  </conditionalFormatting>
  <conditionalFormatting sqref="D21:Y21">
    <cfRule type="colorScale" priority="67">
      <colorScale>
        <cfvo type="min"/>
        <cfvo type="max"/>
        <color rgb="FFECF2FA"/>
        <color theme="4" tint="0.39997558519241921"/>
      </colorScale>
    </cfRule>
  </conditionalFormatting>
  <conditionalFormatting sqref="D22:Y22">
    <cfRule type="colorScale" priority="66">
      <colorScale>
        <cfvo type="min"/>
        <cfvo type="max"/>
        <color rgb="FFECF2FA"/>
        <color theme="4" tint="0.39997558519241921"/>
      </colorScale>
    </cfRule>
  </conditionalFormatting>
  <conditionalFormatting sqref="D23:Y23">
    <cfRule type="colorScale" priority="65">
      <colorScale>
        <cfvo type="min"/>
        <cfvo type="max"/>
        <color rgb="FFECF2FA"/>
        <color theme="4" tint="0.39997558519241921"/>
      </colorScale>
    </cfRule>
  </conditionalFormatting>
  <conditionalFormatting sqref="D24:Y24">
    <cfRule type="colorScale" priority="64">
      <colorScale>
        <cfvo type="min"/>
        <cfvo type="max"/>
        <color rgb="FFECF2FA"/>
        <color theme="4" tint="0.39997558519241921"/>
      </colorScale>
    </cfRule>
  </conditionalFormatting>
  <conditionalFormatting sqref="D25:Y25">
    <cfRule type="colorScale" priority="63">
      <colorScale>
        <cfvo type="min"/>
        <cfvo type="max"/>
        <color rgb="FFECF2FA"/>
        <color theme="4" tint="0.39997558519241921"/>
      </colorScale>
    </cfRule>
  </conditionalFormatting>
  <conditionalFormatting sqref="D26:Y26">
    <cfRule type="colorScale" priority="62">
      <colorScale>
        <cfvo type="min"/>
        <cfvo type="max"/>
        <color rgb="FFECF2FA"/>
        <color theme="4" tint="0.39997558519241921"/>
      </colorScale>
    </cfRule>
  </conditionalFormatting>
  <conditionalFormatting sqref="D27:Y27">
    <cfRule type="colorScale" priority="61">
      <colorScale>
        <cfvo type="min"/>
        <cfvo type="max"/>
        <color rgb="FFECF2FA"/>
        <color theme="4" tint="0.39997558519241921"/>
      </colorScale>
    </cfRule>
  </conditionalFormatting>
  <conditionalFormatting sqref="D28:Y28">
    <cfRule type="colorScale" priority="60">
      <colorScale>
        <cfvo type="min"/>
        <cfvo type="max"/>
        <color rgb="FFECF2FA"/>
        <color theme="4" tint="0.39997558519241921"/>
      </colorScale>
    </cfRule>
  </conditionalFormatting>
  <conditionalFormatting sqref="D29:Y29">
    <cfRule type="colorScale" priority="57">
      <colorScale>
        <cfvo type="min"/>
        <cfvo type="max"/>
        <color rgb="FFECF2FA"/>
        <color theme="4" tint="0.39997558519241921"/>
      </colorScale>
    </cfRule>
  </conditionalFormatting>
  <conditionalFormatting sqref="D50:Y50">
    <cfRule type="colorScale" priority="55">
      <colorScale>
        <cfvo type="min"/>
        <cfvo type="max"/>
        <color rgb="FFECF2FA"/>
        <color theme="4" tint="0.39997558519241921"/>
      </colorScale>
    </cfRule>
  </conditionalFormatting>
  <conditionalFormatting sqref="D64:Y64">
    <cfRule type="colorScale" priority="45">
      <colorScale>
        <cfvo type="min"/>
        <cfvo type="max"/>
        <color rgb="FFECF2FA"/>
        <color theme="4" tint="0.39997558519241921"/>
      </colorScale>
    </cfRule>
  </conditionalFormatting>
  <conditionalFormatting sqref="D65:Y65">
    <cfRule type="colorScale" priority="44">
      <colorScale>
        <cfvo type="min"/>
        <cfvo type="max"/>
        <color rgb="FFECF2FA"/>
        <color theme="4" tint="0.39997558519241921"/>
      </colorScale>
    </cfRule>
  </conditionalFormatting>
  <conditionalFormatting sqref="D68:Y68">
    <cfRule type="colorScale" priority="41">
      <colorScale>
        <cfvo type="min"/>
        <cfvo type="max"/>
        <color rgb="FFECF2FA"/>
        <color theme="4" tint="0.39997558519241921"/>
      </colorScale>
    </cfRule>
  </conditionalFormatting>
  <conditionalFormatting sqref="D67:Y67">
    <cfRule type="colorScale" priority="38">
      <colorScale>
        <cfvo type="min"/>
        <cfvo type="max"/>
        <color rgb="FFECF2FA"/>
        <color theme="4" tint="0.39997558519241921"/>
      </colorScale>
    </cfRule>
  </conditionalFormatting>
  <conditionalFormatting sqref="D77:Y77">
    <cfRule type="colorScale" priority="37">
      <colorScale>
        <cfvo type="min"/>
        <cfvo type="max"/>
        <color rgb="FFECF2FA"/>
        <color theme="4" tint="0.39997558519241921"/>
      </colorScale>
    </cfRule>
  </conditionalFormatting>
  <conditionalFormatting sqref="D76:Y76">
    <cfRule type="colorScale" priority="36">
      <colorScale>
        <cfvo type="min"/>
        <cfvo type="max"/>
        <color rgb="FFECF2FA"/>
        <color theme="4" tint="0.39997558519241921"/>
      </colorScale>
    </cfRule>
  </conditionalFormatting>
  <conditionalFormatting sqref="D75:Y75">
    <cfRule type="colorScale" priority="35">
      <colorScale>
        <cfvo type="min"/>
        <cfvo type="max"/>
        <color rgb="FFECF2FA"/>
        <color theme="4" tint="0.39997558519241921"/>
      </colorScale>
    </cfRule>
  </conditionalFormatting>
  <conditionalFormatting sqref="D74:Y74">
    <cfRule type="colorScale" priority="34">
      <colorScale>
        <cfvo type="min"/>
        <cfvo type="max"/>
        <color rgb="FFECF2FA"/>
        <color theme="4" tint="0.39997558519241921"/>
      </colorScale>
    </cfRule>
  </conditionalFormatting>
  <conditionalFormatting sqref="D66:Y66">
    <cfRule type="colorScale" priority="33">
      <colorScale>
        <cfvo type="min"/>
        <cfvo type="max"/>
        <color rgb="FFECF2FA"/>
        <color theme="4" tint="0.39997558519241921"/>
      </colorScale>
    </cfRule>
  </conditionalFormatting>
  <conditionalFormatting sqref="D63:Y63">
    <cfRule type="colorScale" priority="31">
      <colorScale>
        <cfvo type="min"/>
        <cfvo type="max"/>
        <color rgb="FFECF2FA"/>
        <color theme="4" tint="0.39997558519241921"/>
      </colorScale>
    </cfRule>
  </conditionalFormatting>
  <conditionalFormatting sqref="D62:Y62">
    <cfRule type="colorScale" priority="30">
      <colorScale>
        <cfvo type="min"/>
        <cfvo type="max"/>
        <color rgb="FFECF2FA"/>
        <color theme="4" tint="0.39997558519241921"/>
      </colorScale>
    </cfRule>
  </conditionalFormatting>
  <conditionalFormatting sqref="D61:Y61">
    <cfRule type="colorScale" priority="28">
      <colorScale>
        <cfvo type="min"/>
        <cfvo type="max"/>
        <color rgb="FFECF2FA"/>
        <color theme="4" tint="0.39997558519241921"/>
      </colorScale>
    </cfRule>
  </conditionalFormatting>
  <conditionalFormatting sqref="D30:Y30">
    <cfRule type="colorScale" priority="27">
      <colorScale>
        <cfvo type="min"/>
        <cfvo type="max"/>
        <color rgb="FFECF2FA"/>
        <color theme="4" tint="0.39997558519241921"/>
      </colorScale>
    </cfRule>
  </conditionalFormatting>
  <conditionalFormatting sqref="D35:Y35">
    <cfRule type="colorScale" priority="26">
      <colorScale>
        <cfvo type="min"/>
        <cfvo type="max"/>
        <color rgb="FFECF2FA"/>
        <color theme="4" tint="0.39997558519241921"/>
      </colorScale>
    </cfRule>
  </conditionalFormatting>
  <conditionalFormatting sqref="D33:Y33">
    <cfRule type="colorScale" priority="24">
      <colorScale>
        <cfvo type="min"/>
        <cfvo type="max"/>
        <color rgb="FFECF2FA"/>
        <color theme="4" tint="0.39997558519241921"/>
      </colorScale>
    </cfRule>
  </conditionalFormatting>
  <conditionalFormatting sqref="D32:Y32">
    <cfRule type="colorScale" priority="23">
      <colorScale>
        <cfvo type="min"/>
        <cfvo type="max"/>
        <color rgb="FFECF2FA"/>
        <color theme="4" tint="0.39997558519241921"/>
      </colorScale>
    </cfRule>
  </conditionalFormatting>
  <conditionalFormatting sqref="D31:Y31">
    <cfRule type="colorScale" priority="22">
      <colorScale>
        <cfvo type="min"/>
        <cfvo type="max"/>
        <color rgb="FFECF2FA"/>
        <color theme="4" tint="0.39997558519241921"/>
      </colorScale>
    </cfRule>
  </conditionalFormatting>
  <conditionalFormatting sqref="D34:Y34">
    <cfRule type="colorScale" priority="21">
      <colorScale>
        <cfvo type="min"/>
        <cfvo type="max"/>
        <color rgb="FFECF2FA"/>
        <color theme="4" tint="0.39997558519241921"/>
      </colorScale>
    </cfRule>
  </conditionalFormatting>
  <conditionalFormatting sqref="D36:Y36">
    <cfRule type="colorScale" priority="20">
      <colorScale>
        <cfvo type="min"/>
        <cfvo type="max"/>
        <color rgb="FFECF2FA"/>
        <color theme="4" tint="0.39997558519241921"/>
      </colorScale>
    </cfRule>
  </conditionalFormatting>
  <conditionalFormatting sqref="D37:Y37">
    <cfRule type="colorScale" priority="19">
      <colorScale>
        <cfvo type="min"/>
        <cfvo type="max"/>
        <color rgb="FFECF2FA"/>
        <color theme="4" tint="0.39997558519241921"/>
      </colorScale>
    </cfRule>
  </conditionalFormatting>
  <conditionalFormatting sqref="D55:Y55">
    <cfRule type="colorScale" priority="18">
      <colorScale>
        <cfvo type="min"/>
        <cfvo type="max"/>
        <color rgb="FFECF2FA"/>
        <color theme="4" tint="0.39997558519241921"/>
      </colorScale>
    </cfRule>
  </conditionalFormatting>
  <conditionalFormatting sqref="D54:Y54">
    <cfRule type="colorScale" priority="17">
      <colorScale>
        <cfvo type="min"/>
        <cfvo type="max"/>
        <color rgb="FFECF2FA"/>
        <color theme="4" tint="0.39997558519241921"/>
      </colorScale>
    </cfRule>
  </conditionalFormatting>
  <conditionalFormatting sqref="D53:Y53">
    <cfRule type="colorScale" priority="16">
      <colorScale>
        <cfvo type="min"/>
        <cfvo type="max"/>
        <color rgb="FFECF2FA"/>
        <color theme="4" tint="0.39997558519241921"/>
      </colorScale>
    </cfRule>
  </conditionalFormatting>
  <conditionalFormatting sqref="D52:Y52">
    <cfRule type="colorScale" priority="15">
      <colorScale>
        <cfvo type="min"/>
        <cfvo type="max"/>
        <color rgb="FFECF2FA"/>
        <color theme="4" tint="0.39997558519241921"/>
      </colorScale>
    </cfRule>
  </conditionalFormatting>
  <conditionalFormatting sqref="D51:Y51">
    <cfRule type="colorScale" priority="14">
      <colorScale>
        <cfvo type="min"/>
        <cfvo type="max"/>
        <color rgb="FFECF2FA"/>
        <color theme="4" tint="0.39997558519241921"/>
      </colorScale>
    </cfRule>
  </conditionalFormatting>
  <conditionalFormatting sqref="D49:Y49">
    <cfRule type="colorScale" priority="13">
      <colorScale>
        <cfvo type="min"/>
        <cfvo type="max"/>
        <color rgb="FFECF2FA"/>
        <color theme="4" tint="0.39997558519241921"/>
      </colorScale>
    </cfRule>
  </conditionalFormatting>
  <conditionalFormatting sqref="D47:Y47">
    <cfRule type="colorScale" priority="11">
      <colorScale>
        <cfvo type="min"/>
        <cfvo type="max"/>
        <color rgb="FFECF2FA"/>
        <color theme="4" tint="0.39997558519241921"/>
      </colorScale>
    </cfRule>
  </conditionalFormatting>
  <conditionalFormatting sqref="D39:Y39">
    <cfRule type="colorScale" priority="10">
      <colorScale>
        <cfvo type="min"/>
        <cfvo type="max"/>
        <color rgb="FFECF2FA"/>
        <color theme="4" tint="0.39997558519241921"/>
      </colorScale>
    </cfRule>
  </conditionalFormatting>
  <conditionalFormatting sqref="D44:Y44">
    <cfRule type="colorScale" priority="8">
      <colorScale>
        <cfvo type="min"/>
        <cfvo type="max"/>
        <color rgb="FFECF2FA"/>
        <color theme="4" tint="0.39997558519241921"/>
      </colorScale>
    </cfRule>
  </conditionalFormatting>
  <conditionalFormatting sqref="D38:Y38">
    <cfRule type="colorScale" priority="7">
      <colorScale>
        <cfvo type="min"/>
        <cfvo type="max"/>
        <color rgb="FFECF2FA"/>
        <color theme="4" tint="0.39997558519241921"/>
      </colorScale>
    </cfRule>
  </conditionalFormatting>
  <conditionalFormatting sqref="D46:Y46">
    <cfRule type="colorScale" priority="6">
      <colorScale>
        <cfvo type="min"/>
        <cfvo type="max"/>
        <color rgb="FFECF2FA"/>
        <color theme="4" tint="0.39997558519241921"/>
      </colorScale>
    </cfRule>
  </conditionalFormatting>
  <conditionalFormatting sqref="D48:Y48">
    <cfRule type="colorScale" priority="5">
      <colorScale>
        <cfvo type="min"/>
        <cfvo type="max"/>
        <color rgb="FFECF2FA"/>
        <color theme="4" tint="0.39997558519241921"/>
      </colorScale>
    </cfRule>
  </conditionalFormatting>
  <conditionalFormatting sqref="D45:Y45">
    <cfRule type="colorScale" priority="3">
      <colorScale>
        <cfvo type="min"/>
        <cfvo type="max"/>
        <color rgb="FFECF2FA"/>
        <color theme="4" tint="0.39997558519241921"/>
      </colorScale>
    </cfRule>
  </conditionalFormatting>
  <dataValidations count="1">
    <dataValidation type="list" allowBlank="1" showInputMessage="1" showErrorMessage="1" sqref="D10" xr:uid="{00000000-0002-0000-0800-000000000000}">
      <formula1>$AE$12:$BA$12</formula1>
    </dataValidation>
  </dataValidations>
  <hyperlinks>
    <hyperlink ref="B15:B16" location="Referrals!A1" display="Referrals" xr:uid="{00000000-0004-0000-0800-000002000000}"/>
    <hyperlink ref="B17:B26" location="Referral_Source!A1" display="Referral Source (rate per 10,000)" xr:uid="{00000000-0004-0000-0800-000003000000}"/>
    <hyperlink ref="B27" location="'Re-referrals'!A1" display="Re-Referrals" xr:uid="{00000000-0004-0000-0800-000004000000}"/>
    <hyperlink ref="B35" location="'Children in Need'!A1" display="CIN" xr:uid="{00000000-0004-0000-0800-000005000000}"/>
    <hyperlink ref="B36" location="'Section 47 Enquiries'!A1" display="Section 47 Enquiries" xr:uid="{00000000-0004-0000-0800-000006000000}"/>
    <hyperlink ref="B49" location="'Court Applications'!A1" display="Court Applications" xr:uid="{00000000-0004-0000-0800-000008000000}"/>
    <hyperlink ref="B67" location="Adoption!A1" display="Adoption" xr:uid="{00000000-0004-0000-0800-000009000000}"/>
    <hyperlink ref="B14" location="IDACI!A1" display="Early Help Clients" xr:uid="{00000000-0004-0000-0800-00000B000000}"/>
    <hyperlink ref="B74:B77" location="Care_Leavers!A1" display="Adoption" xr:uid="{00000000-0004-0000-0800-00000D000000}"/>
    <hyperlink ref="B44:B48" location="'Child Protection Plans'!A1" display="Child Protection Plans" xr:uid="{00000000-0004-0000-0800-000014000000}"/>
    <hyperlink ref="B51:B54" location="'Looked After Children'!A1" display="Children Looked After (at last day in period)" xr:uid="{00000000-0004-0000-0800-000017000000}"/>
    <hyperlink ref="B55:B60" location="'Looked After Children'!A1" display="'Looked After Children'!A1" xr:uid="{00000000-0004-0000-0800-000018000000}"/>
    <hyperlink ref="B61:B66" location="New_Ceased_LAC!A1" display="Children Starting or Ceasing to be Looked After (during the period)" xr:uid="{9EA7EF1B-740B-4FB5-90D0-388E4287583A}"/>
  </hyperlinks>
  <printOptions horizontalCentered="1" verticalCentered="1"/>
  <pageMargins left="0.55118110236220474" right="0.55118110236220474" top="0.55118110236220474" bottom="0.55118110236220474" header="0.51181102362204722" footer="0.74803149606299213"/>
  <pageSetup paperSize="9" scale="74" fitToHeight="0" orientation="landscape" r:id="rId1"/>
  <headerFooter scaleWithDoc="0" alignWithMargins="0"/>
  <rowBreaks count="1" manualBreakCount="1">
    <brk id="40" max="28" man="1"/>
  </rowBreaks>
  <colBreaks count="1" manualBreakCount="1">
    <brk id="25" max="6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872</vt:i4>
      </vt:variant>
    </vt:vector>
  </HeadingPairs>
  <TitlesOfParts>
    <vt:vector size="898" baseType="lpstr">
      <vt:lpstr>Sheet1</vt:lpstr>
      <vt:lpstr>Year 1</vt:lpstr>
      <vt:lpstr>Year 2</vt:lpstr>
      <vt:lpstr>Year 3</vt:lpstr>
      <vt:lpstr>Year 4</vt:lpstr>
      <vt:lpstr>Year 5</vt:lpstr>
      <vt:lpstr>ChartLabels</vt:lpstr>
      <vt:lpstr>Frontpage</vt:lpstr>
      <vt:lpstr>Home</vt:lpstr>
      <vt:lpstr>Indicators</vt:lpstr>
      <vt:lpstr>Coverage</vt:lpstr>
      <vt:lpstr>IDACI</vt:lpstr>
      <vt:lpstr>Population</vt:lpstr>
      <vt:lpstr>Referrals</vt:lpstr>
      <vt:lpstr>Referral_Source</vt:lpstr>
      <vt:lpstr>Re-referrals</vt:lpstr>
      <vt:lpstr>Assessments</vt:lpstr>
      <vt:lpstr>Children in Need</vt:lpstr>
      <vt:lpstr>Section 47 Enquiries</vt:lpstr>
      <vt:lpstr>Initial CP Conferences</vt:lpstr>
      <vt:lpstr>Child Protection Plans</vt:lpstr>
      <vt:lpstr>Court Applications</vt:lpstr>
      <vt:lpstr>Looked After Children</vt:lpstr>
      <vt:lpstr>New_Ceased_LAC</vt:lpstr>
      <vt:lpstr>Care_Leavers</vt:lpstr>
      <vt:lpstr>Adoption</vt:lpstr>
      <vt:lpstr>'Year 2'!Age_Breakdown_of_LAC</vt:lpstr>
      <vt:lpstr>'Year 3'!Age_Breakdown_of_LAC</vt:lpstr>
      <vt:lpstr>'Year 4'!Age_Breakdown_of_LAC</vt:lpstr>
      <vt:lpstr>'Year 5'!Age_Breakdown_of_LAC</vt:lpstr>
      <vt:lpstr>Age_Breakdown_of_LAC</vt:lpstr>
      <vt:lpstr>'Year 2'!Bracknell_Forest</vt:lpstr>
      <vt:lpstr>'Year 3'!Bracknell_Forest</vt:lpstr>
      <vt:lpstr>'Year 4'!Bracknell_Forest</vt:lpstr>
      <vt:lpstr>'Year 5'!Bracknell_Forest</vt:lpstr>
      <vt:lpstr>Bracknell_Forest</vt:lpstr>
      <vt:lpstr>'Year 2'!Brighton___Hove</vt:lpstr>
      <vt:lpstr>'Year 3'!Brighton___Hove</vt:lpstr>
      <vt:lpstr>'Year 4'!Brighton___Hove</vt:lpstr>
      <vt:lpstr>'Year 5'!Brighton___Hove</vt:lpstr>
      <vt:lpstr>Brighton___Hove</vt:lpstr>
      <vt:lpstr>'Year 2'!Buckinghamshire</vt:lpstr>
      <vt:lpstr>'Year 3'!Buckinghamshire</vt:lpstr>
      <vt:lpstr>'Year 4'!Buckinghamshire</vt:lpstr>
      <vt:lpstr>'Year 5'!Buckinghamshire</vt:lpstr>
      <vt:lpstr>Buckinghamshire</vt:lpstr>
      <vt:lpstr>'Year 2'!East_Sussex</vt:lpstr>
      <vt:lpstr>'Year 3'!East_Sussex</vt:lpstr>
      <vt:lpstr>'Year 4'!East_Sussex</vt:lpstr>
      <vt:lpstr>'Year 5'!East_Sussex</vt:lpstr>
      <vt:lpstr>East_Sussex</vt:lpstr>
      <vt:lpstr>'Year 2'!England</vt:lpstr>
      <vt:lpstr>'Year 3'!England</vt:lpstr>
      <vt:lpstr>'Year 4'!England</vt:lpstr>
      <vt:lpstr>'Year 5'!England</vt:lpstr>
      <vt:lpstr>England</vt:lpstr>
      <vt:lpstr>'Year 2'!Hampshire</vt:lpstr>
      <vt:lpstr>'Year 3'!Hampshire</vt:lpstr>
      <vt:lpstr>'Year 4'!Hampshire</vt:lpstr>
      <vt:lpstr>'Year 5'!Hampshire</vt:lpstr>
      <vt:lpstr>Hampshire</vt:lpstr>
      <vt:lpstr>'Year 2'!Isle_of_Wight</vt:lpstr>
      <vt:lpstr>'Year 3'!Isle_of_Wight</vt:lpstr>
      <vt:lpstr>'Year 4'!Isle_of_Wight</vt:lpstr>
      <vt:lpstr>'Year 5'!Isle_of_Wight</vt:lpstr>
      <vt:lpstr>Isle_of_Wight</vt:lpstr>
      <vt:lpstr>'Year 2'!Kent</vt:lpstr>
      <vt:lpstr>'Year 3'!Kent</vt:lpstr>
      <vt:lpstr>'Year 4'!Kent</vt:lpstr>
      <vt:lpstr>'Year 5'!Kent</vt:lpstr>
      <vt:lpstr>Kent</vt:lpstr>
      <vt:lpstr>'Year 2'!Medway</vt:lpstr>
      <vt:lpstr>'Year 3'!Medway</vt:lpstr>
      <vt:lpstr>'Year 4'!Medway</vt:lpstr>
      <vt:lpstr>'Year 5'!Medway</vt:lpstr>
      <vt:lpstr>Medway</vt:lpstr>
      <vt:lpstr>'Year 2'!Milton_Keynes</vt:lpstr>
      <vt:lpstr>'Year 3'!Milton_Keynes</vt:lpstr>
      <vt:lpstr>'Year 4'!Milton_Keynes</vt:lpstr>
      <vt:lpstr>'Year 5'!Milton_Keynes</vt:lpstr>
      <vt:lpstr>Milton_Keynes</vt:lpstr>
      <vt:lpstr>'Year 2'!Number_of_completed_Early_Help_Assessments_leading_to</vt:lpstr>
      <vt:lpstr>'Year 3'!Number_of_completed_Early_Help_Assessments_leading_to</vt:lpstr>
      <vt:lpstr>'Year 4'!Number_of_completed_Early_Help_Assessments_leading_to</vt:lpstr>
      <vt:lpstr>'Year 5'!Number_of_completed_Early_Help_Assessments_leading_to</vt:lpstr>
      <vt:lpstr>Number_of_completed_Early_Help_Assessments_leading_to</vt:lpstr>
      <vt:lpstr>'Year 2'!Number_of_CSC_Single_Assessments_Authorised_within</vt:lpstr>
      <vt:lpstr>'Year 3'!Number_of_CSC_Single_Assessments_Authorised_within</vt:lpstr>
      <vt:lpstr>'Year 4'!Number_of_CSC_Single_Assessments_Authorised_within</vt:lpstr>
      <vt:lpstr>'Year 5'!Number_of_CSC_Single_Assessments_Authorised_within</vt:lpstr>
      <vt:lpstr>Number_of_CSC_Single_Assessments_Authorised_within</vt:lpstr>
      <vt:lpstr>'Year 2'!Number_of_Referrals_to_CSC_received_from</vt:lpstr>
      <vt:lpstr>'Year 3'!Number_of_Referrals_to_CSC_received_from</vt:lpstr>
      <vt:lpstr>'Year 4'!Number_of_Referrals_to_CSC_received_from</vt:lpstr>
      <vt:lpstr>'Year 5'!Number_of_Referrals_to_CSC_received_from</vt:lpstr>
      <vt:lpstr>Number_of_Referrals_to_CSC_received_from</vt:lpstr>
      <vt:lpstr>'Year 2'!Oxfordshire</vt:lpstr>
      <vt:lpstr>'Year 3'!Oxfordshire</vt:lpstr>
      <vt:lpstr>'Year 4'!Oxfordshire</vt:lpstr>
      <vt:lpstr>'Year 5'!Oxfordshire</vt:lpstr>
      <vt:lpstr>Oxfordshire</vt:lpstr>
      <vt:lpstr>'Year 2'!Portsmouth</vt:lpstr>
      <vt:lpstr>'Year 3'!Portsmouth</vt:lpstr>
      <vt:lpstr>'Year 4'!Portsmouth</vt:lpstr>
      <vt:lpstr>'Year 5'!Portsmouth</vt:lpstr>
      <vt:lpstr>Portsmouth</vt:lpstr>
      <vt:lpstr>Adoption!Print_Area</vt:lpstr>
      <vt:lpstr>Assessments!Print_Area</vt:lpstr>
      <vt:lpstr>Care_Leavers!Print_Area</vt:lpstr>
      <vt:lpstr>'Child Protection Plans'!Print_Area</vt:lpstr>
      <vt:lpstr>'Children in Need'!Print_Area</vt:lpstr>
      <vt:lpstr>'Court Applications'!Print_Area</vt:lpstr>
      <vt:lpstr>Coverage!Print_Area</vt:lpstr>
      <vt:lpstr>Frontpage!Print_Area</vt:lpstr>
      <vt:lpstr>Home!Print_Area</vt:lpstr>
      <vt:lpstr>IDACI!Print_Area</vt:lpstr>
      <vt:lpstr>Indicators!Print_Area</vt:lpstr>
      <vt:lpstr>'Initial CP Conferences'!Print_Area</vt:lpstr>
      <vt:lpstr>'Looked After Children'!Print_Area</vt:lpstr>
      <vt:lpstr>New_Ceased_LAC!Print_Area</vt:lpstr>
      <vt:lpstr>Population!Print_Area</vt:lpstr>
      <vt:lpstr>Referral_Source!Print_Area</vt:lpstr>
      <vt:lpstr>Referrals!Print_Area</vt:lpstr>
      <vt:lpstr>'Re-referrals'!Print_Area</vt:lpstr>
      <vt:lpstr>'Section 47 Enquiries'!Print_Area</vt:lpstr>
      <vt:lpstr>Sheet1!Print_Area</vt:lpstr>
      <vt:lpstr>Home!Print_Titles</vt:lpstr>
      <vt:lpstr>Indicators!Print_Titles</vt:lpstr>
      <vt:lpstr>'Year 2'!Reading</vt:lpstr>
      <vt:lpstr>'Year 3'!Reading</vt:lpstr>
      <vt:lpstr>'Year 4'!Reading</vt:lpstr>
      <vt:lpstr>'Year 5'!Reading</vt:lpstr>
      <vt:lpstr>Reading</vt:lpstr>
      <vt:lpstr>'Year 2'!Slough</vt:lpstr>
      <vt:lpstr>'Year 3'!Slough</vt:lpstr>
      <vt:lpstr>'Year 4'!Slough</vt:lpstr>
      <vt:lpstr>'Year 5'!Slough</vt:lpstr>
      <vt:lpstr>Slough</vt:lpstr>
      <vt:lpstr>'Year 2'!Somerset</vt:lpstr>
      <vt:lpstr>'Year 3'!Somerset</vt:lpstr>
      <vt:lpstr>'Year 4'!Somerset</vt:lpstr>
      <vt:lpstr>'Year 5'!Somerset</vt:lpstr>
      <vt:lpstr>Somerset</vt:lpstr>
      <vt:lpstr>'Year 2'!South_East</vt:lpstr>
      <vt:lpstr>'Year 3'!South_East</vt:lpstr>
      <vt:lpstr>'Year 4'!South_East</vt:lpstr>
      <vt:lpstr>'Year 5'!South_East</vt:lpstr>
      <vt:lpstr>South_East</vt:lpstr>
      <vt:lpstr>'Year 2'!Southampton</vt:lpstr>
      <vt:lpstr>'Year 3'!Southampton</vt:lpstr>
      <vt:lpstr>'Year 4'!Southampton</vt:lpstr>
      <vt:lpstr>'Year 5'!Southampton</vt:lpstr>
      <vt:lpstr>Southampton</vt:lpstr>
      <vt:lpstr>'Year 2'!Surrey</vt:lpstr>
      <vt:lpstr>'Year 3'!Surrey</vt:lpstr>
      <vt:lpstr>'Year 4'!Surrey</vt:lpstr>
      <vt:lpstr>'Year 5'!Surrey</vt:lpstr>
      <vt:lpstr>Surrey</vt:lpstr>
      <vt:lpstr>'Year 2'!Swindon</vt:lpstr>
      <vt:lpstr>'Year 3'!Swindon</vt:lpstr>
      <vt:lpstr>'Year 4'!Swindon</vt:lpstr>
      <vt:lpstr>'Year 5'!Swindon</vt:lpstr>
      <vt:lpstr>Swindon</vt:lpstr>
      <vt:lpstr>'Year 2'!Torbay</vt:lpstr>
      <vt:lpstr>'Year 3'!Torbay</vt:lpstr>
      <vt:lpstr>'Year 4'!Torbay</vt:lpstr>
      <vt:lpstr>'Year 5'!Torbay</vt:lpstr>
      <vt:lpstr>Torbay</vt:lpstr>
      <vt:lpstr>'Year 2'!West_Berkshire</vt:lpstr>
      <vt:lpstr>'Year 3'!West_Berkshire</vt:lpstr>
      <vt:lpstr>'Year 4'!West_Berkshire</vt:lpstr>
      <vt:lpstr>'Year 5'!West_Berkshire</vt:lpstr>
      <vt:lpstr>West_Berkshire</vt:lpstr>
      <vt:lpstr>'Year 2'!West_Sussex</vt:lpstr>
      <vt:lpstr>'Year 3'!West_Sussex</vt:lpstr>
      <vt:lpstr>'Year 4'!West_Sussex</vt:lpstr>
      <vt:lpstr>'Year 5'!West_Sussex</vt:lpstr>
      <vt:lpstr>West_Sussex</vt:lpstr>
      <vt:lpstr>'Year 2'!Windsor___Maidenhead</vt:lpstr>
      <vt:lpstr>'Year 3'!Windsor___Maidenhead</vt:lpstr>
      <vt:lpstr>'Year 4'!Windsor___Maidenhead</vt:lpstr>
      <vt:lpstr>'Year 5'!Windsor___Maidenhead</vt:lpstr>
      <vt:lpstr>Windsor___Maidenhead</vt:lpstr>
      <vt:lpstr>'Year 2'!Wokingham</vt:lpstr>
      <vt:lpstr>'Year 3'!Wokingham</vt:lpstr>
      <vt:lpstr>'Year 4'!Wokingham</vt:lpstr>
      <vt:lpstr>'Year 5'!Wokingham</vt:lpstr>
      <vt:lpstr>Wokingham</vt:lpstr>
      <vt:lpstr>Year1__electively_home_educated</vt:lpstr>
      <vt:lpstr>Year1_16_17_NEET</vt:lpstr>
      <vt:lpstr>Year1_16_17_not_known</vt:lpstr>
      <vt:lpstr>Year1_16_17_participating_in_EET</vt:lpstr>
      <vt:lpstr>Year1_1617_NEET</vt:lpstr>
      <vt:lpstr>Year1_1617_not_known</vt:lpstr>
      <vt:lpstr>Year1_1617_participating_in_EET</vt:lpstr>
      <vt:lpstr>Year1_Adoption_ceased_LAC</vt:lpstr>
      <vt:lpstr>Year1_Adoption_LAC_Adopted</vt:lpstr>
      <vt:lpstr>Year1_Adoption_LAC_Adopted_days</vt:lpstr>
      <vt:lpstr>Year1_Adoption_LAC_Adopted_placed_with_12months</vt:lpstr>
      <vt:lpstr>Year1_Adoption_PFA</vt:lpstr>
      <vt:lpstr>Year1_Assessments</vt:lpstr>
      <vt:lpstr>Year1_Assessments_10days</vt:lpstr>
      <vt:lpstr>Year1_Assessments_11_20days</vt:lpstr>
      <vt:lpstr>Year1_Assessments_11_25days</vt:lpstr>
      <vt:lpstr>Year1_Assessments_21_30days</vt:lpstr>
      <vt:lpstr>Year1_Assessments_26_35days</vt:lpstr>
      <vt:lpstr>Year1_Assessments_31_45days</vt:lpstr>
      <vt:lpstr>Year1_Assessments_36_45days</vt:lpstr>
      <vt:lpstr>Year1_Assessments_No_further_action</vt:lpstr>
      <vt:lpstr>Year1_Assessments_over_45days</vt:lpstr>
      <vt:lpstr>Year1_Assessments_step_down</vt:lpstr>
      <vt:lpstr>Year1_Assessments_within45days</vt:lpstr>
      <vt:lpstr>'Year 5'!Year1_Bracknell_Forest</vt:lpstr>
      <vt:lpstr>Year1_Bracknell_Forest</vt:lpstr>
      <vt:lpstr>'Year 5'!Year1_Brighton___Hove</vt:lpstr>
      <vt:lpstr>Year1_Brighton___Hove</vt:lpstr>
      <vt:lpstr>Year1_Brighton_Hove</vt:lpstr>
      <vt:lpstr>'Year 5'!Year1_Buckinghamshire</vt:lpstr>
      <vt:lpstr>Year1_Buckinghamshire</vt:lpstr>
      <vt:lpstr>Year1_CAO_RO_FundedLA</vt:lpstr>
      <vt:lpstr>Year1_CAO_RO_Total</vt:lpstr>
      <vt:lpstr>Year1_Care_Applications</vt:lpstr>
      <vt:lpstr>Year1_Care_Applications_Children</vt:lpstr>
      <vt:lpstr>Year1_Care_Leavers_16_18th_birthday</vt:lpstr>
      <vt:lpstr>Year1_Care_Leavers_at_end_of_period</vt:lpstr>
      <vt:lpstr>Year1_Care_Leavers_in_EET</vt:lpstr>
      <vt:lpstr>Year1_Care_Leavers_in_suitable_accommodation</vt:lpstr>
      <vt:lpstr>Year1_Care_Leavers_in_touch</vt:lpstr>
      <vt:lpstr>Year1_Children_missing_Education</vt:lpstr>
      <vt:lpstr>Year1_CIN</vt:lpstr>
      <vt:lpstr>Year1_CIN_Section47</vt:lpstr>
      <vt:lpstr>Year1_Contacts</vt:lpstr>
      <vt:lpstr>Year1_Continuous_assessments</vt:lpstr>
      <vt:lpstr>Year1_CP_Conference</vt:lpstr>
      <vt:lpstr>Year1_CP_Conference_within15days</vt:lpstr>
      <vt:lpstr>Year1_CP_Plans</vt:lpstr>
      <vt:lpstr>Year1_CP_Plans_2years</vt:lpstr>
      <vt:lpstr>Year1_CP_Plans_3months</vt:lpstr>
      <vt:lpstr>Year1_CP_Plans_3months_timescales</vt:lpstr>
      <vt:lpstr>Year1_CP_Plans_became_subject</vt:lpstr>
      <vt:lpstr>Year1_CP_Plans_became_subject_second</vt:lpstr>
      <vt:lpstr>Year1_CP_Plans_became_subject_second_2years</vt:lpstr>
      <vt:lpstr>Year1_CP_Plans_ceased</vt:lpstr>
      <vt:lpstr>Year1_CP_Plans_ceased_2years</vt:lpstr>
      <vt:lpstr>Year1_CP_Plans_Seen_in_Timescales</vt:lpstr>
      <vt:lpstr>Year1_EarlyHelpAssessments</vt:lpstr>
      <vt:lpstr>Year1_EarlyHelpAssessmentsOngoing</vt:lpstr>
      <vt:lpstr>Year1_EarlyHelpAssessmentsStepUp</vt:lpstr>
      <vt:lpstr>Year1_EarlyHelpedChildren</vt:lpstr>
      <vt:lpstr>Year1_EarlyHelpReferrals</vt:lpstr>
      <vt:lpstr>Year1_EarlyHelpReferralsOntoASSESSMENT</vt:lpstr>
      <vt:lpstr>Year1_EarlyHelpReferralsSTEPDOWN</vt:lpstr>
      <vt:lpstr>Year1_EarlyHelpReReferrals</vt:lpstr>
      <vt:lpstr>'Year 5'!Year1_East_Sussex</vt:lpstr>
      <vt:lpstr>Year1_East_Sussex</vt:lpstr>
      <vt:lpstr>'Year 5'!Year1_England</vt:lpstr>
      <vt:lpstr>Year1_England</vt:lpstr>
      <vt:lpstr>Year1_First_Time_Entrants_to_Youth_Justice_system</vt:lpstr>
      <vt:lpstr>'Year 5'!Year1_Hampshire</vt:lpstr>
      <vt:lpstr>Year1_Hampshire</vt:lpstr>
      <vt:lpstr>'Year 5'!Year1_Isle_of_Wight</vt:lpstr>
      <vt:lpstr>Year1_Isle_of_Wight</vt:lpstr>
      <vt:lpstr>Year1_Juvenile_Offenders__Age_10_17</vt:lpstr>
      <vt:lpstr>Year1_Juvenile_Offenders__Age_1017</vt:lpstr>
      <vt:lpstr>Year1_Juvenile_Re_offenders__Age_10_17</vt:lpstr>
      <vt:lpstr>Year1_Juvenile_Reoffenders__Age_1017</vt:lpstr>
      <vt:lpstr>'Year 5'!Year1_Kent</vt:lpstr>
      <vt:lpstr>Year1_Kent</vt:lpstr>
      <vt:lpstr>Year1_LAC</vt:lpstr>
      <vt:lpstr>Year1_LAC_10to15</vt:lpstr>
      <vt:lpstr>Year1_LAC_16plus</vt:lpstr>
      <vt:lpstr>Year1_LAC_1to4</vt:lpstr>
      <vt:lpstr>Year1_LAC_3_or_more_Placements</vt:lpstr>
      <vt:lpstr>Year1_LAC_4weeks</vt:lpstr>
      <vt:lpstr>Year1_LAC_4weeks_reviews_in_timescales</vt:lpstr>
      <vt:lpstr>Year1_LAC_5to9</vt:lpstr>
      <vt:lpstr>Year1_LAC_Remanded</vt:lpstr>
      <vt:lpstr>Year1_LAC_Start</vt:lpstr>
      <vt:lpstr>Year1_LAC_Start_2nd_time</vt:lpstr>
      <vt:lpstr>Year1_LAC_UASC</vt:lpstr>
      <vt:lpstr>Year1_LAC_Under1</vt:lpstr>
      <vt:lpstr>Year1_LAC_under16</vt:lpstr>
      <vt:lpstr>Year1_LAC_under16_2.5years</vt:lpstr>
      <vt:lpstr>Year1_LAC_under16_2.5years_sameplacement2years</vt:lpstr>
      <vt:lpstr>'Year 5'!Year1_Medway</vt:lpstr>
      <vt:lpstr>Year1_Medway</vt:lpstr>
      <vt:lpstr>'Year 5'!Year1_Milton_Keynes</vt:lpstr>
      <vt:lpstr>Year1_Milton_Keynes</vt:lpstr>
      <vt:lpstr>Year1_New_EHC__within_20_weeks</vt:lpstr>
      <vt:lpstr>Year1_Number_EHC_Plans</vt:lpstr>
      <vt:lpstr>'Year 5'!Year1_Oxfordshire</vt:lpstr>
      <vt:lpstr>Year1_Oxfordshire</vt:lpstr>
      <vt:lpstr>'Year 5'!Year1_Portsmouth</vt:lpstr>
      <vt:lpstr>Year1_Portsmouth</vt:lpstr>
      <vt:lpstr>'Year 5'!Year1_Reading</vt:lpstr>
      <vt:lpstr>Year1_Reading</vt:lpstr>
      <vt:lpstr>Year1_Referrals</vt:lpstr>
      <vt:lpstr>Year1_ReferralsAssessment</vt:lpstr>
      <vt:lpstr>Year1_ReferralSource_Anonymous</vt:lpstr>
      <vt:lpstr>Year1_ReferralSource_EducationServices</vt:lpstr>
      <vt:lpstr>Year1_ReferralSource_Health_services_AE</vt:lpstr>
      <vt:lpstr>Year1_ReferralSource_Health_services_GP</vt:lpstr>
      <vt:lpstr>Year1_ReferralSource_Health_services_HealthVisitor</vt:lpstr>
      <vt:lpstr>Year1_ReferralSource_Health_services_Other</vt:lpstr>
      <vt:lpstr>Year1_ReferralSource_Health_services_OthPrimary</vt:lpstr>
      <vt:lpstr>Year1_ReferralSource_Health_services_SchoolNurse</vt:lpstr>
      <vt:lpstr>Year1_ReferralSource_Housing</vt:lpstr>
      <vt:lpstr>Year1_ReferralSource_Individual_Acquaintance</vt:lpstr>
      <vt:lpstr>Year1_ReferralSource_Individual_Family</vt:lpstr>
      <vt:lpstr>Year1_ReferralSource_Individual_Other</vt:lpstr>
      <vt:lpstr>Year1_ReferralSource_Individual_Self</vt:lpstr>
      <vt:lpstr>Year1_ReferralSource_LA_External</vt:lpstr>
      <vt:lpstr>Year1_ReferralSource_LA_Other</vt:lpstr>
      <vt:lpstr>Year1_ReferralSource_LA_SC</vt:lpstr>
      <vt:lpstr>Year1_ReferralSource_Other</vt:lpstr>
      <vt:lpstr>Year1_ReferralSource_Other_Legal</vt:lpstr>
      <vt:lpstr>Year1_ReferralSource_Police</vt:lpstr>
      <vt:lpstr>Year1_ReferralSource_School</vt:lpstr>
      <vt:lpstr>Year1_ReferralSource_Unknown</vt:lpstr>
      <vt:lpstr>Year1_ReferralsPriorEH</vt:lpstr>
      <vt:lpstr>Year1_ReReferrals</vt:lpstr>
      <vt:lpstr>Year1_ROSGO_ceased_LAC_CAO</vt:lpstr>
      <vt:lpstr>Year1_ROSGO_ceased_LAC_SGO</vt:lpstr>
      <vt:lpstr>Year1_SGO_fundedLA</vt:lpstr>
      <vt:lpstr>Year1_SGO_total</vt:lpstr>
      <vt:lpstr>'Year 5'!Year1_Slough</vt:lpstr>
      <vt:lpstr>Year1_Slough</vt:lpstr>
      <vt:lpstr>'Year 5'!Year1_Somerset</vt:lpstr>
      <vt:lpstr>Year1_Somerset</vt:lpstr>
      <vt:lpstr>'Year 5'!Year1_South_East</vt:lpstr>
      <vt:lpstr>Year1_South_East</vt:lpstr>
      <vt:lpstr>'Year 5'!Year1_Southampton</vt:lpstr>
      <vt:lpstr>Year1_Southampton</vt:lpstr>
      <vt:lpstr>Year1_SouthEast</vt:lpstr>
      <vt:lpstr>'Year 5'!Year1_Surrey</vt:lpstr>
      <vt:lpstr>Year1_Surrey</vt:lpstr>
      <vt:lpstr>'Year 5'!Year1_Swindon</vt:lpstr>
      <vt:lpstr>Year1_Swindon</vt:lpstr>
      <vt:lpstr>'Year 5'!Year1_Torbay</vt:lpstr>
      <vt:lpstr>Year1_Torbay</vt:lpstr>
      <vt:lpstr>'Year 5'!Year1_West_Berkshire</vt:lpstr>
      <vt:lpstr>Year1_West_Berkshire</vt:lpstr>
      <vt:lpstr>'Year 5'!Year1_West_Sussex</vt:lpstr>
      <vt:lpstr>Year1_West_Sussex</vt:lpstr>
      <vt:lpstr>'Year 5'!Year1_Windsor___Maidenhead</vt:lpstr>
      <vt:lpstr>Year1_Windsor___Maidenhead</vt:lpstr>
      <vt:lpstr>Year1_Windsor_Maidenhead</vt:lpstr>
      <vt:lpstr>'Year 5'!Year1_Wokingham</vt:lpstr>
      <vt:lpstr>Year1_Wokingham</vt:lpstr>
      <vt:lpstr>Year2__electively_home_educated</vt:lpstr>
      <vt:lpstr>Year2_16_17_NEET</vt:lpstr>
      <vt:lpstr>Year2_16_17_not_known</vt:lpstr>
      <vt:lpstr>Year2_16_17_participating_in_EET</vt:lpstr>
      <vt:lpstr>Year2_1617_NEET</vt:lpstr>
      <vt:lpstr>Year2_1617_not_known</vt:lpstr>
      <vt:lpstr>Year2_1617_participating_in_EET</vt:lpstr>
      <vt:lpstr>Year2_Adoption_ceased_LAC</vt:lpstr>
      <vt:lpstr>Year2_Adoption_LAC_Adopted</vt:lpstr>
      <vt:lpstr>Year2_Adoption_LAC_Adopted_days</vt:lpstr>
      <vt:lpstr>Year2_Adoption_LAC_Adopted_placed_with_12months</vt:lpstr>
      <vt:lpstr>Year2_Adoption_PFA</vt:lpstr>
      <vt:lpstr>Year2_Assessments</vt:lpstr>
      <vt:lpstr>Year2_Assessments_10days</vt:lpstr>
      <vt:lpstr>Year2_Assessments_11_20days</vt:lpstr>
      <vt:lpstr>Year2_Assessments_11_25days</vt:lpstr>
      <vt:lpstr>Year2_Assessments_21_30days</vt:lpstr>
      <vt:lpstr>Year2_Assessments_26_35days</vt:lpstr>
      <vt:lpstr>Year2_Assessments_31_45days</vt:lpstr>
      <vt:lpstr>Year2_Assessments_36_45days</vt:lpstr>
      <vt:lpstr>Year2_Assessments_No_further_action</vt:lpstr>
      <vt:lpstr>Year2_Assessments_over_45days</vt:lpstr>
      <vt:lpstr>Year2_Assessments_step_down</vt:lpstr>
      <vt:lpstr>Year2_Assessments_within45days</vt:lpstr>
      <vt:lpstr>Year2_Bracknell_Forest</vt:lpstr>
      <vt:lpstr>Year2_Brighton___Hove</vt:lpstr>
      <vt:lpstr>Year2_Brighton_Hove</vt:lpstr>
      <vt:lpstr>Year2_Buckinghamshire</vt:lpstr>
      <vt:lpstr>Year2_CAO_RO_FundedLA</vt:lpstr>
      <vt:lpstr>Year2_CAO_RO_Total</vt:lpstr>
      <vt:lpstr>Year2_Care_Applications</vt:lpstr>
      <vt:lpstr>Year2_Care_Applications_Children</vt:lpstr>
      <vt:lpstr>Year2_Care_Leavers_16_18th_birthday</vt:lpstr>
      <vt:lpstr>Year2_Care_Leavers_at_end_of_period</vt:lpstr>
      <vt:lpstr>Year2_Care_Leavers_in_EET</vt:lpstr>
      <vt:lpstr>Year2_Care_Leavers_in_suitable_accommodation</vt:lpstr>
      <vt:lpstr>Year2_Care_Leavers_in_touch</vt:lpstr>
      <vt:lpstr>Year2_Children_missing_Education</vt:lpstr>
      <vt:lpstr>Year2_CIN</vt:lpstr>
      <vt:lpstr>Year2_CIN_Section47</vt:lpstr>
      <vt:lpstr>Year2_Contacts</vt:lpstr>
      <vt:lpstr>Year2_Continuous_assessments</vt:lpstr>
      <vt:lpstr>Year2_CP_Conference</vt:lpstr>
      <vt:lpstr>Year2_CP_Conference_within15days</vt:lpstr>
      <vt:lpstr>Year2_CP_Plans</vt:lpstr>
      <vt:lpstr>Year2_CP_Plans_2years</vt:lpstr>
      <vt:lpstr>Year2_CP_Plans_3months</vt:lpstr>
      <vt:lpstr>Year2_CP_Plans_3months_timescales</vt:lpstr>
      <vt:lpstr>Year2_CP_Plans_became_subject</vt:lpstr>
      <vt:lpstr>Year2_CP_Plans_became_subject_second</vt:lpstr>
      <vt:lpstr>Year2_CP_Plans_became_subject_second_2years</vt:lpstr>
      <vt:lpstr>Year2_CP_Plans_ceased</vt:lpstr>
      <vt:lpstr>Year2_CP_Plans_ceased_2years</vt:lpstr>
      <vt:lpstr>Year2_CP_Plans_Seen_in_Timescales</vt:lpstr>
      <vt:lpstr>Year2_EarlyHelpAssessments</vt:lpstr>
      <vt:lpstr>Year2_EarlyHelpAssessmentsOngoing</vt:lpstr>
      <vt:lpstr>Year2_EarlyHelpAssessmentsStepUp</vt:lpstr>
      <vt:lpstr>Year2_EarlyHelpedChildren</vt:lpstr>
      <vt:lpstr>Year2_EarlyHelpReferrals</vt:lpstr>
      <vt:lpstr>Year2_EarlyHelpReferralsOntoASSESSMENT</vt:lpstr>
      <vt:lpstr>Year2_EarlyHelpReferralsSTEPDOWN</vt:lpstr>
      <vt:lpstr>Year2_EarlyHelpReReferrals</vt:lpstr>
      <vt:lpstr>Year2_East_Sussex</vt:lpstr>
      <vt:lpstr>Year2_England</vt:lpstr>
      <vt:lpstr>Year2_First_Time_Entrants_to_Youth_Justice_system</vt:lpstr>
      <vt:lpstr>Year2_Hampshire</vt:lpstr>
      <vt:lpstr>Year2_Isle_of_Wight</vt:lpstr>
      <vt:lpstr>Year2_Juvenile_Offenders__Age_10_17</vt:lpstr>
      <vt:lpstr>Year2_Juvenile_Offenders__Age_1017</vt:lpstr>
      <vt:lpstr>Year2_Juvenile_Re_offenders__Age_10_17</vt:lpstr>
      <vt:lpstr>Year2_Juvenile_Reoffenders__Age_1017</vt:lpstr>
      <vt:lpstr>Year2_Kent</vt:lpstr>
      <vt:lpstr>Year2_LAC</vt:lpstr>
      <vt:lpstr>Year2_LAC_10to15</vt:lpstr>
      <vt:lpstr>Year2_LAC_16plus</vt:lpstr>
      <vt:lpstr>Year2_LAC_1to4</vt:lpstr>
      <vt:lpstr>Year2_LAC_3_or_more_Placements</vt:lpstr>
      <vt:lpstr>Year2_LAC_4weeks</vt:lpstr>
      <vt:lpstr>Year2_LAC_4weeks_reviews_in_timescales</vt:lpstr>
      <vt:lpstr>Year2_LAC_5to9</vt:lpstr>
      <vt:lpstr>Year2_LAC_Remanded</vt:lpstr>
      <vt:lpstr>Year2_LAC_Start</vt:lpstr>
      <vt:lpstr>Year2_LAC_Start_2nd_time</vt:lpstr>
      <vt:lpstr>Year2_LAC_UASC</vt:lpstr>
      <vt:lpstr>Year2_LAC_Under1</vt:lpstr>
      <vt:lpstr>Year2_LAC_under16</vt:lpstr>
      <vt:lpstr>Year2_LAC_under16_2.5years</vt:lpstr>
      <vt:lpstr>Year2_LAC_under16_2.5years_sameplacement2years</vt:lpstr>
      <vt:lpstr>Year2_Medway</vt:lpstr>
      <vt:lpstr>Year2_Milton_Keynes</vt:lpstr>
      <vt:lpstr>Year2_New_EHC__within_20_weeks</vt:lpstr>
      <vt:lpstr>Year2_Number_EHC_Plans</vt:lpstr>
      <vt:lpstr>Year2_Oxfordshire</vt:lpstr>
      <vt:lpstr>Year2_Portsmouth</vt:lpstr>
      <vt:lpstr>Year2_Reading</vt:lpstr>
      <vt:lpstr>Year2_Referrals</vt:lpstr>
      <vt:lpstr>Year2_ReferralsAssessment</vt:lpstr>
      <vt:lpstr>Year2_ReferralSource_Anonymous</vt:lpstr>
      <vt:lpstr>Year2_ReferralSource_EducationServices</vt:lpstr>
      <vt:lpstr>Year2_ReferralSource_Health_services_AE</vt:lpstr>
      <vt:lpstr>Year2_ReferralSource_Health_services_GP</vt:lpstr>
      <vt:lpstr>Year2_ReferralSource_Health_services_HealthVisitor</vt:lpstr>
      <vt:lpstr>Year2_ReferralSource_Health_services_Other</vt:lpstr>
      <vt:lpstr>Year2_ReferralSource_Health_services_OthPrimary</vt:lpstr>
      <vt:lpstr>Year2_ReferralSource_Health_services_SchoolNurse</vt:lpstr>
      <vt:lpstr>Year2_ReferralSource_Housing</vt:lpstr>
      <vt:lpstr>Year2_ReferralSource_Individual_Acquaintance</vt:lpstr>
      <vt:lpstr>Year2_ReferralSource_Individual_Family</vt:lpstr>
      <vt:lpstr>Year2_ReferralSource_Individual_Other</vt:lpstr>
      <vt:lpstr>Year2_ReferralSource_Individual_Self</vt:lpstr>
      <vt:lpstr>Year2_ReferralSource_LA_External</vt:lpstr>
      <vt:lpstr>Year2_ReferralSource_LA_Other</vt:lpstr>
      <vt:lpstr>Year2_ReferralSource_LA_SC</vt:lpstr>
      <vt:lpstr>Year2_ReferralSource_Other</vt:lpstr>
      <vt:lpstr>Year2_ReferralSource_Other_Legal</vt:lpstr>
      <vt:lpstr>Year2_ReferralSource_Police</vt:lpstr>
      <vt:lpstr>Year2_ReferralSource_School</vt:lpstr>
      <vt:lpstr>Year2_ReferralSource_Unknown</vt:lpstr>
      <vt:lpstr>Year2_ReferralsPriorEH</vt:lpstr>
      <vt:lpstr>Year2_ReReferrals</vt:lpstr>
      <vt:lpstr>Year2_ROSGO_ceased_LAC_CAO</vt:lpstr>
      <vt:lpstr>Year2_ROSGO_ceased_LAC_SGO</vt:lpstr>
      <vt:lpstr>Year2_SGO_fundedLA</vt:lpstr>
      <vt:lpstr>Year2_SGO_total</vt:lpstr>
      <vt:lpstr>Year2_Slough</vt:lpstr>
      <vt:lpstr>Year2_Somerset</vt:lpstr>
      <vt:lpstr>Year2_South_East</vt:lpstr>
      <vt:lpstr>Year2_Southampton</vt:lpstr>
      <vt:lpstr>Year2_SouthEast</vt:lpstr>
      <vt:lpstr>Year2_Surrey</vt:lpstr>
      <vt:lpstr>Year2_Swindon</vt:lpstr>
      <vt:lpstr>Year2_Torbay</vt:lpstr>
      <vt:lpstr>Year2_West_Berkshire</vt:lpstr>
      <vt:lpstr>Year2_West_Sussex</vt:lpstr>
      <vt:lpstr>Year2_Windsor___Maidenhead</vt:lpstr>
      <vt:lpstr>Year2_Windsor_Maidenhead</vt:lpstr>
      <vt:lpstr>Year2_Wokingham</vt:lpstr>
      <vt:lpstr>Year3__electively_home_educated</vt:lpstr>
      <vt:lpstr>Year3_16_17_NEET</vt:lpstr>
      <vt:lpstr>Year3_16_17_not_known</vt:lpstr>
      <vt:lpstr>Year3_16_17_participating_in_EET</vt:lpstr>
      <vt:lpstr>Year3_1617_NEET</vt:lpstr>
      <vt:lpstr>Year3_1617_not_known</vt:lpstr>
      <vt:lpstr>Year3_1617_participating_in_EET</vt:lpstr>
      <vt:lpstr>Year3_Adoption_ceased_LAC</vt:lpstr>
      <vt:lpstr>Year3_Adoption_LAC_Adopted</vt:lpstr>
      <vt:lpstr>Year3_Adoption_LAC_Adopted_days</vt:lpstr>
      <vt:lpstr>Year3_Adoption_LAC_Adopted_placed_with_12months</vt:lpstr>
      <vt:lpstr>Year3_Adoption_PFA</vt:lpstr>
      <vt:lpstr>Year3_Assessments</vt:lpstr>
      <vt:lpstr>Year3_Assessments_10days</vt:lpstr>
      <vt:lpstr>Year3_Assessments_11_20days</vt:lpstr>
      <vt:lpstr>Year3_Assessments_11_25days</vt:lpstr>
      <vt:lpstr>Year3_Assessments_21_30days</vt:lpstr>
      <vt:lpstr>Year3_Assessments_26_35days</vt:lpstr>
      <vt:lpstr>Year3_Assessments_31_45days</vt:lpstr>
      <vt:lpstr>Year3_Assessments_36_45days</vt:lpstr>
      <vt:lpstr>Year3_Assessments_No_further_action</vt:lpstr>
      <vt:lpstr>Year3_Assessments_over_45days</vt:lpstr>
      <vt:lpstr>Year3_Assessments_step_down</vt:lpstr>
      <vt:lpstr>Year3_Assessments_within45days</vt:lpstr>
      <vt:lpstr>Year3_Bracknell_Forest</vt:lpstr>
      <vt:lpstr>Year3_Brighton___Hove</vt:lpstr>
      <vt:lpstr>Year3_Brighton_Hove</vt:lpstr>
      <vt:lpstr>Year3_Buckinghamshire</vt:lpstr>
      <vt:lpstr>Year3_CAO_RO_FundedLA</vt:lpstr>
      <vt:lpstr>Year3_CAO_RO_Total</vt:lpstr>
      <vt:lpstr>Year3_Care_Applications</vt:lpstr>
      <vt:lpstr>Year3_Care_Applications_Children</vt:lpstr>
      <vt:lpstr>Year3_Care_Leavers_16_18th_birthday</vt:lpstr>
      <vt:lpstr>Year3_Care_Leavers_at_end_of_period</vt:lpstr>
      <vt:lpstr>Year3_Care_Leavers_in_EET</vt:lpstr>
      <vt:lpstr>Year3_Care_Leavers_in_suitable_accommodation</vt:lpstr>
      <vt:lpstr>Year3_Care_Leavers_in_touch</vt:lpstr>
      <vt:lpstr>Year3_Children_missing_Education</vt:lpstr>
      <vt:lpstr>Year3_CIN</vt:lpstr>
      <vt:lpstr>Year3_CIN_Section47</vt:lpstr>
      <vt:lpstr>Year3_Contacts</vt:lpstr>
      <vt:lpstr>Year3_Continuous_assessments</vt:lpstr>
      <vt:lpstr>Year3_CP_Conference</vt:lpstr>
      <vt:lpstr>Year3_CP_Conference_within15days</vt:lpstr>
      <vt:lpstr>Year3_CP_Plans</vt:lpstr>
      <vt:lpstr>Year3_CP_Plans_2years</vt:lpstr>
      <vt:lpstr>Year3_CP_Plans_3months</vt:lpstr>
      <vt:lpstr>Year3_CP_Plans_3months_timescales</vt:lpstr>
      <vt:lpstr>Year3_CP_Plans_became_subject</vt:lpstr>
      <vt:lpstr>Year3_CP_Plans_became_subject_second</vt:lpstr>
      <vt:lpstr>Year3_CP_Plans_became_subject_second_2years</vt:lpstr>
      <vt:lpstr>Year3_CP_Plans_ceased</vt:lpstr>
      <vt:lpstr>Year3_CP_Plans_ceased_2years</vt:lpstr>
      <vt:lpstr>Year3_CP_Plans_Seen_in_Timescales</vt:lpstr>
      <vt:lpstr>Year3_EarlyHelpAssessments</vt:lpstr>
      <vt:lpstr>Year3_EarlyHelpAssessmentsOngoing</vt:lpstr>
      <vt:lpstr>Year3_EarlyHelpAssessmentsStepUp</vt:lpstr>
      <vt:lpstr>Year3_EarlyHelpedChildren</vt:lpstr>
      <vt:lpstr>Year3_EarlyHelpReferrals</vt:lpstr>
      <vt:lpstr>Year3_EarlyHelpReferralsOntoASSESSMENT</vt:lpstr>
      <vt:lpstr>Year3_EarlyHelpReferralsSTEPDOWN</vt:lpstr>
      <vt:lpstr>Year3_EarlyHelpReReferrals</vt:lpstr>
      <vt:lpstr>Year3_East_Sussex</vt:lpstr>
      <vt:lpstr>Year3_England</vt:lpstr>
      <vt:lpstr>Year3_First_Time_Entrants_to_Youth_Justice_system</vt:lpstr>
      <vt:lpstr>Year3_Hampshire</vt:lpstr>
      <vt:lpstr>Year3_Isle_of_Wight</vt:lpstr>
      <vt:lpstr>Year3_Juvenile_Offenders__Age_10_17</vt:lpstr>
      <vt:lpstr>Year3_Juvenile_Offenders__Age_1017</vt:lpstr>
      <vt:lpstr>Year3_Juvenile_Re_offenders__Age_10_17</vt:lpstr>
      <vt:lpstr>Year3_Juvenile_Reoffenders__Age_1017</vt:lpstr>
      <vt:lpstr>Year3_Kent</vt:lpstr>
      <vt:lpstr>Year3_LAC</vt:lpstr>
      <vt:lpstr>Year3_LAC_10to15</vt:lpstr>
      <vt:lpstr>Year3_LAC_16plus</vt:lpstr>
      <vt:lpstr>Year3_LAC_1to4</vt:lpstr>
      <vt:lpstr>Year3_LAC_3_or_more_Placements</vt:lpstr>
      <vt:lpstr>Year3_LAC_4weeks</vt:lpstr>
      <vt:lpstr>Year3_LAC_4weeks_reviews_in_timescales</vt:lpstr>
      <vt:lpstr>Year3_LAC_5to9</vt:lpstr>
      <vt:lpstr>Year3_LAC_Remanded</vt:lpstr>
      <vt:lpstr>Year3_LAC_Start</vt:lpstr>
      <vt:lpstr>Year3_LAC_Start_2nd_time</vt:lpstr>
      <vt:lpstr>Year3_LAC_UASC</vt:lpstr>
      <vt:lpstr>Year3_LAC_Under1</vt:lpstr>
      <vt:lpstr>Year3_LAC_under16</vt:lpstr>
      <vt:lpstr>Year3_LAC_under16_2.5years</vt:lpstr>
      <vt:lpstr>Year3_LAC_under16_2.5years_sameplacement2years</vt:lpstr>
      <vt:lpstr>Year3_Medway</vt:lpstr>
      <vt:lpstr>Year3_Milton_Keynes</vt:lpstr>
      <vt:lpstr>Year3_New_EHC__within_20_weeks</vt:lpstr>
      <vt:lpstr>Year3_Number_EHC_Plans</vt:lpstr>
      <vt:lpstr>Year3_Oxfordshire</vt:lpstr>
      <vt:lpstr>Year3_Portsmouth</vt:lpstr>
      <vt:lpstr>Year3_Reading</vt:lpstr>
      <vt:lpstr>Year3_Referrals</vt:lpstr>
      <vt:lpstr>Year3_ReferralsAssessment</vt:lpstr>
      <vt:lpstr>Year3_ReferralSource_Anonymous</vt:lpstr>
      <vt:lpstr>Year3_ReferralSource_EducationServices</vt:lpstr>
      <vt:lpstr>Year3_ReferralSource_Health_services_AE</vt:lpstr>
      <vt:lpstr>Year3_ReferralSource_Health_services_GP</vt:lpstr>
      <vt:lpstr>Year3_ReferralSource_Health_services_HealthVisitor</vt:lpstr>
      <vt:lpstr>Year3_ReferralSource_Health_services_Other</vt:lpstr>
      <vt:lpstr>Year3_ReferralSource_Health_services_OthPrimary</vt:lpstr>
      <vt:lpstr>Year3_ReferralSource_Health_services_SchoolNurse</vt:lpstr>
      <vt:lpstr>Year3_ReferralSource_Housing</vt:lpstr>
      <vt:lpstr>Year3_ReferralSource_Individual_Acquaintance</vt:lpstr>
      <vt:lpstr>Year3_ReferralSource_Individual_Family</vt:lpstr>
      <vt:lpstr>Year3_ReferralSource_Individual_Other</vt:lpstr>
      <vt:lpstr>Year3_ReferralSource_Individual_Self</vt:lpstr>
      <vt:lpstr>Year3_ReferralSource_LA_External</vt:lpstr>
      <vt:lpstr>Year3_ReferralSource_LA_Other</vt:lpstr>
      <vt:lpstr>Year3_ReferralSource_LA_SC</vt:lpstr>
      <vt:lpstr>Year3_ReferralSource_Other</vt:lpstr>
      <vt:lpstr>Year3_ReferralSource_Other_Legal</vt:lpstr>
      <vt:lpstr>Year3_ReferralSource_Police</vt:lpstr>
      <vt:lpstr>Year3_ReferralSource_School</vt:lpstr>
      <vt:lpstr>Year3_ReferralSource_Unknown</vt:lpstr>
      <vt:lpstr>Year3_ReferralsPriorEH</vt:lpstr>
      <vt:lpstr>Year3_ReReferrals</vt:lpstr>
      <vt:lpstr>Year3_ROSGO_ceased_LAC_CAO</vt:lpstr>
      <vt:lpstr>Year3_ROSGO_ceased_LAC_SGO</vt:lpstr>
      <vt:lpstr>Year3_SGO_fundedLA</vt:lpstr>
      <vt:lpstr>Year3_SGO_total</vt:lpstr>
      <vt:lpstr>Year3_Slough</vt:lpstr>
      <vt:lpstr>Year3_Somerset</vt:lpstr>
      <vt:lpstr>Year3_South_East</vt:lpstr>
      <vt:lpstr>Year3_Southampton</vt:lpstr>
      <vt:lpstr>Year3_SouthEast</vt:lpstr>
      <vt:lpstr>Year3_Surrey</vt:lpstr>
      <vt:lpstr>Year3_Swindon</vt:lpstr>
      <vt:lpstr>Year3_Torbay</vt:lpstr>
      <vt:lpstr>Year3_West_Berkshire</vt:lpstr>
      <vt:lpstr>Year3_West_Sussex</vt:lpstr>
      <vt:lpstr>Year3_Windsor___Maidenhead</vt:lpstr>
      <vt:lpstr>Year3_Windsor_Maidenhead</vt:lpstr>
      <vt:lpstr>Year3_Wokingham</vt:lpstr>
      <vt:lpstr>Year4__1617__participating_in_EET</vt:lpstr>
      <vt:lpstr>Year4__electively_home_educated</vt:lpstr>
      <vt:lpstr>Year4_16_17_NEET</vt:lpstr>
      <vt:lpstr>Year4_16_17_not_known</vt:lpstr>
      <vt:lpstr>Year4_16_17_participating_in_EET</vt:lpstr>
      <vt:lpstr>Year4_1617_NEET</vt:lpstr>
      <vt:lpstr>Year4_1617_not_known</vt:lpstr>
      <vt:lpstr>Year4_Adoption_ceased_LAC</vt:lpstr>
      <vt:lpstr>Year4_Adoption_LAC_Adopted</vt:lpstr>
      <vt:lpstr>Year4_Adoption_LAC_Adopted_days</vt:lpstr>
      <vt:lpstr>Year4_Adoption_LAC_Adopted_placed_with_12months</vt:lpstr>
      <vt:lpstr>Year4_Adoption_PFA</vt:lpstr>
      <vt:lpstr>Year4_Assessments</vt:lpstr>
      <vt:lpstr>Year4_Assessments_10days</vt:lpstr>
      <vt:lpstr>Year4_Assessments_11_20days</vt:lpstr>
      <vt:lpstr>Year4_Assessments_11_25days</vt:lpstr>
      <vt:lpstr>Year4_Assessments_21_30days</vt:lpstr>
      <vt:lpstr>Year4_Assessments_26_35days</vt:lpstr>
      <vt:lpstr>Year4_Assessments_31_45days</vt:lpstr>
      <vt:lpstr>Year4_Assessments_36_45days</vt:lpstr>
      <vt:lpstr>Year4_Assessments_No_further_action</vt:lpstr>
      <vt:lpstr>Year4_Assessments_over_45days</vt:lpstr>
      <vt:lpstr>Year4_Assessments_step_down</vt:lpstr>
      <vt:lpstr>'Year 5'!Year4_Assessments_within45days</vt:lpstr>
      <vt:lpstr>Year4_Assessments_within45days</vt:lpstr>
      <vt:lpstr>Year4_Bracknell_Forest</vt:lpstr>
      <vt:lpstr>Year4_Brighton___Hove</vt:lpstr>
      <vt:lpstr>Year4_Brighton_Hove</vt:lpstr>
      <vt:lpstr>Year4_Buckinghamshire</vt:lpstr>
      <vt:lpstr>Year4_CAO_RO_FundedLA</vt:lpstr>
      <vt:lpstr>Year4_CAO_RO_Total</vt:lpstr>
      <vt:lpstr>Year4_Care_Applications</vt:lpstr>
      <vt:lpstr>Year4_Care_Applications_Children</vt:lpstr>
      <vt:lpstr>Year4_Care_Leavers_16_18th_birthday</vt:lpstr>
      <vt:lpstr>Year4_Care_Leavers_at_end_of_period</vt:lpstr>
      <vt:lpstr>Year4_Care_Leavers_in_EET</vt:lpstr>
      <vt:lpstr>Year4_Care_Leavers_in_suitable_accommodation</vt:lpstr>
      <vt:lpstr>Year4_Care_Leavers_in_touch</vt:lpstr>
      <vt:lpstr>Year4_Children_missing_Education</vt:lpstr>
      <vt:lpstr>Year4_CIN</vt:lpstr>
      <vt:lpstr>Year4_CIN_Section47</vt:lpstr>
      <vt:lpstr>Year4_Contacts</vt:lpstr>
      <vt:lpstr>Year4_Continuous_assessments</vt:lpstr>
      <vt:lpstr>Year4_CP_Conference</vt:lpstr>
      <vt:lpstr>Year4_CP_Conference_within15days</vt:lpstr>
      <vt:lpstr>Year4_CP_Plans</vt:lpstr>
      <vt:lpstr>Year4_CP_Plans_2years</vt:lpstr>
      <vt:lpstr>Year4_CP_Plans_3months</vt:lpstr>
      <vt:lpstr>Year4_CP_Plans_3months_timescales</vt:lpstr>
      <vt:lpstr>Year4_CP_Plans_became_subject</vt:lpstr>
      <vt:lpstr>Year4_CP_Plans_became_subject_second</vt:lpstr>
      <vt:lpstr>Year4_CP_Plans_became_subject_second_2years</vt:lpstr>
      <vt:lpstr>Year4_CP_Plans_ceased</vt:lpstr>
      <vt:lpstr>Year4_CP_Plans_ceased_2years</vt:lpstr>
      <vt:lpstr>Year4_CP_Plans_Seen_in_Timescales</vt:lpstr>
      <vt:lpstr>Year4_EarlyHelpAssessments</vt:lpstr>
      <vt:lpstr>Year4_EarlyHelpAssessmentsOngoing</vt:lpstr>
      <vt:lpstr>Year4_EarlyHelpAssessmentsStepUp</vt:lpstr>
      <vt:lpstr>Year4_EarlyHelpedChildren</vt:lpstr>
      <vt:lpstr>Year4_EarlyHelpReferrals</vt:lpstr>
      <vt:lpstr>Year4_EarlyHelpReferralsOntoASSESSMENT</vt:lpstr>
      <vt:lpstr>Year4_EarlyHelpReferralsSTEPDOWN</vt:lpstr>
      <vt:lpstr>Year4_EarlyHelpReReferrals</vt:lpstr>
      <vt:lpstr>Year4_East_Sussex</vt:lpstr>
      <vt:lpstr>Year4_England</vt:lpstr>
      <vt:lpstr>Year4_First_Time_Entrants_to_Youth_Justice_system</vt:lpstr>
      <vt:lpstr>Year4_Hampshire</vt:lpstr>
      <vt:lpstr>Year4_Isle_of_Wight</vt:lpstr>
      <vt:lpstr>Year4_Juvenile_Offenders__Age_10_17</vt:lpstr>
      <vt:lpstr>Year4_Juvenile_Offenders__Age_1017</vt:lpstr>
      <vt:lpstr>Year4_Juvenile_Re_offenders__Age_10_17</vt:lpstr>
      <vt:lpstr>Year4_Juvenile_Reoffenders__Age_1017</vt:lpstr>
      <vt:lpstr>Year4_Kent</vt:lpstr>
      <vt:lpstr>Year4_LAC</vt:lpstr>
      <vt:lpstr>Year4_LAC_10to15</vt:lpstr>
      <vt:lpstr>Year4_LAC_16plus</vt:lpstr>
      <vt:lpstr>Year4_LAC_1to4</vt:lpstr>
      <vt:lpstr>Year4_LAC_3_or_more_Placements</vt:lpstr>
      <vt:lpstr>Year4_LAC_4weeks</vt:lpstr>
      <vt:lpstr>Year4_LAC_4weeks_reviews_in_timescales</vt:lpstr>
      <vt:lpstr>Year4_LAC_5to9</vt:lpstr>
      <vt:lpstr>Year4_LAC_Remanded</vt:lpstr>
      <vt:lpstr>Year4_LAC_Start</vt:lpstr>
      <vt:lpstr>Year4_LAC_Start_2nd_time</vt:lpstr>
      <vt:lpstr>Year4_LAC_UASC</vt:lpstr>
      <vt:lpstr>Year4_LAC_Under1</vt:lpstr>
      <vt:lpstr>Year4_LAC_under16</vt:lpstr>
      <vt:lpstr>Year4_LAC_under16_2.5years</vt:lpstr>
      <vt:lpstr>Year4_LAC_under16_2.5years_sameplacement2years</vt:lpstr>
      <vt:lpstr>Year4_Medway</vt:lpstr>
      <vt:lpstr>Year4_Milton_Keynes</vt:lpstr>
      <vt:lpstr>Year4_New_EHC__within_20_weeks</vt:lpstr>
      <vt:lpstr>Year4_Number_EHC_Plans</vt:lpstr>
      <vt:lpstr>Year4_Oxfordshire</vt:lpstr>
      <vt:lpstr>Year4_Portsmouth</vt:lpstr>
      <vt:lpstr>Year4_Reading</vt:lpstr>
      <vt:lpstr>Year4_Referrals</vt:lpstr>
      <vt:lpstr>Year4_ReferralsAssessment</vt:lpstr>
      <vt:lpstr>Year4_ReferralSource_Anonymous</vt:lpstr>
      <vt:lpstr>Year4_ReferralSource_EducationServices</vt:lpstr>
      <vt:lpstr>Year4_ReferralSource_Health_services_AE</vt:lpstr>
      <vt:lpstr>Year4_ReferralSource_Health_services_GP</vt:lpstr>
      <vt:lpstr>Year4_ReferralSource_Health_services_HealthVisitor</vt:lpstr>
      <vt:lpstr>Year4_ReferralSource_Health_services_Other</vt:lpstr>
      <vt:lpstr>Year4_ReferralSource_Health_services_OthPrimary</vt:lpstr>
      <vt:lpstr>Year4_ReferralSource_Health_services_SchoolNurse</vt:lpstr>
      <vt:lpstr>Year4_ReferralSource_Housing</vt:lpstr>
      <vt:lpstr>Year4_ReferralSource_Individual_Acquaintance</vt:lpstr>
      <vt:lpstr>Year4_ReferralSource_Individual_Family</vt:lpstr>
      <vt:lpstr>Year4_ReferralSource_Individual_Other</vt:lpstr>
      <vt:lpstr>Year4_ReferralSource_Individual_Self</vt:lpstr>
      <vt:lpstr>Year4_ReferralSource_LA_External</vt:lpstr>
      <vt:lpstr>Year4_ReferralSource_LA_Other</vt:lpstr>
      <vt:lpstr>Year4_ReferralSource_LA_SC</vt:lpstr>
      <vt:lpstr>Year4_ReferralSource_Other</vt:lpstr>
      <vt:lpstr>Year4_ReferralSource_Other_Legal</vt:lpstr>
      <vt:lpstr>Year4_ReferralSource_Police</vt:lpstr>
      <vt:lpstr>Year4_ReferralSource_School</vt:lpstr>
      <vt:lpstr>Year4_ReferralSource_Unknown</vt:lpstr>
      <vt:lpstr>Year4_ReferralsPriorEH</vt:lpstr>
      <vt:lpstr>Year4_ReReferrals</vt:lpstr>
      <vt:lpstr>Year4_ROSGO_ceased_LAC_CAO</vt:lpstr>
      <vt:lpstr>Year4_ROSGO_ceased_LAC_SGO</vt:lpstr>
      <vt:lpstr>Year4_SGO_fundedLA</vt:lpstr>
      <vt:lpstr>Year4_SGO_total</vt:lpstr>
      <vt:lpstr>Year4_Slough</vt:lpstr>
      <vt:lpstr>Year4_Somerset</vt:lpstr>
      <vt:lpstr>Year4_South_East</vt:lpstr>
      <vt:lpstr>Year4_Southampton</vt:lpstr>
      <vt:lpstr>Year4_SouthEast</vt:lpstr>
      <vt:lpstr>Year4_Surrey</vt:lpstr>
      <vt:lpstr>Year4_Swindon</vt:lpstr>
      <vt:lpstr>Year4_Torbay</vt:lpstr>
      <vt:lpstr>Year4_West_Berkshire</vt:lpstr>
      <vt:lpstr>Year4_West_Sussex</vt:lpstr>
      <vt:lpstr>Year4_Windsor___Maidenhead</vt:lpstr>
      <vt:lpstr>Year4_Windsor_Maidenhead</vt:lpstr>
      <vt:lpstr>Year4_Wokingham</vt:lpstr>
      <vt:lpstr>Year5__1617__participating_in_EET</vt:lpstr>
      <vt:lpstr>Year5__electively_home_educated</vt:lpstr>
      <vt:lpstr>Year5_16_17_NEET</vt:lpstr>
      <vt:lpstr>Year5_16_17_not_known</vt:lpstr>
      <vt:lpstr>Year5_16_17_participating_in_EET</vt:lpstr>
      <vt:lpstr>Year5_1617_NEET</vt:lpstr>
      <vt:lpstr>Year5_1617_not_known</vt:lpstr>
      <vt:lpstr>Year5_Adoption_ceased_LAC</vt:lpstr>
      <vt:lpstr>Year5_Adoption_LAC_Adopted</vt:lpstr>
      <vt:lpstr>Year5_Adoption_LAC_Adopted_days</vt:lpstr>
      <vt:lpstr>Year5_Adoption_LAC_Adopted_placed_with_12months</vt:lpstr>
      <vt:lpstr>Year5_Adoption_PFA</vt:lpstr>
      <vt:lpstr>Year5_Assessments</vt:lpstr>
      <vt:lpstr>Year5_Assessments_10days</vt:lpstr>
      <vt:lpstr>Year5_Assessments_11_20days</vt:lpstr>
      <vt:lpstr>Year5_Assessments_11_25days</vt:lpstr>
      <vt:lpstr>Year5_Assessments_21_30days</vt:lpstr>
      <vt:lpstr>Year5_Assessments_26_35days</vt:lpstr>
      <vt:lpstr>Year5_Assessments_31_45days</vt:lpstr>
      <vt:lpstr>Year5_Assessments_36_45days</vt:lpstr>
      <vt:lpstr>Year5_Assessments_No_further_action</vt:lpstr>
      <vt:lpstr>Year5_Assessments_over_45days</vt:lpstr>
      <vt:lpstr>Year5_Assessments_step_down</vt:lpstr>
      <vt:lpstr>Year5_Assessments_within45days</vt:lpstr>
      <vt:lpstr>Year5_Bracknell_Forest</vt:lpstr>
      <vt:lpstr>Year5_Brighton___Hove</vt:lpstr>
      <vt:lpstr>Year5_Brighton_Hove</vt:lpstr>
      <vt:lpstr>Year5_Buckinghamshire</vt:lpstr>
      <vt:lpstr>Year5_CAO_RO_FundedLA</vt:lpstr>
      <vt:lpstr>Year5_CAO_RO_Total</vt:lpstr>
      <vt:lpstr>Year5_Care_Applications</vt:lpstr>
      <vt:lpstr>Year5_Care_Applications_Children</vt:lpstr>
      <vt:lpstr>Year5_Care_Leavers_16_18th_birthday</vt:lpstr>
      <vt:lpstr>Year5_Care_Leavers_at_end_of_period</vt:lpstr>
      <vt:lpstr>Year5_Care_Leavers_in_EET</vt:lpstr>
      <vt:lpstr>Year5_Care_Leavers_in_suitable_accommodation</vt:lpstr>
      <vt:lpstr>Year5_Care_Leavers_in_touch</vt:lpstr>
      <vt:lpstr>Year5_Children_missing_Education</vt:lpstr>
      <vt:lpstr>Year5_CIN</vt:lpstr>
      <vt:lpstr>Year5_CIN_Section47</vt:lpstr>
      <vt:lpstr>Year5_Contacts</vt:lpstr>
      <vt:lpstr>Year5_Continuous_assessments</vt:lpstr>
      <vt:lpstr>Year5_CP_Conference</vt:lpstr>
      <vt:lpstr>Year5_CP_Conference_within15days</vt:lpstr>
      <vt:lpstr>Year5_CP_Plans</vt:lpstr>
      <vt:lpstr>Year5_CP_Plans_2years</vt:lpstr>
      <vt:lpstr>Year5_CP_Plans_3months</vt:lpstr>
      <vt:lpstr>Year5_CP_Plans_3months_timescales</vt:lpstr>
      <vt:lpstr>Year5_CP_Plans_became_subject</vt:lpstr>
      <vt:lpstr>Year5_CP_Plans_became_subject_second</vt:lpstr>
      <vt:lpstr>Year5_CP_Plans_became_subject_second_2years</vt:lpstr>
      <vt:lpstr>Year5_CP_Plans_ceased</vt:lpstr>
      <vt:lpstr>Year5_CP_Plans_ceased_2years</vt:lpstr>
      <vt:lpstr>Year5_CP_Plans_Seen_in_Timescales</vt:lpstr>
      <vt:lpstr>Year5_EarlyHelpAssessments</vt:lpstr>
      <vt:lpstr>Year5_EarlyHelpAssessmentsOngoing</vt:lpstr>
      <vt:lpstr>Year5_EarlyHelpAssessmentsStepUp</vt:lpstr>
      <vt:lpstr>Year5_EarlyHelpedChildren</vt:lpstr>
      <vt:lpstr>Year5_EarlyHelpReferrals</vt:lpstr>
      <vt:lpstr>Year5_EarlyHelpReferralsOntoASSESSMENT</vt:lpstr>
      <vt:lpstr>Year5_EarlyHelpReferralsSTEPDOWN</vt:lpstr>
      <vt:lpstr>Year5_EarlyHelpReReferrals</vt:lpstr>
      <vt:lpstr>Year5_East_Sussex</vt:lpstr>
      <vt:lpstr>Year5_England</vt:lpstr>
      <vt:lpstr>Year5_First_Time_Entrants_to_Youth_Justice_system</vt:lpstr>
      <vt:lpstr>Year5_Hampshire</vt:lpstr>
      <vt:lpstr>Year5_Isle_of_Wight</vt:lpstr>
      <vt:lpstr>Year5_Juvenile_Offenders__Age_10_17</vt:lpstr>
      <vt:lpstr>Year5_Juvenile_Offenders__Age_1017</vt:lpstr>
      <vt:lpstr>Year5_Juvenile_Re_offenders__Age_10_17</vt:lpstr>
      <vt:lpstr>Year5_Juvenile_Reoffenders__Age_1017</vt:lpstr>
      <vt:lpstr>Year5_Kent</vt:lpstr>
      <vt:lpstr>Year5_LAC</vt:lpstr>
      <vt:lpstr>Year5_LAC_10to15</vt:lpstr>
      <vt:lpstr>Year5_LAC_16plus</vt:lpstr>
      <vt:lpstr>Year5_LAC_1to4</vt:lpstr>
      <vt:lpstr>Year5_LAC_3_or_more_Placements</vt:lpstr>
      <vt:lpstr>Year5_LAC_4weeks</vt:lpstr>
      <vt:lpstr>Year5_LAC_4weeks_reviews_in_timescales</vt:lpstr>
      <vt:lpstr>Year5_LAC_5to9</vt:lpstr>
      <vt:lpstr>Year5_LAC_Remanded</vt:lpstr>
      <vt:lpstr>Year5_LAC_Start</vt:lpstr>
      <vt:lpstr>Year5_LAC_Start_2nd_time</vt:lpstr>
      <vt:lpstr>Year5_LAC_UASC</vt:lpstr>
      <vt:lpstr>Year5_LAC_Under1</vt:lpstr>
      <vt:lpstr>Year5_LAC_under16</vt:lpstr>
      <vt:lpstr>Year5_LAC_under16_2.5years</vt:lpstr>
      <vt:lpstr>Year5_LAC_under16_2.5years_sameplacement2years</vt:lpstr>
      <vt:lpstr>Year5_Medway</vt:lpstr>
      <vt:lpstr>Year5_Milton_Keynes</vt:lpstr>
      <vt:lpstr>Year5_New_EHC__within_20_weeks</vt:lpstr>
      <vt:lpstr>Year5_Number_EHC_Plans</vt:lpstr>
      <vt:lpstr>Year5_Oxfordshire</vt:lpstr>
      <vt:lpstr>Year5_Portsmouth</vt:lpstr>
      <vt:lpstr>Year5_Reading</vt:lpstr>
      <vt:lpstr>Year5_Referrals</vt:lpstr>
      <vt:lpstr>Year5_ReferralsAssessment</vt:lpstr>
      <vt:lpstr>Year5_ReferralSource_Anonymous</vt:lpstr>
      <vt:lpstr>Year5_ReferralSource_EducationServices</vt:lpstr>
      <vt:lpstr>Year5_ReferralSource_Health_services_AE</vt:lpstr>
      <vt:lpstr>Year5_ReferralSource_Health_services_GP</vt:lpstr>
      <vt:lpstr>Year5_ReferralSource_Health_services_HealthVisitor</vt:lpstr>
      <vt:lpstr>Year5_ReferralSource_Health_services_Other</vt:lpstr>
      <vt:lpstr>Year5_ReferralSource_Health_services_OthPrimary</vt:lpstr>
      <vt:lpstr>Year5_ReferralSource_Health_services_SchoolNurse</vt:lpstr>
      <vt:lpstr>Year5_ReferralSource_Housing</vt:lpstr>
      <vt:lpstr>Year5_ReferralSource_Individual_Acquaintance</vt:lpstr>
      <vt:lpstr>Year5_ReferralSource_Individual_Family</vt:lpstr>
      <vt:lpstr>Year5_ReferralSource_Individual_Other</vt:lpstr>
      <vt:lpstr>Year5_ReferralSource_Individual_Self</vt:lpstr>
      <vt:lpstr>Year5_ReferralSource_LA_External</vt:lpstr>
      <vt:lpstr>Year5_ReferralSource_LA_Other</vt:lpstr>
      <vt:lpstr>Year5_ReferralSource_LA_SC</vt:lpstr>
      <vt:lpstr>Year5_ReferralSource_Other</vt:lpstr>
      <vt:lpstr>Year5_ReferralSource_Other_Legal</vt:lpstr>
      <vt:lpstr>Year5_ReferralSource_Police</vt:lpstr>
      <vt:lpstr>Year5_ReferralSource_School</vt:lpstr>
      <vt:lpstr>Year5_ReferralSource_Unknown</vt:lpstr>
      <vt:lpstr>Year5_ReferralsPriorEH</vt:lpstr>
      <vt:lpstr>Year5_ReReferrals</vt:lpstr>
      <vt:lpstr>Year5_ROSGO_ceased_LAC_CAO</vt:lpstr>
      <vt:lpstr>Year5_ROSGO_ceased_LAC_SGO</vt:lpstr>
      <vt:lpstr>Year5_SGO_fundedLA</vt:lpstr>
      <vt:lpstr>Year5_SGO_total</vt:lpstr>
      <vt:lpstr>Year5_Slough</vt:lpstr>
      <vt:lpstr>Year5_Somerset</vt:lpstr>
      <vt:lpstr>Year5_South_East</vt:lpstr>
      <vt:lpstr>Year5_Southampton</vt:lpstr>
      <vt:lpstr>Year5_SouthEast</vt:lpstr>
      <vt:lpstr>Year5_Surrey</vt:lpstr>
      <vt:lpstr>Year5_Swindon</vt:lpstr>
      <vt:lpstr>Year5_Torbay</vt:lpstr>
      <vt:lpstr>Year5_West_Berkshire</vt:lpstr>
      <vt:lpstr>Year5_West_Sussex</vt:lpstr>
      <vt:lpstr>Year5_Windsor___Maidenhead</vt:lpstr>
      <vt:lpstr>Year5_Windsor_Maidenhead</vt:lpstr>
      <vt:lpstr>Year5_Wokingham</vt:lpstr>
    </vt:vector>
  </TitlesOfParts>
  <Company>East sussex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Josephh</dc:creator>
  <cp:lastModifiedBy>Joseph Hutchings</cp:lastModifiedBy>
  <cp:lastPrinted>2020-01-07T11:22:42Z</cp:lastPrinted>
  <dcterms:created xsi:type="dcterms:W3CDTF">2011-07-27T15:24:05Z</dcterms:created>
  <dcterms:modified xsi:type="dcterms:W3CDTF">2020-01-16T07:15:22Z</dcterms:modified>
</cp:coreProperties>
</file>